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hidePivotFieldList="1"/>
  <mc:AlternateContent xmlns:mc="http://schemas.openxmlformats.org/markup-compatibility/2006">
    <mc:Choice Requires="x15">
      <x15ac:absPath xmlns:x15ac="http://schemas.microsoft.com/office/spreadsheetml/2010/11/ac" url="https://mhclg.sharepoint.com/sites/LGFdatacollection/Shared Documents/Revenue/RO 2022-23/Forms to LAs/"/>
    </mc:Choice>
  </mc:AlternateContent>
  <xr:revisionPtr revIDLastSave="2503" documentId="8_{A2B26F97-6F2E-4008-92B1-2A466AFF6FBB}" xr6:coauthVersionLast="47" xr6:coauthVersionMax="47" xr10:uidLastSave="{5A6B1129-77FA-4C9C-8559-33BF414D4937}"/>
  <bookViews>
    <workbookView xWindow="-110" yWindow="-110" windowWidth="22780" windowHeight="14660" tabRatio="797" xr2:uid="{F85F21E0-9E0B-46ED-A5AA-24B276B8AF78}"/>
  </bookViews>
  <sheets>
    <sheet name="ContactDetails" sheetId="26" r:id="rId1"/>
    <sheet name="RS" sheetId="4" r:id="rId2"/>
    <sheet name="RSm" sheetId="49" r:id="rId3"/>
    <sheet name="RSX" sheetId="30" r:id="rId4"/>
    <sheet name="RG" sheetId="2" r:id="rId5"/>
    <sheet name="RO1" sheetId="10" r:id="rId6"/>
    <sheet name="RO2" sheetId="32" r:id="rId7"/>
    <sheet name="RO3" sheetId="33" r:id="rId8"/>
    <sheet name="RO4" sheetId="34" r:id="rId9"/>
    <sheet name="RO5" sheetId="35" r:id="rId10"/>
    <sheet name="RO6" sheetId="37" r:id="rId11"/>
    <sheet name="TSR" sheetId="38" r:id="rId12"/>
    <sheet name="SAR" sheetId="36" r:id="rId13"/>
    <sheet name="Levy" sheetId="44" r:id="rId14"/>
    <sheet name="Memo" sheetId="29" r:id="rId15"/>
    <sheet name="backsheet" sheetId="48" state="hidden" r:id="rId16"/>
    <sheet name="LA_data_prev_year" sheetId="46" state="hidden" r:id="rId17"/>
    <sheet name="Pre-populated reserves" sheetId="54" state="hidden" r:id="rId18"/>
    <sheet name="Line 1028+1029" sheetId="51" state="hidden" r:id="rId19"/>
    <sheet name="LA Data" sheetId="47" state="hidden" r:id="rId20"/>
    <sheet name="LA_info" sheetId="40" state="hidden" r:id="rId21"/>
    <sheet name="Validation Parameters" sheetId="45" state="hidden" r:id="rId22"/>
  </sheets>
  <externalReferences>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s>
  <definedNames>
    <definedName name="__123Graph_A" hidden="1">'[1]Model inputs'!#REF!</definedName>
    <definedName name="__123Graph_AALLTAX" hidden="1">'[2]Forecast data'!#REF!</definedName>
    <definedName name="__123Graph_ACFSINDIV" hidden="1">[3]Data!#REF!</definedName>
    <definedName name="__123Graph_ACHGSPD1" hidden="1">'[4]CHGSPD19.FIN'!$B$10:$B$20</definedName>
    <definedName name="__123Graph_ACHGSPD2" hidden="1">'[4]CHGSPD19.FIN'!$E$11:$E$20</definedName>
    <definedName name="__123Graph_ADUMMY" hidden="1">[5]weekly!#REF!</definedName>
    <definedName name="__123Graph_AEFF" hidden="1">'[6]T3 Page 1'!#REF!</definedName>
    <definedName name="__123Graph_AGR14PBF1" hidden="1">'[7]HIS19FIN(A)'!$AF$70:$AF$81</definedName>
    <definedName name="__123Graph_AHOMEVAT" hidden="1">'[2]Forecast data'!#REF!</definedName>
    <definedName name="__123Graph_AIMPORT" hidden="1">'[2]Forecast data'!#REF!</definedName>
    <definedName name="__123Graph_ALBFFIN" hidden="1">'[6]FC Page 1'!#REF!</definedName>
    <definedName name="__123Graph_ALBFFIN2" hidden="1">'[7]HIS19FIN(A)'!$K$59:$Q$59</definedName>
    <definedName name="__123Graph_ALBFHIC2" hidden="1">'[7]HIS19FIN(A)'!$D$59:$J$59</definedName>
    <definedName name="__123Graph_ALCB" hidden="1">'[7]HIS19FIN(A)'!$D$83:$I$83</definedName>
    <definedName name="__123Graph_AMAIN" hidden="1">[5]weekly!#REF!</definedName>
    <definedName name="__123Graph_AMONTHLY" hidden="1">[5]weekly!#REF!</definedName>
    <definedName name="__123Graph_AMONTHLY2" hidden="1">[5]weekly!#REF!</definedName>
    <definedName name="__123Graph_ANACFIN" hidden="1">'[7]HIS19FIN(A)'!$K$97:$Q$97</definedName>
    <definedName name="__123Graph_ANACHIC" hidden="1">'[7]HIS19FIN(A)'!$D$97:$J$97</definedName>
    <definedName name="__123Graph_APDNUMBERS" hidden="1">'[8]SUMMARY TABLE'!$U$6:$U$49</definedName>
    <definedName name="__123Graph_APDTRENDS" hidden="1">'[8]SUMMARY TABLE'!$S$23:$S$46</definedName>
    <definedName name="__123Graph_APIC" hidden="1">'[6]T3 Page 1'!#REF!</definedName>
    <definedName name="__123Graph_ATOBREV" hidden="1">'[2]Forecast data'!#REF!</definedName>
    <definedName name="__123Graph_ATOTAL" hidden="1">'[2]Forecast data'!#REF!</definedName>
    <definedName name="__123Graph_B" hidden="1">'[1]Model inputs'!#REF!</definedName>
    <definedName name="__123Graph_BCFSINDIV" hidden="1">[3]Data!#REF!</definedName>
    <definedName name="__123Graph_BCFSUK" hidden="1">[3]Data!#REF!</definedName>
    <definedName name="__123Graph_BCHGSPD1" hidden="1">'[4]CHGSPD19.FIN'!$H$10:$H$25</definedName>
    <definedName name="__123Graph_BCHGSPD2" hidden="1">'[4]CHGSPD19.FIN'!$I$11:$I$25</definedName>
    <definedName name="__123Graph_BDUMMY" hidden="1">[5]weekly!#REF!</definedName>
    <definedName name="__123Graph_BEFF" hidden="1">'[6]T3 Page 1'!#REF!</definedName>
    <definedName name="__123Graph_BHOMEVAT" hidden="1">'[2]Forecast data'!#REF!</definedName>
    <definedName name="__123Graph_BIMPORT" hidden="1">'[2]Forecast data'!#REF!</definedName>
    <definedName name="__123Graph_BLBF" hidden="1">'[6]T3 Page 1'!#REF!</definedName>
    <definedName name="__123Graph_BLBFFIN" hidden="1">'[6]FC Page 1'!#REF!</definedName>
    <definedName name="__123Graph_BLCB" hidden="1">'[7]HIS19FIN(A)'!$D$79:$I$79</definedName>
    <definedName name="__123Graph_BMAIN" hidden="1">[5]weekly!#REF!</definedName>
    <definedName name="__123Graph_BMONTHLY" hidden="1">[5]weekly!#REF!</definedName>
    <definedName name="__123Graph_BMONTHLY2" hidden="1">[5]weekly!#REF!</definedName>
    <definedName name="__123Graph_BPDTRENDS" hidden="1">'[8]SUMMARY TABLE'!$T$23:$T$46</definedName>
    <definedName name="__123Graph_BPIC" hidden="1">'[6]T3 Page 1'!#REF!</definedName>
    <definedName name="__123Graph_BTOTAL" hidden="1">'[2]Forecast data'!#REF!</definedName>
    <definedName name="__123Graph_CACT13BUD" hidden="1">'[6]FC Page 1'!#REF!</definedName>
    <definedName name="__123Graph_CCFSINDIV" hidden="1">[3]Data!#REF!</definedName>
    <definedName name="__123Graph_CCFSUK" hidden="1">[3]Data!#REF!</definedName>
    <definedName name="__123Graph_CDUMMY" hidden="1">[5]weekly!#REF!</definedName>
    <definedName name="__123Graph_CEFF" hidden="1">'[6]T3 Page 1'!#REF!</definedName>
    <definedName name="__123Graph_CGR14PBF1" hidden="1">'[7]HIS19FIN(A)'!$AK$70:$AK$81</definedName>
    <definedName name="__123Graph_CLBF" hidden="1">'[6]T3 Page 1'!#REF!</definedName>
    <definedName name="__123Graph_CMONTHLY" hidden="1">[5]weekly!#REF!</definedName>
    <definedName name="__123Graph_CMONTHLY2" hidden="1">[5]weekly!#REF!</definedName>
    <definedName name="__123Graph_CPIC" hidden="1">'[6]T3 Page 1'!#REF!</definedName>
    <definedName name="__123Graph_DACT13BUD" hidden="1">'[6]FC Page 1'!#REF!</definedName>
    <definedName name="__123Graph_DCFSINDIV" hidden="1">[3]Data!#REF!</definedName>
    <definedName name="__123Graph_DCFSUK" hidden="1">[3]Data!#REF!</definedName>
    <definedName name="__123Graph_DEFF" hidden="1">'[6]T3 Page 1'!#REF!</definedName>
    <definedName name="__123Graph_DEFF2" hidden="1">'[6]T3 Page 1'!#REF!</definedName>
    <definedName name="__123Graph_DGR14PBF1" hidden="1">'[7]HIS19FIN(A)'!$AH$70:$AH$81</definedName>
    <definedName name="__123Graph_DLBF" hidden="1">'[6]T3 Page 1'!#REF!</definedName>
    <definedName name="__123Graph_DMONTHLY2" hidden="1">[5]weekly!#REF!</definedName>
    <definedName name="__123Graph_DPIC" hidden="1">'[6]T3 Page 1'!#REF!</definedName>
    <definedName name="__123Graph_EACT13BUD" hidden="1">'[6]FC Page 1'!#REF!</definedName>
    <definedName name="__123Graph_ECFSINDIV" hidden="1">[3]Data!#REF!</definedName>
    <definedName name="__123Graph_ECFSUK" hidden="1">[3]Data!#REF!</definedName>
    <definedName name="__123Graph_EEFF" hidden="1">'[6]T3 Page 1'!#REF!</definedName>
    <definedName name="__123Graph_EEFFHIC" hidden="1">'[6]FC Page 1'!#REF!</definedName>
    <definedName name="__123Graph_EGR14PBF1" hidden="1">'[7]HIS19FIN(A)'!$AG$67:$AG$67</definedName>
    <definedName name="__123Graph_ELBF" hidden="1">'[6]T3 Page 1'!#REF!</definedName>
    <definedName name="__123Graph_EMONTHLY2" hidden="1">[5]weekly!#REF!</definedName>
    <definedName name="__123Graph_EPIC" hidden="1">'[6]T3 Page 1'!#REF!</definedName>
    <definedName name="__123Graph_FACT13BUD" hidden="1">'[6]FC Page 1'!#REF!</definedName>
    <definedName name="__123Graph_FCFSUK" hidden="1">[3]Data!#REF!</definedName>
    <definedName name="__123Graph_FEFF" hidden="1">'[6]T3 Page 1'!#REF!</definedName>
    <definedName name="__123Graph_FEFFHIC" hidden="1">'[6]FC Page 1'!#REF!</definedName>
    <definedName name="__123Graph_FGR14PBF1" hidden="1">'[7]HIS19FIN(A)'!$AH$67:$AH$67</definedName>
    <definedName name="__123Graph_FLBF" hidden="1">'[6]T3 Page 1'!#REF!</definedName>
    <definedName name="__123Graph_FMONTHLY2" hidden="1">[5]weekly!#REF!</definedName>
    <definedName name="__123Graph_FPIC" hidden="1">'[6]T3 Page 1'!#REF!</definedName>
    <definedName name="__123Graph_LBL_ARESID" hidden="1">'[7]HIS19FIN(A)'!$R$3:$W$3</definedName>
    <definedName name="__123Graph_LBL_BRESID" hidden="1">'[7]HIS19FIN(A)'!$R$3:$W$3</definedName>
    <definedName name="__123Graph_X" hidden="1">'[2]Forecast data'!#REF!</definedName>
    <definedName name="__123Graph_XACTHIC" hidden="1">'[6]FC Page 1'!#REF!</definedName>
    <definedName name="__123Graph_XALLTAX" hidden="1">'[2]Forecast data'!#REF!</definedName>
    <definedName name="__123Graph_XCHGSPD1" hidden="1">'[4]CHGSPD19.FIN'!$A$10:$A$25</definedName>
    <definedName name="__123Graph_XCHGSPD2" hidden="1">'[4]CHGSPD19.FIN'!$A$11:$A$25</definedName>
    <definedName name="__123Graph_XEFF" hidden="1">'[6]T3 Page 1'!#REF!</definedName>
    <definedName name="__123Graph_XGR14PBF1" hidden="1">'[7]HIS19FIN(A)'!$AL$70:$AL$81</definedName>
    <definedName name="__123Graph_XHOMEVAT" hidden="1">'[2]Forecast data'!#REF!</definedName>
    <definedName name="__123Graph_XIMPORT" hidden="1">'[2]Forecast data'!#REF!</definedName>
    <definedName name="__123Graph_XLBF" hidden="1">'[6]T3 Page 1'!#REF!</definedName>
    <definedName name="__123Graph_XLBFFIN2" hidden="1">'[7]HIS19FIN(A)'!$K$61:$Q$61</definedName>
    <definedName name="__123Graph_XLBFHIC" hidden="1">'[7]HIS19FIN(A)'!$D$61:$J$61</definedName>
    <definedName name="__123Graph_XLBFHIC2" hidden="1">'[7]HIS19FIN(A)'!$D$61:$J$61</definedName>
    <definedName name="__123Graph_XLCB" hidden="1">'[7]HIS19FIN(A)'!$D$79:$I$79</definedName>
    <definedName name="__123Graph_XMAIN" hidden="1">[5]weekly!#REF!</definedName>
    <definedName name="__123Graph_XMONTHLY" hidden="1">[5]weekly!#REF!</definedName>
    <definedName name="__123Graph_XMONTHLY2" hidden="1">[5]weekly!#REF!</definedName>
    <definedName name="__123Graph_XNACFIN" hidden="1">'[7]HIS19FIN(A)'!$K$95:$Q$95</definedName>
    <definedName name="__123Graph_XNACHIC" hidden="1">'[7]HIS19FIN(A)'!$D$95:$J$95</definedName>
    <definedName name="__123Graph_XPDNUMBERS" hidden="1">'[8]SUMMARY TABLE'!$Q$6:$Q$49</definedName>
    <definedName name="__123Graph_XPDTRENDS" hidden="1">'[8]SUMMARY TABLE'!$P$23:$P$46</definedName>
    <definedName name="__123Graph_XPIC" hidden="1">'[6]T3 Page 1'!#REF!</definedName>
    <definedName name="__123Graph_XSTAG2ALL" hidden="1">'[2]Forecast data'!#REF!</definedName>
    <definedName name="__123Graph_XSTAG2EC" hidden="1">'[2]Forecast data'!#REF!</definedName>
    <definedName name="__123Graph_XTOBREV" hidden="1">'[2]Forecast data'!#REF!</definedName>
    <definedName name="__123Graph_XTOTAL" hidden="1">'[2]Forecast data'!#REF!</definedName>
    <definedName name="_1__123Graph_ACHART_15" hidden="1">[9]USGC!$B$34:$B$53</definedName>
    <definedName name="_10__123Graph_XCHART_15" hidden="1">[9]USGC!$A$34:$A$53</definedName>
    <definedName name="_2__123Graph_BCHART_10" hidden="1">[9]USGC!$L$34:$L$53</definedName>
    <definedName name="_3__123Graph_BCHART_13" hidden="1">[9]USGC!$R$34:$R$53</definedName>
    <definedName name="_4__123Graph_BCHART_15" hidden="1">[9]USGC!$C$34:$C$53</definedName>
    <definedName name="_5__123Graph_CCHART_10" hidden="1">[9]USGC!$F$34:$F$53</definedName>
    <definedName name="_6__123Graph_CCHART_13" hidden="1">[9]USGC!$O$34:$O$53</definedName>
    <definedName name="_7__123Graph_CCHART_15" hidden="1">[9]USGC!$D$34:$D$53</definedName>
    <definedName name="_8__123Graph_XCHART_10" hidden="1">[9]USGC!$A$34:$A$53</definedName>
    <definedName name="_9__123Graph_XCHART_13" hidden="1">[9]USGC!$A$34:$A$53</definedName>
    <definedName name="_AMO_UniqueIdentifier" hidden="1">"'ffa00cf8-6c1d-44ea-bc41-890a9792086d'"</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4</definedName>
    <definedName name="_AtRisk_SimSetting_ReportsList_1" hidden="1">4</definedName>
    <definedName name="_AtRisk_SimSetting_SimName001" hidden="1">"Historical"</definedName>
    <definedName name="_AtRisk_SimSetting_SimName002" hidden="1">"Household projections"</definedName>
    <definedName name="_AtRisk_SimSetting_SimName003" hidden="1">"Local plans"</definedName>
    <definedName name="_AtRisk_SimSetting_SimName004" hidden="1">"Adjusted local plans"</definedName>
    <definedName name="_AtRisk_SimSetting_SimName005" hidden="1">"Manual"</definedName>
    <definedName name="_AtRisk_SimSetting_SimName006" hidden="1">"Min Net Additions"</definedName>
    <definedName name="_AtRisk_SimSetting_SimName007" hidden="1">"Central Net Additions"</definedName>
    <definedName name="_AtRisk_SimSetting_SimName008" hidden="1">"Max Net Additions"</definedName>
    <definedName name="_AtRisk_SimSetting_SimNameCount" hidden="1">8</definedName>
    <definedName name="_AtRisk_SimSetting_SimNameCount_1" hidden="1">8</definedName>
    <definedName name="_AtRisk_SimSetting_SmartSensitivityAnalysisEnabled" hidden="1">TRUE</definedName>
    <definedName name="_AtRisk_SimSetting_StatisticFunctionUpdating" hidden="1">1</definedName>
    <definedName name="_AtRisk_SimSetting_StdRecalcBehavior" hidden="1">1</definedName>
    <definedName name="_AtRisk_SimSetting_StdRecalcBehavior_1" hidden="1">1</definedName>
    <definedName name="_AtRisk_SimSetting_StdRecalcWithoutRiskStatic" hidden="1">0</definedName>
    <definedName name="_AtRisk_SimSetting_StdRecalcWithoutRiskStaticPercentile" hidden="1">0.5</definedName>
    <definedName name="_Fill" hidden="1">'[2]Forecast data'!#REF!</definedName>
    <definedName name="_xlnm._FilterDatabase" localSheetId="15" hidden="1">backsheet!$A$1:$G$2682</definedName>
    <definedName name="_xlnm._FilterDatabase" localSheetId="0" hidden="1">ContactDetails!$AC$309:$AO$736</definedName>
    <definedName name="_xlnm._FilterDatabase" localSheetId="19" hidden="1">'LA Data'!$A$2:$AS$429</definedName>
    <definedName name="_xlnm._FilterDatabase" localSheetId="16" hidden="1">LA_data_prev_year!$A$1:$ON$431</definedName>
    <definedName name="_xlnm._FilterDatabase" localSheetId="14" hidden="1">Memo!$A$34:$L$688</definedName>
    <definedName name="_xlnm._FilterDatabase" localSheetId="17" hidden="1">'Pre-populated reserves'!$A$2:$L$429</definedName>
    <definedName name="_xlnm._FilterDatabase" hidden="1">#REF!</definedName>
    <definedName name="_FilterDatabase1" hidden="1">#REF!</definedName>
    <definedName name="_FliterDatabase2" hidden="1">#REF!</definedName>
    <definedName name="_Key1" hidden="1">#REF!</definedName>
    <definedName name="_Order1" hidden="1">255</definedName>
    <definedName name="_Order2" hidden="1">0</definedName>
    <definedName name="_Regression_Out" hidden="1">#REF!</definedName>
    <definedName name="_Regression_X" hidden="1">#REF!</definedName>
    <definedName name="_Regression_Y" hidden="1">#REF!</definedName>
    <definedName name="_Sort" hidden="1">#REF!</definedName>
    <definedName name="a" hidden="1">{#N/A,#N/A,FALSE,"TMCOMP96";#N/A,#N/A,FALSE,"MAT96";#N/A,#N/A,FALSE,"FANDA96";#N/A,#N/A,FALSE,"INTRAN96";#N/A,#N/A,FALSE,"NAA9697";#N/A,#N/A,FALSE,"ECWEBB";#N/A,#N/A,FALSE,"MFT96";#N/A,#N/A,FALSE,"CTrecon"}</definedName>
    <definedName name="a_1" hidden="1">{#N/A,#N/A,FALSE,"TMCOMP96";#N/A,#N/A,FALSE,"MAT96";#N/A,#N/A,FALSE,"FANDA96";#N/A,#N/A,FALSE,"INTRAN96";#N/A,#N/A,FALSE,"NAA9697";#N/A,#N/A,FALSE,"ECWEBB";#N/A,#N/A,FALSE,"MFT96";#N/A,#N/A,FALSE,"CTrecon"}</definedName>
    <definedName name="a_2"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asdas_1" hidden="1">{#N/A,#N/A,FALSE,"TMCOMP96";#N/A,#N/A,FALSE,"MAT96";#N/A,#N/A,FALSE,"FANDA96";#N/A,#N/A,FALSE,"INTRAN96";#N/A,#N/A,FALSE,"NAA9697";#N/A,#N/A,FALSE,"ECWEBB";#N/A,#N/A,FALSE,"MFT96";#N/A,#N/A,FALSE,"CTrecon"}</definedName>
    <definedName name="asdas_2" hidden="1">{#N/A,#N/A,FALSE,"TMCOMP96";#N/A,#N/A,FALSE,"MAT96";#N/A,#N/A,FALSE,"FANDA96";#N/A,#N/A,FALSE,"INTRAN96";#N/A,#N/A,FALSE,"NAA9697";#N/A,#N/A,FALSE,"ECWEBB";#N/A,#N/A,FALSE,"MFT96";#N/A,#N/A,FALSE,"CTrecon"}</definedName>
    <definedName name="asdas17aug" hidden="1">{#N/A,#N/A,FALSE,"TMCOMP96";#N/A,#N/A,FALSE,"MAT96";#N/A,#N/A,FALSE,"FANDA96";#N/A,#N/A,FALSE,"INTRAN96";#N/A,#N/A,FALSE,"NAA9697";#N/A,#N/A,FALSE,"ECWEBB";#N/A,#N/A,FALSE,"MFT96";#N/A,#N/A,FALSE,"CTrecon"}</definedName>
    <definedName name="asdas17aug_1" hidden="1">{#N/A,#N/A,FALSE,"TMCOMP96";#N/A,#N/A,FALSE,"MAT96";#N/A,#N/A,FALSE,"FANDA96";#N/A,#N/A,FALSE,"INTRAN96";#N/A,#N/A,FALSE,"NAA9697";#N/A,#N/A,FALSE,"ECWEBB";#N/A,#N/A,FALSE,"MFT96";#N/A,#N/A,FALSE,"CTrecon"}</definedName>
    <definedName name="ASDASFD" hidden="1">{#N/A,#N/A,FALSE,"TMCOMP96";#N/A,#N/A,FALSE,"MAT96";#N/A,#N/A,FALSE,"FANDA96";#N/A,#N/A,FALSE,"INTRAN96";#N/A,#N/A,FALSE,"NAA9697";#N/A,#N/A,FALSE,"ECWEBB";#N/A,#N/A,FALSE,"MFT96";#N/A,#N/A,FALSE,"CTrecon"}</definedName>
    <definedName name="ASDASFD_1" hidden="1">{#N/A,#N/A,FALSE,"TMCOMP96";#N/A,#N/A,FALSE,"MAT96";#N/A,#N/A,FALSE,"FANDA96";#N/A,#N/A,FALSE,"INTRAN96";#N/A,#N/A,FALSE,"NAA9697";#N/A,#N/A,FALSE,"ECWEBB";#N/A,#N/A,FALSE,"MFT96";#N/A,#N/A,FALSE,"CTrecon"}</definedName>
    <definedName name="asdasx" hidden="1">{#N/A,#N/A,FALSE,"TMCOMP96";#N/A,#N/A,FALSE,"MAT96";#N/A,#N/A,FALSE,"FANDA96";#N/A,#N/A,FALSE,"INTRAN96";#N/A,#N/A,FALSE,"NAA9697";#N/A,#N/A,FALSE,"ECWEBB";#N/A,#N/A,FALSE,"MFT96";#N/A,#N/A,FALSE,"CTrecon"}</definedName>
    <definedName name="ASDF" hidden="1">{#N/A,#N/A,FALSE,"TMCOMP96";#N/A,#N/A,FALSE,"MAT96";#N/A,#N/A,FALSE,"FANDA96";#N/A,#N/A,FALSE,"INTRAN96";#N/A,#N/A,FALSE,"NAA9697";#N/A,#N/A,FALSE,"ECWEBB";#N/A,#N/A,FALSE,"MFT96";#N/A,#N/A,FALSE,"CTrecon"}</definedName>
    <definedName name="ASDF_1" hidden="1">{#N/A,#N/A,FALSE,"TMCOMP96";#N/A,#N/A,FALSE,"MAT96";#N/A,#N/A,FALSE,"FANDA96";#N/A,#N/A,FALSE,"INTRAN96";#N/A,#N/A,FALSE,"NAA9697";#N/A,#N/A,FALSE,"ECWEBB";#N/A,#N/A,FALSE,"MFT96";#N/A,#N/A,FALSE,"CTrecon"}</definedName>
    <definedName name="ASDFA" hidden="1">{#N/A,#N/A,FALSE,"TMCOMP96";#N/A,#N/A,FALSE,"MAT96";#N/A,#N/A,FALSE,"FANDA96";#N/A,#N/A,FALSE,"INTRAN96";#N/A,#N/A,FALSE,"NAA9697";#N/A,#N/A,FALSE,"ECWEBB";#N/A,#N/A,FALSE,"MFT96";#N/A,#N/A,FALSE,"CTrecon"}</definedName>
    <definedName name="ASDFA_1" hidden="1">{#N/A,#N/A,FALSE,"TMCOMP96";#N/A,#N/A,FALSE,"MAT96";#N/A,#N/A,FALSE,"FANDA96";#N/A,#N/A,FALSE,"INTRAN96";#N/A,#N/A,FALSE,"NAA9697";#N/A,#N/A,FALSE,"ECWEBB";#N/A,#N/A,FALSE,"MFT96";#N/A,#N/A,FALSE,"CTrecon"}</definedName>
    <definedName name="ASFD" hidden="1">{#N/A,#N/A,FALSE,"TMCOMP96";#N/A,#N/A,FALSE,"MAT96";#N/A,#N/A,FALSE,"FANDA96";#N/A,#N/A,FALSE,"INTRAN96";#N/A,#N/A,FALSE,"NAA9697";#N/A,#N/A,FALSE,"ECWEBB";#N/A,#N/A,FALSE,"MFT96";#N/A,#N/A,FALSE,"CTrecon"}</definedName>
    <definedName name="ASFD_1" hidden="1">{#N/A,#N/A,FALSE,"TMCOMP96";#N/A,#N/A,FALSE,"MAT96";#N/A,#N/A,FALSE,"FANDA96";#N/A,#N/A,FALSE,"INTRAN96";#N/A,#N/A,FALSE,"NAA9697";#N/A,#N/A,FALSE,"ECWEBB";#N/A,#N/A,FALSE,"MFT96";#N/A,#N/A,FALSE,"CTrecon"}</definedName>
    <definedName name="b" hidden="1">{#N/A,#N/A,FALSE,"TMCOMP96";#N/A,#N/A,FALSE,"MAT96";#N/A,#N/A,FALSE,"FANDA96";#N/A,#N/A,FALSE,"INTRAN96";#N/A,#N/A,FALSE,"NAA9697";#N/A,#N/A,FALSE,"ECWEBB";#N/A,#N/A,FALSE,"MFT96";#N/A,#N/A,FALSE,"CTrecon"}</definedName>
    <definedName name="b_1" hidden="1">{#N/A,#N/A,FALSE,"TMCOMP96";#N/A,#N/A,FALSE,"MAT96";#N/A,#N/A,FALSE,"FANDA96";#N/A,#N/A,FALSE,"INTRAN96";#N/A,#N/A,FALSE,"NAA9697";#N/A,#N/A,FALSE,"ECWEBB";#N/A,#N/A,FALSE,"MFT96";#N/A,#N/A,FALSE,"CTrecon"}</definedName>
    <definedName name="b_2" hidden="1">{#N/A,#N/A,FALSE,"TMCOMP96";#N/A,#N/A,FALSE,"MAT96";#N/A,#N/A,FALSE,"FANDA96";#N/A,#N/A,FALSE,"INTRAN96";#N/A,#N/A,FALSE,"NAA9697";#N/A,#N/A,FALSE,"ECWEBB";#N/A,#N/A,FALSE,"MFT96";#N/A,#N/A,FALSE,"CTrecon"}</definedName>
    <definedName name="blarg"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2"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2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3"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3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PH1" hidden="1">'[10]4.6 ten year bonds'!$A$4</definedName>
    <definedName name="BLPH2" hidden="1">'[10]4.6 ten year bonds'!$D$4</definedName>
    <definedName name="BLPH3" hidden="1">'[10]4.6 ten year bonds'!$G$4</definedName>
    <definedName name="BLPH4" hidden="1">'[10]4.6 ten year bonds'!$J$4</definedName>
    <definedName name="BLPH5" hidden="1">'[10]4.6 ten year bonds'!$M$4</definedName>
    <definedName name="CIL_list">ContactDetails!$AE$310:$AN$736</definedName>
    <definedName name="CLASS_CHECK" localSheetId="2">RSm!$AZ$392:$BY$409</definedName>
    <definedName name="CLASS_CHECK">RS!$AZ$544:$BY$561</definedName>
    <definedName name="CSP" hidden="1">'[11]Model inputs'!#REF!</definedName>
    <definedName name="CT" hidden="1">'[2]Forecast data'!#REF!</definedName>
    <definedName name="CTNABS" hidden="1">'[1]Model inputs'!#REF!</definedName>
    <definedName name="data_prev_year">LA_data_prev_year!$A$6:$ON$451</definedName>
    <definedName name="data_prev_year_headers">LA_data_prev_year!$A$1:$ON$1</definedName>
    <definedName name="data_val_parameters">'Validation Parameters'!$A$1:$L$396</definedName>
    <definedName name="dfg" hidden="1">{#N/A,#N/A,FALSE,"TMCOMP96";#N/A,#N/A,FALSE,"MAT96";#N/A,#N/A,FALSE,"FANDA96";#N/A,#N/A,FALSE,"INTRAN96";#N/A,#N/A,FALSE,"NAA9697";#N/A,#N/A,FALSE,"ECWEBB";#N/A,#N/A,FALSE,"MFT96";#N/A,#N/A,FALSE,"CTrecon"}</definedName>
    <definedName name="dfgae" hidden="1">{#N/A,#N/A,FALSE,"TMCOMP96";#N/A,#N/A,FALSE,"MAT96";#N/A,#N/A,FALSE,"FANDA96";#N/A,#N/A,FALSE,"INTRAN96";#N/A,#N/A,FALSE,"NAA9697";#N/A,#N/A,FALSE,"ECWEBB";#N/A,#N/A,FALSE,"MFT96";#N/A,#N/A,FALSE,"CTrecon"}</definedName>
    <definedName name="dfrgfdgs"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gsgf_1" hidden="1">{#N/A,#N/A,FALSE,"TMCOMP96";#N/A,#N/A,FALSE,"MAT96";#N/A,#N/A,FALSE,"FANDA96";#N/A,#N/A,FALSE,"INTRAN96";#N/A,#N/A,FALSE,"NAA9697";#N/A,#N/A,FALSE,"ECWEBB";#N/A,#N/A,FALSE,"MFT96";#N/A,#N/A,FALSE,"CTrecon"}</definedName>
    <definedName name="dgsgf_2" hidden="1">{#N/A,#N/A,FALSE,"TMCOMP96";#N/A,#N/A,FALSE,"MAT96";#N/A,#N/A,FALSE,"FANDA96";#N/A,#N/A,FALSE,"INTRAN96";#N/A,#N/A,FALSE,"NAA9697";#N/A,#N/A,FALSE,"ECWEBB";#N/A,#N/A,FALSE,"MFT96";#N/A,#N/A,FALSE,"CTrecon"}</definedName>
    <definedName name="dgsgf2" hidden="1">{#N/A,#N/A,FALSE,"TMCOMP96";#N/A,#N/A,FALSE,"MAT96";#N/A,#N/A,FALSE,"FANDA96";#N/A,#N/A,FALSE,"INTRAN96";#N/A,#N/A,FALSE,"NAA9697";#N/A,#N/A,FALSE,"ECWEBB";#N/A,#N/A,FALSE,"MFT96";#N/A,#N/A,FALSE,"CTrecon"}</definedName>
    <definedName name="Distribution" hidden="1">#REF!</definedName>
    <definedName name="dsfgdfg" hidden="1">{#N/A,#N/A,FALSE,"TMCOMP96";#N/A,#N/A,FALSE,"MAT96";#N/A,#N/A,FALSE,"FANDA96";#N/A,#N/A,FALSE,"INTRAN96";#N/A,#N/A,FALSE,"NAA9697";#N/A,#N/A,FALSE,"ECWEBB";#N/A,#N/A,FALSE,"MFT96";#N/A,#N/A,FALSE,"CTrecon"}</definedName>
    <definedName name="dsfgdsfgfdsg" hidden="1">{#N/A,#N/A,FALSE,"TMCOMP96";#N/A,#N/A,FALSE,"MAT96";#N/A,#N/A,FALSE,"FANDA96";#N/A,#N/A,FALSE,"INTRAN96";#N/A,#N/A,FALSE,"NAA9697";#N/A,#N/A,FALSE,"ECWEBB";#N/A,#N/A,FALSE,"MFT96";#N/A,#N/A,FALSE,"CTrecon"}</definedName>
    <definedName name="dsfgdsg" hidden="1">{#N/A,#N/A,FALSE,"TMCOMP96";#N/A,#N/A,FALSE,"MAT96";#N/A,#N/A,FALSE,"FANDA96";#N/A,#N/A,FALSE,"INTRAN96";#N/A,#N/A,FALSE,"NAA9697";#N/A,#N/A,FALSE,"ECWEBB";#N/A,#N/A,FALSE,"MFT96";#N/A,#N/A,FALSE,"CTrecon"}</definedName>
    <definedName name="EFO" hidden="1">'[2]Forecast data'!#REF!</definedName>
    <definedName name="eh" hidden="1">{"'Trust by name'!$A$6:$E$350","'Trust by name'!$A$1:$D$348"}</definedName>
    <definedName name="eh_1" hidden="1">{"'Trust by name'!$A$6:$E$350","'Trust by name'!$A$1:$D$348"}</definedName>
    <definedName name="ExtraProfiles" hidden="1">#REF!</definedName>
    <definedName name="ExtraProfiless" hidden="1">#REF!</definedName>
    <definedName name="FDDD" hidden="1">{#N/A,#N/A,FALSE,"TMCOMP96";#N/A,#N/A,FALSE,"MAT96";#N/A,#N/A,FALSE,"FANDA96";#N/A,#N/A,FALSE,"INTRAN96";#N/A,#N/A,FALSE,"NAA9697";#N/A,#N/A,FALSE,"ECWEBB";#N/A,#N/A,FALSE,"MFT96";#N/A,#N/A,FALSE,"CTrecon"}</definedName>
    <definedName name="FDDD_1" hidden="1">{#N/A,#N/A,FALSE,"TMCOMP96";#N/A,#N/A,FALSE,"MAT96";#N/A,#N/A,FALSE,"FANDA96";#N/A,#N/A,FALSE,"INTRAN96";#N/A,#N/A,FALSE,"NAA9697";#N/A,#N/A,FALSE,"ECWEBB";#N/A,#N/A,FALSE,"MFT96";#N/A,#N/A,FALSE,"CTrecon"}</definedName>
    <definedName name="fdgfgfd" hidden="1">{#N/A,#N/A,FALSE,"TMCOMP96";#N/A,#N/A,FALSE,"MAT96";#N/A,#N/A,FALSE,"FANDA96";#N/A,#N/A,FALSE,"INTRAN96";#N/A,#N/A,FALSE,"NAA9697";#N/A,#N/A,FALSE,"ECWEBB";#N/A,#N/A,FALSE,"MFT96";#N/A,#N/A,FALSE,"CTrecon"}</definedName>
    <definedName name="fdsgfdg" hidden="1">#REF!</definedName>
    <definedName name="fg" hidden="1">{#N/A,#N/A,FALSE,"TMCOMP96";#N/A,#N/A,FALSE,"MAT96";#N/A,#N/A,FALSE,"FANDA96";#N/A,#N/A,FALSE,"INTRAN96";#N/A,#N/A,FALSE,"NAA9697";#N/A,#N/A,FALSE,"ECWEBB";#N/A,#N/A,FALSE,"MFT96";#N/A,#N/A,FALSE,"CTrecon"}</definedName>
    <definedName name="fg_1" hidden="1">{#N/A,#N/A,FALSE,"TMCOMP96";#N/A,#N/A,FALSE,"MAT96";#N/A,#N/A,FALSE,"FANDA96";#N/A,#N/A,FALSE,"INTRAN96";#N/A,#N/A,FALSE,"NAA9697";#N/A,#N/A,FALSE,"ECWEBB";#N/A,#N/A,FALSE,"MFT96";#N/A,#N/A,FALSE,"CTrecon"}</definedName>
    <definedName name="fg_2" hidden="1">{#N/A,#N/A,FALSE,"TMCOMP96";#N/A,#N/A,FALSE,"MAT96";#N/A,#N/A,FALSE,"FANDA96";#N/A,#N/A,FALSE,"INTRAN96";#N/A,#N/A,FALSE,"NAA9697";#N/A,#N/A,FALSE,"ECWEBB";#N/A,#N/A,FALSE,"MFT96";#N/A,#N/A,FALSE,"CTrecon"}</definedName>
    <definedName name="fgdd"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gfd_1" hidden="1">{#N/A,#N/A,FALSE,"TMCOMP96";#N/A,#N/A,FALSE,"MAT96";#N/A,#N/A,FALSE,"FANDA96";#N/A,#N/A,FALSE,"INTRAN96";#N/A,#N/A,FALSE,"NAA9697";#N/A,#N/A,FALSE,"ECWEBB";#N/A,#N/A,FALSE,"MFT96";#N/A,#N/A,FALSE,"CTrecon"}</definedName>
    <definedName name="fgfd_2" hidden="1">{#N/A,#N/A,FALSE,"TMCOMP96";#N/A,#N/A,FALSE,"MAT96";#N/A,#N/A,FALSE,"FANDA96";#N/A,#N/A,FALSE,"INTRAN96";#N/A,#N/A,FALSE,"NAA9697";#N/A,#N/A,FALSE,"ECWEBB";#N/A,#N/A,FALSE,"MFT96";#N/A,#N/A,FALSE,"CTrecon"}</definedName>
    <definedName name="fgg" hidden="1">{#N/A,#N/A,FALSE,"TMCOMP96";#N/A,#N/A,FALSE,"MAT96";#N/A,#N/A,FALSE,"FANDA96";#N/A,#N/A,FALSE,"INTRAN96";#N/A,#N/A,FALSE,"NAA9697";#N/A,#N/A,FALSE,"ECWEBB";#N/A,#N/A,FALSE,"MFT96";#N/A,#N/A,FALSE,"CTrecon"}</definedName>
    <definedName name="fghfgh" hidden="1">{#N/A,#N/A,FALSE,"TMCOMP96";#N/A,#N/A,FALSE,"MAT96";#N/A,#N/A,FALSE,"FANDA96";#N/A,#N/A,FALSE,"INTRAN96";#N/A,#N/A,FALSE,"NAA9697";#N/A,#N/A,FALSE,"ECWEBB";#N/A,#N/A,FALSE,"MFT96";#N/A,#N/A,FALSE,"CTrecon"}</definedName>
    <definedName name="fghfgh_1" hidden="1">{#N/A,#N/A,FALSE,"TMCOMP96";#N/A,#N/A,FALSE,"MAT96";#N/A,#N/A,FALSE,"FANDA96";#N/A,#N/A,FALSE,"INTRAN96";#N/A,#N/A,FALSE,"NAA9697";#N/A,#N/A,FALSE,"ECWEBB";#N/A,#N/A,FALSE,"MFT96";#N/A,#N/A,FALSE,"CTrecon"}</definedName>
    <definedName name="FiDb2" hidden="1">#REF!</definedName>
    <definedName name="fyear">ContactDetails!$A$2</definedName>
    <definedName name="fyu" hidden="1">'[2]Forecast data'!#REF!</definedName>
    <definedName name="ghj" hidden="1">{#N/A,#N/A,FALSE,"TMCOMP96";#N/A,#N/A,FALSE,"MAT96";#N/A,#N/A,FALSE,"FANDA96";#N/A,#N/A,FALSE,"INTRAN96";#N/A,#N/A,FALSE,"NAA9697";#N/A,#N/A,FALSE,"ECWEBB";#N/A,#N/A,FALSE,"MFT96";#N/A,#N/A,FALSE,"CTrecon"}</definedName>
    <definedName name="ghj_1" hidden="1">{#N/A,#N/A,FALSE,"TMCOMP96";#N/A,#N/A,FALSE,"MAT96";#N/A,#N/A,FALSE,"FANDA96";#N/A,#N/A,FALSE,"INTRAN96";#N/A,#N/A,FALSE,"NAA9697";#N/A,#N/A,FALSE,"ECWEBB";#N/A,#N/A,FALSE,"MFT96";#N/A,#N/A,FALSE,"CTrecon"}</definedName>
    <definedName name="ghj_2" hidden="1">{#N/A,#N/A,FALSE,"TMCOMP96";#N/A,#N/A,FALSE,"MAT96";#N/A,#N/A,FALSE,"FANDA96";#N/A,#N/A,FALSE,"INTRAN96";#N/A,#N/A,FALSE,"NAA9697";#N/A,#N/A,FALSE,"ECWEBB";#N/A,#N/A,FALSE,"MFT96";#N/A,#N/A,FALSE,"CTrecon"}</definedName>
    <definedName name="hjkhkhk" hidden="1">#REF!</definedName>
    <definedName name="HTML_CodePage" hidden="1">1252</definedName>
    <definedName name="HTML_Control" hidden="1">{"'Trust by name'!$A$6:$E$350","'Trust by name'!$A$1:$D$348"}</definedName>
    <definedName name="HTML_Control_1"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imf" hidden="1">#REF!</definedName>
    <definedName name="Impact_Tables_2" hidden="1">'[12]Forecast data'!#REF!</definedName>
    <definedName name="Import_AuditData">#REF!</definedName>
    <definedName name="Import_FormData">#REF!</definedName>
    <definedName name="Import_NotesData">#REF!</definedName>
    <definedName name="Import_ValidationData">#REF!</definedName>
    <definedName name="jhkgh" hidden="1">{#N/A,#N/A,FALSE,"TMCOMP96";#N/A,#N/A,FALSE,"MAT96";#N/A,#N/A,FALSE,"FANDA96";#N/A,#N/A,FALSE,"INTRAN96";#N/A,#N/A,FALSE,"NAA9697";#N/A,#N/A,FALSE,"ECWEBB";#N/A,#N/A,FALSE,"MFT96";#N/A,#N/A,FALSE,"CTrecon"}</definedName>
    <definedName name="jhkgh_1" hidden="1">{#N/A,#N/A,FALSE,"TMCOMP96";#N/A,#N/A,FALSE,"MAT96";#N/A,#N/A,FALSE,"FANDA96";#N/A,#N/A,FALSE,"INTRAN96";#N/A,#N/A,FALSE,"NAA9697";#N/A,#N/A,FALSE,"ECWEBB";#N/A,#N/A,FALSE,"MFT96";#N/A,#N/A,FALSE,"CTrecon"}</definedName>
    <definedName name="jhkgh_2"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jhkgh2_1" hidden="1">{#N/A,#N/A,FALSE,"TMCOMP96";#N/A,#N/A,FALSE,"MAT96";#N/A,#N/A,FALSE,"FANDA96";#N/A,#N/A,FALSE,"INTRAN96";#N/A,#N/A,FALSE,"NAA9697";#N/A,#N/A,FALSE,"ECWEBB";#N/A,#N/A,FALSE,"MFT96";#N/A,#N/A,FALSE,"CTrecon"}</definedName>
    <definedName name="jhkgh2_2" hidden="1">{#N/A,#N/A,FALSE,"TMCOMP96";#N/A,#N/A,FALSE,"MAT96";#N/A,#N/A,FALSE,"FANDA96";#N/A,#N/A,FALSE,"INTRAN96";#N/A,#N/A,FALSE,"NAA9697";#N/A,#N/A,FALSE,"ECWEBB";#N/A,#N/A,FALSE,"MFT96";#N/A,#N/A,FALSE,"CTrecon"}</definedName>
    <definedName name="LA_code">ContactDetails!$C$25</definedName>
    <definedName name="la_contact_Date_Cert">ContactDetails!$C$79</definedName>
    <definedName name="la_contact_email">ContactDetails!$C$49</definedName>
    <definedName name="la_contact_email_cfo">ContactDetails!$C$69</definedName>
    <definedName name="la_contact_email_S151">ContactDetails!$C$57</definedName>
    <definedName name="la_contact_name">ContactDetails!$C$45</definedName>
    <definedName name="la_contact_name_Cert">ContactDetails!$C$75</definedName>
    <definedName name="la_contact_name_cfo">ContactDetails!$C$65</definedName>
    <definedName name="la_contact_name_S151">ContactDetails!$C$53</definedName>
    <definedName name="la_contact_Other_Cert">ContactDetails!$C$78</definedName>
    <definedName name="la_contact_phone">ContactDetails!$C$47</definedName>
    <definedName name="la_contact_phone_cfo">ContactDetails!$C$67</definedName>
    <definedName name="la_contact_phone_S151">ContactDetails!$C$55</definedName>
    <definedName name="la_contact_Role_Cert">ContactDetails!$C$77</definedName>
    <definedName name="la_contact_Sig_Cert">ContactDetails!$C$76</definedName>
    <definedName name="LA_Data">'LA Data'!$A$4:$BA$429</definedName>
    <definedName name="LA_list">ContactDetails!$AC$310:$AM$736</definedName>
    <definedName name="LA_name">ContactDetails!$C$21</definedName>
    <definedName name="LA_names">ContactDetails!$AC$310:$AC$736</definedName>
    <definedName name="LCTS_list">ContactDetails!$AE$310:$AM$736</definedName>
    <definedName name="MHCLG_CONTROL">backsheet!$A$1:$G$2682</definedName>
    <definedName name="n" hidden="1">{#N/A,#N/A,FALSE,"TMCOMP96";#N/A,#N/A,FALSE,"MAT96";#N/A,#N/A,FALSE,"FANDA96";#N/A,#N/A,FALSE,"INTRAN96";#N/A,#N/A,FALSE,"NAA9697";#N/A,#N/A,FALSE,"ECWEBB";#N/A,#N/A,FALSE,"MFT96";#N/A,#N/A,FALSE,"CTrecon"}</definedName>
    <definedName name="n_1" hidden="1">{#N/A,#N/A,FALSE,"TMCOMP96";#N/A,#N/A,FALSE,"MAT96";#N/A,#N/A,FALSE,"FANDA96";#N/A,#N/A,FALSE,"INTRAN96";#N/A,#N/A,FALSE,"NAA9697";#N/A,#N/A,FALSE,"ECWEBB";#N/A,#N/A,FALSE,"MFT96";#N/A,#N/A,FALSE,"CTrecon"}</definedName>
    <definedName name="name" hidden="1">{#N/A,#N/A,FALSE,"TMCOMP96";#N/A,#N/A,FALSE,"MAT96";#N/A,#N/A,FALSE,"FANDA96";#N/A,#N/A,FALSE,"INTRAN96";#N/A,#N/A,FALSE,"NAA9697";#N/A,#N/A,FALSE,"ECWEBB";#N/A,#N/A,FALSE,"MFT96";#N/A,#N/A,FALSE,"CTrecon"}</definedName>
    <definedName name="name_1" hidden="1">{#N/A,#N/A,FALSE,"TMCOMP96";#N/A,#N/A,FALSE,"MAT96";#N/A,#N/A,FALSE,"FANDA96";#N/A,#N/A,FALSE,"INTRAN96";#N/A,#N/A,FALSE,"NAA9697";#N/A,#N/A,FALSE,"ECWEBB";#N/A,#N/A,FALSE,"MFT96";#N/A,#N/A,FALSE,"CTrecon"}</definedName>
    <definedName name="new" hidden="1">{#N/A,#N/A,FALSE,"TMCOMP96";#N/A,#N/A,FALSE,"MAT96";#N/A,#N/A,FALSE,"FANDA96";#N/A,#N/A,FALSE,"INTRAN96";#N/A,#N/A,FALSE,"NAA9697";#N/A,#N/A,FALSE,"ECWEBB";#N/A,#N/A,FALSE,"MFT96";#N/A,#N/A,FALSE,"CTrecon"}</definedName>
    <definedName name="NewClass1" hidden="1">#REF!</definedName>
    <definedName name="NOCONFLICT" hidden="1">{#N/A,#N/A,FALSE,"TMCOMP96";#N/A,#N/A,FALSE,"MAT96";#N/A,#N/A,FALSE,"FANDA96";#N/A,#N/A,FALSE,"INTRAN96";#N/A,#N/A,FALSE,"NAA9697";#N/A,#N/A,FALSE,"ECWEBB";#N/A,#N/A,FALSE,"MFT96";#N/A,#N/A,FALSE,"CTrecon"}</definedName>
    <definedName name="NOCONFLICT_1" hidden="1">{#N/A,#N/A,FALSE,"TMCOMP96";#N/A,#N/A,FALSE,"MAT96";#N/A,#N/A,FALSE,"FANDA96";#N/A,#N/A,FALSE,"INTRAN96";#N/A,#N/A,FALSE,"NAA9697";#N/A,#N/A,FALSE,"ECWEBB";#N/A,#N/A,FALSE,"MFT96";#N/A,#N/A,FALSE,"CTrecon"}</definedName>
    <definedName name="notes_RG">Memo!$A$167:$D$288</definedName>
    <definedName name="notes_RO1">Memo!$A$289:$D$296</definedName>
    <definedName name="notes_RO2">Memo!$A$297:$D$332</definedName>
    <definedName name="notes_RO3">Memo!$A$333:$D$402</definedName>
    <definedName name="notes_RO4">Memo!$A$403:$D$449</definedName>
    <definedName name="notes_RO5">Memo!$A$450:$D$507</definedName>
    <definedName name="notes_RO6">Memo!$A$508:$D$564</definedName>
    <definedName name="notes_rs">Memo!$A$35:$D$152</definedName>
    <definedName name="notes_rsx">Memo!$A$153:$D$166</definedName>
    <definedName name="notes_SAR">Memo!$A$627:$D$643</definedName>
    <definedName name="notes_SARB">Memo!$A$644:$K$684</definedName>
    <definedName name="notes_SARC">Memo!$A$685:$K$688</definedName>
    <definedName name="notes_TSR">Memo!$A$565:$D$626</definedName>
    <definedName name="Option2" hidden="1">{#N/A,#N/A,FALSE,"TMCOMP96";#N/A,#N/A,FALSE,"MAT96";#N/A,#N/A,FALSE,"FANDA96";#N/A,#N/A,FALSE,"INTRAN96";#N/A,#N/A,FALSE,"NAA9697";#N/A,#N/A,FALSE,"ECWEBB";#N/A,#N/A,FALSE,"MFT96";#N/A,#N/A,FALSE,"CTrecon"}</definedName>
    <definedName name="Option2_1" hidden="1">{#N/A,#N/A,FALSE,"TMCOMP96";#N/A,#N/A,FALSE,"MAT96";#N/A,#N/A,FALSE,"FANDA96";#N/A,#N/A,FALSE,"INTRAN96";#N/A,#N/A,FALSE,"NAA9697";#N/A,#N/A,FALSE,"ECWEBB";#N/A,#N/A,FALSE,"MFT96";#N/A,#N/A,FALSE,"CTrecon"}</definedName>
    <definedName name="Option2_2" hidden="1">{#N/A,#N/A,FALSE,"TMCOMP96";#N/A,#N/A,FALSE,"MAT96";#N/A,#N/A,FALSE,"FANDA96";#N/A,#N/A,FALSE,"INTRAN96";#N/A,#N/A,FALSE,"NAA9697";#N/A,#N/A,FALSE,"ECWEBB";#N/A,#N/A,FALSE,"MFT96";#N/A,#N/A,FALSE,"CTrecon"}</definedName>
    <definedName name="Pal_Workbook_GUID" hidden="1">"N7IQZZD5YBE28RGZHB5UQVKH"</definedName>
    <definedName name="Pal_Workbook_GUID_1" hidden="1">"N7IQZZD5YBE28RGZHB5UQVKH"</definedName>
    <definedName name="Pop" hidden="1">[13]Population!#REF!</definedName>
    <definedName name="Population" hidden="1">#REF!</definedName>
    <definedName name="pp" hidden="1">'[6]T3 Page 1'!#REF!</definedName>
    <definedName name="_xlnm.Print_Area" localSheetId="0">ContactDetails!$A$1:$N$50</definedName>
    <definedName name="_xlnm.Print_Area" localSheetId="14">Memo!$B$2:ABW$692</definedName>
    <definedName name="_xlnm.Print_Area" localSheetId="4">RG!$A$1:$N$187</definedName>
    <definedName name="_xlnm.Print_Area" localSheetId="5">'RO1'!$A$1:$N$43</definedName>
    <definedName name="_xlnm.Print_Area" localSheetId="6">'RO2'!$A$1:$N$98</definedName>
    <definedName name="_xlnm.Print_Area" localSheetId="7">'RO3'!$A$1:$N$136</definedName>
    <definedName name="_xlnm.Print_Area" localSheetId="8">'RO4'!$A$1:$N$108</definedName>
    <definedName name="_xlnm.Print_Area" localSheetId="9">'RO5'!$A$1:$N$133</definedName>
    <definedName name="_xlnm.Print_Area" localSheetId="10">'RO6'!$A$1:$N$130</definedName>
    <definedName name="_xlnm.Print_Area" localSheetId="1">RS!$A$1:$N$192</definedName>
    <definedName name="_xlnm.Print_Area" localSheetId="2">RSm!$A$1:$N$27</definedName>
    <definedName name="_xlnm.Print_Area" localSheetId="3">RSX!$A$1:$N$46</definedName>
    <definedName name="_xlnm.Print_Area" localSheetId="12">SAR!$A$1:$K$62</definedName>
    <definedName name="_xlnm.Print_Area" localSheetId="11">TSR!$A$1:$Q$112</definedName>
    <definedName name="_xlnm.Print_Titles" localSheetId="4">RG!$21:$26</definedName>
    <definedName name="_xlnm.Print_Titles" localSheetId="6">'RO2'!$20:$29</definedName>
    <definedName name="_xlnm.Print_Titles" localSheetId="8">'RO4'!$20:$29</definedName>
    <definedName name="_xlnm.Print_Titles" localSheetId="9">'RO5'!$20:$28</definedName>
    <definedName name="_xlnm.Print_Titles" localSheetId="10">'RO6'!$20:$28</definedName>
    <definedName name="_xlnm.Print_Titles" localSheetId="1">RS!$20:$28</definedName>
    <definedName name="_xlnm.Print_Titles" localSheetId="2">RSm!$20:$24</definedName>
    <definedName name="_xlnm.Print_Titles" localSheetId="11">TSR!$20:$28</definedName>
    <definedName name="Prodtest" hidden="1">'[6]T3 Page 1'!#REF!</definedName>
    <definedName name="Profiles" hidden="1">#REF!</definedName>
    <definedName name="Projections" hidden="1">#REF!</definedName>
    <definedName name="Results" hidden="1">[14]UK99!$A$1:$A$1</definedName>
    <definedName name="return_date">ContactDetails!$A$12</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localSheetId="2" hidden="1">_xll.RiskCellHasTokens(262144+512+524288)</definedName>
    <definedName name="RiskIsInput" hidden="1">_xll.RiskCellHasTokens(262144+512+524288)</definedName>
    <definedName name="RiskIsOutput" localSheetId="2" hidden="1">_xll.RiskCellHasTokens(1024)</definedName>
    <definedName name="RiskIsOutput" hidden="1">_xll.RiskCellHasTokens(1024)</definedName>
    <definedName name="RiskIsStatistics" localSheetId="2" hidden="1">_xll.RiskCellHasTokens(4096+32768+65536)</definedName>
    <definedName name="RiskIsStatistics" hidden="1">_xll.RiskCellHasTokens(4096+32768+65536)</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8</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df" hidden="1">{#N/A,#N/A,FALSE,"TMCOMP96";#N/A,#N/A,FALSE,"MAT96";#N/A,#N/A,FALSE,"FANDA96";#N/A,#N/A,FALSE,"INTRAN96";#N/A,#N/A,FALSE,"NAA9697";#N/A,#N/A,FALSE,"ECWEBB";#N/A,#N/A,FALSE,"MFT96";#N/A,#N/A,FALSE,"CTrecon"}</definedName>
    <definedName name="sdf_1" hidden="1">{#N/A,#N/A,FALSE,"TMCOMP96";#N/A,#N/A,FALSE,"MAT96";#N/A,#N/A,FALSE,"FANDA96";#N/A,#N/A,FALSE,"INTRAN96";#N/A,#N/A,FALSE,"NAA9697";#N/A,#N/A,FALSE,"ECWEBB";#N/A,#N/A,FALSE,"MFT96";#N/A,#N/A,FALSE,"CTrecon"}</definedName>
    <definedName name="sdf_2"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dff_1" hidden="1">{#N/A,#N/A,FALSE,"TMCOMP96";#N/A,#N/A,FALSE,"MAT96";#N/A,#N/A,FALSE,"FANDA96";#N/A,#N/A,FALSE,"INTRAN96";#N/A,#N/A,FALSE,"NAA9697";#N/A,#N/A,FALSE,"ECWEBB";#N/A,#N/A,FALSE,"MFT96";#N/A,#N/A,FALSE,"CTrecon"}</definedName>
    <definedName name="sdff_2" hidden="1">{#N/A,#N/A,FALSE,"TMCOMP96";#N/A,#N/A,FALSE,"MAT96";#N/A,#N/A,FALSE,"FANDA96";#N/A,#N/A,FALSE,"INTRAN96";#N/A,#N/A,FALSE,"NAA9697";#N/A,#N/A,FALSE,"ECWEBB";#N/A,#N/A,FALSE,"MFT96";#N/A,#N/A,FALSE,"CTrecon"}</definedName>
    <definedName name="sdfg" hidden="1">{#N/A,#N/A,FALSE,"TMCOMP96";#N/A,#N/A,FALSE,"MAT96";#N/A,#N/A,FALSE,"FANDA96";#N/A,#N/A,FALSE,"INTRAN96";#N/A,#N/A,FALSE,"NAA9697";#N/A,#N/A,FALSE,"ECWEBB";#N/A,#N/A,FALSE,"MFT96";#N/A,#N/A,FALSE,"CTrecon"}</definedName>
    <definedName name="sdfgd" hidden="1">#REF!</definedName>
    <definedName name="sdfgdfg" hidden="1">{#N/A,#N/A,FALSE,"TMCOMP96";#N/A,#N/A,FALSE,"MAT96";#N/A,#N/A,FALSE,"FANDA96";#N/A,#N/A,FALSE,"INTRAN96";#N/A,#N/A,FALSE,"NAA9697";#N/A,#N/A,FALSE,"ECWEBB";#N/A,#N/A,FALSE,"MFT96";#N/A,#N/A,FALSE,"CTrecon"}</definedName>
    <definedName name="sdfgds" hidden="1">{#N/A,#N/A,FALSE,"TMCOMP96";#N/A,#N/A,FALSE,"MAT96";#N/A,#N/A,FALSE,"FANDA96";#N/A,#N/A,FALSE,"INTRAN96";#N/A,#N/A,FALSE,"NAA9697";#N/A,#N/A,FALSE,"ECWEBB";#N/A,#N/A,FALSE,"MFT96";#N/A,#N/A,FALSE,"CTrecon"}</definedName>
    <definedName name="sdfgfdg" hidden="1">#REF!</definedName>
    <definedName name="sdgshdg"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fad_1" hidden="1">{#N/A,#N/A,FALSE,"TMCOMP96";#N/A,#N/A,FALSE,"MAT96";#N/A,#N/A,FALSE,"FANDA96";#N/A,#N/A,FALSE,"INTRAN96";#N/A,#N/A,FALSE,"NAA9697";#N/A,#N/A,FALSE,"ECWEBB";#N/A,#N/A,FALSE,"MFT96";#N/A,#N/A,FALSE,"CTrecon"}</definedName>
    <definedName name="sfad_2" hidden="1">{#N/A,#N/A,FALSE,"TMCOMP96";#N/A,#N/A,FALSE,"MAT96";#N/A,#N/A,FALSE,"FANDA96";#N/A,#N/A,FALSE,"INTRAN96";#N/A,#N/A,FALSE,"NAA9697";#N/A,#N/A,FALSE,"ECWEBB";#N/A,#N/A,FALSE,"MFT96";#N/A,#N/A,FALSE,"CTrecon"}</definedName>
    <definedName name="sssss" hidden="1">{#N/A,#N/A,FALSE,"TMCOMP96";#N/A,#N/A,FALSE,"MAT96";#N/A,#N/A,FALSE,"FANDA96";#N/A,#N/A,FALSE,"INTRAN96";#N/A,#N/A,FALSE,"NAA9697";#N/A,#N/A,FALSE,"ECWEBB";#N/A,#N/A,FALSE,"MFT96";#N/A,#N/A,FALSE,"CTrecon"}</definedName>
    <definedName name="T4.9i" hidden="1">{#N/A,#N/A,FALSE,"TMCOMP96";#N/A,#N/A,FALSE,"MAT96";#N/A,#N/A,FALSE,"FANDA96";#N/A,#N/A,FALSE,"INTRAN96";#N/A,#N/A,FALSE,"NAA9697";#N/A,#N/A,FALSE,"ECWEBB";#N/A,#N/A,FALSE,"MFT96";#N/A,#N/A,FALSE,"CTrecon"}</definedName>
    <definedName name="T4.9i_1" hidden="1">{#N/A,#N/A,FALSE,"TMCOMP96";#N/A,#N/A,FALSE,"MAT96";#N/A,#N/A,FALSE,"FANDA96";#N/A,#N/A,FALSE,"INTRAN96";#N/A,#N/A,FALSE,"NAA9697";#N/A,#N/A,FALSE,"ECWEBB";#N/A,#N/A,FALSE,"MFT96";#N/A,#N/A,FALSE,"CTrecon"}</definedName>
    <definedName name="T4.9j" hidden="1">{#N/A,#N/A,FALSE,"TMCOMP96";#N/A,#N/A,FALSE,"MAT96";#N/A,#N/A,FALSE,"FANDA96";#N/A,#N/A,FALSE,"INTRAN96";#N/A,#N/A,FALSE,"NAA9697";#N/A,#N/A,FALSE,"ECWEBB";#N/A,#N/A,FALSE,"MFT96";#N/A,#N/A,FALSE,"CTrecon"}</definedName>
    <definedName name="T4.9j_1" hidden="1">{#N/A,#N/A,FALSE,"TMCOMP96";#N/A,#N/A,FALSE,"MAT96";#N/A,#N/A,FALSE,"FANDA96";#N/A,#N/A,FALSE,"INTRAN96";#N/A,#N/A,FALSE,"NAA9697";#N/A,#N/A,FALSE,"ECWEBB";#N/A,#N/A,FALSE,"MFT96";#N/A,#N/A,FALSE,"CTrecon"}</definedName>
    <definedName name="temp"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2"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2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rggh" hidden="1">{#N/A,#N/A,FALSE,"TMCOMP96";#N/A,#N/A,FALSE,"MAT96";#N/A,#N/A,FALSE,"FANDA96";#N/A,#N/A,FALSE,"INTRAN96";#N/A,#N/A,FALSE,"NAA9697";#N/A,#N/A,FALSE,"ECWEBB";#N/A,#N/A,FALSE,"MFT96";#N/A,#N/A,FALSE,"CTrecon"}</definedName>
    <definedName name="trggh_1" hidden="1">{#N/A,#N/A,FALSE,"TMCOMP96";#N/A,#N/A,FALSE,"MAT96";#N/A,#N/A,FALSE,"FANDA96";#N/A,#N/A,FALSE,"INTRAN96";#N/A,#N/A,FALSE,"NAA9697";#N/A,#N/A,FALSE,"ECWEBB";#N/A,#N/A,FALSE,"MFT96";#N/A,#N/A,FALSE,"CTrecon"}</definedName>
    <definedName name="trggh_2" hidden="1">{#N/A,#N/A,FALSE,"TMCOMP96";#N/A,#N/A,FALSE,"MAT96";#N/A,#N/A,FALSE,"FANDA96";#N/A,#N/A,FALSE,"INTRAN96";#N/A,#N/A,FALSE,"NAA9697";#N/A,#N/A,FALSE,"ECWEBB";#N/A,#N/A,FALSE,"MFT96";#N/A,#N/A,FALSE,"CTrecon"}</definedName>
    <definedName name="Unused" hidden="1">'[15]SUMMARY TABLE'!$S$23:$S$46</definedName>
    <definedName name="Unused4" hidden="1">'[15]SUMMARY TABLE'!$T$23:$T$46</definedName>
    <definedName name="Unused5" hidden="1">'[15]SUMMARY TABLE'!$P$23:$P$46</definedName>
    <definedName name="Unused7" hidden="1">'[15]SUMMARY TABLE'!$P$23:$P$46</definedName>
    <definedName name="Unussed12" hidden="1">{#N/A,#N/A,FALSE,"TMCOMP96";#N/A,#N/A,FALSE,"MAT96";#N/A,#N/A,FALSE,"FANDA96";#N/A,#N/A,FALSE,"INTRAN96";#N/A,#N/A,FALSE,"NAA9697";#N/A,#N/A,FALSE,"ECWEBB";#N/A,#N/A,FALSE,"MFT96";#N/A,#N/A,FALSE,"CTrecon"}</definedName>
    <definedName name="Unusued11" hidden="1">{#N/A,#N/A,FALSE,"TMCOMP96";#N/A,#N/A,FALSE,"MAT96";#N/A,#N/A,FALSE,"FANDA96";#N/A,#N/A,FALSE,"INTRAN96";#N/A,#N/A,FALSE,"NAA9697";#N/A,#N/A,FALSE,"ECWEBB";#N/A,#N/A,FALSE,"MFT96";#N/A,#N/A,FALSE,"CTrecon"}</definedName>
    <definedName name="Unusued2" hidden="1">'[15]SUMMARY TABLE'!$S$23:$S$46</definedName>
    <definedName name="Unusued24" hidden="1">#REF!</definedName>
    <definedName name="Unusued3" hidden="1">'[15]SUMMARY TABLE'!$T$23:$T$46</definedName>
    <definedName name="Unusued5" hidden="1">'[15]SUMMARY TABLE'!$Q$6:$Q$49</definedName>
    <definedName name="Unusued8" hidden="1">{#N/A,#N/A,FALSE,"TMCOMP96";#N/A,#N/A,FALSE,"MAT96";#N/A,#N/A,FALSE,"FANDA96";#N/A,#N/A,FALSE,"INTRAN96";#N/A,#N/A,FALSE,"NAA9697";#N/A,#N/A,FALSE,"ECWEBB";#N/A,#N/A,FALSE,"MFT96";#N/A,#N/A,FALSE,"CTrecon"}</definedName>
    <definedName name="upper">'RO5'!$AN$50:$AN$53</definedName>
    <definedName name="werer" hidden="1">{#N/A,#N/A,FALSE,"TMCOMP96";#N/A,#N/A,FALSE,"MAT96";#N/A,#N/A,FALSE,"FANDA96";#N/A,#N/A,FALSE,"INTRAN96";#N/A,#N/A,FALSE,"NAA9697";#N/A,#N/A,FALSE,"ECWEBB";#N/A,#N/A,FALSE,"MFT96";#N/A,#N/A,FALSE,"CTrecon"}</definedName>
    <definedName name="werewrw" hidden="1">{#N/A,#N/A,FALSE,"TMCOMP96";#N/A,#N/A,FALSE,"MAT96";#N/A,#N/A,FALSE,"FANDA96";#N/A,#N/A,FALSE,"INTRAN96";#N/A,#N/A,FALSE,"NAA9697";#N/A,#N/A,FALSE,"ECWEBB";#N/A,#N/A,FALSE,"MFT96";#N/A,#N/A,FALSE,"CTrecon"}</definedName>
    <definedName name="werw" hidden="1">{#N/A,#N/A,FALSE,"TMCOMP96";#N/A,#N/A,FALSE,"MAT96";#N/A,#N/A,FALSE,"FANDA96";#N/A,#N/A,FALSE,"INTRAN96";#N/A,#N/A,FALSE,"NAA9697";#N/A,#N/A,FALSE,"ECWEBB";#N/A,#N/A,FALSE,"MFT96";#N/A,#N/A,FALSE,"CTrecon"}</definedName>
    <definedName name="What_The"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hat_The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rn.Dint96." hidden="1">{"Debt interest",#N/A,FALSE,"DINT96"}</definedName>
    <definedName name="wrn.MoD._.Submission._.1997."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rn.MoD._.Submission._.1997.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rn.National._.Debt." hidden="1">{"Debt interest",#N/A,FALSE,"DINT 2000"}</definedName>
    <definedName name="wrn.table1." hidden="1">{#N/A,#N/A,FALSE,"CGBR95C"}</definedName>
    <definedName name="wrn.table1._1" hidden="1">{#N/A,#N/A,FALSE,"CGBR95C"}</definedName>
    <definedName name="wrn.table2." hidden="1">{#N/A,#N/A,FALSE,"CGBR95C"}</definedName>
    <definedName name="wrn.table2._1" hidden="1">{#N/A,#N/A,FALSE,"CGBR95C"}</definedName>
    <definedName name="wrn.tablea." hidden="1">{#N/A,#N/A,FALSE,"CGBR95C"}</definedName>
    <definedName name="wrn.tablea._1" hidden="1">{#N/A,#N/A,FALSE,"CGBR95C"}</definedName>
    <definedName name="wrn.tableb." hidden="1">{#N/A,#N/A,FALSE,"CGBR95C"}</definedName>
    <definedName name="wrn.tableb._1" hidden="1">{#N/A,#N/A,FALSE,"CGBR95C"}</definedName>
    <definedName name="wrn.tableq." hidden="1">{#N/A,#N/A,FALSE,"CGBR95C"}</definedName>
    <definedName name="wrn.tableq._1" hidden="1">{#N/A,#N/A,FALSE,"CGBR95C"}</definedName>
    <definedName name="wrn.TMCOMP." hidden="1">{#N/A,#N/A,FALSE,"TMCOMP96";#N/A,#N/A,FALSE,"MAT96";#N/A,#N/A,FALSE,"FANDA96";#N/A,#N/A,FALSE,"INTRAN96";#N/A,#N/A,FALSE,"NAA9697";#N/A,#N/A,FALSE,"ECWEBB";#N/A,#N/A,FALSE,"MFT96";#N/A,#N/A,FALSE,"CTrecon"}</definedName>
    <definedName name="wrn.TMCOMP._1" hidden="1">{#N/A,#N/A,FALSE,"TMCOMP96";#N/A,#N/A,FALSE,"MAT96";#N/A,#N/A,FALSE,"FANDA96";#N/A,#N/A,FALSE,"INTRAN96";#N/A,#N/A,FALSE,"NAA9697";#N/A,#N/A,FALSE,"ECWEBB";#N/A,#N/A,FALSE,"MFT96";#N/A,#N/A,FALSE,"CTrecon"}</definedName>
    <definedName name="wrn.TMCOMP._2" hidden="1">{#N/A,#N/A,FALSE,"TMCOMP96";#N/A,#N/A,FALSE,"MAT96";#N/A,#N/A,FALSE,"FANDA96";#N/A,#N/A,FALSE,"INTRAN96";#N/A,#N/A,FALSE,"NAA9697";#N/A,#N/A,FALSE,"ECWEBB";#N/A,#N/A,FALSE,"MFT96";#N/A,#N/A,FALSE,"CTrecon"}</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32" i="4" l="1"/>
  <c r="H32" i="33"/>
  <c r="F31" i="33"/>
  <c r="D33" i="49"/>
  <c r="E77" i="4"/>
  <c r="E75" i="4" s="1"/>
  <c r="I82" i="33"/>
  <c r="I81" i="33"/>
  <c r="F81" i="33"/>
  <c r="F82" i="33"/>
  <c r="J82" i="33" l="1"/>
  <c r="J81" i="33"/>
  <c r="F112" i="4"/>
  <c r="H75" i="4"/>
  <c r="G68" i="4"/>
  <c r="F100" i="36" l="1"/>
  <c r="F85" i="36"/>
  <c r="F103" i="48"/>
  <c r="C1791" i="48"/>
  <c r="C772" i="48"/>
  <c r="C1463" i="48"/>
  <c r="C348" i="48"/>
  <c r="C739" i="48"/>
  <c r="C294" i="48"/>
  <c r="C1786" i="48"/>
  <c r="C800" i="48"/>
  <c r="C341" i="48"/>
  <c r="C798" i="48"/>
  <c r="C295" i="48"/>
  <c r="C1813" i="48"/>
  <c r="C1465" i="48"/>
  <c r="C740" i="48"/>
  <c r="C505" i="48"/>
  <c r="C1217" i="48"/>
  <c r="C1422" i="48"/>
  <c r="C1452" i="48"/>
  <c r="C342" i="48"/>
  <c r="C1815" i="48"/>
  <c r="B155" i="48" l="1"/>
  <c r="C180" i="48"/>
  <c r="B18" i="48"/>
  <c r="B20" i="48" a="1"/>
  <c r="B20" i="48" s="1"/>
  <c r="B19" i="48" a="1"/>
  <c r="B19" i="48" s="1"/>
  <c r="B17" i="48" a="1"/>
  <c r="B17" i="48" s="1"/>
  <c r="B16" i="48" a="1"/>
  <c r="B16" i="48" s="1"/>
  <c r="A10" i="49" l="1"/>
  <c r="M3" i="49"/>
  <c r="D77" i="4" l="1"/>
  <c r="D75" i="4" l="1"/>
  <c r="A71" i="26" l="1"/>
  <c r="M3" i="26"/>
  <c r="AH78" i="4" l="1"/>
  <c r="AH79" i="4"/>
  <c r="AH80" i="4"/>
  <c r="AH81" i="4"/>
  <c r="AH82" i="4"/>
  <c r="AH83" i="4"/>
  <c r="AH84" i="4"/>
  <c r="AH85" i="4"/>
  <c r="AG78" i="4"/>
  <c r="AJ78" i="4" s="1"/>
  <c r="AG79" i="4"/>
  <c r="AJ79" i="4" s="1"/>
  <c r="AG80" i="4"/>
  <c r="AJ80" i="4" s="1"/>
  <c r="AG81" i="4"/>
  <c r="AJ81" i="4" s="1"/>
  <c r="AG82" i="4"/>
  <c r="AJ82" i="4" s="1"/>
  <c r="AG83" i="4"/>
  <c r="AJ83" i="4" s="1"/>
  <c r="AG84" i="4"/>
  <c r="AJ84" i="4" s="1"/>
  <c r="AG85" i="4"/>
  <c r="AJ85" i="4" s="1"/>
  <c r="AF78" i="4"/>
  <c r="AI78" i="4" s="1"/>
  <c r="AK78" i="4" s="1"/>
  <c r="AF79" i="4"/>
  <c r="AF80" i="4"/>
  <c r="AF81" i="4"/>
  <c r="AF82" i="4"/>
  <c r="AF83" i="4"/>
  <c r="AF84" i="4"/>
  <c r="AF85" i="4"/>
  <c r="AE78" i="4"/>
  <c r="AE79" i="4"/>
  <c r="AE80" i="4"/>
  <c r="AE81" i="4"/>
  <c r="AE83" i="4"/>
  <c r="AE82" i="4"/>
  <c r="AE84" i="4"/>
  <c r="AE85" i="4"/>
  <c r="F122" i="4"/>
  <c r="H122" i="4" s="1"/>
  <c r="B348" i="48"/>
  <c r="E118" i="48" l="1"/>
  <c r="E103" i="48"/>
  <c r="AI82" i="4"/>
  <c r="AK82" i="4" s="1"/>
  <c r="AI85" i="4"/>
  <c r="AK85" i="4" s="1"/>
  <c r="AI84" i="4"/>
  <c r="AK84" i="4" s="1"/>
  <c r="AI83" i="4"/>
  <c r="AK83" i="4" s="1"/>
  <c r="AI81" i="4"/>
  <c r="AK81" i="4" s="1"/>
  <c r="AI80" i="4"/>
  <c r="AK80" i="4" s="1"/>
  <c r="AI79" i="4"/>
  <c r="AK79" i="4" s="1"/>
  <c r="B1815" i="48"/>
  <c r="B1813" i="48"/>
  <c r="B1791" i="48"/>
  <c r="B1786" i="48"/>
  <c r="B1465" i="48"/>
  <c r="B1463" i="48"/>
  <c r="B1422" i="48"/>
  <c r="B1217" i="48"/>
  <c r="B800" i="48"/>
  <c r="B772" i="48"/>
  <c r="B740" i="48"/>
  <c r="B505" i="48"/>
  <c r="B295" i="48"/>
  <c r="E33" i="49"/>
  <c r="F33" i="49"/>
  <c r="G33" i="49"/>
  <c r="B2595" i="48"/>
  <c r="B2594" i="48"/>
  <c r="B2592" i="48"/>
  <c r="B2591" i="48"/>
  <c r="B2590" i="48"/>
  <c r="B2589" i="48"/>
  <c r="B2588" i="48"/>
  <c r="B2587" i="48"/>
  <c r="B2585" i="48"/>
  <c r="B2584" i="48"/>
  <c r="B2583" i="48"/>
  <c r="B2582" i="48"/>
  <c r="B2581" i="48"/>
  <c r="B2580" i="48"/>
  <c r="B2579" i="48"/>
  <c r="B2578" i="48"/>
  <c r="B2577" i="48"/>
  <c r="B2576" i="48"/>
  <c r="B2575" i="48"/>
  <c r="B2574" i="48"/>
  <c r="B2572" i="48"/>
  <c r="B2571" i="48"/>
  <c r="B2570" i="48"/>
  <c r="B2569" i="48"/>
  <c r="B2568" i="48"/>
  <c r="B2567" i="48"/>
  <c r="B2565" i="48"/>
  <c r="B2564" i="48"/>
  <c r="B2563" i="48"/>
  <c r="B2562" i="48"/>
  <c r="B2561" i="48"/>
  <c r="B2560" i="48"/>
  <c r="B2559" i="48"/>
  <c r="B2558" i="48"/>
  <c r="B2557" i="48"/>
  <c r="B2556" i="48"/>
  <c r="B2355" i="48"/>
  <c r="B2353" i="48"/>
  <c r="B2352" i="48"/>
  <c r="B2351" i="48"/>
  <c r="B2350" i="48"/>
  <c r="B2348" i="48"/>
  <c r="B2347" i="48"/>
  <c r="B2346" i="48"/>
  <c r="B2345" i="48"/>
  <c r="B2343" i="48"/>
  <c r="B2342" i="48"/>
  <c r="B2341" i="48"/>
  <c r="B2340" i="48"/>
  <c r="B2338" i="48"/>
  <c r="B2336" i="48"/>
  <c r="B2335" i="48"/>
  <c r="B2334" i="48"/>
  <c r="B2333" i="48"/>
  <c r="B2331" i="48"/>
  <c r="B2330" i="48"/>
  <c r="B2329" i="48"/>
  <c r="B2328" i="48"/>
  <c r="B2326" i="48"/>
  <c r="B2325" i="48"/>
  <c r="B2324" i="48"/>
  <c r="B2323" i="48"/>
  <c r="B2321" i="48"/>
  <c r="B2319" i="48"/>
  <c r="B2318" i="48"/>
  <c r="B2317" i="48"/>
  <c r="B2316" i="48"/>
  <c r="B2314" i="48"/>
  <c r="B2313" i="48"/>
  <c r="B2312" i="48"/>
  <c r="B2311" i="48"/>
  <c r="B2309" i="48"/>
  <c r="B2308" i="48"/>
  <c r="B2307" i="48"/>
  <c r="B2306" i="48"/>
  <c r="C2558" i="48"/>
  <c r="C2569" i="48"/>
  <c r="C2560" i="48"/>
  <c r="C2582" i="48"/>
  <c r="C2571" i="48"/>
  <c r="C2350" i="48"/>
  <c r="C2340" i="48"/>
  <c r="C2349" i="48"/>
  <c r="C2589" i="48"/>
  <c r="C2355" i="48"/>
  <c r="C2581" i="48"/>
  <c r="C2567" i="48"/>
  <c r="C2562" i="48"/>
  <c r="C2343" i="48"/>
  <c r="C2591" i="48"/>
  <c r="C2580" i="48"/>
  <c r="C2336" i="48"/>
  <c r="C2327" i="48"/>
  <c r="C2328" i="48"/>
  <c r="C2341" i="48"/>
  <c r="C2578" i="48"/>
  <c r="C2574" i="48"/>
  <c r="C2563" i="48"/>
  <c r="C2559" i="48"/>
  <c r="C2342" i="48"/>
  <c r="C2557" i="48"/>
  <c r="C2576" i="48"/>
  <c r="C2329" i="48"/>
  <c r="C2570" i="48"/>
  <c r="C2592" i="48"/>
  <c r="C2334" i="48"/>
  <c r="C2335" i="48"/>
  <c r="C2323" i="48"/>
  <c r="C2585" i="48"/>
  <c r="C2356" i="48"/>
  <c r="C2590" i="48"/>
  <c r="C2347" i="48"/>
  <c r="C2594" i="48"/>
  <c r="C2354" i="48"/>
  <c r="C2337" i="48"/>
  <c r="C2568" i="48"/>
  <c r="C2332" i="48"/>
  <c r="C2353" i="48"/>
  <c r="C2565" i="48"/>
  <c r="C2339" i="48"/>
  <c r="C2556" i="48"/>
  <c r="C2588" i="48"/>
  <c r="C2595" i="48"/>
  <c r="C2566" i="48"/>
  <c r="C2346" i="48"/>
  <c r="C2573" i="48"/>
  <c r="C2596" i="48"/>
  <c r="C2564" i="48"/>
  <c r="C2324" i="48"/>
  <c r="C2583" i="48"/>
  <c r="C2587" i="48"/>
  <c r="C2584" i="48"/>
  <c r="C2577" i="48"/>
  <c r="C2330" i="48"/>
  <c r="C2331" i="48"/>
  <c r="C2575" i="48"/>
  <c r="C2351" i="48"/>
  <c r="C2572" i="48"/>
  <c r="C2345" i="48"/>
  <c r="C2326" i="48"/>
  <c r="C2338" i="48"/>
  <c r="C2333" i="48"/>
  <c r="C2593" i="48"/>
  <c r="C2348" i="48"/>
  <c r="C2325" i="48"/>
  <c r="C2344" i="48"/>
  <c r="C2561" i="48"/>
  <c r="C2352" i="48"/>
  <c r="C2586" i="48"/>
  <c r="C2579" i="48"/>
  <c r="F109" i="36" l="1"/>
  <c r="B2593" i="48" s="1"/>
  <c r="B2586" i="48"/>
  <c r="B2573" i="48"/>
  <c r="F76" i="36"/>
  <c r="B2566" i="48" s="1"/>
  <c r="G54" i="36"/>
  <c r="B2337" i="48" s="1"/>
  <c r="H54" i="36"/>
  <c r="B2354" i="48" s="1"/>
  <c r="G47" i="36"/>
  <c r="B2332" i="48" s="1"/>
  <c r="H47" i="36"/>
  <c r="B2349" i="48" s="1"/>
  <c r="G40" i="36"/>
  <c r="B2327" i="48" s="1"/>
  <c r="H40" i="36"/>
  <c r="B2344" i="48" s="1"/>
  <c r="H44" i="33"/>
  <c r="G32" i="33"/>
  <c r="G44" i="33" s="1"/>
  <c r="E32" i="33"/>
  <c r="E44" i="33" s="1"/>
  <c r="D32" i="33"/>
  <c r="D44" i="33" s="1"/>
  <c r="B954" i="48"/>
  <c r="B953" i="48"/>
  <c r="B952" i="48"/>
  <c r="B951" i="48"/>
  <c r="B881" i="48"/>
  <c r="B880" i="48"/>
  <c r="B879" i="48"/>
  <c r="B878" i="48"/>
  <c r="B732" i="48"/>
  <c r="B731" i="48"/>
  <c r="B730" i="48"/>
  <c r="B729" i="48"/>
  <c r="H83" i="33"/>
  <c r="G83" i="33"/>
  <c r="E83" i="33"/>
  <c r="D83" i="33"/>
  <c r="B659" i="48"/>
  <c r="B658" i="48"/>
  <c r="B657" i="48"/>
  <c r="B656" i="48"/>
  <c r="I33" i="33"/>
  <c r="B1024" i="48" s="1"/>
  <c r="I34" i="33"/>
  <c r="B1025" i="48" s="1"/>
  <c r="I35" i="33"/>
  <c r="B1026" i="48" s="1"/>
  <c r="I36" i="33"/>
  <c r="B1027" i="48" s="1"/>
  <c r="F33" i="33"/>
  <c r="B805" i="48" s="1"/>
  <c r="F34" i="33"/>
  <c r="B806" i="48" s="1"/>
  <c r="F35" i="33"/>
  <c r="B807" i="48" s="1"/>
  <c r="F36" i="33"/>
  <c r="B808" i="48" s="1"/>
  <c r="B103" i="48"/>
  <c r="C808" i="48"/>
  <c r="C730" i="48"/>
  <c r="C729" i="48"/>
  <c r="C877" i="48"/>
  <c r="C657" i="48"/>
  <c r="C659" i="48"/>
  <c r="C1023" i="48"/>
  <c r="C953" i="48"/>
  <c r="C952" i="48"/>
  <c r="C1026" i="48"/>
  <c r="C880" i="48"/>
  <c r="C103" i="48"/>
  <c r="C807" i="48"/>
  <c r="C1097" i="48"/>
  <c r="C879" i="48"/>
  <c r="C731" i="48"/>
  <c r="C950" i="48"/>
  <c r="C732" i="48"/>
  <c r="C1024" i="48"/>
  <c r="C658" i="48"/>
  <c r="C1027" i="48"/>
  <c r="C655" i="48"/>
  <c r="C951" i="48"/>
  <c r="C954" i="48"/>
  <c r="C1025" i="48"/>
  <c r="C1100" i="48"/>
  <c r="C804" i="48"/>
  <c r="C878" i="48"/>
  <c r="C656" i="48"/>
  <c r="C806" i="48"/>
  <c r="C1096" i="48"/>
  <c r="C1099" i="48"/>
  <c r="C118" i="48"/>
  <c r="C1098" i="48"/>
  <c r="C728" i="48"/>
  <c r="C881" i="48"/>
  <c r="C805" i="48"/>
  <c r="G58" i="36" l="1"/>
  <c r="B2339" i="48" s="1"/>
  <c r="H58" i="36"/>
  <c r="B2356" i="48" s="1"/>
  <c r="B118" i="48"/>
  <c r="I122" i="4"/>
  <c r="F118" i="48" s="1"/>
  <c r="G122" i="4"/>
  <c r="F115" i="36"/>
  <c r="B2596" i="48" s="1"/>
  <c r="J33" i="33"/>
  <c r="J34" i="33"/>
  <c r="J36" i="33"/>
  <c r="B1100" i="48" s="1"/>
  <c r="J35" i="33"/>
  <c r="B1099" i="48" s="1"/>
  <c r="D118" i="48" l="1"/>
  <c r="D103" i="48"/>
  <c r="G59" i="36"/>
  <c r="M36" i="33"/>
  <c r="M35" i="33"/>
  <c r="M34" i="33"/>
  <c r="B1098" i="48"/>
  <c r="M33" i="33"/>
  <c r="B1097" i="48"/>
  <c r="G179" i="48"/>
  <c r="B171" i="48"/>
  <c r="B167" i="48"/>
  <c r="B163" i="48"/>
  <c r="B170" i="48"/>
  <c r="B166" i="48"/>
  <c r="B162" i="48"/>
  <c r="B169" i="48"/>
  <c r="B165" i="48"/>
  <c r="B161" i="48"/>
  <c r="B168" i="48"/>
  <c r="B164" i="48"/>
  <c r="B160" i="48"/>
  <c r="B159" i="48"/>
  <c r="B158" i="48"/>
  <c r="B157" i="48"/>
  <c r="B156" i="48"/>
  <c r="BV409" i="49"/>
  <c r="BU409" i="49"/>
  <c r="BS409" i="49"/>
  <c r="BR409" i="49"/>
  <c r="BQ409" i="49"/>
  <c r="BP409" i="49"/>
  <c r="BN409" i="49"/>
  <c r="BM409" i="49"/>
  <c r="BL409" i="49"/>
  <c r="BV408" i="49"/>
  <c r="BR408" i="49"/>
  <c r="BQ408" i="49"/>
  <c r="BN408" i="49"/>
  <c r="BM408" i="49"/>
  <c r="BL408" i="49"/>
  <c r="BV407" i="49"/>
  <c r="BR407" i="49"/>
  <c r="BQ407" i="49"/>
  <c r="BN407" i="49"/>
  <c r="BM407" i="49"/>
  <c r="BL407" i="49"/>
  <c r="BV406" i="49"/>
  <c r="BS406" i="49"/>
  <c r="BR406" i="49"/>
  <c r="BQ406" i="49"/>
  <c r="BN406" i="49"/>
  <c r="BM406" i="49"/>
  <c r="BL406" i="49"/>
  <c r="BV405" i="49"/>
  <c r="BU405" i="49"/>
  <c r="BR405" i="49"/>
  <c r="BQ405" i="49"/>
  <c r="BP405" i="49"/>
  <c r="BN405" i="49"/>
  <c r="BL405" i="49"/>
  <c r="BV404" i="49"/>
  <c r="BU404" i="49"/>
  <c r="BS404" i="49"/>
  <c r="BR404" i="49"/>
  <c r="BQ404" i="49"/>
  <c r="BP404" i="49"/>
  <c r="BN404" i="49"/>
  <c r="BM404" i="49"/>
  <c r="BL404" i="49"/>
  <c r="BV403" i="49"/>
  <c r="BR403" i="49"/>
  <c r="BQ403" i="49"/>
  <c r="BN403" i="49"/>
  <c r="BL403" i="49"/>
  <c r="BV401" i="49"/>
  <c r="BR401" i="49"/>
  <c r="BQ401" i="49"/>
  <c r="BN401" i="49"/>
  <c r="BL401" i="49"/>
  <c r="BV399" i="49"/>
  <c r="BS399" i="49"/>
  <c r="BR399" i="49"/>
  <c r="BQ399" i="49"/>
  <c r="BN399" i="49"/>
  <c r="BL399" i="49"/>
  <c r="BV397" i="49"/>
  <c r="BU397" i="49"/>
  <c r="BS397" i="49"/>
  <c r="BR397" i="49"/>
  <c r="BQ397" i="49"/>
  <c r="BP397" i="49"/>
  <c r="BN397" i="49"/>
  <c r="BM397" i="49"/>
  <c r="BL397" i="49"/>
  <c r="BV396" i="49"/>
  <c r="BU396" i="49"/>
  <c r="BS396" i="49"/>
  <c r="BR396" i="49"/>
  <c r="BQ396" i="49"/>
  <c r="BP396" i="49"/>
  <c r="BN396" i="49"/>
  <c r="BM396" i="49"/>
  <c r="BL396" i="49"/>
  <c r="BV395" i="49"/>
  <c r="BU395" i="49"/>
  <c r="BS395" i="49"/>
  <c r="BR395" i="49"/>
  <c r="BQ395" i="49"/>
  <c r="BP395" i="49"/>
  <c r="BN395" i="49"/>
  <c r="BM395" i="49"/>
  <c r="BL395" i="49"/>
  <c r="BV394" i="49"/>
  <c r="BS394" i="49"/>
  <c r="BQ394" i="49"/>
  <c r="BN394" i="49"/>
  <c r="BM394" i="49"/>
  <c r="BL394" i="49"/>
  <c r="BV393" i="49"/>
  <c r="BU393" i="49"/>
  <c r="BS393" i="49"/>
  <c r="BR393" i="49"/>
  <c r="BQ393" i="49"/>
  <c r="BP393" i="49"/>
  <c r="BN393" i="49"/>
  <c r="BM393" i="49"/>
  <c r="BL393" i="49"/>
  <c r="BV392" i="49"/>
  <c r="BU392" i="49"/>
  <c r="BS392" i="49"/>
  <c r="BR392" i="49"/>
  <c r="BQ392" i="49"/>
  <c r="BP392" i="49"/>
  <c r="BN392" i="49"/>
  <c r="BM392" i="49"/>
  <c r="BL392" i="49"/>
  <c r="BY391" i="49"/>
  <c r="BX391" i="49"/>
  <c r="BW391" i="49"/>
  <c r="BV391" i="49"/>
  <c r="BU391" i="49"/>
  <c r="BT391" i="49"/>
  <c r="BS391" i="49"/>
  <c r="BR391" i="49"/>
  <c r="BQ391" i="49"/>
  <c r="BP391" i="49"/>
  <c r="BN391" i="49"/>
  <c r="BM391" i="49"/>
  <c r="BL391" i="49"/>
  <c r="BJ391" i="49"/>
  <c r="BI391" i="49"/>
  <c r="BH391" i="49"/>
  <c r="BG391" i="49"/>
  <c r="BF391" i="49"/>
  <c r="BE391" i="49"/>
  <c r="BD391" i="49"/>
  <c r="BC391" i="49"/>
  <c r="BB391" i="49"/>
  <c r="BA391" i="49"/>
  <c r="BY389" i="49"/>
  <c r="BX389" i="49"/>
  <c r="BW389" i="49"/>
  <c r="BV389" i="49"/>
  <c r="BR389" i="49"/>
  <c r="BQ389" i="49"/>
  <c r="BP389" i="49"/>
  <c r="BN389" i="49"/>
  <c r="BM389" i="49"/>
  <c r="BL389" i="49"/>
  <c r="BJ389" i="49"/>
  <c r="BI389" i="49"/>
  <c r="BH389" i="49"/>
  <c r="BF389" i="49"/>
  <c r="BE389" i="49"/>
  <c r="BD389" i="49"/>
  <c r="BC389" i="49"/>
  <c r="BB389" i="49"/>
  <c r="BA389" i="49"/>
  <c r="H32" i="49"/>
  <c r="I32" i="49" s="1"/>
  <c r="B179" i="48" s="1"/>
  <c r="H31" i="49"/>
  <c r="I31" i="49" s="1"/>
  <c r="B178" i="48" s="1"/>
  <c r="H30" i="49"/>
  <c r="A20" i="49"/>
  <c r="A18" i="49"/>
  <c r="A1" i="49"/>
  <c r="G399" i="48"/>
  <c r="F64" i="33"/>
  <c r="AL312" i="26"/>
  <c r="AL313" i="26"/>
  <c r="AL314" i="26"/>
  <c r="AL315" i="26"/>
  <c r="AL316" i="26"/>
  <c r="AL317" i="26"/>
  <c r="AL318" i="26"/>
  <c r="AL319" i="26"/>
  <c r="AL320" i="26"/>
  <c r="AL321" i="26"/>
  <c r="AL322" i="26"/>
  <c r="AL323" i="26"/>
  <c r="AL324" i="26"/>
  <c r="AL325" i="26"/>
  <c r="AL326" i="26"/>
  <c r="AL327" i="26"/>
  <c r="AL328" i="26"/>
  <c r="AL329" i="26"/>
  <c r="AL330" i="26"/>
  <c r="AL331" i="26"/>
  <c r="AL332" i="26"/>
  <c r="AL333" i="26"/>
  <c r="AL334" i="26"/>
  <c r="AL335" i="26"/>
  <c r="AL336" i="26"/>
  <c r="AL337" i="26"/>
  <c r="AL338" i="26"/>
  <c r="AL339" i="26"/>
  <c r="AL340" i="26"/>
  <c r="AL341" i="26"/>
  <c r="AL342" i="26"/>
  <c r="AL343" i="26"/>
  <c r="AL344" i="26"/>
  <c r="AL345" i="26"/>
  <c r="AL346" i="26"/>
  <c r="AL347" i="26"/>
  <c r="AL348" i="26"/>
  <c r="AL349" i="26"/>
  <c r="AL350" i="26"/>
  <c r="AL351" i="26"/>
  <c r="AL352" i="26"/>
  <c r="AL353" i="26"/>
  <c r="AL354" i="26"/>
  <c r="AL355" i="26"/>
  <c r="AL356" i="26"/>
  <c r="AL357" i="26"/>
  <c r="AL358" i="26"/>
  <c r="AL359" i="26"/>
  <c r="AL360" i="26"/>
  <c r="AL361" i="26"/>
  <c r="AL362" i="26"/>
  <c r="AL363" i="26"/>
  <c r="AL364" i="26"/>
  <c r="AL365" i="26"/>
  <c r="AL366" i="26"/>
  <c r="AL367" i="26"/>
  <c r="AL368" i="26"/>
  <c r="AL369" i="26"/>
  <c r="AL370" i="26"/>
  <c r="AL371" i="26"/>
  <c r="AL372" i="26"/>
  <c r="AL373" i="26"/>
  <c r="AL374" i="26"/>
  <c r="AL375" i="26"/>
  <c r="AL376" i="26"/>
  <c r="AL377" i="26"/>
  <c r="AL378" i="26"/>
  <c r="AL379" i="26"/>
  <c r="AL380" i="26"/>
  <c r="AL381" i="26"/>
  <c r="AL382" i="26"/>
  <c r="AL383" i="26"/>
  <c r="AL384" i="26"/>
  <c r="AL385" i="26"/>
  <c r="AL386" i="26"/>
  <c r="AL387" i="26"/>
  <c r="AL388" i="26"/>
  <c r="AL389" i="26"/>
  <c r="AL390" i="26"/>
  <c r="AL391" i="26"/>
  <c r="AL392" i="26"/>
  <c r="AL393" i="26"/>
  <c r="AL394" i="26"/>
  <c r="AL395" i="26"/>
  <c r="AL396" i="26"/>
  <c r="AL397" i="26"/>
  <c r="AL398" i="26"/>
  <c r="AL399" i="26"/>
  <c r="AL400" i="26"/>
  <c r="AL401" i="26"/>
  <c r="AL402" i="26"/>
  <c r="AL403" i="26"/>
  <c r="AL404" i="26"/>
  <c r="AL405" i="26"/>
  <c r="AL406" i="26"/>
  <c r="AL407" i="26"/>
  <c r="AL408" i="26"/>
  <c r="AL409" i="26"/>
  <c r="AL410" i="26"/>
  <c r="AL411" i="26"/>
  <c r="AL412" i="26"/>
  <c r="AL413" i="26"/>
  <c r="AL414" i="26"/>
  <c r="AL415" i="26"/>
  <c r="AL416" i="26"/>
  <c r="AL417" i="26"/>
  <c r="AL418" i="26"/>
  <c r="AL419" i="26"/>
  <c r="AL420" i="26"/>
  <c r="AL421" i="26"/>
  <c r="AL422" i="26"/>
  <c r="AL423" i="26"/>
  <c r="AL424" i="26"/>
  <c r="AL425" i="26"/>
  <c r="AL426" i="26"/>
  <c r="AL427" i="26"/>
  <c r="AL428" i="26"/>
  <c r="AL429" i="26"/>
  <c r="AL430" i="26"/>
  <c r="AL431" i="26"/>
  <c r="AL432" i="26"/>
  <c r="AL433" i="26"/>
  <c r="AL434" i="26"/>
  <c r="AL435" i="26"/>
  <c r="AL436" i="26"/>
  <c r="AL437" i="26"/>
  <c r="AL438" i="26"/>
  <c r="AL439" i="26"/>
  <c r="AL440" i="26"/>
  <c r="AL441" i="26"/>
  <c r="AL442" i="26"/>
  <c r="AL443" i="26"/>
  <c r="AL444" i="26"/>
  <c r="AL445" i="26"/>
  <c r="AL446" i="26"/>
  <c r="AL447" i="26"/>
  <c r="AL448" i="26"/>
  <c r="AL449" i="26"/>
  <c r="AL450" i="26"/>
  <c r="AL451" i="26"/>
  <c r="AL452" i="26"/>
  <c r="AL453" i="26"/>
  <c r="AL454" i="26"/>
  <c r="AL455" i="26"/>
  <c r="AL456" i="26"/>
  <c r="AL457" i="26"/>
  <c r="AL458" i="26"/>
  <c r="AL459" i="26"/>
  <c r="AL460" i="26"/>
  <c r="AL461" i="26"/>
  <c r="AL462" i="26"/>
  <c r="AL463" i="26"/>
  <c r="AL464" i="26"/>
  <c r="AL465" i="26"/>
  <c r="AL466" i="26"/>
  <c r="AL467" i="26"/>
  <c r="AL468" i="26"/>
  <c r="AL469" i="26"/>
  <c r="AL470" i="26"/>
  <c r="AL471" i="26"/>
  <c r="AL472" i="26"/>
  <c r="AL473" i="26"/>
  <c r="AL474" i="26"/>
  <c r="AL475" i="26"/>
  <c r="AL476" i="26"/>
  <c r="AL477" i="26"/>
  <c r="AL478" i="26"/>
  <c r="AL479" i="26"/>
  <c r="AL480" i="26"/>
  <c r="AL481" i="26"/>
  <c r="AL482" i="26"/>
  <c r="AL483" i="26"/>
  <c r="AL484" i="26"/>
  <c r="AL485" i="26"/>
  <c r="AL486" i="26"/>
  <c r="AL487" i="26"/>
  <c r="AL488" i="26"/>
  <c r="AL489" i="26"/>
  <c r="AL490" i="26"/>
  <c r="AL491" i="26"/>
  <c r="AL492" i="26"/>
  <c r="AL493" i="26"/>
  <c r="AL494" i="26"/>
  <c r="AL495" i="26"/>
  <c r="AL496" i="26"/>
  <c r="AL497" i="26"/>
  <c r="AL498" i="26"/>
  <c r="AL499" i="26"/>
  <c r="AL500" i="26"/>
  <c r="AL501" i="26"/>
  <c r="AL502" i="26"/>
  <c r="AL503" i="26"/>
  <c r="AL504" i="26"/>
  <c r="AL505" i="26"/>
  <c r="AL506" i="26"/>
  <c r="AL507" i="26"/>
  <c r="AL508" i="26"/>
  <c r="AL509" i="26"/>
  <c r="AL510" i="26"/>
  <c r="AL511" i="26"/>
  <c r="AL512" i="26"/>
  <c r="AL513" i="26"/>
  <c r="AL514" i="26"/>
  <c r="AL515" i="26"/>
  <c r="AL516" i="26"/>
  <c r="AL517" i="26"/>
  <c r="AL518" i="26"/>
  <c r="AL519" i="26"/>
  <c r="AL520" i="26"/>
  <c r="AL521" i="26"/>
  <c r="AL522" i="26"/>
  <c r="AL523" i="26"/>
  <c r="AL524" i="26"/>
  <c r="AL525" i="26"/>
  <c r="AL526" i="26"/>
  <c r="AL527" i="26"/>
  <c r="AL528" i="26"/>
  <c r="AL529" i="26"/>
  <c r="AL530" i="26"/>
  <c r="AL531" i="26"/>
  <c r="AL532" i="26"/>
  <c r="AL533" i="26"/>
  <c r="AL534" i="26"/>
  <c r="AL535" i="26"/>
  <c r="AL536" i="26"/>
  <c r="AL537" i="26"/>
  <c r="AL538" i="26"/>
  <c r="AL539" i="26"/>
  <c r="AL540" i="26"/>
  <c r="AL541" i="26"/>
  <c r="AL542" i="26"/>
  <c r="AL543" i="26"/>
  <c r="AL544" i="26"/>
  <c r="AL545" i="26"/>
  <c r="AL546" i="26"/>
  <c r="AL547" i="26"/>
  <c r="AL548" i="26"/>
  <c r="AL549" i="26"/>
  <c r="AL550" i="26"/>
  <c r="AL551" i="26"/>
  <c r="AL552" i="26"/>
  <c r="AL553" i="26"/>
  <c r="AL554" i="26"/>
  <c r="AL555" i="26"/>
  <c r="AL556" i="26"/>
  <c r="AL557" i="26"/>
  <c r="AL558" i="26"/>
  <c r="AL559" i="26"/>
  <c r="AL560" i="26"/>
  <c r="AL561" i="26"/>
  <c r="AL562" i="26"/>
  <c r="AL563" i="26"/>
  <c r="AL564" i="26"/>
  <c r="AL565" i="26"/>
  <c r="AL566" i="26"/>
  <c r="AL567" i="26"/>
  <c r="AL568" i="26"/>
  <c r="AL569" i="26"/>
  <c r="AL570" i="26"/>
  <c r="AL571" i="26"/>
  <c r="AL572" i="26"/>
  <c r="AL573" i="26"/>
  <c r="AL574" i="26"/>
  <c r="AL575" i="26"/>
  <c r="AL576" i="26"/>
  <c r="AL577" i="26"/>
  <c r="AL578" i="26"/>
  <c r="AL579" i="26"/>
  <c r="AL580" i="26"/>
  <c r="AL581" i="26"/>
  <c r="AL582" i="26"/>
  <c r="AL583" i="26"/>
  <c r="AL584" i="26"/>
  <c r="AL585" i="26"/>
  <c r="AL586" i="26"/>
  <c r="AL587" i="26"/>
  <c r="AL588" i="26"/>
  <c r="AL589" i="26"/>
  <c r="AL590" i="26"/>
  <c r="AL591" i="26"/>
  <c r="AL592" i="26"/>
  <c r="AL593" i="26"/>
  <c r="AL594" i="26"/>
  <c r="AL595" i="26"/>
  <c r="AL596" i="26"/>
  <c r="AL597" i="26"/>
  <c r="AL598" i="26"/>
  <c r="AL599" i="26"/>
  <c r="AL600" i="26"/>
  <c r="AL601" i="26"/>
  <c r="AL602" i="26"/>
  <c r="AL603" i="26"/>
  <c r="AL604" i="26"/>
  <c r="AL605" i="26"/>
  <c r="AL606" i="26"/>
  <c r="AL607" i="26"/>
  <c r="AL608" i="26"/>
  <c r="AL609" i="26"/>
  <c r="AL610" i="26"/>
  <c r="AL611" i="26"/>
  <c r="AL612" i="26"/>
  <c r="AL613" i="26"/>
  <c r="AL614" i="26"/>
  <c r="AL615" i="26"/>
  <c r="AL616" i="26"/>
  <c r="AL617" i="26"/>
  <c r="AL618" i="26"/>
  <c r="AL619" i="26"/>
  <c r="AL620" i="26"/>
  <c r="AL621" i="26"/>
  <c r="AL622" i="26"/>
  <c r="AL623" i="26"/>
  <c r="AL624" i="26"/>
  <c r="AL625" i="26"/>
  <c r="AL626" i="26"/>
  <c r="AL627" i="26"/>
  <c r="AL628" i="26"/>
  <c r="AL629" i="26"/>
  <c r="AL630" i="26"/>
  <c r="AL631" i="26"/>
  <c r="AL632" i="26"/>
  <c r="AL633" i="26"/>
  <c r="AL634" i="26"/>
  <c r="AL635" i="26"/>
  <c r="AL636" i="26"/>
  <c r="AL637" i="26"/>
  <c r="AL638" i="26"/>
  <c r="AL639" i="26"/>
  <c r="AL640" i="26"/>
  <c r="AL641" i="26"/>
  <c r="AL642" i="26"/>
  <c r="AL643" i="26"/>
  <c r="AL644" i="26"/>
  <c r="AL645" i="26"/>
  <c r="AL646" i="26"/>
  <c r="AL647" i="26"/>
  <c r="AL648" i="26"/>
  <c r="AL649" i="26"/>
  <c r="AL650" i="26"/>
  <c r="AL651" i="26"/>
  <c r="AL652" i="26"/>
  <c r="AL653" i="26"/>
  <c r="AL654" i="26"/>
  <c r="AL655" i="26"/>
  <c r="AL656" i="26"/>
  <c r="AL657" i="26"/>
  <c r="AL658" i="26"/>
  <c r="AL659" i="26"/>
  <c r="AL660" i="26"/>
  <c r="AL661" i="26"/>
  <c r="AL662" i="26"/>
  <c r="AL663" i="26"/>
  <c r="AL664" i="26"/>
  <c r="AL665" i="26"/>
  <c r="AL666" i="26"/>
  <c r="AL667" i="26"/>
  <c r="AL668" i="26"/>
  <c r="AL669" i="26"/>
  <c r="AL670" i="26"/>
  <c r="AL671" i="26"/>
  <c r="AL672" i="26"/>
  <c r="AL673" i="26"/>
  <c r="AL674" i="26"/>
  <c r="AL675" i="26"/>
  <c r="AL676" i="26"/>
  <c r="AL677" i="26"/>
  <c r="AL678" i="26"/>
  <c r="AL679" i="26"/>
  <c r="AL680" i="26"/>
  <c r="AL681" i="26"/>
  <c r="AL682" i="26"/>
  <c r="AL683" i="26"/>
  <c r="AL684" i="26"/>
  <c r="AL685" i="26"/>
  <c r="AL686" i="26"/>
  <c r="AL687" i="26"/>
  <c r="AL688" i="26"/>
  <c r="AL689" i="26"/>
  <c r="AL690" i="26"/>
  <c r="AL691" i="26"/>
  <c r="AL692" i="26"/>
  <c r="AL693" i="26"/>
  <c r="AL694" i="26"/>
  <c r="AL695" i="26"/>
  <c r="AL696" i="26"/>
  <c r="AL697" i="26"/>
  <c r="AL698" i="26"/>
  <c r="AL699" i="26"/>
  <c r="AL700" i="26"/>
  <c r="AL701" i="26"/>
  <c r="AL702" i="26"/>
  <c r="AL703" i="26"/>
  <c r="AL704" i="26"/>
  <c r="AL705" i="26"/>
  <c r="AL706" i="26"/>
  <c r="AL707" i="26"/>
  <c r="AL708" i="26"/>
  <c r="AL709" i="26"/>
  <c r="AL710" i="26"/>
  <c r="AL711" i="26"/>
  <c r="AL712" i="26"/>
  <c r="AL713" i="26"/>
  <c r="AL714" i="26"/>
  <c r="AL715" i="26"/>
  <c r="AL716" i="26"/>
  <c r="AL717" i="26"/>
  <c r="AL718" i="26"/>
  <c r="AL719" i="26"/>
  <c r="AL720" i="26"/>
  <c r="AL721" i="26"/>
  <c r="AL722" i="26"/>
  <c r="AL723" i="26"/>
  <c r="AL724" i="26"/>
  <c r="AL725" i="26"/>
  <c r="AL726" i="26"/>
  <c r="AL727" i="26"/>
  <c r="AL728" i="26"/>
  <c r="AL729" i="26"/>
  <c r="AL730" i="26"/>
  <c r="AL731" i="26"/>
  <c r="AL732" i="26"/>
  <c r="AL733" i="26"/>
  <c r="AL734" i="26"/>
  <c r="AL735" i="26"/>
  <c r="AL736" i="26"/>
  <c r="AL311" i="26"/>
  <c r="B12" i="48"/>
  <c r="O36" i="33" l="1"/>
  <c r="L36" i="33"/>
  <c r="O35" i="33"/>
  <c r="L35" i="33"/>
  <c r="O34" i="33"/>
  <c r="L34" i="33"/>
  <c r="O33" i="33"/>
  <c r="L33" i="33"/>
  <c r="B174" i="48"/>
  <c r="I30" i="49"/>
  <c r="B177" i="48" s="1"/>
  <c r="H33" i="49"/>
  <c r="B173" i="48"/>
  <c r="B175" i="48"/>
  <c r="BI397" i="49"/>
  <c r="BI394" i="49"/>
  <c r="BI404" i="49"/>
  <c r="BI399" i="49"/>
  <c r="BI403" i="49"/>
  <c r="BI405" i="49"/>
  <c r="BI407" i="49"/>
  <c r="BI401" i="49"/>
  <c r="BI395" i="49"/>
  <c r="BI393" i="49"/>
  <c r="BI409" i="49"/>
  <c r="BI406" i="49"/>
  <c r="BI396" i="49"/>
  <c r="BG409" i="49"/>
  <c r="BG406" i="49"/>
  <c r="BG396" i="49"/>
  <c r="BG397" i="49"/>
  <c r="BG394" i="49"/>
  <c r="BG408" i="49"/>
  <c r="BG404" i="49"/>
  <c r="BG399" i="49"/>
  <c r="BG392" i="49"/>
  <c r="BG403" i="49"/>
  <c r="BG390" i="49" s="1"/>
  <c r="BG407" i="49"/>
  <c r="BG401" i="49"/>
  <c r="BG395" i="49"/>
  <c r="BG393" i="49"/>
  <c r="BB408" i="49"/>
  <c r="BB399" i="49"/>
  <c r="BB405" i="49"/>
  <c r="BB403" i="49"/>
  <c r="BB390" i="49" s="1"/>
  <c r="BB395" i="49"/>
  <c r="BB393" i="49"/>
  <c r="BB401" i="49"/>
  <c r="BB409" i="49"/>
  <c r="BB406" i="49"/>
  <c r="BB396" i="49"/>
  <c r="BB394" i="49"/>
  <c r="BB392" i="49"/>
  <c r="BB397" i="49"/>
  <c r="BQ390" i="49"/>
  <c r="BP390" i="49"/>
  <c r="BN390" i="49"/>
  <c r="BV390" i="49"/>
  <c r="BM390" i="49"/>
  <c r="BU390" i="49"/>
  <c r="BL390" i="49"/>
  <c r="BS390" i="49"/>
  <c r="BI390" i="49"/>
  <c r="BR390" i="49"/>
  <c r="AZ390" i="49"/>
  <c r="BC405" i="49"/>
  <c r="BC403" i="49"/>
  <c r="BC390" i="49" s="1"/>
  <c r="BC395" i="49"/>
  <c r="BC393" i="49"/>
  <c r="BC401" i="49"/>
  <c r="BC409" i="49"/>
  <c r="BC406" i="49"/>
  <c r="BC396" i="49"/>
  <c r="BC394" i="49"/>
  <c r="BC404" i="49"/>
  <c r="BC397" i="49"/>
  <c r="BC392" i="49"/>
  <c r="BC408" i="49"/>
  <c r="BC399" i="49"/>
  <c r="BF401" i="49"/>
  <c r="BF409" i="49"/>
  <c r="BF406" i="49"/>
  <c r="BF397" i="49"/>
  <c r="BF408" i="49"/>
  <c r="BF399" i="49"/>
  <c r="BF392" i="49"/>
  <c r="BF405" i="49"/>
  <c r="BF403" i="49"/>
  <c r="BF390" i="49" s="1"/>
  <c r="BF407" i="49"/>
  <c r="BA397" i="49"/>
  <c r="BA392" i="49"/>
  <c r="BA408" i="49"/>
  <c r="BA399" i="49"/>
  <c r="BA407" i="49"/>
  <c r="BA405" i="49"/>
  <c r="BA403" i="49"/>
  <c r="BA390" i="49" s="1"/>
  <c r="BA395" i="49"/>
  <c r="BA393" i="49"/>
  <c r="BA401" i="49"/>
  <c r="BA409" i="49"/>
  <c r="BA406" i="49"/>
  <c r="BA396" i="49"/>
  <c r="BA394" i="49"/>
  <c r="BA404" i="49"/>
  <c r="BE407" i="49"/>
  <c r="BE395" i="49"/>
  <c r="BE393" i="49"/>
  <c r="BE401" i="49"/>
  <c r="BE409" i="49"/>
  <c r="BE396" i="49"/>
  <c r="BE406" i="49"/>
  <c r="BE394" i="49"/>
  <c r="BE404" i="49"/>
  <c r="BE397" i="49"/>
  <c r="BE408" i="49"/>
  <c r="BE399" i="49"/>
  <c r="BE392" i="49"/>
  <c r="BE405" i="49"/>
  <c r="BE403" i="49"/>
  <c r="BE390" i="49" s="1"/>
  <c r="BD407" i="49"/>
  <c r="BD395" i="49"/>
  <c r="BD393" i="49"/>
  <c r="BD401" i="49"/>
  <c r="BD409" i="49"/>
  <c r="BD396" i="49"/>
  <c r="BD404" i="49"/>
  <c r="BD397" i="49"/>
  <c r="BD408" i="49"/>
  <c r="BD399" i="49"/>
  <c r="BD405" i="49"/>
  <c r="BD403" i="49"/>
  <c r="BD390" i="49" s="1"/>
  <c r="BJ404" i="49"/>
  <c r="BJ399" i="49"/>
  <c r="BJ408" i="49"/>
  <c r="BJ403" i="49"/>
  <c r="BJ390" i="49" s="1"/>
  <c r="BJ405" i="49"/>
  <c r="BJ392" i="49"/>
  <c r="BJ401" i="49"/>
  <c r="BJ395" i="49"/>
  <c r="BJ393" i="49"/>
  <c r="BJ409" i="49"/>
  <c r="BJ406" i="49"/>
  <c r="BJ396" i="49"/>
  <c r="BJ397" i="49"/>
  <c r="BH406" i="49"/>
  <c r="BH396" i="49"/>
  <c r="BH397" i="49"/>
  <c r="BH394" i="49"/>
  <c r="BH408" i="49"/>
  <c r="BH404" i="49"/>
  <c r="BH399" i="49"/>
  <c r="BH403" i="49"/>
  <c r="BH390" i="49" s="1"/>
  <c r="BH405" i="49"/>
  <c r="BH407" i="49"/>
  <c r="BH401" i="49"/>
  <c r="BH395" i="49"/>
  <c r="BH393" i="49"/>
  <c r="BJ394" i="49"/>
  <c r="BH409" i="49"/>
  <c r="AC82" i="37"/>
  <c r="I33" i="49" l="1"/>
  <c r="B176" i="48" s="1"/>
  <c r="B172" i="48"/>
  <c r="H105" i="38"/>
  <c r="D34" i="49" l="1"/>
  <c r="H76" i="4"/>
  <c r="F65" i="48" s="1"/>
  <c r="G76" i="4"/>
  <c r="G78" i="4"/>
  <c r="G79" i="4"/>
  <c r="G80" i="4"/>
  <c r="G81" i="4"/>
  <c r="G82" i="4"/>
  <c r="G83" i="4"/>
  <c r="G84" i="4"/>
  <c r="G85" i="4"/>
  <c r="H85" i="4"/>
  <c r="F74" i="48" s="1"/>
  <c r="H78" i="4"/>
  <c r="F67" i="48" s="1"/>
  <c r="H79" i="4"/>
  <c r="F68" i="48" s="1"/>
  <c r="H80" i="4"/>
  <c r="F69" i="48" s="1"/>
  <c r="H81" i="4"/>
  <c r="F70" i="48" s="1"/>
  <c r="H82" i="4"/>
  <c r="F71" i="48" s="1"/>
  <c r="H83" i="4"/>
  <c r="F72" i="48" s="1"/>
  <c r="H84" i="4"/>
  <c r="F73" i="48" s="1"/>
  <c r="F76" i="4" l="1"/>
  <c r="D65" i="48" s="1"/>
  <c r="E65" i="48"/>
  <c r="F85" i="4"/>
  <c r="D74" i="48" s="1"/>
  <c r="E74" i="48"/>
  <c r="F84" i="4"/>
  <c r="D73" i="48" s="1"/>
  <c r="E73" i="48"/>
  <c r="F83" i="4"/>
  <c r="D72" i="48" s="1"/>
  <c r="E72" i="48"/>
  <c r="F82" i="4"/>
  <c r="D71" i="48" s="1"/>
  <c r="E71" i="48"/>
  <c r="F81" i="4"/>
  <c r="D70" i="48" s="1"/>
  <c r="E70" i="48"/>
  <c r="F80" i="4"/>
  <c r="D69" i="48" s="1"/>
  <c r="E69" i="48"/>
  <c r="F79" i="4"/>
  <c r="D68" i="48" s="1"/>
  <c r="E68" i="48"/>
  <c r="F78" i="4"/>
  <c r="D67" i="48" s="1"/>
  <c r="E67" i="48"/>
  <c r="G114" i="48"/>
  <c r="G129" i="48"/>
  <c r="B93" i="48"/>
  <c r="B129" i="48"/>
  <c r="I31" i="10"/>
  <c r="C129" i="48"/>
  <c r="C127" i="48"/>
  <c r="C112" i="48"/>
  <c r="C114" i="48"/>
  <c r="C93" i="48"/>
  <c r="C128" i="48"/>
  <c r="C113" i="48"/>
  <c r="G1864" i="48" l="1"/>
  <c r="D98" i="34"/>
  <c r="B11" i="48" l="1"/>
  <c r="B10" i="48"/>
  <c r="B9" i="48"/>
  <c r="B6" i="48"/>
  <c r="B15" i="48"/>
  <c r="B14" i="48"/>
  <c r="B13" i="48"/>
  <c r="B1246" i="48" l="1"/>
  <c r="C2254" i="48"/>
  <c r="C2248" i="48"/>
  <c r="B136" i="48" l="1"/>
  <c r="B137" i="48"/>
  <c r="B138" i="48"/>
  <c r="B139" i="48"/>
  <c r="B133" i="48"/>
  <c r="B134" i="48"/>
  <c r="B125" i="48"/>
  <c r="B124" i="48"/>
  <c r="B123" i="48"/>
  <c r="B122" i="48"/>
  <c r="C138" i="48"/>
  <c r="C136" i="48"/>
  <c r="C134" i="48"/>
  <c r="C137" i="48"/>
  <c r="C133" i="48"/>
  <c r="C339" i="48"/>
  <c r="C139" i="48"/>
  <c r="F76" i="33" l="1"/>
  <c r="F73" i="33"/>
  <c r="B65" i="48" l="1"/>
  <c r="B67" i="48"/>
  <c r="B68" i="48"/>
  <c r="B69" i="48"/>
  <c r="B70" i="48"/>
  <c r="B71" i="48"/>
  <c r="B72" i="48"/>
  <c r="B73" i="48"/>
  <c r="B74" i="48"/>
  <c r="I64" i="33"/>
  <c r="I67" i="33"/>
  <c r="I70" i="33"/>
  <c r="I73" i="33"/>
  <c r="J73" i="33" s="1"/>
  <c r="I76" i="33"/>
  <c r="F67" i="33"/>
  <c r="F70" i="33"/>
  <c r="C66" i="48"/>
  <c r="C71" i="48"/>
  <c r="C67" i="48"/>
  <c r="C72" i="48"/>
  <c r="C68" i="48"/>
  <c r="C65" i="48"/>
  <c r="C74" i="48"/>
  <c r="C94" i="48"/>
  <c r="C69" i="48"/>
  <c r="C70" i="48"/>
  <c r="C73" i="48"/>
  <c r="J67" i="33" l="1"/>
  <c r="J76" i="33"/>
  <c r="J70" i="33"/>
  <c r="J64" i="33"/>
  <c r="G77" i="4" l="1"/>
  <c r="C110" i="48"/>
  <c r="C126" i="48"/>
  <c r="C122" i="48"/>
  <c r="C107" i="48"/>
  <c r="C124" i="48"/>
  <c r="C111" i="48"/>
  <c r="C108" i="48"/>
  <c r="C123" i="48"/>
  <c r="C109" i="48"/>
  <c r="C125" i="48"/>
  <c r="F77" i="4" l="1"/>
  <c r="D66" i="48" s="1"/>
  <c r="E66" i="48"/>
  <c r="B66" i="48"/>
  <c r="H77" i="4"/>
  <c r="F66" i="48" s="1"/>
  <c r="H64" i="34"/>
  <c r="G64" i="34"/>
  <c r="E64" i="34"/>
  <c r="D64" i="34"/>
  <c r="B991" i="48" l="1"/>
  <c r="B918" i="48"/>
  <c r="B770" i="48"/>
  <c r="B696" i="48"/>
  <c r="B83" i="48"/>
  <c r="C991" i="48"/>
  <c r="C696" i="48"/>
  <c r="C845" i="48"/>
  <c r="C770" i="48"/>
  <c r="C83" i="48"/>
  <c r="C1137" i="48"/>
  <c r="C918" i="48"/>
  <c r="C1064" i="48"/>
  <c r="B845" i="48" l="1"/>
  <c r="B1064" i="48"/>
  <c r="B1137" i="48" l="1"/>
  <c r="M82" i="33"/>
  <c r="O82" i="33" s="1"/>
  <c r="L76" i="33"/>
  <c r="L73" i="33"/>
  <c r="L70" i="33"/>
  <c r="L67" i="33"/>
  <c r="L82" i="33" l="1"/>
  <c r="B1274" i="48"/>
  <c r="B1252" i="48"/>
  <c r="B1207" i="48"/>
  <c r="C2253" i="48"/>
  <c r="C2243" i="48"/>
  <c r="C2246" i="48"/>
  <c r="C2247" i="48"/>
  <c r="C2245" i="48"/>
  <c r="C2244" i="48"/>
  <c r="C2249" i="48"/>
  <c r="C2251" i="48"/>
  <c r="C2250" i="48"/>
  <c r="C2252" i="48"/>
  <c r="B2176" i="48" l="1"/>
  <c r="D116" i="48"/>
  <c r="E116" i="48"/>
  <c r="E99" i="48"/>
  <c r="F99" i="48"/>
  <c r="F52" i="48"/>
  <c r="B2177" i="48"/>
  <c r="B2178" i="48"/>
  <c r="B2179" i="48"/>
  <c r="B2180" i="48"/>
  <c r="B2181" i="48"/>
  <c r="B2183" i="48"/>
  <c r="B2185" i="48"/>
  <c r="B2151" i="48"/>
  <c r="B2152" i="48"/>
  <c r="B2153" i="48"/>
  <c r="B2154" i="48"/>
  <c r="B2155" i="48"/>
  <c r="B2156" i="48"/>
  <c r="B2157" i="48"/>
  <c r="B2108" i="48"/>
  <c r="B2109" i="48"/>
  <c r="B2110" i="48"/>
  <c r="B2111" i="48"/>
  <c r="B2112" i="48"/>
  <c r="B2113" i="48"/>
  <c r="B2114" i="48"/>
  <c r="B2115" i="48"/>
  <c r="B2116" i="48"/>
  <c r="B2117" i="48"/>
  <c r="B2118" i="48"/>
  <c r="B2119" i="48"/>
  <c r="B2120" i="48"/>
  <c r="B2121" i="48"/>
  <c r="B2122" i="48"/>
  <c r="B2123" i="48"/>
  <c r="B2124" i="48"/>
  <c r="B2125" i="48"/>
  <c r="B2126" i="48"/>
  <c r="B2127" i="48"/>
  <c r="B2128" i="48"/>
  <c r="B2129" i="48"/>
  <c r="B2131" i="48"/>
  <c r="B2133" i="48"/>
  <c r="B2107" i="48"/>
  <c r="B2084" i="48"/>
  <c r="B2085" i="48"/>
  <c r="B2086" i="48"/>
  <c r="B2087" i="48"/>
  <c r="B2088" i="48"/>
  <c r="B2089" i="48"/>
  <c r="B2090" i="48"/>
  <c r="B2091" i="48"/>
  <c r="B2092" i="48"/>
  <c r="B2093" i="48"/>
  <c r="B2094" i="48"/>
  <c r="B2095" i="48"/>
  <c r="B2096" i="48"/>
  <c r="B2097" i="48"/>
  <c r="B2098" i="48"/>
  <c r="B2099" i="48"/>
  <c r="B2100" i="48"/>
  <c r="B2101" i="48"/>
  <c r="B2102" i="48"/>
  <c r="B2103" i="48"/>
  <c r="B2104" i="48"/>
  <c r="B2105" i="48"/>
  <c r="B2083" i="48"/>
  <c r="B57" i="48"/>
  <c r="C2121" i="48"/>
  <c r="C2130" i="48"/>
  <c r="C2160" i="48"/>
  <c r="C2128" i="48"/>
  <c r="C2113" i="48"/>
  <c r="C2083" i="48"/>
  <c r="C2137" i="48"/>
  <c r="C2143" i="48"/>
  <c r="C2098" i="48"/>
  <c r="C2097" i="48"/>
  <c r="C2173" i="48"/>
  <c r="C2140" i="48"/>
  <c r="C2154" i="48"/>
  <c r="C2088" i="48"/>
  <c r="C2131" i="48"/>
  <c r="C2108" i="48"/>
  <c r="C2147" i="48"/>
  <c r="C2124" i="48"/>
  <c r="C2167" i="48"/>
  <c r="C2157" i="48"/>
  <c r="C2102" i="48"/>
  <c r="C2141" i="48"/>
  <c r="C2106" i="48"/>
  <c r="C2162" i="48"/>
  <c r="C2100" i="48"/>
  <c r="C2158" i="48"/>
  <c r="C2163" i="48"/>
  <c r="C2155" i="48"/>
  <c r="C2087" i="48"/>
  <c r="C2142" i="48"/>
  <c r="C2094" i="48"/>
  <c r="C2185" i="48"/>
  <c r="C2150" i="48"/>
  <c r="C2120" i="48"/>
  <c r="C2115" i="48"/>
  <c r="C2112" i="48"/>
  <c r="C2110" i="48"/>
  <c r="C2169" i="48"/>
  <c r="C2089" i="48"/>
  <c r="C2127" i="48"/>
  <c r="C2165" i="48"/>
  <c r="C2114" i="48"/>
  <c r="C2138" i="48"/>
  <c r="C2123" i="48"/>
  <c r="C2172" i="48"/>
  <c r="C336" i="48"/>
  <c r="C2117" i="48"/>
  <c r="C2170" i="48"/>
  <c r="C2146" i="48"/>
  <c r="C2184" i="48"/>
  <c r="C2135" i="48"/>
  <c r="C2159" i="48"/>
  <c r="C2119" i="48"/>
  <c r="C2175" i="48"/>
  <c r="C2125" i="48"/>
  <c r="C2180" i="48"/>
  <c r="C2090" i="48"/>
  <c r="C2179" i="48"/>
  <c r="C2085" i="48"/>
  <c r="C2105" i="48"/>
  <c r="C2093" i="48"/>
  <c r="C2107" i="48"/>
  <c r="C2091" i="48"/>
  <c r="C2151" i="48"/>
  <c r="B2175" i="48" l="1"/>
  <c r="AU138" i="4"/>
  <c r="L138" i="4" s="1"/>
  <c r="G130" i="48" s="1"/>
  <c r="AU125" i="4"/>
  <c r="L125" i="4" s="1"/>
  <c r="G121" i="48" s="1"/>
  <c r="AU124" i="4"/>
  <c r="L124" i="4" s="1"/>
  <c r="G120" i="48" s="1"/>
  <c r="AU123" i="4"/>
  <c r="L123" i="4" s="1"/>
  <c r="G119" i="48" s="1"/>
  <c r="AU121" i="4"/>
  <c r="L121" i="4" s="1"/>
  <c r="G117" i="48" s="1"/>
  <c r="AC179" i="4"/>
  <c r="G102" i="4"/>
  <c r="F102" i="4" s="1"/>
  <c r="D90" i="48" s="1"/>
  <c r="G62" i="4"/>
  <c r="E52" i="48" s="1"/>
  <c r="C2096" i="48"/>
  <c r="C2174" i="48"/>
  <c r="C2132" i="48"/>
  <c r="C2084" i="48"/>
  <c r="C2101" i="48"/>
  <c r="C2156" i="48"/>
  <c r="C2153" i="48"/>
  <c r="C2166" i="48"/>
  <c r="C2103" i="48"/>
  <c r="C2133" i="48"/>
  <c r="C2149" i="48"/>
  <c r="C2118" i="48"/>
  <c r="C2116" i="48"/>
  <c r="C2176" i="48"/>
  <c r="C2182" i="48"/>
  <c r="C2086" i="48"/>
  <c r="C2104" i="48"/>
  <c r="C57" i="48"/>
  <c r="C2161" i="48"/>
  <c r="C2152" i="48"/>
  <c r="C2134" i="48"/>
  <c r="C2092" i="48"/>
  <c r="C2129" i="48"/>
  <c r="C2126" i="48"/>
  <c r="C2183" i="48"/>
  <c r="C2148" i="48"/>
  <c r="C2144" i="48"/>
  <c r="C2136" i="48"/>
  <c r="C2099" i="48"/>
  <c r="C2111" i="48"/>
  <c r="C2164" i="48"/>
  <c r="C2122" i="48"/>
  <c r="C2171" i="48"/>
  <c r="C2177" i="48"/>
  <c r="C2095" i="48"/>
  <c r="C2145" i="48"/>
  <c r="C2109" i="48"/>
  <c r="C2168" i="48"/>
  <c r="C2178" i="48"/>
  <c r="C2186" i="48"/>
  <c r="C2139" i="48"/>
  <c r="C2181" i="48"/>
  <c r="E57" i="48" l="1"/>
  <c r="H68" i="4"/>
  <c r="F57" i="48" s="1"/>
  <c r="B2174" i="48"/>
  <c r="B2150" i="48"/>
  <c r="H102" i="4"/>
  <c r="F90" i="48" s="1"/>
  <c r="E90" i="48"/>
  <c r="F68" i="4"/>
  <c r="D57" i="48" s="1"/>
  <c r="B2173" i="48" l="1"/>
  <c r="B2149" i="48"/>
  <c r="B2172" i="48" l="1"/>
  <c r="B2148" i="48"/>
  <c r="H85" i="38"/>
  <c r="H87" i="38"/>
  <c r="H83" i="38"/>
  <c r="H82" i="38"/>
  <c r="H81" i="38"/>
  <c r="H80" i="38"/>
  <c r="H79" i="38"/>
  <c r="H78" i="38"/>
  <c r="H77" i="38"/>
  <c r="H76" i="38"/>
  <c r="H75" i="38"/>
  <c r="H74" i="38"/>
  <c r="H44" i="38"/>
  <c r="H45" i="38"/>
  <c r="H46" i="38"/>
  <c r="H47" i="38"/>
  <c r="H48" i="38"/>
  <c r="H49" i="38"/>
  <c r="H50" i="38"/>
  <c r="H51" i="38"/>
  <c r="H52" i="38"/>
  <c r="H53" i="38"/>
  <c r="H54" i="38"/>
  <c r="F55" i="38"/>
  <c r="B2130" i="48" s="1"/>
  <c r="B2147" i="48" l="1"/>
  <c r="B2106" i="48"/>
  <c r="B2146" i="48" l="1"/>
  <c r="H43" i="38"/>
  <c r="B2171" i="48"/>
  <c r="H73" i="38"/>
  <c r="A315" i="45"/>
  <c r="A309" i="45"/>
  <c r="B1181" i="48"/>
  <c r="B1179" i="48"/>
  <c r="B1203" i="48"/>
  <c r="B1201" i="48"/>
  <c r="B1200" i="48"/>
  <c r="B1199" i="48"/>
  <c r="B1248" i="48"/>
  <c r="B1245" i="48"/>
  <c r="B1244" i="48"/>
  <c r="B1270" i="48"/>
  <c r="B1268" i="48"/>
  <c r="B1267" i="48"/>
  <c r="B1266" i="48"/>
  <c r="B1178" i="48"/>
  <c r="B1177" i="48"/>
  <c r="C1177" i="48"/>
  <c r="B2132" i="48" l="1"/>
  <c r="F88" i="38"/>
  <c r="B2170" i="48"/>
  <c r="H72" i="38"/>
  <c r="B2145" i="48"/>
  <c r="H42" i="38"/>
  <c r="B2144" i="48" l="1"/>
  <c r="H41" i="38"/>
  <c r="B2134" i="48"/>
  <c r="B2169" i="48"/>
  <c r="H71" i="38"/>
  <c r="F42" i="34"/>
  <c r="B1224" i="48" s="1"/>
  <c r="I42" i="34"/>
  <c r="B1290" i="48" s="1"/>
  <c r="B2143" i="48" l="1"/>
  <c r="H40" i="38"/>
  <c r="B2168" i="48"/>
  <c r="H70" i="38"/>
  <c r="J42" i="34"/>
  <c r="B2167" i="48" l="1"/>
  <c r="H69" i="38"/>
  <c r="B2142" i="48"/>
  <c r="H39" i="38"/>
  <c r="B1312" i="48"/>
  <c r="B2166" i="48" l="1"/>
  <c r="H68" i="38"/>
  <c r="B2141" i="48"/>
  <c r="H38" i="38"/>
  <c r="B2165" i="48" l="1"/>
  <c r="H67" i="38"/>
  <c r="B2140" i="48"/>
  <c r="H37" i="38"/>
  <c r="B2139" i="48" l="1"/>
  <c r="H36" i="38"/>
  <c r="B2164" i="48"/>
  <c r="H66" i="38"/>
  <c r="G49" i="34"/>
  <c r="B1253" i="48" s="1"/>
  <c r="H49" i="34"/>
  <c r="B1275" i="48" s="1"/>
  <c r="E49" i="34"/>
  <c r="B1208" i="48" s="1"/>
  <c r="D49" i="34"/>
  <c r="B1185" i="48"/>
  <c r="I48" i="34"/>
  <c r="B1296" i="48" s="1"/>
  <c r="F48" i="34"/>
  <c r="B1230" i="48" s="1"/>
  <c r="B2163" i="48" l="1"/>
  <c r="H65" i="38"/>
  <c r="B2138" i="48"/>
  <c r="H35" i="38"/>
  <c r="J48" i="34"/>
  <c r="B1186" i="48"/>
  <c r="H117" i="33"/>
  <c r="G117" i="33"/>
  <c r="E117" i="33"/>
  <c r="D117" i="33"/>
  <c r="H59" i="36" s="1"/>
  <c r="B2137" i="48" l="1"/>
  <c r="H34" i="38"/>
  <c r="M48" i="34"/>
  <c r="L48" i="34" s="1"/>
  <c r="D1318" i="48" s="1"/>
  <c r="B1318" i="48"/>
  <c r="B2162" i="48"/>
  <c r="H64" i="38"/>
  <c r="E1318" i="48" l="1"/>
  <c r="O48" i="34"/>
  <c r="F1318" i="48" s="1"/>
  <c r="B2161" i="48"/>
  <c r="H63" i="38"/>
  <c r="B2136" i="48"/>
  <c r="H33" i="38"/>
  <c r="B1018" i="48"/>
  <c r="B945" i="48"/>
  <c r="B798" i="48"/>
  <c r="B723" i="48"/>
  <c r="C1016" i="48"/>
  <c r="C1018" i="48"/>
  <c r="C945" i="48"/>
  <c r="C723" i="48"/>
  <c r="C1017" i="48"/>
  <c r="C1091" i="48"/>
  <c r="C872" i="48"/>
  <c r="C1164" i="48"/>
  <c r="B2160" i="48" l="1"/>
  <c r="H62" i="38"/>
  <c r="B2135" i="48"/>
  <c r="G55" i="38"/>
  <c r="H32" i="38"/>
  <c r="I114" i="33"/>
  <c r="B1090" i="48" s="1"/>
  <c r="I115" i="33"/>
  <c r="B1091" i="48" s="1"/>
  <c r="F114" i="33"/>
  <c r="F115" i="33"/>
  <c r="B1017" i="48"/>
  <c r="B944" i="48"/>
  <c r="B797" i="48"/>
  <c r="B722" i="48"/>
  <c r="C797" i="48"/>
  <c r="C917" i="48"/>
  <c r="C990" i="48"/>
  <c r="C844" i="48"/>
  <c r="C944" i="48"/>
  <c r="C769" i="48"/>
  <c r="C1063" i="48"/>
  <c r="C871" i="48"/>
  <c r="C722" i="48"/>
  <c r="C695" i="48"/>
  <c r="C1136" i="48"/>
  <c r="C1090" i="48"/>
  <c r="C1163" i="48"/>
  <c r="B2158" i="48" l="1"/>
  <c r="B2159" i="48"/>
  <c r="H61" i="38"/>
  <c r="J114" i="33"/>
  <c r="B1163" i="48" s="1"/>
  <c r="B871" i="48"/>
  <c r="B872" i="48"/>
  <c r="J115" i="33"/>
  <c r="B1164" i="48" s="1"/>
  <c r="B990" i="48"/>
  <c r="B917" i="48"/>
  <c r="B769" i="48"/>
  <c r="B695" i="48"/>
  <c r="M114" i="33" l="1"/>
  <c r="O114" i="33" s="1"/>
  <c r="F1163" i="48" s="1"/>
  <c r="B2182" i="48"/>
  <c r="H84" i="38"/>
  <c r="M115" i="33"/>
  <c r="O115" i="33" s="1"/>
  <c r="F1164" i="48" s="1"/>
  <c r="C126" i="36"/>
  <c r="C113" i="36"/>
  <c r="E1163" i="48" l="1"/>
  <c r="L114" i="33"/>
  <c r="D1163" i="48" s="1"/>
  <c r="B2184" i="48"/>
  <c r="H86" i="38"/>
  <c r="H88" i="38" s="1"/>
  <c r="G88" i="38"/>
  <c r="B2186" i="48" s="1"/>
  <c r="L115" i="33"/>
  <c r="D1164" i="48" s="1"/>
  <c r="E1164" i="48"/>
  <c r="B844" i="48"/>
  <c r="B1063" i="48"/>
  <c r="B1136" i="48" l="1"/>
  <c r="M81" i="33"/>
  <c r="D1134" i="48"/>
  <c r="D1131" i="48"/>
  <c r="D1128" i="48"/>
  <c r="D1125" i="48"/>
  <c r="D1123" i="48"/>
  <c r="D1122" i="48"/>
  <c r="O81" i="33" l="1"/>
  <c r="F1136" i="48" s="1"/>
  <c r="L81" i="33"/>
  <c r="D1136" i="48" s="1"/>
  <c r="E1136" i="48"/>
  <c r="A1" i="34"/>
  <c r="A1" i="4"/>
  <c r="B987" i="48" l="1"/>
  <c r="B1455" i="48"/>
  <c r="O67" i="33" l="1"/>
  <c r="O70" i="33" s="1"/>
  <c r="O73" i="33" s="1"/>
  <c r="O76" i="33" s="1"/>
  <c r="BT543" i="4" l="1"/>
  <c r="H67" i="4" l="1"/>
  <c r="G67" i="4"/>
  <c r="E186" i="4"/>
  <c r="F49" i="34" l="1"/>
  <c r="B1231" i="48" s="1"/>
  <c r="I49" i="34"/>
  <c r="B1297" i="48" s="1"/>
  <c r="J49" i="34" l="1"/>
  <c r="M49" i="34" l="1"/>
  <c r="B1319" i="48"/>
  <c r="H52" i="35"/>
  <c r="G52" i="35"/>
  <c r="E52" i="35"/>
  <c r="D52" i="35"/>
  <c r="E1319" i="48" l="1"/>
  <c r="O49" i="34"/>
  <c r="F1319" i="48" s="1"/>
  <c r="L49" i="34"/>
  <c r="D1319" i="48" s="1"/>
  <c r="B1625" i="48" l="1"/>
  <c r="B1624" i="48"/>
  <c r="B1623" i="48"/>
  <c r="B1622" i="48"/>
  <c r="B1621" i="48"/>
  <c r="B1620" i="48"/>
  <c r="B1619" i="48"/>
  <c r="B1618" i="48"/>
  <c r="B1617" i="48"/>
  <c r="B1615" i="48"/>
  <c r="B1614" i="48"/>
  <c r="B1613" i="48"/>
  <c r="B1612" i="48"/>
  <c r="B1611" i="48"/>
  <c r="B1610" i="48"/>
  <c r="B1609" i="48"/>
  <c r="B1608" i="48"/>
  <c r="B1607" i="48"/>
  <c r="B1606" i="48"/>
  <c r="B1605" i="48"/>
  <c r="B1604" i="48"/>
  <c r="B1603" i="48"/>
  <c r="B1602" i="48"/>
  <c r="B1601" i="48"/>
  <c r="B1600" i="48"/>
  <c r="B1599" i="48"/>
  <c r="B1598" i="48"/>
  <c r="B1597" i="48"/>
  <c r="B1596" i="48"/>
  <c r="B1595" i="48"/>
  <c r="B1594" i="48"/>
  <c r="B1593" i="48"/>
  <c r="B1592" i="48"/>
  <c r="B1591" i="48"/>
  <c r="B1590" i="48"/>
  <c r="B1589" i="48"/>
  <c r="B1588" i="48"/>
  <c r="B1586" i="48"/>
  <c r="B1585" i="48"/>
  <c r="B1584" i="48"/>
  <c r="B1571" i="48"/>
  <c r="B1570" i="48"/>
  <c r="B1569" i="48"/>
  <c r="B1568" i="48"/>
  <c r="B1567" i="48"/>
  <c r="B1566" i="48"/>
  <c r="B1565" i="48"/>
  <c r="B1564" i="48"/>
  <c r="B1563" i="48"/>
  <c r="B1561" i="48"/>
  <c r="B1560" i="48"/>
  <c r="B1559" i="48"/>
  <c r="B1558" i="48"/>
  <c r="B1557" i="48"/>
  <c r="B1556" i="48"/>
  <c r="B1555" i="48"/>
  <c r="B1554" i="48"/>
  <c r="B1553" i="48"/>
  <c r="B1552" i="48"/>
  <c r="B1551" i="48"/>
  <c r="B1550" i="48"/>
  <c r="B1549" i="48"/>
  <c r="B1548" i="48"/>
  <c r="B1547" i="48"/>
  <c r="B1546" i="48"/>
  <c r="B1545" i="48"/>
  <c r="B1544" i="48"/>
  <c r="B1543" i="48"/>
  <c r="B1542" i="48"/>
  <c r="B1541" i="48"/>
  <c r="B1540" i="48"/>
  <c r="B1539" i="48"/>
  <c r="B1538" i="48"/>
  <c r="B1537" i="48"/>
  <c r="B1536" i="48"/>
  <c r="B1535" i="48"/>
  <c r="B1534" i="48"/>
  <c r="B1532" i="48"/>
  <c r="B1531" i="48"/>
  <c r="B1530" i="48"/>
  <c r="B1461" i="48"/>
  <c r="B1460" i="48"/>
  <c r="B1459" i="48"/>
  <c r="B1458" i="48"/>
  <c r="B1457" i="48"/>
  <c r="B1456" i="48"/>
  <c r="B1454" i="48"/>
  <c r="B1453" i="48"/>
  <c r="B1450" i="48"/>
  <c r="B1449" i="48"/>
  <c r="B1448" i="48"/>
  <c r="B1447" i="48"/>
  <c r="B1446" i="48"/>
  <c r="B1445" i="48"/>
  <c r="B1444" i="48"/>
  <c r="B1443" i="48"/>
  <c r="B1442" i="48"/>
  <c r="B1441" i="48"/>
  <c r="B1440" i="48"/>
  <c r="B1439" i="48"/>
  <c r="B1438" i="48"/>
  <c r="B1437" i="48"/>
  <c r="B1436" i="48"/>
  <c r="B1435" i="48"/>
  <c r="B1434" i="48"/>
  <c r="B1433" i="48"/>
  <c r="B1432" i="48"/>
  <c r="B1431" i="48"/>
  <c r="B1430" i="48"/>
  <c r="B1429" i="48"/>
  <c r="B1428" i="48"/>
  <c r="B1427" i="48"/>
  <c r="B1426" i="48"/>
  <c r="B1425" i="48"/>
  <c r="B1424" i="48"/>
  <c r="B1423" i="48"/>
  <c r="B1420" i="48"/>
  <c r="B1419" i="48"/>
  <c r="B1418" i="48"/>
  <c r="B1405" i="48"/>
  <c r="B1404" i="48"/>
  <c r="B1403" i="48"/>
  <c r="B1402" i="48"/>
  <c r="B1401" i="48"/>
  <c r="B1400" i="48"/>
  <c r="B1399" i="48"/>
  <c r="B1398" i="48"/>
  <c r="B1397" i="48"/>
  <c r="B1395" i="48"/>
  <c r="B1394" i="48"/>
  <c r="B1393" i="48"/>
  <c r="B1392" i="48"/>
  <c r="B1391" i="48"/>
  <c r="B1390" i="48"/>
  <c r="B1389" i="48"/>
  <c r="B1388" i="48"/>
  <c r="B1387" i="48"/>
  <c r="B1386" i="48"/>
  <c r="B1385" i="48"/>
  <c r="B1384" i="48"/>
  <c r="B1383" i="48"/>
  <c r="B1382" i="48"/>
  <c r="B1381" i="48"/>
  <c r="B1380" i="48"/>
  <c r="B1379" i="48"/>
  <c r="B1378" i="48"/>
  <c r="B1377" i="48"/>
  <c r="B1376" i="48"/>
  <c r="B1375" i="48"/>
  <c r="B1374" i="48"/>
  <c r="B1373" i="48"/>
  <c r="B1372" i="48"/>
  <c r="B1371" i="48"/>
  <c r="B1370" i="48"/>
  <c r="B1369" i="48"/>
  <c r="B1368" i="48"/>
  <c r="B1366" i="48"/>
  <c r="B1365" i="48"/>
  <c r="B1364" i="48"/>
  <c r="C1418" i="48"/>
  <c r="C1476" i="48"/>
  <c r="C1530" i="48"/>
  <c r="C1692" i="48"/>
  <c r="C1364" i="48"/>
  <c r="C1638" i="48"/>
  <c r="C1584" i="48"/>
  <c r="B1348" i="48" l="1"/>
  <c r="B1347" i="48"/>
  <c r="B1346" i="48"/>
  <c r="B1345" i="48"/>
  <c r="B1344" i="48"/>
  <c r="B1343" i="48"/>
  <c r="B1342" i="48"/>
  <c r="B1341" i="48"/>
  <c r="B1340" i="48"/>
  <c r="B1339" i="48"/>
  <c r="B1338" i="48"/>
  <c r="B1336" i="48"/>
  <c r="B1335" i="48"/>
  <c r="B1334" i="48"/>
  <c r="B1333" i="48"/>
  <c r="B1332" i="48"/>
  <c r="B1331" i="48"/>
  <c r="B1330" i="48"/>
  <c r="B1329" i="48"/>
  <c r="B1328" i="48"/>
  <c r="D1135" i="48" l="1"/>
  <c r="D1132" i="48"/>
  <c r="D1129" i="48"/>
  <c r="D1126" i="48"/>
  <c r="B1169" i="48"/>
  <c r="B1168" i="48"/>
  <c r="B1167" i="48"/>
  <c r="B1166" i="48"/>
  <c r="B1021" i="48"/>
  <c r="B1020" i="48"/>
  <c r="B994" i="48" l="1"/>
  <c r="B995" i="48"/>
  <c r="B996" i="48"/>
  <c r="B997" i="48"/>
  <c r="B998" i="48"/>
  <c r="B999" i="48"/>
  <c r="B1000" i="48"/>
  <c r="B1001" i="48"/>
  <c r="B1002" i="48"/>
  <c r="B1003" i="48"/>
  <c r="B1004" i="48"/>
  <c r="B1005" i="48"/>
  <c r="B1006" i="48"/>
  <c r="B1007" i="48"/>
  <c r="B1008" i="48"/>
  <c r="B1009" i="48"/>
  <c r="B1010" i="48"/>
  <c r="B1011" i="48"/>
  <c r="B1012" i="48"/>
  <c r="B1013" i="48"/>
  <c r="B1014" i="48"/>
  <c r="B1015" i="48"/>
  <c r="B1016" i="48"/>
  <c r="B993" i="48"/>
  <c r="B984" i="48"/>
  <c r="B981" i="48"/>
  <c r="B978" i="48"/>
  <c r="B975" i="48"/>
  <c r="B974" i="48"/>
  <c r="B948" i="48"/>
  <c r="B947" i="48"/>
  <c r="B943" i="48"/>
  <c r="B942" i="48"/>
  <c r="B941" i="48"/>
  <c r="B940" i="48"/>
  <c r="B939" i="48"/>
  <c r="B938" i="48"/>
  <c r="B937" i="48"/>
  <c r="B936" i="48"/>
  <c r="B935" i="48"/>
  <c r="B934" i="48"/>
  <c r="B933" i="48"/>
  <c r="B932" i="48"/>
  <c r="B931" i="48"/>
  <c r="B930" i="48"/>
  <c r="B929" i="48"/>
  <c r="B928" i="48"/>
  <c r="B927" i="48"/>
  <c r="B926" i="48"/>
  <c r="B925" i="48"/>
  <c r="B924" i="48"/>
  <c r="B923" i="48"/>
  <c r="B922" i="48"/>
  <c r="B921" i="48"/>
  <c r="B920" i="48"/>
  <c r="B914" i="48"/>
  <c r="B911" i="48"/>
  <c r="B908" i="48"/>
  <c r="B905" i="48"/>
  <c r="B902" i="48"/>
  <c r="B901" i="48"/>
  <c r="B802" i="48"/>
  <c r="B801" i="48"/>
  <c r="B796" i="48"/>
  <c r="B795" i="48"/>
  <c r="B794" i="48"/>
  <c r="B793" i="48"/>
  <c r="B792" i="48"/>
  <c r="B791" i="48"/>
  <c r="B790" i="48"/>
  <c r="B789" i="48"/>
  <c r="B788" i="48"/>
  <c r="B787" i="48"/>
  <c r="B786" i="48"/>
  <c r="B785" i="48"/>
  <c r="B784" i="48"/>
  <c r="B783" i="48"/>
  <c r="B782" i="48"/>
  <c r="B781" i="48"/>
  <c r="B780" i="48"/>
  <c r="B779" i="48"/>
  <c r="B778" i="48"/>
  <c r="B777" i="48"/>
  <c r="B776" i="48"/>
  <c r="B775" i="48"/>
  <c r="B774" i="48"/>
  <c r="B773" i="48"/>
  <c r="B766" i="48"/>
  <c r="B763" i="48"/>
  <c r="B760" i="48"/>
  <c r="B757" i="48"/>
  <c r="B754" i="48"/>
  <c r="B753" i="48"/>
  <c r="B726" i="48"/>
  <c r="B725" i="48"/>
  <c r="B721" i="48"/>
  <c r="B720" i="48"/>
  <c r="B719" i="48"/>
  <c r="B718" i="48"/>
  <c r="B717" i="48"/>
  <c r="B716" i="48"/>
  <c r="B715" i="48"/>
  <c r="B714" i="48"/>
  <c r="B713" i="48"/>
  <c r="B712" i="48"/>
  <c r="B711" i="48"/>
  <c r="B710" i="48"/>
  <c r="B709" i="48"/>
  <c r="B708" i="48"/>
  <c r="B707" i="48"/>
  <c r="B706" i="48"/>
  <c r="B705" i="48"/>
  <c r="B704" i="48"/>
  <c r="B703" i="48"/>
  <c r="B702" i="48"/>
  <c r="B701" i="48"/>
  <c r="B700" i="48"/>
  <c r="B699" i="48"/>
  <c r="B698" i="48"/>
  <c r="B692" i="48"/>
  <c r="B689" i="48"/>
  <c r="B686" i="48"/>
  <c r="B683" i="48" l="1"/>
  <c r="B680" i="48"/>
  <c r="B679" i="48"/>
  <c r="B154" i="48" l="1"/>
  <c r="B152" i="48"/>
  <c r="B151" i="48"/>
  <c r="B145" i="48"/>
  <c r="B144" i="48"/>
  <c r="B143" i="48"/>
  <c r="B132" i="48"/>
  <c r="B135" i="48"/>
  <c r="B140" i="48"/>
  <c r="B141" i="48"/>
  <c r="B131" i="48"/>
  <c r="B37" i="48" l="1"/>
  <c r="B38" i="48"/>
  <c r="B39" i="48"/>
  <c r="B40" i="48"/>
  <c r="B36" i="48"/>
  <c r="B2681" i="48" l="1"/>
  <c r="B2680" i="48"/>
  <c r="B2679" i="48"/>
  <c r="B2636" i="48"/>
  <c r="B2635" i="48"/>
  <c r="B2633" i="48"/>
  <c r="B2632" i="48"/>
  <c r="B2631" i="48"/>
  <c r="B2630" i="48"/>
  <c r="B2629" i="48"/>
  <c r="B2628" i="48"/>
  <c r="B2626" i="48"/>
  <c r="B2625" i="48"/>
  <c r="B2624" i="48"/>
  <c r="B2623" i="48"/>
  <c r="B2622" i="48"/>
  <c r="B2621" i="48"/>
  <c r="B2620" i="48"/>
  <c r="B2619" i="48"/>
  <c r="B2618" i="48"/>
  <c r="B2617" i="48"/>
  <c r="B2616" i="48"/>
  <c r="B2615" i="48"/>
  <c r="B2613" i="48"/>
  <c r="B2612" i="48"/>
  <c r="B2611" i="48"/>
  <c r="B2610" i="48"/>
  <c r="B2609" i="48"/>
  <c r="B2608" i="48"/>
  <c r="B2606" i="48"/>
  <c r="B2605" i="48"/>
  <c r="B2604" i="48"/>
  <c r="B2603" i="48"/>
  <c r="B2602" i="48"/>
  <c r="B2601" i="48"/>
  <c r="B2600" i="48"/>
  <c r="B2599" i="48"/>
  <c r="B2598" i="48"/>
  <c r="B2597" i="48"/>
  <c r="B2554" i="48"/>
  <c r="B2553" i="48"/>
  <c r="B2551" i="48"/>
  <c r="B2550" i="48"/>
  <c r="B2549" i="48"/>
  <c r="B2548" i="48"/>
  <c r="B2547" i="48"/>
  <c r="B2546" i="48"/>
  <c r="B2544" i="48"/>
  <c r="B2543" i="48"/>
  <c r="B2542" i="48"/>
  <c r="B2541" i="48"/>
  <c r="B2540" i="48"/>
  <c r="B2539" i="48"/>
  <c r="B2538" i="48"/>
  <c r="B2537" i="48"/>
  <c r="B2536" i="48"/>
  <c r="B2535" i="48"/>
  <c r="B2534" i="48"/>
  <c r="B2533" i="48"/>
  <c r="B2531" i="48"/>
  <c r="B2530" i="48"/>
  <c r="B2529" i="48"/>
  <c r="B2528" i="48"/>
  <c r="B2527" i="48"/>
  <c r="B2526" i="48"/>
  <c r="B2524" i="48"/>
  <c r="B2523" i="48"/>
  <c r="B2522" i="48"/>
  <c r="B2521" i="48"/>
  <c r="B2520" i="48"/>
  <c r="B2519" i="48"/>
  <c r="B2518" i="48"/>
  <c r="B2517" i="48"/>
  <c r="B2516" i="48"/>
  <c r="B2515" i="48"/>
  <c r="B2512" i="48"/>
  <c r="B2510" i="48"/>
  <c r="B2509" i="48"/>
  <c r="B2508" i="48"/>
  <c r="B2507" i="48"/>
  <c r="B2506" i="48"/>
  <c r="B2505" i="48"/>
  <c r="B2503" i="48"/>
  <c r="B2502" i="48"/>
  <c r="B2501" i="48"/>
  <c r="B2500" i="48"/>
  <c r="B2499" i="48"/>
  <c r="B2498" i="48"/>
  <c r="B2497" i="48"/>
  <c r="B2496" i="48"/>
  <c r="B2495" i="48"/>
  <c r="B2494" i="48"/>
  <c r="B2493" i="48"/>
  <c r="B2492" i="48"/>
  <c r="B2490" i="48"/>
  <c r="B2489" i="48"/>
  <c r="B2488" i="48"/>
  <c r="B2487" i="48"/>
  <c r="B2486" i="48"/>
  <c r="B2485" i="48"/>
  <c r="B2483" i="48"/>
  <c r="B2482" i="48"/>
  <c r="B2481" i="48"/>
  <c r="B2480" i="48"/>
  <c r="B2479" i="48"/>
  <c r="B2478" i="48"/>
  <c r="B2477" i="48"/>
  <c r="B2476" i="48"/>
  <c r="B2475" i="48"/>
  <c r="B2474" i="48"/>
  <c r="G2472" i="48"/>
  <c r="B2472" i="48"/>
  <c r="G2471" i="48"/>
  <c r="B2471" i="48"/>
  <c r="G2470" i="48"/>
  <c r="B2470" i="48"/>
  <c r="G2469" i="48"/>
  <c r="B2469" i="48"/>
  <c r="G2468" i="48"/>
  <c r="B2468" i="48"/>
  <c r="G2467" i="48"/>
  <c r="B2467" i="48"/>
  <c r="G2466" i="48"/>
  <c r="B2466" i="48"/>
  <c r="G2465" i="48"/>
  <c r="B2465" i="48"/>
  <c r="G2464" i="48"/>
  <c r="B2464" i="48"/>
  <c r="G2463" i="48"/>
  <c r="B2463" i="48"/>
  <c r="G2462" i="48"/>
  <c r="B2462" i="48"/>
  <c r="G2461" i="48"/>
  <c r="B2461" i="48"/>
  <c r="G2460" i="48"/>
  <c r="B2460" i="48"/>
  <c r="G2459" i="48"/>
  <c r="B2459" i="48"/>
  <c r="G2458" i="48"/>
  <c r="B2458" i="48"/>
  <c r="G2456" i="48"/>
  <c r="B2456" i="48"/>
  <c r="G2455" i="48"/>
  <c r="B2455" i="48"/>
  <c r="G2454" i="48"/>
  <c r="B2454" i="48"/>
  <c r="G2453" i="48"/>
  <c r="B2453" i="48"/>
  <c r="G2452" i="48"/>
  <c r="B2452" i="48"/>
  <c r="G2451" i="48"/>
  <c r="B2451" i="48"/>
  <c r="G2450" i="48"/>
  <c r="B2450" i="48"/>
  <c r="G2449" i="48"/>
  <c r="B2449" i="48"/>
  <c r="G2448" i="48"/>
  <c r="B2448" i="48"/>
  <c r="G2447" i="48"/>
  <c r="B2447" i="48"/>
  <c r="G2446" i="48"/>
  <c r="B2446" i="48"/>
  <c r="G2445" i="48"/>
  <c r="B2445" i="48"/>
  <c r="G2444" i="48"/>
  <c r="B2444" i="48"/>
  <c r="G2443" i="48"/>
  <c r="B2443" i="48"/>
  <c r="G2442" i="48"/>
  <c r="B2442" i="48"/>
  <c r="B2440" i="48"/>
  <c r="B2438" i="48"/>
  <c r="B2437" i="48"/>
  <c r="B2436" i="48"/>
  <c r="B2435" i="48"/>
  <c r="B2433" i="48"/>
  <c r="B2432" i="48"/>
  <c r="B2431" i="48"/>
  <c r="B2430" i="48"/>
  <c r="B2428" i="48"/>
  <c r="B2427" i="48"/>
  <c r="B2426" i="48"/>
  <c r="B2425" i="48"/>
  <c r="B2423" i="48"/>
  <c r="B2421" i="48"/>
  <c r="B2420" i="48"/>
  <c r="B2419" i="48"/>
  <c r="B2418" i="48"/>
  <c r="B2416" i="48"/>
  <c r="B2415" i="48"/>
  <c r="B2414" i="48"/>
  <c r="B2413" i="48"/>
  <c r="B2411" i="48"/>
  <c r="B2410" i="48"/>
  <c r="B2409" i="48"/>
  <c r="B2408" i="48"/>
  <c r="B2406" i="48"/>
  <c r="B2404" i="48"/>
  <c r="B2403" i="48"/>
  <c r="B2402" i="48"/>
  <c r="B2401" i="48"/>
  <c r="B2399" i="48"/>
  <c r="B2398" i="48"/>
  <c r="B2397" i="48"/>
  <c r="B2396" i="48"/>
  <c r="B2394" i="48"/>
  <c r="B2393" i="48"/>
  <c r="B2392" i="48"/>
  <c r="B2391" i="48"/>
  <c r="B2389" i="48"/>
  <c r="B2387" i="48"/>
  <c r="B2386" i="48"/>
  <c r="B2385" i="48"/>
  <c r="B2384" i="48"/>
  <c r="B2382" i="48"/>
  <c r="B2381" i="48"/>
  <c r="B2380" i="48"/>
  <c r="B2379" i="48"/>
  <c r="B2377" i="48"/>
  <c r="B2376" i="48"/>
  <c r="B2375" i="48"/>
  <c r="B2374" i="48"/>
  <c r="B2372" i="48"/>
  <c r="B2370" i="48"/>
  <c r="B2369" i="48"/>
  <c r="B2368" i="48"/>
  <c r="B2367" i="48"/>
  <c r="B2365" i="48"/>
  <c r="B2364" i="48"/>
  <c r="B2363" i="48"/>
  <c r="B2362" i="48"/>
  <c r="B2360" i="48"/>
  <c r="B2359" i="48"/>
  <c r="B2358" i="48"/>
  <c r="B2357" i="48"/>
  <c r="B2304" i="48"/>
  <c r="B2302" i="48"/>
  <c r="B2301" i="48"/>
  <c r="B2300" i="48"/>
  <c r="B2299" i="48"/>
  <c r="B2297" i="48"/>
  <c r="B2296" i="48"/>
  <c r="B2295" i="48"/>
  <c r="B2294" i="48"/>
  <c r="B2292" i="48"/>
  <c r="B2291" i="48"/>
  <c r="B2290" i="48"/>
  <c r="B2289" i="48"/>
  <c r="B2287" i="48"/>
  <c r="B2285" i="48"/>
  <c r="B2284" i="48"/>
  <c r="B2283" i="48"/>
  <c r="B2282" i="48"/>
  <c r="B2280" i="48"/>
  <c r="B2279" i="48"/>
  <c r="B2278" i="48"/>
  <c r="B2277" i="48"/>
  <c r="B2275" i="48"/>
  <c r="B2274" i="48"/>
  <c r="B2273" i="48"/>
  <c r="B2272" i="48"/>
  <c r="B2253" i="48"/>
  <c r="B2252" i="48"/>
  <c r="B2251" i="48"/>
  <c r="B2250" i="48"/>
  <c r="B2249" i="48"/>
  <c r="B2247" i="48"/>
  <c r="B2246" i="48"/>
  <c r="B2245" i="48"/>
  <c r="B2244" i="48"/>
  <c r="B2243" i="48"/>
  <c r="G2239" i="48"/>
  <c r="B2239" i="48"/>
  <c r="G2238" i="48"/>
  <c r="B2238" i="48"/>
  <c r="G2237" i="48"/>
  <c r="B2237" i="48"/>
  <c r="G2236" i="48"/>
  <c r="B2236" i="48"/>
  <c r="G2235" i="48"/>
  <c r="B2235" i="48"/>
  <c r="B2234" i="48"/>
  <c r="B2233" i="48"/>
  <c r="B2232" i="48"/>
  <c r="B2231" i="48"/>
  <c r="B2230" i="48"/>
  <c r="B2229" i="48"/>
  <c r="B2228" i="48"/>
  <c r="B2227" i="48"/>
  <c r="B2226" i="48"/>
  <c r="B2225" i="48"/>
  <c r="B2224" i="48"/>
  <c r="B2223" i="48"/>
  <c r="B2222" i="48"/>
  <c r="B2221" i="48"/>
  <c r="B2220" i="48"/>
  <c r="B2219" i="48"/>
  <c r="B2218" i="48"/>
  <c r="B2217" i="48"/>
  <c r="B2216" i="48"/>
  <c r="B2215" i="48"/>
  <c r="B2214" i="48"/>
  <c r="B2213" i="48"/>
  <c r="G2209" i="48"/>
  <c r="B2209" i="48"/>
  <c r="G2208" i="48"/>
  <c r="B2208" i="48"/>
  <c r="G2207" i="48"/>
  <c r="B2207" i="48"/>
  <c r="G2206" i="48"/>
  <c r="B2206" i="48"/>
  <c r="G2205" i="48"/>
  <c r="B2205" i="48"/>
  <c r="B2204" i="48"/>
  <c r="B2203" i="48"/>
  <c r="B2202" i="48"/>
  <c r="B2201" i="48"/>
  <c r="B2200" i="48"/>
  <c r="B2199" i="48"/>
  <c r="B2198" i="48"/>
  <c r="B2197" i="48"/>
  <c r="B2196" i="48"/>
  <c r="B2195" i="48"/>
  <c r="B2194" i="48"/>
  <c r="B2193" i="48"/>
  <c r="B2192" i="48"/>
  <c r="B2191" i="48"/>
  <c r="B2190" i="48"/>
  <c r="B2189" i="48"/>
  <c r="B2188" i="48"/>
  <c r="B2187" i="48"/>
  <c r="G2080" i="48"/>
  <c r="G2079" i="48"/>
  <c r="G2078" i="48"/>
  <c r="G2077" i="48"/>
  <c r="G2076" i="48"/>
  <c r="G2075" i="48"/>
  <c r="G2074" i="48"/>
  <c r="G2073" i="48"/>
  <c r="G2072" i="48"/>
  <c r="G2071" i="48"/>
  <c r="G2070" i="48"/>
  <c r="G2069" i="48"/>
  <c r="G2068" i="48"/>
  <c r="G2067" i="48"/>
  <c r="G2066" i="48"/>
  <c r="G2065" i="48"/>
  <c r="G2064" i="48"/>
  <c r="G2063" i="48"/>
  <c r="G2062" i="48"/>
  <c r="G2061" i="48"/>
  <c r="G2032" i="48"/>
  <c r="G2031" i="48"/>
  <c r="G2030" i="48"/>
  <c r="G2029" i="48"/>
  <c r="G2028" i="48"/>
  <c r="G2027" i="48"/>
  <c r="G2026" i="48"/>
  <c r="G2025" i="48"/>
  <c r="G2024" i="48"/>
  <c r="G2023" i="48"/>
  <c r="G2022" i="48"/>
  <c r="G2021" i="48"/>
  <c r="G2020" i="48"/>
  <c r="G2019" i="48"/>
  <c r="G2018" i="48"/>
  <c r="G2017" i="48"/>
  <c r="G2016" i="48"/>
  <c r="G2015" i="48"/>
  <c r="G2014" i="48"/>
  <c r="G2013" i="48"/>
  <c r="G1984" i="48"/>
  <c r="B1984" i="48"/>
  <c r="G1983" i="48"/>
  <c r="B1983" i="48"/>
  <c r="G1982" i="48"/>
  <c r="B1982" i="48"/>
  <c r="G1981" i="48"/>
  <c r="B1981" i="48"/>
  <c r="G1980" i="48"/>
  <c r="B1980" i="48"/>
  <c r="G1979" i="48"/>
  <c r="B1979" i="48"/>
  <c r="G1978" i="48"/>
  <c r="B1978" i="48"/>
  <c r="G1977" i="48"/>
  <c r="B1977" i="48"/>
  <c r="G1976" i="48"/>
  <c r="B1976" i="48"/>
  <c r="G1975" i="48"/>
  <c r="B1975" i="48"/>
  <c r="G1974" i="48"/>
  <c r="B1974" i="48"/>
  <c r="G1973" i="48"/>
  <c r="B1973" i="48"/>
  <c r="G1972" i="48"/>
  <c r="B1972" i="48"/>
  <c r="G1971" i="48"/>
  <c r="B1971" i="48"/>
  <c r="G1970" i="48"/>
  <c r="B1970" i="48"/>
  <c r="G1969" i="48"/>
  <c r="B1969" i="48"/>
  <c r="G1968" i="48"/>
  <c r="B1968" i="48"/>
  <c r="G1967" i="48"/>
  <c r="B1967" i="48"/>
  <c r="G1966" i="48"/>
  <c r="B1966" i="48"/>
  <c r="G1965" i="48"/>
  <c r="B1965" i="48"/>
  <c r="B1963" i="48"/>
  <c r="B1962" i="48"/>
  <c r="B1961" i="48"/>
  <c r="B1960" i="48"/>
  <c r="B1959" i="48"/>
  <c r="B1956" i="48"/>
  <c r="B1955" i="48"/>
  <c r="B1954" i="48"/>
  <c r="B1953" i="48"/>
  <c r="B1952" i="48"/>
  <c r="B1951" i="48"/>
  <c r="B1950" i="48"/>
  <c r="B1949" i="48"/>
  <c r="B1948" i="48"/>
  <c r="B1947" i="48"/>
  <c r="B1946" i="48"/>
  <c r="B1945" i="48"/>
  <c r="B1944" i="48"/>
  <c r="B1943" i="48"/>
  <c r="B1942" i="48"/>
  <c r="B1941" i="48"/>
  <c r="B1940" i="48"/>
  <c r="B1939" i="48"/>
  <c r="B1938" i="48"/>
  <c r="B1936" i="48"/>
  <c r="B1935" i="48"/>
  <c r="B1934" i="48"/>
  <c r="B1933" i="48"/>
  <c r="G1931" i="48"/>
  <c r="B1931" i="48"/>
  <c r="G1930" i="48"/>
  <c r="B1930" i="48"/>
  <c r="G1929" i="48"/>
  <c r="B1929" i="48"/>
  <c r="G1928" i="48"/>
  <c r="B1928" i="48"/>
  <c r="G1927" i="48"/>
  <c r="B1927" i="48"/>
  <c r="G1926" i="48"/>
  <c r="B1926" i="48"/>
  <c r="G1925" i="48"/>
  <c r="B1925" i="48"/>
  <c r="G1924" i="48"/>
  <c r="B1924" i="48"/>
  <c r="G1923" i="48"/>
  <c r="B1923" i="48"/>
  <c r="G1922" i="48"/>
  <c r="B1922" i="48"/>
  <c r="G1921" i="48"/>
  <c r="B1921" i="48"/>
  <c r="G1920" i="48"/>
  <c r="B1920" i="48"/>
  <c r="G1919" i="48"/>
  <c r="B1919" i="48"/>
  <c r="G1918" i="48"/>
  <c r="B1918" i="48"/>
  <c r="G1917" i="48"/>
  <c r="B1917" i="48"/>
  <c r="G1916" i="48"/>
  <c r="B1916" i="48"/>
  <c r="G1915" i="48"/>
  <c r="B1915" i="48"/>
  <c r="G1914" i="48"/>
  <c r="B1914" i="48"/>
  <c r="G1913" i="48"/>
  <c r="B1913" i="48"/>
  <c r="G1912" i="48"/>
  <c r="B1912" i="48"/>
  <c r="B1909" i="48"/>
  <c r="B1908" i="48"/>
  <c r="B1907" i="48"/>
  <c r="B1906" i="48"/>
  <c r="B1905" i="48"/>
  <c r="B1904" i="48"/>
  <c r="B1903" i="48"/>
  <c r="B1902" i="48"/>
  <c r="B1901" i="48"/>
  <c r="B1900" i="48"/>
  <c r="B1899" i="48"/>
  <c r="B1898" i="48"/>
  <c r="B1897" i="48"/>
  <c r="B1896" i="48"/>
  <c r="B1895" i="48"/>
  <c r="B1894" i="48"/>
  <c r="B1893" i="48"/>
  <c r="B1892" i="48"/>
  <c r="B1891" i="48"/>
  <c r="B1890" i="48"/>
  <c r="B1888" i="48"/>
  <c r="B1887" i="48"/>
  <c r="B1886" i="48"/>
  <c r="B1885" i="48"/>
  <c r="G1883" i="48"/>
  <c r="G1882" i="48"/>
  <c r="G1881" i="48"/>
  <c r="G1880" i="48"/>
  <c r="G1879" i="48"/>
  <c r="G1878" i="48"/>
  <c r="G1877" i="48"/>
  <c r="G1876" i="48"/>
  <c r="G1875" i="48"/>
  <c r="G1874" i="48"/>
  <c r="G1873" i="48"/>
  <c r="G1872" i="48"/>
  <c r="G1871" i="48"/>
  <c r="G1870" i="48"/>
  <c r="G1869" i="48"/>
  <c r="G1868" i="48"/>
  <c r="G1867" i="48"/>
  <c r="G1866" i="48"/>
  <c r="G1865" i="48"/>
  <c r="G1835" i="48"/>
  <c r="B1835" i="48"/>
  <c r="G1834" i="48"/>
  <c r="B1834" i="48"/>
  <c r="G1833" i="48"/>
  <c r="B1833" i="48"/>
  <c r="G1832" i="48"/>
  <c r="B1832" i="48"/>
  <c r="G1831" i="48"/>
  <c r="B1831" i="48"/>
  <c r="G1830" i="48"/>
  <c r="B1830" i="48"/>
  <c r="G1829" i="48"/>
  <c r="B1829" i="48"/>
  <c r="G1828" i="48"/>
  <c r="B1828" i="48"/>
  <c r="G1827" i="48"/>
  <c r="B1827" i="48"/>
  <c r="G1826" i="48"/>
  <c r="B1826" i="48"/>
  <c r="G1825" i="48"/>
  <c r="B1825" i="48"/>
  <c r="G1824" i="48"/>
  <c r="B1824" i="48"/>
  <c r="G1823" i="48"/>
  <c r="B1823" i="48"/>
  <c r="G1822" i="48"/>
  <c r="B1822" i="48"/>
  <c r="G1821" i="48"/>
  <c r="B1821" i="48"/>
  <c r="G1820" i="48"/>
  <c r="B1820" i="48"/>
  <c r="G1819" i="48"/>
  <c r="B1819" i="48"/>
  <c r="G1818" i="48"/>
  <c r="B1818" i="48"/>
  <c r="G1817" i="48"/>
  <c r="B1817" i="48"/>
  <c r="G1816" i="48"/>
  <c r="B1816" i="48"/>
  <c r="B1811" i="48"/>
  <c r="B1810" i="48"/>
  <c r="B1809" i="48"/>
  <c r="B1808" i="48"/>
  <c r="B1807" i="48"/>
  <c r="B1806" i="48"/>
  <c r="B1805" i="48"/>
  <c r="B1804" i="48"/>
  <c r="B1803" i="48"/>
  <c r="B1802" i="48"/>
  <c r="B1801" i="48"/>
  <c r="B1800" i="48"/>
  <c r="B1799" i="48"/>
  <c r="B1798" i="48"/>
  <c r="B1797" i="48"/>
  <c r="B1796" i="48"/>
  <c r="B1795" i="48"/>
  <c r="B1794" i="48"/>
  <c r="B1793" i="48"/>
  <c r="B1792" i="48"/>
  <c r="B1789" i="48"/>
  <c r="B1788" i="48"/>
  <c r="B1787" i="48"/>
  <c r="B1785" i="48"/>
  <c r="G1783" i="48"/>
  <c r="B1783" i="48"/>
  <c r="G1782" i="48"/>
  <c r="B1782" i="48"/>
  <c r="G1781" i="48"/>
  <c r="B1781" i="48"/>
  <c r="G1780" i="48"/>
  <c r="B1780" i="48"/>
  <c r="G1779" i="48"/>
  <c r="B1779" i="48"/>
  <c r="G1778" i="48"/>
  <c r="B1778" i="48"/>
  <c r="G1777" i="48"/>
  <c r="B1777" i="48"/>
  <c r="G1776" i="48"/>
  <c r="B1776" i="48"/>
  <c r="G1775" i="48"/>
  <c r="B1775" i="48"/>
  <c r="G1774" i="48"/>
  <c r="B1774" i="48"/>
  <c r="G1773" i="48"/>
  <c r="B1773" i="48"/>
  <c r="G1772" i="48"/>
  <c r="B1772" i="48"/>
  <c r="G1771" i="48"/>
  <c r="B1771" i="48"/>
  <c r="G1770" i="48"/>
  <c r="B1770" i="48"/>
  <c r="G1769" i="48"/>
  <c r="B1769" i="48"/>
  <c r="G1768" i="48"/>
  <c r="B1768" i="48"/>
  <c r="G1767" i="48"/>
  <c r="B1767" i="48"/>
  <c r="G1766" i="48"/>
  <c r="B1766" i="48"/>
  <c r="G1765" i="48"/>
  <c r="B1765" i="48"/>
  <c r="G1764" i="48"/>
  <c r="B1764" i="48"/>
  <c r="B1761" i="48"/>
  <c r="B1760" i="48"/>
  <c r="B1759" i="48"/>
  <c r="B1758" i="48"/>
  <c r="B1757" i="48"/>
  <c r="B1756" i="48"/>
  <c r="B1755" i="48"/>
  <c r="B1754" i="48"/>
  <c r="B1753" i="48"/>
  <c r="B1752" i="48"/>
  <c r="B1751" i="48"/>
  <c r="B1750" i="48"/>
  <c r="B1749" i="48"/>
  <c r="B1748" i="48"/>
  <c r="B1747" i="48"/>
  <c r="B1746" i="48"/>
  <c r="B1745" i="48"/>
  <c r="B1744" i="48"/>
  <c r="B1743" i="48"/>
  <c r="B1742" i="48"/>
  <c r="B1740" i="48"/>
  <c r="B1739" i="48"/>
  <c r="B1738" i="48"/>
  <c r="B1737" i="48"/>
  <c r="B1583" i="48"/>
  <c r="B1582" i="48"/>
  <c r="B1581" i="48"/>
  <c r="B1580" i="48"/>
  <c r="B1579" i="48"/>
  <c r="B1578" i="48"/>
  <c r="B1577" i="48"/>
  <c r="B1576" i="48"/>
  <c r="B1575" i="48"/>
  <c r="B1574" i="48"/>
  <c r="B1529" i="48"/>
  <c r="B1528" i="48"/>
  <c r="B1527" i="48"/>
  <c r="B1526" i="48"/>
  <c r="B1525" i="48"/>
  <c r="B1524" i="48"/>
  <c r="B1523" i="48"/>
  <c r="B1522" i="48"/>
  <c r="B1521" i="48"/>
  <c r="B1520" i="48"/>
  <c r="B1417" i="48"/>
  <c r="B1416" i="48"/>
  <c r="B1415" i="48"/>
  <c r="B1414" i="48"/>
  <c r="B1413" i="48"/>
  <c r="B1412" i="48"/>
  <c r="B1411" i="48"/>
  <c r="B1410" i="48"/>
  <c r="B1409" i="48"/>
  <c r="B1408" i="48"/>
  <c r="B1363" i="48"/>
  <c r="B1362" i="48"/>
  <c r="B1361" i="48"/>
  <c r="B1360" i="48"/>
  <c r="B1359" i="48"/>
  <c r="B1358" i="48"/>
  <c r="B1357" i="48"/>
  <c r="B1356" i="48"/>
  <c r="B1355" i="48"/>
  <c r="B1354" i="48"/>
  <c r="B1282" i="48"/>
  <c r="B1281" i="48"/>
  <c r="B1280" i="48"/>
  <c r="B1279" i="48"/>
  <c r="B1278" i="48"/>
  <c r="B1277" i="48"/>
  <c r="B1276" i="48"/>
  <c r="B1273" i="48"/>
  <c r="B1272" i="48"/>
  <c r="B1271" i="48"/>
  <c r="B1269" i="48"/>
  <c r="B1265" i="48"/>
  <c r="B1264" i="48"/>
  <c r="B1263" i="48"/>
  <c r="B1262" i="48"/>
  <c r="B1260" i="48"/>
  <c r="B1259" i="48"/>
  <c r="B1258" i="48"/>
  <c r="B1257" i="48"/>
  <c r="B1256" i="48"/>
  <c r="B1255" i="48"/>
  <c r="B1254" i="48"/>
  <c r="B1251" i="48"/>
  <c r="B1250" i="48"/>
  <c r="B1249" i="48"/>
  <c r="B1247" i="48"/>
  <c r="B1243" i="48"/>
  <c r="B1242" i="48"/>
  <c r="B1241" i="48"/>
  <c r="B1240" i="48"/>
  <c r="B1215" i="48"/>
  <c r="B1214" i="48"/>
  <c r="B1213" i="48"/>
  <c r="B1212" i="48"/>
  <c r="B1211" i="48"/>
  <c r="B1210" i="48"/>
  <c r="B1209" i="48"/>
  <c r="B1206" i="48"/>
  <c r="B1205" i="48"/>
  <c r="B1204" i="48"/>
  <c r="B1202" i="48"/>
  <c r="B1198" i="48"/>
  <c r="B1197" i="48"/>
  <c r="B1196" i="48"/>
  <c r="B1195" i="48"/>
  <c r="B1193" i="48"/>
  <c r="B1192" i="48"/>
  <c r="B1191" i="48"/>
  <c r="B1190" i="48"/>
  <c r="B1189" i="48"/>
  <c r="B1188" i="48"/>
  <c r="B1187" i="48"/>
  <c r="B1184" i="48"/>
  <c r="B1183" i="48"/>
  <c r="B1182" i="48"/>
  <c r="B1180" i="48"/>
  <c r="B1176" i="48"/>
  <c r="B1175" i="48"/>
  <c r="B1174" i="48"/>
  <c r="B1173" i="48"/>
  <c r="B973" i="48"/>
  <c r="B972" i="48"/>
  <c r="B971" i="48"/>
  <c r="B970" i="48"/>
  <c r="B969" i="48"/>
  <c r="B968" i="48"/>
  <c r="B967" i="48"/>
  <c r="B966" i="48"/>
  <c r="B965" i="48"/>
  <c r="B964" i="48"/>
  <c r="B963" i="48"/>
  <c r="B962" i="48"/>
  <c r="B960" i="48"/>
  <c r="B959" i="48"/>
  <c r="B958" i="48"/>
  <c r="B957" i="48"/>
  <c r="B956" i="48"/>
  <c r="B955" i="48"/>
  <c r="B950" i="48"/>
  <c r="B949" i="48"/>
  <c r="B900" i="48"/>
  <c r="B899" i="48"/>
  <c r="B898" i="48"/>
  <c r="B897" i="48"/>
  <c r="B896" i="48"/>
  <c r="B895" i="48"/>
  <c r="B894" i="48"/>
  <c r="B893" i="48"/>
  <c r="B892" i="48"/>
  <c r="B891" i="48"/>
  <c r="B890" i="48"/>
  <c r="B889" i="48"/>
  <c r="B887" i="48"/>
  <c r="B886" i="48"/>
  <c r="B885" i="48"/>
  <c r="B884" i="48"/>
  <c r="B883" i="48"/>
  <c r="B882" i="48"/>
  <c r="B877" i="48"/>
  <c r="B876" i="48"/>
  <c r="B752" i="48"/>
  <c r="B751" i="48"/>
  <c r="B750" i="48"/>
  <c r="B749" i="48"/>
  <c r="B748" i="48"/>
  <c r="B747" i="48"/>
  <c r="B746" i="48"/>
  <c r="B745" i="48"/>
  <c r="B744" i="48"/>
  <c r="B743" i="48"/>
  <c r="B742" i="48"/>
  <c r="B741" i="48"/>
  <c r="B738" i="48"/>
  <c r="B737" i="48"/>
  <c r="B736" i="48"/>
  <c r="B735" i="48"/>
  <c r="B734" i="48"/>
  <c r="B733" i="48"/>
  <c r="B728" i="48"/>
  <c r="B727" i="48"/>
  <c r="B678" i="48"/>
  <c r="B677" i="48"/>
  <c r="B676" i="48"/>
  <c r="B675" i="48"/>
  <c r="B674" i="48"/>
  <c r="B673" i="48"/>
  <c r="B672" i="48"/>
  <c r="B671" i="48"/>
  <c r="B670" i="48"/>
  <c r="B669" i="48"/>
  <c r="B668" i="48"/>
  <c r="B667" i="48"/>
  <c r="B665" i="48"/>
  <c r="B664" i="48"/>
  <c r="B663" i="48"/>
  <c r="B662" i="48"/>
  <c r="B661" i="48"/>
  <c r="B660" i="48"/>
  <c r="B655" i="48"/>
  <c r="B654" i="48"/>
  <c r="B598" i="48"/>
  <c r="B597" i="48"/>
  <c r="B596" i="48"/>
  <c r="B595" i="48"/>
  <c r="B594" i="48"/>
  <c r="B593" i="48"/>
  <c r="B592" i="48"/>
  <c r="B591" i="48"/>
  <c r="B589" i="48"/>
  <c r="B588" i="48"/>
  <c r="B587" i="48"/>
  <c r="B586" i="48"/>
  <c r="B585" i="48"/>
  <c r="B584" i="48"/>
  <c r="B583" i="48"/>
  <c r="B582" i="48"/>
  <c r="B581" i="48"/>
  <c r="B580" i="48"/>
  <c r="B579" i="48"/>
  <c r="B578" i="48"/>
  <c r="B577" i="48"/>
  <c r="B576" i="48"/>
  <c r="B575" i="48"/>
  <c r="B574" i="48"/>
  <c r="B573" i="48"/>
  <c r="B572" i="48"/>
  <c r="B571" i="48"/>
  <c r="B570" i="48"/>
  <c r="B569" i="48"/>
  <c r="B568" i="48"/>
  <c r="B567" i="48"/>
  <c r="B566" i="48"/>
  <c r="B565" i="48"/>
  <c r="B564" i="48"/>
  <c r="B563" i="48"/>
  <c r="B562" i="48"/>
  <c r="B560" i="48"/>
  <c r="B559" i="48"/>
  <c r="B558" i="48"/>
  <c r="B557" i="48"/>
  <c r="B556" i="48"/>
  <c r="B555" i="48"/>
  <c r="B554" i="48"/>
  <c r="B553" i="48"/>
  <c r="B551" i="48"/>
  <c r="B550" i="48"/>
  <c r="B549" i="48"/>
  <c r="B548" i="48"/>
  <c r="B547" i="48"/>
  <c r="B546" i="48"/>
  <c r="B545" i="48"/>
  <c r="B544" i="48"/>
  <c r="B543" i="48"/>
  <c r="B542" i="48"/>
  <c r="B541" i="48"/>
  <c r="B540" i="48"/>
  <c r="B539" i="48"/>
  <c r="B511" i="48"/>
  <c r="B510" i="48"/>
  <c r="B509" i="48"/>
  <c r="B508" i="48"/>
  <c r="B507" i="48"/>
  <c r="B506" i="48"/>
  <c r="B503" i="48"/>
  <c r="B502" i="48"/>
  <c r="B501" i="48"/>
  <c r="B500" i="48"/>
  <c r="B499" i="48"/>
  <c r="B498" i="48"/>
  <c r="B497" i="48"/>
  <c r="B496" i="48"/>
  <c r="B495" i="48"/>
  <c r="B494" i="48"/>
  <c r="B493" i="48"/>
  <c r="B492" i="48"/>
  <c r="B491" i="48"/>
  <c r="B490" i="48"/>
  <c r="B489" i="48"/>
  <c r="B488" i="48"/>
  <c r="B487" i="48"/>
  <c r="B486" i="48"/>
  <c r="B485" i="48"/>
  <c r="B484" i="48"/>
  <c r="B483" i="48"/>
  <c r="B482" i="48"/>
  <c r="B481" i="48"/>
  <c r="B480" i="48"/>
  <c r="B479" i="48"/>
  <c r="B478" i="48"/>
  <c r="B476" i="48"/>
  <c r="B475" i="48"/>
  <c r="B474" i="48"/>
  <c r="B473" i="48"/>
  <c r="B472" i="48"/>
  <c r="B471" i="48"/>
  <c r="B470" i="48"/>
  <c r="B469" i="48"/>
  <c r="B468" i="48"/>
  <c r="B467" i="48"/>
  <c r="B466" i="48"/>
  <c r="B465" i="48"/>
  <c r="B464" i="48"/>
  <c r="B463" i="48"/>
  <c r="B462" i="48"/>
  <c r="B461" i="48"/>
  <c r="B460" i="48"/>
  <c r="B459" i="48"/>
  <c r="B458" i="48"/>
  <c r="B457" i="48"/>
  <c r="B456" i="48"/>
  <c r="B455" i="48"/>
  <c r="B452" i="48"/>
  <c r="G451" i="48"/>
  <c r="B451" i="48"/>
  <c r="G450" i="48"/>
  <c r="B450" i="48"/>
  <c r="G449" i="48"/>
  <c r="B449" i="48"/>
  <c r="G448" i="48"/>
  <c r="B448" i="48"/>
  <c r="G447" i="48"/>
  <c r="B447" i="48"/>
  <c r="G446" i="48"/>
  <c r="B446" i="48"/>
  <c r="G445" i="48"/>
  <c r="B445" i="48"/>
  <c r="G444" i="48"/>
  <c r="B444" i="48"/>
  <c r="G443" i="48"/>
  <c r="B443" i="48"/>
  <c r="G442" i="48"/>
  <c r="B442" i="48"/>
  <c r="G441" i="48"/>
  <c r="B441" i="48"/>
  <c r="G440" i="48"/>
  <c r="B440" i="48"/>
  <c r="G439" i="48"/>
  <c r="B439" i="48"/>
  <c r="G438" i="48"/>
  <c r="B438" i="48"/>
  <c r="G437" i="48"/>
  <c r="B437" i="48"/>
  <c r="G436" i="48"/>
  <c r="B436" i="48"/>
  <c r="B435" i="48"/>
  <c r="B434" i="48"/>
  <c r="B433" i="48"/>
  <c r="B432" i="48"/>
  <c r="B431" i="48"/>
  <c r="B430" i="48"/>
  <c r="B429" i="48"/>
  <c r="B428" i="48"/>
  <c r="B426" i="48"/>
  <c r="G425" i="48"/>
  <c r="B425" i="48"/>
  <c r="G424" i="48"/>
  <c r="B424" i="48"/>
  <c r="G423" i="48"/>
  <c r="B423" i="48"/>
  <c r="G422" i="48"/>
  <c r="B422" i="48"/>
  <c r="G421" i="48"/>
  <c r="B421" i="48"/>
  <c r="G420" i="48"/>
  <c r="B420" i="48"/>
  <c r="G419" i="48"/>
  <c r="B419" i="48"/>
  <c r="G418" i="48"/>
  <c r="B418" i="48"/>
  <c r="G417" i="48"/>
  <c r="B417" i="48"/>
  <c r="G416" i="48"/>
  <c r="B416" i="48"/>
  <c r="G415" i="48"/>
  <c r="B415" i="48"/>
  <c r="G414" i="48"/>
  <c r="B414" i="48"/>
  <c r="G413" i="48"/>
  <c r="B413" i="48"/>
  <c r="G412" i="48"/>
  <c r="B412" i="48"/>
  <c r="G411" i="48"/>
  <c r="B411" i="48"/>
  <c r="G410" i="48"/>
  <c r="B410" i="48"/>
  <c r="G409" i="48"/>
  <c r="B409" i="48"/>
  <c r="G408" i="48"/>
  <c r="B408" i="48"/>
  <c r="G407" i="48"/>
  <c r="B407" i="48"/>
  <c r="G406" i="48"/>
  <c r="B406" i="48"/>
  <c r="G405" i="48"/>
  <c r="B405" i="48"/>
  <c r="G404" i="48"/>
  <c r="B404" i="48"/>
  <c r="G403" i="48"/>
  <c r="B403" i="48"/>
  <c r="G402" i="48"/>
  <c r="B402" i="48"/>
  <c r="G401" i="48"/>
  <c r="B401" i="48"/>
  <c r="G400" i="48"/>
  <c r="B400" i="48"/>
  <c r="B399" i="48"/>
  <c r="B398" i="48"/>
  <c r="B397" i="48"/>
  <c r="B396" i="48"/>
  <c r="B395" i="48"/>
  <c r="B394" i="48"/>
  <c r="B393" i="48"/>
  <c r="B392" i="48"/>
  <c r="B391" i="48"/>
  <c r="B390" i="48"/>
  <c r="B389" i="48"/>
  <c r="B388" i="48"/>
  <c r="B387" i="48"/>
  <c r="B386" i="48"/>
  <c r="B385" i="48"/>
  <c r="B384" i="48"/>
  <c r="B383" i="48"/>
  <c r="B382" i="48"/>
  <c r="B381" i="48"/>
  <c r="B380" i="48"/>
  <c r="B379" i="48"/>
  <c r="B378" i="48"/>
  <c r="B377" i="48"/>
  <c r="B376" i="48"/>
  <c r="B375" i="48"/>
  <c r="B374" i="48"/>
  <c r="B373" i="48"/>
  <c r="B372" i="48"/>
  <c r="B371" i="48"/>
  <c r="B370" i="48"/>
  <c r="B369" i="48"/>
  <c r="B368" i="48"/>
  <c r="B367" i="48"/>
  <c r="B366" i="48"/>
  <c r="B365" i="48"/>
  <c r="B364" i="48"/>
  <c r="B363" i="48"/>
  <c r="B362" i="48"/>
  <c r="B361" i="48"/>
  <c r="B360" i="48"/>
  <c r="B359" i="48"/>
  <c r="B355" i="48"/>
  <c r="B354" i="48"/>
  <c r="B353" i="48"/>
  <c r="B352" i="48"/>
  <c r="B351" i="48"/>
  <c r="B347" i="48"/>
  <c r="B334" i="48"/>
  <c r="B315" i="48"/>
  <c r="B314" i="48"/>
  <c r="B313" i="48"/>
  <c r="B312" i="48"/>
  <c r="B311" i="48"/>
  <c r="B310" i="48"/>
  <c r="B308" i="48"/>
  <c r="B307" i="48"/>
  <c r="B306" i="48"/>
  <c r="B305" i="48"/>
  <c r="B304" i="48"/>
  <c r="B303" i="48"/>
  <c r="B293" i="48"/>
  <c r="B292" i="48"/>
  <c r="B291" i="48"/>
  <c r="B290" i="48"/>
  <c r="B289" i="48"/>
  <c r="B288" i="48"/>
  <c r="B286" i="48"/>
  <c r="B285" i="48"/>
  <c r="B284" i="48"/>
  <c r="B283" i="48"/>
  <c r="B282" i="48"/>
  <c r="B281" i="48"/>
  <c r="B116" i="48"/>
  <c r="B100" i="48"/>
  <c r="B99" i="48"/>
  <c r="B95" i="48"/>
  <c r="B91" i="48"/>
  <c r="B90" i="48"/>
  <c r="B89" i="48"/>
  <c r="B88" i="48"/>
  <c r="B85" i="48"/>
  <c r="B82" i="48"/>
  <c r="B81" i="48"/>
  <c r="B80" i="48"/>
  <c r="B79" i="48"/>
  <c r="B77" i="48"/>
  <c r="B76" i="48"/>
  <c r="B75" i="48"/>
  <c r="B62" i="48"/>
  <c r="B60" i="48"/>
  <c r="B59" i="48"/>
  <c r="B58" i="48"/>
  <c r="B56" i="48"/>
  <c r="B55" i="48"/>
  <c r="B54" i="48"/>
  <c r="B53" i="48"/>
  <c r="B51" i="48"/>
  <c r="B50" i="48"/>
  <c r="B45" i="48"/>
  <c r="B44" i="48"/>
  <c r="B43" i="48"/>
  <c r="B42" i="48"/>
  <c r="B8" i="48"/>
  <c r="B7" i="48"/>
  <c r="I46" i="35" l="1"/>
  <c r="F46" i="35"/>
  <c r="B1638" i="48" l="1"/>
  <c r="J46" i="35"/>
  <c r="B1476" i="48"/>
  <c r="B1692" i="48" l="1"/>
  <c r="B1060" i="48"/>
  <c r="B841" i="48"/>
  <c r="B1057" i="48"/>
  <c r="B838" i="48"/>
  <c r="B1054" i="48"/>
  <c r="B835" i="48"/>
  <c r="B1051" i="48"/>
  <c r="B832" i="48"/>
  <c r="I63" i="33"/>
  <c r="B1047" i="48" s="1"/>
  <c r="F63" i="33"/>
  <c r="J63" i="33" l="1"/>
  <c r="B1120" i="48" s="1"/>
  <c r="B828" i="48"/>
  <c r="C796" i="48"/>
  <c r="C720" i="48"/>
  <c r="C958" i="48"/>
  <c r="C1046" i="48"/>
  <c r="C802" i="48"/>
  <c r="C670" i="48"/>
  <c r="C1019" i="48"/>
  <c r="C699" i="48"/>
  <c r="C956" i="48"/>
  <c r="C792" i="48"/>
  <c r="C981" i="48"/>
  <c r="C940" i="48"/>
  <c r="C1003" i="48"/>
  <c r="C1006" i="48"/>
  <c r="C1067" i="48"/>
  <c r="C962" i="48"/>
  <c r="C876" i="48"/>
  <c r="C933" i="48"/>
  <c r="C943" i="48"/>
  <c r="C1037" i="48"/>
  <c r="C921" i="48"/>
  <c r="C790" i="48"/>
  <c r="C1066" i="48"/>
  <c r="C1007" i="48"/>
  <c r="C672" i="48"/>
  <c r="C1072" i="48"/>
  <c r="C992" i="48"/>
  <c r="C870" i="48"/>
  <c r="C1075" i="48"/>
  <c r="C974" i="48"/>
  <c r="C937" i="48"/>
  <c r="C1083" i="48"/>
  <c r="C885" i="48"/>
  <c r="C725" i="48"/>
  <c r="C919" i="48"/>
  <c r="C654" i="48"/>
  <c r="C677" i="48"/>
  <c r="C803" i="48"/>
  <c r="C1028" i="48"/>
  <c r="C855" i="48"/>
  <c r="C1000" i="48"/>
  <c r="C901" i="48"/>
  <c r="C717" i="48"/>
  <c r="C709" i="48"/>
  <c r="C1077" i="48"/>
  <c r="C820" i="48"/>
  <c r="C858" i="48"/>
  <c r="C987" i="48"/>
  <c r="C781" i="48"/>
  <c r="C887" i="48"/>
  <c r="C735" i="48"/>
  <c r="C896" i="48"/>
  <c r="C966" i="48"/>
  <c r="C1068" i="48"/>
  <c r="C996" i="48"/>
  <c r="C760" i="48"/>
  <c r="C661" i="48"/>
  <c r="C863" i="48"/>
  <c r="C787" i="48"/>
  <c r="C689" i="48"/>
  <c r="C780" i="48"/>
  <c r="C939" i="48"/>
  <c r="C886" i="48"/>
  <c r="C1034" i="48"/>
  <c r="C788" i="48"/>
  <c r="C748" i="48"/>
  <c r="C811" i="48"/>
  <c r="C963" i="48"/>
  <c r="C1079" i="48"/>
  <c r="C997" i="48"/>
  <c r="C848" i="48"/>
  <c r="C914" i="48"/>
  <c r="C799" i="48"/>
  <c r="C1074" i="48"/>
  <c r="C973" i="48"/>
  <c r="C1070" i="48"/>
  <c r="C794" i="48"/>
  <c r="C763" i="48"/>
  <c r="C1088" i="48"/>
  <c r="C746" i="48"/>
  <c r="C864" i="48"/>
  <c r="C865" i="48"/>
  <c r="C814" i="48"/>
  <c r="C726" i="48"/>
  <c r="C1040" i="48"/>
  <c r="C782" i="48"/>
  <c r="C719" i="48"/>
  <c r="C972" i="48"/>
  <c r="C776" i="48"/>
  <c r="C678" i="48"/>
  <c r="C697" i="48"/>
  <c r="C1051" i="48"/>
  <c r="C965" i="48"/>
  <c r="C946" i="48"/>
  <c r="C841" i="48"/>
  <c r="C938" i="48"/>
  <c r="C926" i="48"/>
  <c r="C715" i="48"/>
  <c r="C727" i="48"/>
  <c r="C868" i="48"/>
  <c r="C893" i="48"/>
  <c r="C971" i="48"/>
  <c r="C961" i="48"/>
  <c r="C818" i="48"/>
  <c r="C959" i="48"/>
  <c r="C1071" i="48"/>
  <c r="C698" i="48"/>
  <c r="C1022" i="48"/>
  <c r="C692" i="48"/>
  <c r="C706" i="48"/>
  <c r="C875" i="48"/>
  <c r="C718" i="48"/>
  <c r="C895" i="48"/>
  <c r="C666" i="48"/>
  <c r="C1054" i="48"/>
  <c r="C1032" i="48"/>
  <c r="C1013" i="48"/>
  <c r="C847" i="48"/>
  <c r="C773" i="48"/>
  <c r="C813" i="48"/>
  <c r="C704" i="48"/>
  <c r="C957" i="48"/>
  <c r="C668" i="48"/>
  <c r="C857" i="48"/>
  <c r="C860" i="48"/>
  <c r="C701" i="48"/>
  <c r="C812" i="48"/>
  <c r="C1020" i="48"/>
  <c r="C783" i="48"/>
  <c r="C741" i="48"/>
  <c r="C815" i="48"/>
  <c r="C998" i="48"/>
  <c r="C1010" i="48"/>
  <c r="C778" i="48"/>
  <c r="C711" i="48"/>
  <c r="C662" i="48"/>
  <c r="C846" i="48"/>
  <c r="C873" i="48"/>
  <c r="C975" i="48"/>
  <c r="C743" i="48"/>
  <c r="C784" i="48"/>
  <c r="C838" i="48"/>
  <c r="C1039" i="48"/>
  <c r="C1030" i="48"/>
  <c r="C754" i="48"/>
  <c r="C967" i="48"/>
  <c r="C1001" i="48"/>
  <c r="C835" i="48"/>
  <c r="C856" i="48"/>
  <c r="C891" i="48"/>
  <c r="C931" i="48"/>
  <c r="C1065" i="48"/>
  <c r="C923" i="48"/>
  <c r="C786" i="48"/>
  <c r="C861" i="48"/>
  <c r="C908" i="48"/>
  <c r="C675" i="48"/>
  <c r="C1057" i="48"/>
  <c r="C337" i="48"/>
  <c r="C1042" i="48"/>
  <c r="C922" i="48"/>
  <c r="C960" i="48"/>
  <c r="C747" i="48"/>
  <c r="C852" i="48"/>
  <c r="C1008" i="48"/>
  <c r="C751" i="48"/>
  <c r="C1084" i="48"/>
  <c r="C673" i="48"/>
  <c r="C742" i="48"/>
  <c r="C1012" i="48"/>
  <c r="C1015" i="48"/>
  <c r="C1094" i="48"/>
  <c r="C708" i="48"/>
  <c r="C994" i="48"/>
  <c r="C809" i="48"/>
  <c r="C1036" i="48"/>
  <c r="C676" i="48"/>
  <c r="C801" i="48"/>
  <c r="C850" i="48"/>
  <c r="C1087" i="48"/>
  <c r="C882" i="48"/>
  <c r="C714" i="48"/>
  <c r="C736" i="48"/>
  <c r="C925" i="48"/>
  <c r="C1076" i="48"/>
  <c r="C771" i="48"/>
  <c r="C749" i="48"/>
  <c r="C941" i="48"/>
  <c r="C1081" i="48"/>
  <c r="C1035" i="48"/>
  <c r="C942" i="48"/>
  <c r="C737" i="48"/>
  <c r="C828" i="48"/>
  <c r="C1011" i="48"/>
  <c r="C674" i="48"/>
  <c r="C766" i="48"/>
  <c r="C898" i="48"/>
  <c r="C775" i="48"/>
  <c r="C745" i="48"/>
  <c r="C995" i="48"/>
  <c r="C824" i="48"/>
  <c r="C703" i="48"/>
  <c r="C867" i="48"/>
  <c r="C680" i="48"/>
  <c r="C892" i="48"/>
  <c r="C679" i="48"/>
  <c r="C795" i="48"/>
  <c r="C700" i="48"/>
  <c r="C1029" i="48"/>
  <c r="C738" i="48"/>
  <c r="C1044" i="48"/>
  <c r="C874" i="48"/>
  <c r="C905" i="48"/>
  <c r="C894" i="48"/>
  <c r="C750" i="48"/>
  <c r="C816" i="48"/>
  <c r="C999" i="48"/>
  <c r="C1004" i="48"/>
  <c r="C826" i="48"/>
  <c r="C774" i="48"/>
  <c r="C902" i="48"/>
  <c r="C683" i="48"/>
  <c r="C705" i="48"/>
  <c r="C686" i="48"/>
  <c r="C821" i="48"/>
  <c r="C671" i="48"/>
  <c r="C734" i="48"/>
  <c r="C702" i="48"/>
  <c r="C819" i="48"/>
  <c r="C713" i="48"/>
  <c r="C883" i="48"/>
  <c r="C929" i="48"/>
  <c r="C1014" i="48"/>
  <c r="C825" i="48"/>
  <c r="C866" i="48"/>
  <c r="C969" i="48"/>
  <c r="C664" i="48"/>
  <c r="C791" i="48"/>
  <c r="C849" i="48"/>
  <c r="C707" i="48"/>
  <c r="C1047" i="48"/>
  <c r="C744" i="48"/>
  <c r="C1031" i="48"/>
  <c r="C920" i="48"/>
  <c r="C859" i="48"/>
  <c r="C947" i="48"/>
  <c r="C757" i="48"/>
  <c r="C984" i="48"/>
  <c r="C1009" i="48"/>
  <c r="C862" i="48"/>
  <c r="C978" i="48"/>
  <c r="C724" i="48"/>
  <c r="C1073" i="48"/>
  <c r="C1002" i="48"/>
  <c r="C924" i="48"/>
  <c r="C829" i="48"/>
  <c r="C884" i="48"/>
  <c r="C936" i="48"/>
  <c r="C928" i="48"/>
  <c r="C710" i="48"/>
  <c r="C733" i="48"/>
  <c r="C968" i="48"/>
  <c r="C993" i="48"/>
  <c r="C935" i="48"/>
  <c r="C934" i="48"/>
  <c r="C851" i="48"/>
  <c r="C930" i="48"/>
  <c r="C1033" i="48"/>
  <c r="C890" i="48"/>
  <c r="C1085" i="48"/>
  <c r="C889" i="48"/>
  <c r="C1089" i="48"/>
  <c r="C964" i="48"/>
  <c r="C716" i="48"/>
  <c r="C752" i="48"/>
  <c r="C1069" i="48"/>
  <c r="C789" i="48"/>
  <c r="C1043" i="48"/>
  <c r="C793" i="48"/>
  <c r="C665" i="48"/>
  <c r="C779" i="48"/>
  <c r="C663" i="48"/>
  <c r="C827" i="48"/>
  <c r="C932" i="48"/>
  <c r="C660" i="48"/>
  <c r="C823" i="48"/>
  <c r="C1093" i="48"/>
  <c r="C1086" i="48"/>
  <c r="C1080" i="48"/>
  <c r="C712" i="48"/>
  <c r="C854" i="48"/>
  <c r="C1078" i="48"/>
  <c r="C721" i="48"/>
  <c r="C869" i="48"/>
  <c r="C822" i="48"/>
  <c r="C888" i="48"/>
  <c r="C832" i="48"/>
  <c r="C1021" i="48"/>
  <c r="C810" i="48"/>
  <c r="C1048" i="48"/>
  <c r="C949" i="48"/>
  <c r="C785" i="48"/>
  <c r="C911" i="48"/>
  <c r="C1038" i="48"/>
  <c r="C753" i="48"/>
  <c r="C899" i="48"/>
  <c r="C817" i="48"/>
  <c r="C853" i="48"/>
  <c r="C955" i="48"/>
  <c r="C667" i="48"/>
  <c r="C948" i="48"/>
  <c r="C777" i="48"/>
  <c r="C1060" i="48"/>
  <c r="C1041" i="48"/>
  <c r="C897" i="48"/>
  <c r="C970" i="48"/>
  <c r="C669" i="48"/>
  <c r="C900" i="48"/>
  <c r="C1120" i="48"/>
  <c r="C1005" i="48"/>
  <c r="C1092" i="48"/>
  <c r="C1045" i="48"/>
  <c r="C1082" i="48"/>
  <c r="C927" i="48"/>
  <c r="B1130" i="48" l="1"/>
  <c r="B1124" i="48"/>
  <c r="B1133" i="48"/>
  <c r="B1127" i="48"/>
  <c r="A20" i="4"/>
  <c r="F108" i="35"/>
  <c r="I108" i="35"/>
  <c r="B1671" i="48" s="1"/>
  <c r="F110" i="35"/>
  <c r="I110" i="35"/>
  <c r="B1672" i="48" s="1"/>
  <c r="F113" i="35"/>
  <c r="I113" i="35"/>
  <c r="B1673" i="48" s="1"/>
  <c r="F114" i="35"/>
  <c r="B1512" i="48" s="1"/>
  <c r="I114" i="35"/>
  <c r="F116" i="35"/>
  <c r="B1513" i="48" s="1"/>
  <c r="I116" i="35"/>
  <c r="B1675" i="48" s="1"/>
  <c r="F118" i="35"/>
  <c r="I118" i="35"/>
  <c r="B1676" i="48" s="1"/>
  <c r="F119" i="35"/>
  <c r="I119" i="35"/>
  <c r="B1677" i="48" s="1"/>
  <c r="F120" i="35"/>
  <c r="B1516" i="48" s="1"/>
  <c r="I120" i="35"/>
  <c r="B1678" i="48" s="1"/>
  <c r="F122" i="35"/>
  <c r="I122" i="35"/>
  <c r="B1679" i="48" s="1"/>
  <c r="C25" i="26"/>
  <c r="F90" i="33"/>
  <c r="I90" i="33"/>
  <c r="F91" i="33"/>
  <c r="B848" i="48" s="1"/>
  <c r="I91" i="33"/>
  <c r="F92" i="33"/>
  <c r="B849" i="48" s="1"/>
  <c r="I92" i="33"/>
  <c r="F93" i="33"/>
  <c r="I93" i="33"/>
  <c r="F94" i="33"/>
  <c r="I94" i="33"/>
  <c r="B1070" i="48" s="1"/>
  <c r="F95" i="33"/>
  <c r="I95" i="33"/>
  <c r="F96" i="33"/>
  <c r="I96" i="33"/>
  <c r="F97" i="33"/>
  <c r="I97" i="33"/>
  <c r="F98" i="33"/>
  <c r="I98" i="33"/>
  <c r="F99" i="33"/>
  <c r="I99" i="33"/>
  <c r="F100" i="33"/>
  <c r="I100" i="33"/>
  <c r="F101" i="33"/>
  <c r="I101" i="33"/>
  <c r="F102" i="33"/>
  <c r="B859" i="48" s="1"/>
  <c r="I102" i="33"/>
  <c r="F103" i="33"/>
  <c r="B860" i="48" s="1"/>
  <c r="I103" i="33"/>
  <c r="B1079" i="48" s="1"/>
  <c r="F104" i="33"/>
  <c r="B861" i="48" s="1"/>
  <c r="I104" i="33"/>
  <c r="F105" i="33"/>
  <c r="B862" i="48" s="1"/>
  <c r="I105" i="33"/>
  <c r="F106" i="33"/>
  <c r="I106" i="33"/>
  <c r="F107" i="33"/>
  <c r="B864" i="48" s="1"/>
  <c r="I107" i="33"/>
  <c r="B1083" i="48" s="1"/>
  <c r="F108" i="33"/>
  <c r="I108" i="33"/>
  <c r="F109" i="33"/>
  <c r="I109" i="33"/>
  <c r="F110" i="33"/>
  <c r="I110" i="33"/>
  <c r="B1086" i="48" s="1"/>
  <c r="F111" i="33"/>
  <c r="B868" i="48" s="1"/>
  <c r="I111" i="33"/>
  <c r="F112" i="33"/>
  <c r="B869" i="48" s="1"/>
  <c r="I112" i="33"/>
  <c r="F113" i="33"/>
  <c r="I113" i="33"/>
  <c r="F39" i="33"/>
  <c r="I39" i="33"/>
  <c r="F40" i="33"/>
  <c r="B812" i="48" s="1"/>
  <c r="I40" i="33"/>
  <c r="B1031" i="48" s="1"/>
  <c r="I63" i="35"/>
  <c r="B1643" i="48" s="1"/>
  <c r="F63" i="35"/>
  <c r="B1481" i="48" s="1"/>
  <c r="I50" i="35"/>
  <c r="B1640" i="48" s="1"/>
  <c r="F50" i="35"/>
  <c r="A2" i="45"/>
  <c r="AB31" i="10" s="1"/>
  <c r="A3" i="45"/>
  <c r="A4" i="45"/>
  <c r="A5" i="45"/>
  <c r="A6" i="45"/>
  <c r="A7" i="45"/>
  <c r="A8" i="45"/>
  <c r="A9" i="45"/>
  <c r="A10" i="45"/>
  <c r="A11" i="45"/>
  <c r="A12" i="45"/>
  <c r="A13" i="45"/>
  <c r="A14" i="45"/>
  <c r="A15" i="45"/>
  <c r="A16" i="45"/>
  <c r="A17" i="45"/>
  <c r="A18" i="45"/>
  <c r="A20" i="45"/>
  <c r="A21" i="45"/>
  <c r="A22" i="45"/>
  <c r="A23" i="45"/>
  <c r="A24" i="45"/>
  <c r="A25" i="45"/>
  <c r="A26" i="45"/>
  <c r="A27" i="45"/>
  <c r="A28" i="45"/>
  <c r="A29" i="45"/>
  <c r="A30" i="45"/>
  <c r="A31" i="45"/>
  <c r="A32" i="45"/>
  <c r="A33" i="45"/>
  <c r="A34" i="45"/>
  <c r="A35" i="45"/>
  <c r="A36" i="45"/>
  <c r="A37" i="45"/>
  <c r="A38" i="45"/>
  <c r="A39" i="45"/>
  <c r="A40" i="45"/>
  <c r="A41" i="45"/>
  <c r="A42" i="45"/>
  <c r="A43" i="45"/>
  <c r="A44" i="45"/>
  <c r="A45" i="45"/>
  <c r="A46" i="45"/>
  <c r="A47" i="45"/>
  <c r="A48" i="45"/>
  <c r="A49" i="45"/>
  <c r="A50" i="45"/>
  <c r="A51" i="45"/>
  <c r="A52" i="45"/>
  <c r="A53" i="45"/>
  <c r="A54" i="45"/>
  <c r="A55" i="45"/>
  <c r="A56" i="45"/>
  <c r="A57" i="45"/>
  <c r="A58" i="45"/>
  <c r="A59" i="45"/>
  <c r="A60" i="45"/>
  <c r="A61" i="45"/>
  <c r="A62" i="45"/>
  <c r="A63" i="45"/>
  <c r="A64" i="45"/>
  <c r="A65" i="45"/>
  <c r="A66" i="45"/>
  <c r="A67" i="45"/>
  <c r="A68" i="45"/>
  <c r="A69" i="45"/>
  <c r="A70" i="45"/>
  <c r="A71" i="45"/>
  <c r="A72" i="45"/>
  <c r="A73" i="45"/>
  <c r="A74" i="45"/>
  <c r="A75" i="45"/>
  <c r="A76" i="45"/>
  <c r="A77" i="45"/>
  <c r="A78" i="45"/>
  <c r="A79" i="45"/>
  <c r="A80" i="45"/>
  <c r="A81" i="45"/>
  <c r="A82" i="45"/>
  <c r="A83" i="45"/>
  <c r="A84" i="45"/>
  <c r="A85" i="45"/>
  <c r="A86" i="45"/>
  <c r="A87" i="45"/>
  <c r="A88" i="45"/>
  <c r="A89" i="45"/>
  <c r="A90" i="45"/>
  <c r="A91" i="45"/>
  <c r="A92" i="45"/>
  <c r="A93" i="45"/>
  <c r="A94" i="45"/>
  <c r="A95" i="45"/>
  <c r="A96" i="45"/>
  <c r="A97" i="45"/>
  <c r="A98" i="45"/>
  <c r="A99" i="45"/>
  <c r="A100" i="45"/>
  <c r="A101" i="45"/>
  <c r="A102" i="45"/>
  <c r="A103" i="45"/>
  <c r="A104" i="45"/>
  <c r="A105" i="45"/>
  <c r="A106" i="45"/>
  <c r="A107" i="45"/>
  <c r="A108" i="45"/>
  <c r="A109" i="45"/>
  <c r="A110" i="45"/>
  <c r="A111" i="45"/>
  <c r="A112" i="45"/>
  <c r="A113" i="45"/>
  <c r="A114" i="45"/>
  <c r="A115" i="45"/>
  <c r="A116" i="45"/>
  <c r="A117" i="45"/>
  <c r="A118" i="45"/>
  <c r="A119" i="45"/>
  <c r="A120" i="45"/>
  <c r="A121" i="45"/>
  <c r="A122" i="45"/>
  <c r="A123" i="45"/>
  <c r="A124" i="45"/>
  <c r="A125" i="45"/>
  <c r="A126" i="45"/>
  <c r="A127" i="45"/>
  <c r="A128" i="45"/>
  <c r="A129" i="45"/>
  <c r="A130" i="45"/>
  <c r="A131" i="45"/>
  <c r="A132" i="45"/>
  <c r="A133" i="45"/>
  <c r="A134" i="45"/>
  <c r="A135" i="45"/>
  <c r="A136" i="45"/>
  <c r="A137" i="45"/>
  <c r="A138" i="45"/>
  <c r="A139" i="45"/>
  <c r="A140" i="45"/>
  <c r="A141" i="45"/>
  <c r="A142" i="45"/>
  <c r="A143" i="45"/>
  <c r="A144" i="45"/>
  <c r="A145" i="45"/>
  <c r="A146" i="45"/>
  <c r="A147" i="45"/>
  <c r="A148" i="45"/>
  <c r="A149" i="45"/>
  <c r="A150" i="45"/>
  <c r="A151" i="45"/>
  <c r="A152" i="45"/>
  <c r="A153" i="45"/>
  <c r="A155" i="45"/>
  <c r="A156" i="45"/>
  <c r="A157" i="45"/>
  <c r="A158" i="45"/>
  <c r="A159" i="45"/>
  <c r="A160" i="45"/>
  <c r="A161" i="45"/>
  <c r="A162" i="45"/>
  <c r="A163" i="45"/>
  <c r="A164" i="45"/>
  <c r="A165" i="45"/>
  <c r="A166" i="45"/>
  <c r="A167" i="45"/>
  <c r="A168" i="45"/>
  <c r="A169" i="45"/>
  <c r="A170" i="45"/>
  <c r="A171" i="45"/>
  <c r="A172" i="45"/>
  <c r="A173" i="45"/>
  <c r="A174" i="45"/>
  <c r="A175" i="45"/>
  <c r="A176" i="45"/>
  <c r="A177" i="45"/>
  <c r="A178" i="45"/>
  <c r="A179" i="45"/>
  <c r="A180" i="45"/>
  <c r="A181" i="45"/>
  <c r="A182" i="45"/>
  <c r="A183" i="45"/>
  <c r="A184" i="45"/>
  <c r="A185" i="45"/>
  <c r="A186" i="45"/>
  <c r="A187" i="45"/>
  <c r="A188" i="45"/>
  <c r="A189" i="45"/>
  <c r="A190" i="45"/>
  <c r="A191" i="45"/>
  <c r="A192" i="45"/>
  <c r="A193" i="45"/>
  <c r="A194" i="45"/>
  <c r="A195" i="45"/>
  <c r="A196" i="45"/>
  <c r="A197" i="45"/>
  <c r="A198" i="45"/>
  <c r="A199" i="45"/>
  <c r="A200" i="45"/>
  <c r="A201" i="45"/>
  <c r="A202" i="45"/>
  <c r="A203" i="45"/>
  <c r="A204" i="45"/>
  <c r="A205" i="45"/>
  <c r="A206" i="45"/>
  <c r="A207" i="45"/>
  <c r="A208" i="45"/>
  <c r="A209" i="45"/>
  <c r="A210" i="45"/>
  <c r="A211" i="45"/>
  <c r="A212" i="45"/>
  <c r="A213" i="45"/>
  <c r="A214" i="45"/>
  <c r="A215" i="45"/>
  <c r="A216" i="45"/>
  <c r="A217" i="45"/>
  <c r="A218" i="45"/>
  <c r="A219" i="45"/>
  <c r="A220" i="45"/>
  <c r="A221" i="45"/>
  <c r="A222" i="45"/>
  <c r="A223" i="45"/>
  <c r="A224" i="45"/>
  <c r="A225" i="45"/>
  <c r="A226" i="45"/>
  <c r="A227" i="45"/>
  <c r="A228" i="45"/>
  <c r="A229" i="45"/>
  <c r="A230" i="45"/>
  <c r="A231" i="45"/>
  <c r="A232" i="45"/>
  <c r="A233" i="45"/>
  <c r="A234" i="45"/>
  <c r="A235" i="45"/>
  <c r="A236" i="45"/>
  <c r="A237" i="45"/>
  <c r="A238" i="45"/>
  <c r="A239" i="45"/>
  <c r="A240" i="45"/>
  <c r="A241" i="45"/>
  <c r="A242" i="45"/>
  <c r="A243" i="45"/>
  <c r="A244" i="45"/>
  <c r="A245" i="45"/>
  <c r="A246" i="45"/>
  <c r="A247" i="45"/>
  <c r="A248" i="45"/>
  <c r="A249" i="45"/>
  <c r="A250" i="45"/>
  <c r="A251" i="45"/>
  <c r="A252" i="45"/>
  <c r="A253" i="45"/>
  <c r="A254" i="45"/>
  <c r="A255" i="45"/>
  <c r="A256" i="45"/>
  <c r="A257" i="45"/>
  <c r="A258" i="45"/>
  <c r="A259" i="45"/>
  <c r="A260" i="45"/>
  <c r="A261" i="45"/>
  <c r="A262" i="45"/>
  <c r="A263" i="45"/>
  <c r="A264" i="45"/>
  <c r="A265" i="45"/>
  <c r="A266" i="45"/>
  <c r="A267" i="45"/>
  <c r="A268" i="45"/>
  <c r="A269" i="45"/>
  <c r="A270" i="45"/>
  <c r="A271" i="45"/>
  <c r="A272" i="45"/>
  <c r="A273" i="45"/>
  <c r="A274" i="45"/>
  <c r="A275" i="45"/>
  <c r="A276" i="45"/>
  <c r="A277" i="45"/>
  <c r="A278" i="45"/>
  <c r="A279" i="45"/>
  <c r="A280" i="45"/>
  <c r="A281" i="45"/>
  <c r="A282" i="45"/>
  <c r="A283" i="45"/>
  <c r="A284" i="45"/>
  <c r="A285" i="45"/>
  <c r="A286" i="45"/>
  <c r="A287" i="45"/>
  <c r="A288" i="45"/>
  <c r="A289" i="45"/>
  <c r="A290" i="45"/>
  <c r="A291" i="45"/>
  <c r="A292" i="45"/>
  <c r="A293" i="45"/>
  <c r="A294" i="45"/>
  <c r="A295" i="45"/>
  <c r="A296" i="45"/>
  <c r="A297" i="45"/>
  <c r="A298" i="45"/>
  <c r="A300" i="45"/>
  <c r="A301" i="45"/>
  <c r="A302" i="45"/>
  <c r="A303" i="45"/>
  <c r="A304" i="45"/>
  <c r="A305" i="45"/>
  <c r="A306" i="45"/>
  <c r="A307" i="45"/>
  <c r="A308" i="45"/>
  <c r="A310" i="45"/>
  <c r="A311" i="45"/>
  <c r="A312" i="45"/>
  <c r="A313" i="45"/>
  <c r="A314" i="45"/>
  <c r="A316" i="45"/>
  <c r="A317" i="45"/>
  <c r="A318" i="45"/>
  <c r="A319" i="45"/>
  <c r="A320" i="45"/>
  <c r="A321" i="45"/>
  <c r="A322" i="45"/>
  <c r="A323" i="45"/>
  <c r="A324" i="45"/>
  <c r="A325" i="45"/>
  <c r="A326" i="45"/>
  <c r="A327" i="45"/>
  <c r="A328" i="45"/>
  <c r="A329" i="45"/>
  <c r="A330" i="45"/>
  <c r="A331" i="45"/>
  <c r="A332" i="45"/>
  <c r="A333" i="45"/>
  <c r="A334" i="45"/>
  <c r="A335" i="45"/>
  <c r="A336" i="45"/>
  <c r="A337" i="45"/>
  <c r="A338" i="45"/>
  <c r="A339" i="45"/>
  <c r="A340" i="45"/>
  <c r="A341" i="45"/>
  <c r="A342" i="45"/>
  <c r="A343" i="45"/>
  <c r="A344" i="45"/>
  <c r="A345" i="45"/>
  <c r="A346" i="45"/>
  <c r="A347" i="45"/>
  <c r="A348" i="45"/>
  <c r="A349" i="45"/>
  <c r="A350" i="45"/>
  <c r="A351" i="45"/>
  <c r="A352" i="45"/>
  <c r="A353" i="45"/>
  <c r="A354" i="45"/>
  <c r="A355" i="45"/>
  <c r="A356" i="45"/>
  <c r="A357" i="45"/>
  <c r="A358" i="45"/>
  <c r="A359" i="45"/>
  <c r="A360" i="45"/>
  <c r="A361" i="45"/>
  <c r="A362" i="45"/>
  <c r="A363" i="45"/>
  <c r="A364" i="45"/>
  <c r="A365" i="45"/>
  <c r="A366" i="45"/>
  <c r="A367" i="45"/>
  <c r="A368" i="45"/>
  <c r="A369" i="45"/>
  <c r="A370" i="45"/>
  <c r="A371" i="45"/>
  <c r="A372" i="45"/>
  <c r="A373" i="45"/>
  <c r="A374" i="45"/>
  <c r="A375" i="45"/>
  <c r="A376" i="45"/>
  <c r="A377" i="45"/>
  <c r="A378" i="45"/>
  <c r="A379" i="45"/>
  <c r="A380" i="45"/>
  <c r="A381" i="45"/>
  <c r="A382" i="45"/>
  <c r="A383" i="45"/>
  <c r="A384" i="45"/>
  <c r="A385" i="45"/>
  <c r="A386" i="45"/>
  <c r="A387" i="45"/>
  <c r="A388" i="45"/>
  <c r="A389" i="45"/>
  <c r="A390" i="45"/>
  <c r="A391" i="45"/>
  <c r="A392" i="45"/>
  <c r="A393" i="45"/>
  <c r="A394" i="45"/>
  <c r="A395" i="45"/>
  <c r="A396" i="45"/>
  <c r="BN553" i="4"/>
  <c r="BR553" i="4"/>
  <c r="F52" i="33"/>
  <c r="I52" i="33"/>
  <c r="A422" i="45"/>
  <c r="A421" i="45"/>
  <c r="A420" i="45"/>
  <c r="A419" i="45"/>
  <c r="A418" i="45"/>
  <c r="A417" i="45"/>
  <c r="A416" i="45"/>
  <c r="A415" i="45"/>
  <c r="A414" i="45"/>
  <c r="A413" i="45"/>
  <c r="A412" i="45"/>
  <c r="A411" i="45"/>
  <c r="A410" i="45"/>
  <c r="A409" i="45"/>
  <c r="A408" i="45"/>
  <c r="A407" i="45"/>
  <c r="A406" i="45"/>
  <c r="A405" i="45"/>
  <c r="A404" i="45"/>
  <c r="A403" i="45"/>
  <c r="A402" i="45"/>
  <c r="A401" i="45"/>
  <c r="A400" i="45"/>
  <c r="A399" i="45"/>
  <c r="A398" i="45"/>
  <c r="F31" i="10"/>
  <c r="F32" i="10"/>
  <c r="B297" i="48" s="1"/>
  <c r="I32" i="10"/>
  <c r="F33" i="10"/>
  <c r="B298" i="48" s="1"/>
  <c r="I33" i="10"/>
  <c r="B319" i="48" s="1"/>
  <c r="F34" i="10"/>
  <c r="B299" i="48" s="1"/>
  <c r="I34" i="10"/>
  <c r="B320" i="48" s="1"/>
  <c r="F36" i="10"/>
  <c r="B300" i="48" s="1"/>
  <c r="I36" i="10"/>
  <c r="F37" i="10"/>
  <c r="B301" i="48" s="1"/>
  <c r="I37" i="10"/>
  <c r="B322" i="48" s="1"/>
  <c r="F31" i="32"/>
  <c r="I31" i="32"/>
  <c r="B599" i="48" s="1"/>
  <c r="F32" i="32"/>
  <c r="I32" i="32"/>
  <c r="B600" i="48" s="1"/>
  <c r="F35" i="32"/>
  <c r="I35" i="32"/>
  <c r="B601" i="48" s="1"/>
  <c r="F36" i="32"/>
  <c r="B515" i="48" s="1"/>
  <c r="I36" i="32"/>
  <c r="F37" i="32"/>
  <c r="B516" i="48" s="1"/>
  <c r="I37" i="32"/>
  <c r="F38" i="32"/>
  <c r="I38" i="32"/>
  <c r="B604" i="48" s="1"/>
  <c r="F39" i="32"/>
  <c r="B518" i="48" s="1"/>
  <c r="I39" i="32"/>
  <c r="F40" i="32"/>
  <c r="B519" i="48" s="1"/>
  <c r="I40" i="32"/>
  <c r="F41" i="32"/>
  <c r="I41" i="32"/>
  <c r="B607" i="48" s="1"/>
  <c r="F45" i="32"/>
  <c r="I45" i="32"/>
  <c r="B608" i="48" s="1"/>
  <c r="F46" i="32"/>
  <c r="I46" i="32"/>
  <c r="B609" i="48" s="1"/>
  <c r="F47" i="32"/>
  <c r="B523" i="48" s="1"/>
  <c r="I47" i="32"/>
  <c r="F48" i="32"/>
  <c r="B524" i="48" s="1"/>
  <c r="I48" i="32"/>
  <c r="F51" i="32"/>
  <c r="B525" i="48" s="1"/>
  <c r="G51" i="32"/>
  <c r="G64" i="32" s="1"/>
  <c r="F52" i="32"/>
  <c r="I52" i="32"/>
  <c r="B613" i="48" s="1"/>
  <c r="F55" i="32"/>
  <c r="I55" i="32"/>
  <c r="B614" i="48" s="1"/>
  <c r="F56" i="32"/>
  <c r="B528" i="48" s="1"/>
  <c r="I56" i="32"/>
  <c r="F57" i="32"/>
  <c r="B529" i="48" s="1"/>
  <c r="I57" i="32"/>
  <c r="B616" i="48" s="1"/>
  <c r="F58" i="32"/>
  <c r="I58" i="32"/>
  <c r="B617" i="48" s="1"/>
  <c r="F59" i="32"/>
  <c r="B531" i="48" s="1"/>
  <c r="I59" i="32"/>
  <c r="F60" i="32"/>
  <c r="B532" i="48" s="1"/>
  <c r="I60" i="32"/>
  <c r="F62" i="32"/>
  <c r="I62" i="32"/>
  <c r="B620" i="48" s="1"/>
  <c r="I31" i="33"/>
  <c r="F32" i="33"/>
  <c r="D43" i="33" s="1"/>
  <c r="I32" i="33"/>
  <c r="F37" i="33"/>
  <c r="B809" i="48" s="1"/>
  <c r="I37" i="33"/>
  <c r="F38" i="33"/>
  <c r="I38" i="33"/>
  <c r="F41" i="33"/>
  <c r="I41" i="33"/>
  <c r="F42" i="33"/>
  <c r="I42" i="33"/>
  <c r="F51" i="33"/>
  <c r="I51" i="33"/>
  <c r="F53" i="33"/>
  <c r="I53" i="33"/>
  <c r="F54" i="33"/>
  <c r="I54" i="33"/>
  <c r="F55" i="33"/>
  <c r="I55" i="33"/>
  <c r="B1039" i="48" s="1"/>
  <c r="F56" i="33"/>
  <c r="I56" i="33"/>
  <c r="F57" i="33"/>
  <c r="B822" i="48" s="1"/>
  <c r="I57" i="33"/>
  <c r="F58" i="33"/>
  <c r="I58" i="33"/>
  <c r="F59" i="33"/>
  <c r="I59" i="33"/>
  <c r="F60" i="33"/>
  <c r="I60" i="33"/>
  <c r="F61" i="33"/>
  <c r="B826" i="48" s="1"/>
  <c r="I61" i="33"/>
  <c r="F62" i="33"/>
  <c r="I62" i="33"/>
  <c r="F31" i="34"/>
  <c r="I31" i="34"/>
  <c r="F33" i="34"/>
  <c r="I33" i="34"/>
  <c r="B1285" i="48" s="1"/>
  <c r="F36" i="34"/>
  <c r="B1220" i="48" s="1"/>
  <c r="I36" i="34"/>
  <c r="F37" i="34"/>
  <c r="B1221" i="48" s="1"/>
  <c r="I37" i="34"/>
  <c r="F40" i="34"/>
  <c r="B1222" i="48" s="1"/>
  <c r="I40" i="34"/>
  <c r="B1288" i="48" s="1"/>
  <c r="F41" i="34"/>
  <c r="B1223" i="48" s="1"/>
  <c r="I41" i="34"/>
  <c r="B1289" i="48" s="1"/>
  <c r="F43" i="34"/>
  <c r="I43" i="34"/>
  <c r="B1291" i="48" s="1"/>
  <c r="F44" i="34"/>
  <c r="B1226" i="48" s="1"/>
  <c r="I44" i="34"/>
  <c r="B1292" i="48" s="1"/>
  <c r="F45" i="34"/>
  <c r="I45" i="34"/>
  <c r="B1293" i="48" s="1"/>
  <c r="F46" i="34"/>
  <c r="B1228" i="48" s="1"/>
  <c r="I46" i="34"/>
  <c r="F47" i="34"/>
  <c r="B1229" i="48" s="1"/>
  <c r="I47" i="34"/>
  <c r="F52" i="34"/>
  <c r="I52" i="34"/>
  <c r="B1298" i="48" s="1"/>
  <c r="F53" i="34"/>
  <c r="I53" i="34"/>
  <c r="B1299" i="48" s="1"/>
  <c r="F54" i="34"/>
  <c r="B1234" i="48" s="1"/>
  <c r="I54" i="34"/>
  <c r="F55" i="34"/>
  <c r="B1235" i="48" s="1"/>
  <c r="I55" i="34"/>
  <c r="F58" i="34"/>
  <c r="B1236" i="48" s="1"/>
  <c r="I58" i="34"/>
  <c r="B1302" i="48" s="1"/>
  <c r="F61" i="34"/>
  <c r="B1237" i="48" s="1"/>
  <c r="I61" i="34"/>
  <c r="F62" i="34"/>
  <c r="B1238" i="48" s="1"/>
  <c r="I62" i="34"/>
  <c r="F32" i="35"/>
  <c r="I32" i="35"/>
  <c r="F33" i="35"/>
  <c r="I33" i="35"/>
  <c r="B1629" i="48" s="1"/>
  <c r="F34" i="35"/>
  <c r="I34" i="35"/>
  <c r="B1630" i="48" s="1"/>
  <c r="F35" i="35"/>
  <c r="B1469" i="48" s="1"/>
  <c r="I35" i="35"/>
  <c r="F36" i="35"/>
  <c r="B1470" i="48" s="1"/>
  <c r="I36" i="35"/>
  <c r="B1632" i="48" s="1"/>
  <c r="F39" i="35"/>
  <c r="B1471" i="48" s="1"/>
  <c r="I39" i="35"/>
  <c r="B1633" i="48" s="1"/>
  <c r="F40" i="35"/>
  <c r="I40" i="35"/>
  <c r="B1634" i="48" s="1"/>
  <c r="F41" i="35"/>
  <c r="I41" i="35"/>
  <c r="F42" i="35"/>
  <c r="I42" i="35"/>
  <c r="F44" i="35"/>
  <c r="B1475" i="48" s="1"/>
  <c r="I44" i="35"/>
  <c r="F48" i="35"/>
  <c r="I48" i="35"/>
  <c r="B1639" i="48" s="1"/>
  <c r="F60" i="35"/>
  <c r="B1480" i="48" s="1"/>
  <c r="I60" i="35"/>
  <c r="F64" i="35"/>
  <c r="B1482" i="48" s="1"/>
  <c r="I64" i="35"/>
  <c r="F65" i="35"/>
  <c r="I65" i="35"/>
  <c r="B1645" i="48" s="1"/>
  <c r="F66" i="35"/>
  <c r="B1484" i="48" s="1"/>
  <c r="I66" i="35"/>
  <c r="B1646" i="48" s="1"/>
  <c r="F67" i="35"/>
  <c r="B1485" i="48" s="1"/>
  <c r="I67" i="35"/>
  <c r="F68" i="35"/>
  <c r="I68" i="35"/>
  <c r="B1648" i="48" s="1"/>
  <c r="F69" i="35"/>
  <c r="I69" i="35"/>
  <c r="B1649" i="48" s="1"/>
  <c r="F70" i="35"/>
  <c r="I70" i="35"/>
  <c r="B1650" i="48" s="1"/>
  <c r="F71" i="35"/>
  <c r="B1489" i="48" s="1"/>
  <c r="I71" i="35"/>
  <c r="F72" i="35"/>
  <c r="B1490" i="48" s="1"/>
  <c r="I72" i="35"/>
  <c r="F73" i="35"/>
  <c r="I73" i="35"/>
  <c r="B1653" i="48" s="1"/>
  <c r="F74" i="35"/>
  <c r="B1492" i="48" s="1"/>
  <c r="I74" i="35"/>
  <c r="F77" i="35"/>
  <c r="B1493" i="48" s="1"/>
  <c r="I77" i="35"/>
  <c r="B1655" i="48" s="1"/>
  <c r="F78" i="35"/>
  <c r="I78" i="35"/>
  <c r="B1656" i="48" s="1"/>
  <c r="F79" i="35"/>
  <c r="I79" i="35"/>
  <c r="B1657" i="48" s="1"/>
  <c r="F82" i="35"/>
  <c r="I82" i="35"/>
  <c r="B1658" i="48" s="1"/>
  <c r="F83" i="35"/>
  <c r="B1497" i="48" s="1"/>
  <c r="I83" i="35"/>
  <c r="F84" i="35"/>
  <c r="B1498" i="48" s="1"/>
  <c r="I84" i="35"/>
  <c r="F85" i="35"/>
  <c r="I85" i="35"/>
  <c r="B1661" i="48" s="1"/>
  <c r="F87" i="35"/>
  <c r="B1500" i="48" s="1"/>
  <c r="I87" i="35"/>
  <c r="F90" i="35"/>
  <c r="B1501" i="48" s="1"/>
  <c r="I90" i="35"/>
  <c r="F93" i="35"/>
  <c r="I93" i="35"/>
  <c r="B1664" i="48" s="1"/>
  <c r="F94" i="35"/>
  <c r="I94" i="35"/>
  <c r="B1665" i="48" s="1"/>
  <c r="F95" i="35"/>
  <c r="B1504" i="48" s="1"/>
  <c r="I95" i="35"/>
  <c r="B1666" i="48" s="1"/>
  <c r="F96" i="35"/>
  <c r="B1505" i="48" s="1"/>
  <c r="I96" i="35"/>
  <c r="F97" i="35"/>
  <c r="B1506" i="48" s="1"/>
  <c r="I97" i="35"/>
  <c r="F98" i="35"/>
  <c r="I98" i="35"/>
  <c r="B1669" i="48" s="1"/>
  <c r="F32" i="37"/>
  <c r="B1837" i="48" s="1"/>
  <c r="I32" i="37"/>
  <c r="I40" i="30" s="1"/>
  <c r="F39" i="37"/>
  <c r="B1838" i="48" s="1"/>
  <c r="I39" i="37"/>
  <c r="B1987" i="48" s="1"/>
  <c r="F40" i="37"/>
  <c r="I40" i="37"/>
  <c r="F41" i="37"/>
  <c r="B1840" i="48" s="1"/>
  <c r="I41" i="37"/>
  <c r="F50" i="37"/>
  <c r="B1842" i="48" s="1"/>
  <c r="I50" i="37"/>
  <c r="F55" i="37"/>
  <c r="B1843" i="48" s="1"/>
  <c r="I55" i="37"/>
  <c r="B1992" i="48" s="1"/>
  <c r="F56" i="37"/>
  <c r="B1844" i="48" s="1"/>
  <c r="I56" i="37"/>
  <c r="F57" i="37"/>
  <c r="B1845" i="48" s="1"/>
  <c r="I57" i="37"/>
  <c r="F58" i="37"/>
  <c r="B1846" i="48" s="1"/>
  <c r="I58" i="37"/>
  <c r="B1995" i="48" s="1"/>
  <c r="F59" i="37"/>
  <c r="B1847" i="48" s="1"/>
  <c r="I59" i="37"/>
  <c r="F60" i="37"/>
  <c r="B1848" i="48" s="1"/>
  <c r="I60" i="37"/>
  <c r="F62" i="37"/>
  <c r="B1849" i="48" s="1"/>
  <c r="I62" i="37"/>
  <c r="F65" i="37"/>
  <c r="B1850" i="48" s="1"/>
  <c r="I65" i="37"/>
  <c r="F66" i="37"/>
  <c r="B1851" i="48" s="1"/>
  <c r="I66" i="37"/>
  <c r="F68" i="37"/>
  <c r="B1852" i="48" s="1"/>
  <c r="I68" i="37"/>
  <c r="F70" i="37"/>
  <c r="B1853" i="48" s="1"/>
  <c r="I70" i="37"/>
  <c r="F72" i="37"/>
  <c r="B1854" i="48" s="1"/>
  <c r="I72" i="37"/>
  <c r="B2003" i="48" s="1"/>
  <c r="F74" i="37"/>
  <c r="B1855" i="48" s="1"/>
  <c r="I74" i="37"/>
  <c r="F76" i="37"/>
  <c r="I76" i="37"/>
  <c r="F77" i="37"/>
  <c r="B1857" i="48" s="1"/>
  <c r="I77" i="37"/>
  <c r="F80" i="37"/>
  <c r="B1858" i="48" s="1"/>
  <c r="I80" i="37"/>
  <c r="F81" i="37"/>
  <c r="I81" i="37"/>
  <c r="B2008" i="48" s="1"/>
  <c r="F82" i="37"/>
  <c r="B1860" i="48" s="1"/>
  <c r="I82" i="37"/>
  <c r="F84" i="37"/>
  <c r="B1861" i="48" s="1"/>
  <c r="H84" i="37"/>
  <c r="H86" i="37" s="1"/>
  <c r="B1958" i="48" s="1"/>
  <c r="F107" i="37"/>
  <c r="B1864" i="48" s="1"/>
  <c r="I107" i="37"/>
  <c r="F108" i="37"/>
  <c r="B1865" i="48" s="1"/>
  <c r="I108" i="37"/>
  <c r="B2014" i="48" s="1"/>
  <c r="F109" i="37"/>
  <c r="B1866" i="48" s="1"/>
  <c r="I109" i="37"/>
  <c r="F110" i="37"/>
  <c r="B1867" i="48" s="1"/>
  <c r="I110" i="37"/>
  <c r="B2016" i="48" s="1"/>
  <c r="F111" i="37"/>
  <c r="B1868" i="48" s="1"/>
  <c r="I111" i="37"/>
  <c r="F112" i="37"/>
  <c r="I112" i="37"/>
  <c r="F113" i="37"/>
  <c r="B1870" i="48" s="1"/>
  <c r="I113" i="37"/>
  <c r="F114" i="37"/>
  <c r="I114" i="37"/>
  <c r="B2020" i="48" s="1"/>
  <c r="F115" i="37"/>
  <c r="B1872" i="48" s="1"/>
  <c r="I115" i="37"/>
  <c r="F116" i="37"/>
  <c r="I116" i="37"/>
  <c r="B2022" i="48" s="1"/>
  <c r="F117" i="37"/>
  <c r="B1874" i="48" s="1"/>
  <c r="I117" i="37"/>
  <c r="F118" i="37"/>
  <c r="B1875" i="48" s="1"/>
  <c r="I118" i="37"/>
  <c r="B2024" i="48" s="1"/>
  <c r="F119" i="37"/>
  <c r="B1876" i="48" s="1"/>
  <c r="I119" i="37"/>
  <c r="F120" i="37"/>
  <c r="I120" i="37"/>
  <c r="B2026" i="48" s="1"/>
  <c r="F121" i="37"/>
  <c r="I121" i="37"/>
  <c r="F122" i="37"/>
  <c r="B1879" i="48" s="1"/>
  <c r="I122" i="37"/>
  <c r="F123" i="37"/>
  <c r="B1880" i="48" s="1"/>
  <c r="I123" i="37"/>
  <c r="F124" i="37"/>
  <c r="I124" i="37"/>
  <c r="B2030" i="48" s="1"/>
  <c r="F125" i="37"/>
  <c r="I125" i="37"/>
  <c r="F126" i="37"/>
  <c r="I126" i="37"/>
  <c r="B2032" i="48" s="1"/>
  <c r="A1" i="40"/>
  <c r="C128" i="36"/>
  <c r="H66" i="36"/>
  <c r="H67" i="36"/>
  <c r="H68" i="36"/>
  <c r="B2640" i="48" s="1"/>
  <c r="H69" i="36"/>
  <c r="H70" i="36"/>
  <c r="B2642" i="48" s="1"/>
  <c r="H71" i="36"/>
  <c r="H72" i="36"/>
  <c r="B2644" i="48" s="1"/>
  <c r="H73" i="36"/>
  <c r="H74" i="36"/>
  <c r="H75" i="36"/>
  <c r="H79" i="36"/>
  <c r="H80" i="36"/>
  <c r="B2650" i="48" s="1"/>
  <c r="H81" i="36"/>
  <c r="B2651" i="48" s="1"/>
  <c r="H82" i="36"/>
  <c r="H83" i="36"/>
  <c r="B2653" i="48" s="1"/>
  <c r="H84" i="36"/>
  <c r="H88" i="36"/>
  <c r="H89" i="36"/>
  <c r="H90" i="36"/>
  <c r="H91" i="36"/>
  <c r="H92" i="36"/>
  <c r="B2660" i="48" s="1"/>
  <c r="H93" i="36"/>
  <c r="H94" i="36"/>
  <c r="B2662" i="48" s="1"/>
  <c r="H95" i="36"/>
  <c r="B2663" i="48" s="1"/>
  <c r="H96" i="36"/>
  <c r="H97" i="36"/>
  <c r="H98" i="36"/>
  <c r="H99" i="36"/>
  <c r="H103" i="36"/>
  <c r="B2669" i="48" s="1"/>
  <c r="H104" i="36"/>
  <c r="H105" i="36"/>
  <c r="H106" i="36"/>
  <c r="H107" i="36"/>
  <c r="H108" i="36"/>
  <c r="H111" i="36"/>
  <c r="G76" i="36"/>
  <c r="G85" i="36"/>
  <c r="G100" i="36"/>
  <c r="G109" i="36"/>
  <c r="E76" i="36"/>
  <c r="E85" i="36"/>
  <c r="E100" i="36"/>
  <c r="E109" i="36"/>
  <c r="C76" i="36"/>
  <c r="C85" i="36"/>
  <c r="C100" i="36"/>
  <c r="B2504" i="48" s="1"/>
  <c r="C109" i="36"/>
  <c r="M40" i="36"/>
  <c r="B2429" i="48" s="1"/>
  <c r="M47" i="36"/>
  <c r="M54" i="36"/>
  <c r="L40" i="36"/>
  <c r="B2412" i="48" s="1"/>
  <c r="L47" i="36"/>
  <c r="L54" i="36"/>
  <c r="K40" i="36"/>
  <c r="K47" i="36"/>
  <c r="K54" i="36"/>
  <c r="B2405" i="48" s="1"/>
  <c r="J40" i="36"/>
  <c r="J47" i="36"/>
  <c r="J54" i="36"/>
  <c r="I40" i="36"/>
  <c r="I47" i="36"/>
  <c r="I54" i="36"/>
  <c r="F40" i="36"/>
  <c r="B2310" i="48" s="1"/>
  <c r="F47" i="36"/>
  <c r="B2315" i="48" s="1"/>
  <c r="F54" i="36"/>
  <c r="B2320" i="48" s="1"/>
  <c r="E40" i="36"/>
  <c r="E47" i="36"/>
  <c r="E54" i="36"/>
  <c r="B2303" i="48" s="1"/>
  <c r="D40" i="36"/>
  <c r="D47" i="36"/>
  <c r="B2281" i="48" s="1"/>
  <c r="D54" i="36"/>
  <c r="C36" i="36"/>
  <c r="B2255" i="48" s="1"/>
  <c r="C37" i="36"/>
  <c r="B2256" i="48" s="1"/>
  <c r="C38" i="36"/>
  <c r="B2257" i="48" s="1"/>
  <c r="C39" i="36"/>
  <c r="C43" i="36"/>
  <c r="B2260" i="48" s="1"/>
  <c r="C44" i="36"/>
  <c r="B2261" i="48" s="1"/>
  <c r="C45" i="36"/>
  <c r="C46" i="36"/>
  <c r="C50" i="36"/>
  <c r="B2265" i="48" s="1"/>
  <c r="C51" i="36"/>
  <c r="B2266" i="48" s="1"/>
  <c r="C52" i="36"/>
  <c r="B2267" i="48" s="1"/>
  <c r="C53" i="36"/>
  <c r="C56" i="36"/>
  <c r="B2254" i="48"/>
  <c r="G105" i="38"/>
  <c r="H55" i="38"/>
  <c r="H127" i="37"/>
  <c r="B1985" i="48" s="1"/>
  <c r="H42" i="37"/>
  <c r="G127" i="37"/>
  <c r="G100" i="37" s="1"/>
  <c r="G43" i="30" s="1"/>
  <c r="G86" i="37"/>
  <c r="B1910" i="48" s="1"/>
  <c r="G42" i="37"/>
  <c r="G41" i="30" s="1"/>
  <c r="E127" i="37"/>
  <c r="B1836" i="48" s="1"/>
  <c r="E86" i="37"/>
  <c r="B1812" i="48" s="1"/>
  <c r="E42" i="37"/>
  <c r="E41" i="30" s="1"/>
  <c r="B206" i="48" s="1"/>
  <c r="D127" i="37"/>
  <c r="B1784" i="48" s="1"/>
  <c r="D86" i="37"/>
  <c r="D42" i="37"/>
  <c r="D41" i="30" s="1"/>
  <c r="B192" i="48" s="1"/>
  <c r="B1587" i="48"/>
  <c r="H100" i="35"/>
  <c r="H38" i="30" s="1"/>
  <c r="H124" i="35"/>
  <c r="H39" i="30" s="1"/>
  <c r="B1533" i="48"/>
  <c r="G100" i="35"/>
  <c r="G38" i="30" s="1"/>
  <c r="G124" i="35"/>
  <c r="G39" i="30" s="1"/>
  <c r="B1421" i="48"/>
  <c r="E100" i="35"/>
  <c r="B1452" i="48" s="1"/>
  <c r="E124" i="35"/>
  <c r="E39" i="30" s="1"/>
  <c r="B1367" i="48"/>
  <c r="D100" i="35"/>
  <c r="D38" i="30" s="1"/>
  <c r="D124" i="35"/>
  <c r="B1406" i="48" s="1"/>
  <c r="D84" i="34"/>
  <c r="B1349" i="48"/>
  <c r="B1283" i="48"/>
  <c r="G36" i="30"/>
  <c r="B1216" i="48"/>
  <c r="D36" i="30"/>
  <c r="B187" i="48" s="1"/>
  <c r="F134" i="33"/>
  <c r="I134" i="33"/>
  <c r="F132" i="33"/>
  <c r="B874" i="48" s="1"/>
  <c r="I132" i="33"/>
  <c r="B1093" i="48" s="1"/>
  <c r="F96" i="32"/>
  <c r="I96" i="32"/>
  <c r="F95" i="32"/>
  <c r="I95" i="32"/>
  <c r="B624" i="48" s="1"/>
  <c r="F94" i="32"/>
  <c r="B536" i="48" s="1"/>
  <c r="I94" i="32"/>
  <c r="F82" i="32"/>
  <c r="I82" i="32"/>
  <c r="J82" i="32" s="1"/>
  <c r="H64" i="32"/>
  <c r="E64" i="32"/>
  <c r="B504" i="48" s="1"/>
  <c r="D64" i="32"/>
  <c r="D32" i="30" s="1"/>
  <c r="G185" i="2"/>
  <c r="B453" i="48" s="1"/>
  <c r="G153" i="2"/>
  <c r="B427" i="48" s="1"/>
  <c r="H40" i="10"/>
  <c r="B316" i="48" s="1"/>
  <c r="G40" i="10"/>
  <c r="B309" i="48" s="1"/>
  <c r="E40" i="10"/>
  <c r="B294" i="48" s="1"/>
  <c r="D40" i="10"/>
  <c r="B287" i="48" s="1"/>
  <c r="H37" i="30"/>
  <c r="H40" i="30"/>
  <c r="G37" i="30"/>
  <c r="G40" i="30"/>
  <c r="B233" i="48" s="1"/>
  <c r="E37" i="30"/>
  <c r="B202" i="48" s="1"/>
  <c r="E40" i="30"/>
  <c r="B205" i="48" s="1"/>
  <c r="D40" i="30"/>
  <c r="B153" i="48"/>
  <c r="E155" i="4"/>
  <c r="C50" i="44"/>
  <c r="B2457" i="48" s="1"/>
  <c r="C25" i="44"/>
  <c r="A1" i="44"/>
  <c r="B9" i="29"/>
  <c r="N3" i="29"/>
  <c r="B1" i="29"/>
  <c r="A18" i="36"/>
  <c r="A10" i="36"/>
  <c r="K3" i="36"/>
  <c r="A1" i="36"/>
  <c r="A99" i="38"/>
  <c r="A18" i="38"/>
  <c r="A10" i="38"/>
  <c r="A16" i="38" s="1"/>
  <c r="A9" i="38"/>
  <c r="P3" i="38"/>
  <c r="A1" i="38"/>
  <c r="A18" i="37"/>
  <c r="A10" i="37"/>
  <c r="A16" i="37" s="1"/>
  <c r="A9" i="37"/>
  <c r="M3" i="37"/>
  <c r="A1" i="37"/>
  <c r="A18" i="35"/>
  <c r="A10" i="35"/>
  <c r="A16" i="35" s="1"/>
  <c r="A9" i="35"/>
  <c r="M3" i="35"/>
  <c r="A1" i="35"/>
  <c r="A18" i="34"/>
  <c r="A10" i="34"/>
  <c r="A16" i="34" s="1"/>
  <c r="A9" i="34"/>
  <c r="M3" i="34"/>
  <c r="A18" i="33"/>
  <c r="A10" i="33"/>
  <c r="A16" i="33" s="1"/>
  <c r="A9" i="33"/>
  <c r="M3" i="33"/>
  <c r="A1" i="33"/>
  <c r="M74" i="32"/>
  <c r="O74" i="32" s="1"/>
  <c r="A18" i="32"/>
  <c r="A10" i="32"/>
  <c r="A16" i="32" s="1"/>
  <c r="A9" i="32"/>
  <c r="M3" i="32"/>
  <c r="A1" i="32"/>
  <c r="A18" i="10"/>
  <c r="A10" i="10"/>
  <c r="A16" i="10" s="1"/>
  <c r="A9" i="10"/>
  <c r="M3" i="10"/>
  <c r="A1" i="10"/>
  <c r="J75" i="2"/>
  <c r="F355" i="48" s="1"/>
  <c r="I75" i="2"/>
  <c r="E355" i="48" s="1"/>
  <c r="J74" i="2"/>
  <c r="F354" i="48" s="1"/>
  <c r="I74" i="2"/>
  <c r="E354" i="48" s="1"/>
  <c r="J73" i="2"/>
  <c r="F353" i="48" s="1"/>
  <c r="I73" i="2"/>
  <c r="E353" i="48" s="1"/>
  <c r="A10" i="2"/>
  <c r="A16" i="2" s="1"/>
  <c r="A18" i="2"/>
  <c r="A9" i="2"/>
  <c r="M3" i="2"/>
  <c r="A1" i="2"/>
  <c r="A18" i="30"/>
  <c r="A10" i="30"/>
  <c r="A16" i="30" s="1"/>
  <c r="A9" i="30"/>
  <c r="M3" i="30"/>
  <c r="A1" i="30"/>
  <c r="BV561" i="4"/>
  <c r="BU561" i="4"/>
  <c r="BS561" i="4"/>
  <c r="BR561" i="4"/>
  <c r="BQ561" i="4"/>
  <c r="BP561" i="4"/>
  <c r="BN561" i="4"/>
  <c r="BM561" i="4"/>
  <c r="BL561" i="4"/>
  <c r="BV560" i="4"/>
  <c r="BR560" i="4"/>
  <c r="BQ560" i="4"/>
  <c r="BN560" i="4"/>
  <c r="BM560" i="4"/>
  <c r="BL560" i="4"/>
  <c r="BV559" i="4"/>
  <c r="BR559" i="4"/>
  <c r="BQ559" i="4"/>
  <c r="BN559" i="4"/>
  <c r="BM559" i="4"/>
  <c r="BL559" i="4"/>
  <c r="BV558" i="4"/>
  <c r="BS558" i="4"/>
  <c r="BR558" i="4"/>
  <c r="BQ558" i="4"/>
  <c r="BN558" i="4"/>
  <c r="BM558" i="4"/>
  <c r="BL558" i="4"/>
  <c r="BV557" i="4"/>
  <c r="BU557" i="4"/>
  <c r="BR557" i="4"/>
  <c r="BQ557" i="4"/>
  <c r="BP557" i="4"/>
  <c r="BN557" i="4"/>
  <c r="BL557" i="4"/>
  <c r="BV556" i="4"/>
  <c r="BU556" i="4"/>
  <c r="BS556" i="4"/>
  <c r="BR556" i="4"/>
  <c r="BQ556" i="4"/>
  <c r="BP556" i="4"/>
  <c r="BN556" i="4"/>
  <c r="BM556" i="4"/>
  <c r="BL556" i="4"/>
  <c r="BV555" i="4"/>
  <c r="BR555" i="4"/>
  <c r="BQ555" i="4"/>
  <c r="BN555" i="4"/>
  <c r="BL555" i="4"/>
  <c r="BV553" i="4"/>
  <c r="BQ553" i="4"/>
  <c r="BL553" i="4"/>
  <c r="BV551" i="4"/>
  <c r="BS551" i="4"/>
  <c r="BR551" i="4"/>
  <c r="BQ551" i="4"/>
  <c r="BN551" i="4"/>
  <c r="BL551" i="4"/>
  <c r="BV549" i="4"/>
  <c r="BU549" i="4"/>
  <c r="BS549" i="4"/>
  <c r="BR549" i="4"/>
  <c r="BQ549" i="4"/>
  <c r="BP549" i="4"/>
  <c r="BN549" i="4"/>
  <c r="BM549" i="4"/>
  <c r="BL549" i="4"/>
  <c r="BV548" i="4"/>
  <c r="BU548" i="4"/>
  <c r="BS548" i="4"/>
  <c r="BR548" i="4"/>
  <c r="BQ548" i="4"/>
  <c r="BP548" i="4"/>
  <c r="BN548" i="4"/>
  <c r="BM548" i="4"/>
  <c r="BL548" i="4"/>
  <c r="BV547" i="4"/>
  <c r="BU547" i="4"/>
  <c r="BS547" i="4"/>
  <c r="BR547" i="4"/>
  <c r="BQ547" i="4"/>
  <c r="BP547" i="4"/>
  <c r="BN547" i="4"/>
  <c r="BM547" i="4"/>
  <c r="BL547" i="4"/>
  <c r="BV546" i="4"/>
  <c r="BS546" i="4"/>
  <c r="BQ546" i="4"/>
  <c r="BN546" i="4"/>
  <c r="BM546" i="4"/>
  <c r="BL546" i="4"/>
  <c r="BV545" i="4"/>
  <c r="BU545" i="4"/>
  <c r="BS545" i="4"/>
  <c r="BR545" i="4"/>
  <c r="BQ545" i="4"/>
  <c r="BP545" i="4"/>
  <c r="BN545" i="4"/>
  <c r="BM545" i="4"/>
  <c r="BL545" i="4"/>
  <c r="BV544" i="4"/>
  <c r="BU544" i="4"/>
  <c r="BS544" i="4"/>
  <c r="BR544" i="4"/>
  <c r="BQ544" i="4"/>
  <c r="BP544" i="4"/>
  <c r="BN544" i="4"/>
  <c r="BM544" i="4"/>
  <c r="BL544" i="4"/>
  <c r="BY543" i="4"/>
  <c r="BX543" i="4"/>
  <c r="BW543" i="4"/>
  <c r="BV543" i="4"/>
  <c r="BU543" i="4"/>
  <c r="BS543" i="4"/>
  <c r="BR543" i="4"/>
  <c r="BQ543" i="4"/>
  <c r="BP543" i="4"/>
  <c r="BN543" i="4"/>
  <c r="BM543" i="4"/>
  <c r="BL543" i="4"/>
  <c r="BJ543" i="4"/>
  <c r="BI543" i="4"/>
  <c r="BH543" i="4"/>
  <c r="BG543" i="4"/>
  <c r="BF543" i="4"/>
  <c r="BE543" i="4"/>
  <c r="BD543" i="4"/>
  <c r="BC543" i="4"/>
  <c r="BB543" i="4"/>
  <c r="BA543" i="4"/>
  <c r="BY541" i="4"/>
  <c r="BX541" i="4"/>
  <c r="BW541" i="4"/>
  <c r="BV541" i="4"/>
  <c r="BR541" i="4"/>
  <c r="BQ541" i="4"/>
  <c r="BP541" i="4"/>
  <c r="BN541" i="4"/>
  <c r="BM541" i="4"/>
  <c r="BL541" i="4"/>
  <c r="BJ541" i="4"/>
  <c r="BI541" i="4"/>
  <c r="BH541" i="4"/>
  <c r="BF541" i="4"/>
  <c r="BE541" i="4"/>
  <c r="BD541" i="4"/>
  <c r="BC541" i="4"/>
  <c r="BB541" i="4"/>
  <c r="BA541" i="4"/>
  <c r="H164" i="4"/>
  <c r="F145" i="48" s="1"/>
  <c r="G164" i="4"/>
  <c r="F155" i="4"/>
  <c r="D142" i="48" s="1"/>
  <c r="D100" i="48"/>
  <c r="F95" i="4"/>
  <c r="D84" i="48" s="1"/>
  <c r="G90" i="4"/>
  <c r="E79" i="48" s="1"/>
  <c r="F62" i="4"/>
  <c r="D52" i="48" s="1"/>
  <c r="A18" i="4"/>
  <c r="A11" i="4"/>
  <c r="M4" i="4"/>
  <c r="B32" i="26"/>
  <c r="E25" i="26"/>
  <c r="B4" i="48" s="1"/>
  <c r="A9" i="26"/>
  <c r="A1" i="26"/>
  <c r="F111" i="4"/>
  <c r="D99" i="48" s="1"/>
  <c r="D105" i="34" l="1"/>
  <c r="E179" i="4" s="1"/>
  <c r="G39" i="2"/>
  <c r="E108" i="4"/>
  <c r="E130" i="4"/>
  <c r="E135" i="4"/>
  <c r="B113" i="48" s="1"/>
  <c r="G35" i="2"/>
  <c r="J35" i="2" s="1"/>
  <c r="E136" i="4"/>
  <c r="E124" i="4"/>
  <c r="G32" i="2"/>
  <c r="J32" i="2" s="1"/>
  <c r="G40" i="2"/>
  <c r="J40" i="2" s="1"/>
  <c r="E109" i="4"/>
  <c r="E131" i="4"/>
  <c r="E121" i="4"/>
  <c r="G44" i="2"/>
  <c r="J44" i="2" s="1"/>
  <c r="G36" i="2"/>
  <c r="B339" i="48" s="1"/>
  <c r="E138" i="4"/>
  <c r="F138" i="4" s="1"/>
  <c r="I138" i="4" s="1"/>
  <c r="F130" i="48" s="1"/>
  <c r="G33" i="2"/>
  <c r="G42" i="2"/>
  <c r="E113" i="4"/>
  <c r="E134" i="4"/>
  <c r="G43" i="2"/>
  <c r="J43" i="2" s="1"/>
  <c r="E123" i="4"/>
  <c r="F123" i="4" s="1"/>
  <c r="G28" i="2"/>
  <c r="J28" i="2" s="1"/>
  <c r="G34" i="2"/>
  <c r="G37" i="2"/>
  <c r="J37" i="2" s="1"/>
  <c r="E51" i="4"/>
  <c r="E128" i="4"/>
  <c r="G38" i="2"/>
  <c r="E72" i="4"/>
  <c r="I72" i="4" s="1"/>
  <c r="E129" i="4"/>
  <c r="I67" i="4"/>
  <c r="B333" i="48"/>
  <c r="H109" i="4"/>
  <c r="I83" i="33"/>
  <c r="B1065" i="48" s="1"/>
  <c r="F83" i="33"/>
  <c r="G43" i="33"/>
  <c r="I44" i="33"/>
  <c r="F44" i="33"/>
  <c r="A21" i="49"/>
  <c r="AM55" i="37"/>
  <c r="AM59" i="37"/>
  <c r="AN123" i="4"/>
  <c r="AN124" i="4"/>
  <c r="AN121" i="4"/>
  <c r="AN125" i="4"/>
  <c r="G91" i="4"/>
  <c r="B1337" i="48"/>
  <c r="D100" i="34"/>
  <c r="AC45" i="34"/>
  <c r="AB41" i="34"/>
  <c r="AB42" i="34"/>
  <c r="AC44" i="34"/>
  <c r="AB43" i="34"/>
  <c r="AB40" i="34"/>
  <c r="AC41" i="34"/>
  <c r="AB44" i="34"/>
  <c r="AC42" i="34"/>
  <c r="AB45" i="34"/>
  <c r="AC43" i="34"/>
  <c r="AC40" i="34"/>
  <c r="G98" i="48"/>
  <c r="AM63" i="35"/>
  <c r="AM50" i="35" a="1"/>
  <c r="AM50" i="35" s="1"/>
  <c r="AD44" i="34"/>
  <c r="AD43" i="34"/>
  <c r="AD42" i="34"/>
  <c r="AD41" i="34"/>
  <c r="AD45" i="34"/>
  <c r="AD40" i="34"/>
  <c r="B1284" i="48"/>
  <c r="I64" i="34"/>
  <c r="F64" i="34"/>
  <c r="B1239" i="48" s="1"/>
  <c r="D39" i="30"/>
  <c r="B190" i="48" s="1"/>
  <c r="H42" i="30"/>
  <c r="B249" i="48" s="1"/>
  <c r="J59" i="37"/>
  <c r="F40" i="10"/>
  <c r="B302" i="48" s="1"/>
  <c r="AC31" i="10"/>
  <c r="B2248" i="48"/>
  <c r="H56" i="38"/>
  <c r="AC72" i="4"/>
  <c r="AB68" i="35"/>
  <c r="AB78" i="35"/>
  <c r="AB77" i="37"/>
  <c r="AB44" i="35"/>
  <c r="G42" i="30"/>
  <c r="B235" i="48" s="1"/>
  <c r="AC60" i="4"/>
  <c r="B2210" i="48"/>
  <c r="D31" i="30"/>
  <c r="B182" i="48" s="1"/>
  <c r="AC38" i="33"/>
  <c r="AB33" i="34"/>
  <c r="AC33" i="35"/>
  <c r="B2240" i="48"/>
  <c r="AC37" i="32"/>
  <c r="AC54" i="33"/>
  <c r="AC61" i="34"/>
  <c r="AM104" i="38"/>
  <c r="AN102" i="38"/>
  <c r="AN100" i="38"/>
  <c r="AC66" i="38"/>
  <c r="AD68" i="38"/>
  <c r="AC73" i="38"/>
  <c r="AC75" i="38"/>
  <c r="AC77" i="38"/>
  <c r="AC101" i="38"/>
  <c r="AD33" i="38"/>
  <c r="AD35" i="38"/>
  <c r="AD37" i="38"/>
  <c r="AC42" i="38"/>
  <c r="AD46" i="38"/>
  <c r="AD48" i="38"/>
  <c r="AB139" i="4"/>
  <c r="AC138" i="4"/>
  <c r="AC173" i="4"/>
  <c r="AB144" i="4"/>
  <c r="AB113" i="4"/>
  <c r="AB101" i="4"/>
  <c r="AB73" i="4"/>
  <c r="AB91" i="4"/>
  <c r="AB52" i="4"/>
  <c r="AB60" i="4"/>
  <c r="AB44" i="4"/>
  <c r="AB38" i="4"/>
  <c r="AM102" i="38"/>
  <c r="AM100" i="38"/>
  <c r="AC64" i="38"/>
  <c r="AD66" i="38"/>
  <c r="AC71" i="38"/>
  <c r="AD73" i="38"/>
  <c r="AD75" i="38"/>
  <c r="AD77" i="38"/>
  <c r="AC80" i="38"/>
  <c r="AC88" i="38"/>
  <c r="AC90" i="38"/>
  <c r="AD101" i="38"/>
  <c r="AC104" i="38"/>
  <c r="AC40" i="38"/>
  <c r="AD42" i="38"/>
  <c r="AC44" i="38"/>
  <c r="AC61" i="38"/>
  <c r="AC139" i="4"/>
  <c r="AB123" i="4"/>
  <c r="AC121" i="4"/>
  <c r="AC189" i="4"/>
  <c r="AB174" i="4"/>
  <c r="AB145" i="4"/>
  <c r="AB153" i="4"/>
  <c r="AB112" i="4"/>
  <c r="AB100" i="4"/>
  <c r="AB74" i="4"/>
  <c r="AB92" i="4"/>
  <c r="AB53" i="4"/>
  <c r="AB61" i="4"/>
  <c r="AB31" i="4"/>
  <c r="AB39" i="4"/>
  <c r="AN105" i="38"/>
  <c r="AD64" i="38"/>
  <c r="AD71" i="38"/>
  <c r="AD80" i="38"/>
  <c r="AD88" i="38"/>
  <c r="AD90" i="38"/>
  <c r="AD104" i="38"/>
  <c r="AC34" i="38"/>
  <c r="AC36" i="38"/>
  <c r="AC38" i="38"/>
  <c r="AD40" i="38"/>
  <c r="AD44" i="38"/>
  <c r="AC49" i="38"/>
  <c r="AC56" i="38"/>
  <c r="AD61" i="38"/>
  <c r="AM125" i="4"/>
  <c r="AM123" i="4"/>
  <c r="AC123" i="4"/>
  <c r="AB121" i="4"/>
  <c r="AB189" i="4"/>
  <c r="AD184" i="4"/>
  <c r="AC174" i="4"/>
  <c r="AC145" i="4"/>
  <c r="AC153" i="4"/>
  <c r="AB110" i="4"/>
  <c r="AB99" i="4"/>
  <c r="AB75" i="4"/>
  <c r="AB93" i="4"/>
  <c r="AB54" i="4"/>
  <c r="AB62" i="4"/>
  <c r="AB32" i="4"/>
  <c r="AB40" i="4"/>
  <c r="AB124" i="4"/>
  <c r="AC185" i="4"/>
  <c r="AC184" i="4"/>
  <c r="AC172" i="4"/>
  <c r="AC160" i="4"/>
  <c r="AB109" i="4"/>
  <c r="AB98" i="4"/>
  <c r="AB86" i="4"/>
  <c r="AB95" i="4"/>
  <c r="AB55" i="4"/>
  <c r="AB51" i="4"/>
  <c r="AB33" i="4"/>
  <c r="AB41" i="4"/>
  <c r="AM105" i="38"/>
  <c r="AC62" i="38"/>
  <c r="AC69" i="38"/>
  <c r="AC74" i="38"/>
  <c r="AC76" i="38"/>
  <c r="AC78" i="38"/>
  <c r="AC81" i="38"/>
  <c r="AC102" i="38"/>
  <c r="AC105" i="38"/>
  <c r="AD34" i="38"/>
  <c r="AD36" i="38"/>
  <c r="AD38" i="38"/>
  <c r="AC47" i="38"/>
  <c r="AD49" i="38"/>
  <c r="AD56" i="38"/>
  <c r="AD32" i="38"/>
  <c r="AL125" i="4"/>
  <c r="AL123" i="4"/>
  <c r="AM103" i="38"/>
  <c r="AM101" i="38"/>
  <c r="AC65" i="38"/>
  <c r="AD67" i="38"/>
  <c r="AD72" i="38"/>
  <c r="AC89" i="38"/>
  <c r="AC39" i="38"/>
  <c r="AD41" i="38"/>
  <c r="AC43" i="38"/>
  <c r="AD45" i="38"/>
  <c r="AB125" i="4"/>
  <c r="AB178" i="4"/>
  <c r="AB161" i="4"/>
  <c r="AB154" i="4"/>
  <c r="AB148" i="4"/>
  <c r="AB104" i="4"/>
  <c r="AB70" i="4"/>
  <c r="AB88" i="4"/>
  <c r="AB65" i="4"/>
  <c r="AB57" i="4"/>
  <c r="AB46" i="4"/>
  <c r="AB35" i="4"/>
  <c r="AB30" i="4"/>
  <c r="AC63" i="38"/>
  <c r="AD65" i="38"/>
  <c r="AC70" i="38"/>
  <c r="AC79" i="38"/>
  <c r="AC82" i="38"/>
  <c r="AD89" i="38"/>
  <c r="AC100" i="38"/>
  <c r="AC103" i="38"/>
  <c r="AD39" i="38"/>
  <c r="AD43" i="38"/>
  <c r="AC55" i="38"/>
  <c r="AC57" i="38"/>
  <c r="AM138" i="4"/>
  <c r="AM124" i="4"/>
  <c r="AM121" i="4"/>
  <c r="AN101" i="38"/>
  <c r="AD62" i="38"/>
  <c r="AC72" i="38"/>
  <c r="AD81" i="38"/>
  <c r="AD105" i="38"/>
  <c r="AC41" i="38"/>
  <c r="AD185" i="4"/>
  <c r="AC148" i="4"/>
  <c r="AB72" i="4"/>
  <c r="AB58" i="4"/>
  <c r="AB29" i="4"/>
  <c r="AD63" i="38"/>
  <c r="AD82" i="38"/>
  <c r="AC33" i="38"/>
  <c r="AD55" i="38"/>
  <c r="AL121" i="4"/>
  <c r="AC186" i="4"/>
  <c r="AB87" i="4"/>
  <c r="AB59" i="4"/>
  <c r="AB90" i="4"/>
  <c r="AB47" i="4"/>
  <c r="AD76" i="38"/>
  <c r="AB69" i="4"/>
  <c r="AC37" i="38"/>
  <c r="AB103" i="4"/>
  <c r="AD102" i="38"/>
  <c r="AC125" i="4"/>
  <c r="AB97" i="4"/>
  <c r="AD79" i="38"/>
  <c r="AB37" i="4"/>
  <c r="AN104" i="38"/>
  <c r="AD74" i="38"/>
  <c r="AD186" i="4"/>
  <c r="AB89" i="4"/>
  <c r="AB45" i="4"/>
  <c r="AC35" i="38"/>
  <c r="AD57" i="38"/>
  <c r="AL138" i="4"/>
  <c r="AB160" i="4"/>
  <c r="AB108" i="4"/>
  <c r="AC67" i="38"/>
  <c r="AC45" i="38"/>
  <c r="AC154" i="4"/>
  <c r="AB48" i="4"/>
  <c r="AC68" i="38"/>
  <c r="AC46" i="38"/>
  <c r="AC178" i="4"/>
  <c r="AB66" i="4"/>
  <c r="AD69" i="38"/>
  <c r="AD47" i="38"/>
  <c r="AL124" i="4"/>
  <c r="AB172" i="4"/>
  <c r="AB64" i="4"/>
  <c r="AD103" i="38"/>
  <c r="AB56" i="4"/>
  <c r="AN103" i="38"/>
  <c r="AB107" i="4"/>
  <c r="AD100" i="38"/>
  <c r="AC124" i="4"/>
  <c r="AB173" i="4"/>
  <c r="AB34" i="4"/>
  <c r="AD78" i="38"/>
  <c r="AB179" i="4"/>
  <c r="AC144" i="4"/>
  <c r="AB36" i="4"/>
  <c r="AD70" i="38"/>
  <c r="AC48" i="38"/>
  <c r="AB138" i="4"/>
  <c r="AC161" i="4"/>
  <c r="AB71" i="4"/>
  <c r="AC32" i="38"/>
  <c r="AB47" i="32"/>
  <c r="AC62" i="33"/>
  <c r="AE104" i="38"/>
  <c r="AE63" i="38"/>
  <c r="AE70" i="38"/>
  <c r="AE79" i="38"/>
  <c r="AE82" i="38"/>
  <c r="AE55" i="38"/>
  <c r="AE57" i="38"/>
  <c r="AE32" i="38"/>
  <c r="AD121" i="4"/>
  <c r="AD189" i="4"/>
  <c r="AE186" i="4"/>
  <c r="AD108" i="4"/>
  <c r="AD100" i="4"/>
  <c r="AD91" i="4"/>
  <c r="AD65" i="4"/>
  <c r="AD57" i="4"/>
  <c r="AD45" i="4"/>
  <c r="AD72" i="4"/>
  <c r="AD87" i="4"/>
  <c r="AD53" i="4"/>
  <c r="AD58" i="4"/>
  <c r="AO105" i="38"/>
  <c r="AE105" i="38"/>
  <c r="AE68" i="38"/>
  <c r="AE33" i="38"/>
  <c r="AE35" i="38"/>
  <c r="AE37" i="38"/>
  <c r="AE46" i="38"/>
  <c r="AE48" i="38"/>
  <c r="AD178" i="4"/>
  <c r="AE184" i="4"/>
  <c r="AD112" i="4"/>
  <c r="AD104" i="4"/>
  <c r="AE100" i="38"/>
  <c r="AE66" i="38"/>
  <c r="AE73" i="38"/>
  <c r="AE75" i="38"/>
  <c r="AE77" i="38"/>
  <c r="AE42" i="38"/>
  <c r="AD139" i="4"/>
  <c r="AD179" i="4"/>
  <c r="AD160" i="4"/>
  <c r="AD101" i="4"/>
  <c r="AD73" i="4"/>
  <c r="AD92" i="4"/>
  <c r="AD66" i="4"/>
  <c r="AD59" i="4"/>
  <c r="AD46" i="4"/>
  <c r="AD145" i="4"/>
  <c r="AD153" i="4"/>
  <c r="AD113" i="4"/>
  <c r="AD107" i="4"/>
  <c r="AD88" i="4"/>
  <c r="AD93" i="4"/>
  <c r="AO103" i="38"/>
  <c r="AO101" i="38"/>
  <c r="AE80" i="38"/>
  <c r="AE64" i="38"/>
  <c r="AE71" i="38"/>
  <c r="AE88" i="38"/>
  <c r="AE90" i="38"/>
  <c r="AE40" i="38"/>
  <c r="AE44" i="38"/>
  <c r="AE61" i="38"/>
  <c r="AE101" i="38"/>
  <c r="AE62" i="38"/>
  <c r="AE69" i="38"/>
  <c r="AE74" i="38"/>
  <c r="AE76" i="38"/>
  <c r="AE78" i="38"/>
  <c r="AE81" i="38"/>
  <c r="AE47" i="38"/>
  <c r="AN138" i="4"/>
  <c r="AD124" i="4"/>
  <c r="AE185" i="4"/>
  <c r="AD174" i="4"/>
  <c r="AD109" i="4"/>
  <c r="AO104" i="38"/>
  <c r="AE102" i="38"/>
  <c r="AE67" i="38"/>
  <c r="AE72" i="38"/>
  <c r="AE41" i="38"/>
  <c r="AE45" i="38"/>
  <c r="AD125" i="4"/>
  <c r="AE49" i="38"/>
  <c r="AD161" i="4"/>
  <c r="AD110" i="4"/>
  <c r="AD74" i="4"/>
  <c r="AD90" i="4"/>
  <c r="AD51" i="4"/>
  <c r="AD44" i="4"/>
  <c r="AD148" i="4"/>
  <c r="AD75" i="4"/>
  <c r="AD55" i="4"/>
  <c r="AD172" i="4"/>
  <c r="AD52" i="4"/>
  <c r="AD60" i="4"/>
  <c r="AD154" i="4"/>
  <c r="AD71" i="4"/>
  <c r="AD48" i="4"/>
  <c r="AO102" i="38"/>
  <c r="AD103" i="4"/>
  <c r="AD54" i="4"/>
  <c r="AO100" i="38"/>
  <c r="AE34" i="38"/>
  <c r="AE56" i="38"/>
  <c r="AD97" i="4"/>
  <c r="AD98" i="4"/>
  <c r="AD64" i="4"/>
  <c r="AE103" i="38"/>
  <c r="AE65" i="38"/>
  <c r="AE89" i="38"/>
  <c r="AE43" i="38"/>
  <c r="AD123" i="4"/>
  <c r="AD173" i="4"/>
  <c r="AD86" i="4"/>
  <c r="AE36" i="38"/>
  <c r="AD144" i="4"/>
  <c r="AD69" i="4"/>
  <c r="AD99" i="4"/>
  <c r="AD70" i="4"/>
  <c r="AD56" i="4"/>
  <c r="AD47" i="4"/>
  <c r="AD138" i="4"/>
  <c r="AE38" i="38"/>
  <c r="AD61" i="4"/>
  <c r="AE39" i="38"/>
  <c r="AD89" i="4"/>
  <c r="AC29" i="4"/>
  <c r="AB59" i="32"/>
  <c r="I124" i="35"/>
  <c r="B1680" i="48" s="1"/>
  <c r="AB93" i="35"/>
  <c r="AB41" i="37"/>
  <c r="AB113" i="35"/>
  <c r="AC62" i="37"/>
  <c r="E32" i="30"/>
  <c r="B197" i="48" s="1"/>
  <c r="I100" i="35"/>
  <c r="B1670" i="48" s="1"/>
  <c r="AC104" i="34"/>
  <c r="AB95" i="37"/>
  <c r="AC95" i="37"/>
  <c r="AC97" i="37"/>
  <c r="AC105" i="34"/>
  <c r="AB88" i="34"/>
  <c r="AC93" i="34"/>
  <c r="AC77" i="34"/>
  <c r="AB80" i="34"/>
  <c r="AB97" i="34"/>
  <c r="AC91" i="34"/>
  <c r="AB94" i="34"/>
  <c r="AC82" i="34"/>
  <c r="AB78" i="34"/>
  <c r="AB93" i="34"/>
  <c r="AB105" i="34"/>
  <c r="AC88" i="34"/>
  <c r="AB91" i="34"/>
  <c r="AC87" i="34"/>
  <c r="AB82" i="34"/>
  <c r="AC80" i="34"/>
  <c r="AB87" i="34"/>
  <c r="AC93" i="37"/>
  <c r="AB94" i="37"/>
  <c r="AB96" i="37"/>
  <c r="AB93" i="37"/>
  <c r="AC97" i="34"/>
  <c r="AB89" i="34"/>
  <c r="AC94" i="34"/>
  <c r="AB83" i="34"/>
  <c r="AC78" i="34"/>
  <c r="AC81" i="34"/>
  <c r="AC94" i="37"/>
  <c r="AC96" i="37"/>
  <c r="AB46" i="35"/>
  <c r="AC89" i="34"/>
  <c r="AB92" i="34"/>
  <c r="AC83" i="34"/>
  <c r="AB76" i="34"/>
  <c r="AC75" i="34"/>
  <c r="AB75" i="34"/>
  <c r="AB90" i="34"/>
  <c r="AB81" i="34"/>
  <c r="AB104" i="34"/>
  <c r="AC90" i="34"/>
  <c r="AC46" i="35"/>
  <c r="AB96" i="34"/>
  <c r="AC92" i="34"/>
  <c r="AB95" i="34"/>
  <c r="AC76" i="34"/>
  <c r="AB79" i="34"/>
  <c r="AC96" i="34"/>
  <c r="AC95" i="34"/>
  <c r="AC79" i="34"/>
  <c r="AB97" i="37"/>
  <c r="AB77" i="34"/>
  <c r="AB92" i="33"/>
  <c r="AB94" i="33"/>
  <c r="AB96" i="33"/>
  <c r="AB98" i="33"/>
  <c r="AB100" i="33"/>
  <c r="AB108" i="33"/>
  <c r="AB128" i="33"/>
  <c r="AC92" i="33"/>
  <c r="AC94" i="33"/>
  <c r="AC96" i="33"/>
  <c r="AC98" i="33"/>
  <c r="AC100" i="33"/>
  <c r="AC128" i="33"/>
  <c r="AB93" i="33"/>
  <c r="AC99" i="33"/>
  <c r="AC132" i="33"/>
  <c r="AC126" i="33"/>
  <c r="AB95" i="33"/>
  <c r="AB99" i="33"/>
  <c r="AB107" i="33"/>
  <c r="AC105" i="33"/>
  <c r="AC106" i="33"/>
  <c r="AB132" i="33"/>
  <c r="AB126" i="33"/>
  <c r="AB91" i="33"/>
  <c r="AB97" i="33"/>
  <c r="AB105" i="33"/>
  <c r="AC107" i="33"/>
  <c r="AC113" i="33"/>
  <c r="AB134" i="33"/>
  <c r="AB127" i="33"/>
  <c r="AB129" i="33"/>
  <c r="AC91" i="33"/>
  <c r="AC93" i="33"/>
  <c r="AC95" i="33"/>
  <c r="AC97" i="33"/>
  <c r="AC108" i="33"/>
  <c r="AC134" i="33"/>
  <c r="AC127" i="33"/>
  <c r="AC129" i="33"/>
  <c r="AB106" i="33"/>
  <c r="AB113" i="33"/>
  <c r="AB95" i="32"/>
  <c r="AC86" i="32"/>
  <c r="AC95" i="32"/>
  <c r="AB86" i="32"/>
  <c r="AC85" i="32"/>
  <c r="AB89" i="32"/>
  <c r="AC94" i="32"/>
  <c r="AC89" i="32"/>
  <c r="AB90" i="32"/>
  <c r="AB94" i="32"/>
  <c r="AB85" i="32"/>
  <c r="AC90" i="32"/>
  <c r="AB90" i="33"/>
  <c r="AB96" i="32"/>
  <c r="AC96" i="32"/>
  <c r="AC90" i="33"/>
  <c r="AC82" i="32"/>
  <c r="AB78" i="32"/>
  <c r="AC76" i="32"/>
  <c r="AB75" i="32"/>
  <c r="AB77" i="32"/>
  <c r="AC77" i="32"/>
  <c r="AB82" i="32"/>
  <c r="AB76" i="32"/>
  <c r="AC78" i="32"/>
  <c r="AC75" i="32"/>
  <c r="AD46" i="35"/>
  <c r="AD90" i="34"/>
  <c r="AD87" i="34"/>
  <c r="AD81" i="34"/>
  <c r="AD88" i="34"/>
  <c r="AD95" i="37"/>
  <c r="AD97" i="37"/>
  <c r="AD93" i="34"/>
  <c r="AD77" i="34"/>
  <c r="AD80" i="34"/>
  <c r="AD95" i="34"/>
  <c r="AD79" i="34"/>
  <c r="AD91" i="34"/>
  <c r="AD82" i="34"/>
  <c r="AD75" i="34"/>
  <c r="AD76" i="34"/>
  <c r="AD93" i="37"/>
  <c r="AD105" i="34"/>
  <c r="AD97" i="34"/>
  <c r="AD94" i="34"/>
  <c r="AD78" i="34"/>
  <c r="AD92" i="34"/>
  <c r="AD96" i="34"/>
  <c r="AD94" i="37"/>
  <c r="AD96" i="37"/>
  <c r="AD104" i="34"/>
  <c r="AD89" i="34"/>
  <c r="AD83" i="34"/>
  <c r="AD132" i="33"/>
  <c r="AD126" i="33"/>
  <c r="AD92" i="33"/>
  <c r="AD94" i="33"/>
  <c r="AD96" i="33"/>
  <c r="AD98" i="33"/>
  <c r="AD100" i="33"/>
  <c r="AD106" i="33"/>
  <c r="AD108" i="33"/>
  <c r="AD113" i="33"/>
  <c r="AD128" i="33"/>
  <c r="AD91" i="33"/>
  <c r="AD93" i="33"/>
  <c r="AD95" i="33"/>
  <c r="AD97" i="33"/>
  <c r="AD99" i="33"/>
  <c r="AD105" i="33"/>
  <c r="AD107" i="33"/>
  <c r="AD134" i="33"/>
  <c r="AD127" i="33"/>
  <c r="AD129" i="33"/>
  <c r="AD94" i="32"/>
  <c r="AD89" i="32"/>
  <c r="AD95" i="32"/>
  <c r="AD85" i="32"/>
  <c r="AD90" i="33"/>
  <c r="AD96" i="32"/>
  <c r="AD86" i="32"/>
  <c r="AD90" i="32"/>
  <c r="AD77" i="32"/>
  <c r="AD78" i="32"/>
  <c r="AD76" i="32"/>
  <c r="AD75" i="32"/>
  <c r="AD82" i="32"/>
  <c r="B1295" i="48"/>
  <c r="E31" i="30"/>
  <c r="B196" i="48" s="1"/>
  <c r="G76" i="2"/>
  <c r="G77" i="2" s="1"/>
  <c r="B357" i="48" s="1"/>
  <c r="E36" i="30"/>
  <c r="B201" i="48" s="1"/>
  <c r="I117" i="33"/>
  <c r="F117" i="33"/>
  <c r="B873" i="48" s="1"/>
  <c r="F124" i="35"/>
  <c r="F39" i="30" s="1"/>
  <c r="B218" i="48" s="1"/>
  <c r="AM52" i="33"/>
  <c r="AC60" i="37"/>
  <c r="AB76" i="37"/>
  <c r="AC39" i="32"/>
  <c r="AC62" i="32"/>
  <c r="AB64" i="33"/>
  <c r="AB34" i="35"/>
  <c r="AC79" i="35"/>
  <c r="AB114" i="35"/>
  <c r="AC35" i="4"/>
  <c r="AC45" i="4"/>
  <c r="AC64" i="4"/>
  <c r="AC107" i="4"/>
  <c r="AB35" i="32"/>
  <c r="AB46" i="32"/>
  <c r="AB58" i="32"/>
  <c r="AB37" i="33"/>
  <c r="AB53" i="33"/>
  <c r="AB61" i="33"/>
  <c r="AB55" i="34"/>
  <c r="AB41" i="35"/>
  <c r="AB66" i="35"/>
  <c r="AB74" i="35"/>
  <c r="AB87" i="35"/>
  <c r="AC108" i="35"/>
  <c r="AC122" i="35"/>
  <c r="AC40" i="37"/>
  <c r="AC36" i="4"/>
  <c r="AC46" i="4"/>
  <c r="AC55" i="4"/>
  <c r="AC65" i="4"/>
  <c r="AC90" i="4"/>
  <c r="AC100" i="4"/>
  <c r="AB36" i="32"/>
  <c r="AC47" i="32"/>
  <c r="AC59" i="32"/>
  <c r="AC37" i="33"/>
  <c r="AC53" i="33"/>
  <c r="AC61" i="33"/>
  <c r="AC31" i="34"/>
  <c r="AB58" i="34"/>
  <c r="AB33" i="35"/>
  <c r="AC44" i="35"/>
  <c r="AC68" i="35"/>
  <c r="AC78" i="35"/>
  <c r="AC93" i="35"/>
  <c r="AC113" i="35"/>
  <c r="AB40" i="37"/>
  <c r="AB60" i="37"/>
  <c r="AC76" i="37"/>
  <c r="B605" i="48"/>
  <c r="J39" i="32"/>
  <c r="B317" i="48"/>
  <c r="I40" i="10"/>
  <c r="B323" i="48" s="1"/>
  <c r="AC55" i="33"/>
  <c r="AC69" i="35"/>
  <c r="B2673" i="48"/>
  <c r="B2664" i="48"/>
  <c r="B2656" i="48"/>
  <c r="B2638" i="48"/>
  <c r="B2009" i="48"/>
  <c r="B2001" i="48"/>
  <c r="B1997" i="48"/>
  <c r="B1993" i="48"/>
  <c r="B1668" i="48"/>
  <c r="B1636" i="48"/>
  <c r="B1628" i="48"/>
  <c r="B522" i="48"/>
  <c r="F64" i="32"/>
  <c r="F32" i="30" s="1"/>
  <c r="B211" i="48" s="1"/>
  <c r="AC31" i="4"/>
  <c r="AC39" i="4"/>
  <c r="AC57" i="4"/>
  <c r="AC69" i="4"/>
  <c r="AC87" i="4"/>
  <c r="AC34" i="10"/>
  <c r="AB39" i="32"/>
  <c r="AC52" i="32"/>
  <c r="AC41" i="33"/>
  <c r="AC57" i="33"/>
  <c r="AB37" i="34"/>
  <c r="AC35" i="35"/>
  <c r="AC60" i="35"/>
  <c r="AC70" i="35"/>
  <c r="AC82" i="35"/>
  <c r="AC95" i="35"/>
  <c r="AC116" i="35"/>
  <c r="AC56" i="37"/>
  <c r="AC68" i="37"/>
  <c r="E38" i="30"/>
  <c r="B203" i="48" s="1"/>
  <c r="B1937" i="48"/>
  <c r="H41" i="30"/>
  <c r="B248" i="48" s="1"/>
  <c r="AB81" i="37"/>
  <c r="AB74" i="37"/>
  <c r="AB66" i="37"/>
  <c r="AB59" i="37"/>
  <c r="AB55" i="37"/>
  <c r="AB39" i="37"/>
  <c r="AB118" i="35"/>
  <c r="AC110" i="35"/>
  <c r="AC96" i="35"/>
  <c r="AB90" i="35"/>
  <c r="AC83" i="35"/>
  <c r="AB77" i="35"/>
  <c r="AC71" i="35"/>
  <c r="AB67" i="35"/>
  <c r="AC63" i="35"/>
  <c r="AB42" i="35"/>
  <c r="AB36" i="35"/>
  <c r="AB32" i="35"/>
  <c r="AB62" i="34"/>
  <c r="AC54" i="34"/>
  <c r="AB36" i="34"/>
  <c r="AC60" i="33"/>
  <c r="AB56" i="33"/>
  <c r="AB52" i="33"/>
  <c r="AB40" i="33"/>
  <c r="AC32" i="33"/>
  <c r="AB62" i="32"/>
  <c r="AC57" i="32"/>
  <c r="AB51" i="32"/>
  <c r="AB45" i="32"/>
  <c r="AC38" i="32"/>
  <c r="AC32" i="32"/>
  <c r="AB33" i="10"/>
  <c r="AC113" i="4"/>
  <c r="AC109" i="4"/>
  <c r="AC62" i="4"/>
  <c r="AC44" i="4"/>
  <c r="AC38" i="4"/>
  <c r="AC34" i="4"/>
  <c r="AC30" i="4"/>
  <c r="AC108" i="4"/>
  <c r="AC103" i="4"/>
  <c r="AC99" i="4"/>
  <c r="AC89" i="4"/>
  <c r="AC66" i="4"/>
  <c r="AC41" i="4"/>
  <c r="AC37" i="4"/>
  <c r="AC81" i="37"/>
  <c r="AC74" i="37"/>
  <c r="AC66" i="37"/>
  <c r="AC59" i="37"/>
  <c r="AC55" i="37"/>
  <c r="AC39" i="37"/>
  <c r="AC118" i="35"/>
  <c r="AB110" i="35"/>
  <c r="AB96" i="35"/>
  <c r="AC90" i="35"/>
  <c r="AB83" i="35"/>
  <c r="AC77" i="35"/>
  <c r="AB71" i="35"/>
  <c r="AC67" i="35"/>
  <c r="AB63" i="35"/>
  <c r="AC42" i="35"/>
  <c r="AC36" i="35"/>
  <c r="AC32" i="35"/>
  <c r="AC62" i="34"/>
  <c r="AB54" i="34"/>
  <c r="AC36" i="34"/>
  <c r="AB60" i="33"/>
  <c r="AC56" i="33"/>
  <c r="AC52" i="33"/>
  <c r="AC40" i="33"/>
  <c r="AB32" i="33"/>
  <c r="AB60" i="32"/>
  <c r="AC56" i="32"/>
  <c r="AC48" i="32"/>
  <c r="AB41" i="32"/>
  <c r="AB38" i="32"/>
  <c r="AB32" i="32"/>
  <c r="AC33" i="10"/>
  <c r="AC92" i="4"/>
  <c r="AC74" i="4"/>
  <c r="AC71" i="4"/>
  <c r="AC59" i="4"/>
  <c r="AC53" i="4"/>
  <c r="AC47" i="4"/>
  <c r="AC112" i="4"/>
  <c r="AC86" i="4"/>
  <c r="AB100" i="37"/>
  <c r="AC80" i="37"/>
  <c r="AB72" i="37"/>
  <c r="AB65" i="37"/>
  <c r="AB58" i="37"/>
  <c r="AB50" i="37"/>
  <c r="AC32" i="37"/>
  <c r="AB122" i="35"/>
  <c r="AB116" i="35"/>
  <c r="AB108" i="35"/>
  <c r="AB95" i="35"/>
  <c r="AC87" i="35"/>
  <c r="AB82" i="35"/>
  <c r="AC74" i="35"/>
  <c r="AB70" i="35"/>
  <c r="AC66" i="35"/>
  <c r="AB60" i="35"/>
  <c r="AC41" i="35"/>
  <c r="AB35" i="35"/>
  <c r="AB61" i="34"/>
  <c r="AB53" i="34"/>
  <c r="AC33" i="34"/>
  <c r="AC64" i="33"/>
  <c r="AC59" i="33"/>
  <c r="AB55" i="33"/>
  <c r="AC51" i="33"/>
  <c r="AC39" i="33"/>
  <c r="AB31" i="33"/>
  <c r="AC60" i="32"/>
  <c r="AB56" i="32"/>
  <c r="AB48" i="32"/>
  <c r="AC41" i="32"/>
  <c r="AB37" i="32"/>
  <c r="AB31" i="32"/>
  <c r="AB37" i="10"/>
  <c r="AB32" i="10"/>
  <c r="AC95" i="4"/>
  <c r="AC56" i="4"/>
  <c r="AC33" i="4"/>
  <c r="AC84" i="37"/>
  <c r="AC77" i="37"/>
  <c r="AC70" i="37"/>
  <c r="AB62" i="37"/>
  <c r="AC57" i="37"/>
  <c r="AC41" i="37"/>
  <c r="AC120" i="35"/>
  <c r="AC114" i="35"/>
  <c r="AB98" i="35"/>
  <c r="AB94" i="35"/>
  <c r="AB85" i="35"/>
  <c r="AB79" i="35"/>
  <c r="AB73" i="35"/>
  <c r="AB69" i="35"/>
  <c r="AC65" i="35"/>
  <c r="AC48" i="35"/>
  <c r="AC40" i="35"/>
  <c r="AC34" i="35"/>
  <c r="AC58" i="34"/>
  <c r="AB52" i="34"/>
  <c r="AB62" i="33"/>
  <c r="AC58" i="33"/>
  <c r="AB54" i="33"/>
  <c r="AB42" i="33"/>
  <c r="AB38" i="33"/>
  <c r="AC58" i="32"/>
  <c r="AB52" i="32"/>
  <c r="AC46" i="32"/>
  <c r="AC36" i="32"/>
  <c r="AC36" i="10"/>
  <c r="AC93" i="4"/>
  <c r="AC91" i="4"/>
  <c r="AC51" i="4"/>
  <c r="AC48" i="4"/>
  <c r="AC110" i="4"/>
  <c r="AC51" i="32"/>
  <c r="AB39" i="33"/>
  <c r="AC37" i="34"/>
  <c r="AB48" i="35"/>
  <c r="AC94" i="35"/>
  <c r="AC50" i="37"/>
  <c r="B1301" i="48"/>
  <c r="AC32" i="4"/>
  <c r="AC40" i="4"/>
  <c r="AC61" i="4"/>
  <c r="AC73" i="4"/>
  <c r="AC97" i="4"/>
  <c r="AB34" i="10"/>
  <c r="AC40" i="32"/>
  <c r="AB55" i="32"/>
  <c r="AB41" i="33"/>
  <c r="AB57" i="33"/>
  <c r="AC52" i="34"/>
  <c r="AC39" i="35"/>
  <c r="AC64" i="35"/>
  <c r="AC72" i="35"/>
  <c r="AC84" i="35"/>
  <c r="AC97" i="35"/>
  <c r="AB119" i="35"/>
  <c r="AB56" i="37"/>
  <c r="AB68" i="37"/>
  <c r="AB82" i="37"/>
  <c r="AC65" i="37"/>
  <c r="AC52" i="4"/>
  <c r="AC58" i="4"/>
  <c r="AC70" i="4"/>
  <c r="AC88" i="4"/>
  <c r="AC98" i="4"/>
  <c r="AC104" i="4"/>
  <c r="AB36" i="10"/>
  <c r="AC31" i="32"/>
  <c r="AB40" i="32"/>
  <c r="AC55" i="32"/>
  <c r="AC42" i="33"/>
  <c r="AB58" i="33"/>
  <c r="AC53" i="34"/>
  <c r="AB39" i="35"/>
  <c r="AB64" i="35"/>
  <c r="AB72" i="35"/>
  <c r="AB84" i="35"/>
  <c r="AB97" i="35"/>
  <c r="AC119" i="35"/>
  <c r="AB57" i="37"/>
  <c r="AB70" i="37"/>
  <c r="AB84" i="37"/>
  <c r="B1066" i="48"/>
  <c r="AC101" i="4"/>
  <c r="AC32" i="10"/>
  <c r="AB80" i="37"/>
  <c r="AC54" i="4"/>
  <c r="AC37" i="10"/>
  <c r="AC35" i="32"/>
  <c r="AC45" i="32"/>
  <c r="AB57" i="32"/>
  <c r="AC31" i="33"/>
  <c r="AB51" i="33"/>
  <c r="AB59" i="33"/>
  <c r="AC55" i="34"/>
  <c r="AB40" i="35"/>
  <c r="AB65" i="35"/>
  <c r="AC73" i="35"/>
  <c r="AC85" i="35"/>
  <c r="AC98" i="35"/>
  <c r="AB120" i="35"/>
  <c r="AB32" i="37"/>
  <c r="AC58" i="37"/>
  <c r="AC72" i="37"/>
  <c r="AC100" i="37"/>
  <c r="B561" i="48"/>
  <c r="G32" i="30"/>
  <c r="B225" i="48" s="1"/>
  <c r="I42" i="37"/>
  <c r="I41" i="30" s="1"/>
  <c r="B262" i="48" s="1"/>
  <c r="E42" i="30"/>
  <c r="E58" i="36"/>
  <c r="E59" i="36" s="1"/>
  <c r="F42" i="37"/>
  <c r="E172" i="4"/>
  <c r="J66" i="35"/>
  <c r="J57" i="32"/>
  <c r="G66" i="2"/>
  <c r="B349" i="48" s="1"/>
  <c r="J108" i="37"/>
  <c r="J97" i="35"/>
  <c r="E173" i="4"/>
  <c r="D100" i="37"/>
  <c r="D43" i="30" s="1"/>
  <c r="E100" i="37"/>
  <c r="E43" i="30" s="1"/>
  <c r="B208" i="48" s="1"/>
  <c r="J33" i="10"/>
  <c r="J72" i="37"/>
  <c r="J77" i="35"/>
  <c r="J55" i="34"/>
  <c r="H31" i="30"/>
  <c r="B238" i="48" s="1"/>
  <c r="AC69" i="33"/>
  <c r="AB69" i="33"/>
  <c r="AB31" i="34"/>
  <c r="AD69" i="33"/>
  <c r="H36" i="30"/>
  <c r="B243" i="48" s="1"/>
  <c r="A20" i="36"/>
  <c r="AC50" i="35"/>
  <c r="B2263" i="48"/>
  <c r="B2258" i="48"/>
  <c r="B2028" i="48"/>
  <c r="J122" i="37"/>
  <c r="B2027" i="48"/>
  <c r="B2023" i="48"/>
  <c r="B2018" i="48"/>
  <c r="B2015" i="48"/>
  <c r="B2000" i="48"/>
  <c r="J66" i="37"/>
  <c r="B1998" i="48"/>
  <c r="B1996" i="48"/>
  <c r="B1994" i="48"/>
  <c r="B1991" i="48"/>
  <c r="B1988" i="48"/>
  <c r="B1986" i="48"/>
  <c r="B1652" i="48"/>
  <c r="J72" i="35"/>
  <c r="B619" i="48"/>
  <c r="J60" i="32"/>
  <c r="C51" i="44"/>
  <c r="B2395" i="48"/>
  <c r="K58" i="36"/>
  <c r="K59" i="36" s="1"/>
  <c r="B2513" i="48"/>
  <c r="H113" i="36"/>
  <c r="B2006" i="48"/>
  <c r="J77" i="37"/>
  <c r="B2005" i="48"/>
  <c r="B1662" i="48"/>
  <c r="J87" i="35"/>
  <c r="B1304" i="48"/>
  <c r="J62" i="34"/>
  <c r="J46" i="32"/>
  <c r="J37" i="10"/>
  <c r="J120" i="35"/>
  <c r="B622" i="48"/>
  <c r="G31" i="30"/>
  <c r="B623" i="48"/>
  <c r="J94" i="32"/>
  <c r="B625" i="48"/>
  <c r="H100" i="37"/>
  <c r="H43" i="30" s="1"/>
  <c r="F58" i="36"/>
  <c r="B2672" i="48"/>
  <c r="H109" i="36"/>
  <c r="B2667" i="48"/>
  <c r="B2659" i="48"/>
  <c r="B2652" i="48"/>
  <c r="B2647" i="48"/>
  <c r="B2021" i="48"/>
  <c r="J115" i="37"/>
  <c r="B2004" i="48"/>
  <c r="J74" i="37"/>
  <c r="B1989" i="48"/>
  <c r="J41" i="37"/>
  <c r="B1660" i="48"/>
  <c r="J84" i="35"/>
  <c r="B1647" i="48"/>
  <c r="J67" i="35"/>
  <c r="B1303" i="48"/>
  <c r="J61" i="34"/>
  <c r="B618" i="48"/>
  <c r="J59" i="32"/>
  <c r="B606" i="48"/>
  <c r="J40" i="32"/>
  <c r="B321" i="48"/>
  <c r="J36" i="10"/>
  <c r="B2383" i="48"/>
  <c r="B2434" i="48"/>
  <c r="B2491" i="48"/>
  <c r="B2029" i="48"/>
  <c r="J123" i="37"/>
  <c r="B1957" i="48"/>
  <c r="I84" i="37"/>
  <c r="B2002" i="48"/>
  <c r="J70" i="37"/>
  <c r="B1663" i="48"/>
  <c r="J90" i="35"/>
  <c r="B1654" i="48"/>
  <c r="J74" i="35"/>
  <c r="B1644" i="48"/>
  <c r="J64" i="35"/>
  <c r="B1287" i="48"/>
  <c r="J37" i="34"/>
  <c r="B611" i="48"/>
  <c r="J48" i="32"/>
  <c r="B603" i="48"/>
  <c r="J37" i="32"/>
  <c r="B318" i="48"/>
  <c r="J32" i="10"/>
  <c r="J63" i="35"/>
  <c r="B1697" i="48" s="1"/>
  <c r="J116" i="35"/>
  <c r="B229" i="48"/>
  <c r="J41" i="34"/>
  <c r="B1311" i="48" s="1"/>
  <c r="J47" i="34"/>
  <c r="M47" i="34" s="1"/>
  <c r="O47" i="34" s="1"/>
  <c r="B827" i="48"/>
  <c r="B1048" i="48"/>
  <c r="B1637" i="48"/>
  <c r="I52" i="35"/>
  <c r="B1641" i="48" s="1"/>
  <c r="F52" i="35"/>
  <c r="B1479" i="48" s="1"/>
  <c r="H130" i="35"/>
  <c r="G130" i="35"/>
  <c r="J36" i="35"/>
  <c r="D37" i="30"/>
  <c r="B188" i="48" s="1"/>
  <c r="D130" i="35"/>
  <c r="AB186" i="4"/>
  <c r="AA186" i="4" s="1"/>
  <c r="G186" i="4" s="1"/>
  <c r="H186" i="4" s="1"/>
  <c r="AB185" i="4"/>
  <c r="AA185" i="4" s="1"/>
  <c r="G185" i="4" s="1"/>
  <c r="AB184" i="4"/>
  <c r="B2044" i="48"/>
  <c r="B183" i="48"/>
  <c r="F90" i="4"/>
  <c r="D79" i="48" s="1"/>
  <c r="F164" i="4"/>
  <c r="D145" i="48" s="1"/>
  <c r="E145" i="48"/>
  <c r="C26" i="44"/>
  <c r="B2473" i="48"/>
  <c r="B142" i="48"/>
  <c r="B191" i="48"/>
  <c r="B189" i="48"/>
  <c r="B204" i="48"/>
  <c r="B236" i="48"/>
  <c r="B234" i="48"/>
  <c r="B232" i="48"/>
  <c r="B231" i="48"/>
  <c r="B230" i="48"/>
  <c r="B247" i="48"/>
  <c r="B246" i="48"/>
  <c r="B245" i="48"/>
  <c r="B244" i="48"/>
  <c r="B261" i="48"/>
  <c r="B477" i="48"/>
  <c r="B590" i="48"/>
  <c r="B535" i="48"/>
  <c r="J95" i="32"/>
  <c r="B537" i="48"/>
  <c r="J96" i="32"/>
  <c r="B538" i="48"/>
  <c r="B666" i="48"/>
  <c r="B697" i="48"/>
  <c r="B724" i="48"/>
  <c r="B739" i="48"/>
  <c r="B771" i="48"/>
  <c r="B799" i="48"/>
  <c r="B888" i="48"/>
  <c r="B919" i="48"/>
  <c r="B946" i="48"/>
  <c r="B961" i="48"/>
  <c r="B992" i="48"/>
  <c r="B1019" i="48"/>
  <c r="B1094" i="48"/>
  <c r="B875" i="48"/>
  <c r="B1194" i="48"/>
  <c r="B1261" i="48"/>
  <c r="B1396" i="48"/>
  <c r="B1462" i="48"/>
  <c r="E130" i="35"/>
  <c r="B1451" i="48"/>
  <c r="B1572" i="48"/>
  <c r="B1562" i="48"/>
  <c r="B1626" i="48"/>
  <c r="B1616" i="48"/>
  <c r="B1741" i="48"/>
  <c r="B1762" i="48"/>
  <c r="B1790" i="48"/>
  <c r="B1889" i="48"/>
  <c r="B1911" i="48"/>
  <c r="B1932" i="48"/>
  <c r="H89" i="38"/>
  <c r="B2270" i="48"/>
  <c r="B2268" i="48"/>
  <c r="B2262" i="48"/>
  <c r="B2286" i="48"/>
  <c r="B2276" i="48"/>
  <c r="B2298" i="48"/>
  <c r="B2293" i="48"/>
  <c r="B2371" i="48"/>
  <c r="I58" i="36"/>
  <c r="B2366" i="48"/>
  <c r="B2361" i="48"/>
  <c r="B2388" i="48"/>
  <c r="B2378" i="48"/>
  <c r="B2400" i="48"/>
  <c r="B2422" i="48"/>
  <c r="L58" i="36"/>
  <c r="B2417" i="48"/>
  <c r="B2439" i="48"/>
  <c r="B2511" i="48"/>
  <c r="B2484" i="48"/>
  <c r="B2552" i="48"/>
  <c r="B2545" i="48"/>
  <c r="B2532" i="48"/>
  <c r="E115" i="36"/>
  <c r="B2525" i="48"/>
  <c r="G115" i="36"/>
  <c r="B2634" i="48"/>
  <c r="B2627" i="48"/>
  <c r="B2614" i="48"/>
  <c r="B2607" i="48"/>
  <c r="B2676" i="48"/>
  <c r="B2674" i="48"/>
  <c r="B2671" i="48"/>
  <c r="B2670" i="48"/>
  <c r="B2666" i="48"/>
  <c r="B2665" i="48"/>
  <c r="B2661" i="48"/>
  <c r="B2658" i="48"/>
  <c r="B2657" i="48"/>
  <c r="B2654" i="48"/>
  <c r="B2649" i="48"/>
  <c r="B2646" i="48"/>
  <c r="B2645" i="48"/>
  <c r="B2643" i="48"/>
  <c r="B2641" i="48"/>
  <c r="B2639" i="48"/>
  <c r="B2682" i="48"/>
  <c r="J126" i="37"/>
  <c r="B1883" i="48"/>
  <c r="B2031" i="48"/>
  <c r="J125" i="37"/>
  <c r="B1882" i="48"/>
  <c r="J124" i="37"/>
  <c r="B1881" i="48"/>
  <c r="J121" i="37"/>
  <c r="B1878" i="48"/>
  <c r="J120" i="37"/>
  <c r="B1877" i="48"/>
  <c r="J119" i="37"/>
  <c r="B2025" i="48"/>
  <c r="J116" i="37"/>
  <c r="B1873" i="48"/>
  <c r="J114" i="37"/>
  <c r="B1871" i="48"/>
  <c r="B2019" i="48"/>
  <c r="J112" i="37"/>
  <c r="B1869" i="48"/>
  <c r="J111" i="37"/>
  <c r="B2017" i="48"/>
  <c r="J107" i="37"/>
  <c r="B2013" i="48"/>
  <c r="J81" i="37"/>
  <c r="B1859" i="48"/>
  <c r="J80" i="37"/>
  <c r="B2007" i="48"/>
  <c r="J76" i="37"/>
  <c r="B1856" i="48"/>
  <c r="J65" i="37"/>
  <c r="B1999" i="48"/>
  <c r="J40" i="37"/>
  <c r="B1839" i="48"/>
  <c r="J98" i="35"/>
  <c r="B1507" i="48"/>
  <c r="J96" i="35"/>
  <c r="B1667" i="48"/>
  <c r="J94" i="35"/>
  <c r="B1503" i="48"/>
  <c r="J93" i="35"/>
  <c r="B1502" i="48"/>
  <c r="J85" i="35"/>
  <c r="B1499" i="48"/>
  <c r="J83" i="35"/>
  <c r="B1659" i="48"/>
  <c r="J82" i="35"/>
  <c r="B1496" i="48"/>
  <c r="J79" i="35"/>
  <c r="B1495" i="48"/>
  <c r="J78" i="35"/>
  <c r="B1494" i="48"/>
  <c r="J73" i="35"/>
  <c r="B1491" i="48"/>
  <c r="J71" i="35"/>
  <c r="B1651" i="48"/>
  <c r="J70" i="35"/>
  <c r="B1488" i="48"/>
  <c r="J69" i="35"/>
  <c r="B1487" i="48"/>
  <c r="J68" i="35"/>
  <c r="B1486" i="48"/>
  <c r="J65" i="35"/>
  <c r="B1483" i="48"/>
  <c r="J60" i="35"/>
  <c r="B1642" i="48"/>
  <c r="J48" i="35"/>
  <c r="B1477" i="48"/>
  <c r="J42" i="35"/>
  <c r="B1474" i="48"/>
  <c r="B1635" i="48"/>
  <c r="B1473" i="48"/>
  <c r="B1472" i="48"/>
  <c r="J35" i="35"/>
  <c r="B1631" i="48"/>
  <c r="J34" i="35"/>
  <c r="B1468" i="48"/>
  <c r="J33" i="35"/>
  <c r="B1467" i="48"/>
  <c r="J32" i="35"/>
  <c r="B1466" i="48"/>
  <c r="J54" i="34"/>
  <c r="B1300" i="48"/>
  <c r="J53" i="34"/>
  <c r="B1233" i="48"/>
  <c r="J52" i="34"/>
  <c r="B1232" i="48"/>
  <c r="J46" i="34"/>
  <c r="M46" i="34" s="1"/>
  <c r="O46" i="34" s="1"/>
  <c r="B1294" i="48"/>
  <c r="J45" i="34"/>
  <c r="B1227" i="48"/>
  <c r="J44" i="34"/>
  <c r="B1314" i="48" s="1"/>
  <c r="J43" i="34"/>
  <c r="B1225" i="48"/>
  <c r="J40" i="34"/>
  <c r="B1310" i="48" s="1"/>
  <c r="J36" i="34"/>
  <c r="B1286" i="48"/>
  <c r="J33" i="34"/>
  <c r="B1219" i="48"/>
  <c r="J31" i="34"/>
  <c r="B1218" i="48"/>
  <c r="B829" i="48"/>
  <c r="B1046" i="48"/>
  <c r="B1045" i="48"/>
  <c r="B1044" i="48"/>
  <c r="B825" i="48"/>
  <c r="B1043" i="48"/>
  <c r="B824" i="48"/>
  <c r="B1042" i="48"/>
  <c r="B823" i="48"/>
  <c r="B1041" i="48"/>
  <c r="B1040" i="48"/>
  <c r="B821" i="48"/>
  <c r="B820" i="48"/>
  <c r="B1038" i="48"/>
  <c r="B819" i="48"/>
  <c r="B1037" i="48"/>
  <c r="B818" i="48"/>
  <c r="B1035" i="48"/>
  <c r="B816" i="48"/>
  <c r="B1033" i="48"/>
  <c r="B814" i="48"/>
  <c r="B1032" i="48"/>
  <c r="B813" i="48"/>
  <c r="B1029" i="48"/>
  <c r="B810" i="48"/>
  <c r="B1028" i="48"/>
  <c r="B1023" i="48"/>
  <c r="B804" i="48"/>
  <c r="B1022" i="48"/>
  <c r="B803" i="48"/>
  <c r="J62" i="32"/>
  <c r="B533" i="48"/>
  <c r="J58" i="32"/>
  <c r="B530" i="48"/>
  <c r="J56" i="32"/>
  <c r="B615" i="48"/>
  <c r="J55" i="32"/>
  <c r="B527" i="48"/>
  <c r="J52" i="32"/>
  <c r="B526" i="48"/>
  <c r="I51" i="32"/>
  <c r="J51" i="32" s="1"/>
  <c r="B639" i="48" s="1"/>
  <c r="B552" i="48"/>
  <c r="J47" i="32"/>
  <c r="B610" i="48"/>
  <c r="J45" i="32"/>
  <c r="B521" i="48"/>
  <c r="J41" i="32"/>
  <c r="B520" i="48"/>
  <c r="J38" i="32"/>
  <c r="B517" i="48"/>
  <c r="J36" i="32"/>
  <c r="B602" i="48"/>
  <c r="J35" i="32"/>
  <c r="B514" i="48"/>
  <c r="J32" i="32"/>
  <c r="B513" i="48"/>
  <c r="J31" i="32"/>
  <c r="B512" i="48"/>
  <c r="J31" i="10"/>
  <c r="B296" i="48"/>
  <c r="B1036" i="48"/>
  <c r="B817" i="48"/>
  <c r="AC76" i="33"/>
  <c r="AB76" i="33"/>
  <c r="AC73" i="33"/>
  <c r="AB73" i="33"/>
  <c r="AC70" i="33"/>
  <c r="AB70" i="33"/>
  <c r="AC67" i="33"/>
  <c r="AB67" i="33"/>
  <c r="AC63" i="33"/>
  <c r="AB63" i="33"/>
  <c r="J50" i="35"/>
  <c r="B1478" i="48"/>
  <c r="B1030" i="48"/>
  <c r="B811" i="48"/>
  <c r="B1089" i="48"/>
  <c r="B870" i="48"/>
  <c r="B1088" i="48"/>
  <c r="B1087" i="48"/>
  <c r="B867" i="48"/>
  <c r="B1085" i="48"/>
  <c r="B866" i="48"/>
  <c r="B1084" i="48"/>
  <c r="B865" i="48"/>
  <c r="B1082" i="48"/>
  <c r="B863" i="48"/>
  <c r="B1081" i="48"/>
  <c r="B1080" i="48"/>
  <c r="B1078" i="48"/>
  <c r="B1077" i="48"/>
  <c r="B858" i="48"/>
  <c r="B1076" i="48"/>
  <c r="B857" i="48"/>
  <c r="B1075" i="48"/>
  <c r="B856" i="48"/>
  <c r="B1074" i="48"/>
  <c r="B855" i="48"/>
  <c r="B1073" i="48"/>
  <c r="B854" i="48"/>
  <c r="B1072" i="48"/>
  <c r="B853" i="48"/>
  <c r="B1071" i="48"/>
  <c r="B852" i="48"/>
  <c r="B851" i="48"/>
  <c r="B1069" i="48"/>
  <c r="B850" i="48"/>
  <c r="B1068" i="48"/>
  <c r="B1067" i="48"/>
  <c r="B847" i="48"/>
  <c r="J122" i="35"/>
  <c r="B1517" i="48"/>
  <c r="J119" i="35"/>
  <c r="B1515" i="48"/>
  <c r="J118" i="35"/>
  <c r="B1514" i="48"/>
  <c r="J114" i="35"/>
  <c r="B1674" i="48"/>
  <c r="J113" i="35"/>
  <c r="B1511" i="48"/>
  <c r="J110" i="35"/>
  <c r="B1510" i="48"/>
  <c r="J108" i="35"/>
  <c r="B1509" i="48"/>
  <c r="A20" i="30"/>
  <c r="BQ542" i="4"/>
  <c r="AA44" i="4" s="1"/>
  <c r="A20" i="38"/>
  <c r="BN542" i="4"/>
  <c r="AA54" i="4" s="1"/>
  <c r="G54" i="4" s="1"/>
  <c r="BL542" i="4"/>
  <c r="BR542" i="4"/>
  <c r="AA45" i="4" s="1"/>
  <c r="G45" i="4" s="1"/>
  <c r="BU542" i="4"/>
  <c r="A20" i="37"/>
  <c r="A20" i="2"/>
  <c r="A20" i="35"/>
  <c r="A20" i="32"/>
  <c r="AZ542" i="4"/>
  <c r="AD70" i="33"/>
  <c r="AD63" i="33"/>
  <c r="AD76" i="33"/>
  <c r="AD73" i="33"/>
  <c r="AD67" i="33"/>
  <c r="A20" i="34"/>
  <c r="A20" i="10"/>
  <c r="BS542" i="4"/>
  <c r="AA46" i="4" s="1"/>
  <c r="BM542" i="4"/>
  <c r="B15" i="29"/>
  <c r="A20" i="33"/>
  <c r="BP542" i="4"/>
  <c r="AA48" i="4" s="1"/>
  <c r="J44" i="35"/>
  <c r="B1691" i="48" s="1"/>
  <c r="J39" i="35"/>
  <c r="B1687" i="48" s="1"/>
  <c r="J40" i="35"/>
  <c r="J41" i="35"/>
  <c r="B1689" i="48" s="1"/>
  <c r="H76" i="36"/>
  <c r="C115" i="36"/>
  <c r="H34" i="30"/>
  <c r="F1133" i="48"/>
  <c r="G34" i="30"/>
  <c r="H35" i="30"/>
  <c r="J108" i="33"/>
  <c r="E35" i="30"/>
  <c r="G33" i="30"/>
  <c r="J104" i="33"/>
  <c r="J96" i="33"/>
  <c r="O96" i="33" s="1"/>
  <c r="J92" i="33"/>
  <c r="J132" i="33"/>
  <c r="D35" i="30"/>
  <c r="J97" i="33"/>
  <c r="E33" i="30"/>
  <c r="G35" i="30"/>
  <c r="J134" i="33"/>
  <c r="J31" i="33"/>
  <c r="B1095" i="48" s="1"/>
  <c r="J113" i="33"/>
  <c r="J90" i="33"/>
  <c r="O90" i="33" s="1"/>
  <c r="H33" i="30"/>
  <c r="D34" i="30"/>
  <c r="J102" i="33"/>
  <c r="J105" i="33"/>
  <c r="J112" i="33"/>
  <c r="AK112" i="33" s="1"/>
  <c r="J100" i="33"/>
  <c r="J107" i="33"/>
  <c r="J38" i="33"/>
  <c r="J40" i="33"/>
  <c r="B1104" i="48" s="1"/>
  <c r="J101" i="33"/>
  <c r="B1150" i="48" s="1"/>
  <c r="J91" i="33"/>
  <c r="O91" i="33" s="1"/>
  <c r="J39" i="33"/>
  <c r="B1103" i="48" s="1"/>
  <c r="J94" i="33"/>
  <c r="O94" i="33" s="1"/>
  <c r="E34" i="30"/>
  <c r="J98" i="33"/>
  <c r="J61" i="33"/>
  <c r="J57" i="33"/>
  <c r="J110" i="33"/>
  <c r="O110" i="33" s="1"/>
  <c r="J93" i="33"/>
  <c r="O93" i="33" s="1"/>
  <c r="J106" i="33"/>
  <c r="J37" i="33"/>
  <c r="B1101" i="48" s="1"/>
  <c r="J109" i="33"/>
  <c r="O109" i="33" s="1"/>
  <c r="J99" i="33"/>
  <c r="J56" i="33"/>
  <c r="J51" i="33"/>
  <c r="J59" i="33"/>
  <c r="J55" i="33"/>
  <c r="B1112" i="48" s="1"/>
  <c r="J32" i="33"/>
  <c r="J60" i="33"/>
  <c r="B1117" i="48" s="1"/>
  <c r="J42" i="33"/>
  <c r="J58" i="33"/>
  <c r="J54" i="33"/>
  <c r="B1111" i="48" s="1"/>
  <c r="J53" i="33"/>
  <c r="B1110" i="48" s="1"/>
  <c r="BV542" i="4"/>
  <c r="AA64" i="4" s="1"/>
  <c r="G64" i="4" s="1"/>
  <c r="H32" i="30"/>
  <c r="B239" i="48" s="1"/>
  <c r="J118" i="37"/>
  <c r="F127" i="37"/>
  <c r="B1884" i="48" s="1"/>
  <c r="I127" i="37"/>
  <c r="B2033" i="48" s="1"/>
  <c r="J95" i="35"/>
  <c r="B1720" i="48" s="1"/>
  <c r="F100" i="35"/>
  <c r="B1508" i="48" s="1"/>
  <c r="J58" i="34"/>
  <c r="B1324" i="48" s="1"/>
  <c r="J62" i="33"/>
  <c r="B1119" i="48" s="1"/>
  <c r="L74" i="32"/>
  <c r="D33" i="30"/>
  <c r="C47" i="36"/>
  <c r="J32" i="37"/>
  <c r="J40" i="30" s="1"/>
  <c r="B275" i="48" s="1"/>
  <c r="D58" i="36"/>
  <c r="B2288" i="48" s="1"/>
  <c r="J110" i="37"/>
  <c r="C40" i="36"/>
  <c r="B2259" i="48" s="1"/>
  <c r="J58" i="36"/>
  <c r="B2390" i="48" s="1"/>
  <c r="J113" i="37"/>
  <c r="C54" i="36"/>
  <c r="M58" i="36"/>
  <c r="H85" i="36"/>
  <c r="B2655" i="48" s="1"/>
  <c r="J109" i="37"/>
  <c r="B2063" i="48" s="1"/>
  <c r="J68" i="37"/>
  <c r="B2049" i="48" s="1"/>
  <c r="J41" i="33"/>
  <c r="J34" i="10"/>
  <c r="B327" i="48" s="1"/>
  <c r="J52" i="33"/>
  <c r="J103" i="33"/>
  <c r="B1152" i="48" s="1"/>
  <c r="H100" i="36"/>
  <c r="J117" i="37"/>
  <c r="J82" i="37"/>
  <c r="B2057" i="48" s="1"/>
  <c r="J95" i="33"/>
  <c r="O95" i="33" s="1"/>
  <c r="AB50" i="35"/>
  <c r="J62" i="37"/>
  <c r="B2046" i="48" s="1"/>
  <c r="J57" i="37"/>
  <c r="B2042" i="48" s="1"/>
  <c r="J111" i="33"/>
  <c r="J60" i="37"/>
  <c r="B2045" i="48" s="1"/>
  <c r="J56" i="37"/>
  <c r="B2041" i="48" s="1"/>
  <c r="J55" i="37"/>
  <c r="J58" i="37"/>
  <c r="J50" i="37"/>
  <c r="J39" i="37"/>
  <c r="B2035" i="48" s="1"/>
  <c r="H90" i="4"/>
  <c r="F79" i="48" s="1"/>
  <c r="F40" i="30"/>
  <c r="D42" i="30"/>
  <c r="F86" i="37"/>
  <c r="B1862" i="48" s="1"/>
  <c r="AD61" i="33"/>
  <c r="AD42" i="33"/>
  <c r="AD50" i="37"/>
  <c r="AD67" i="35"/>
  <c r="AD62" i="34"/>
  <c r="AD39" i="32"/>
  <c r="AD55" i="32"/>
  <c r="AD110" i="35"/>
  <c r="AD61" i="34"/>
  <c r="AE61" i="34" s="1"/>
  <c r="AD37" i="10"/>
  <c r="AD80" i="37"/>
  <c r="AD37" i="34"/>
  <c r="AD87" i="35"/>
  <c r="AD42" i="35"/>
  <c r="AD40" i="37"/>
  <c r="AD90" i="35"/>
  <c r="AD33" i="34"/>
  <c r="AD74" i="35"/>
  <c r="AD94" i="35"/>
  <c r="AD68" i="37"/>
  <c r="AD100" i="37"/>
  <c r="AD52" i="33"/>
  <c r="AD54" i="34"/>
  <c r="AD68" i="35"/>
  <c r="AD32" i="37"/>
  <c r="AD70" i="37"/>
  <c r="AD34" i="10"/>
  <c r="AD31" i="33"/>
  <c r="AD96" i="35"/>
  <c r="AD58" i="37"/>
  <c r="AD40" i="33"/>
  <c r="AD57" i="33"/>
  <c r="AD54" i="33"/>
  <c r="AD95" i="35"/>
  <c r="AD72" i="35"/>
  <c r="AD76" i="37"/>
  <c r="AD119" i="35"/>
  <c r="AD47" i="32"/>
  <c r="AH47" i="32" s="1"/>
  <c r="AD81" i="37"/>
  <c r="AD41" i="33"/>
  <c r="AD41" i="35"/>
  <c r="AD66" i="37"/>
  <c r="AD38" i="32"/>
  <c r="AD36" i="10"/>
  <c r="AD58" i="32"/>
  <c r="AD55" i="34"/>
  <c r="AD60" i="35"/>
  <c r="AD39" i="37"/>
  <c r="AD118" i="35"/>
  <c r="AD98" i="35"/>
  <c r="A21" i="35"/>
  <c r="L51" i="35" s="1"/>
  <c r="AD32" i="10"/>
  <c r="A21" i="4"/>
  <c r="AQ110" i="4" s="1"/>
  <c r="A72" i="34"/>
  <c r="AD33" i="10"/>
  <c r="A21" i="33"/>
  <c r="A21" i="37"/>
  <c r="A21" i="36"/>
  <c r="A21" i="10"/>
  <c r="A21" i="38"/>
  <c r="A21" i="32"/>
  <c r="A21" i="34"/>
  <c r="A21" i="30"/>
  <c r="B16" i="29"/>
  <c r="AD31" i="10"/>
  <c r="A21" i="2"/>
  <c r="AD40" i="35"/>
  <c r="AD56" i="32"/>
  <c r="AD58" i="34"/>
  <c r="AD78" i="35"/>
  <c r="AD52" i="32"/>
  <c r="AD84" i="37"/>
  <c r="AD97" i="35"/>
  <c r="AD38" i="33"/>
  <c r="AD70" i="35"/>
  <c r="AD55" i="33"/>
  <c r="AD32" i="35"/>
  <c r="AD57" i="37"/>
  <c r="AD36" i="32"/>
  <c r="AD60" i="33"/>
  <c r="AD53" i="34"/>
  <c r="AD108" i="35"/>
  <c r="AD65" i="35"/>
  <c r="AD72" i="37"/>
  <c r="AD60" i="32"/>
  <c r="AD33" i="35"/>
  <c r="AD122" i="35"/>
  <c r="AD39" i="35"/>
  <c r="AD50" i="35"/>
  <c r="AD58" i="33"/>
  <c r="AD83" i="35"/>
  <c r="AD41" i="32"/>
  <c r="AD34" i="35"/>
  <c r="AD46" i="32"/>
  <c r="AD66" i="35"/>
  <c r="AD56" i="37"/>
  <c r="AD62" i="37"/>
  <c r="AD48" i="32"/>
  <c r="AD31" i="32"/>
  <c r="AD64" i="33"/>
  <c r="AD41" i="37"/>
  <c r="AD37" i="33"/>
  <c r="AD44" i="35"/>
  <c r="AD32" i="32"/>
  <c r="AD62" i="33"/>
  <c r="AD114" i="35"/>
  <c r="AD51" i="33"/>
  <c r="AD85" i="35"/>
  <c r="AD71" i="35"/>
  <c r="AD65" i="37"/>
  <c r="AD51" i="32"/>
  <c r="AD84" i="35"/>
  <c r="AD56" i="33"/>
  <c r="AD59" i="32"/>
  <c r="AD64" i="35"/>
  <c r="AD52" i="34"/>
  <c r="AD69" i="35"/>
  <c r="AD82" i="37"/>
  <c r="AD35" i="35"/>
  <c r="AD59" i="37"/>
  <c r="AD59" i="33"/>
  <c r="AD37" i="32"/>
  <c r="AD63" i="35"/>
  <c r="AD120" i="35"/>
  <c r="AD55" i="37"/>
  <c r="AD32" i="33"/>
  <c r="AD73" i="35"/>
  <c r="AD57" i="32"/>
  <c r="AD93" i="35"/>
  <c r="AD116" i="35"/>
  <c r="AD40" i="32"/>
  <c r="AD31" i="34"/>
  <c r="AD79" i="35"/>
  <c r="AD35" i="32"/>
  <c r="AD36" i="35"/>
  <c r="AD77" i="37"/>
  <c r="AD48" i="35"/>
  <c r="AD53" i="33"/>
  <c r="AD60" i="37"/>
  <c r="AD36" i="34"/>
  <c r="AD82" i="35"/>
  <c r="AD74" i="37"/>
  <c r="AD113" i="35"/>
  <c r="AD77" i="35"/>
  <c r="AD39" i="33"/>
  <c r="AD45" i="32"/>
  <c r="AD62" i="32"/>
  <c r="E132" i="4" l="1"/>
  <c r="E125" i="4" s="1"/>
  <c r="E126" i="4" s="1"/>
  <c r="E106" i="4"/>
  <c r="E104" i="4" s="1"/>
  <c r="D104" i="4" s="1"/>
  <c r="AL59" i="37"/>
  <c r="B1105" i="48"/>
  <c r="I42" i="2"/>
  <c r="E344" i="48" s="1"/>
  <c r="J42" i="2"/>
  <c r="F344" i="48" s="1"/>
  <c r="G51" i="4"/>
  <c r="H138" i="4"/>
  <c r="J36" i="2"/>
  <c r="F339" i="48" s="1"/>
  <c r="I36" i="2"/>
  <c r="E339" i="48" s="1"/>
  <c r="F333" i="48"/>
  <c r="E333" i="48"/>
  <c r="B342" i="48"/>
  <c r="J39" i="2"/>
  <c r="F342" i="48" s="1"/>
  <c r="I39" i="2"/>
  <c r="E342" i="48" s="1"/>
  <c r="B336" i="48"/>
  <c r="J33" i="2"/>
  <c r="F336" i="48" s="1"/>
  <c r="B337" i="48"/>
  <c r="J34" i="2"/>
  <c r="F337" i="48" s="1"/>
  <c r="B341" i="48"/>
  <c r="J38" i="2"/>
  <c r="F341" i="48" s="1"/>
  <c r="I38" i="2"/>
  <c r="E341" i="48" s="1"/>
  <c r="B344" i="48"/>
  <c r="G131" i="4"/>
  <c r="H131" i="4"/>
  <c r="B110" i="48"/>
  <c r="G136" i="4"/>
  <c r="H136" i="4"/>
  <c r="B114" i="48"/>
  <c r="G128" i="4"/>
  <c r="H128" i="4"/>
  <c r="B107" i="48"/>
  <c r="H129" i="4"/>
  <c r="G129" i="4"/>
  <c r="B108" i="48"/>
  <c r="H130" i="4"/>
  <c r="G130" i="4"/>
  <c r="B109" i="48"/>
  <c r="F133" i="4"/>
  <c r="B2322" i="48"/>
  <c r="F59" i="36"/>
  <c r="F121" i="4"/>
  <c r="H121" i="4" s="1"/>
  <c r="H123" i="4"/>
  <c r="F124" i="4"/>
  <c r="H124" i="4" s="1"/>
  <c r="B127" i="48"/>
  <c r="AF54" i="33"/>
  <c r="F31" i="30"/>
  <c r="B210" i="48" s="1"/>
  <c r="AL50" i="35"/>
  <c r="J44" i="33"/>
  <c r="L66" i="33"/>
  <c r="L65" i="33"/>
  <c r="J83" i="33"/>
  <c r="B1138" i="48" s="1"/>
  <c r="I44" i="2"/>
  <c r="E346" i="48" s="1"/>
  <c r="BT404" i="49"/>
  <c r="BT394" i="49"/>
  <c r="BT399" i="49"/>
  <c r="BT392" i="49"/>
  <c r="BT408" i="49"/>
  <c r="BT405" i="49"/>
  <c r="BT403" i="49"/>
  <c r="BT395" i="49"/>
  <c r="BT393" i="49"/>
  <c r="BT409" i="49"/>
  <c r="BT407" i="49"/>
  <c r="BT396" i="49"/>
  <c r="BT406" i="49"/>
  <c r="BT401" i="49"/>
  <c r="BT397" i="49"/>
  <c r="BW399" i="49"/>
  <c r="BW408" i="49"/>
  <c r="BW405" i="49"/>
  <c r="BW395" i="49"/>
  <c r="BW393" i="49"/>
  <c r="BW409" i="49"/>
  <c r="BW403" i="49"/>
  <c r="BW390" i="49" s="1"/>
  <c r="BW396" i="49"/>
  <c r="BW407" i="49"/>
  <c r="BW397" i="49"/>
  <c r="BW406" i="49"/>
  <c r="BW404" i="49"/>
  <c r="BW401" i="49"/>
  <c r="BW394" i="49"/>
  <c r="BW392" i="49"/>
  <c r="BY409" i="49"/>
  <c r="BY403" i="49"/>
  <c r="BY390" i="49" s="1"/>
  <c r="BY396" i="49"/>
  <c r="BY407" i="49"/>
  <c r="BY397" i="49"/>
  <c r="BY406" i="49"/>
  <c r="BY404" i="49"/>
  <c r="BY401" i="49"/>
  <c r="BY394" i="49"/>
  <c r="BY392" i="49"/>
  <c r="BY399" i="49"/>
  <c r="BY395" i="49"/>
  <c r="BY408" i="49"/>
  <c r="BY405" i="49"/>
  <c r="BY393" i="49"/>
  <c r="F335" i="48"/>
  <c r="M109" i="33"/>
  <c r="L109" i="33" s="1"/>
  <c r="M110" i="33"/>
  <c r="M96" i="33"/>
  <c r="M95" i="33"/>
  <c r="M94" i="33"/>
  <c r="M93" i="33"/>
  <c r="M90" i="33"/>
  <c r="F1139" i="48"/>
  <c r="M91" i="33"/>
  <c r="B126" i="48"/>
  <c r="H134" i="4"/>
  <c r="H135" i="4"/>
  <c r="G135" i="4"/>
  <c r="B128" i="48"/>
  <c r="H91" i="4"/>
  <c r="F80" i="48" s="1"/>
  <c r="F91" i="4"/>
  <c r="D80" i="48" s="1"/>
  <c r="B112" i="48"/>
  <c r="G134" i="4"/>
  <c r="B61" i="48"/>
  <c r="G61" i="48"/>
  <c r="H51" i="4"/>
  <c r="F41" i="48" s="1"/>
  <c r="E105" i="34"/>
  <c r="F346" i="48"/>
  <c r="AE45" i="34"/>
  <c r="AF45" i="34"/>
  <c r="AH45" i="34"/>
  <c r="AG45" i="34"/>
  <c r="F343" i="48"/>
  <c r="I40" i="2"/>
  <c r="E343" i="48" s="1"/>
  <c r="AH41" i="34"/>
  <c r="AE41" i="34"/>
  <c r="AF41" i="34"/>
  <c r="AG41" i="34"/>
  <c r="AG42" i="34"/>
  <c r="AH42" i="34"/>
  <c r="AE42" i="34"/>
  <c r="AF42" i="34"/>
  <c r="AE43" i="34"/>
  <c r="AF43" i="34"/>
  <c r="AG43" i="34"/>
  <c r="AH43" i="34"/>
  <c r="AG44" i="34"/>
  <c r="AH44" i="34"/>
  <c r="AE44" i="34"/>
  <c r="AF44" i="34"/>
  <c r="F345" i="48"/>
  <c r="I43" i="2"/>
  <c r="E345" i="48" s="1"/>
  <c r="F340" i="48"/>
  <c r="I37" i="2"/>
  <c r="E340" i="48" s="1"/>
  <c r="I32" i="2"/>
  <c r="E335" i="48" s="1"/>
  <c r="I33" i="2"/>
  <c r="E336" i="48" s="1"/>
  <c r="I34" i="2"/>
  <c r="E337" i="48" s="1"/>
  <c r="I35" i="2"/>
  <c r="E338" i="48" s="1"/>
  <c r="F338" i="48"/>
  <c r="AF72" i="4"/>
  <c r="J64" i="34"/>
  <c r="B1327" i="48" s="1"/>
  <c r="B534" i="48"/>
  <c r="B1109" i="48"/>
  <c r="B356" i="48"/>
  <c r="M59" i="36"/>
  <c r="B1964" i="48"/>
  <c r="B1763" i="48"/>
  <c r="I38" i="30"/>
  <c r="B259" i="48" s="1"/>
  <c r="I37" i="30"/>
  <c r="B258" i="48" s="1"/>
  <c r="AH33" i="34"/>
  <c r="AE72" i="4"/>
  <c r="AI35" i="38"/>
  <c r="AH161" i="4"/>
  <c r="AG161" i="4"/>
  <c r="AF161" i="4"/>
  <c r="AE161" i="4"/>
  <c r="AF62" i="38"/>
  <c r="AI62" i="38"/>
  <c r="AG62" i="38"/>
  <c r="AH62" i="38"/>
  <c r="AH113" i="4"/>
  <c r="AG113" i="4"/>
  <c r="AF73" i="38"/>
  <c r="AG73" i="38"/>
  <c r="AI73" i="38"/>
  <c r="AS105" i="38"/>
  <c r="AR105" i="38"/>
  <c r="AQ105" i="38"/>
  <c r="AP105" i="38"/>
  <c r="AH91" i="4"/>
  <c r="AG91" i="4"/>
  <c r="AH70" i="4"/>
  <c r="AG70" i="4"/>
  <c r="AE123" i="4"/>
  <c r="AH123" i="4"/>
  <c r="AG123" i="4"/>
  <c r="AF123" i="4"/>
  <c r="B102" i="48"/>
  <c r="BW556" i="4"/>
  <c r="BW545" i="4"/>
  <c r="BW560" i="4"/>
  <c r="BW551" i="4"/>
  <c r="BW559" i="4"/>
  <c r="BW549" i="4"/>
  <c r="BW547" i="4"/>
  <c r="BW561" i="4"/>
  <c r="BW557" i="4"/>
  <c r="BW548" i="4"/>
  <c r="BW546" i="4"/>
  <c r="BW558" i="4"/>
  <c r="BW555" i="4"/>
  <c r="BW553" i="4"/>
  <c r="BW544" i="4"/>
  <c r="AG71" i="4"/>
  <c r="AH71" i="4"/>
  <c r="AG148" i="4"/>
  <c r="AH148" i="4"/>
  <c r="AE148" i="4"/>
  <c r="AF148" i="4"/>
  <c r="B105" i="48"/>
  <c r="AP104" i="38"/>
  <c r="AQ104" i="38"/>
  <c r="AS104" i="38"/>
  <c r="AR104" i="38"/>
  <c r="AP138" i="4"/>
  <c r="AQ138" i="4"/>
  <c r="AR138" i="4"/>
  <c r="AO138" i="4"/>
  <c r="AG101" i="38"/>
  <c r="AF101" i="38"/>
  <c r="AI101" i="38"/>
  <c r="AI80" i="38"/>
  <c r="AG80" i="38"/>
  <c r="AH80" i="38"/>
  <c r="AF80" i="38"/>
  <c r="AG153" i="4"/>
  <c r="AE153" i="4"/>
  <c r="AF153" i="4"/>
  <c r="AH153" i="4"/>
  <c r="AG101" i="4"/>
  <c r="AH101" i="4"/>
  <c r="AI66" i="38"/>
  <c r="AF66" i="38"/>
  <c r="AG66" i="38"/>
  <c r="AH66" i="38"/>
  <c r="AF48" i="38"/>
  <c r="AG48" i="38"/>
  <c r="AH48" i="38"/>
  <c r="AI48" i="38"/>
  <c r="AG58" i="4"/>
  <c r="AH58" i="4"/>
  <c r="AH100" i="4"/>
  <c r="AG100" i="4"/>
  <c r="AF82" i="38"/>
  <c r="AI82" i="38"/>
  <c r="AH74" i="38"/>
  <c r="AG56" i="4"/>
  <c r="AH56" i="4"/>
  <c r="AH173" i="4"/>
  <c r="AF173" i="4"/>
  <c r="AE173" i="4"/>
  <c r="AG173" i="4"/>
  <c r="AG97" i="4"/>
  <c r="AH97" i="4"/>
  <c r="AG48" i="4"/>
  <c r="AH48" i="4"/>
  <c r="AF102" i="38"/>
  <c r="AG102" i="38"/>
  <c r="AI102" i="38"/>
  <c r="AH102" i="38"/>
  <c r="AQ124" i="4"/>
  <c r="AO124" i="4"/>
  <c r="AR124" i="4"/>
  <c r="AP124" i="4"/>
  <c r="AF64" i="38"/>
  <c r="AH64" i="38"/>
  <c r="AI64" i="38"/>
  <c r="AG64" i="38"/>
  <c r="AG73" i="4"/>
  <c r="AH73" i="4"/>
  <c r="AR125" i="4"/>
  <c r="AP125" i="4"/>
  <c r="AQ125" i="4"/>
  <c r="AO125" i="4"/>
  <c r="AG76" i="37"/>
  <c r="H90" i="38"/>
  <c r="E57" i="4" s="1"/>
  <c r="AH89" i="4"/>
  <c r="AG89" i="4"/>
  <c r="AH99" i="4"/>
  <c r="AG99" i="4"/>
  <c r="AG43" i="38"/>
  <c r="AF43" i="38"/>
  <c r="AH43" i="38"/>
  <c r="AF56" i="38"/>
  <c r="AH56" i="38"/>
  <c r="AI56" i="38"/>
  <c r="AG56" i="38"/>
  <c r="AG154" i="4"/>
  <c r="AF154" i="4"/>
  <c r="AE154" i="4"/>
  <c r="AH154" i="4"/>
  <c r="B115" i="48"/>
  <c r="BY560" i="4"/>
  <c r="BY551" i="4"/>
  <c r="BY559" i="4"/>
  <c r="BY549" i="4"/>
  <c r="BY547" i="4"/>
  <c r="BY558" i="4"/>
  <c r="BY555" i="4"/>
  <c r="BY553" i="4"/>
  <c r="BY544" i="4"/>
  <c r="BY548" i="4"/>
  <c r="BY546" i="4"/>
  <c r="BY556" i="4"/>
  <c r="BY545" i="4"/>
  <c r="BY561" i="4"/>
  <c r="BY557" i="4"/>
  <c r="AF49" i="38"/>
  <c r="AH49" i="38"/>
  <c r="AI49" i="38"/>
  <c r="AG49" i="38"/>
  <c r="AG109" i="4"/>
  <c r="AH109" i="4"/>
  <c r="AG47" i="38"/>
  <c r="AF47" i="38"/>
  <c r="AH47" i="38"/>
  <c r="AF61" i="38"/>
  <c r="AH61" i="38"/>
  <c r="AI61" i="38"/>
  <c r="AG61" i="38"/>
  <c r="AS101" i="38"/>
  <c r="AQ101" i="38"/>
  <c r="AP101" i="38"/>
  <c r="AR101" i="38"/>
  <c r="AG145" i="4"/>
  <c r="AH145" i="4"/>
  <c r="AF145" i="4"/>
  <c r="AE145" i="4"/>
  <c r="AG160" i="4"/>
  <c r="AH160" i="4"/>
  <c r="AE160" i="4"/>
  <c r="AF160" i="4"/>
  <c r="AF100" i="38"/>
  <c r="AG100" i="38"/>
  <c r="AI100" i="38"/>
  <c r="AH100" i="38"/>
  <c r="AI46" i="38"/>
  <c r="AH46" i="38"/>
  <c r="AG46" i="38"/>
  <c r="AF46" i="38"/>
  <c r="AG53" i="4"/>
  <c r="AH53" i="4"/>
  <c r="AH108" i="4"/>
  <c r="AG108" i="4"/>
  <c r="AF79" i="38"/>
  <c r="AG79" i="38"/>
  <c r="AH79" i="38"/>
  <c r="AI79" i="38"/>
  <c r="AI72" i="38"/>
  <c r="AI43" i="38"/>
  <c r="AF70" i="38"/>
  <c r="AI70" i="38"/>
  <c r="AH70" i="38"/>
  <c r="AG70" i="38"/>
  <c r="AQ102" i="38"/>
  <c r="F1316" i="48"/>
  <c r="E1316" i="48"/>
  <c r="B2305" i="48"/>
  <c r="AG39" i="38"/>
  <c r="AF39" i="38"/>
  <c r="AH39" i="38"/>
  <c r="AI39" i="38"/>
  <c r="AF89" i="38"/>
  <c r="AG89" i="38"/>
  <c r="AI89" i="38"/>
  <c r="AI34" i="38"/>
  <c r="AH34" i="38"/>
  <c r="AF34" i="38"/>
  <c r="AG34" i="38"/>
  <c r="AH60" i="4"/>
  <c r="AG60" i="4"/>
  <c r="AH44" i="4"/>
  <c r="AG44" i="4"/>
  <c r="AE125" i="4"/>
  <c r="AF125" i="4"/>
  <c r="AG125" i="4"/>
  <c r="AH125" i="4"/>
  <c r="AF174" i="4"/>
  <c r="AH174" i="4"/>
  <c r="AE174" i="4"/>
  <c r="AG174" i="4"/>
  <c r="AF81" i="38"/>
  <c r="AH81" i="38"/>
  <c r="AI81" i="38"/>
  <c r="AG81" i="38"/>
  <c r="AF44" i="38"/>
  <c r="AG44" i="38"/>
  <c r="AI44" i="38"/>
  <c r="AH44" i="38"/>
  <c r="AR103" i="38"/>
  <c r="AS103" i="38"/>
  <c r="AP103" i="38"/>
  <c r="AQ103" i="38"/>
  <c r="B104" i="48"/>
  <c r="AE179" i="4"/>
  <c r="AH179" i="4"/>
  <c r="AF179" i="4"/>
  <c r="AG179" i="4"/>
  <c r="AG104" i="4"/>
  <c r="AH104" i="4"/>
  <c r="AF37" i="38"/>
  <c r="AH37" i="38"/>
  <c r="AI37" i="38"/>
  <c r="AG37" i="38"/>
  <c r="AG87" i="4"/>
  <c r="AH87" i="4"/>
  <c r="AF186" i="4"/>
  <c r="AG186" i="4"/>
  <c r="AH186" i="4"/>
  <c r="AI186" i="4"/>
  <c r="F1317" i="48"/>
  <c r="E1317" i="48"/>
  <c r="I39" i="30"/>
  <c r="B260" i="48" s="1"/>
  <c r="AH61" i="4"/>
  <c r="AG61" i="4"/>
  <c r="AG69" i="4"/>
  <c r="AH69" i="4"/>
  <c r="AF65" i="38"/>
  <c r="AH65" i="38"/>
  <c r="AG65" i="38"/>
  <c r="AI65" i="38"/>
  <c r="AP100" i="38"/>
  <c r="AQ100" i="38"/>
  <c r="AS100" i="38"/>
  <c r="AR100" i="38"/>
  <c r="AG52" i="4"/>
  <c r="AH52" i="4"/>
  <c r="AH51" i="4"/>
  <c r="AG51" i="4"/>
  <c r="AF45" i="38"/>
  <c r="AG45" i="38"/>
  <c r="AI45" i="38"/>
  <c r="AH45" i="38"/>
  <c r="AI185" i="4"/>
  <c r="AH185" i="4"/>
  <c r="AF185" i="4"/>
  <c r="AG185" i="4"/>
  <c r="AF78" i="38"/>
  <c r="AH78" i="38"/>
  <c r="AG78" i="38"/>
  <c r="AI78" i="38"/>
  <c r="AF40" i="38"/>
  <c r="AI40" i="38"/>
  <c r="AH40" i="38"/>
  <c r="AG40" i="38"/>
  <c r="AH46" i="4"/>
  <c r="AG46" i="4"/>
  <c r="AF139" i="4"/>
  <c r="AE139" i="4"/>
  <c r="AH139" i="4"/>
  <c r="AG139" i="4"/>
  <c r="AH112" i="4"/>
  <c r="AG112" i="4"/>
  <c r="AG35" i="38"/>
  <c r="AH35" i="38"/>
  <c r="AF35" i="38"/>
  <c r="AG72" i="4"/>
  <c r="AH72" i="4"/>
  <c r="AG189" i="4"/>
  <c r="AH189" i="4"/>
  <c r="AE189" i="4"/>
  <c r="AF189" i="4"/>
  <c r="AF63" i="38"/>
  <c r="AH63" i="38"/>
  <c r="AI63" i="38"/>
  <c r="AG63" i="38"/>
  <c r="AF69" i="38"/>
  <c r="AG90" i="38"/>
  <c r="AH101" i="38"/>
  <c r="AI104" i="38"/>
  <c r="AF104" i="38"/>
  <c r="AH104" i="38"/>
  <c r="AG104" i="38"/>
  <c r="I106" i="38"/>
  <c r="AH89" i="38"/>
  <c r="AI38" i="38"/>
  <c r="AG38" i="38"/>
  <c r="AH38" i="38"/>
  <c r="AF38" i="38"/>
  <c r="AI103" i="38"/>
  <c r="AF103" i="38"/>
  <c r="AG103" i="38"/>
  <c r="AH103" i="38"/>
  <c r="AH54" i="4"/>
  <c r="AG54" i="4"/>
  <c r="AG90" i="4"/>
  <c r="AH90" i="4"/>
  <c r="AI88" i="38"/>
  <c r="AH88" i="38"/>
  <c r="AG88" i="38"/>
  <c r="AF88" i="38"/>
  <c r="AH88" i="4"/>
  <c r="AG88" i="4"/>
  <c r="AH66" i="4"/>
  <c r="AG66" i="4"/>
  <c r="AG77" i="38"/>
  <c r="AH77" i="38"/>
  <c r="AF77" i="38"/>
  <c r="AI77" i="38"/>
  <c r="AE178" i="4"/>
  <c r="AF178" i="4"/>
  <c r="AG178" i="4"/>
  <c r="AH178" i="4"/>
  <c r="AF68" i="38"/>
  <c r="AH68" i="38"/>
  <c r="AG68" i="38"/>
  <c r="AI68" i="38"/>
  <c r="AG57" i="4"/>
  <c r="AH57" i="4"/>
  <c r="AF32" i="38"/>
  <c r="AG32" i="38"/>
  <c r="AI32" i="38"/>
  <c r="AH32" i="38"/>
  <c r="AF144" i="4"/>
  <c r="AG144" i="4"/>
  <c r="AH144" i="4"/>
  <c r="AE144" i="4"/>
  <c r="AH172" i="4"/>
  <c r="AE172" i="4"/>
  <c r="AF172" i="4"/>
  <c r="AG172" i="4"/>
  <c r="AF41" i="38"/>
  <c r="AG41" i="38"/>
  <c r="AI41" i="38"/>
  <c r="AH41" i="38"/>
  <c r="AF76" i="38"/>
  <c r="AH76" i="38"/>
  <c r="AI76" i="38"/>
  <c r="AG76" i="38"/>
  <c r="AI90" i="38"/>
  <c r="AF90" i="38"/>
  <c r="AG93" i="4"/>
  <c r="AH93" i="4"/>
  <c r="AH59" i="4"/>
  <c r="AG59" i="4"/>
  <c r="AI42" i="38"/>
  <c r="AH42" i="38"/>
  <c r="AF42" i="38"/>
  <c r="AG42" i="38"/>
  <c r="AF184" i="4"/>
  <c r="AI184" i="4"/>
  <c r="AG184" i="4"/>
  <c r="AH184" i="4"/>
  <c r="AF33" i="38"/>
  <c r="AH33" i="38"/>
  <c r="AG33" i="38"/>
  <c r="AI33" i="38"/>
  <c r="AH45" i="4"/>
  <c r="AG45" i="4"/>
  <c r="AH121" i="4"/>
  <c r="AE121" i="4"/>
  <c r="AF121" i="4"/>
  <c r="AG121" i="4"/>
  <c r="H57" i="38"/>
  <c r="AF60" i="4"/>
  <c r="AG138" i="4"/>
  <c r="AF138" i="4"/>
  <c r="AE138" i="4"/>
  <c r="AH138" i="4"/>
  <c r="AF36" i="38"/>
  <c r="AI36" i="38"/>
  <c r="AH36" i="38"/>
  <c r="AG36" i="38"/>
  <c r="AH64" i="4"/>
  <c r="AG64" i="4"/>
  <c r="AH103" i="4"/>
  <c r="AG103" i="4"/>
  <c r="AG55" i="4"/>
  <c r="AH55" i="4"/>
  <c r="AH74" i="4"/>
  <c r="AG74" i="4"/>
  <c r="AF72" i="38"/>
  <c r="AH72" i="38"/>
  <c r="AG72" i="38"/>
  <c r="AE124" i="4"/>
  <c r="AF124" i="4"/>
  <c r="AG124" i="4"/>
  <c r="AH124" i="4"/>
  <c r="AF74" i="38"/>
  <c r="AI74" i="38"/>
  <c r="AG74" i="38"/>
  <c r="AE60" i="4"/>
  <c r="AG47" i="4"/>
  <c r="AH47" i="4"/>
  <c r="AH86" i="4"/>
  <c r="AG86" i="4"/>
  <c r="AG98" i="4"/>
  <c r="AH98" i="4"/>
  <c r="AS102" i="38"/>
  <c r="AR102" i="38"/>
  <c r="AP102" i="38"/>
  <c r="AH75" i="4"/>
  <c r="AG75" i="4"/>
  <c r="AH110" i="4"/>
  <c r="AG110" i="4"/>
  <c r="AF67" i="38"/>
  <c r="AH67" i="38"/>
  <c r="AI67" i="38"/>
  <c r="AG67" i="38"/>
  <c r="AR121" i="4"/>
  <c r="AO121" i="4"/>
  <c r="AP121" i="4"/>
  <c r="AQ121" i="4"/>
  <c r="AG69" i="38"/>
  <c r="AI69" i="38"/>
  <c r="AH69" i="38"/>
  <c r="AF71" i="38"/>
  <c r="AH71" i="38"/>
  <c r="AG71" i="38"/>
  <c r="AI71" i="38"/>
  <c r="AH107" i="4"/>
  <c r="AG107" i="4"/>
  <c r="AG92" i="4"/>
  <c r="AH92" i="4"/>
  <c r="AF75" i="38"/>
  <c r="AH75" i="38"/>
  <c r="AI75" i="38"/>
  <c r="AG75" i="38"/>
  <c r="AP123" i="4"/>
  <c r="AQ123" i="4"/>
  <c r="AO123" i="4"/>
  <c r="AR123" i="4"/>
  <c r="AH105" i="38"/>
  <c r="AG105" i="38"/>
  <c r="AF105" i="38"/>
  <c r="AI105" i="38"/>
  <c r="AH65" i="4"/>
  <c r="AG65" i="4"/>
  <c r="AF57" i="38"/>
  <c r="AH57" i="38"/>
  <c r="AI57" i="38"/>
  <c r="AG57" i="38"/>
  <c r="AH82" i="38"/>
  <c r="AH90" i="38"/>
  <c r="AH73" i="38"/>
  <c r="H106" i="38"/>
  <c r="AH55" i="38"/>
  <c r="AF55" i="38"/>
  <c r="AG55" i="38"/>
  <c r="AI55" i="38"/>
  <c r="AG82" i="38"/>
  <c r="AI47" i="38"/>
  <c r="E80" i="48"/>
  <c r="AE52" i="4"/>
  <c r="AF52" i="4"/>
  <c r="AE74" i="4"/>
  <c r="AF74" i="4"/>
  <c r="AE103" i="4"/>
  <c r="AF103" i="4"/>
  <c r="AF107" i="4"/>
  <c r="AE107" i="4"/>
  <c r="AF101" i="4"/>
  <c r="AE101" i="4"/>
  <c r="AE97" i="4"/>
  <c r="AF97" i="4"/>
  <c r="AF51" i="4"/>
  <c r="AE51" i="4"/>
  <c r="AF92" i="4"/>
  <c r="AE92" i="4"/>
  <c r="AF64" i="4"/>
  <c r="AE64" i="4"/>
  <c r="AE73" i="4"/>
  <c r="AF73" i="4"/>
  <c r="AF75" i="4"/>
  <c r="AE75" i="4"/>
  <c r="AF86" i="4"/>
  <c r="AE86" i="4"/>
  <c r="AF104" i="4"/>
  <c r="AE104" i="4"/>
  <c r="AF61" i="4"/>
  <c r="AE61" i="4"/>
  <c r="AE91" i="4"/>
  <c r="AF91" i="4"/>
  <c r="AE87" i="4"/>
  <c r="AF87" i="4"/>
  <c r="AE98" i="4"/>
  <c r="AF98" i="4"/>
  <c r="AF93" i="4"/>
  <c r="AE93" i="4"/>
  <c r="AE56" i="4"/>
  <c r="AF56" i="4"/>
  <c r="AE69" i="4"/>
  <c r="AF69" i="4"/>
  <c r="AE100" i="4"/>
  <c r="AF100" i="4"/>
  <c r="AE88" i="4"/>
  <c r="AF88" i="4"/>
  <c r="AE53" i="4"/>
  <c r="AF53" i="4"/>
  <c r="AF66" i="4"/>
  <c r="AE66" i="4"/>
  <c r="AF57" i="4"/>
  <c r="AE57" i="4"/>
  <c r="AE90" i="4"/>
  <c r="AF90" i="4"/>
  <c r="AE54" i="4"/>
  <c r="AF54" i="4"/>
  <c r="AE70" i="4"/>
  <c r="AF70" i="4"/>
  <c r="AE59" i="4"/>
  <c r="AF59" i="4"/>
  <c r="AF89" i="4"/>
  <c r="AE89" i="4"/>
  <c r="AE65" i="4"/>
  <c r="AF65" i="4"/>
  <c r="AE58" i="4"/>
  <c r="AF58" i="4"/>
  <c r="AF71" i="4"/>
  <c r="AE71" i="4"/>
  <c r="AE99" i="4"/>
  <c r="AF99" i="4"/>
  <c r="AF55" i="4"/>
  <c r="AE55" i="4"/>
  <c r="AE44" i="4"/>
  <c r="AF44" i="4"/>
  <c r="H108" i="4"/>
  <c r="AE47" i="4"/>
  <c r="AF47" i="4"/>
  <c r="G109" i="4"/>
  <c r="B147" i="48"/>
  <c r="B146" i="48"/>
  <c r="AE110" i="4"/>
  <c r="AF110" i="4"/>
  <c r="AF109" i="4"/>
  <c r="AE109" i="4"/>
  <c r="AE48" i="4"/>
  <c r="AF48" i="4"/>
  <c r="AF113" i="4"/>
  <c r="AE113" i="4"/>
  <c r="AE46" i="4"/>
  <c r="AF46" i="4"/>
  <c r="E53" i="48"/>
  <c r="AF108" i="4"/>
  <c r="AE108" i="4"/>
  <c r="AF45" i="4"/>
  <c r="AE45" i="4"/>
  <c r="AE112" i="4"/>
  <c r="AF112" i="4"/>
  <c r="G44" i="4"/>
  <c r="E37" i="48"/>
  <c r="F1144" i="48"/>
  <c r="F1140" i="48"/>
  <c r="B2052" i="48"/>
  <c r="B1518" i="48"/>
  <c r="B651" i="48"/>
  <c r="AE90" i="32"/>
  <c r="AH90" i="32"/>
  <c r="AG90" i="32"/>
  <c r="AF90" i="32"/>
  <c r="AH129" i="33"/>
  <c r="AF129" i="33"/>
  <c r="AG129" i="33"/>
  <c r="AE129" i="33"/>
  <c r="AF93" i="33"/>
  <c r="AG93" i="33"/>
  <c r="AE93" i="33"/>
  <c r="AH93" i="33"/>
  <c r="AE96" i="33"/>
  <c r="AG96" i="33"/>
  <c r="AH96" i="33"/>
  <c r="AF96" i="33"/>
  <c r="AG80" i="34"/>
  <c r="AH80" i="34"/>
  <c r="AF80" i="34"/>
  <c r="AE80" i="34"/>
  <c r="AH87" i="34"/>
  <c r="AF87" i="34"/>
  <c r="AE87" i="34"/>
  <c r="AG87" i="34"/>
  <c r="B1148" i="48"/>
  <c r="AF86" i="32"/>
  <c r="AE86" i="32"/>
  <c r="AH86" i="32"/>
  <c r="AG86" i="32"/>
  <c r="AE127" i="33"/>
  <c r="AG127" i="33"/>
  <c r="AF127" i="33"/>
  <c r="AH127" i="33"/>
  <c r="AE91" i="33"/>
  <c r="AH91" i="33"/>
  <c r="AF91" i="33"/>
  <c r="AG91" i="33"/>
  <c r="AE94" i="33"/>
  <c r="AH94" i="33"/>
  <c r="AF94" i="33"/>
  <c r="AG94" i="33"/>
  <c r="AH96" i="34"/>
  <c r="AF96" i="34"/>
  <c r="AG96" i="34"/>
  <c r="AE96" i="34"/>
  <c r="AE77" i="34"/>
  <c r="AF77" i="34"/>
  <c r="AH77" i="34"/>
  <c r="AG77" i="34"/>
  <c r="AH90" i="34"/>
  <c r="AE90" i="34"/>
  <c r="AF90" i="34"/>
  <c r="AG96" i="32"/>
  <c r="AF96" i="32"/>
  <c r="AE96" i="32"/>
  <c r="AH96" i="32"/>
  <c r="AF134" i="33"/>
  <c r="AG134" i="33"/>
  <c r="AH134" i="33"/>
  <c r="AE134" i="33"/>
  <c r="AE128" i="33"/>
  <c r="AH128" i="33"/>
  <c r="AF128" i="33"/>
  <c r="AG128" i="33"/>
  <c r="AG92" i="33"/>
  <c r="AH92" i="33"/>
  <c r="AF92" i="33"/>
  <c r="AE92" i="33"/>
  <c r="AG83" i="34"/>
  <c r="AE83" i="34"/>
  <c r="AH83" i="34"/>
  <c r="AF83" i="34"/>
  <c r="AG92" i="34"/>
  <c r="AF92" i="34"/>
  <c r="AE92" i="34"/>
  <c r="AH92" i="34"/>
  <c r="AG76" i="34"/>
  <c r="AF76" i="34"/>
  <c r="AE76" i="34"/>
  <c r="AH76" i="34"/>
  <c r="AE93" i="34"/>
  <c r="AF93" i="34"/>
  <c r="AH93" i="34"/>
  <c r="AG93" i="34"/>
  <c r="AF46" i="35"/>
  <c r="AH46" i="35"/>
  <c r="AE46" i="35"/>
  <c r="AG46" i="35"/>
  <c r="AG90" i="34"/>
  <c r="B1147" i="48"/>
  <c r="B649" i="48"/>
  <c r="AK109" i="33"/>
  <c r="F1158" i="48"/>
  <c r="B630" i="48"/>
  <c r="B2211" i="48"/>
  <c r="AG82" i="32"/>
  <c r="AE82" i="32"/>
  <c r="AH82" i="32"/>
  <c r="AF82" i="32"/>
  <c r="AE90" i="33"/>
  <c r="AG90" i="33"/>
  <c r="AH90" i="33"/>
  <c r="AF90" i="33"/>
  <c r="AG107" i="33"/>
  <c r="AE107" i="33"/>
  <c r="AH107" i="33"/>
  <c r="AF107" i="33"/>
  <c r="AG113" i="33"/>
  <c r="AF113" i="33"/>
  <c r="AE113" i="33"/>
  <c r="AH113" i="33"/>
  <c r="AH126" i="33"/>
  <c r="AE126" i="33"/>
  <c r="AF126" i="33"/>
  <c r="AG126" i="33"/>
  <c r="AG89" i="34"/>
  <c r="AE89" i="34"/>
  <c r="AH89" i="34"/>
  <c r="AF89" i="34"/>
  <c r="AE78" i="34"/>
  <c r="AH78" i="34"/>
  <c r="AG78" i="34"/>
  <c r="AF78" i="34"/>
  <c r="AG75" i="34"/>
  <c r="AH75" i="34"/>
  <c r="AE75" i="34"/>
  <c r="AF75" i="34"/>
  <c r="AH97" i="37"/>
  <c r="AG97" i="37"/>
  <c r="AE97" i="37"/>
  <c r="AF97" i="37"/>
  <c r="AF96" i="37"/>
  <c r="AE95" i="37"/>
  <c r="B1160" i="48"/>
  <c r="AK111" i="33"/>
  <c r="F1143" i="48"/>
  <c r="I31" i="30"/>
  <c r="B252" i="48" s="1"/>
  <c r="AH75" i="32"/>
  <c r="AG75" i="32"/>
  <c r="AE75" i="32"/>
  <c r="AF75" i="32"/>
  <c r="AF85" i="32"/>
  <c r="AE85" i="32"/>
  <c r="AH85" i="32"/>
  <c r="AG85" i="32"/>
  <c r="AF105" i="33"/>
  <c r="AH105" i="33"/>
  <c r="AG105" i="33"/>
  <c r="AE105" i="33"/>
  <c r="AE108" i="33"/>
  <c r="AH108" i="33"/>
  <c r="AF108" i="33"/>
  <c r="AG108" i="33"/>
  <c r="AF132" i="33"/>
  <c r="AE132" i="33"/>
  <c r="AG132" i="33"/>
  <c r="AH132" i="33"/>
  <c r="AE104" i="34"/>
  <c r="AH104" i="34"/>
  <c r="AF104" i="34"/>
  <c r="AG104" i="34"/>
  <c r="AF94" i="34"/>
  <c r="AE94" i="34"/>
  <c r="AH94" i="34"/>
  <c r="AG94" i="34"/>
  <c r="AH82" i="34"/>
  <c r="AF82" i="34"/>
  <c r="AE82" i="34"/>
  <c r="AG82" i="34"/>
  <c r="AF95" i="37"/>
  <c r="AG95" i="37"/>
  <c r="AH95" i="37"/>
  <c r="B1155" i="48"/>
  <c r="B1156" i="48"/>
  <c r="AE76" i="32"/>
  <c r="AH76" i="32"/>
  <c r="AG76" i="32"/>
  <c r="AF76" i="32"/>
  <c r="AG95" i="32"/>
  <c r="AH95" i="32"/>
  <c r="AE95" i="32"/>
  <c r="AF95" i="32"/>
  <c r="AF99" i="33"/>
  <c r="AG99" i="33"/>
  <c r="AE99" i="33"/>
  <c r="AH99" i="33"/>
  <c r="AF106" i="33"/>
  <c r="AH106" i="33"/>
  <c r="AE106" i="33"/>
  <c r="AG106" i="33"/>
  <c r="AH96" i="37"/>
  <c r="AE96" i="37"/>
  <c r="AE97" i="34"/>
  <c r="AF97" i="34"/>
  <c r="AH97" i="34"/>
  <c r="AG97" i="34"/>
  <c r="AE91" i="34"/>
  <c r="AG91" i="34"/>
  <c r="AF91" i="34"/>
  <c r="AH91" i="34"/>
  <c r="AG96" i="37"/>
  <c r="F1142" i="48"/>
  <c r="B652" i="48"/>
  <c r="AF78" i="32"/>
  <c r="AG78" i="32"/>
  <c r="AE78" i="32"/>
  <c r="AH78" i="32"/>
  <c r="AE89" i="32"/>
  <c r="AG89" i="32"/>
  <c r="AH89" i="32"/>
  <c r="AF89" i="32"/>
  <c r="AG97" i="33"/>
  <c r="AH97" i="33"/>
  <c r="AE97" i="33"/>
  <c r="AF97" i="33"/>
  <c r="AF100" i="33"/>
  <c r="AH100" i="33"/>
  <c r="AG100" i="33"/>
  <c r="AE100" i="33"/>
  <c r="AF94" i="37"/>
  <c r="AE94" i="37"/>
  <c r="AH94" i="37"/>
  <c r="AH105" i="34"/>
  <c r="AG105" i="34"/>
  <c r="AE105" i="34"/>
  <c r="AF105" i="34"/>
  <c r="AG79" i="34"/>
  <c r="AH79" i="34"/>
  <c r="AF79" i="34"/>
  <c r="AE79" i="34"/>
  <c r="AF88" i="34"/>
  <c r="AH88" i="34"/>
  <c r="AE88" i="34"/>
  <c r="AG88" i="34"/>
  <c r="AG94" i="37"/>
  <c r="AK110" i="33"/>
  <c r="F1159" i="48"/>
  <c r="F1145" i="48"/>
  <c r="B1990" i="48"/>
  <c r="AF77" i="32"/>
  <c r="AH77" i="32"/>
  <c r="AE77" i="32"/>
  <c r="AG77" i="32"/>
  <c r="AH94" i="32"/>
  <c r="AE94" i="32"/>
  <c r="AF94" i="32"/>
  <c r="AG94" i="32"/>
  <c r="AH95" i="33"/>
  <c r="AF95" i="33"/>
  <c r="AG95" i="33"/>
  <c r="AE95" i="33"/>
  <c r="AH98" i="33"/>
  <c r="AF98" i="33"/>
  <c r="AE98" i="33"/>
  <c r="AG98" i="33"/>
  <c r="AF93" i="37"/>
  <c r="AH93" i="37"/>
  <c r="AG93" i="37"/>
  <c r="AE93" i="37"/>
  <c r="AE95" i="34"/>
  <c r="AG95" i="34"/>
  <c r="AH95" i="34"/>
  <c r="AF95" i="34"/>
  <c r="AH81" i="34"/>
  <c r="AG81" i="34"/>
  <c r="AF81" i="34"/>
  <c r="AE81" i="34"/>
  <c r="AH39" i="32"/>
  <c r="AE96" i="35"/>
  <c r="AF80" i="37"/>
  <c r="AG60" i="35"/>
  <c r="AE62" i="34"/>
  <c r="AG40" i="37"/>
  <c r="AE31" i="33"/>
  <c r="AH67" i="35"/>
  <c r="AF98" i="35"/>
  <c r="AE119" i="35"/>
  <c r="AH55" i="32"/>
  <c r="AH37" i="34"/>
  <c r="AE57" i="33"/>
  <c r="AG42" i="33"/>
  <c r="AE58" i="37"/>
  <c r="AE37" i="10"/>
  <c r="AH41" i="35"/>
  <c r="AE70" i="37"/>
  <c r="AG50" i="37"/>
  <c r="AG110" i="35"/>
  <c r="J117" i="33"/>
  <c r="O117" i="33" s="1"/>
  <c r="J100" i="35"/>
  <c r="B1724" i="48" s="1"/>
  <c r="B98" i="48"/>
  <c r="AH72" i="35"/>
  <c r="F41" i="30"/>
  <c r="B220" i="48" s="1"/>
  <c r="B2675" i="48"/>
  <c r="B2407" i="48"/>
  <c r="AF61" i="33"/>
  <c r="AF36" i="10"/>
  <c r="AG52" i="33"/>
  <c r="AG90" i="35"/>
  <c r="B633" i="48"/>
  <c r="B2048" i="48"/>
  <c r="B1841" i="48"/>
  <c r="AG55" i="34"/>
  <c r="B1814" i="48"/>
  <c r="B207" i="48"/>
  <c r="B194" i="48"/>
  <c r="AG68" i="37"/>
  <c r="B632" i="48"/>
  <c r="AE34" i="10"/>
  <c r="B2051" i="48"/>
  <c r="B1722" i="48"/>
  <c r="B2062" i="48"/>
  <c r="B326" i="48"/>
  <c r="J124" i="35"/>
  <c r="B1734" i="48" s="1"/>
  <c r="B643" i="48"/>
  <c r="B1700" i="48"/>
  <c r="B1323" i="48"/>
  <c r="B1709" i="48"/>
  <c r="AL63" i="35"/>
  <c r="AL55" i="37"/>
  <c r="AR110" i="4"/>
  <c r="F1130" i="48"/>
  <c r="B1350" i="48"/>
  <c r="E174" i="4"/>
  <c r="BT560" i="4"/>
  <c r="BT559" i="4"/>
  <c r="BT558" i="4"/>
  <c r="BT556" i="4"/>
  <c r="BT555" i="4"/>
  <c r="BT551" i="4"/>
  <c r="BT544" i="4"/>
  <c r="BT561" i="4"/>
  <c r="BT549" i="4"/>
  <c r="BT548" i="4"/>
  <c r="BT547" i="4"/>
  <c r="BT546" i="4"/>
  <c r="BT545" i="4"/>
  <c r="BT553" i="4"/>
  <c r="BT557" i="4"/>
  <c r="H185" i="4"/>
  <c r="F185" i="4"/>
  <c r="J42" i="37"/>
  <c r="M42" i="37" s="1"/>
  <c r="B1732" i="48"/>
  <c r="B636" i="48"/>
  <c r="B329" i="48"/>
  <c r="B1326" i="48"/>
  <c r="B1716" i="48"/>
  <c r="B2054" i="48"/>
  <c r="B2677" i="48"/>
  <c r="B646" i="48"/>
  <c r="B1706" i="48"/>
  <c r="B2076" i="48"/>
  <c r="B1305" i="48"/>
  <c r="I36" i="30"/>
  <c r="B1317" i="48"/>
  <c r="B340" i="48"/>
  <c r="B343" i="48"/>
  <c r="B345" i="48"/>
  <c r="B346" i="48"/>
  <c r="AA184" i="4"/>
  <c r="G184" i="4" s="1"/>
  <c r="H184" i="4" s="1"/>
  <c r="B338" i="48"/>
  <c r="B1108" i="48"/>
  <c r="B1688" i="48"/>
  <c r="J52" i="35"/>
  <c r="B1695" i="48" s="1"/>
  <c r="B1627" i="48"/>
  <c r="I130" i="35"/>
  <c r="B1681" i="48" s="1"/>
  <c r="B1573" i="48"/>
  <c r="F37" i="30"/>
  <c r="B1686" i="48"/>
  <c r="B1407" i="48"/>
  <c r="F45" i="4"/>
  <c r="D37" i="48" s="1"/>
  <c r="G108" i="4"/>
  <c r="F332" i="48"/>
  <c r="I28" i="2"/>
  <c r="E332" i="48" s="1"/>
  <c r="B193" i="48"/>
  <c r="B219" i="48"/>
  <c r="B2039" i="48"/>
  <c r="B2043" i="48"/>
  <c r="B2040" i="48"/>
  <c r="B1144" i="48"/>
  <c r="B2071" i="48"/>
  <c r="B2668" i="48"/>
  <c r="B2441" i="48"/>
  <c r="B2269" i="48"/>
  <c r="B2067" i="48"/>
  <c r="B2064" i="48"/>
  <c r="B2034" i="48"/>
  <c r="B2264" i="48"/>
  <c r="B184" i="48"/>
  <c r="B2072" i="48"/>
  <c r="F34" i="30"/>
  <c r="B846" i="48"/>
  <c r="B1115" i="48"/>
  <c r="B1106" i="48"/>
  <c r="B1096" i="48"/>
  <c r="B1116" i="48"/>
  <c r="B1113" i="48"/>
  <c r="B1158" i="48"/>
  <c r="B1142" i="48"/>
  <c r="B1092" i="48"/>
  <c r="B1159" i="48"/>
  <c r="B1114" i="48"/>
  <c r="B1118" i="48"/>
  <c r="B199" i="48"/>
  <c r="B1143" i="48"/>
  <c r="B1034" i="48"/>
  <c r="B1140" i="48"/>
  <c r="F33" i="30"/>
  <c r="B815" i="48"/>
  <c r="B1102" i="48"/>
  <c r="B1149" i="48"/>
  <c r="B1161" i="48"/>
  <c r="M105" i="33"/>
  <c r="B1154" i="48"/>
  <c r="B1151" i="48"/>
  <c r="B185" i="48"/>
  <c r="B240" i="48"/>
  <c r="B1139" i="48"/>
  <c r="B1162" i="48"/>
  <c r="B1171" i="48"/>
  <c r="B1121" i="48"/>
  <c r="B228" i="48"/>
  <c r="B198" i="48"/>
  <c r="M97" i="33"/>
  <c r="B1146" i="48"/>
  <c r="B186" i="48"/>
  <c r="B1170" i="48"/>
  <c r="B1141" i="48"/>
  <c r="B1145" i="48"/>
  <c r="M104" i="33"/>
  <c r="L104" i="33" s="1"/>
  <c r="B1153" i="48"/>
  <c r="B226" i="48"/>
  <c r="B200" i="48"/>
  <c r="M108" i="33"/>
  <c r="B1157" i="48"/>
  <c r="B242" i="48"/>
  <c r="B227" i="48"/>
  <c r="B241" i="48"/>
  <c r="B2514" i="48"/>
  <c r="B2648" i="48"/>
  <c r="B1725" i="48"/>
  <c r="B1726" i="48"/>
  <c r="B1727" i="48"/>
  <c r="B1728" i="48"/>
  <c r="B1730" i="48"/>
  <c r="B1731" i="48"/>
  <c r="B1733" i="48"/>
  <c r="B1694" i="48"/>
  <c r="B324" i="48"/>
  <c r="B626" i="48"/>
  <c r="B627" i="48"/>
  <c r="B628" i="48"/>
  <c r="B629" i="48"/>
  <c r="B631" i="48"/>
  <c r="B634" i="48"/>
  <c r="B635" i="48"/>
  <c r="B637" i="48"/>
  <c r="B612" i="48"/>
  <c r="I64" i="32"/>
  <c r="B640" i="48"/>
  <c r="B641" i="48"/>
  <c r="B642" i="48"/>
  <c r="B644" i="48"/>
  <c r="B647" i="48"/>
  <c r="B1306" i="48"/>
  <c r="B1307" i="48"/>
  <c r="B1308" i="48"/>
  <c r="B1313" i="48"/>
  <c r="B1315" i="48"/>
  <c r="B1316" i="48"/>
  <c r="B1320" i="48"/>
  <c r="B1321" i="48"/>
  <c r="B1322" i="48"/>
  <c r="B1682" i="48"/>
  <c r="B1683" i="48"/>
  <c r="B1684" i="48"/>
  <c r="B1685" i="48"/>
  <c r="B1690" i="48"/>
  <c r="B1693" i="48"/>
  <c r="B1696" i="48"/>
  <c r="B1699" i="48"/>
  <c r="B1702" i="48"/>
  <c r="B1703" i="48"/>
  <c r="B1704" i="48"/>
  <c r="B1705" i="48"/>
  <c r="B1707" i="48"/>
  <c r="B1710" i="48"/>
  <c r="B1711" i="48"/>
  <c r="B1712" i="48"/>
  <c r="B1713" i="48"/>
  <c r="B1715" i="48"/>
  <c r="B1718" i="48"/>
  <c r="B1719" i="48"/>
  <c r="B1721" i="48"/>
  <c r="B1723" i="48"/>
  <c r="B2036" i="48"/>
  <c r="B2047" i="48"/>
  <c r="B2053" i="48"/>
  <c r="B2055" i="48"/>
  <c r="B2056" i="48"/>
  <c r="B2061" i="48"/>
  <c r="B2065" i="48"/>
  <c r="B2066" i="48"/>
  <c r="B2068" i="48"/>
  <c r="B2070" i="48"/>
  <c r="B2073" i="48"/>
  <c r="B2074" i="48"/>
  <c r="B2075" i="48"/>
  <c r="B2078" i="48"/>
  <c r="B2079" i="48"/>
  <c r="B2080" i="48"/>
  <c r="B2637" i="48"/>
  <c r="B2555" i="48"/>
  <c r="B2424" i="48"/>
  <c r="L59" i="36"/>
  <c r="B2373" i="48"/>
  <c r="I59" i="36"/>
  <c r="B2241" i="48"/>
  <c r="E59" i="4"/>
  <c r="B1464" i="48"/>
  <c r="E56" i="48"/>
  <c r="B96" i="48"/>
  <c r="B41" i="48"/>
  <c r="B101" i="48"/>
  <c r="E152" i="48"/>
  <c r="E153" i="48"/>
  <c r="B1351" i="48"/>
  <c r="B97" i="48"/>
  <c r="B335" i="48"/>
  <c r="B332" i="48"/>
  <c r="AH67" i="33"/>
  <c r="AE67" i="33"/>
  <c r="AF67" i="33"/>
  <c r="AG67" i="33"/>
  <c r="AF73" i="33"/>
  <c r="AH73" i="33"/>
  <c r="AE73" i="33"/>
  <c r="AG73" i="33"/>
  <c r="AH76" i="33"/>
  <c r="AE76" i="33"/>
  <c r="AF76" i="33"/>
  <c r="AG76" i="33"/>
  <c r="AH63" i="33"/>
  <c r="AG63" i="33"/>
  <c r="AE63" i="33"/>
  <c r="AF63" i="33"/>
  <c r="AE70" i="33"/>
  <c r="AG70" i="33"/>
  <c r="AF70" i="33"/>
  <c r="AH70" i="33"/>
  <c r="M92" i="33"/>
  <c r="G44" i="30"/>
  <c r="M102" i="33"/>
  <c r="L102" i="33" s="1"/>
  <c r="I35" i="30"/>
  <c r="B256" i="48" s="1"/>
  <c r="M100" i="33"/>
  <c r="M112" i="33"/>
  <c r="L112" i="33" s="1"/>
  <c r="M107" i="33"/>
  <c r="E44" i="30"/>
  <c r="I33" i="30"/>
  <c r="M98" i="33"/>
  <c r="F35" i="30"/>
  <c r="M101" i="33"/>
  <c r="L101" i="33" s="1"/>
  <c r="M99" i="33"/>
  <c r="M106" i="33"/>
  <c r="AL52" i="33"/>
  <c r="I34" i="30"/>
  <c r="F64" i="4"/>
  <c r="D53" i="48" s="1"/>
  <c r="H115" i="36"/>
  <c r="D59" i="36"/>
  <c r="F100" i="37"/>
  <c r="B1863" i="48" s="1"/>
  <c r="J40" i="10"/>
  <c r="F36" i="30"/>
  <c r="E89" i="4"/>
  <c r="E38" i="4"/>
  <c r="BH548" i="4" s="1"/>
  <c r="J64" i="32"/>
  <c r="B648" i="48" s="1"/>
  <c r="H44" i="30"/>
  <c r="J59" i="36"/>
  <c r="M111" i="33"/>
  <c r="F38" i="30"/>
  <c r="J127" i="37"/>
  <c r="B2081" i="48" s="1"/>
  <c r="M103" i="33"/>
  <c r="L103" i="33" s="1"/>
  <c r="C58" i="36"/>
  <c r="I100" i="37"/>
  <c r="B2012" i="48" s="1"/>
  <c r="F130" i="35"/>
  <c r="AF42" i="33"/>
  <c r="AF39" i="32"/>
  <c r="AF90" i="35"/>
  <c r="D44" i="30"/>
  <c r="M40" i="30"/>
  <c r="E275" i="48" s="1"/>
  <c r="O40" i="30"/>
  <c r="F275" i="48" s="1"/>
  <c r="F42" i="30"/>
  <c r="B221" i="48" s="1"/>
  <c r="AH62" i="34"/>
  <c r="AE54" i="33"/>
  <c r="AE55" i="32"/>
  <c r="AF55" i="32"/>
  <c r="AH42" i="33"/>
  <c r="AE42" i="33"/>
  <c r="AG57" i="33"/>
  <c r="AF96" i="35"/>
  <c r="AF31" i="33"/>
  <c r="AH96" i="35"/>
  <c r="AF34" i="10"/>
  <c r="AF62" i="34"/>
  <c r="AG62" i="34"/>
  <c r="AH61" i="33"/>
  <c r="AF67" i="35"/>
  <c r="AG33" i="34"/>
  <c r="AH61" i="34"/>
  <c r="AG61" i="34"/>
  <c r="AG70" i="37"/>
  <c r="AE98" i="35"/>
  <c r="AF61" i="34"/>
  <c r="AI61" i="34" s="1"/>
  <c r="AE61" i="33"/>
  <c r="AE67" i="35"/>
  <c r="AG67" i="35"/>
  <c r="AG61" i="33"/>
  <c r="AF58" i="37"/>
  <c r="H66" i="4"/>
  <c r="AH110" i="35"/>
  <c r="AF50" i="37"/>
  <c r="AE50" i="37"/>
  <c r="AH50" i="37"/>
  <c r="AF76" i="37"/>
  <c r="AE80" i="37"/>
  <c r="AG80" i="37"/>
  <c r="AH80" i="37"/>
  <c r="AG54" i="33"/>
  <c r="AG55" i="32"/>
  <c r="AE76" i="37"/>
  <c r="AH54" i="33"/>
  <c r="AH76" i="37"/>
  <c r="AH58" i="37"/>
  <c r="AF41" i="35"/>
  <c r="AG39" i="32"/>
  <c r="AH37" i="10"/>
  <c r="AE39" i="32"/>
  <c r="AG37" i="10"/>
  <c r="AG41" i="35"/>
  <c r="AF37" i="10"/>
  <c r="AE41" i="35"/>
  <c r="AG58" i="37"/>
  <c r="AH60" i="35"/>
  <c r="AE68" i="37"/>
  <c r="AH68" i="37"/>
  <c r="AE110" i="35"/>
  <c r="AF110" i="35"/>
  <c r="AF68" i="37"/>
  <c r="AH98" i="35"/>
  <c r="AH55" i="34"/>
  <c r="AE55" i="34"/>
  <c r="AG98" i="35"/>
  <c r="AG36" i="10"/>
  <c r="AH36" i="10"/>
  <c r="AE36" i="10"/>
  <c r="AE32" i="37"/>
  <c r="AG32" i="37"/>
  <c r="AF32" i="37"/>
  <c r="AH32" i="37"/>
  <c r="AF33" i="34"/>
  <c r="AE33" i="34"/>
  <c r="AG38" i="32"/>
  <c r="AF38" i="32"/>
  <c r="AE38" i="32"/>
  <c r="AH38" i="32"/>
  <c r="AH66" i="37"/>
  <c r="AF66" i="37"/>
  <c r="AG66" i="37"/>
  <c r="AE66" i="37"/>
  <c r="AH57" i="33"/>
  <c r="AF57" i="33"/>
  <c r="AG68" i="35"/>
  <c r="AF68" i="35"/>
  <c r="AE68" i="35"/>
  <c r="AH68" i="35"/>
  <c r="AF40" i="37"/>
  <c r="AE40" i="37"/>
  <c r="AH40" i="37"/>
  <c r="AG96" i="35"/>
  <c r="AF55" i="34"/>
  <c r="AH40" i="33"/>
  <c r="AF40" i="33"/>
  <c r="AG40" i="33"/>
  <c r="AE40" i="33"/>
  <c r="AH54" i="34"/>
  <c r="AG54" i="34"/>
  <c r="AE54" i="34"/>
  <c r="AF54" i="34"/>
  <c r="AE42" i="35"/>
  <c r="AG42" i="35"/>
  <c r="AH42" i="35"/>
  <c r="AF42" i="35"/>
  <c r="AE39" i="37"/>
  <c r="AH39" i="37"/>
  <c r="AF39" i="37"/>
  <c r="AG39" i="37"/>
  <c r="AF52" i="33"/>
  <c r="AH52" i="33"/>
  <c r="AE52" i="33"/>
  <c r="AH87" i="35"/>
  <c r="AG87" i="35"/>
  <c r="AE87" i="35"/>
  <c r="AF87" i="35"/>
  <c r="AF60" i="35"/>
  <c r="AE60" i="35"/>
  <c r="AG41" i="33"/>
  <c r="AH41" i="33"/>
  <c r="AE41" i="33"/>
  <c r="AF41" i="33"/>
  <c r="AF72" i="35"/>
  <c r="AG72" i="35"/>
  <c r="AE72" i="35"/>
  <c r="AF100" i="37"/>
  <c r="AG100" i="37"/>
  <c r="AH100" i="37"/>
  <c r="AE100" i="37"/>
  <c r="AF37" i="34"/>
  <c r="AE37" i="34"/>
  <c r="AG37" i="34"/>
  <c r="AH81" i="37"/>
  <c r="AG81" i="37"/>
  <c r="AF81" i="37"/>
  <c r="AE81" i="37"/>
  <c r="AG31" i="33"/>
  <c r="AH31" i="33"/>
  <c r="AF118" i="35"/>
  <c r="AE118" i="35"/>
  <c r="AG118" i="35"/>
  <c r="AH118" i="35"/>
  <c r="AF47" i="32"/>
  <c r="AE47" i="32"/>
  <c r="AG47" i="32"/>
  <c r="AJ47" i="32" s="1"/>
  <c r="AG34" i="10"/>
  <c r="AH34" i="10"/>
  <c r="AF94" i="35"/>
  <c r="AH94" i="35"/>
  <c r="AG94" i="35"/>
  <c r="AE94" i="35"/>
  <c r="AF58" i="32"/>
  <c r="AG58" i="32"/>
  <c r="AH58" i="32"/>
  <c r="AE58" i="32"/>
  <c r="AG119" i="35"/>
  <c r="AF119" i="35"/>
  <c r="AH119" i="35"/>
  <c r="AF95" i="35"/>
  <c r="AG95" i="35"/>
  <c r="AH95" i="35"/>
  <c r="AE95" i="35"/>
  <c r="AF70" i="37"/>
  <c r="AH70" i="37"/>
  <c r="AH74" i="35"/>
  <c r="AE74" i="35"/>
  <c r="AG74" i="35"/>
  <c r="AF74" i="35"/>
  <c r="AE90" i="35"/>
  <c r="AH90" i="35"/>
  <c r="AE59" i="32"/>
  <c r="AF59" i="32"/>
  <c r="AG59" i="32"/>
  <c r="AH59" i="32"/>
  <c r="AF51" i="33"/>
  <c r="AH51" i="33"/>
  <c r="AG51" i="33"/>
  <c r="AE51" i="33"/>
  <c r="AF31" i="32"/>
  <c r="AE31" i="32"/>
  <c r="AH31" i="32"/>
  <c r="AG31" i="32"/>
  <c r="AE66" i="35"/>
  <c r="AG66" i="35"/>
  <c r="AH66" i="35"/>
  <c r="AF66" i="35"/>
  <c r="AH50" i="35"/>
  <c r="AF50" i="35"/>
  <c r="AE50" i="35"/>
  <c r="AG50" i="35"/>
  <c r="AG32" i="35"/>
  <c r="AE32" i="35"/>
  <c r="AH32" i="35"/>
  <c r="AF32" i="35"/>
  <c r="AF52" i="32"/>
  <c r="AE52" i="32"/>
  <c r="AG52" i="32"/>
  <c r="AH52" i="32"/>
  <c r="AG31" i="10"/>
  <c r="AF31" i="10"/>
  <c r="AH31" i="10"/>
  <c r="AE31" i="10"/>
  <c r="F186" i="4"/>
  <c r="AG77" i="37"/>
  <c r="AH77" i="37"/>
  <c r="AF77" i="37"/>
  <c r="AE77" i="37"/>
  <c r="AE36" i="35"/>
  <c r="AG36" i="35"/>
  <c r="AF36" i="35"/>
  <c r="AH36" i="35"/>
  <c r="AF116" i="35"/>
  <c r="AG116" i="35"/>
  <c r="AH116" i="35"/>
  <c r="AE116" i="35"/>
  <c r="AH120" i="35"/>
  <c r="AE120" i="35"/>
  <c r="AG120" i="35"/>
  <c r="AF120" i="35"/>
  <c r="AH69" i="35"/>
  <c r="AE69" i="35"/>
  <c r="AF69" i="35"/>
  <c r="AG69" i="35"/>
  <c r="AH56" i="33"/>
  <c r="AE56" i="33"/>
  <c r="AF56" i="33"/>
  <c r="AG56" i="33"/>
  <c r="AF114" i="35"/>
  <c r="AG114" i="35"/>
  <c r="AH114" i="35"/>
  <c r="AE114" i="35"/>
  <c r="AF39" i="35"/>
  <c r="AE39" i="35"/>
  <c r="AG39" i="35"/>
  <c r="AH39" i="35"/>
  <c r="AE55" i="33"/>
  <c r="AG55" i="33"/>
  <c r="AH55" i="33"/>
  <c r="AF55" i="33"/>
  <c r="AE78" i="35"/>
  <c r="AG78" i="35"/>
  <c r="AF78" i="35"/>
  <c r="AH78" i="35"/>
  <c r="AH74" i="37"/>
  <c r="AG74" i="37"/>
  <c r="AE74" i="37"/>
  <c r="AF74" i="37"/>
  <c r="AH93" i="35"/>
  <c r="AG93" i="35"/>
  <c r="AF93" i="35"/>
  <c r="AE93" i="35"/>
  <c r="AE63" i="35"/>
  <c r="AG63" i="35"/>
  <c r="AF63" i="35"/>
  <c r="AH63" i="35"/>
  <c r="AG69" i="33"/>
  <c r="AF69" i="33"/>
  <c r="AH69" i="33"/>
  <c r="AE69" i="33"/>
  <c r="AG84" i="35"/>
  <c r="AH84" i="35"/>
  <c r="AF84" i="35"/>
  <c r="AE84" i="35"/>
  <c r="AE62" i="33"/>
  <c r="AF62" i="33"/>
  <c r="AG62" i="33"/>
  <c r="AH62" i="33"/>
  <c r="AF46" i="32"/>
  <c r="AG46" i="32"/>
  <c r="AH46" i="32"/>
  <c r="AE46" i="32"/>
  <c r="AH122" i="35"/>
  <c r="AE122" i="35"/>
  <c r="AG122" i="35"/>
  <c r="AF122" i="35"/>
  <c r="AG108" i="35"/>
  <c r="AE108" i="35"/>
  <c r="AH108" i="35"/>
  <c r="AF108" i="35"/>
  <c r="AG70" i="35"/>
  <c r="AF70" i="35"/>
  <c r="AH70" i="35"/>
  <c r="AE70" i="35"/>
  <c r="AE58" i="34"/>
  <c r="AH58" i="34"/>
  <c r="AF58" i="34"/>
  <c r="AG58" i="34"/>
  <c r="AE113" i="35"/>
  <c r="AF113" i="35"/>
  <c r="AG113" i="35"/>
  <c r="AH113" i="35"/>
  <c r="AH40" i="34"/>
  <c r="AF40" i="34"/>
  <c r="AE40" i="34"/>
  <c r="AG40" i="34"/>
  <c r="AH82" i="35"/>
  <c r="AE82" i="35"/>
  <c r="AG82" i="35"/>
  <c r="AF82" i="35"/>
  <c r="AE35" i="32"/>
  <c r="AH35" i="32"/>
  <c r="AG35" i="32"/>
  <c r="AF35" i="32"/>
  <c r="AH37" i="32"/>
  <c r="AF37" i="32"/>
  <c r="AG37" i="32"/>
  <c r="AE37" i="32"/>
  <c r="AE51" i="32"/>
  <c r="AF51" i="32"/>
  <c r="AG51" i="32"/>
  <c r="AH51" i="32"/>
  <c r="AH32" i="32"/>
  <c r="AG32" i="32"/>
  <c r="AF32" i="32"/>
  <c r="AE32" i="32"/>
  <c r="AG34" i="35"/>
  <c r="AH34" i="35"/>
  <c r="AF34" i="35"/>
  <c r="AE34" i="35"/>
  <c r="AE33" i="35"/>
  <c r="AH33" i="35"/>
  <c r="AG33" i="35"/>
  <c r="AF33" i="35"/>
  <c r="AG56" i="32"/>
  <c r="AH56" i="32"/>
  <c r="AE56" i="32"/>
  <c r="AF56" i="32"/>
  <c r="AG32" i="10"/>
  <c r="AE32" i="10"/>
  <c r="AF32" i="10"/>
  <c r="AH32" i="10"/>
  <c r="AF62" i="32"/>
  <c r="AE62" i="32"/>
  <c r="AH62" i="32"/>
  <c r="AG62" i="32"/>
  <c r="AH36" i="34"/>
  <c r="AF36" i="34"/>
  <c r="AE36" i="34"/>
  <c r="AG36" i="34"/>
  <c r="AF79" i="35"/>
  <c r="AH79" i="35"/>
  <c r="AE79" i="35"/>
  <c r="AG79" i="35"/>
  <c r="AH57" i="32"/>
  <c r="AE57" i="32"/>
  <c r="AG57" i="32"/>
  <c r="AF57" i="32"/>
  <c r="AG59" i="33"/>
  <c r="AF59" i="33"/>
  <c r="AE59" i="33"/>
  <c r="AH59" i="33"/>
  <c r="AF65" i="37"/>
  <c r="AG65" i="37"/>
  <c r="AH65" i="37"/>
  <c r="AE65" i="37"/>
  <c r="AE44" i="35"/>
  <c r="AH44" i="35"/>
  <c r="AG44" i="35"/>
  <c r="AF44" i="35"/>
  <c r="AG41" i="32"/>
  <c r="AH41" i="32"/>
  <c r="AF41" i="32"/>
  <c r="AE41" i="32"/>
  <c r="AH60" i="32"/>
  <c r="AF60" i="32"/>
  <c r="AE60" i="32"/>
  <c r="AG60" i="32"/>
  <c r="AE53" i="34"/>
  <c r="AH53" i="34"/>
  <c r="AG53" i="34"/>
  <c r="AF53" i="34"/>
  <c r="AH38" i="33"/>
  <c r="AG38" i="33"/>
  <c r="AF38" i="33"/>
  <c r="AE38" i="33"/>
  <c r="AH40" i="35"/>
  <c r="AG40" i="35"/>
  <c r="AE40" i="35"/>
  <c r="AF40" i="35"/>
  <c r="G67" i="2"/>
  <c r="AH40" i="32"/>
  <c r="AG40" i="32"/>
  <c r="AE40" i="32"/>
  <c r="AF40" i="32"/>
  <c r="AG45" i="32"/>
  <c r="AE45" i="32"/>
  <c r="AH45" i="32"/>
  <c r="AF45" i="32"/>
  <c r="AF60" i="37"/>
  <c r="AE60" i="37"/>
  <c r="AG60" i="37"/>
  <c r="AH60" i="37"/>
  <c r="AG31" i="34"/>
  <c r="AH31" i="34"/>
  <c r="AF31" i="34"/>
  <c r="AE31" i="34"/>
  <c r="AH73" i="35"/>
  <c r="AF73" i="35"/>
  <c r="AE73" i="35"/>
  <c r="AG73" i="35"/>
  <c r="AE59" i="37"/>
  <c r="AH59" i="37"/>
  <c r="AF59" i="37"/>
  <c r="AG59" i="37"/>
  <c r="AH71" i="35"/>
  <c r="AE71" i="35"/>
  <c r="AG71" i="35"/>
  <c r="AF71" i="35"/>
  <c r="AE37" i="33"/>
  <c r="AG37" i="33"/>
  <c r="AF37" i="33"/>
  <c r="AH37" i="33"/>
  <c r="AH48" i="32"/>
  <c r="AG48" i="32"/>
  <c r="AF48" i="32"/>
  <c r="AE48" i="32"/>
  <c r="AG83" i="35"/>
  <c r="AE83" i="35"/>
  <c r="AF83" i="35"/>
  <c r="AH83" i="35"/>
  <c r="AF72" i="37"/>
  <c r="AG72" i="37"/>
  <c r="AH72" i="37"/>
  <c r="AE72" i="37"/>
  <c r="AE60" i="33"/>
  <c r="AF60" i="33"/>
  <c r="AH60" i="33"/>
  <c r="AG60" i="33"/>
  <c r="AE97" i="35"/>
  <c r="AG97" i="35"/>
  <c r="AH97" i="35"/>
  <c r="AF97" i="35"/>
  <c r="AH39" i="33"/>
  <c r="AE39" i="33"/>
  <c r="AF39" i="33"/>
  <c r="AG39" i="33"/>
  <c r="AF53" i="33"/>
  <c r="AG53" i="33"/>
  <c r="AE53" i="33"/>
  <c r="AH53" i="33"/>
  <c r="AE32" i="33"/>
  <c r="AH32" i="33"/>
  <c r="AG32" i="33"/>
  <c r="AF32" i="33"/>
  <c r="AG35" i="35"/>
  <c r="AH35" i="35"/>
  <c r="AE35" i="35"/>
  <c r="AF35" i="35"/>
  <c r="AE52" i="34"/>
  <c r="AH52" i="34"/>
  <c r="AG52" i="34"/>
  <c r="AF52" i="34"/>
  <c r="AH41" i="37"/>
  <c r="AG41" i="37"/>
  <c r="AF41" i="37"/>
  <c r="AE41" i="37"/>
  <c r="AH62" i="37"/>
  <c r="AG62" i="37"/>
  <c r="AE62" i="37"/>
  <c r="AF62" i="37"/>
  <c r="AG65" i="35"/>
  <c r="AF65" i="35"/>
  <c r="AH65" i="35"/>
  <c r="AE65" i="35"/>
  <c r="AF36" i="32"/>
  <c r="AH36" i="32"/>
  <c r="AE36" i="32"/>
  <c r="AG36" i="32"/>
  <c r="AG84" i="37"/>
  <c r="AH84" i="37"/>
  <c r="AF84" i="37"/>
  <c r="AE84" i="37"/>
  <c r="AG33" i="10"/>
  <c r="AE33" i="10"/>
  <c r="AH33" i="10"/>
  <c r="AF33" i="10"/>
  <c r="AH82" i="37"/>
  <c r="AE82" i="37"/>
  <c r="AF82" i="37"/>
  <c r="AG82" i="37"/>
  <c r="AG77" i="35"/>
  <c r="AF77" i="35"/>
  <c r="AH77" i="35"/>
  <c r="AE77" i="35"/>
  <c r="AF48" i="35"/>
  <c r="AG48" i="35"/>
  <c r="AE48" i="35"/>
  <c r="AH48" i="35"/>
  <c r="AE55" i="37"/>
  <c r="AH55" i="37"/>
  <c r="AG55" i="37"/>
  <c r="AF55" i="37"/>
  <c r="AG64" i="35"/>
  <c r="AH64" i="35"/>
  <c r="AE64" i="35"/>
  <c r="AF64" i="35"/>
  <c r="AE85" i="35"/>
  <c r="AH85" i="35"/>
  <c r="AG85" i="35"/>
  <c r="AF85" i="35"/>
  <c r="AE64" i="33"/>
  <c r="AF64" i="33"/>
  <c r="AG64" i="33"/>
  <c r="AH64" i="33"/>
  <c r="AG56" i="37"/>
  <c r="AF56" i="37"/>
  <c r="AE56" i="37"/>
  <c r="AH56" i="37"/>
  <c r="AG58" i="33"/>
  <c r="AF58" i="33"/>
  <c r="AH58" i="33"/>
  <c r="AE58" i="33"/>
  <c r="AE57" i="37"/>
  <c r="AH57" i="37"/>
  <c r="AF57" i="37"/>
  <c r="AG57" i="37"/>
  <c r="F67" i="4"/>
  <c r="G66" i="4"/>
  <c r="G103" i="4"/>
  <c r="E91" i="48" s="1"/>
  <c r="H103" i="4"/>
  <c r="F91" i="48" s="1"/>
  <c r="E133" i="4" l="1"/>
  <c r="D66" i="33"/>
  <c r="E66" i="33"/>
  <c r="B756" i="48" s="1"/>
  <c r="G66" i="33"/>
  <c r="H66" i="33"/>
  <c r="G65" i="33"/>
  <c r="H65" i="33"/>
  <c r="E65" i="33"/>
  <c r="D65" i="33"/>
  <c r="AI54" i="33"/>
  <c r="E127" i="4"/>
  <c r="D106" i="4"/>
  <c r="E122" i="48"/>
  <c r="E107" i="48"/>
  <c r="AJ41" i="33"/>
  <c r="D122" i="48"/>
  <c r="D107" i="48"/>
  <c r="D124" i="48"/>
  <c r="D109" i="48"/>
  <c r="E124" i="48"/>
  <c r="E109" i="48"/>
  <c r="E114" i="48"/>
  <c r="E129" i="48"/>
  <c r="D114" i="48"/>
  <c r="D129" i="48"/>
  <c r="D123" i="48"/>
  <c r="D108" i="48"/>
  <c r="AI41" i="33"/>
  <c r="E123" i="48"/>
  <c r="E108" i="48"/>
  <c r="E110" i="48"/>
  <c r="E125" i="48"/>
  <c r="D110" i="48"/>
  <c r="D125" i="48"/>
  <c r="B117" i="48"/>
  <c r="G106" i="4"/>
  <c r="H106" i="4"/>
  <c r="F94" i="48" s="1"/>
  <c r="AA124" i="4"/>
  <c r="G124" i="4" s="1"/>
  <c r="D105" i="48" s="1"/>
  <c r="B119" i="48"/>
  <c r="BT390" i="49"/>
  <c r="M124" i="35"/>
  <c r="E1734" i="48" s="1"/>
  <c r="J39" i="30"/>
  <c r="B274" i="48" s="1"/>
  <c r="E37" i="4"/>
  <c r="B30" i="48" s="1"/>
  <c r="L111" i="33"/>
  <c r="D1160" i="48" s="1"/>
  <c r="F1165" i="48"/>
  <c r="M117" i="33"/>
  <c r="E1165" i="48" s="1"/>
  <c r="H132" i="4"/>
  <c r="G132" i="4"/>
  <c r="B111" i="48"/>
  <c r="D127" i="48"/>
  <c r="D112" i="48"/>
  <c r="D113" i="48"/>
  <c r="D128" i="48"/>
  <c r="E128" i="48"/>
  <c r="E113" i="48"/>
  <c r="E112" i="48"/>
  <c r="E127" i="48"/>
  <c r="B94" i="48"/>
  <c r="E1139" i="48"/>
  <c r="AT100" i="38"/>
  <c r="AJ100" i="38"/>
  <c r="AT101" i="38"/>
  <c r="AU104" i="38"/>
  <c r="AI178" i="4"/>
  <c r="AU103" i="38"/>
  <c r="AU101" i="38"/>
  <c r="AJ178" i="4"/>
  <c r="AU102" i="38"/>
  <c r="AT105" i="38"/>
  <c r="AT102" i="38"/>
  <c r="AV102" i="38" s="1"/>
  <c r="M102" i="38" s="1"/>
  <c r="F2251" i="48" s="1"/>
  <c r="AU100" i="38"/>
  <c r="AT104" i="38"/>
  <c r="AV104" i="38" s="1"/>
  <c r="M104" i="38" s="1"/>
  <c r="F2253" i="48" s="1"/>
  <c r="AT103" i="38"/>
  <c r="AV103" i="38" s="1"/>
  <c r="M103" i="38" s="1"/>
  <c r="F2252" i="48" s="1"/>
  <c r="AU105" i="38"/>
  <c r="AK106" i="34"/>
  <c r="M106" i="34" s="1"/>
  <c r="F179" i="4"/>
  <c r="B904" i="48"/>
  <c r="B903" i="48"/>
  <c r="O106" i="34"/>
  <c r="AI44" i="34"/>
  <c r="AI42" i="34"/>
  <c r="AI45" i="34"/>
  <c r="AJ44" i="34"/>
  <c r="AI43" i="34"/>
  <c r="AJ45" i="34"/>
  <c r="AJ42" i="34"/>
  <c r="AJ41" i="34"/>
  <c r="AJ43" i="34"/>
  <c r="AI41" i="34"/>
  <c r="AI72" i="4"/>
  <c r="L77" i="33"/>
  <c r="L71" i="33"/>
  <c r="L68" i="33"/>
  <c r="L74" i="33"/>
  <c r="L78" i="33"/>
  <c r="L72" i="33"/>
  <c r="L75" i="33"/>
  <c r="L69" i="33"/>
  <c r="M100" i="35"/>
  <c r="E1724" i="48" s="1"/>
  <c r="AJ33" i="34"/>
  <c r="J38" i="30"/>
  <c r="B273" i="48" s="1"/>
  <c r="E36" i="4"/>
  <c r="B29" i="48" s="1"/>
  <c r="BW542" i="4"/>
  <c r="BY542" i="4"/>
  <c r="AK35" i="38"/>
  <c r="AJ108" i="4"/>
  <c r="AJ61" i="38"/>
  <c r="AI148" i="4"/>
  <c r="AJ70" i="4"/>
  <c r="AJ102" i="38"/>
  <c r="AI153" i="4"/>
  <c r="AJ73" i="38"/>
  <c r="AJ65" i="38"/>
  <c r="AJ139" i="4"/>
  <c r="AJ123" i="4"/>
  <c r="AJ55" i="4"/>
  <c r="AJ103" i="4"/>
  <c r="AI121" i="4"/>
  <c r="AJ113" i="4"/>
  <c r="AK36" i="38"/>
  <c r="AJ67" i="38"/>
  <c r="AJ47" i="4"/>
  <c r="AJ138" i="4"/>
  <c r="AJ72" i="38"/>
  <c r="AT121" i="4"/>
  <c r="AJ110" i="4"/>
  <c r="AK88" i="38"/>
  <c r="AJ44" i="38"/>
  <c r="AJ60" i="4"/>
  <c r="AJ172" i="4"/>
  <c r="AK79" i="38"/>
  <c r="AJ46" i="38"/>
  <c r="I124" i="4"/>
  <c r="F120" i="48" s="1"/>
  <c r="AJ105" i="38"/>
  <c r="AJ124" i="4"/>
  <c r="AK41" i="38"/>
  <c r="AJ79" i="38"/>
  <c r="AK46" i="38"/>
  <c r="I121" i="4"/>
  <c r="F117" i="48" s="1"/>
  <c r="AI124" i="4"/>
  <c r="AJ121" i="4"/>
  <c r="AK33" i="38"/>
  <c r="AK42" i="38"/>
  <c r="AJ76" i="38"/>
  <c r="AI189" i="4"/>
  <c r="AJ81" i="38"/>
  <c r="AJ34" i="38"/>
  <c r="AJ161" i="4"/>
  <c r="AK69" i="38"/>
  <c r="AI60" i="4"/>
  <c r="AI138" i="4"/>
  <c r="AK40" i="38"/>
  <c r="AJ51" i="4"/>
  <c r="AJ87" i="4"/>
  <c r="AK34" i="38"/>
  <c r="AJ70" i="38"/>
  <c r="AJ49" i="38"/>
  <c r="AJ104" i="38"/>
  <c r="AJ69" i="38"/>
  <c r="AI172" i="4"/>
  <c r="AK44" i="38"/>
  <c r="AJ44" i="4"/>
  <c r="AI123" i="4"/>
  <c r="AA123" i="4"/>
  <c r="G123" i="4" s="1"/>
  <c r="AJ35" i="38"/>
  <c r="AJ76" i="37"/>
  <c r="AK82" i="38"/>
  <c r="AJ65" i="4"/>
  <c r="AJ107" i="4"/>
  <c r="AJ74" i="38"/>
  <c r="AJ64" i="4"/>
  <c r="AJ90" i="4"/>
  <c r="AK81" i="38"/>
  <c r="AK100" i="38"/>
  <c r="AJ109" i="4"/>
  <c r="AI154" i="4"/>
  <c r="AK102" i="38"/>
  <c r="AL102" i="38" s="1"/>
  <c r="AK48" i="38"/>
  <c r="AJ101" i="4"/>
  <c r="AA121" i="4"/>
  <c r="G121" i="4" s="1"/>
  <c r="D102" i="48" s="1"/>
  <c r="AJ91" i="4"/>
  <c r="AJ93" i="4"/>
  <c r="AK32" i="38"/>
  <c r="AJ37" i="38"/>
  <c r="AJ56" i="38"/>
  <c r="AK64" i="38"/>
  <c r="AI173" i="4"/>
  <c r="AJ71" i="4"/>
  <c r="AJ38" i="38"/>
  <c r="AK68" i="38"/>
  <c r="AK103" i="38"/>
  <c r="AK104" i="38"/>
  <c r="AJ63" i="38"/>
  <c r="AJ53" i="4"/>
  <c r="AJ145" i="4"/>
  <c r="AK49" i="38"/>
  <c r="AT125" i="4"/>
  <c r="AJ173" i="4"/>
  <c r="AJ100" i="4"/>
  <c r="AK66" i="38"/>
  <c r="AK71" i="38"/>
  <c r="AJ33" i="38"/>
  <c r="AJ68" i="38"/>
  <c r="AJ77" i="38"/>
  <c r="AJ103" i="38"/>
  <c r="AK45" i="38"/>
  <c r="AS124" i="4"/>
  <c r="AJ66" i="38"/>
  <c r="AJ153" i="4"/>
  <c r="AJ90" i="38"/>
  <c r="C117" i="36"/>
  <c r="C116" i="36"/>
  <c r="E2038" i="48"/>
  <c r="O42" i="37"/>
  <c r="F2038" i="48" s="1"/>
  <c r="L42" i="37"/>
  <c r="D2038" i="48" s="1"/>
  <c r="B2212" i="48"/>
  <c r="AJ82" i="38"/>
  <c r="AJ52" i="4"/>
  <c r="AJ72" i="4"/>
  <c r="J41" i="30"/>
  <c r="B276" i="48" s="1"/>
  <c r="L110" i="33"/>
  <c r="D1159" i="48" s="1"/>
  <c r="AS123" i="4"/>
  <c r="AK63" i="38"/>
  <c r="AI139" i="4"/>
  <c r="AK139" i="4" s="1"/>
  <c r="J139" i="4" s="1"/>
  <c r="F116" i="48" s="1"/>
  <c r="AJ78" i="38"/>
  <c r="AJ69" i="4"/>
  <c r="AJ39" i="38"/>
  <c r="AI145" i="4"/>
  <c r="AK145" i="4" s="1"/>
  <c r="G145" i="4" s="1"/>
  <c r="AK43" i="38"/>
  <c r="AK74" i="38"/>
  <c r="AK80" i="38"/>
  <c r="AT138" i="4"/>
  <c r="AJ148" i="4"/>
  <c r="AK90" i="38"/>
  <c r="AJ160" i="4"/>
  <c r="AA138" i="4"/>
  <c r="G138" i="4" s="1"/>
  <c r="B130" i="48"/>
  <c r="AS125" i="4"/>
  <c r="E39" i="4"/>
  <c r="B32" i="48" s="1"/>
  <c r="AT123" i="4"/>
  <c r="AK77" i="38"/>
  <c r="AI161" i="4"/>
  <c r="E1155" i="48"/>
  <c r="AJ55" i="38"/>
  <c r="AK105" i="38"/>
  <c r="AJ75" i="38"/>
  <c r="AS121" i="4"/>
  <c r="AJ86" i="4"/>
  <c r="AJ36" i="38"/>
  <c r="AJ45" i="4"/>
  <c r="AJ41" i="38"/>
  <c r="AJ144" i="4"/>
  <c r="AJ32" i="38"/>
  <c r="AJ66" i="4"/>
  <c r="AJ46" i="4"/>
  <c r="AK78" i="38"/>
  <c r="AJ45" i="38"/>
  <c r="AJ61" i="4"/>
  <c r="I123" i="4"/>
  <c r="F119" i="48" s="1"/>
  <c r="AK70" i="38"/>
  <c r="AK61" i="38"/>
  <c r="AJ43" i="38"/>
  <c r="AJ73" i="4"/>
  <c r="AT124" i="4"/>
  <c r="AJ97" i="4"/>
  <c r="AJ80" i="38"/>
  <c r="AL80" i="38" s="1"/>
  <c r="K80" i="38" s="1"/>
  <c r="AS138" i="4"/>
  <c r="B120" i="48"/>
  <c r="AK57" i="38"/>
  <c r="AJ189" i="4"/>
  <c r="AJ101" i="38"/>
  <c r="B2038" i="48"/>
  <c r="AJ92" i="4"/>
  <c r="AK39" i="38"/>
  <c r="AK56" i="38"/>
  <c r="E1154" i="48"/>
  <c r="E56" i="4"/>
  <c r="B46" i="48" s="1"/>
  <c r="E1141" i="48"/>
  <c r="AJ71" i="38"/>
  <c r="AI144" i="4"/>
  <c r="AK144" i="4" s="1"/>
  <c r="G144" i="4" s="1"/>
  <c r="AK38" i="38"/>
  <c r="AK89" i="38"/>
  <c r="B2242" i="48"/>
  <c r="AJ64" i="38"/>
  <c r="AK62" i="38"/>
  <c r="AJ47" i="38"/>
  <c r="AK73" i="38"/>
  <c r="AK67" i="38"/>
  <c r="AJ88" i="38"/>
  <c r="E1147" i="48"/>
  <c r="AK72" i="38"/>
  <c r="AK76" i="38"/>
  <c r="AK37" i="38"/>
  <c r="AJ48" i="4"/>
  <c r="AK55" i="38"/>
  <c r="AJ57" i="38"/>
  <c r="AK75" i="38"/>
  <c r="AJ42" i="38"/>
  <c r="AJ88" i="4"/>
  <c r="AJ54" i="4"/>
  <c r="AJ112" i="4"/>
  <c r="AJ40" i="38"/>
  <c r="AK65" i="38"/>
  <c r="AL65" i="38" s="1"/>
  <c r="K65" i="38" s="1"/>
  <c r="AJ89" i="38"/>
  <c r="AI160" i="4"/>
  <c r="AK47" i="38"/>
  <c r="AJ154" i="4"/>
  <c r="AJ48" i="38"/>
  <c r="AK101" i="38"/>
  <c r="AJ62" i="38"/>
  <c r="E1144" i="48"/>
  <c r="AI48" i="4"/>
  <c r="AK48" i="4" s="1"/>
  <c r="G48" i="4" s="1"/>
  <c r="AI132" i="33"/>
  <c r="AJ90" i="33"/>
  <c r="AI100" i="4"/>
  <c r="AI52" i="4"/>
  <c r="AJ95" i="33"/>
  <c r="AI94" i="33"/>
  <c r="AJ76" i="34"/>
  <c r="AJ96" i="32"/>
  <c r="AI93" i="33"/>
  <c r="AI51" i="4"/>
  <c r="AI90" i="4"/>
  <c r="AI93" i="4"/>
  <c r="AJ91" i="34"/>
  <c r="AI96" i="33"/>
  <c r="AI92" i="33"/>
  <c r="AI134" i="33"/>
  <c r="AK134" i="33" s="1"/>
  <c r="M134" i="33" s="1"/>
  <c r="O134" i="33" s="1"/>
  <c r="AI88" i="4"/>
  <c r="AI112" i="4"/>
  <c r="AK112" i="4" s="1"/>
  <c r="G112" i="4" s="1"/>
  <c r="AI71" i="4"/>
  <c r="AK71" i="4" s="1"/>
  <c r="G71" i="4" s="1"/>
  <c r="AJ113" i="33"/>
  <c r="AJ132" i="33"/>
  <c r="AJ105" i="33"/>
  <c r="AJ90" i="32"/>
  <c r="AI65" i="4"/>
  <c r="AI54" i="4"/>
  <c r="AK54" i="4" s="1"/>
  <c r="AI53" i="4"/>
  <c r="AI86" i="4"/>
  <c r="AI92" i="4"/>
  <c r="AI107" i="4"/>
  <c r="AI103" i="4"/>
  <c r="AJ92" i="34"/>
  <c r="AI61" i="4"/>
  <c r="AI70" i="4"/>
  <c r="AK70" i="4" s="1"/>
  <c r="G70" i="4" s="1"/>
  <c r="AI66" i="4"/>
  <c r="AI69" i="4"/>
  <c r="AK69" i="4" s="1"/>
  <c r="G69" i="4" s="1"/>
  <c r="AI87" i="4"/>
  <c r="AK87" i="4" s="1"/>
  <c r="G87" i="4" s="1"/>
  <c r="AI55" i="4"/>
  <c r="AK55" i="4" s="1"/>
  <c r="G55" i="4" s="1"/>
  <c r="AI91" i="4"/>
  <c r="AI73" i="4"/>
  <c r="AK73" i="4" s="1"/>
  <c r="G73" i="4" s="1"/>
  <c r="AI97" i="4"/>
  <c r="AI64" i="4"/>
  <c r="AI101" i="4"/>
  <c r="AI108" i="4"/>
  <c r="AI44" i="4"/>
  <c r="AI47" i="4"/>
  <c r="AJ185" i="4"/>
  <c r="AK185" i="4"/>
  <c r="AK186" i="4"/>
  <c r="AJ186" i="4"/>
  <c r="AI109" i="4"/>
  <c r="AI57" i="4"/>
  <c r="AJ57" i="4"/>
  <c r="AJ174" i="4"/>
  <c r="AI174" i="4"/>
  <c r="AI46" i="4"/>
  <c r="AI110" i="4"/>
  <c r="B78" i="48"/>
  <c r="AI89" i="4"/>
  <c r="AJ89" i="4"/>
  <c r="AI45" i="4"/>
  <c r="AJ59" i="4"/>
  <c r="AI59" i="4"/>
  <c r="AI113" i="4"/>
  <c r="F44" i="4"/>
  <c r="D36" i="48" s="1"/>
  <c r="E36" i="48"/>
  <c r="AJ99" i="33"/>
  <c r="AI96" i="34"/>
  <c r="AI90" i="33"/>
  <c r="AJ94" i="34"/>
  <c r="AJ107" i="33"/>
  <c r="AJ93" i="33"/>
  <c r="AI46" i="35"/>
  <c r="AJ83" i="34"/>
  <c r="AJ94" i="33"/>
  <c r="AJ127" i="33"/>
  <c r="AJ94" i="32"/>
  <c r="AJ79" i="34"/>
  <c r="AJ100" i="33"/>
  <c r="AJ76" i="32"/>
  <c r="AI75" i="32"/>
  <c r="AJ98" i="33"/>
  <c r="AI100" i="33"/>
  <c r="AI95" i="37"/>
  <c r="AI94" i="34"/>
  <c r="AJ134" i="33"/>
  <c r="AJ85" i="32"/>
  <c r="AI113" i="33"/>
  <c r="AI104" i="34"/>
  <c r="AI108" i="33"/>
  <c r="AJ92" i="33"/>
  <c r="AJ77" i="34"/>
  <c r="AI98" i="33"/>
  <c r="AI82" i="34"/>
  <c r="AK82" i="34" s="1"/>
  <c r="M82" i="34" s="1"/>
  <c r="AI129" i="33"/>
  <c r="AI94" i="37"/>
  <c r="AJ97" i="33"/>
  <c r="AI78" i="32"/>
  <c r="AI91" i="34"/>
  <c r="AK91" i="34" s="1"/>
  <c r="M91" i="34" s="1"/>
  <c r="AJ96" i="37"/>
  <c r="AI106" i="33"/>
  <c r="AJ95" i="32"/>
  <c r="AJ95" i="37"/>
  <c r="AJ82" i="32"/>
  <c r="AI94" i="32"/>
  <c r="AI89" i="32"/>
  <c r="AI105" i="33"/>
  <c r="AJ97" i="37"/>
  <c r="AI107" i="33"/>
  <c r="AI82" i="32"/>
  <c r="AI76" i="34"/>
  <c r="AK76" i="34" s="1"/>
  <c r="M76" i="34" s="1"/>
  <c r="AI96" i="32"/>
  <c r="AI127" i="33"/>
  <c r="AJ89" i="32"/>
  <c r="AJ93" i="34"/>
  <c r="AI90" i="34"/>
  <c r="AK90" i="34" s="1"/>
  <c r="M90" i="34" s="1"/>
  <c r="AJ91" i="33"/>
  <c r="AI99" i="33"/>
  <c r="AJ104" i="34"/>
  <c r="AJ108" i="33"/>
  <c r="AI88" i="34"/>
  <c r="AK88" i="34" s="1"/>
  <c r="M88" i="34" s="1"/>
  <c r="AI97" i="33"/>
  <c r="AI97" i="34"/>
  <c r="AJ106" i="33"/>
  <c r="AI95" i="32"/>
  <c r="AI93" i="34"/>
  <c r="AK93" i="34" s="1"/>
  <c r="M93" i="34" s="1"/>
  <c r="AI92" i="34"/>
  <c r="AJ90" i="34"/>
  <c r="AJ96" i="34"/>
  <c r="AI91" i="33"/>
  <c r="AJ129" i="33"/>
  <c r="AI95" i="33"/>
  <c r="AI95" i="34"/>
  <c r="AK95" i="34" s="1"/>
  <c r="M95" i="34" s="1"/>
  <c r="AI96" i="37"/>
  <c r="AK96" i="37" s="1"/>
  <c r="M96" i="37" s="1"/>
  <c r="AI80" i="34"/>
  <c r="AJ96" i="33"/>
  <c r="E1140" i="48"/>
  <c r="E1152" i="48"/>
  <c r="E1160" i="48"/>
  <c r="E1161" i="48"/>
  <c r="E1148" i="48"/>
  <c r="E1149" i="48"/>
  <c r="E1146" i="48"/>
  <c r="E1159" i="48"/>
  <c r="AI81" i="34"/>
  <c r="AK81" i="34" s="1"/>
  <c r="M81" i="34" s="1"/>
  <c r="AJ93" i="37"/>
  <c r="AJ88" i="34"/>
  <c r="AJ82" i="34"/>
  <c r="AJ80" i="34"/>
  <c r="E1150" i="48"/>
  <c r="AJ81" i="34"/>
  <c r="AJ77" i="32"/>
  <c r="AI75" i="34"/>
  <c r="AI89" i="34"/>
  <c r="AJ86" i="32"/>
  <c r="AJ87" i="34"/>
  <c r="AI90" i="32"/>
  <c r="AK90" i="32" s="1"/>
  <c r="M90" i="32" s="1"/>
  <c r="AI93" i="37"/>
  <c r="E1151" i="48"/>
  <c r="AI76" i="32"/>
  <c r="AI85" i="32"/>
  <c r="AI87" i="34"/>
  <c r="AI77" i="32"/>
  <c r="AJ94" i="37"/>
  <c r="AJ75" i="34"/>
  <c r="AJ89" i="34"/>
  <c r="AJ46" i="35"/>
  <c r="AI83" i="34"/>
  <c r="AK83" i="34" s="1"/>
  <c r="M83" i="34" s="1"/>
  <c r="AJ128" i="33"/>
  <c r="AI86" i="32"/>
  <c r="AK86" i="32" s="1"/>
  <c r="M86" i="32" s="1"/>
  <c r="AJ95" i="34"/>
  <c r="AI79" i="34"/>
  <c r="AJ78" i="32"/>
  <c r="AJ97" i="34"/>
  <c r="AI97" i="37"/>
  <c r="AK97" i="37" s="1"/>
  <c r="M97" i="37" s="1"/>
  <c r="AI78" i="34"/>
  <c r="AK78" i="34" s="1"/>
  <c r="M78" i="34" s="1"/>
  <c r="AJ126" i="33"/>
  <c r="AI128" i="33"/>
  <c r="AI77" i="34"/>
  <c r="AK77" i="34" s="1"/>
  <c r="M77" i="34" s="1"/>
  <c r="E1156" i="48"/>
  <c r="E1157" i="48"/>
  <c r="AJ75" i="32"/>
  <c r="AJ78" i="34"/>
  <c r="AI126" i="33"/>
  <c r="AJ39" i="32"/>
  <c r="AI96" i="35"/>
  <c r="AI80" i="37"/>
  <c r="AJ105" i="34"/>
  <c r="AI105" i="34"/>
  <c r="E1143" i="48"/>
  <c r="E1145" i="48"/>
  <c r="E1142" i="48"/>
  <c r="E1158" i="48"/>
  <c r="D1158" i="48"/>
  <c r="AJ60" i="35"/>
  <c r="AI62" i="34"/>
  <c r="AJ40" i="37"/>
  <c r="AI70" i="37"/>
  <c r="AI31" i="33"/>
  <c r="AI98" i="35"/>
  <c r="AJ67" i="35"/>
  <c r="AJ55" i="32"/>
  <c r="AI119" i="35"/>
  <c r="AI57" i="33"/>
  <c r="AJ37" i="34"/>
  <c r="AI37" i="10"/>
  <c r="AJ42" i="33"/>
  <c r="AJ41" i="35"/>
  <c r="AI58" i="37"/>
  <c r="AJ50" i="37"/>
  <c r="AJ110" i="35"/>
  <c r="AJ68" i="37"/>
  <c r="AJ72" i="35"/>
  <c r="AJ55" i="34"/>
  <c r="AJ90" i="35"/>
  <c r="AI34" i="10"/>
  <c r="AI36" i="10"/>
  <c r="B350" i="48"/>
  <c r="AJ52" i="33"/>
  <c r="AI61" i="33"/>
  <c r="O105" i="33"/>
  <c r="F1154" i="48" s="1"/>
  <c r="O97" i="33"/>
  <c r="F1146" i="48" s="1"/>
  <c r="BT542" i="4"/>
  <c r="D1153" i="48"/>
  <c r="E1153" i="48"/>
  <c r="AT110" i="4"/>
  <c r="AV110" i="4" s="1"/>
  <c r="B148" i="48"/>
  <c r="B650" i="48"/>
  <c r="B224" i="48"/>
  <c r="B1729" i="48"/>
  <c r="B325" i="48"/>
  <c r="B638" i="48"/>
  <c r="B1309" i="48"/>
  <c r="B1698" i="48"/>
  <c r="B1708" i="48"/>
  <c r="B1717" i="48"/>
  <c r="B2050" i="48"/>
  <c r="B2010" i="48"/>
  <c r="J84" i="37"/>
  <c r="AI84" i="37" s="1"/>
  <c r="I86" i="37"/>
  <c r="B2077" i="48"/>
  <c r="B328" i="48"/>
  <c r="B645" i="48"/>
  <c r="B1325" i="48"/>
  <c r="B1701" i="48"/>
  <c r="B1714" i="48"/>
  <c r="B2037" i="48"/>
  <c r="B2069" i="48"/>
  <c r="H107" i="38"/>
  <c r="E58" i="4"/>
  <c r="B250" i="48"/>
  <c r="B257" i="48"/>
  <c r="F184" i="4"/>
  <c r="E151" i="48"/>
  <c r="F151" i="48"/>
  <c r="B216" i="48"/>
  <c r="B195" i="48"/>
  <c r="B1519" i="48"/>
  <c r="B2271" i="48"/>
  <c r="B217" i="48"/>
  <c r="B251" i="48"/>
  <c r="B47" i="48"/>
  <c r="B1165" i="48"/>
  <c r="BH558" i="4"/>
  <c r="B31" i="48"/>
  <c r="B215" i="48"/>
  <c r="B330" i="48"/>
  <c r="E29" i="4"/>
  <c r="B22" i="48" s="1"/>
  <c r="B2678" i="48"/>
  <c r="B255" i="48"/>
  <c r="B1107" i="48"/>
  <c r="B214" i="48"/>
  <c r="B254" i="48"/>
  <c r="B209" i="48"/>
  <c r="D1161" i="48"/>
  <c r="D1151" i="48"/>
  <c r="B237" i="48"/>
  <c r="O92" i="33"/>
  <c r="F1141" i="48" s="1"/>
  <c r="B49" i="48"/>
  <c r="B621" i="48"/>
  <c r="I32" i="30"/>
  <c r="O108" i="33"/>
  <c r="F1157" i="48" s="1"/>
  <c r="O104" i="33"/>
  <c r="F1153" i="48" s="1"/>
  <c r="B212" i="48"/>
  <c r="B213" i="48"/>
  <c r="D153" i="48"/>
  <c r="E55" i="48"/>
  <c r="F56" i="48"/>
  <c r="D56" i="48"/>
  <c r="E41" i="48"/>
  <c r="F152" i="48"/>
  <c r="F96" i="48"/>
  <c r="D152" i="48"/>
  <c r="F55" i="48"/>
  <c r="F97" i="48"/>
  <c r="F153" i="48"/>
  <c r="B149" i="48"/>
  <c r="B1352" i="48"/>
  <c r="AI76" i="33"/>
  <c r="AI67" i="33"/>
  <c r="F108" i="4"/>
  <c r="E96" i="48"/>
  <c r="F109" i="4"/>
  <c r="E97" i="48"/>
  <c r="F103" i="4"/>
  <c r="D91" i="48" s="1"/>
  <c r="F66" i="4"/>
  <c r="AJ76" i="33"/>
  <c r="AJ67" i="33"/>
  <c r="AI70" i="33"/>
  <c r="AJ63" i="33"/>
  <c r="AJ73" i="33"/>
  <c r="AI63" i="33"/>
  <c r="AI39" i="32"/>
  <c r="AI73" i="33"/>
  <c r="AJ70" i="33"/>
  <c r="M52" i="35"/>
  <c r="E1695" i="48" s="1"/>
  <c r="J37" i="30"/>
  <c r="B272" i="48" s="1"/>
  <c r="E35" i="4"/>
  <c r="B28" i="48" s="1"/>
  <c r="J130" i="35"/>
  <c r="B1735" i="48" s="1"/>
  <c r="O112" i="33"/>
  <c r="F1161" i="48" s="1"/>
  <c r="O100" i="33"/>
  <c r="F1149" i="48" s="1"/>
  <c r="O102" i="33"/>
  <c r="F1151" i="48" s="1"/>
  <c r="O107" i="33"/>
  <c r="F1156" i="48" s="1"/>
  <c r="O99" i="33"/>
  <c r="F1148" i="48" s="1"/>
  <c r="D1150" i="48"/>
  <c r="O101" i="33"/>
  <c r="F1150" i="48" s="1"/>
  <c r="O106" i="33"/>
  <c r="F1155" i="48" s="1"/>
  <c r="O98" i="33"/>
  <c r="F1147" i="48" s="1"/>
  <c r="J33" i="30"/>
  <c r="M44" i="33"/>
  <c r="E31" i="4"/>
  <c r="BH549" i="4"/>
  <c r="BH553" i="4"/>
  <c r="BH555" i="4"/>
  <c r="BH551" i="4"/>
  <c r="AI82" i="37"/>
  <c r="F43" i="30"/>
  <c r="F44" i="30" s="1"/>
  <c r="BH545" i="4"/>
  <c r="BH547" i="4"/>
  <c r="BH556" i="4"/>
  <c r="BH546" i="4"/>
  <c r="BH559" i="4"/>
  <c r="BH560" i="4"/>
  <c r="BH557" i="4"/>
  <c r="BH561" i="4"/>
  <c r="O103" i="33"/>
  <c r="F1152" i="48" s="1"/>
  <c r="D1152" i="48"/>
  <c r="O111" i="33"/>
  <c r="F1160" i="48" s="1"/>
  <c r="H89" i="4"/>
  <c r="F78" i="48" s="1"/>
  <c r="G89" i="4"/>
  <c r="E78" i="48" s="1"/>
  <c r="J100" i="37"/>
  <c r="B2060" i="48" s="1"/>
  <c r="E33" i="4"/>
  <c r="AA33" i="4" s="1"/>
  <c r="J35" i="30"/>
  <c r="B270" i="48" s="1"/>
  <c r="M125" i="33"/>
  <c r="O125" i="33" s="1"/>
  <c r="O113" i="33"/>
  <c r="F1162" i="48" s="1"/>
  <c r="M113" i="33"/>
  <c r="E32" i="4"/>
  <c r="B25" i="48" s="1"/>
  <c r="J34" i="30"/>
  <c r="B269" i="48" s="1"/>
  <c r="M83" i="33"/>
  <c r="E1138" i="48" s="1"/>
  <c r="J32" i="30"/>
  <c r="B267" i="48" s="1"/>
  <c r="M64" i="32"/>
  <c r="E30" i="4"/>
  <c r="B23" i="48" s="1"/>
  <c r="I43" i="30"/>
  <c r="B264" i="48" s="1"/>
  <c r="E34" i="4"/>
  <c r="B27" i="48" s="1"/>
  <c r="J36" i="30"/>
  <c r="B271" i="48" s="1"/>
  <c r="M64" i="34"/>
  <c r="E1327" i="48" s="1"/>
  <c r="J31" i="30"/>
  <c r="B266" i="48" s="1"/>
  <c r="M40" i="10"/>
  <c r="AI90" i="35"/>
  <c r="AI42" i="33"/>
  <c r="AK42" i="33" s="1"/>
  <c r="M42" i="33" s="1"/>
  <c r="E1106" i="48" s="1"/>
  <c r="AJ62" i="34"/>
  <c r="AI55" i="32"/>
  <c r="AK55" i="32" s="1"/>
  <c r="M55" i="32" s="1"/>
  <c r="O55" i="32" s="1"/>
  <c r="F641" i="48" s="1"/>
  <c r="AJ58" i="37"/>
  <c r="AK58" i="37" s="1"/>
  <c r="M58" i="37" s="1"/>
  <c r="E2043" i="48" s="1"/>
  <c r="AJ57" i="33"/>
  <c r="AI67" i="35"/>
  <c r="AK67" i="35" s="1"/>
  <c r="M67" i="35" s="1"/>
  <c r="AJ61" i="33"/>
  <c r="AI60" i="33"/>
  <c r="AI32" i="10"/>
  <c r="AJ96" i="35"/>
  <c r="AI50" i="37"/>
  <c r="AI68" i="37"/>
  <c r="AJ61" i="34"/>
  <c r="AK61" i="34" s="1"/>
  <c r="M61" i="34" s="1"/>
  <c r="AJ70" i="37"/>
  <c r="AJ80" i="37"/>
  <c r="AJ60" i="32"/>
  <c r="AI44" i="35"/>
  <c r="AJ54" i="33"/>
  <c r="AK54" i="33" s="1"/>
  <c r="M54" i="33" s="1"/>
  <c r="AI76" i="37"/>
  <c r="AI64" i="35"/>
  <c r="AJ62" i="37"/>
  <c r="AI60" i="32"/>
  <c r="AI59" i="33"/>
  <c r="AJ37" i="10"/>
  <c r="AJ122" i="35"/>
  <c r="AJ40" i="33"/>
  <c r="AI41" i="35"/>
  <c r="AJ74" i="35"/>
  <c r="AI58" i="32"/>
  <c r="AJ52" i="34"/>
  <c r="AJ32" i="33"/>
  <c r="AI39" i="33"/>
  <c r="AK39" i="33" s="1"/>
  <c r="M39" i="33" s="1"/>
  <c r="E1103" i="48" s="1"/>
  <c r="AJ48" i="32"/>
  <c r="AJ40" i="32"/>
  <c r="AI95" i="35"/>
  <c r="AJ32" i="32"/>
  <c r="AI62" i="33"/>
  <c r="AJ93" i="35"/>
  <c r="AI114" i="35"/>
  <c r="AI116" i="35"/>
  <c r="AJ31" i="32"/>
  <c r="AJ94" i="35"/>
  <c r="AJ54" i="34"/>
  <c r="AI55" i="34"/>
  <c r="AI110" i="35"/>
  <c r="AJ119" i="35"/>
  <c r="AI94" i="35"/>
  <c r="AJ38" i="32"/>
  <c r="AJ98" i="35"/>
  <c r="AI74" i="35"/>
  <c r="AI56" i="37"/>
  <c r="AJ64" i="35"/>
  <c r="AI41" i="37"/>
  <c r="AJ97" i="35"/>
  <c r="AJ72" i="37"/>
  <c r="AI73" i="35"/>
  <c r="AI52" i="33"/>
  <c r="AI66" i="37"/>
  <c r="AJ39" i="37"/>
  <c r="AI40" i="33"/>
  <c r="AI56" i="33"/>
  <c r="AI59" i="32"/>
  <c r="AK59" i="32" s="1"/>
  <c r="M59" i="32" s="1"/>
  <c r="AJ36" i="10"/>
  <c r="AI97" i="35"/>
  <c r="AJ73" i="35"/>
  <c r="AJ77" i="37"/>
  <c r="AI31" i="10"/>
  <c r="AJ66" i="35"/>
  <c r="AJ81" i="37"/>
  <c r="AJ38" i="33"/>
  <c r="AJ51" i="33"/>
  <c r="AI57" i="32"/>
  <c r="AJ56" i="32"/>
  <c r="AJ34" i="35"/>
  <c r="AJ62" i="33"/>
  <c r="AI93" i="35"/>
  <c r="AJ114" i="35"/>
  <c r="AJ116" i="35"/>
  <c r="AJ52" i="32"/>
  <c r="AJ95" i="35"/>
  <c r="AJ118" i="35"/>
  <c r="AI72" i="35"/>
  <c r="AK72" i="35" s="1"/>
  <c r="M72" i="35" s="1"/>
  <c r="AI38" i="32"/>
  <c r="AJ32" i="37"/>
  <c r="AJ58" i="32"/>
  <c r="AI81" i="37"/>
  <c r="AJ87" i="35"/>
  <c r="AI42" i="35"/>
  <c r="AJ68" i="35"/>
  <c r="AI32" i="37"/>
  <c r="AJ42" i="35"/>
  <c r="AI55" i="37"/>
  <c r="AJ41" i="32"/>
  <c r="AI40" i="34"/>
  <c r="AJ58" i="34"/>
  <c r="AI108" i="35"/>
  <c r="AJ34" i="10"/>
  <c r="AI60" i="35"/>
  <c r="AJ55" i="37"/>
  <c r="AI40" i="32"/>
  <c r="AJ62" i="32"/>
  <c r="L47" i="34"/>
  <c r="D1317" i="48" s="1"/>
  <c r="AI39" i="37"/>
  <c r="AI54" i="34"/>
  <c r="AI40" i="37"/>
  <c r="AK40" i="37" s="1"/>
  <c r="M40" i="37" s="1"/>
  <c r="L40" i="37" s="1"/>
  <c r="D2036" i="48" s="1"/>
  <c r="AJ66" i="37"/>
  <c r="AI34" i="35"/>
  <c r="AK34" i="35" s="1"/>
  <c r="M34" i="35" s="1"/>
  <c r="O34" i="35" s="1"/>
  <c r="F1684" i="48" s="1"/>
  <c r="AJ51" i="32"/>
  <c r="AJ113" i="35"/>
  <c r="AJ84" i="35"/>
  <c r="AI47" i="32"/>
  <c r="AK47" i="32" s="1"/>
  <c r="M47" i="32" s="1"/>
  <c r="L47" i="32" s="1"/>
  <c r="D637" i="48" s="1"/>
  <c r="AI118" i="35"/>
  <c r="AJ31" i="33"/>
  <c r="AI37" i="34"/>
  <c r="AI33" i="34"/>
  <c r="AK33" i="34" s="1"/>
  <c r="M33" i="34" s="1"/>
  <c r="L33" i="34" s="1"/>
  <c r="D1307" i="48" s="1"/>
  <c r="AJ50" i="35"/>
  <c r="AI87" i="35"/>
  <c r="AI68" i="35"/>
  <c r="AI122" i="35"/>
  <c r="AJ39" i="35"/>
  <c r="AJ85" i="35"/>
  <c r="AJ77" i="35"/>
  <c r="AJ33" i="10"/>
  <c r="AI36" i="32"/>
  <c r="AJ60" i="33"/>
  <c r="AJ59" i="37"/>
  <c r="AI45" i="32"/>
  <c r="AK45" i="32" s="1"/>
  <c r="M45" i="32" s="1"/>
  <c r="L45" i="32" s="1"/>
  <c r="D635" i="48" s="1"/>
  <c r="AI40" i="35"/>
  <c r="AI53" i="34"/>
  <c r="AJ36" i="34"/>
  <c r="AJ78" i="35"/>
  <c r="AJ65" i="37"/>
  <c r="AI36" i="34"/>
  <c r="AI32" i="32"/>
  <c r="AJ58" i="33"/>
  <c r="AJ48" i="35"/>
  <c r="AI65" i="35"/>
  <c r="AJ53" i="33"/>
  <c r="AJ45" i="32"/>
  <c r="AI37" i="32"/>
  <c r="AI77" i="37"/>
  <c r="AI66" i="35"/>
  <c r="AK66" i="35" s="1"/>
  <c r="M66" i="35" s="1"/>
  <c r="E1700" i="48" s="1"/>
  <c r="A17" i="2"/>
  <c r="B331" i="48" s="1"/>
  <c r="AJ57" i="37"/>
  <c r="AI71" i="35"/>
  <c r="AJ36" i="35"/>
  <c r="AJ79" i="35"/>
  <c r="AI58" i="34"/>
  <c r="AI63" i="35"/>
  <c r="AI57" i="37"/>
  <c r="AI33" i="10"/>
  <c r="AJ36" i="32"/>
  <c r="AJ71" i="35"/>
  <c r="AI82" i="35"/>
  <c r="AK82" i="35" s="1"/>
  <c r="M82" i="35" s="1"/>
  <c r="E1712" i="48" s="1"/>
  <c r="AJ82" i="37"/>
  <c r="AI62" i="37"/>
  <c r="AI35" i="35"/>
  <c r="AI83" i="35"/>
  <c r="AI37" i="33"/>
  <c r="AI59" i="37"/>
  <c r="AI31" i="34"/>
  <c r="E98" i="4"/>
  <c r="G78" i="2"/>
  <c r="AJ53" i="34"/>
  <c r="AI41" i="32"/>
  <c r="AJ57" i="32"/>
  <c r="AI33" i="35"/>
  <c r="AI35" i="32"/>
  <c r="AJ40" i="34"/>
  <c r="AI70" i="35"/>
  <c r="AJ74" i="37"/>
  <c r="AJ69" i="35"/>
  <c r="AJ31" i="10"/>
  <c r="AJ32" i="35"/>
  <c r="AJ37" i="33"/>
  <c r="AJ40" i="35"/>
  <c r="AJ33" i="35"/>
  <c r="AJ37" i="32"/>
  <c r="AJ35" i="32"/>
  <c r="AJ70" i="35"/>
  <c r="AI78" i="35"/>
  <c r="AK78" i="35" s="1"/>
  <c r="M78" i="35" s="1"/>
  <c r="L78" i="35" s="1"/>
  <c r="D1710" i="48" s="1"/>
  <c r="AI69" i="35"/>
  <c r="AK69" i="35" s="1"/>
  <c r="M69" i="35" s="1"/>
  <c r="O69" i="35" s="1"/>
  <c r="F1703" i="48" s="1"/>
  <c r="AI58" i="33"/>
  <c r="F51" i="4"/>
  <c r="AI51" i="33"/>
  <c r="AJ83" i="35"/>
  <c r="AJ31" i="34"/>
  <c r="AI65" i="37"/>
  <c r="AK65" i="37" s="1"/>
  <c r="M65" i="37" s="1"/>
  <c r="L65" i="37" s="1"/>
  <c r="D2047" i="48" s="1"/>
  <c r="AJ64" i="33"/>
  <c r="AI39" i="35"/>
  <c r="AI50" i="35"/>
  <c r="AK50" i="35" s="1"/>
  <c r="M50" i="35" s="1"/>
  <c r="E1694" i="48" s="1"/>
  <c r="AI48" i="35"/>
  <c r="AK48" i="35" s="1"/>
  <c r="M48" i="35" s="1"/>
  <c r="E1693" i="48" s="1"/>
  <c r="AI84" i="35"/>
  <c r="AI64" i="33"/>
  <c r="AI52" i="34"/>
  <c r="AI32" i="33"/>
  <c r="AJ39" i="33"/>
  <c r="AI48" i="32"/>
  <c r="AJ60" i="37"/>
  <c r="AI38" i="33"/>
  <c r="AJ44" i="35"/>
  <c r="AJ32" i="10"/>
  <c r="AI56" i="32"/>
  <c r="AJ46" i="32"/>
  <c r="AJ63" i="35"/>
  <c r="AI55" i="33"/>
  <c r="AJ56" i="33"/>
  <c r="AI120" i="35"/>
  <c r="AI52" i="32"/>
  <c r="AJ59" i="32"/>
  <c r="AI53" i="33"/>
  <c r="AJ82" i="35"/>
  <c r="AJ108" i="35"/>
  <c r="AI46" i="32"/>
  <c r="AJ120" i="35"/>
  <c r="AI36" i="35"/>
  <c r="AI32" i="35"/>
  <c r="AJ65" i="35"/>
  <c r="AJ35" i="35"/>
  <c r="AJ56" i="37"/>
  <c r="AI85" i="35"/>
  <c r="AI77" i="35"/>
  <c r="AK77" i="35" s="1"/>
  <c r="M77" i="35" s="1"/>
  <c r="E1709" i="48" s="1"/>
  <c r="AJ41" i="37"/>
  <c r="AI72" i="37"/>
  <c r="AK72" i="37" s="1"/>
  <c r="M72" i="37" s="1"/>
  <c r="E2051" i="48" s="1"/>
  <c r="AI60" i="37"/>
  <c r="AJ59" i="33"/>
  <c r="AI79" i="35"/>
  <c r="AK79" i="35" s="1"/>
  <c r="M79" i="35" s="1"/>
  <c r="E1711" i="48" s="1"/>
  <c r="AI62" i="32"/>
  <c r="AI51" i="32"/>
  <c r="AI113" i="35"/>
  <c r="AK113" i="35" s="1"/>
  <c r="M113" i="35" s="1"/>
  <c r="O113" i="35" s="1"/>
  <c r="F1727" i="48" s="1"/>
  <c r="AI74" i="37"/>
  <c r="AJ55" i="33"/>
  <c r="AI31" i="32"/>
  <c r="AK31" i="32" s="1"/>
  <c r="M31" i="32" s="1"/>
  <c r="O31" i="32" s="1"/>
  <c r="F626" i="48" s="1"/>
  <c r="E2036" i="48" l="1"/>
  <c r="AK161" i="4"/>
  <c r="G161" i="4" s="1"/>
  <c r="F161" i="4" s="1"/>
  <c r="D144" i="48" s="1"/>
  <c r="AK160" i="4"/>
  <c r="G160" i="4" s="1"/>
  <c r="E143" i="48" s="1"/>
  <c r="AK148" i="4"/>
  <c r="G148" i="4" s="1"/>
  <c r="E135" i="48" s="1"/>
  <c r="AK107" i="4"/>
  <c r="G107" i="4" s="1"/>
  <c r="H107" i="4" s="1"/>
  <c r="F95" i="48" s="1"/>
  <c r="AK101" i="4"/>
  <c r="G101" i="4" s="1"/>
  <c r="F101" i="4" s="1"/>
  <c r="D89" i="48" s="1"/>
  <c r="AK97" i="4"/>
  <c r="G97" i="4" s="1"/>
  <c r="F97" i="4" s="1"/>
  <c r="D85" i="48" s="1"/>
  <c r="AK94" i="37"/>
  <c r="M94" i="37" s="1"/>
  <c r="O94" i="37" s="1"/>
  <c r="AK93" i="37"/>
  <c r="M93" i="37" s="1"/>
  <c r="O93" i="37" s="1"/>
  <c r="AV105" i="38"/>
  <c r="M105" i="38" s="1"/>
  <c r="F2254" i="48" s="1"/>
  <c r="AV100" i="38"/>
  <c r="M100" i="38" s="1"/>
  <c r="F2249" i="48" s="1"/>
  <c r="AK55" i="37"/>
  <c r="M55" i="37" s="1"/>
  <c r="O55" i="37" s="1"/>
  <c r="AK59" i="37"/>
  <c r="M59" i="37" s="1"/>
  <c r="O59" i="37" s="1"/>
  <c r="AK62" i="37"/>
  <c r="M62" i="37" s="1"/>
  <c r="E2046" i="48" s="1"/>
  <c r="AK70" i="37"/>
  <c r="M70" i="37" s="1"/>
  <c r="O70" i="37" s="1"/>
  <c r="F2050" i="48" s="1"/>
  <c r="AK76" i="37"/>
  <c r="M76" i="37" s="1"/>
  <c r="O76" i="37" s="1"/>
  <c r="F2053" i="48" s="1"/>
  <c r="L97" i="37"/>
  <c r="O97" i="37"/>
  <c r="L96" i="37"/>
  <c r="O96" i="37"/>
  <c r="AK95" i="37"/>
  <c r="M95" i="37" s="1"/>
  <c r="AK81" i="37"/>
  <c r="M81" i="37" s="1"/>
  <c r="AK80" i="37"/>
  <c r="M80" i="37" s="1"/>
  <c r="O65" i="37"/>
  <c r="F2047" i="48" s="1"/>
  <c r="AK77" i="37"/>
  <c r="M77" i="37" s="1"/>
  <c r="O77" i="37" s="1"/>
  <c r="F2054" i="48" s="1"/>
  <c r="AK74" i="37"/>
  <c r="M74" i="37" s="1"/>
  <c r="L72" i="37"/>
  <c r="D2051" i="48" s="1"/>
  <c r="O72" i="37"/>
  <c r="F2051" i="48" s="1"/>
  <c r="AK68" i="37"/>
  <c r="M68" i="37" s="1"/>
  <c r="AK66" i="37"/>
  <c r="M66" i="37" s="1"/>
  <c r="E2048" i="48" s="1"/>
  <c r="E2047" i="48"/>
  <c r="AK57" i="37"/>
  <c r="M57" i="37" s="1"/>
  <c r="E2042" i="48" s="1"/>
  <c r="AK60" i="37"/>
  <c r="M60" i="37" s="1"/>
  <c r="E2045" i="48" s="1"/>
  <c r="AK50" i="37"/>
  <c r="M50" i="37" s="1"/>
  <c r="E2039" i="48" s="1"/>
  <c r="AK41" i="37"/>
  <c r="M41" i="37" s="1"/>
  <c r="E2037" i="48" s="1"/>
  <c r="O40" i="37"/>
  <c r="F2036" i="48" s="1"/>
  <c r="AK39" i="37"/>
  <c r="M39" i="37" s="1"/>
  <c r="E2035" i="48" s="1"/>
  <c r="AK116" i="35"/>
  <c r="M116" i="35" s="1"/>
  <c r="E1729" i="48" s="1"/>
  <c r="AK84" i="35"/>
  <c r="M84" i="35" s="1"/>
  <c r="E1714" i="48" s="1"/>
  <c r="AK68" i="35"/>
  <c r="M68" i="35" s="1"/>
  <c r="E1702" i="48" s="1"/>
  <c r="AK64" i="35"/>
  <c r="M64" i="35" s="1"/>
  <c r="E1698" i="48" s="1"/>
  <c r="AK36" i="35"/>
  <c r="M36" i="35" s="1"/>
  <c r="E1686" i="48" s="1"/>
  <c r="AK33" i="35"/>
  <c r="M33" i="35" s="1"/>
  <c r="O33" i="35" s="1"/>
  <c r="F1683" i="48" s="1"/>
  <c r="AK122" i="35"/>
  <c r="M122" i="35" s="1"/>
  <c r="E1733" i="48" s="1"/>
  <c r="AK110" i="35"/>
  <c r="M110" i="35" s="1"/>
  <c r="E1726" i="48" s="1"/>
  <c r="AK118" i="35"/>
  <c r="M118" i="35" s="1"/>
  <c r="E1730" i="48" s="1"/>
  <c r="AK120" i="35"/>
  <c r="M120" i="35" s="1"/>
  <c r="E1732" i="48" s="1"/>
  <c r="AK119" i="35"/>
  <c r="M119" i="35" s="1"/>
  <c r="AK114" i="35"/>
  <c r="M114" i="35" s="1"/>
  <c r="L113" i="35"/>
  <c r="D1727" i="48" s="1"/>
  <c r="E1727" i="48"/>
  <c r="AK108" i="35"/>
  <c r="M108" i="35" s="1"/>
  <c r="AK98" i="35"/>
  <c r="M98" i="35" s="1"/>
  <c r="AK97" i="35"/>
  <c r="M97" i="35" s="1"/>
  <c r="AK96" i="35"/>
  <c r="M96" i="35" s="1"/>
  <c r="AK95" i="35"/>
  <c r="M95" i="35" s="1"/>
  <c r="AK94" i="35"/>
  <c r="M94" i="35" s="1"/>
  <c r="AK93" i="35"/>
  <c r="M93" i="35" s="1"/>
  <c r="AK90" i="35"/>
  <c r="M90" i="35" s="1"/>
  <c r="O90" i="35" s="1"/>
  <c r="F1717" i="48" s="1"/>
  <c r="AK87" i="35"/>
  <c r="M87" i="35" s="1"/>
  <c r="E1716" i="48" s="1"/>
  <c r="AK85" i="35"/>
  <c r="M85" i="35" s="1"/>
  <c r="O85" i="35" s="1"/>
  <c r="F1715" i="48" s="1"/>
  <c r="AK83" i="35"/>
  <c r="M83" i="35" s="1"/>
  <c r="L82" i="35"/>
  <c r="D1712" i="48" s="1"/>
  <c r="O82" i="35"/>
  <c r="F1712" i="48" s="1"/>
  <c r="O79" i="35"/>
  <c r="F1711" i="48" s="1"/>
  <c r="L79" i="35"/>
  <c r="D1711" i="48" s="1"/>
  <c r="O78" i="35"/>
  <c r="F1710" i="48" s="1"/>
  <c r="E1710" i="48"/>
  <c r="L77" i="35"/>
  <c r="D1709" i="48" s="1"/>
  <c r="O77" i="35"/>
  <c r="F1709" i="48" s="1"/>
  <c r="AK74" i="35"/>
  <c r="M74" i="35" s="1"/>
  <c r="L74" i="35" s="1"/>
  <c r="D1708" i="48" s="1"/>
  <c r="AK71" i="35"/>
  <c r="M71" i="35" s="1"/>
  <c r="E1705" i="48" s="1"/>
  <c r="AK63" i="35"/>
  <c r="M63" i="35" s="1"/>
  <c r="L63" i="35" s="1"/>
  <c r="D1697" i="48" s="1"/>
  <c r="E1703" i="48"/>
  <c r="L66" i="35"/>
  <c r="D1700" i="48" s="1"/>
  <c r="AK70" i="35"/>
  <c r="M70" i="35" s="1"/>
  <c r="O66" i="35"/>
  <c r="F1700" i="48" s="1"/>
  <c r="L69" i="35"/>
  <c r="D1703" i="48" s="1"/>
  <c r="AK65" i="35"/>
  <c r="M65" i="35" s="1"/>
  <c r="AK73" i="35"/>
  <c r="M73" i="35" s="1"/>
  <c r="AK60" i="35"/>
  <c r="M60" i="35" s="1"/>
  <c r="L60" i="35" s="1"/>
  <c r="D1696" i="48" s="1"/>
  <c r="O48" i="35"/>
  <c r="F1693" i="48" s="1"/>
  <c r="L48" i="35"/>
  <c r="D1693" i="48" s="1"/>
  <c r="AK46" i="35"/>
  <c r="M46" i="35" s="1"/>
  <c r="AK41" i="35"/>
  <c r="M41" i="35" s="1"/>
  <c r="E1689" i="48" s="1"/>
  <c r="AK36" i="34"/>
  <c r="M36" i="34" s="1"/>
  <c r="O36" i="34" s="1"/>
  <c r="F1308" i="48" s="1"/>
  <c r="AK97" i="34"/>
  <c r="M97" i="34" s="1"/>
  <c r="AK96" i="34"/>
  <c r="M96" i="34" s="1"/>
  <c r="L95" i="34"/>
  <c r="D1346" i="48" s="1"/>
  <c r="O95" i="34"/>
  <c r="F1346" i="48" s="1"/>
  <c r="E1346" i="48"/>
  <c r="AK94" i="34"/>
  <c r="M94" i="34" s="1"/>
  <c r="E1344" i="48"/>
  <c r="L93" i="34"/>
  <c r="D1344" i="48" s="1"/>
  <c r="O93" i="34"/>
  <c r="F1344" i="48" s="1"/>
  <c r="E1342" i="48"/>
  <c r="O91" i="34"/>
  <c r="F1342" i="48" s="1"/>
  <c r="L91" i="34"/>
  <c r="D1342" i="48" s="1"/>
  <c r="L90" i="34"/>
  <c r="D1341" i="48" s="1"/>
  <c r="O90" i="34"/>
  <c r="F1341" i="48" s="1"/>
  <c r="E1341" i="48"/>
  <c r="AK89" i="34"/>
  <c r="M89" i="34" s="1"/>
  <c r="E1339" i="48"/>
  <c r="O88" i="34"/>
  <c r="F1339" i="48" s="1"/>
  <c r="L88" i="34"/>
  <c r="D1339" i="48" s="1"/>
  <c r="AK87" i="34"/>
  <c r="M87" i="34" s="1"/>
  <c r="E1336" i="48"/>
  <c r="L83" i="34"/>
  <c r="D1336" i="48" s="1"/>
  <c r="O83" i="34"/>
  <c r="F1336" i="48" s="1"/>
  <c r="L81" i="34"/>
  <c r="D1334" i="48" s="1"/>
  <c r="E1334" i="48"/>
  <c r="O81" i="34"/>
  <c r="F1334" i="48" s="1"/>
  <c r="AK80" i="34"/>
  <c r="M80" i="34" s="1"/>
  <c r="E1331" i="48"/>
  <c r="O78" i="34"/>
  <c r="F1331" i="48" s="1"/>
  <c r="L78" i="34"/>
  <c r="D1331" i="48" s="1"/>
  <c r="AK174" i="4"/>
  <c r="G174" i="4" s="1"/>
  <c r="E148" i="48" s="1"/>
  <c r="L77" i="34"/>
  <c r="D1330" i="48" s="1"/>
  <c r="O77" i="34"/>
  <c r="F1330" i="48" s="1"/>
  <c r="E1330" i="48"/>
  <c r="L76" i="34"/>
  <c r="D1329" i="48" s="1"/>
  <c r="O76" i="34"/>
  <c r="F1329" i="48" s="1"/>
  <c r="E1329" i="48"/>
  <c r="AK75" i="34"/>
  <c r="M75" i="34" s="1"/>
  <c r="AK62" i="34"/>
  <c r="M62" i="34" s="1"/>
  <c r="E1326" i="48" s="1"/>
  <c r="AK58" i="34"/>
  <c r="M58" i="34" s="1"/>
  <c r="E1324" i="48" s="1"/>
  <c r="AK55" i="34"/>
  <c r="M55" i="34" s="1"/>
  <c r="AK54" i="34"/>
  <c r="M54" i="34" s="1"/>
  <c r="AK53" i="34"/>
  <c r="M53" i="34" s="1"/>
  <c r="AK52" i="34"/>
  <c r="M52" i="34" s="1"/>
  <c r="AK37" i="34"/>
  <c r="M37" i="34" s="1"/>
  <c r="E1309" i="48" s="1"/>
  <c r="O33" i="34"/>
  <c r="F1307" i="48" s="1"/>
  <c r="E1307" i="48"/>
  <c r="H69" i="33"/>
  <c r="G69" i="33"/>
  <c r="D69" i="33"/>
  <c r="E69" i="33"/>
  <c r="B759" i="48" s="1"/>
  <c r="D78" i="33"/>
  <c r="E78" i="33"/>
  <c r="H78" i="33"/>
  <c r="G78" i="33"/>
  <c r="H74" i="33"/>
  <c r="G74" i="33"/>
  <c r="E74" i="33"/>
  <c r="D74" i="33"/>
  <c r="G72" i="33"/>
  <c r="E72" i="33"/>
  <c r="H72" i="33"/>
  <c r="D72" i="33"/>
  <c r="E68" i="33"/>
  <c r="D68" i="33"/>
  <c r="H68" i="33"/>
  <c r="B979" i="48" s="1"/>
  <c r="G68" i="33"/>
  <c r="B906" i="48" s="1"/>
  <c r="H71" i="33"/>
  <c r="E71" i="33"/>
  <c r="D71" i="33"/>
  <c r="G71" i="33"/>
  <c r="E77" i="33"/>
  <c r="D77" i="33"/>
  <c r="G77" i="33"/>
  <c r="H77" i="33"/>
  <c r="B988" i="48" s="1"/>
  <c r="G75" i="33"/>
  <c r="H75" i="33"/>
  <c r="B986" i="48" s="1"/>
  <c r="E75" i="33"/>
  <c r="B765" i="48" s="1"/>
  <c r="D75" i="33"/>
  <c r="AK95" i="33"/>
  <c r="P95" i="33" s="1"/>
  <c r="AK105" i="33"/>
  <c r="P105" i="33" s="1"/>
  <c r="AK93" i="33"/>
  <c r="P93" i="33" s="1"/>
  <c r="AK132" i="33"/>
  <c r="M132" i="33" s="1"/>
  <c r="O132" i="33" s="1"/>
  <c r="F1170" i="48" s="1"/>
  <c r="AK113" i="33"/>
  <c r="P113" i="33" s="1"/>
  <c r="AK99" i="33"/>
  <c r="P99" i="33" s="1"/>
  <c r="AK107" i="33"/>
  <c r="P107" i="33" s="1"/>
  <c r="AK98" i="33"/>
  <c r="L98" i="33" s="1"/>
  <c r="D1147" i="48" s="1"/>
  <c r="AK97" i="33"/>
  <c r="P97" i="33" s="1"/>
  <c r="AK108" i="33"/>
  <c r="P108" i="33" s="1"/>
  <c r="AK92" i="33"/>
  <c r="P92" i="33" s="1"/>
  <c r="AK106" i="33"/>
  <c r="AK100" i="33"/>
  <c r="O42" i="33"/>
  <c r="F1106" i="48" s="1"/>
  <c r="L42" i="33"/>
  <c r="D1106" i="48" s="1"/>
  <c r="AK41" i="33"/>
  <c r="M41" i="33" s="1"/>
  <c r="AK40" i="33"/>
  <c r="M40" i="33" s="1"/>
  <c r="L39" i="33"/>
  <c r="D1103" i="48" s="1"/>
  <c r="O39" i="33"/>
  <c r="F1103" i="48" s="1"/>
  <c r="AK38" i="33"/>
  <c r="M38" i="33" s="1"/>
  <c r="AK89" i="32"/>
  <c r="M89" i="32" s="1"/>
  <c r="O89" i="32" s="1"/>
  <c r="AK85" i="32"/>
  <c r="M85" i="32" s="1"/>
  <c r="L85" i="32" s="1"/>
  <c r="D507" i="48" s="1"/>
  <c r="AK56" i="32"/>
  <c r="M56" i="32" s="1"/>
  <c r="L56" i="32" s="1"/>
  <c r="D642" i="48" s="1"/>
  <c r="AK58" i="32"/>
  <c r="M58" i="32" s="1"/>
  <c r="O58" i="32" s="1"/>
  <c r="F644" i="48" s="1"/>
  <c r="AK52" i="32"/>
  <c r="M52" i="32" s="1"/>
  <c r="O52" i="32" s="1"/>
  <c r="F640" i="48" s="1"/>
  <c r="AK48" i="32"/>
  <c r="M48" i="32" s="1"/>
  <c r="E638" i="48" s="1"/>
  <c r="AK38" i="32"/>
  <c r="M38" i="32" s="1"/>
  <c r="O38" i="32" s="1"/>
  <c r="F631" i="48" s="1"/>
  <c r="AK32" i="32"/>
  <c r="M32" i="32" s="1"/>
  <c r="E627" i="48" s="1"/>
  <c r="AK32" i="10"/>
  <c r="M32" i="10" s="1"/>
  <c r="O32" i="10" s="1"/>
  <c r="F325" i="48" s="1"/>
  <c r="AK33" i="10"/>
  <c r="M33" i="10" s="1"/>
  <c r="AK36" i="10"/>
  <c r="M36" i="10" s="1"/>
  <c r="O36" i="10" s="1"/>
  <c r="F328" i="48" s="1"/>
  <c r="AK34" i="10"/>
  <c r="M34" i="10" s="1"/>
  <c r="AK89" i="4"/>
  <c r="AK92" i="4"/>
  <c r="G92" i="4" s="1"/>
  <c r="E81" i="48" s="1"/>
  <c r="AK88" i="4"/>
  <c r="G88" i="4" s="1"/>
  <c r="F88" i="4" s="1"/>
  <c r="D77" i="48" s="1"/>
  <c r="AK64" i="4"/>
  <c r="H64" i="4" s="1"/>
  <c r="F53" i="48" s="1"/>
  <c r="AK53" i="4"/>
  <c r="H53" i="4" s="1"/>
  <c r="G53" i="4" s="1"/>
  <c r="AK45" i="4"/>
  <c r="H45" i="4" s="1"/>
  <c r="F37" i="48" s="1"/>
  <c r="F125" i="4"/>
  <c r="F126" i="4" s="1"/>
  <c r="AK86" i="4"/>
  <c r="G86" i="4" s="1"/>
  <c r="E75" i="48" s="1"/>
  <c r="AK47" i="4"/>
  <c r="G47" i="4" s="1"/>
  <c r="F47" i="4" s="1"/>
  <c r="D39" i="48" s="1"/>
  <c r="AK46" i="4"/>
  <c r="G46" i="4" s="1"/>
  <c r="H46" i="4" s="1"/>
  <c r="F38" i="48" s="1"/>
  <c r="AK44" i="4"/>
  <c r="H44" i="4" s="1"/>
  <c r="F36" i="48" s="1"/>
  <c r="AK66" i="4"/>
  <c r="I66" i="4" s="1"/>
  <c r="AK90" i="4"/>
  <c r="I90" i="4" s="1"/>
  <c r="AK65" i="4"/>
  <c r="AK96" i="32"/>
  <c r="M96" i="32" s="1"/>
  <c r="O96" i="32" s="1"/>
  <c r="F652" i="48" s="1"/>
  <c r="AK52" i="4"/>
  <c r="H52" i="4" s="1"/>
  <c r="F42" i="48" s="1"/>
  <c r="AK31" i="34"/>
  <c r="M31" i="34" s="1"/>
  <c r="E1306" i="48" s="1"/>
  <c r="AK60" i="4"/>
  <c r="G60" i="4" s="1"/>
  <c r="H60" i="4" s="1"/>
  <c r="F50" i="48" s="1"/>
  <c r="AI125" i="4"/>
  <c r="D120" i="48"/>
  <c r="D127" i="4"/>
  <c r="AI104" i="4"/>
  <c r="AK37" i="10"/>
  <c r="M37" i="10" s="1"/>
  <c r="O37" i="10" s="1"/>
  <c r="F329" i="48" s="1"/>
  <c r="AK31" i="10"/>
  <c r="M31" i="10" s="1"/>
  <c r="L124" i="35"/>
  <c r="D1734" i="48" s="1"/>
  <c r="O124" i="35"/>
  <c r="F1734" i="48" s="1"/>
  <c r="BF553" i="4"/>
  <c r="BG555" i="4"/>
  <c r="BG544" i="4"/>
  <c r="BG560" i="4"/>
  <c r="BG553" i="4"/>
  <c r="BG559" i="4"/>
  <c r="BG561" i="4"/>
  <c r="O39" i="30"/>
  <c r="F274" i="48" s="1"/>
  <c r="BG548" i="4"/>
  <c r="BG546" i="4"/>
  <c r="BG551" i="4"/>
  <c r="BG547" i="4"/>
  <c r="BG549" i="4"/>
  <c r="BG556" i="4"/>
  <c r="BG545" i="4"/>
  <c r="BG558" i="4"/>
  <c r="M39" i="30"/>
  <c r="E274" i="48" s="1"/>
  <c r="AK32" i="33"/>
  <c r="M32" i="33" s="1"/>
  <c r="AK31" i="33"/>
  <c r="M31" i="33" s="1"/>
  <c r="AK37" i="33"/>
  <c r="M37" i="33" s="1"/>
  <c r="E1101" i="48" s="1"/>
  <c r="BX408" i="49"/>
  <c r="BX405" i="49"/>
  <c r="BX395" i="49"/>
  <c r="BX393" i="49"/>
  <c r="BX409" i="49"/>
  <c r="BX403" i="49"/>
  <c r="BX390" i="49" s="1"/>
  <c r="BX396" i="49"/>
  <c r="BX407" i="49"/>
  <c r="BX397" i="49"/>
  <c r="BX406" i="49"/>
  <c r="BX404" i="49"/>
  <c r="BX401" i="49"/>
  <c r="BX394" i="49"/>
  <c r="BX392" i="49"/>
  <c r="BX399" i="49"/>
  <c r="BF561" i="4"/>
  <c r="BF555" i="4"/>
  <c r="BF558" i="4"/>
  <c r="BF544" i="4"/>
  <c r="B982" i="48"/>
  <c r="AK96" i="33"/>
  <c r="L95" i="33"/>
  <c r="D1144" i="48" s="1"/>
  <c r="AK94" i="33"/>
  <c r="L93" i="33"/>
  <c r="D1142" i="48" s="1"/>
  <c r="AK91" i="33"/>
  <c r="AJ104" i="4"/>
  <c r="AJ125" i="4"/>
  <c r="B92" i="48"/>
  <c r="D126" i="48"/>
  <c r="D111" i="48"/>
  <c r="F106" i="4"/>
  <c r="D94" i="48" s="1"/>
  <c r="E94" i="48"/>
  <c r="E111" i="48"/>
  <c r="E126" i="48"/>
  <c r="BX560" i="4"/>
  <c r="BX555" i="4"/>
  <c r="BX556" i="4"/>
  <c r="BX546" i="4"/>
  <c r="BX551" i="4"/>
  <c r="BX553" i="4"/>
  <c r="BX559" i="4"/>
  <c r="BX545" i="4"/>
  <c r="BX547" i="4"/>
  <c r="BX544" i="4"/>
  <c r="BX549" i="4"/>
  <c r="BX561" i="4"/>
  <c r="B106" i="48"/>
  <c r="BX558" i="4"/>
  <c r="BX557" i="4"/>
  <c r="BX548" i="4"/>
  <c r="AK90" i="33"/>
  <c r="L90" i="33" s="1"/>
  <c r="AK41" i="32"/>
  <c r="M41" i="32" s="1"/>
  <c r="L41" i="32" s="1"/>
  <c r="D634" i="48" s="1"/>
  <c r="AK37" i="32"/>
  <c r="M37" i="32" s="1"/>
  <c r="O37" i="32" s="1"/>
  <c r="F630" i="48" s="1"/>
  <c r="AV101" i="38"/>
  <c r="M101" i="38" s="1"/>
  <c r="F2250" i="48" s="1"/>
  <c r="AK178" i="4"/>
  <c r="I179" i="4" s="1"/>
  <c r="F149" i="48" s="1"/>
  <c r="AK39" i="32"/>
  <c r="M39" i="32" s="1"/>
  <c r="O39" i="32" s="1"/>
  <c r="F632" i="48" s="1"/>
  <c r="AJ179" i="4"/>
  <c r="AI179" i="4"/>
  <c r="AK82" i="37"/>
  <c r="M82" i="37" s="1"/>
  <c r="AK75" i="32"/>
  <c r="M75" i="32" s="1"/>
  <c r="O75" i="32" s="1"/>
  <c r="AK77" i="32"/>
  <c r="M77" i="32" s="1"/>
  <c r="O77" i="32" s="1"/>
  <c r="AK103" i="4"/>
  <c r="I103" i="4" s="1"/>
  <c r="AK61" i="4"/>
  <c r="G61" i="4" s="1"/>
  <c r="F61" i="4" s="1"/>
  <c r="D51" i="48" s="1"/>
  <c r="AK189" i="4"/>
  <c r="G189" i="4" s="1"/>
  <c r="H189" i="4" s="1"/>
  <c r="AK154" i="4"/>
  <c r="G154" i="4" s="1"/>
  <c r="AK153" i="4"/>
  <c r="G153" i="4" s="1"/>
  <c r="F153" i="4" s="1"/>
  <c r="D140" i="48" s="1"/>
  <c r="E132" i="48"/>
  <c r="H145" i="4"/>
  <c r="F132" i="48" s="1"/>
  <c r="F145" i="4"/>
  <c r="D132" i="48" s="1"/>
  <c r="E131" i="48"/>
  <c r="H144" i="4"/>
  <c r="F131" i="48" s="1"/>
  <c r="F144" i="4"/>
  <c r="D131" i="48" s="1"/>
  <c r="E100" i="48"/>
  <c r="H112" i="4"/>
  <c r="F100" i="48" s="1"/>
  <c r="AK100" i="4"/>
  <c r="G100" i="4" s="1"/>
  <c r="E76" i="48"/>
  <c r="H87" i="4"/>
  <c r="F76" i="48" s="1"/>
  <c r="F87" i="4"/>
  <c r="D76" i="48" s="1"/>
  <c r="E62" i="48"/>
  <c r="H73" i="4"/>
  <c r="F62" i="48" s="1"/>
  <c r="F73" i="4"/>
  <c r="D62" i="48" s="1"/>
  <c r="H71" i="4"/>
  <c r="F60" i="48" s="1"/>
  <c r="E60" i="48"/>
  <c r="F71" i="4"/>
  <c r="D60" i="48" s="1"/>
  <c r="E59" i="48"/>
  <c r="H70" i="4"/>
  <c r="F59" i="48" s="1"/>
  <c r="F70" i="4"/>
  <c r="D59" i="48" s="1"/>
  <c r="H69" i="4"/>
  <c r="F58" i="48" s="1"/>
  <c r="E58" i="48"/>
  <c r="F69" i="4"/>
  <c r="D58" i="48" s="1"/>
  <c r="H55" i="4"/>
  <c r="F45" i="48" s="1"/>
  <c r="E45" i="48"/>
  <c r="F55" i="4"/>
  <c r="D45" i="48" s="1"/>
  <c r="F48" i="4"/>
  <c r="D40" i="48" s="1"/>
  <c r="H48" i="4"/>
  <c r="F40" i="48" s="1"/>
  <c r="E40" i="48"/>
  <c r="AL89" i="38"/>
  <c r="K89" i="38" s="1"/>
  <c r="E637" i="48"/>
  <c r="AK35" i="32"/>
  <c r="M35" i="32" s="1"/>
  <c r="L35" i="32" s="1"/>
  <c r="D628" i="48" s="1"/>
  <c r="AK94" i="32"/>
  <c r="M94" i="32" s="1"/>
  <c r="O94" i="32" s="1"/>
  <c r="F650" i="48" s="1"/>
  <c r="AK78" i="32"/>
  <c r="M78" i="32" s="1"/>
  <c r="O78" i="32" s="1"/>
  <c r="AK62" i="32"/>
  <c r="M62" i="32" s="1"/>
  <c r="AK60" i="32"/>
  <c r="M60" i="32" s="1"/>
  <c r="E646" i="48" s="1"/>
  <c r="AK57" i="32"/>
  <c r="M57" i="32" s="1"/>
  <c r="E641" i="48"/>
  <c r="L55" i="32"/>
  <c r="D641" i="48" s="1"/>
  <c r="AK51" i="32"/>
  <c r="M51" i="32" s="1"/>
  <c r="E639" i="48" s="1"/>
  <c r="O47" i="32"/>
  <c r="F637" i="48" s="1"/>
  <c r="AK46" i="32"/>
  <c r="M46" i="32" s="1"/>
  <c r="L46" i="32" s="1"/>
  <c r="D636" i="48" s="1"/>
  <c r="O45" i="32"/>
  <c r="F635" i="48" s="1"/>
  <c r="E635" i="48"/>
  <c r="AK40" i="32"/>
  <c r="M40" i="32" s="1"/>
  <c r="AK36" i="32"/>
  <c r="M36" i="32" s="1"/>
  <c r="E626" i="48"/>
  <c r="L31" i="32"/>
  <c r="D626" i="48" s="1"/>
  <c r="L90" i="32"/>
  <c r="O90" i="32"/>
  <c r="AK76" i="32"/>
  <c r="M76" i="32" s="1"/>
  <c r="O76" i="32" s="1"/>
  <c r="AK95" i="32"/>
  <c r="M95" i="32" s="1"/>
  <c r="L86" i="32"/>
  <c r="D508" i="48" s="1"/>
  <c r="O86" i="32"/>
  <c r="F508" i="48" s="1"/>
  <c r="E508" i="48"/>
  <c r="AK82" i="32"/>
  <c r="M82" i="32" s="1"/>
  <c r="O82" i="32" s="1"/>
  <c r="AK173" i="4"/>
  <c r="G173" i="4" s="1"/>
  <c r="E147" i="48" s="1"/>
  <c r="AK72" i="4"/>
  <c r="B755" i="48"/>
  <c r="B976" i="48"/>
  <c r="AK73" i="33"/>
  <c r="Q73" i="33" s="1"/>
  <c r="R73" i="33" s="1"/>
  <c r="AK60" i="33"/>
  <c r="M60" i="33" s="1"/>
  <c r="E1117" i="48" s="1"/>
  <c r="AK57" i="33"/>
  <c r="M57" i="33" s="1"/>
  <c r="E1114" i="48" s="1"/>
  <c r="B983" i="48"/>
  <c r="B989" i="48"/>
  <c r="B980" i="48"/>
  <c r="B985" i="48"/>
  <c r="AK58" i="33"/>
  <c r="M58" i="33" s="1"/>
  <c r="E1115" i="48" s="1"/>
  <c r="AK61" i="33"/>
  <c r="M61" i="33" s="1"/>
  <c r="L61" i="33" s="1"/>
  <c r="D1118" i="48" s="1"/>
  <c r="AK55" i="33"/>
  <c r="M55" i="33" s="1"/>
  <c r="E1112" i="48" s="1"/>
  <c r="B768" i="48"/>
  <c r="B761" i="48"/>
  <c r="B762" i="48"/>
  <c r="B764" i="48"/>
  <c r="AK62" i="33"/>
  <c r="F65" i="33"/>
  <c r="F66" i="33"/>
  <c r="B831" i="48" s="1"/>
  <c r="B682" i="48"/>
  <c r="I65" i="33"/>
  <c r="I66" i="33"/>
  <c r="B1050" i="48" s="1"/>
  <c r="AK70" i="33"/>
  <c r="Q70" i="33" s="1"/>
  <c r="AK67" i="33"/>
  <c r="Q67" i="33" s="1"/>
  <c r="AK76" i="33"/>
  <c r="Q76" i="33" s="1"/>
  <c r="P76" i="33" s="1"/>
  <c r="B977" i="48"/>
  <c r="B681" i="48"/>
  <c r="AK52" i="33"/>
  <c r="M52" i="33" s="1"/>
  <c r="E1109" i="48" s="1"/>
  <c r="BF557" i="4"/>
  <c r="BF549" i="4"/>
  <c r="BF551" i="4"/>
  <c r="BF560" i="4"/>
  <c r="AK123" i="4"/>
  <c r="J123" i="4" s="1"/>
  <c r="F104" i="48" s="1"/>
  <c r="AK79" i="34"/>
  <c r="M79" i="34" s="1"/>
  <c r="O79" i="34" s="1"/>
  <c r="F1332" i="48" s="1"/>
  <c r="BF559" i="4"/>
  <c r="AK172" i="4"/>
  <c r="G172" i="4" s="1"/>
  <c r="E146" i="48" s="1"/>
  <c r="AK51" i="4"/>
  <c r="L100" i="35"/>
  <c r="D1724" i="48" s="1"/>
  <c r="O100" i="35"/>
  <c r="F1724" i="48" s="1"/>
  <c r="M38" i="30"/>
  <c r="E273" i="48" s="1"/>
  <c r="O38" i="30"/>
  <c r="F273" i="48" s="1"/>
  <c r="BI547" i="4"/>
  <c r="BI551" i="4"/>
  <c r="BI545" i="4"/>
  <c r="BI561" i="4"/>
  <c r="AK93" i="4"/>
  <c r="AK91" i="4"/>
  <c r="I91" i="4" s="1"/>
  <c r="M41" i="30"/>
  <c r="E276" i="48" s="1"/>
  <c r="O41" i="30"/>
  <c r="F276" i="48" s="1"/>
  <c r="AK113" i="4"/>
  <c r="AK109" i="4"/>
  <c r="AK108" i="4"/>
  <c r="AK110" i="4"/>
  <c r="G110" i="4" s="1"/>
  <c r="E98" i="48" s="1"/>
  <c r="AL73" i="38"/>
  <c r="K73" i="38" s="1"/>
  <c r="L73" i="38" s="1"/>
  <c r="F2225" i="48" s="1"/>
  <c r="AL35" i="38"/>
  <c r="K35" i="38" s="1"/>
  <c r="E2190" i="48" s="1"/>
  <c r="AL36" i="38"/>
  <c r="K36" i="38" s="1"/>
  <c r="J36" i="38" s="1"/>
  <c r="D2191" i="48" s="1"/>
  <c r="AL88" i="38"/>
  <c r="K88" i="38" s="1"/>
  <c r="L88" i="38" s="1"/>
  <c r="F2240" i="48" s="1"/>
  <c r="AL71" i="38"/>
  <c r="K71" i="38" s="1"/>
  <c r="J71" i="38" s="1"/>
  <c r="D2223" i="48" s="1"/>
  <c r="AL61" i="38"/>
  <c r="K61" i="38" s="1"/>
  <c r="E2213" i="48" s="1"/>
  <c r="AL72" i="38"/>
  <c r="K72" i="38" s="1"/>
  <c r="L72" i="38" s="1"/>
  <c r="F2224" i="48" s="1"/>
  <c r="AK121" i="4"/>
  <c r="J121" i="4" s="1"/>
  <c r="F102" i="48" s="1"/>
  <c r="AL33" i="38"/>
  <c r="K33" i="38" s="1"/>
  <c r="J33" i="38" s="1"/>
  <c r="D2188" i="48" s="1"/>
  <c r="AL44" i="38"/>
  <c r="K44" i="38" s="1"/>
  <c r="L44" i="38" s="1"/>
  <c r="F2199" i="48" s="1"/>
  <c r="AL46" i="38"/>
  <c r="K46" i="38" s="1"/>
  <c r="E2201" i="48" s="1"/>
  <c r="AL67" i="38"/>
  <c r="K67" i="38" s="1"/>
  <c r="J67" i="38" s="1"/>
  <c r="D2219" i="48" s="1"/>
  <c r="AL69" i="38"/>
  <c r="K69" i="38" s="1"/>
  <c r="J69" i="38" s="1"/>
  <c r="D2221" i="48" s="1"/>
  <c r="AL42" i="38"/>
  <c r="K42" i="38" s="1"/>
  <c r="E2197" i="48" s="1"/>
  <c r="AK124" i="4"/>
  <c r="J124" i="4" s="1"/>
  <c r="F105" i="48" s="1"/>
  <c r="AL81" i="38"/>
  <c r="K81" i="38" s="1"/>
  <c r="E2233" i="48" s="1"/>
  <c r="AL76" i="38"/>
  <c r="K76" i="38" s="1"/>
  <c r="J76" i="38" s="1"/>
  <c r="D2228" i="48" s="1"/>
  <c r="AL38" i="38"/>
  <c r="K38" i="38" s="1"/>
  <c r="L38" i="38" s="1"/>
  <c r="F2193" i="48" s="1"/>
  <c r="AL74" i="38"/>
  <c r="K74" i="38" s="1"/>
  <c r="J74" i="38" s="1"/>
  <c r="D2226" i="48" s="1"/>
  <c r="AL70" i="38"/>
  <c r="K70" i="38" s="1"/>
  <c r="E2222" i="48" s="1"/>
  <c r="AL34" i="38"/>
  <c r="K34" i="38" s="1"/>
  <c r="E2189" i="48" s="1"/>
  <c r="AL104" i="38"/>
  <c r="K104" i="38" s="1"/>
  <c r="AL41" i="38"/>
  <c r="K41" i="38" s="1"/>
  <c r="E2196" i="48" s="1"/>
  <c r="AL77" i="38"/>
  <c r="K77" i="38" s="1"/>
  <c r="L77" i="38" s="1"/>
  <c r="F2229" i="48" s="1"/>
  <c r="AL49" i="38"/>
  <c r="K49" i="38" s="1"/>
  <c r="L49" i="38" s="1"/>
  <c r="F2204" i="48" s="1"/>
  <c r="AL79" i="38"/>
  <c r="K79" i="38" s="1"/>
  <c r="E2231" i="48" s="1"/>
  <c r="AK138" i="4"/>
  <c r="J138" i="4" s="1"/>
  <c r="F115" i="48" s="1"/>
  <c r="AL90" i="38"/>
  <c r="AL63" i="38"/>
  <c r="K63" i="38" s="1"/>
  <c r="J63" i="38" s="1"/>
  <c r="D2215" i="48" s="1"/>
  <c r="K102" i="38"/>
  <c r="E2251" i="48" s="1"/>
  <c r="L102" i="38"/>
  <c r="F2245" i="48" s="1"/>
  <c r="AL37" i="38"/>
  <c r="K37" i="38" s="1"/>
  <c r="E2192" i="48" s="1"/>
  <c r="AL40" i="38"/>
  <c r="K40" i="38" s="1"/>
  <c r="J40" i="38" s="1"/>
  <c r="D2195" i="48" s="1"/>
  <c r="AL101" i="38"/>
  <c r="L101" i="38" s="1"/>
  <c r="F2244" i="48" s="1"/>
  <c r="AL48" i="38"/>
  <c r="K48" i="38" s="1"/>
  <c r="E2203" i="48" s="1"/>
  <c r="AL32" i="38"/>
  <c r="AL105" i="38"/>
  <c r="L105" i="38" s="1"/>
  <c r="F2248" i="48" s="1"/>
  <c r="AL103" i="38"/>
  <c r="D117" i="48"/>
  <c r="AL64" i="38"/>
  <c r="K64" i="38" s="1"/>
  <c r="E2216" i="48" s="1"/>
  <c r="AL62" i="38"/>
  <c r="K62" i="38" s="1"/>
  <c r="J62" i="38" s="1"/>
  <c r="D2214" i="48" s="1"/>
  <c r="AL68" i="38"/>
  <c r="K68" i="38" s="1"/>
  <c r="AL100" i="38"/>
  <c r="L100" i="38" s="1"/>
  <c r="F2243" i="48" s="1"/>
  <c r="AL82" i="38"/>
  <c r="K82" i="38" s="1"/>
  <c r="J82" i="38" s="1"/>
  <c r="D2234" i="48" s="1"/>
  <c r="AK129" i="33"/>
  <c r="M129" i="33" s="1"/>
  <c r="O129" i="33" s="1"/>
  <c r="F1169" i="48" s="1"/>
  <c r="AL56" i="38"/>
  <c r="K56" i="38" s="1"/>
  <c r="L56" i="38" s="1"/>
  <c r="AL66" i="38"/>
  <c r="K66" i="38" s="1"/>
  <c r="AK128" i="33"/>
  <c r="M128" i="33" s="1"/>
  <c r="O128" i="33" s="1"/>
  <c r="F1168" i="48" s="1"/>
  <c r="AL45" i="38"/>
  <c r="K45" i="38" s="1"/>
  <c r="J45" i="38" s="1"/>
  <c r="D2200" i="48" s="1"/>
  <c r="D119" i="48"/>
  <c r="D104" i="48"/>
  <c r="L82" i="34"/>
  <c r="D1335" i="48" s="1"/>
  <c r="E1335" i="48"/>
  <c r="O82" i="34"/>
  <c r="F1335" i="48" s="1"/>
  <c r="AK92" i="34"/>
  <c r="M92" i="34" s="1"/>
  <c r="AK127" i="33"/>
  <c r="M127" i="33" s="1"/>
  <c r="O127" i="33" s="1"/>
  <c r="F1167" i="48" s="1"/>
  <c r="AK126" i="33"/>
  <c r="M126" i="33" s="1"/>
  <c r="O126" i="33" s="1"/>
  <c r="F1166" i="48" s="1"/>
  <c r="AK43" i="34"/>
  <c r="M43" i="34" s="1"/>
  <c r="O43" i="34" s="1"/>
  <c r="AK42" i="34"/>
  <c r="M42" i="34" s="1"/>
  <c r="O42" i="34" s="1"/>
  <c r="AK41" i="34"/>
  <c r="M41" i="34" s="1"/>
  <c r="O41" i="34" s="1"/>
  <c r="AK45" i="34"/>
  <c r="M45" i="34" s="1"/>
  <c r="O45" i="34" s="1"/>
  <c r="J65" i="38"/>
  <c r="D2217" i="48" s="1"/>
  <c r="E2217" i="48"/>
  <c r="L65" i="38"/>
  <c r="F2217" i="48" s="1"/>
  <c r="J80" i="38"/>
  <c r="D2232" i="48" s="1"/>
  <c r="L80" i="38"/>
  <c r="F2232" i="48" s="1"/>
  <c r="E2232" i="48"/>
  <c r="AL78" i="38"/>
  <c r="K78" i="38" s="1"/>
  <c r="AL75" i="38"/>
  <c r="K75" i="38" s="1"/>
  <c r="AK57" i="4"/>
  <c r="G57" i="4" s="1"/>
  <c r="E47" i="48" s="1"/>
  <c r="AK59" i="4"/>
  <c r="G59" i="4" s="1"/>
  <c r="E49" i="48" s="1"/>
  <c r="AL57" i="38"/>
  <c r="AL43" i="38"/>
  <c r="K43" i="38" s="1"/>
  <c r="L43" i="38" s="1"/>
  <c r="F2198" i="48" s="1"/>
  <c r="AL39" i="38"/>
  <c r="K39" i="38" s="1"/>
  <c r="J39" i="38" s="1"/>
  <c r="D2194" i="48" s="1"/>
  <c r="AL47" i="38"/>
  <c r="K47" i="38" s="1"/>
  <c r="AL55" i="38"/>
  <c r="K55" i="38" s="1"/>
  <c r="AI56" i="4"/>
  <c r="E117" i="48"/>
  <c r="E102" i="48"/>
  <c r="AI100" i="37"/>
  <c r="BI557" i="4"/>
  <c r="BI556" i="4"/>
  <c r="BI553" i="4"/>
  <c r="AJ100" i="37"/>
  <c r="BI549" i="4"/>
  <c r="BI555" i="4"/>
  <c r="BI542" i="4" s="1"/>
  <c r="AA39" i="4" s="1"/>
  <c r="G39" i="4" s="1"/>
  <c r="E32" i="48" s="1"/>
  <c r="E105" i="48"/>
  <c r="E120" i="48"/>
  <c r="D115" i="48"/>
  <c r="D130" i="48"/>
  <c r="E119" i="48"/>
  <c r="E104" i="48"/>
  <c r="AJ56" i="4"/>
  <c r="BI558" i="4"/>
  <c r="BI546" i="4"/>
  <c r="E130" i="48"/>
  <c r="E115" i="48"/>
  <c r="BI559" i="4"/>
  <c r="BI548" i="4"/>
  <c r="AK104" i="34"/>
  <c r="M104" i="34" s="1"/>
  <c r="L50" i="35"/>
  <c r="D1694" i="48" s="1"/>
  <c r="E1171" i="48"/>
  <c r="AL186" i="4"/>
  <c r="I186" i="4" s="1"/>
  <c r="AL185" i="4"/>
  <c r="I185" i="4" s="1"/>
  <c r="D151" i="48"/>
  <c r="AK184" i="4"/>
  <c r="AJ184" i="4"/>
  <c r="B86" i="48"/>
  <c r="AJ98" i="4"/>
  <c r="AI98" i="4"/>
  <c r="AI58" i="4"/>
  <c r="AJ58" i="4"/>
  <c r="O50" i="35"/>
  <c r="F1694" i="48" s="1"/>
  <c r="AK105" i="34"/>
  <c r="M105" i="34" s="1"/>
  <c r="E1352" i="48" s="1"/>
  <c r="AJ84" i="37"/>
  <c r="AK84" i="37" s="1"/>
  <c r="M84" i="37" s="1"/>
  <c r="E1162" i="48"/>
  <c r="BG542" i="4"/>
  <c r="AA37" i="4" s="1"/>
  <c r="G37" i="4" s="1"/>
  <c r="E30" i="48" s="1"/>
  <c r="BH542" i="4"/>
  <c r="AA38" i="4" s="1"/>
  <c r="G38" i="4" s="1"/>
  <c r="E31" i="48" s="1"/>
  <c r="E1706" i="48"/>
  <c r="L72" i="35"/>
  <c r="D1706" i="48" s="1"/>
  <c r="O72" i="35"/>
  <c r="F1706" i="48" s="1"/>
  <c r="E2054" i="48"/>
  <c r="L77" i="37"/>
  <c r="D2054" i="48" s="1"/>
  <c r="O62" i="34"/>
  <c r="F1326" i="48" s="1"/>
  <c r="B48" i="48"/>
  <c r="E1701" i="48"/>
  <c r="L67" i="35"/>
  <c r="D1701" i="48" s="1"/>
  <c r="O67" i="35"/>
  <c r="F1701" i="48" s="1"/>
  <c r="E645" i="48"/>
  <c r="L59" i="32"/>
  <c r="D645" i="48" s="1"/>
  <c r="O59" i="32"/>
  <c r="F645" i="48" s="1"/>
  <c r="I42" i="30"/>
  <c r="I44" i="30" s="1"/>
  <c r="C118" i="36" s="1"/>
  <c r="B2011" i="48"/>
  <c r="L37" i="34"/>
  <c r="D1309" i="48" s="1"/>
  <c r="E1325" i="48"/>
  <c r="L61" i="34"/>
  <c r="D1325" i="48" s="1"/>
  <c r="O61" i="34"/>
  <c r="F1325" i="48" s="1"/>
  <c r="J86" i="37"/>
  <c r="B2058" i="48"/>
  <c r="L64" i="35"/>
  <c r="D1698" i="48" s="1"/>
  <c r="L32" i="10"/>
  <c r="D325" i="48" s="1"/>
  <c r="AK40" i="34"/>
  <c r="M40" i="34" s="1"/>
  <c r="O40" i="34" s="1"/>
  <c r="AK44" i="34"/>
  <c r="M44" i="34" s="1"/>
  <c r="O44" i="34" s="1"/>
  <c r="AK64" i="33"/>
  <c r="AK63" i="33"/>
  <c r="M63" i="33" s="1"/>
  <c r="AK59" i="33"/>
  <c r="M59" i="33" s="1"/>
  <c r="AK56" i="33"/>
  <c r="M56" i="33" s="1"/>
  <c r="E1111" i="48"/>
  <c r="L54" i="33"/>
  <c r="D1111" i="48" s="1"/>
  <c r="O54" i="33"/>
  <c r="F1111" i="48" s="1"/>
  <c r="AK53" i="33"/>
  <c r="M53" i="33" s="1"/>
  <c r="AK51" i="33"/>
  <c r="M51" i="33" s="1"/>
  <c r="L41" i="35"/>
  <c r="D1689" i="48" s="1"/>
  <c r="AK40" i="35"/>
  <c r="M40" i="35" s="1"/>
  <c r="E1688" i="48" s="1"/>
  <c r="AK44" i="35"/>
  <c r="M44" i="35" s="1"/>
  <c r="AK42" i="35"/>
  <c r="M42" i="35" s="1"/>
  <c r="AK39" i="35"/>
  <c r="M39" i="35" s="1"/>
  <c r="AK35" i="35"/>
  <c r="M35" i="35" s="1"/>
  <c r="L34" i="35"/>
  <c r="D1684" i="48" s="1"/>
  <c r="E1684" i="48"/>
  <c r="E1683" i="48"/>
  <c r="AK32" i="35"/>
  <c r="M32" i="35" s="1"/>
  <c r="B223" i="48"/>
  <c r="E330" i="48"/>
  <c r="E648" i="48"/>
  <c r="G33" i="4"/>
  <c r="B26" i="48"/>
  <c r="F89" i="4"/>
  <c r="D78" i="48" s="1"/>
  <c r="B222" i="48"/>
  <c r="B24" i="48"/>
  <c r="O44" i="33"/>
  <c r="F1107" i="48" s="1"/>
  <c r="E1107" i="48"/>
  <c r="M33" i="30"/>
  <c r="E268" i="48" s="1"/>
  <c r="B268" i="48"/>
  <c r="B253" i="48"/>
  <c r="D97" i="48"/>
  <c r="D96" i="48"/>
  <c r="D41" i="48"/>
  <c r="E2044" i="48"/>
  <c r="D55" i="48"/>
  <c r="B150" i="48"/>
  <c r="B358" i="48"/>
  <c r="L117" i="33"/>
  <c r="D1165" i="48" s="1"/>
  <c r="BE548" i="4"/>
  <c r="BE546" i="4"/>
  <c r="BE556" i="4"/>
  <c r="BE549" i="4"/>
  <c r="BE544" i="4"/>
  <c r="BE545" i="4"/>
  <c r="BE557" i="4"/>
  <c r="BE560" i="4"/>
  <c r="BE553" i="4"/>
  <c r="BE551" i="4"/>
  <c r="BE561" i="4"/>
  <c r="BE547" i="4"/>
  <c r="BE555" i="4"/>
  <c r="BE558" i="4"/>
  <c r="BE559" i="4"/>
  <c r="O37" i="30"/>
  <c r="F272" i="48" s="1"/>
  <c r="M37" i="30"/>
  <c r="E272" i="48" s="1"/>
  <c r="O52" i="35"/>
  <c r="F1695" i="48" s="1"/>
  <c r="L52" i="35"/>
  <c r="D1695" i="48" s="1"/>
  <c r="M130" i="35"/>
  <c r="E1735" i="48" s="1"/>
  <c r="L44" i="33"/>
  <c r="D1107" i="48" s="1"/>
  <c r="O33" i="30"/>
  <c r="F268" i="48" s="1"/>
  <c r="BC547" i="4"/>
  <c r="BC548" i="4"/>
  <c r="BC553" i="4"/>
  <c r="BC545" i="4"/>
  <c r="BC549" i="4"/>
  <c r="BC551" i="4"/>
  <c r="BC544" i="4"/>
  <c r="BC558" i="4"/>
  <c r="BC561" i="4"/>
  <c r="BC546" i="4"/>
  <c r="BC560" i="4"/>
  <c r="BC557" i="4"/>
  <c r="BC556" i="4"/>
  <c r="BC555" i="4"/>
  <c r="BD557" i="4"/>
  <c r="BD559" i="4"/>
  <c r="BD547" i="4"/>
  <c r="BD555" i="4"/>
  <c r="BD545" i="4"/>
  <c r="BD551" i="4"/>
  <c r="BD560" i="4"/>
  <c r="BD556" i="4"/>
  <c r="BD549" i="4"/>
  <c r="BD548" i="4"/>
  <c r="BD553" i="4"/>
  <c r="BD561" i="4"/>
  <c r="BB551" i="4"/>
  <c r="BB553" i="4"/>
  <c r="BB560" i="4"/>
  <c r="BB557" i="4"/>
  <c r="BB545" i="4"/>
  <c r="BB549" i="4"/>
  <c r="BB546" i="4"/>
  <c r="BB561" i="4"/>
  <c r="BB558" i="4"/>
  <c r="BB547" i="4"/>
  <c r="BB544" i="4"/>
  <c r="BB555" i="4"/>
  <c r="BB548" i="4"/>
  <c r="BJ556" i="4"/>
  <c r="BJ555" i="4"/>
  <c r="BJ548" i="4"/>
  <c r="BJ558" i="4"/>
  <c r="BJ549" i="4"/>
  <c r="BJ553" i="4"/>
  <c r="BJ561" i="4"/>
  <c r="BJ551" i="4"/>
  <c r="BJ545" i="4"/>
  <c r="BJ546" i="4"/>
  <c r="BJ560" i="4"/>
  <c r="BJ547" i="4"/>
  <c r="BJ544" i="4"/>
  <c r="BJ557" i="4"/>
  <c r="L64" i="32"/>
  <c r="D648" i="48" s="1"/>
  <c r="O64" i="32"/>
  <c r="F648" i="48" s="1"/>
  <c r="M31" i="30"/>
  <c r="E266" i="48" s="1"/>
  <c r="O31" i="30"/>
  <c r="F266" i="48" s="1"/>
  <c r="O32" i="30"/>
  <c r="F267" i="48" s="1"/>
  <c r="M32" i="30"/>
  <c r="E267" i="48" s="1"/>
  <c r="O64" i="34"/>
  <c r="F1327" i="48" s="1"/>
  <c r="L64" i="34"/>
  <c r="D1327" i="48" s="1"/>
  <c r="M36" i="30"/>
  <c r="E271" i="48" s="1"/>
  <c r="O36" i="30"/>
  <c r="F271" i="48" s="1"/>
  <c r="O83" i="33"/>
  <c r="F1138" i="48" s="1"/>
  <c r="L83" i="33"/>
  <c r="D1138" i="48" s="1"/>
  <c r="O35" i="30"/>
  <c r="F270" i="48" s="1"/>
  <c r="M35" i="30"/>
  <c r="E270" i="48" s="1"/>
  <c r="O40" i="10"/>
  <c r="F330" i="48" s="1"/>
  <c r="L40" i="10"/>
  <c r="D330" i="48" s="1"/>
  <c r="O34" i="30"/>
  <c r="F269" i="48" s="1"/>
  <c r="M34" i="30"/>
  <c r="E269" i="48" s="1"/>
  <c r="BA561" i="4"/>
  <c r="BA558" i="4"/>
  <c r="BA553" i="4"/>
  <c r="BA557" i="4"/>
  <c r="BA556" i="4"/>
  <c r="BA546" i="4"/>
  <c r="BA547" i="4"/>
  <c r="BA560" i="4"/>
  <c r="BA559" i="4"/>
  <c r="BA545" i="4"/>
  <c r="BA555" i="4"/>
  <c r="BA549" i="4"/>
  <c r="BA548" i="4"/>
  <c r="BA551" i="4"/>
  <c r="BA544" i="4"/>
  <c r="L134" i="33"/>
  <c r="D1171" i="48" s="1"/>
  <c r="F1171" i="48"/>
  <c r="J43" i="30"/>
  <c r="B278" i="48" s="1"/>
  <c r="E41" i="4"/>
  <c r="B34" i="48" s="1"/>
  <c r="O58" i="37"/>
  <c r="F2043" i="48" s="1"/>
  <c r="L58" i="37"/>
  <c r="D2043" i="48" s="1"/>
  <c r="AK56" i="37"/>
  <c r="M56" i="37" s="1"/>
  <c r="E2041" i="48" s="1"/>
  <c r="AK32" i="37"/>
  <c r="M32" i="37" s="1"/>
  <c r="E2034" i="48" s="1"/>
  <c r="L50" i="37" l="1"/>
  <c r="D2039" i="48" s="1"/>
  <c r="O41" i="35"/>
  <c r="F1689" i="48" s="1"/>
  <c r="L36" i="10"/>
  <c r="D328" i="48" s="1"/>
  <c r="E325" i="48"/>
  <c r="O37" i="34"/>
  <c r="F1309" i="48" s="1"/>
  <c r="H161" i="4"/>
  <c r="F144" i="48" s="1"/>
  <c r="L84" i="35"/>
  <c r="D1714" i="48" s="1"/>
  <c r="E642" i="48"/>
  <c r="E328" i="48"/>
  <c r="L62" i="34"/>
  <c r="D1326" i="48" s="1"/>
  <c r="O84" i="35"/>
  <c r="F1714" i="48" s="1"/>
  <c r="L89" i="32"/>
  <c r="O116" i="35"/>
  <c r="F1729" i="48" s="1"/>
  <c r="L32" i="32"/>
  <c r="D627" i="48" s="1"/>
  <c r="E144" i="48"/>
  <c r="E1708" i="48"/>
  <c r="E2050" i="48"/>
  <c r="H97" i="4"/>
  <c r="F85" i="48" s="1"/>
  <c r="L93" i="37"/>
  <c r="O74" i="35"/>
  <c r="F1708" i="48" s="1"/>
  <c r="L68" i="35"/>
  <c r="D1702" i="48" s="1"/>
  <c r="O56" i="32"/>
  <c r="F642" i="48" s="1"/>
  <c r="L38" i="32"/>
  <c r="D631" i="48" s="1"/>
  <c r="F46" i="4"/>
  <c r="D38" i="48" s="1"/>
  <c r="E95" i="48"/>
  <c r="L92" i="33"/>
  <c r="D1141" i="48" s="1"/>
  <c r="L110" i="35"/>
  <c r="D1726" i="48" s="1"/>
  <c r="F148" i="4"/>
  <c r="D135" i="48" s="1"/>
  <c r="H148" i="4"/>
  <c r="F135" i="48" s="1"/>
  <c r="H101" i="4"/>
  <c r="F89" i="48" s="1"/>
  <c r="E85" i="48"/>
  <c r="E39" i="48"/>
  <c r="F160" i="4"/>
  <c r="D143" i="48" s="1"/>
  <c r="H160" i="4"/>
  <c r="F143" i="48" s="1"/>
  <c r="F92" i="4"/>
  <c r="D81" i="48" s="1"/>
  <c r="E89" i="48"/>
  <c r="F107" i="4"/>
  <c r="D95" i="48" s="1"/>
  <c r="G127" i="4"/>
  <c r="F43" i="48"/>
  <c r="L94" i="37"/>
  <c r="L39" i="37"/>
  <c r="D2035" i="48" s="1"/>
  <c r="O39" i="37"/>
  <c r="F2035" i="48" s="1"/>
  <c r="L55" i="37"/>
  <c r="D2040" i="48" s="1"/>
  <c r="E2040" i="48"/>
  <c r="L59" i="37"/>
  <c r="D2044" i="48" s="1"/>
  <c r="L62" i="37"/>
  <c r="D2046" i="48" s="1"/>
  <c r="O62" i="37"/>
  <c r="F2046" i="48" s="1"/>
  <c r="L70" i="37"/>
  <c r="D2050" i="48" s="1"/>
  <c r="L76" i="37"/>
  <c r="D2053" i="48" s="1"/>
  <c r="E2053" i="48"/>
  <c r="AK100" i="37"/>
  <c r="M100" i="37" s="1"/>
  <c r="E2060" i="48" s="1"/>
  <c r="L95" i="37"/>
  <c r="O95" i="37"/>
  <c r="O81" i="37"/>
  <c r="F2056" i="48" s="1"/>
  <c r="E2056" i="48"/>
  <c r="L81" i="37"/>
  <c r="D2056" i="48" s="1"/>
  <c r="O80" i="37"/>
  <c r="F2055" i="48" s="1"/>
  <c r="L80" i="37"/>
  <c r="D2055" i="48" s="1"/>
  <c r="E2055" i="48"/>
  <c r="L66" i="37"/>
  <c r="D2048" i="48" s="1"/>
  <c r="E2052" i="48"/>
  <c r="L74" i="37"/>
  <c r="D2052" i="48" s="1"/>
  <c r="O74" i="37"/>
  <c r="F2052" i="48" s="1"/>
  <c r="E2049" i="48"/>
  <c r="L68" i="37"/>
  <c r="D2049" i="48" s="1"/>
  <c r="O68" i="37"/>
  <c r="F2049" i="48" s="1"/>
  <c r="O66" i="37"/>
  <c r="F2048" i="48" s="1"/>
  <c r="L57" i="37"/>
  <c r="D2042" i="48" s="1"/>
  <c r="O60" i="37"/>
  <c r="F2045" i="48" s="1"/>
  <c r="L60" i="37"/>
  <c r="D2045" i="48" s="1"/>
  <c r="O57" i="37"/>
  <c r="F2042" i="48" s="1"/>
  <c r="O50" i="37"/>
  <c r="F2039" i="48" s="1"/>
  <c r="O41" i="37"/>
  <c r="F2037" i="48" s="1"/>
  <c r="L41" i="37"/>
  <c r="D2037" i="48" s="1"/>
  <c r="L122" i="35"/>
  <c r="D1733" i="48" s="1"/>
  <c r="O122" i="35"/>
  <c r="F1733" i="48" s="1"/>
  <c r="O118" i="35"/>
  <c r="F1730" i="48" s="1"/>
  <c r="L118" i="35"/>
  <c r="D1730" i="48" s="1"/>
  <c r="L116" i="35"/>
  <c r="D1729" i="48" s="1"/>
  <c r="L87" i="35"/>
  <c r="D1716" i="48" s="1"/>
  <c r="O87" i="35"/>
  <c r="F1716" i="48" s="1"/>
  <c r="O64" i="35"/>
  <c r="F1698" i="48" s="1"/>
  <c r="O68" i="35"/>
  <c r="F1702" i="48" s="1"/>
  <c r="L71" i="35"/>
  <c r="D1705" i="48" s="1"/>
  <c r="L36" i="35"/>
  <c r="D1686" i="48" s="1"/>
  <c r="O36" i="35"/>
  <c r="F1686" i="48" s="1"/>
  <c r="L33" i="35"/>
  <c r="D1683" i="48" s="1"/>
  <c r="O120" i="35"/>
  <c r="F1732" i="48" s="1"/>
  <c r="L120" i="35"/>
  <c r="D1732" i="48" s="1"/>
  <c r="O110" i="35"/>
  <c r="F1726" i="48" s="1"/>
  <c r="L119" i="35"/>
  <c r="D1731" i="48" s="1"/>
  <c r="E1731" i="48"/>
  <c r="O119" i="35"/>
  <c r="F1731" i="48" s="1"/>
  <c r="L114" i="35"/>
  <c r="D1728" i="48" s="1"/>
  <c r="E1728" i="48"/>
  <c r="O114" i="35"/>
  <c r="F1728" i="48" s="1"/>
  <c r="O108" i="35"/>
  <c r="F1725" i="48" s="1"/>
  <c r="L108" i="35"/>
  <c r="D1725" i="48" s="1"/>
  <c r="E1725" i="48"/>
  <c r="E1723" i="48"/>
  <c r="O98" i="35"/>
  <c r="F1723" i="48" s="1"/>
  <c r="L98" i="35"/>
  <c r="D1723" i="48" s="1"/>
  <c r="E1722" i="48"/>
  <c r="O97" i="35"/>
  <c r="F1722" i="48" s="1"/>
  <c r="L97" i="35"/>
  <c r="D1722" i="48" s="1"/>
  <c r="L96" i="35"/>
  <c r="D1721" i="48" s="1"/>
  <c r="E1721" i="48"/>
  <c r="O96" i="35"/>
  <c r="F1721" i="48" s="1"/>
  <c r="E1720" i="48"/>
  <c r="L95" i="35"/>
  <c r="D1720" i="48" s="1"/>
  <c r="O95" i="35"/>
  <c r="F1720" i="48" s="1"/>
  <c r="E1719" i="48"/>
  <c r="O94" i="35"/>
  <c r="F1719" i="48" s="1"/>
  <c r="L94" i="35"/>
  <c r="D1719" i="48" s="1"/>
  <c r="O93" i="35"/>
  <c r="F1718" i="48" s="1"/>
  <c r="L93" i="35"/>
  <c r="D1718" i="48" s="1"/>
  <c r="E1718" i="48"/>
  <c r="E1717" i="48"/>
  <c r="L90" i="35"/>
  <c r="D1717" i="48" s="1"/>
  <c r="E1715" i="48"/>
  <c r="L85" i="35"/>
  <c r="D1715" i="48" s="1"/>
  <c r="O83" i="35"/>
  <c r="F1713" i="48" s="1"/>
  <c r="L83" i="35"/>
  <c r="D1713" i="48" s="1"/>
  <c r="E1713" i="48"/>
  <c r="O63" i="35"/>
  <c r="F1697" i="48" s="1"/>
  <c r="O71" i="35"/>
  <c r="F1705" i="48" s="1"/>
  <c r="E1697" i="48"/>
  <c r="O65" i="35"/>
  <c r="F1699" i="48" s="1"/>
  <c r="E1699" i="48"/>
  <c r="L65" i="35"/>
  <c r="D1699" i="48" s="1"/>
  <c r="E1704" i="48"/>
  <c r="O70" i="35"/>
  <c r="F1704" i="48" s="1"/>
  <c r="L70" i="35"/>
  <c r="D1704" i="48" s="1"/>
  <c r="L73" i="35"/>
  <c r="D1707" i="48" s="1"/>
  <c r="O73" i="35"/>
  <c r="F1707" i="48" s="1"/>
  <c r="E1707" i="48"/>
  <c r="O60" i="35"/>
  <c r="F1696" i="48" s="1"/>
  <c r="E1696" i="48"/>
  <c r="L36" i="34"/>
  <c r="D1308" i="48" s="1"/>
  <c r="E1308" i="48"/>
  <c r="O97" i="34"/>
  <c r="F1348" i="48" s="1"/>
  <c r="L97" i="34"/>
  <c r="D1348" i="48" s="1"/>
  <c r="E1348" i="48"/>
  <c r="O96" i="34"/>
  <c r="F1347" i="48" s="1"/>
  <c r="L96" i="34"/>
  <c r="D1347" i="48" s="1"/>
  <c r="E1347" i="48"/>
  <c r="O94" i="34"/>
  <c r="F1345" i="48" s="1"/>
  <c r="L94" i="34"/>
  <c r="D1345" i="48" s="1"/>
  <c r="E1345" i="48"/>
  <c r="L89" i="34"/>
  <c r="D1340" i="48" s="1"/>
  <c r="E1340" i="48"/>
  <c r="O89" i="34"/>
  <c r="F1340" i="48" s="1"/>
  <c r="O87" i="34"/>
  <c r="F1338" i="48" s="1"/>
  <c r="L87" i="34"/>
  <c r="D1338" i="48" s="1"/>
  <c r="E1338" i="48"/>
  <c r="F174" i="4"/>
  <c r="D148" i="48" s="1"/>
  <c r="H174" i="4"/>
  <c r="F148" i="48" s="1"/>
  <c r="E1333" i="48"/>
  <c r="O80" i="34"/>
  <c r="F1333" i="48" s="1"/>
  <c r="L80" i="34"/>
  <c r="D1333" i="48" s="1"/>
  <c r="E1328" i="48"/>
  <c r="O75" i="34"/>
  <c r="F1328" i="48" s="1"/>
  <c r="L75" i="34"/>
  <c r="D1328" i="48" s="1"/>
  <c r="O58" i="34"/>
  <c r="F1324" i="48" s="1"/>
  <c r="L58" i="34"/>
  <c r="D1324" i="48" s="1"/>
  <c r="L55" i="34"/>
  <c r="D1323" i="48" s="1"/>
  <c r="E1323" i="48"/>
  <c r="O55" i="34"/>
  <c r="F1323" i="48" s="1"/>
  <c r="O54" i="34"/>
  <c r="F1322" i="48" s="1"/>
  <c r="L54" i="34"/>
  <c r="D1322" i="48" s="1"/>
  <c r="E1322" i="48"/>
  <c r="E1321" i="48"/>
  <c r="L53" i="34"/>
  <c r="D1321" i="48" s="1"/>
  <c r="O53" i="34"/>
  <c r="F1321" i="48" s="1"/>
  <c r="E1320" i="48"/>
  <c r="O52" i="34"/>
  <c r="F1320" i="48" s="1"/>
  <c r="L52" i="34"/>
  <c r="D1320" i="48" s="1"/>
  <c r="L105" i="33"/>
  <c r="D1154" i="48" s="1"/>
  <c r="L97" i="33"/>
  <c r="D1146" i="48" s="1"/>
  <c r="L113" i="33"/>
  <c r="D1162" i="48" s="1"/>
  <c r="E1170" i="48"/>
  <c r="L132" i="33"/>
  <c r="D1170" i="48" s="1"/>
  <c r="L108" i="33"/>
  <c r="D1157" i="48" s="1"/>
  <c r="L107" i="33"/>
  <c r="D1156" i="48" s="1"/>
  <c r="P98" i="33"/>
  <c r="L99" i="33"/>
  <c r="D1148" i="48" s="1"/>
  <c r="L106" i="33"/>
  <c r="D1155" i="48" s="1"/>
  <c r="P106" i="33"/>
  <c r="P100" i="33"/>
  <c r="L100" i="33"/>
  <c r="D1149" i="48" s="1"/>
  <c r="E1104" i="48"/>
  <c r="L40" i="33"/>
  <c r="D1104" i="48" s="1"/>
  <c r="O40" i="33"/>
  <c r="F1104" i="48" s="1"/>
  <c r="O38" i="33"/>
  <c r="F1102" i="48" s="1"/>
  <c r="L38" i="33"/>
  <c r="D1102" i="48" s="1"/>
  <c r="E1102" i="48"/>
  <c r="O32" i="32"/>
  <c r="F627" i="48" s="1"/>
  <c r="E631" i="48"/>
  <c r="O48" i="32"/>
  <c r="F638" i="48" s="1"/>
  <c r="L52" i="32"/>
  <c r="D640" i="48" s="1"/>
  <c r="E507" i="48"/>
  <c r="O85" i="32"/>
  <c r="F507" i="48" s="1"/>
  <c r="E644" i="48"/>
  <c r="L58" i="32"/>
  <c r="D644" i="48" s="1"/>
  <c r="E640" i="48"/>
  <c r="L48" i="32"/>
  <c r="D638" i="48" s="1"/>
  <c r="O33" i="10"/>
  <c r="F326" i="48" s="1"/>
  <c r="E326" i="48"/>
  <c r="L33" i="10"/>
  <c r="D326" i="48" s="1"/>
  <c r="E327" i="48"/>
  <c r="O34" i="10"/>
  <c r="F327" i="48" s="1"/>
  <c r="L34" i="10"/>
  <c r="D327" i="48" s="1"/>
  <c r="F86" i="4"/>
  <c r="D75" i="48" s="1"/>
  <c r="E77" i="48"/>
  <c r="H92" i="4"/>
  <c r="F81" i="48" s="1"/>
  <c r="H88" i="4"/>
  <c r="F77" i="48" s="1"/>
  <c r="H86" i="4"/>
  <c r="F75" i="48" s="1"/>
  <c r="H47" i="4"/>
  <c r="F39" i="48" s="1"/>
  <c r="E38" i="48"/>
  <c r="G72" i="4"/>
  <c r="E652" i="48"/>
  <c r="I125" i="4"/>
  <c r="F121" i="48" s="1"/>
  <c r="M62" i="33"/>
  <c r="O62" i="33" s="1"/>
  <c r="O63" i="33"/>
  <c r="L63" i="33"/>
  <c r="G65" i="4"/>
  <c r="G52" i="4"/>
  <c r="E42" i="48" s="1"/>
  <c r="L96" i="32"/>
  <c r="D652" i="48" s="1"/>
  <c r="L31" i="34"/>
  <c r="D1306" i="48" s="1"/>
  <c r="O31" i="34"/>
  <c r="F1306" i="48" s="1"/>
  <c r="F60" i="4"/>
  <c r="D50" i="48" s="1"/>
  <c r="E50" i="48"/>
  <c r="G93" i="4"/>
  <c r="H93" i="4" s="1"/>
  <c r="F82" i="48" s="1"/>
  <c r="F127" i="4"/>
  <c r="A17" i="10"/>
  <c r="B280" i="48" s="1"/>
  <c r="AK125" i="4"/>
  <c r="J125" i="4" s="1"/>
  <c r="F106" i="48" s="1"/>
  <c r="AK104" i="4"/>
  <c r="G104" i="4" s="1"/>
  <c r="F104" i="4" s="1"/>
  <c r="D92" i="48" s="1"/>
  <c r="BF542" i="4"/>
  <c r="AA36" i="4" s="1"/>
  <c r="G36" i="4" s="1"/>
  <c r="E29" i="48" s="1"/>
  <c r="H125" i="4"/>
  <c r="E1105" i="48"/>
  <c r="L41" i="33"/>
  <c r="D1105" i="48" s="1"/>
  <c r="O41" i="33"/>
  <c r="F1105" i="48" s="1"/>
  <c r="L37" i="10"/>
  <c r="D329" i="48" s="1"/>
  <c r="E329" i="48"/>
  <c r="E324" i="48"/>
  <c r="L31" i="10"/>
  <c r="D324" i="48" s="1"/>
  <c r="O31" i="10"/>
  <c r="F324" i="48" s="1"/>
  <c r="L32" i="33"/>
  <c r="D1096" i="48" s="1"/>
  <c r="O32" i="33"/>
  <c r="F1096" i="48" s="1"/>
  <c r="E1096" i="48"/>
  <c r="E1095" i="48"/>
  <c r="O31" i="33"/>
  <c r="F1095" i="48" s="1"/>
  <c r="L31" i="33"/>
  <c r="D1095" i="48" s="1"/>
  <c r="L37" i="33"/>
  <c r="D1101" i="48" s="1"/>
  <c r="O37" i="33"/>
  <c r="F1101" i="48" s="1"/>
  <c r="F68" i="33"/>
  <c r="B833" i="48" s="1"/>
  <c r="F75" i="33"/>
  <c r="BX542" i="4"/>
  <c r="E634" i="48"/>
  <c r="F72" i="33"/>
  <c r="P96" i="33"/>
  <c r="L96" i="33"/>
  <c r="D1145" i="48" s="1"/>
  <c r="P94" i="33"/>
  <c r="L94" i="33"/>
  <c r="D1143" i="48" s="1"/>
  <c r="P91" i="33"/>
  <c r="L91" i="33"/>
  <c r="D1140" i="48" s="1"/>
  <c r="O41" i="32"/>
  <c r="F634" i="48" s="1"/>
  <c r="AA125" i="4"/>
  <c r="G125" i="4" s="1"/>
  <c r="B121" i="48"/>
  <c r="P90" i="33"/>
  <c r="D1139" i="48"/>
  <c r="E630" i="48"/>
  <c r="L37" i="32"/>
  <c r="D630" i="48" s="1"/>
  <c r="E650" i="48"/>
  <c r="O60" i="32"/>
  <c r="F646" i="48" s="1"/>
  <c r="L60" i="32"/>
  <c r="D646" i="48" s="1"/>
  <c r="AK179" i="4"/>
  <c r="H179" i="4" s="1"/>
  <c r="G179" i="4" s="1"/>
  <c r="O57" i="33"/>
  <c r="F1114" i="48" s="1"/>
  <c r="E1118" i="48"/>
  <c r="L57" i="33"/>
  <c r="D1114" i="48" s="1"/>
  <c r="P67" i="33"/>
  <c r="E1124" i="48" s="1"/>
  <c r="R67" i="33"/>
  <c r="F1124" i="48" s="1"/>
  <c r="P70" i="33"/>
  <c r="E1127" i="48" s="1"/>
  <c r="R70" i="33"/>
  <c r="F1127" i="48" s="1"/>
  <c r="E594" i="48"/>
  <c r="L39" i="32"/>
  <c r="D632" i="48" s="1"/>
  <c r="E632" i="48"/>
  <c r="E2057" i="48"/>
  <c r="O82" i="37"/>
  <c r="F2057" i="48" s="1"/>
  <c r="L82" i="37"/>
  <c r="D2057" i="48" s="1"/>
  <c r="E593" i="48"/>
  <c r="E591" i="48"/>
  <c r="L75" i="32"/>
  <c r="D591" i="48" s="1"/>
  <c r="E51" i="48"/>
  <c r="H61" i="4"/>
  <c r="F51" i="48" s="1"/>
  <c r="E154" i="48"/>
  <c r="F154" i="48"/>
  <c r="F189" i="4"/>
  <c r="D154" i="48" s="1"/>
  <c r="H153" i="4"/>
  <c r="F140" i="48" s="1"/>
  <c r="E140" i="48"/>
  <c r="E141" i="48"/>
  <c r="H154" i="4"/>
  <c r="F141" i="48" s="1"/>
  <c r="F154" i="4"/>
  <c r="D141" i="48" s="1"/>
  <c r="E88" i="48"/>
  <c r="H100" i="4"/>
  <c r="F88" i="48" s="1"/>
  <c r="F100" i="4"/>
  <c r="D88" i="48" s="1"/>
  <c r="O46" i="32"/>
  <c r="F636" i="48" s="1"/>
  <c r="E636" i="48"/>
  <c r="L89" i="38"/>
  <c r="F2241" i="48" s="1"/>
  <c r="J89" i="38"/>
  <c r="D2241" i="48" s="1"/>
  <c r="E2241" i="48"/>
  <c r="E628" i="48"/>
  <c r="O35" i="32"/>
  <c r="F628" i="48" s="1"/>
  <c r="L94" i="32"/>
  <c r="D650" i="48" s="1"/>
  <c r="O62" i="32"/>
  <c r="F647" i="48" s="1"/>
  <c r="E647" i="48"/>
  <c r="L62" i="32"/>
  <c r="D647" i="48" s="1"/>
  <c r="O57" i="32"/>
  <c r="F643" i="48" s="1"/>
  <c r="E643" i="48"/>
  <c r="L57" i="32"/>
  <c r="D643" i="48" s="1"/>
  <c r="L51" i="32"/>
  <c r="D639" i="48" s="1"/>
  <c r="O51" i="32"/>
  <c r="F639" i="48" s="1"/>
  <c r="E633" i="48"/>
  <c r="O40" i="32"/>
  <c r="F633" i="48" s="1"/>
  <c r="L40" i="32"/>
  <c r="D633" i="48" s="1"/>
  <c r="L36" i="32"/>
  <c r="D629" i="48" s="1"/>
  <c r="E629" i="48"/>
  <c r="O36" i="32"/>
  <c r="F629" i="48" s="1"/>
  <c r="F591" i="48"/>
  <c r="E592" i="48"/>
  <c r="L76" i="32"/>
  <c r="L82" i="32"/>
  <c r="D649" i="48" s="1"/>
  <c r="E649" i="48"/>
  <c r="F649" i="48"/>
  <c r="O95" i="32"/>
  <c r="F651" i="48" s="1"/>
  <c r="L95" i="32"/>
  <c r="D651" i="48" s="1"/>
  <c r="E651" i="48"/>
  <c r="O60" i="33"/>
  <c r="F1117" i="48" s="1"/>
  <c r="L60" i="33"/>
  <c r="D1117" i="48" s="1"/>
  <c r="H173" i="4"/>
  <c r="F147" i="48" s="1"/>
  <c r="F173" i="4"/>
  <c r="D147" i="48" s="1"/>
  <c r="L52" i="33"/>
  <c r="D1109" i="48" s="1"/>
  <c r="L55" i="33"/>
  <c r="D1112" i="48" s="1"/>
  <c r="O55" i="33"/>
  <c r="F1112" i="48" s="1"/>
  <c r="O52" i="33"/>
  <c r="F1109" i="48" s="1"/>
  <c r="D80" i="33"/>
  <c r="H80" i="33"/>
  <c r="E80" i="33"/>
  <c r="B830" i="48"/>
  <c r="G80" i="33"/>
  <c r="E1130" i="48"/>
  <c r="P73" i="33"/>
  <c r="L58" i="33"/>
  <c r="D1115" i="48" s="1"/>
  <c r="O58" i="33"/>
  <c r="F1115" i="48" s="1"/>
  <c r="O61" i="33"/>
  <c r="F1118" i="48" s="1"/>
  <c r="F1119" i="48"/>
  <c r="J65" i="33"/>
  <c r="B1122" i="48" s="1"/>
  <c r="I68" i="33"/>
  <c r="B909" i="48"/>
  <c r="I71" i="33"/>
  <c r="B1055" i="48" s="1"/>
  <c r="B915" i="48"/>
  <c r="I77" i="33"/>
  <c r="B1061" i="48" s="1"/>
  <c r="B912" i="48"/>
  <c r="I74" i="33"/>
  <c r="B1058" i="48" s="1"/>
  <c r="B913" i="48"/>
  <c r="I75" i="33"/>
  <c r="B1059" i="48" s="1"/>
  <c r="B1049" i="48"/>
  <c r="J66" i="33"/>
  <c r="B1123" i="48" s="1"/>
  <c r="B916" i="48"/>
  <c r="I78" i="33"/>
  <c r="B1062" i="48" s="1"/>
  <c r="B910" i="48"/>
  <c r="I72" i="33"/>
  <c r="B1056" i="48" s="1"/>
  <c r="B767" i="48"/>
  <c r="F77" i="33"/>
  <c r="B842" i="48" s="1"/>
  <c r="F71" i="33"/>
  <c r="B691" i="48"/>
  <c r="B690" i="48"/>
  <c r="F74" i="33"/>
  <c r="B687" i="48"/>
  <c r="B688" i="48"/>
  <c r="B694" i="48"/>
  <c r="F78" i="33"/>
  <c r="B685" i="48"/>
  <c r="F69" i="33"/>
  <c r="B834" i="48" s="1"/>
  <c r="B907" i="48"/>
  <c r="I69" i="33"/>
  <c r="B758" i="48"/>
  <c r="E1133" i="48"/>
  <c r="R76" i="33"/>
  <c r="B693" i="48"/>
  <c r="B684" i="48"/>
  <c r="K90" i="38"/>
  <c r="K57" i="38"/>
  <c r="L57" i="38" s="1"/>
  <c r="F2212" i="48" s="1"/>
  <c r="E1332" i="48"/>
  <c r="L79" i="34"/>
  <c r="D1332" i="48" s="1"/>
  <c r="H172" i="4"/>
  <c r="F146" i="48" s="1"/>
  <c r="F172" i="4"/>
  <c r="D146" i="48" s="1"/>
  <c r="E1315" i="48"/>
  <c r="F1315" i="48"/>
  <c r="L41" i="34"/>
  <c r="D1311" i="48" s="1"/>
  <c r="F1311" i="48"/>
  <c r="F1312" i="48"/>
  <c r="E1313" i="48"/>
  <c r="F1313" i="48"/>
  <c r="E43" i="48"/>
  <c r="F53" i="4"/>
  <c r="D43" i="48" s="1"/>
  <c r="E2211" i="48"/>
  <c r="J56" i="38"/>
  <c r="D2211" i="48" s="1"/>
  <c r="F2211" i="48"/>
  <c r="L128" i="33"/>
  <c r="D1168" i="48" s="1"/>
  <c r="H110" i="4"/>
  <c r="F98" i="48" s="1"/>
  <c r="L127" i="33"/>
  <c r="D1167" i="48" s="1"/>
  <c r="E2225" i="48"/>
  <c r="F110" i="4"/>
  <c r="D98" i="48" s="1"/>
  <c r="J73" i="38"/>
  <c r="D2225" i="48" s="1"/>
  <c r="L40" i="38"/>
  <c r="F2195" i="48" s="1"/>
  <c r="E2199" i="48"/>
  <c r="L71" i="38"/>
  <c r="F2223" i="48" s="1"/>
  <c r="L36" i="38"/>
  <c r="F2191" i="48" s="1"/>
  <c r="L35" i="38"/>
  <c r="F2190" i="48" s="1"/>
  <c r="J35" i="38"/>
  <c r="D2190" i="48" s="1"/>
  <c r="J61" i="38"/>
  <c r="D2213" i="48" s="1"/>
  <c r="J81" i="38"/>
  <c r="D2233" i="48" s="1"/>
  <c r="E2188" i="48"/>
  <c r="E2226" i="48"/>
  <c r="E2219" i="48"/>
  <c r="E2191" i="48"/>
  <c r="J42" i="38"/>
  <c r="D2197" i="48" s="1"/>
  <c r="J88" i="38"/>
  <c r="D2240" i="48" s="1"/>
  <c r="E2240" i="48"/>
  <c r="E2221" i="48"/>
  <c r="E2223" i="48"/>
  <c r="L61" i="38"/>
  <c r="F2213" i="48" s="1"/>
  <c r="E1311" i="48"/>
  <c r="L42" i="38"/>
  <c r="F2197" i="48" s="1"/>
  <c r="E2224" i="48"/>
  <c r="E1167" i="48"/>
  <c r="L63" i="38"/>
  <c r="F2215" i="48" s="1"/>
  <c r="J44" i="38"/>
  <c r="D2199" i="48" s="1"/>
  <c r="L67" i="38"/>
  <c r="F2219" i="48" s="1"/>
  <c r="L81" i="38"/>
  <c r="F2233" i="48" s="1"/>
  <c r="E2195" i="48"/>
  <c r="J72" i="38"/>
  <c r="D2224" i="48" s="1"/>
  <c r="L45" i="34"/>
  <c r="D1315" i="48" s="1"/>
  <c r="L129" i="33"/>
  <c r="D1169" i="48" s="1"/>
  <c r="J49" i="38"/>
  <c r="D2204" i="48" s="1"/>
  <c r="K105" i="38"/>
  <c r="E2254" i="48" s="1"/>
  <c r="L82" i="38"/>
  <c r="F2234" i="48" s="1"/>
  <c r="L34" i="38"/>
  <c r="F2189" i="48" s="1"/>
  <c r="E2204" i="48"/>
  <c r="L69" i="38"/>
  <c r="F2221" i="48" s="1"/>
  <c r="J46" i="38"/>
  <c r="D2201" i="48" s="1"/>
  <c r="L33" i="38"/>
  <c r="F2188" i="48" s="1"/>
  <c r="J79" i="38"/>
  <c r="D2231" i="48" s="1"/>
  <c r="E2215" i="48"/>
  <c r="L46" i="38"/>
  <c r="F2201" i="48" s="1"/>
  <c r="J34" i="38"/>
  <c r="D2189" i="48" s="1"/>
  <c r="E1168" i="48"/>
  <c r="L79" i="38"/>
  <c r="F2231" i="48" s="1"/>
  <c r="L74" i="38"/>
  <c r="F2226" i="48" s="1"/>
  <c r="E1169" i="48"/>
  <c r="E2234" i="48"/>
  <c r="J48" i="38"/>
  <c r="D2203" i="48" s="1"/>
  <c r="L48" i="38"/>
  <c r="F2203" i="48" s="1"/>
  <c r="E2193" i="48"/>
  <c r="E2229" i="48"/>
  <c r="J38" i="38"/>
  <c r="D2193" i="48" s="1"/>
  <c r="J77" i="38"/>
  <c r="D2229" i="48" s="1"/>
  <c r="L76" i="38"/>
  <c r="F2228" i="48" s="1"/>
  <c r="E2228" i="48"/>
  <c r="J41" i="38"/>
  <c r="D2196" i="48" s="1"/>
  <c r="L41" i="38"/>
  <c r="F2196" i="48" s="1"/>
  <c r="K100" i="38"/>
  <c r="E2249" i="48" s="1"/>
  <c r="J70" i="38"/>
  <c r="D2222" i="48" s="1"/>
  <c r="L70" i="38"/>
  <c r="F2222" i="48" s="1"/>
  <c r="E2253" i="48"/>
  <c r="E2247" i="48"/>
  <c r="J104" i="38"/>
  <c r="D2247" i="48" s="1"/>
  <c r="L104" i="38"/>
  <c r="F2247" i="48" s="1"/>
  <c r="K101" i="38"/>
  <c r="E2250" i="48" s="1"/>
  <c r="J64" i="38"/>
  <c r="D2216" i="48" s="1"/>
  <c r="E2245" i="48"/>
  <c r="J102" i="38"/>
  <c r="D2245" i="48" s="1"/>
  <c r="J37" i="38"/>
  <c r="D2192" i="48" s="1"/>
  <c r="L37" i="38"/>
  <c r="F2192" i="48" s="1"/>
  <c r="L45" i="38"/>
  <c r="F2200" i="48" s="1"/>
  <c r="L126" i="33"/>
  <c r="D1166" i="48" s="1"/>
  <c r="L64" i="38"/>
  <c r="F2216" i="48" s="1"/>
  <c r="E2200" i="48"/>
  <c r="J68" i="38"/>
  <c r="D2220" i="48" s="1"/>
  <c r="L68" i="38"/>
  <c r="F2220" i="48" s="1"/>
  <c r="E2220" i="48"/>
  <c r="L62" i="38"/>
  <c r="F2214" i="48" s="1"/>
  <c r="E2214" i="48"/>
  <c r="E2218" i="48"/>
  <c r="J66" i="38"/>
  <c r="D2218" i="48" s="1"/>
  <c r="L66" i="38"/>
  <c r="F2218" i="48" s="1"/>
  <c r="L103" i="38"/>
  <c r="F2246" i="48" s="1"/>
  <c r="K103" i="38"/>
  <c r="E1343" i="48"/>
  <c r="L92" i="34"/>
  <c r="D1343" i="48" s="1"/>
  <c r="O92" i="34"/>
  <c r="F1343" i="48" s="1"/>
  <c r="E1166" i="48"/>
  <c r="L43" i="34"/>
  <c r="D1313" i="48" s="1"/>
  <c r="E1312" i="48"/>
  <c r="L42" i="34"/>
  <c r="D1312" i="48" s="1"/>
  <c r="C130" i="36"/>
  <c r="C131" i="36"/>
  <c r="C129" i="36"/>
  <c r="J75" i="38"/>
  <c r="D2227" i="48" s="1"/>
  <c r="E2227" i="48"/>
  <c r="L75" i="38"/>
  <c r="F2227" i="48" s="1"/>
  <c r="E2230" i="48"/>
  <c r="J78" i="38"/>
  <c r="D2230" i="48" s="1"/>
  <c r="L78" i="38"/>
  <c r="F2230" i="48" s="1"/>
  <c r="H57" i="4"/>
  <c r="F47" i="48" s="1"/>
  <c r="F59" i="4"/>
  <c r="D49" i="48" s="1"/>
  <c r="H59" i="4"/>
  <c r="F49" i="48" s="1"/>
  <c r="F57" i="4"/>
  <c r="D47" i="48" s="1"/>
  <c r="AK58" i="4"/>
  <c r="G58" i="4" s="1"/>
  <c r="E48" i="48" s="1"/>
  <c r="J43" i="38"/>
  <c r="D2198" i="48" s="1"/>
  <c r="E2198" i="48"/>
  <c r="L39" i="38"/>
  <c r="F2194" i="48" s="1"/>
  <c r="E2194" i="48"/>
  <c r="L47" i="38"/>
  <c r="F2202" i="48" s="1"/>
  <c r="E2202" i="48"/>
  <c r="J47" i="38"/>
  <c r="D2202" i="48" s="1"/>
  <c r="AK56" i="4"/>
  <c r="G56" i="4" s="1"/>
  <c r="F56" i="4" s="1"/>
  <c r="D46" i="48" s="1"/>
  <c r="J55" i="38"/>
  <c r="D2210" i="48" s="1"/>
  <c r="E2210" i="48"/>
  <c r="L55" i="38"/>
  <c r="F2210" i="48" s="1"/>
  <c r="E1351" i="48"/>
  <c r="L104" i="34"/>
  <c r="D1351" i="48" s="1"/>
  <c r="F1314" i="48"/>
  <c r="E1314" i="48"/>
  <c r="F1310" i="48"/>
  <c r="E1310" i="48"/>
  <c r="L105" i="34"/>
  <c r="D1352" i="48" s="1"/>
  <c r="O105" i="34"/>
  <c r="F1352" i="48" s="1"/>
  <c r="O104" i="34"/>
  <c r="F1351" i="48" s="1"/>
  <c r="F39" i="4"/>
  <c r="D32" i="48" s="1"/>
  <c r="H39" i="4"/>
  <c r="F32" i="48" s="1"/>
  <c r="AK98" i="4"/>
  <c r="G98" i="4" s="1"/>
  <c r="F98" i="4" s="1"/>
  <c r="D86" i="48" s="1"/>
  <c r="AL184" i="4"/>
  <c r="I184" i="4" s="1"/>
  <c r="BD542" i="4"/>
  <c r="AA34" i="4" s="1"/>
  <c r="G34" i="4" s="1"/>
  <c r="E27" i="48" s="1"/>
  <c r="Q64" i="33"/>
  <c r="F38" i="4"/>
  <c r="D31" i="48" s="1"/>
  <c r="H38" i="4"/>
  <c r="F31" i="48" s="1"/>
  <c r="BA542" i="4"/>
  <c r="AA29" i="4" s="1"/>
  <c r="G29" i="4" s="1"/>
  <c r="E22" i="48" s="1"/>
  <c r="BB542" i="4"/>
  <c r="AA30" i="4" s="1"/>
  <c r="G30" i="4" s="1"/>
  <c r="E23" i="48" s="1"/>
  <c r="BC542" i="4"/>
  <c r="AA31" i="4" s="1"/>
  <c r="G31" i="4" s="1"/>
  <c r="E24" i="48" s="1"/>
  <c r="E40" i="4"/>
  <c r="E42" i="4" s="1"/>
  <c r="E62" i="4" s="1"/>
  <c r="J42" i="30"/>
  <c r="J44" i="30" s="1"/>
  <c r="B2059" i="48"/>
  <c r="O84" i="37"/>
  <c r="F2058" i="48" s="1"/>
  <c r="E2058" i="48"/>
  <c r="L84" i="37"/>
  <c r="D2058" i="48" s="1"/>
  <c r="M86" i="37"/>
  <c r="B263" i="48"/>
  <c r="L40" i="34"/>
  <c r="D1310" i="48" s="1"/>
  <c r="L46" i="34"/>
  <c r="D1316" i="48" s="1"/>
  <c r="A17" i="34"/>
  <c r="B1172" i="48" s="1"/>
  <c r="L44" i="34"/>
  <c r="D1314" i="48" s="1"/>
  <c r="E1116" i="48"/>
  <c r="L59" i="33"/>
  <c r="D1116" i="48" s="1"/>
  <c r="O59" i="33"/>
  <c r="F1116" i="48" s="1"/>
  <c r="E1113" i="48"/>
  <c r="L56" i="33"/>
  <c r="D1113" i="48" s="1"/>
  <c r="O56" i="33"/>
  <c r="F1113" i="48" s="1"/>
  <c r="E1110" i="48"/>
  <c r="L53" i="33"/>
  <c r="D1110" i="48" s="1"/>
  <c r="O53" i="33"/>
  <c r="F1110" i="48" s="1"/>
  <c r="E1108" i="48"/>
  <c r="L51" i="33"/>
  <c r="D1108" i="48" s="1"/>
  <c r="O51" i="33"/>
  <c r="F1108" i="48" s="1"/>
  <c r="BJ542" i="4"/>
  <c r="AA32" i="4" s="1"/>
  <c r="G32" i="4" s="1"/>
  <c r="E25" i="48" s="1"/>
  <c r="O40" i="35"/>
  <c r="F1688" i="48" s="1"/>
  <c r="E1692" i="48"/>
  <c r="O46" i="35"/>
  <c r="F1692" i="48" s="1"/>
  <c r="L46" i="35"/>
  <c r="D1692" i="48" s="1"/>
  <c r="L40" i="35"/>
  <c r="D1688" i="48" s="1"/>
  <c r="E1691" i="48"/>
  <c r="L44" i="35"/>
  <c r="D1691" i="48" s="1"/>
  <c r="O44" i="35"/>
  <c r="F1691" i="48" s="1"/>
  <c r="E1690" i="48"/>
  <c r="L42" i="35"/>
  <c r="D1690" i="48" s="1"/>
  <c r="O42" i="35"/>
  <c r="F1690" i="48" s="1"/>
  <c r="E1687" i="48"/>
  <c r="O39" i="35"/>
  <c r="F1687" i="48" s="1"/>
  <c r="L39" i="35"/>
  <c r="D1687" i="48" s="1"/>
  <c r="E1685" i="48"/>
  <c r="L35" i="35"/>
  <c r="D1685" i="48" s="1"/>
  <c r="O35" i="35"/>
  <c r="F1685" i="48" s="1"/>
  <c r="BE542" i="4"/>
  <c r="AA35" i="4" s="1"/>
  <c r="G35" i="4" s="1"/>
  <c r="E28" i="48" s="1"/>
  <c r="O32" i="35"/>
  <c r="F1682" i="48" s="1"/>
  <c r="E1682" i="48"/>
  <c r="L32" i="35"/>
  <c r="D1682" i="48" s="1"/>
  <c r="B265" i="48"/>
  <c r="F2040" i="48"/>
  <c r="F2044" i="48"/>
  <c r="E26" i="48"/>
  <c r="H37" i="4"/>
  <c r="F30" i="48" s="1"/>
  <c r="A17" i="35"/>
  <c r="O130" i="35"/>
  <c r="F1735" i="48" s="1"/>
  <c r="L130" i="35"/>
  <c r="D1735" i="48" s="1"/>
  <c r="F37" i="4"/>
  <c r="D30" i="48" s="1"/>
  <c r="F33" i="4"/>
  <c r="H33" i="4"/>
  <c r="G41" i="4"/>
  <c r="E34" i="48" s="1"/>
  <c r="O43" i="30"/>
  <c r="F278" i="48" s="1"/>
  <c r="M43" i="30"/>
  <c r="E278" i="48" s="1"/>
  <c r="O56" i="37"/>
  <c r="F2041" i="48" s="1"/>
  <c r="L56" i="37"/>
  <c r="D2041" i="48" s="1"/>
  <c r="O32" i="37"/>
  <c r="F2034" i="48" s="1"/>
  <c r="L32" i="37"/>
  <c r="D2034" i="48" s="1"/>
  <c r="L100" i="37" l="1"/>
  <c r="D2060" i="48" s="1"/>
  <c r="A17" i="37"/>
  <c r="B1736" i="48" s="1"/>
  <c r="O100" i="37"/>
  <c r="F2060" i="48" s="1"/>
  <c r="A17" i="33"/>
  <c r="B653" i="48" s="1"/>
  <c r="E61" i="48"/>
  <c r="F72" i="4"/>
  <c r="D61" i="48" s="1"/>
  <c r="H72" i="4"/>
  <c r="F61" i="48" s="1"/>
  <c r="L62" i="33"/>
  <c r="I65" i="4"/>
  <c r="F54" i="48" s="1"/>
  <c r="F65" i="4"/>
  <c r="D54" i="48" s="1"/>
  <c r="E54" i="48"/>
  <c r="H65" i="4"/>
  <c r="F52" i="4"/>
  <c r="D42" i="48" s="1"/>
  <c r="E82" i="48"/>
  <c r="F93" i="4"/>
  <c r="D82" i="48" s="1"/>
  <c r="F36" i="4"/>
  <c r="D29" i="48" s="1"/>
  <c r="H36" i="4"/>
  <c r="F29" i="48" s="1"/>
  <c r="H104" i="4"/>
  <c r="F92" i="48" s="1"/>
  <c r="E92" i="48"/>
  <c r="J57" i="38"/>
  <c r="D2212" i="48" s="1"/>
  <c r="J71" i="33"/>
  <c r="B1128" i="48" s="1"/>
  <c r="J78" i="33"/>
  <c r="B1135" i="48" s="1"/>
  <c r="E121" i="48"/>
  <c r="E106" i="48"/>
  <c r="D121" i="48"/>
  <c r="D106" i="48"/>
  <c r="I180" i="4"/>
  <c r="F150" i="48" s="1"/>
  <c r="E150" i="48"/>
  <c r="E149" i="48"/>
  <c r="P64" i="33"/>
  <c r="E1121" i="48" s="1"/>
  <c r="R64" i="33"/>
  <c r="F1121" i="48" s="1"/>
  <c r="L78" i="32"/>
  <c r="A17" i="32"/>
  <c r="B454" i="48" s="1"/>
  <c r="D150" i="48"/>
  <c r="D149" i="48"/>
  <c r="L77" i="32"/>
  <c r="F592" i="48"/>
  <c r="D592" i="48"/>
  <c r="F80" i="33"/>
  <c r="B1052" i="48"/>
  <c r="I80" i="33"/>
  <c r="D1119" i="48"/>
  <c r="E1119" i="48"/>
  <c r="J68" i="33"/>
  <c r="B836" i="48"/>
  <c r="J77" i="33"/>
  <c r="B1134" i="48" s="1"/>
  <c r="J74" i="33"/>
  <c r="B1131" i="48" s="1"/>
  <c r="B839" i="48"/>
  <c r="J75" i="33"/>
  <c r="B1132" i="48" s="1"/>
  <c r="B840" i="48"/>
  <c r="J72" i="33"/>
  <c r="B1129" i="48" s="1"/>
  <c r="B837" i="48"/>
  <c r="B843" i="48"/>
  <c r="J69" i="33"/>
  <c r="B1053" i="48"/>
  <c r="E2212" i="48"/>
  <c r="L90" i="38"/>
  <c r="F2242" i="48" s="1"/>
  <c r="J90" i="38"/>
  <c r="D2242" i="48" s="1"/>
  <c r="E2242" i="48"/>
  <c r="D2251" i="48"/>
  <c r="J105" i="38"/>
  <c r="D2254" i="48" s="1"/>
  <c r="E2248" i="48"/>
  <c r="J100" i="38"/>
  <c r="D2243" i="48" s="1"/>
  <c r="D2253" i="48"/>
  <c r="E2243" i="48"/>
  <c r="J101" i="38"/>
  <c r="D2244" i="48" s="1"/>
  <c r="E2244" i="48"/>
  <c r="J103" i="38"/>
  <c r="E2246" i="48"/>
  <c r="E2252" i="48"/>
  <c r="F58" i="4"/>
  <c r="D48" i="48" s="1"/>
  <c r="H58" i="4"/>
  <c r="F48" i="48" s="1"/>
  <c r="E46" i="48"/>
  <c r="H56" i="4"/>
  <c r="F46" i="48" s="1"/>
  <c r="H98" i="4"/>
  <c r="F86" i="48" s="1"/>
  <c r="E86" i="48"/>
  <c r="H34" i="4"/>
  <c r="F27" i="48" s="1"/>
  <c r="F34" i="4"/>
  <c r="D27" i="48" s="1"/>
  <c r="B279" i="48"/>
  <c r="B35" i="48"/>
  <c r="H29" i="4"/>
  <c r="F22" i="48" s="1"/>
  <c r="F29" i="4"/>
  <c r="D22" i="48" s="1"/>
  <c r="H30" i="4"/>
  <c r="F23" i="48" s="1"/>
  <c r="F31" i="4"/>
  <c r="D24" i="48" s="1"/>
  <c r="H31" i="4"/>
  <c r="F24" i="48" s="1"/>
  <c r="F30" i="4"/>
  <c r="D23" i="48" s="1"/>
  <c r="E2059" i="48"/>
  <c r="O86" i="37"/>
  <c r="F2059" i="48" s="1"/>
  <c r="L86" i="37"/>
  <c r="D2059" i="48" s="1"/>
  <c r="B277" i="48"/>
  <c r="O42" i="30"/>
  <c r="F277" i="48" s="1"/>
  <c r="M42" i="30"/>
  <c r="E277" i="48" s="1"/>
  <c r="B33" i="48"/>
  <c r="AA40" i="4"/>
  <c r="G40" i="4" s="1"/>
  <c r="E1120" i="48"/>
  <c r="D1120" i="48"/>
  <c r="F1120" i="48"/>
  <c r="F32" i="4"/>
  <c r="D25" i="48" s="1"/>
  <c r="H32" i="4"/>
  <c r="F25" i="48" s="1"/>
  <c r="H35" i="4"/>
  <c r="F28" i="48" s="1"/>
  <c r="F35" i="4"/>
  <c r="D28" i="48" s="1"/>
  <c r="F26" i="48"/>
  <c r="D26" i="48"/>
  <c r="B1353" i="48"/>
  <c r="M44" i="30"/>
  <c r="O44" i="30"/>
  <c r="F279" i="48" s="1"/>
  <c r="G42" i="4"/>
  <c r="E35" i="48" s="1"/>
  <c r="H41" i="4"/>
  <c r="F34" i="48" s="1"/>
  <c r="F41" i="4"/>
  <c r="D34" i="48" s="1"/>
  <c r="F594" i="48" l="1"/>
  <c r="D594" i="48"/>
  <c r="F593" i="48"/>
  <c r="D593" i="48"/>
  <c r="B1125" i="48"/>
  <c r="J80" i="33"/>
  <c r="D79" i="33" s="1"/>
  <c r="B1126" i="48"/>
  <c r="AI69" i="33"/>
  <c r="AJ69" i="33"/>
  <c r="D2248" i="48"/>
  <c r="D2249" i="48"/>
  <c r="D2250" i="48"/>
  <c r="D2246" i="48"/>
  <c r="D2252" i="48"/>
  <c r="E33" i="48"/>
  <c r="H40" i="4"/>
  <c r="F33" i="48" s="1"/>
  <c r="F40" i="4"/>
  <c r="D33" i="48" s="1"/>
  <c r="A17" i="30"/>
  <c r="B181" i="48" s="1"/>
  <c r="E279" i="48"/>
  <c r="B52" i="48"/>
  <c r="F42" i="4"/>
  <c r="D35" i="48" s="1"/>
  <c r="H42" i="4"/>
  <c r="F35" i="48" s="1"/>
  <c r="E74" i="4"/>
  <c r="AK69" i="33" l="1"/>
  <c r="AJ74" i="4"/>
  <c r="AI74" i="4"/>
  <c r="B63" i="48"/>
  <c r="AK74" i="4" l="1"/>
  <c r="E44" i="48" l="1"/>
  <c r="F54" i="4"/>
  <c r="D44" i="48" s="1"/>
  <c r="H54" i="4"/>
  <c r="F44" i="48" s="1"/>
  <c r="K32" i="38"/>
  <c r="L32" i="38" l="1"/>
  <c r="F2187" i="48" s="1"/>
  <c r="E2187" i="48"/>
  <c r="J32" i="38"/>
  <c r="A17" i="38" l="1"/>
  <c r="B2082" i="48" s="1"/>
  <c r="D2187" i="48"/>
  <c r="B64" i="48" l="1"/>
  <c r="E95" i="4"/>
  <c r="AJ75" i="4"/>
  <c r="F64" i="48"/>
  <c r="AI75" i="4"/>
  <c r="AK75" i="4" l="1"/>
  <c r="I75" i="4" s="1"/>
  <c r="E99" i="4"/>
  <c r="D113" i="4" s="1"/>
  <c r="H113" i="4" s="1"/>
  <c r="B84" i="48"/>
  <c r="G75" i="4" l="1"/>
  <c r="F75" i="4" s="1"/>
  <c r="D64" i="48" s="1"/>
  <c r="AJ99" i="4"/>
  <c r="B87" i="48"/>
  <c r="AI99" i="4"/>
  <c r="E64" i="48" l="1"/>
  <c r="F101" i="48"/>
  <c r="G113" i="4"/>
  <c r="AK99" i="4"/>
  <c r="E101" i="48" l="1"/>
  <c r="F113" i="4"/>
  <c r="D101" i="48" s="1"/>
  <c r="A2" i="4"/>
  <c r="B21" i="48" s="1"/>
  <c r="C569" i="48" l="1"/>
  <c r="C1729" i="48"/>
  <c r="C1359" i="48"/>
  <c r="C1807" i="48"/>
  <c r="C2661" i="48"/>
  <c r="C1892" i="48"/>
  <c r="C1519" i="48"/>
  <c r="C1946" i="48"/>
  <c r="C2658" i="48"/>
  <c r="C1238" i="48"/>
  <c r="C1568" i="48"/>
  <c r="C2625" i="48"/>
  <c r="C1395" i="48"/>
  <c r="C379" i="48"/>
  <c r="C2073" i="48"/>
  <c r="C2606" i="48"/>
  <c r="C1402" i="48"/>
  <c r="C2007" i="48"/>
  <c r="C197" i="48"/>
  <c r="C1379" i="48"/>
  <c r="C1289" i="48"/>
  <c r="C262" i="48"/>
  <c r="C2532" i="48"/>
  <c r="C257" i="48"/>
  <c r="C2006" i="48"/>
  <c r="C2507" i="48"/>
  <c r="C2189" i="48"/>
  <c r="C150" i="48"/>
  <c r="C1811" i="48"/>
  <c r="C1249" i="48"/>
  <c r="C1635" i="48"/>
  <c r="C349" i="48"/>
  <c r="C353" i="48"/>
  <c r="C145" i="48"/>
  <c r="C1628" i="48"/>
  <c r="C497" i="48"/>
  <c r="C1560" i="48"/>
  <c r="C2228" i="48"/>
  <c r="C395" i="48"/>
  <c r="C1150" i="48"/>
  <c r="C2415" i="48"/>
  <c r="C1368" i="48"/>
  <c r="C1873" i="48"/>
  <c r="C1338" i="48"/>
  <c r="C522" i="48"/>
  <c r="C1205" i="48"/>
  <c r="C1643" i="48"/>
  <c r="C1713" i="48"/>
  <c r="C1985" i="48"/>
  <c r="C1828" i="48"/>
  <c r="C1631" i="48"/>
  <c r="C607" i="48"/>
  <c r="C1421" i="48"/>
  <c r="C1103" i="48"/>
  <c r="C2362" i="48"/>
  <c r="C2394" i="48"/>
  <c r="C1105" i="48"/>
  <c r="C1866" i="48"/>
  <c r="C2631" i="48"/>
  <c r="C1929" i="48"/>
  <c r="C482" i="48"/>
  <c r="C2601" i="48"/>
  <c r="C1440" i="48"/>
  <c r="C1958" i="48"/>
  <c r="C1313" i="48"/>
  <c r="C1856" i="48"/>
  <c r="C2200" i="48"/>
  <c r="C293" i="48"/>
  <c r="C1714" i="48"/>
  <c r="C427" i="48"/>
  <c r="C1758" i="48"/>
  <c r="C1431" i="48"/>
  <c r="C628" i="48"/>
  <c r="C1121" i="48"/>
  <c r="C1768" i="48"/>
  <c r="C372" i="48"/>
  <c r="C1529" i="48"/>
  <c r="C1212" i="48"/>
  <c r="C1536" i="48"/>
  <c r="C1801" i="48"/>
  <c r="C1381" i="48"/>
  <c r="C1621" i="48"/>
  <c r="C2486" i="48"/>
  <c r="C2378" i="48"/>
  <c r="C1675" i="48"/>
  <c r="C1140" i="48"/>
  <c r="C2038" i="48"/>
  <c r="C1898" i="48"/>
  <c r="C274" i="48"/>
  <c r="C2497" i="48"/>
  <c r="C1442" i="48"/>
  <c r="C422" i="48"/>
  <c r="C564" i="48"/>
  <c r="C1995" i="48"/>
  <c r="C2321" i="48"/>
  <c r="C266" i="48"/>
  <c r="C1952" i="48"/>
  <c r="C2217" i="48"/>
  <c r="C2540" i="48"/>
  <c r="C2656" i="48"/>
  <c r="C2496" i="48"/>
  <c r="C1850" i="48"/>
  <c r="C355" i="48"/>
  <c r="C2659" i="48"/>
  <c r="C575" i="48"/>
  <c r="C1232" i="48"/>
  <c r="C1512" i="48"/>
  <c r="C1789" i="48"/>
  <c r="C2288" i="48"/>
  <c r="C2522" i="48"/>
  <c r="C2312" i="48"/>
  <c r="C1668" i="48"/>
  <c r="C1486" i="48"/>
  <c r="C252" i="48"/>
  <c r="C1972" i="48"/>
  <c r="C1614" i="48"/>
  <c r="C481" i="48"/>
  <c r="C1994" i="48"/>
  <c r="C1439" i="48"/>
  <c r="C1901" i="48"/>
  <c r="C1553" i="48"/>
  <c r="C296" i="48"/>
  <c r="C1589" i="48"/>
  <c r="C2202" i="48"/>
  <c r="C2263" i="48"/>
  <c r="C2047" i="48"/>
  <c r="C521" i="48"/>
  <c r="C330" i="48"/>
  <c r="C2197" i="48"/>
  <c r="C225" i="48"/>
  <c r="C1507" i="48"/>
  <c r="C2015" i="48"/>
  <c r="C218" i="48"/>
  <c r="C645" i="48"/>
  <c r="C1891" i="48"/>
  <c r="C1834" i="48"/>
  <c r="C187" i="48"/>
  <c r="C1725" i="48"/>
  <c r="C1178" i="48"/>
  <c r="C2273" i="48"/>
  <c r="C1366" i="48"/>
  <c r="C541" i="48"/>
  <c r="C2045" i="48"/>
  <c r="C1273" i="48"/>
  <c r="C1914" i="48"/>
  <c r="C2388" i="48"/>
  <c r="C1710" i="48"/>
  <c r="C1637" i="48"/>
  <c r="C637" i="48"/>
  <c r="C2626" i="48"/>
  <c r="C2609" i="48"/>
  <c r="C2655" i="48"/>
  <c r="C1664" i="48"/>
  <c r="C478" i="48"/>
  <c r="C1389" i="48"/>
  <c r="C1963" i="48"/>
  <c r="C423" i="48"/>
  <c r="C2231" i="48"/>
  <c r="C2069" i="48"/>
  <c r="C1605" i="48"/>
  <c r="C1433" i="48"/>
  <c r="C1959" i="48"/>
  <c r="C1337" i="48"/>
  <c r="C2201" i="48"/>
  <c r="C526" i="48"/>
  <c r="C2009" i="48"/>
  <c r="C1502" i="48"/>
  <c r="C391" i="48"/>
  <c r="C188" i="48"/>
  <c r="C1306" i="48"/>
  <c r="C1583" i="48"/>
  <c r="C1167" i="48"/>
  <c r="C1095" i="48"/>
  <c r="C2004" i="48"/>
  <c r="C2510" i="48"/>
  <c r="C458" i="48"/>
  <c r="C2223" i="48"/>
  <c r="C1805" i="48"/>
  <c r="C1792" i="48"/>
  <c r="C1913" i="48"/>
  <c r="C2671" i="48"/>
  <c r="C602" i="48"/>
  <c r="C1921" i="48"/>
  <c r="C2368" i="48"/>
  <c r="C1508" i="48"/>
  <c r="C2296" i="48"/>
  <c r="C441" i="48"/>
  <c r="C63" i="48"/>
  <c r="C421" i="48"/>
  <c r="C367" i="48"/>
  <c r="C1636" i="48"/>
  <c r="C1673" i="48"/>
  <c r="C2642" i="48"/>
  <c r="C376" i="48"/>
  <c r="C305" i="48"/>
  <c r="C1752" i="48"/>
  <c r="C1521" i="48"/>
  <c r="C2402" i="48"/>
  <c r="C1720" i="48"/>
  <c r="C2669" i="48"/>
  <c r="C2195" i="48"/>
  <c r="C1344" i="48"/>
  <c r="C2526" i="48"/>
  <c r="C408" i="48"/>
  <c r="C200" i="48"/>
  <c r="C2511" i="48"/>
  <c r="C651" i="48"/>
  <c r="C30" i="48"/>
  <c r="C2209" i="48"/>
  <c r="C1531" i="48"/>
  <c r="C1446" i="48"/>
  <c r="C552" i="48"/>
  <c r="C1981" i="48"/>
  <c r="C2287" i="48"/>
  <c r="C416" i="48"/>
  <c r="C2647" i="48"/>
  <c r="C1199" i="48"/>
  <c r="C2021" i="48"/>
  <c r="C84" i="48"/>
  <c r="C2608" i="48"/>
  <c r="C350" i="48"/>
  <c r="C1109" i="48"/>
  <c r="C409" i="48"/>
  <c r="C561" i="48"/>
  <c r="C1111" i="48"/>
  <c r="C2262" i="48"/>
  <c r="C1816" i="48"/>
  <c r="C1936" i="48"/>
  <c r="C2300" i="48"/>
  <c r="C1965" i="48"/>
  <c r="C2384" i="48"/>
  <c r="C1600" i="48"/>
  <c r="C1185" i="48"/>
  <c r="C1656" i="48"/>
  <c r="C642" i="48"/>
  <c r="C319" i="48"/>
  <c r="C402" i="48"/>
  <c r="C471" i="48"/>
  <c r="C1750" i="48"/>
  <c r="C201" i="48"/>
  <c r="C41" i="48"/>
  <c r="C1115" i="48"/>
  <c r="C1895" i="48"/>
  <c r="C1247" i="48"/>
  <c r="C1234" i="48"/>
  <c r="C1281" i="48"/>
  <c r="C2360" i="48"/>
  <c r="C360" i="48"/>
  <c r="C1148" i="48"/>
  <c r="C2403" i="48"/>
  <c r="C1450" i="48"/>
  <c r="C1321" i="48"/>
  <c r="C2310" i="48"/>
  <c r="C2213" i="48"/>
  <c r="C2383" i="48"/>
  <c r="C1559" i="48"/>
  <c r="C265" i="48"/>
  <c r="C2259" i="48"/>
  <c r="C2033" i="48"/>
  <c r="C591" i="48"/>
  <c r="C2621" i="48"/>
  <c r="C2366" i="48"/>
  <c r="C1667" i="48"/>
  <c r="C1426" i="48"/>
  <c r="C650" i="48"/>
  <c r="C285" i="48"/>
  <c r="C81" i="48"/>
  <c r="C2304" i="48"/>
  <c r="C288" i="48"/>
  <c r="C1555" i="48"/>
  <c r="C2421" i="48"/>
  <c r="C1328" i="48"/>
  <c r="C1833" i="48"/>
  <c r="C1613" i="48"/>
  <c r="C44" i="48"/>
  <c r="C630" i="48"/>
  <c r="C1316" i="48"/>
  <c r="C383" i="48"/>
  <c r="C306" i="48"/>
  <c r="C538" i="48"/>
  <c r="C1899" i="48"/>
  <c r="C463" i="48"/>
  <c r="C566" i="48"/>
  <c r="C2431" i="48"/>
  <c r="C2016" i="48"/>
  <c r="C377" i="48"/>
  <c r="C1771" i="48"/>
  <c r="C297" i="48"/>
  <c r="C2664" i="48"/>
  <c r="C406" i="48"/>
  <c r="C1744" i="48"/>
  <c r="C2264" i="48"/>
  <c r="C1159" i="48"/>
  <c r="C2261" i="48"/>
  <c r="C1971" i="48"/>
  <c r="C1602" i="48"/>
  <c r="C420" i="48"/>
  <c r="C1779" i="48"/>
  <c r="C231" i="48"/>
  <c r="C2067" i="48"/>
  <c r="C1408" i="48"/>
  <c r="C2387" i="48"/>
  <c r="C2208" i="48"/>
  <c r="C2005" i="48"/>
  <c r="C1552" i="48"/>
  <c r="C502" i="48"/>
  <c r="C1718" i="48"/>
  <c r="C1438" i="48"/>
  <c r="C62" i="48"/>
  <c r="C520" i="48"/>
  <c r="C1412" i="48"/>
  <c r="C2613" i="48"/>
  <c r="C1738" i="48"/>
  <c r="C1603" i="48"/>
  <c r="C556" i="48"/>
  <c r="C1546" i="48"/>
  <c r="C1787" i="48"/>
  <c r="C623" i="48"/>
  <c r="C600" i="48"/>
  <c r="C1124" i="48"/>
  <c r="C2640" i="48"/>
  <c r="C1653" i="48"/>
  <c r="C500" i="48"/>
  <c r="C504" i="48"/>
  <c r="C1619" i="48"/>
  <c r="C2302" i="48"/>
  <c r="C1382" i="48"/>
  <c r="C2199" i="48"/>
  <c r="C1905" i="48"/>
  <c r="C1781" i="48"/>
  <c r="C1255" i="48"/>
  <c r="C516" i="48"/>
  <c r="C1206" i="48"/>
  <c r="C437" i="48"/>
  <c r="C2215" i="48"/>
  <c r="C224" i="48"/>
  <c r="C1699" i="48"/>
  <c r="C2396" i="48"/>
  <c r="C185" i="48"/>
  <c r="C208" i="48"/>
  <c r="C1390" i="48"/>
  <c r="C1420" i="48"/>
  <c r="C1405" i="48"/>
  <c r="C221" i="48"/>
  <c r="C1683" i="48"/>
  <c r="C1977" i="48"/>
  <c r="C202" i="48"/>
  <c r="C1832" i="48"/>
  <c r="C1973" i="48"/>
  <c r="C2380" i="48"/>
  <c r="C1825" i="48"/>
  <c r="C222" i="48"/>
  <c r="C1794" i="48"/>
  <c r="C1951" i="48"/>
  <c r="C1285" i="48"/>
  <c r="C2255" i="48"/>
  <c r="C2531" i="48"/>
  <c r="C183" i="48"/>
  <c r="C1481" i="48"/>
  <c r="C2660" i="48"/>
  <c r="C117" i="48"/>
  <c r="C1845" i="48"/>
  <c r="C90" i="48"/>
  <c r="C2637" i="48"/>
  <c r="C1369" i="48"/>
  <c r="C1814" i="48"/>
  <c r="C1149" i="48"/>
  <c r="C261" i="48"/>
  <c r="C102" i="48"/>
  <c r="C634" i="48"/>
  <c r="C338" i="48"/>
  <c r="C1726" i="48"/>
  <c r="C431" i="48"/>
  <c r="C1665" i="48"/>
  <c r="C2210" i="48"/>
  <c r="C89" i="48"/>
  <c r="C525" i="48"/>
  <c r="C1445" i="48"/>
  <c r="C2207" i="48"/>
  <c r="C1309" i="48"/>
  <c r="C1169" i="48"/>
  <c r="C1687" i="48"/>
  <c r="C142" i="48"/>
  <c r="C1533" i="48"/>
  <c r="C302" i="48"/>
  <c r="C300" i="48"/>
  <c r="C2390" i="48"/>
  <c r="C2277" i="48"/>
  <c r="C53" i="48"/>
  <c r="C2490" i="48"/>
  <c r="C1700" i="48"/>
  <c r="C1820" i="48"/>
  <c r="C1703" i="48"/>
  <c r="C1240" i="48"/>
  <c r="C1152" i="48"/>
  <c r="C1799" i="48"/>
  <c r="C2534" i="48"/>
  <c r="C1102" i="48"/>
  <c r="C1286" i="48"/>
  <c r="C1173" i="48"/>
  <c r="C397" i="48"/>
  <c r="C189" i="48"/>
  <c r="C2681" i="48"/>
  <c r="C1220" i="48"/>
  <c r="C524" i="48"/>
  <c r="C1587" i="48"/>
  <c r="C1947" i="48"/>
  <c r="C1983" i="48"/>
  <c r="C515" i="48"/>
  <c r="C2439" i="48"/>
  <c r="C1221" i="48"/>
  <c r="C1386" i="48"/>
  <c r="C1365" i="48"/>
  <c r="C2662" i="48"/>
  <c r="C2501" i="48"/>
  <c r="C2636" i="48"/>
  <c r="C86" i="48"/>
  <c r="C1260" i="48"/>
  <c r="C78" i="48"/>
  <c r="C329" i="48"/>
  <c r="C1745" i="48"/>
  <c r="C2617" i="48"/>
  <c r="C567" i="48"/>
  <c r="C1277" i="48"/>
  <c r="C1704" i="48"/>
  <c r="C419" i="48"/>
  <c r="C2679" i="48"/>
  <c r="C1769" i="48"/>
  <c r="C1730" i="48"/>
  <c r="C1565" i="48"/>
  <c r="C1320" i="48"/>
  <c r="C1964" i="48"/>
  <c r="C1870" i="48"/>
  <c r="C2214" i="48"/>
  <c r="C438" i="48"/>
  <c r="C1616" i="48"/>
  <c r="C1432" i="48"/>
  <c r="C105" i="48"/>
  <c r="C1142" i="48"/>
  <c r="C351" i="48"/>
  <c r="C1773" i="48"/>
  <c r="C457" i="48"/>
  <c r="C246" i="48"/>
  <c r="C1224" i="48"/>
  <c r="C2614" i="48"/>
  <c r="C2060" i="48"/>
  <c r="C1444" i="48"/>
  <c r="C1776" i="48"/>
  <c r="C2272" i="48"/>
  <c r="C373" i="48"/>
  <c r="C243" i="48"/>
  <c r="C2503" i="48"/>
  <c r="C1377" i="48"/>
  <c r="C2552" i="48"/>
  <c r="C1518" i="48"/>
  <c r="C2289" i="48"/>
  <c r="C2391" i="48"/>
  <c r="C199" i="48"/>
  <c r="C182" i="48"/>
  <c r="C455" i="48"/>
  <c r="C299" i="48"/>
  <c r="C615" i="48"/>
  <c r="C386" i="48"/>
  <c r="C2061" i="48"/>
  <c r="C1876" i="48"/>
  <c r="C632" i="48"/>
  <c r="C1767" i="48"/>
  <c r="C412" i="48"/>
  <c r="C2278" i="48"/>
  <c r="C1774" i="48"/>
  <c r="C79" i="48"/>
  <c r="C1189" i="48"/>
  <c r="C1894" i="48"/>
  <c r="C92" i="48"/>
  <c r="C1900" i="48"/>
  <c r="C647" i="48"/>
  <c r="C1378" i="48"/>
  <c r="C115" i="48"/>
  <c r="C1968" i="48"/>
  <c r="C340" i="48"/>
  <c r="C434" i="48"/>
  <c r="C1208" i="48"/>
  <c r="C1213" i="48"/>
  <c r="C2513" i="48"/>
  <c r="C1229" i="48"/>
  <c r="C2678" i="48"/>
  <c r="C239" i="48"/>
  <c r="C1209" i="48"/>
  <c r="C473" i="48"/>
  <c r="C2484" i="48"/>
  <c r="C2365" i="48"/>
  <c r="C601" i="48"/>
  <c r="C2003" i="48"/>
  <c r="C1483" i="48"/>
  <c r="C1944" i="48"/>
  <c r="C366" i="48"/>
  <c r="C1896" i="48"/>
  <c r="C267" i="48"/>
  <c r="C1317" i="48"/>
  <c r="C1372" i="48"/>
  <c r="C625" i="48"/>
  <c r="C334" i="48"/>
  <c r="C140" i="48"/>
  <c r="C1988" i="48"/>
  <c r="C1691" i="48"/>
  <c r="C2536" i="48"/>
  <c r="C1493" i="48"/>
  <c r="C1886" i="48"/>
  <c r="C2474" i="48"/>
  <c r="C2524" i="48"/>
  <c r="C1204" i="48"/>
  <c r="C1797" i="48"/>
  <c r="C1243" i="48"/>
  <c r="C1477" i="48"/>
  <c r="C1231" i="48"/>
  <c r="C1927" i="48"/>
  <c r="C2389" i="48"/>
  <c r="C1490" i="48"/>
  <c r="C217" i="48"/>
  <c r="C2610" i="48"/>
  <c r="C1639" i="48"/>
  <c r="C428" i="48"/>
  <c r="C2372" i="48"/>
  <c r="C1182" i="48"/>
  <c r="C635" i="48"/>
  <c r="C1385" i="48"/>
  <c r="C641" i="48"/>
  <c r="C612" i="48"/>
  <c r="C432" i="48"/>
  <c r="C426" i="48"/>
  <c r="C1852" i="48"/>
  <c r="C492" i="48"/>
  <c r="C1757" i="48"/>
  <c r="C1784" i="48"/>
  <c r="C1840" i="48"/>
  <c r="C605" i="48"/>
  <c r="C1839" i="48"/>
  <c r="C2081" i="48"/>
  <c r="C1598" i="48"/>
  <c r="C2428" i="48"/>
  <c r="C1867" i="48"/>
  <c r="C1858" i="48"/>
  <c r="C1356" i="48"/>
  <c r="C523" i="48"/>
  <c r="C2040" i="48"/>
  <c r="C2399" i="48"/>
  <c r="C1544" i="48"/>
  <c r="C1360" i="48"/>
  <c r="C356" i="48"/>
  <c r="C488" i="48"/>
  <c r="C1566" i="48"/>
  <c r="C2654" i="48"/>
  <c r="C1777" i="48"/>
  <c r="C598" i="48"/>
  <c r="C1312" i="48"/>
  <c r="C1170" i="48"/>
  <c r="C1156" i="48"/>
  <c r="C1597" i="48"/>
  <c r="C1535" i="48"/>
  <c r="C1415" i="48"/>
  <c r="C359" i="48"/>
  <c r="C622" i="48"/>
  <c r="C1374" i="48"/>
  <c r="C579" i="48"/>
  <c r="C2542" i="48"/>
  <c r="C1882" i="48"/>
  <c r="C1980" i="48"/>
  <c r="C433" i="48"/>
  <c r="C2635" i="48"/>
  <c r="C2634" i="48"/>
  <c r="C283" i="48"/>
  <c r="C1756" i="48"/>
  <c r="C555" i="48"/>
  <c r="C236" i="48"/>
  <c r="C2193" i="48"/>
  <c r="C1322" i="48"/>
  <c r="C1802" i="48"/>
  <c r="C445" i="48"/>
  <c r="C2535" i="48"/>
  <c r="C1655" i="48"/>
  <c r="C1362" i="48"/>
  <c r="C1634" i="48"/>
  <c r="C498" i="48"/>
  <c r="C352" i="48"/>
  <c r="C593" i="48"/>
  <c r="C1808" i="48"/>
  <c r="C59" i="48"/>
  <c r="C2416" i="48"/>
  <c r="C1785" i="48"/>
  <c r="C148" i="48"/>
  <c r="C1902" i="48"/>
  <c r="C1428" i="48"/>
  <c r="C1197" i="48"/>
  <c r="C1960" i="48"/>
  <c r="C1629" i="48"/>
  <c r="C1648" i="48"/>
  <c r="C2422" i="48"/>
  <c r="C1681" i="48"/>
  <c r="C2190" i="48"/>
  <c r="C1942" i="48"/>
  <c r="C2376" i="48"/>
  <c r="C1562" i="48"/>
  <c r="C2670" i="48"/>
  <c r="C1398" i="48"/>
  <c r="C268" i="48"/>
  <c r="C1851" i="48"/>
  <c r="C636" i="48"/>
  <c r="C2266" i="48"/>
  <c r="C1630" i="48"/>
  <c r="C486" i="48"/>
  <c r="C143" i="48"/>
  <c r="C1479" i="48"/>
  <c r="C1647" i="48"/>
  <c r="C1427" i="48"/>
  <c r="C2481" i="48"/>
  <c r="C1907" i="48"/>
  <c r="C530" i="48"/>
  <c r="C2065" i="48"/>
  <c r="C1678" i="48"/>
  <c r="C371" i="48"/>
  <c r="C2194" i="48"/>
  <c r="C1659" i="48"/>
  <c r="C1478" i="48"/>
  <c r="C216" i="48"/>
  <c r="C1783" i="48"/>
  <c r="C1909" i="48"/>
  <c r="C592" i="48"/>
  <c r="C576" i="48"/>
  <c r="C22" i="48"/>
  <c r="C314" i="48"/>
  <c r="C1534" i="48"/>
  <c r="C2641" i="48"/>
  <c r="C1342" i="48"/>
  <c r="C2279" i="48"/>
  <c r="C1279" i="48"/>
  <c r="C358" i="48"/>
  <c r="C2055" i="48"/>
  <c r="C1645" i="48"/>
  <c r="C1888" i="48"/>
  <c r="C1671" i="48"/>
  <c r="C484" i="48"/>
  <c r="C1982" i="48"/>
  <c r="C393" i="48"/>
  <c r="C599" i="48"/>
  <c r="C2520" i="48"/>
  <c r="C2068" i="48"/>
  <c r="C2491" i="48"/>
  <c r="C643" i="48"/>
  <c r="C2604" i="48"/>
  <c r="C2191" i="48"/>
  <c r="C52" i="48"/>
  <c r="C1184" i="48"/>
  <c r="C2392" i="48"/>
  <c r="C146" i="48"/>
  <c r="C1570" i="48"/>
  <c r="C312" i="48"/>
  <c r="C2646" i="48"/>
  <c r="C2485" i="48"/>
  <c r="C509" i="48"/>
  <c r="C1924" i="48"/>
  <c r="C2543" i="48"/>
  <c r="C1540" i="48"/>
  <c r="C1926" i="48"/>
  <c r="C203" i="48"/>
  <c r="C2303" i="48"/>
  <c r="C2400" i="48"/>
  <c r="C2260" i="48"/>
  <c r="C1435" i="48"/>
  <c r="C237" i="48"/>
  <c r="C282" i="48"/>
  <c r="C1472" i="48"/>
  <c r="C315" i="48"/>
  <c r="C1191" i="48"/>
  <c r="C1127" i="48"/>
  <c r="C374" i="48"/>
  <c r="C483" i="48"/>
  <c r="C1990" i="48"/>
  <c r="C269" i="48"/>
  <c r="C1996" i="48"/>
  <c r="C1151" i="48"/>
  <c r="C1717" i="48"/>
  <c r="C1314" i="48"/>
  <c r="C1417" i="48"/>
  <c r="C247" i="48"/>
  <c r="C1357" i="48"/>
  <c r="C1669" i="48"/>
  <c r="C2493" i="48"/>
  <c r="C1295" i="48"/>
  <c r="C2480" i="48"/>
  <c r="C2494" i="48"/>
  <c r="C2489" i="48"/>
  <c r="C1434" i="48"/>
  <c r="C40" i="48"/>
  <c r="C578" i="48"/>
  <c r="C2056" i="48"/>
  <c r="C2258" i="48"/>
  <c r="C1754" i="48"/>
  <c r="C2379" i="48"/>
  <c r="C1690" i="48"/>
  <c r="C631" i="48"/>
  <c r="C2482" i="48"/>
  <c r="C1594" i="48"/>
  <c r="C652" i="48"/>
  <c r="C557" i="48"/>
  <c r="C1937" i="48"/>
  <c r="C519" i="48"/>
  <c r="C2665" i="48"/>
  <c r="C1146" i="48"/>
  <c r="C325" i="48"/>
  <c r="C328" i="48"/>
  <c r="C2528" i="48"/>
  <c r="C85" i="48"/>
  <c r="C1195" i="48"/>
  <c r="C2398" i="48"/>
  <c r="C2232" i="48"/>
  <c r="C503" i="48"/>
  <c r="C2025" i="48"/>
  <c r="C1227" i="48"/>
  <c r="C588" i="48"/>
  <c r="C2026" i="48"/>
  <c r="C1155" i="48"/>
  <c r="C2633" i="48"/>
  <c r="C2017" i="48"/>
  <c r="C1464" i="48"/>
  <c r="C1934" i="48"/>
  <c r="C1147" i="48"/>
  <c r="C335" i="48"/>
  <c r="C2479" i="48"/>
  <c r="C1324" i="48"/>
  <c r="C2322" i="48"/>
  <c r="C540" i="48"/>
  <c r="C499" i="48"/>
  <c r="C2043" i="48"/>
  <c r="C24" i="48"/>
  <c r="C1798" i="48"/>
  <c r="C1761" i="48"/>
  <c r="C1641" i="48"/>
  <c r="C545" i="48"/>
  <c r="C1740" i="48"/>
  <c r="C1262" i="48"/>
  <c r="C375" i="48"/>
  <c r="C1341" i="48"/>
  <c r="C476" i="48"/>
  <c r="C1319" i="48"/>
  <c r="C1210" i="48"/>
  <c r="C298" i="48"/>
  <c r="C1644" i="48"/>
  <c r="C462" i="48"/>
  <c r="C1821" i="48"/>
  <c r="C2079" i="48"/>
  <c r="C1765" i="48"/>
  <c r="C2375" i="48"/>
  <c r="C589" i="48"/>
  <c r="C1677" i="48"/>
  <c r="C1523" i="48"/>
  <c r="C1563" i="48"/>
  <c r="C1966" i="48"/>
  <c r="C1684" i="48"/>
  <c r="C493" i="48"/>
  <c r="C2256" i="48"/>
  <c r="C2293" i="48"/>
  <c r="C95" i="48"/>
  <c r="C467" i="48"/>
  <c r="C323" i="48"/>
  <c r="C2241" i="48"/>
  <c r="C1254" i="48"/>
  <c r="C1697" i="48"/>
  <c r="C250" i="48"/>
  <c r="C2002" i="48"/>
  <c r="C633" i="48"/>
  <c r="C1735" i="48"/>
  <c r="C1257" i="48"/>
  <c r="C1300" i="48"/>
  <c r="C106" i="48"/>
  <c r="C1558" i="48"/>
  <c r="C1969" i="48"/>
  <c r="C2407" i="48"/>
  <c r="C1561" i="48"/>
  <c r="C2441" i="48"/>
  <c r="C1599" i="48"/>
  <c r="C1919" i="48"/>
  <c r="C191" i="48"/>
  <c r="C2492" i="48"/>
  <c r="C1943" i="48"/>
  <c r="C620" i="48"/>
  <c r="C1276" i="48"/>
  <c r="C1275" i="48"/>
  <c r="C1742" i="48"/>
  <c r="C1470" i="48"/>
  <c r="C2220" i="48"/>
  <c r="C1723" i="48"/>
  <c r="C2000" i="48"/>
  <c r="C291" i="48"/>
  <c r="C2227" i="48"/>
  <c r="C186" i="48"/>
  <c r="C587" i="48"/>
  <c r="C1419" i="48"/>
  <c r="C1984" i="48"/>
  <c r="C1890" i="48"/>
  <c r="C1193" i="48"/>
  <c r="C1762" i="48"/>
  <c r="C1986" i="48"/>
  <c r="C2012" i="48"/>
  <c r="C1258" i="48"/>
  <c r="C1425" i="48"/>
  <c r="C1503" i="48"/>
  <c r="C2291" i="48"/>
  <c r="C1810" i="48"/>
  <c r="C361" i="48"/>
  <c r="C1608" i="48"/>
  <c r="C1248" i="48"/>
  <c r="C279" i="48"/>
  <c r="C1468" i="48"/>
  <c r="C389" i="48"/>
  <c r="C404" i="48"/>
  <c r="C1290" i="48"/>
  <c r="C97" i="48"/>
  <c r="C1459" i="48"/>
  <c r="C1817" i="48"/>
  <c r="C1484" i="48"/>
  <c r="C1460" i="48"/>
  <c r="C1632" i="48"/>
  <c r="C2315" i="48"/>
  <c r="C2305" i="48"/>
  <c r="C2620" i="48"/>
  <c r="C2041" i="48"/>
  <c r="C1837" i="48"/>
  <c r="C390" i="48"/>
  <c r="C1211" i="48"/>
  <c r="C1804" i="48"/>
  <c r="C2028" i="48"/>
  <c r="C648" i="48"/>
  <c r="C1585" i="48"/>
  <c r="C1590" i="48"/>
  <c r="C214" i="48"/>
  <c r="C2072" i="48"/>
  <c r="C624" i="48"/>
  <c r="C510" i="48"/>
  <c r="C460" i="48"/>
  <c r="C1380" i="48"/>
  <c r="C629" i="48"/>
  <c r="C258" i="48"/>
  <c r="C1110" i="48"/>
  <c r="C1510" i="48"/>
  <c r="C1803" i="48"/>
  <c r="C1997" i="48"/>
  <c r="C609" i="48"/>
  <c r="C1941" i="48"/>
  <c r="C1893" i="48"/>
  <c r="C2499" i="48"/>
  <c r="C1863" i="48"/>
  <c r="C39" i="48"/>
  <c r="C1307" i="48"/>
  <c r="C255" i="48"/>
  <c r="C2615" i="48"/>
  <c r="C2198" i="48"/>
  <c r="C308" i="48"/>
  <c r="C1790" i="48"/>
  <c r="C1400" i="48"/>
  <c r="C2309" i="48"/>
  <c r="C2502" i="48"/>
  <c r="C228" i="48"/>
  <c r="C1250" i="48"/>
  <c r="C1113" i="48"/>
  <c r="C2627" i="48"/>
  <c r="C1564" i="48"/>
  <c r="C1879" i="48"/>
  <c r="C459" i="48"/>
  <c r="C1367" i="48"/>
  <c r="C2666" i="48"/>
  <c r="C1872" i="48"/>
  <c r="C1423" i="48"/>
  <c r="C537" i="48"/>
  <c r="C1272" i="48"/>
  <c r="C2638" i="48"/>
  <c r="C1806" i="48"/>
  <c r="C1424" i="48"/>
  <c r="C649" i="48"/>
  <c r="C2504" i="48"/>
  <c r="C547" i="48"/>
  <c r="C1161" i="48"/>
  <c r="C1567" i="48"/>
  <c r="C2240" i="48"/>
  <c r="C287" i="48"/>
  <c r="C1961" i="48"/>
  <c r="C646" i="48"/>
  <c r="C354" i="48"/>
  <c r="C1334" i="48"/>
  <c r="C2076" i="48"/>
  <c r="C275" i="48"/>
  <c r="C1746" i="48"/>
  <c r="C2298" i="48"/>
  <c r="C2364" i="48"/>
  <c r="C400" i="48"/>
  <c r="C1706" i="48"/>
  <c r="C1764" i="48"/>
  <c r="C2548" i="48"/>
  <c r="C1606" i="48"/>
  <c r="C2320" i="48"/>
  <c r="C2411" i="48"/>
  <c r="C27" i="48"/>
  <c r="C444" i="48"/>
  <c r="C304" i="48"/>
  <c r="C284" i="48"/>
  <c r="C1225" i="48"/>
  <c r="C2508" i="48"/>
  <c r="C1747" i="48"/>
  <c r="C76" i="48"/>
  <c r="C542" i="48"/>
  <c r="C1818" i="48"/>
  <c r="C321" i="48"/>
  <c r="C1679" i="48"/>
  <c r="C581" i="48"/>
  <c r="C398" i="48"/>
  <c r="C2048" i="48"/>
  <c r="C1441" i="48"/>
  <c r="C435" i="48"/>
  <c r="C1604" i="48"/>
  <c r="C590" i="48"/>
  <c r="C33" i="48"/>
  <c r="C1674" i="48"/>
  <c r="C413" i="48"/>
  <c r="C2412" i="48"/>
  <c r="C1601" i="48"/>
  <c r="C2517" i="48"/>
  <c r="C1230" i="48"/>
  <c r="C1609" i="48"/>
  <c r="C289" i="48"/>
  <c r="C517" i="48"/>
  <c r="C2361" i="48"/>
  <c r="C1239" i="48"/>
  <c r="C1778" i="48"/>
  <c r="C1940" i="48"/>
  <c r="C2437" i="48"/>
  <c r="C514" i="48"/>
  <c r="C1857" i="48"/>
  <c r="C1325" i="48"/>
  <c r="C1642" i="48"/>
  <c r="C1183" i="48"/>
  <c r="C2301" i="48"/>
  <c r="C450" i="48"/>
  <c r="C639" i="48"/>
  <c r="C196" i="48"/>
  <c r="C2652" i="48"/>
  <c r="C64" i="48"/>
  <c r="C1954" i="48"/>
  <c r="C2632" i="48"/>
  <c r="C2432" i="48"/>
  <c r="C2429" i="48"/>
  <c r="C229" i="48"/>
  <c r="C1495" i="48"/>
  <c r="C1864" i="48"/>
  <c r="C2299" i="48"/>
  <c r="C1222" i="48"/>
  <c r="C2359" i="48"/>
  <c r="C1520" i="48"/>
  <c r="C2074" i="48"/>
  <c r="C1696" i="48"/>
  <c r="C2044" i="48"/>
  <c r="C528" i="48"/>
  <c r="C1515" i="48"/>
  <c r="C29" i="48"/>
  <c r="C560" i="48"/>
  <c r="C2046" i="48"/>
  <c r="C2023" i="48"/>
  <c r="C2205" i="48"/>
  <c r="C1335" i="48"/>
  <c r="C2477" i="48"/>
  <c r="C2498" i="48"/>
  <c r="C2475" i="48"/>
  <c r="C1494" i="48"/>
  <c r="C1854" i="48"/>
  <c r="C1770" i="48"/>
  <c r="C1345" i="48"/>
  <c r="C532" i="48"/>
  <c r="C2370" i="48"/>
  <c r="C2546" i="48"/>
  <c r="C2204" i="48"/>
  <c r="C47" i="48"/>
  <c r="C1823" i="48"/>
  <c r="C644" i="48"/>
  <c r="C2518" i="48"/>
  <c r="C1138" i="48"/>
  <c r="C51" i="48"/>
  <c r="C2080" i="48"/>
  <c r="C2483" i="48"/>
  <c r="C1106" i="48"/>
  <c r="C99" i="48"/>
  <c r="C1847" i="48"/>
  <c r="C260" i="48"/>
  <c r="C1298" i="48"/>
  <c r="C1654" i="48"/>
  <c r="C417" i="48"/>
  <c r="C2058" i="48"/>
  <c r="C23" i="48"/>
  <c r="C1689" i="48"/>
  <c r="C1528" i="48"/>
  <c r="C2605" i="48"/>
  <c r="C1938" i="48"/>
  <c r="C2292" i="48"/>
  <c r="C606" i="48"/>
  <c r="C2236" i="48"/>
  <c r="C307" i="48"/>
  <c r="C638" i="48"/>
  <c r="C1267" i="48"/>
  <c r="C1373" i="48"/>
  <c r="C1343" i="48"/>
  <c r="C1346" i="48"/>
  <c r="C577" i="48"/>
  <c r="C2229" i="48"/>
  <c r="C1190" i="48"/>
  <c r="C213" i="48"/>
  <c r="C1401" i="48"/>
  <c r="C25" i="48"/>
  <c r="C1268" i="48"/>
  <c r="C1640" i="48"/>
  <c r="C1358" i="48"/>
  <c r="C2438" i="48"/>
  <c r="C206" i="48"/>
  <c r="C1513" i="48"/>
  <c r="C2677" i="48"/>
  <c r="C1330" i="48"/>
  <c r="C77" i="48"/>
  <c r="C1107" i="48"/>
  <c r="C1488" i="48"/>
  <c r="C2187" i="48"/>
  <c r="C1930" i="48"/>
  <c r="C1496" i="48"/>
  <c r="C2430" i="48"/>
  <c r="C1662" i="48"/>
  <c r="C75" i="48"/>
  <c r="C363" i="48"/>
  <c r="C120" i="48"/>
  <c r="C447" i="48"/>
  <c r="C2242" i="48"/>
  <c r="C1739" i="48"/>
  <c r="C2265" i="48"/>
  <c r="C194" i="48"/>
  <c r="C2393" i="48"/>
  <c r="C468" i="48"/>
  <c r="C2555" i="48"/>
  <c r="C2667" i="48"/>
  <c r="C489" i="48"/>
  <c r="C1318" i="48"/>
  <c r="C2619" i="48"/>
  <c r="C1301" i="48"/>
  <c r="C2219" i="48"/>
  <c r="C309" i="48"/>
  <c r="C1303" i="48"/>
  <c r="C1835" i="48"/>
  <c r="C1187" i="48"/>
  <c r="C1859" i="48"/>
  <c r="C60" i="48"/>
  <c r="C1375" i="48"/>
  <c r="C1350" i="48"/>
  <c r="C2382" i="48"/>
  <c r="C2537" i="48"/>
  <c r="C1501" i="48"/>
  <c r="C1741" i="48"/>
  <c r="C487" i="48"/>
  <c r="C440" i="48"/>
  <c r="C2268" i="48"/>
  <c r="C2676" i="48"/>
  <c r="C1396" i="48"/>
  <c r="C2053" i="48"/>
  <c r="C2675" i="48"/>
  <c r="C2612" i="48"/>
  <c r="C2374" i="48"/>
  <c r="C2521" i="48"/>
  <c r="C2238" i="48"/>
  <c r="C392" i="48"/>
  <c r="C469" i="48"/>
  <c r="C152" i="48"/>
  <c r="C1383" i="48"/>
  <c r="C46" i="48"/>
  <c r="C546" i="48"/>
  <c r="C1489" i="48"/>
  <c r="C2600" i="48"/>
  <c r="C2599" i="48"/>
  <c r="C43" i="48"/>
  <c r="C2657" i="48"/>
  <c r="C1542" i="48"/>
  <c r="C1447" i="48"/>
  <c r="C58" i="48"/>
  <c r="C1516" i="48"/>
  <c r="C1141" i="48"/>
  <c r="C1410" i="48"/>
  <c r="C1607" i="48"/>
  <c r="C1223" i="48"/>
  <c r="C1595" i="48"/>
  <c r="C1711" i="48"/>
  <c r="C1245" i="48"/>
  <c r="C36" i="48"/>
  <c r="C276" i="48"/>
  <c r="C1162" i="48"/>
  <c r="C1800" i="48"/>
  <c r="C1573" i="48"/>
  <c r="C2042" i="48"/>
  <c r="C2373" i="48"/>
  <c r="C61" i="48"/>
  <c r="C1393" i="48"/>
  <c r="C2516" i="48"/>
  <c r="C1853" i="48"/>
  <c r="C2286" i="48"/>
  <c r="C190" i="48"/>
  <c r="C1349" i="48"/>
  <c r="C2401" i="48"/>
  <c r="C1251" i="48"/>
  <c r="C582" i="48"/>
  <c r="C1327" i="48"/>
  <c r="C1775" i="48"/>
  <c r="C1556" i="48"/>
  <c r="C2066" i="48"/>
  <c r="C343" i="48"/>
  <c r="C1763" i="48"/>
  <c r="C1906" i="48"/>
  <c r="C1846" i="48"/>
  <c r="C1323" i="48"/>
  <c r="C100" i="48"/>
  <c r="C1487" i="48"/>
  <c r="C1549" i="48"/>
  <c r="C2414" i="48"/>
  <c r="C2544" i="48"/>
  <c r="C1174" i="48"/>
  <c r="C513" i="48"/>
  <c r="C2434" i="48"/>
  <c r="C210" i="48"/>
  <c r="C2623" i="48"/>
  <c r="C2505" i="48"/>
  <c r="C1572" i="48"/>
  <c r="C2525" i="48"/>
  <c r="C1394" i="48"/>
  <c r="C1910" i="48"/>
  <c r="C2409" i="48"/>
  <c r="C1841" i="48"/>
  <c r="C1582" i="48"/>
  <c r="C464" i="48"/>
  <c r="C2682" i="48"/>
  <c r="C1347" i="48"/>
  <c r="C411" i="48"/>
  <c r="C149" i="48"/>
  <c r="C2487" i="48"/>
  <c r="C1855" i="48"/>
  <c r="C452" i="48"/>
  <c r="C2280" i="48"/>
  <c r="C1928" i="48"/>
  <c r="C2031" i="48"/>
  <c r="C1392" i="48"/>
  <c r="C1214" i="48"/>
  <c r="C527" i="48"/>
  <c r="C430" i="48"/>
  <c r="C384" i="48"/>
  <c r="C1694" i="48"/>
  <c r="C263" i="48"/>
  <c r="C2529" i="48"/>
  <c r="C1579" i="48"/>
  <c r="C1978" i="48"/>
  <c r="C249" i="48"/>
  <c r="C1409" i="48"/>
  <c r="C2478" i="48"/>
  <c r="C558" i="48"/>
  <c r="C446" i="48"/>
  <c r="C1610" i="48"/>
  <c r="C2395" i="48"/>
  <c r="C1666" i="48"/>
  <c r="C234" i="48"/>
  <c r="C1885" i="48"/>
  <c r="C1305" i="48"/>
  <c r="C1112" i="48"/>
  <c r="C1430" i="48"/>
  <c r="C32" i="48"/>
  <c r="C479" i="48"/>
  <c r="C2616" i="48"/>
  <c r="C448" i="48"/>
  <c r="C54" i="48"/>
  <c r="C1975" i="48"/>
  <c r="C1403" i="48"/>
  <c r="C91" i="48"/>
  <c r="C429" i="48"/>
  <c r="C2316" i="48"/>
  <c r="C2408" i="48"/>
  <c r="C1701" i="48"/>
  <c r="C1796" i="48"/>
  <c r="C491" i="48"/>
  <c r="C539" i="48"/>
  <c r="C1406" i="48"/>
  <c r="C1731" i="48"/>
  <c r="C1443" i="48"/>
  <c r="C1861" i="48"/>
  <c r="C1391" i="48"/>
  <c r="C34" i="48"/>
  <c r="C1505" i="48"/>
  <c r="C1524" i="48"/>
  <c r="C485" i="48"/>
  <c r="C1693" i="48"/>
  <c r="C1707" i="48"/>
  <c r="C480" i="48"/>
  <c r="C132" i="48"/>
  <c r="C399" i="48"/>
  <c r="C2418" i="48"/>
  <c r="C595" i="48"/>
  <c r="C456" i="48"/>
  <c r="C2317" i="48"/>
  <c r="C378" i="48"/>
  <c r="C313" i="48"/>
  <c r="C1680" i="48"/>
  <c r="C2020" i="48"/>
  <c r="C1160" i="48"/>
  <c r="C1903" i="48"/>
  <c r="C1702" i="48"/>
  <c r="C1935" i="48"/>
  <c r="C1252" i="48"/>
  <c r="C405" i="48"/>
  <c r="C415" i="48"/>
  <c r="C1809" i="48"/>
  <c r="C2059" i="48"/>
  <c r="C583" i="48"/>
  <c r="C254" i="48"/>
  <c r="C1577" i="48"/>
  <c r="C1551" i="48"/>
  <c r="C277" i="48"/>
  <c r="C1586" i="48"/>
  <c r="C2022" i="48"/>
  <c r="C1733" i="48"/>
  <c r="C531" i="48"/>
  <c r="C1917" i="48"/>
  <c r="C616" i="48"/>
  <c r="C1237" i="48"/>
  <c r="C466" i="48"/>
  <c r="C2013" i="48"/>
  <c r="C2218" i="48"/>
  <c r="C385" i="48"/>
  <c r="C1957" i="48"/>
  <c r="C131" i="48"/>
  <c r="C1292" i="48"/>
  <c r="C1504" i="48"/>
  <c r="C1168" i="48"/>
  <c r="C49" i="48"/>
  <c r="C1491" i="48"/>
  <c r="C1399" i="48"/>
  <c r="C1158" i="48"/>
  <c r="C207" i="48"/>
  <c r="C1203" i="48"/>
  <c r="C1682" i="48"/>
  <c r="C1956" i="48"/>
  <c r="C311" i="48"/>
  <c r="C1361" i="48"/>
  <c r="C251" i="48"/>
  <c r="C2653" i="48"/>
  <c r="C2624" i="48"/>
  <c r="C1235" i="48"/>
  <c r="C1824" i="48"/>
  <c r="C511" i="48"/>
  <c r="C1970" i="48"/>
  <c r="C2436" i="48"/>
  <c r="C2495" i="48"/>
  <c r="C256" i="48"/>
  <c r="C1526" i="48"/>
  <c r="C535" i="48"/>
  <c r="C1414" i="48"/>
  <c r="C1269" i="48"/>
  <c r="C264" i="48"/>
  <c r="C1925" i="48"/>
  <c r="C220" i="48"/>
  <c r="C273" i="48"/>
  <c r="C195" i="48"/>
  <c r="C472" i="48"/>
  <c r="C1772" i="48"/>
  <c r="C544" i="48"/>
  <c r="C88" i="48"/>
  <c r="C1623" i="48"/>
  <c r="C1727" i="48"/>
  <c r="C1339" i="48"/>
  <c r="C2052" i="48"/>
  <c r="C1166" i="48"/>
  <c r="C518" i="48"/>
  <c r="C1315" i="48"/>
  <c r="C2648" i="48"/>
  <c r="C572" i="48"/>
  <c r="C119" i="48"/>
  <c r="C2274" i="48"/>
  <c r="C1333" i="48"/>
  <c r="C2030" i="48"/>
  <c r="C1471" i="48"/>
  <c r="C1194" i="48"/>
  <c r="C116" i="48"/>
  <c r="C2476" i="48"/>
  <c r="C1363" i="48"/>
  <c r="C1948" i="48"/>
  <c r="C230" i="48"/>
  <c r="C1527" i="48"/>
  <c r="C1657" i="48"/>
  <c r="C1387" i="48"/>
  <c r="C1336" i="48"/>
  <c r="C1449" i="48"/>
  <c r="C568" i="48"/>
  <c r="C326" i="48"/>
  <c r="C2011" i="48"/>
  <c r="C1698" i="48"/>
  <c r="C436" i="48"/>
  <c r="C474" i="48"/>
  <c r="C410" i="48"/>
  <c r="C597" i="48"/>
  <c r="C1547" i="48"/>
  <c r="C2029" i="48"/>
  <c r="C2297" i="48"/>
  <c r="C332" i="48"/>
  <c r="C1871" i="48"/>
  <c r="C2381" i="48"/>
  <c r="C1297" i="48"/>
  <c r="C1371" i="48"/>
  <c r="C2024" i="48"/>
  <c r="C2225" i="48"/>
  <c r="C1525" i="48"/>
  <c r="C324" i="48"/>
  <c r="C2270" i="48"/>
  <c r="C2433" i="48"/>
  <c r="C2512" i="48"/>
  <c r="C259" i="48"/>
  <c r="C1340" i="48"/>
  <c r="C1904" i="48"/>
  <c r="C439" i="48"/>
  <c r="C37" i="48"/>
  <c r="C248" i="48"/>
  <c r="C281" i="48"/>
  <c r="C2051" i="48"/>
  <c r="C2404" i="48"/>
  <c r="C1612" i="48"/>
  <c r="C346" i="48"/>
  <c r="C1246" i="48"/>
  <c r="C1626" i="48"/>
  <c r="C1226" i="48"/>
  <c r="C1348" i="48"/>
  <c r="C1766" i="48"/>
  <c r="C2271" i="48"/>
  <c r="C1875" i="48"/>
  <c r="C1192" i="48"/>
  <c r="C1705" i="48"/>
  <c r="C1485" i="48"/>
  <c r="C1538" i="48"/>
  <c r="C1198" i="48"/>
  <c r="C1793" i="48"/>
  <c r="C96" i="48"/>
  <c r="C2192" i="48"/>
  <c r="C381" i="48"/>
  <c r="C1548" i="48"/>
  <c r="C1404" i="48"/>
  <c r="C1911" i="48"/>
  <c r="C1411" i="48"/>
  <c r="C1650" i="48"/>
  <c r="C2649" i="48"/>
  <c r="C1862" i="48"/>
  <c r="C154" i="48"/>
  <c r="C1311" i="48"/>
  <c r="C1712" i="48"/>
  <c r="C1663" i="48"/>
  <c r="C1842" i="48"/>
  <c r="C2014" i="48"/>
  <c r="C153" i="48"/>
  <c r="C56" i="48"/>
  <c r="C1819" i="48"/>
  <c r="C1826" i="48"/>
  <c r="C1407" i="48"/>
  <c r="C1207" i="48"/>
  <c r="C2224" i="48"/>
  <c r="C42" i="48"/>
  <c r="C1780" i="48"/>
  <c r="C2018" i="48"/>
  <c r="C442" i="48"/>
  <c r="C2549" i="48"/>
  <c r="C1413" i="48"/>
  <c r="C2276" i="48"/>
  <c r="C205" i="48"/>
  <c r="C1455" i="48"/>
  <c r="C2285" i="48"/>
  <c r="C1153" i="48"/>
  <c r="C242" i="48"/>
  <c r="C2673" i="48"/>
  <c r="C2488" i="48"/>
  <c r="C614" i="48"/>
  <c r="C1429" i="48"/>
  <c r="C2294" i="48"/>
  <c r="C2282" i="48"/>
  <c r="C2314" i="48"/>
  <c r="C1615" i="48"/>
  <c r="C2313" i="48"/>
  <c r="C529" i="48"/>
  <c r="C2049" i="48"/>
  <c r="C584" i="48"/>
  <c r="C1179" i="48"/>
  <c r="C388" i="48"/>
  <c r="C1108" i="48"/>
  <c r="C2419" i="48"/>
  <c r="C1287" i="48"/>
  <c r="C184" i="48"/>
  <c r="C2551" i="48"/>
  <c r="C1812" i="48"/>
  <c r="C2420" i="48"/>
  <c r="C1480" i="48"/>
  <c r="C596" i="48"/>
  <c r="C1329" i="48"/>
  <c r="C1498" i="48"/>
  <c r="C1581" i="48"/>
  <c r="C1236" i="48"/>
  <c r="C364" i="48"/>
  <c r="C1264" i="48"/>
  <c r="C1284" i="48"/>
  <c r="C1304" i="48"/>
  <c r="C573" i="48"/>
  <c r="C2212" i="48"/>
  <c r="C301" i="48"/>
  <c r="C496" i="48"/>
  <c r="C548" i="48"/>
  <c r="C1517" i="48"/>
  <c r="C1302" i="48"/>
  <c r="C2001" i="48"/>
  <c r="C1351" i="48"/>
  <c r="C1827" i="48"/>
  <c r="C345" i="48"/>
  <c r="C1467" i="48"/>
  <c r="C1569" i="48"/>
  <c r="C1545" i="48"/>
  <c r="C2071" i="48"/>
  <c r="C380" i="48"/>
  <c r="C494" i="48"/>
  <c r="C223" i="48"/>
  <c r="C611" i="48"/>
  <c r="C1219" i="48"/>
  <c r="C613" i="48"/>
  <c r="C414" i="48"/>
  <c r="C621" i="48"/>
  <c r="C2054" i="48"/>
  <c r="C1967" i="48"/>
  <c r="C1652" i="48"/>
  <c r="C1649" i="48"/>
  <c r="C1822" i="48"/>
  <c r="C1216" i="48"/>
  <c r="C507" i="48"/>
  <c r="C1625" i="48"/>
  <c r="C2267" i="48"/>
  <c r="C215" i="48"/>
  <c r="C1397" i="48"/>
  <c r="C235" i="48"/>
  <c r="C1180" i="48"/>
  <c r="C370" i="48"/>
  <c r="C1201" i="48"/>
  <c r="C2417" i="48"/>
  <c r="C316" i="48"/>
  <c r="C2377" i="48"/>
  <c r="C2527" i="48"/>
  <c r="C2440" i="48"/>
  <c r="C1509" i="48"/>
  <c r="C292" i="48"/>
  <c r="C1188" i="48"/>
  <c r="C2308" i="48"/>
  <c r="C1999" i="48"/>
  <c r="C2515" i="48"/>
  <c r="C1550" i="48"/>
  <c r="C382" i="48"/>
  <c r="C1931" i="48"/>
  <c r="C1532" i="48"/>
  <c r="C1877" i="48"/>
  <c r="C2318" i="48"/>
  <c r="C2027" i="48"/>
  <c r="C1992" i="48"/>
  <c r="C1283" i="48"/>
  <c r="C144" i="48"/>
  <c r="C151" i="48"/>
  <c r="C585" i="48"/>
  <c r="C1186" i="48"/>
  <c r="C1291" i="48"/>
  <c r="C2062" i="48"/>
  <c r="C1760" i="48"/>
  <c r="C2413" i="48"/>
  <c r="C357" i="48"/>
  <c r="C1376" i="48"/>
  <c r="C2603" i="48"/>
  <c r="C1101" i="48"/>
  <c r="C1271" i="48"/>
  <c r="C290" i="48"/>
  <c r="C2598" i="48"/>
  <c r="C2070" i="48"/>
  <c r="C2506" i="48"/>
  <c r="C1118" i="48"/>
  <c r="C565" i="48"/>
  <c r="C1916" i="48"/>
  <c r="C1104" i="48"/>
  <c r="C2663" i="48"/>
  <c r="C1848" i="48"/>
  <c r="C1721" i="48"/>
  <c r="C1737" i="48"/>
  <c r="C1831" i="48"/>
  <c r="C2037" i="48"/>
  <c r="C461" i="48"/>
  <c r="C1241" i="48"/>
  <c r="C1686" i="48"/>
  <c r="C1265" i="48"/>
  <c r="C1591" i="48"/>
  <c r="C2672" i="48"/>
  <c r="C2643" i="48"/>
  <c r="C2363" i="48"/>
  <c r="C2554" i="48"/>
  <c r="C2032" i="48"/>
  <c r="C1918" i="48"/>
  <c r="C1482" i="48"/>
  <c r="C1887" i="48"/>
  <c r="C1436" i="48"/>
  <c r="C2039" i="48"/>
  <c r="C453" i="48"/>
  <c r="C1719" i="48"/>
  <c r="C1830" i="48"/>
  <c r="C238" i="48"/>
  <c r="C240" i="48"/>
  <c r="C2630" i="48"/>
  <c r="C2230" i="48"/>
  <c r="C2358" i="48"/>
  <c r="C1165" i="48"/>
  <c r="C1139" i="48"/>
  <c r="C1618" i="48"/>
  <c r="C2607" i="48"/>
  <c r="C1310" i="48"/>
  <c r="C212" i="48"/>
  <c r="C1288" i="48"/>
  <c r="C2281" i="48"/>
  <c r="C1755" i="48"/>
  <c r="C574" i="48"/>
  <c r="C425" i="48"/>
  <c r="C2385" i="48"/>
  <c r="C1722" i="48"/>
  <c r="C147" i="48"/>
  <c r="C1732" i="48"/>
  <c r="C465" i="48"/>
  <c r="C232" i="48"/>
  <c r="C2628" i="48"/>
  <c r="C1976" i="48"/>
  <c r="C2597" i="48"/>
  <c r="C35" i="48"/>
  <c r="C327" i="48"/>
  <c r="C1233" i="48"/>
  <c r="C2064" i="48"/>
  <c r="C1157" i="48"/>
  <c r="C28" i="48"/>
  <c r="C2211" i="48"/>
  <c r="C2290" i="48"/>
  <c r="C536" i="48"/>
  <c r="C2397" i="48"/>
  <c r="C368" i="48"/>
  <c r="C1274" i="48"/>
  <c r="C562" i="48"/>
  <c r="C1865" i="48"/>
  <c r="C1922" i="48"/>
  <c r="C1117" i="48"/>
  <c r="C87" i="48"/>
  <c r="C1539" i="48"/>
  <c r="C1923" i="48"/>
  <c r="C1299" i="48"/>
  <c r="C1998" i="48"/>
  <c r="C1881" i="48"/>
  <c r="C1543" i="48"/>
  <c r="C48" i="48"/>
  <c r="C362" i="48"/>
  <c r="C198" i="48"/>
  <c r="C104" i="48"/>
  <c r="C1263" i="48"/>
  <c r="C1617" i="48"/>
  <c r="C1660" i="48"/>
  <c r="C1511" i="48"/>
  <c r="C2509" i="48"/>
  <c r="C31" i="48"/>
  <c r="C1354" i="48"/>
  <c r="C570" i="48"/>
  <c r="C470" i="48"/>
  <c r="C394" i="48"/>
  <c r="C2386" i="48"/>
  <c r="C387" i="48"/>
  <c r="C2233" i="48"/>
  <c r="C2295" i="48"/>
  <c r="C1116" i="48"/>
  <c r="C2188" i="48"/>
  <c r="C1908" i="48"/>
  <c r="C1884" i="48"/>
  <c r="C1939" i="48"/>
  <c r="C2371" i="48"/>
  <c r="C586" i="48"/>
  <c r="C1541" i="48"/>
  <c r="C608" i="48"/>
  <c r="C1176" i="48"/>
  <c r="C1829" i="48"/>
  <c r="C1889" i="48"/>
  <c r="C1308" i="48"/>
  <c r="C365" i="48"/>
  <c r="C1352" i="48"/>
  <c r="C2405" i="48"/>
  <c r="C2611" i="48"/>
  <c r="C1950" i="48"/>
  <c r="C2057" i="48"/>
  <c r="C2674" i="48"/>
  <c r="C2010" i="48"/>
  <c r="C1724" i="48"/>
  <c r="C2622" i="48"/>
  <c r="C271" i="48"/>
  <c r="C1458" i="48"/>
  <c r="C121" i="48"/>
  <c r="C141" i="48"/>
  <c r="C45" i="48"/>
  <c r="C270" i="48"/>
  <c r="C219" i="48"/>
  <c r="C2077" i="48"/>
  <c r="C1448" i="48"/>
  <c r="C617" i="48"/>
  <c r="C559" i="48"/>
  <c r="C1989" i="48"/>
  <c r="C1672" i="48"/>
  <c r="C1955" i="48"/>
  <c r="C1554" i="48"/>
  <c r="C2550" i="48"/>
  <c r="C55" i="48"/>
  <c r="C1620" i="48"/>
  <c r="C1537" i="48"/>
  <c r="C1991" i="48"/>
  <c r="C1388" i="48"/>
  <c r="C1280" i="48"/>
  <c r="C1261" i="48"/>
  <c r="C1624" i="48"/>
  <c r="C2519" i="48"/>
  <c r="C286" i="48"/>
  <c r="C1557" i="48"/>
  <c r="C1749" i="48"/>
  <c r="C253" i="48"/>
  <c r="C1266" i="48"/>
  <c r="C1795" i="48"/>
  <c r="C2680" i="48"/>
  <c r="C1874" i="48"/>
  <c r="C318" i="48"/>
  <c r="C1915" i="48"/>
  <c r="C2410" i="48"/>
  <c r="C1661" i="48"/>
  <c r="C2257" i="48"/>
  <c r="C1453" i="48"/>
  <c r="C82" i="48"/>
  <c r="C1575" i="48"/>
  <c r="C317" i="48"/>
  <c r="C1294" i="48"/>
  <c r="C2629" i="48"/>
  <c r="C1627" i="48"/>
  <c r="C1497" i="48"/>
  <c r="C1473" i="48"/>
  <c r="C2533" i="48"/>
  <c r="C1751" i="48"/>
  <c r="C571" i="48"/>
  <c r="C618" i="48"/>
  <c r="C2275" i="48"/>
  <c r="C1500" i="48"/>
  <c r="C1119" i="48"/>
  <c r="C580" i="48"/>
  <c r="C1370" i="48"/>
  <c r="C1578" i="48"/>
  <c r="C418" i="48"/>
  <c r="C1474" i="48"/>
  <c r="C1933" i="48"/>
  <c r="C1880" i="48"/>
  <c r="C1695" i="48"/>
  <c r="C1244" i="48"/>
  <c r="C2423" i="48"/>
  <c r="C2226" i="48"/>
  <c r="C2514" i="48"/>
  <c r="C1355" i="48"/>
  <c r="C2369" i="48"/>
  <c r="C1145" i="48"/>
  <c r="C610" i="48"/>
  <c r="C1883" i="48"/>
  <c r="C1514" i="48"/>
  <c r="C1897" i="48"/>
  <c r="C2500" i="48"/>
  <c r="C1716" i="48"/>
  <c r="C1469" i="48"/>
  <c r="C1331" i="48"/>
  <c r="C1633" i="48"/>
  <c r="C1574" i="48"/>
  <c r="C310" i="48"/>
  <c r="C211" i="48"/>
  <c r="C2019" i="48"/>
  <c r="C1676" i="48"/>
  <c r="C1253" i="48"/>
  <c r="C193" i="48"/>
  <c r="C1945" i="48"/>
  <c r="C512" i="48"/>
  <c r="C2541" i="48"/>
  <c r="C1670" i="48"/>
  <c r="C1175" i="48"/>
  <c r="C2651" i="48"/>
  <c r="C2668" i="48"/>
  <c r="C554" i="48"/>
  <c r="C130" i="48"/>
  <c r="C1734" i="48"/>
  <c r="C1196" i="48"/>
  <c r="C1454" i="48"/>
  <c r="C424" i="48"/>
  <c r="C1596" i="48"/>
  <c r="C1748" i="48"/>
  <c r="C1979" i="48"/>
  <c r="C1974" i="48"/>
  <c r="C508" i="48"/>
  <c r="C245" i="48"/>
  <c r="C1154" i="48"/>
  <c r="C1878" i="48"/>
  <c r="C2235" i="48"/>
  <c r="C2283" i="48"/>
  <c r="C1782" i="48"/>
  <c r="C1326" i="48"/>
  <c r="C2425" i="48"/>
  <c r="C594" i="48"/>
  <c r="C2063" i="48"/>
  <c r="C1461" i="48"/>
  <c r="C451" i="48"/>
  <c r="C1576" i="48"/>
  <c r="C322" i="48"/>
  <c r="C2311" i="48"/>
  <c r="C233" i="48"/>
  <c r="C303" i="48"/>
  <c r="C1466" i="48"/>
  <c r="C1920" i="48"/>
  <c r="C534" i="48"/>
  <c r="C619" i="48"/>
  <c r="C2222" i="48"/>
  <c r="C204" i="48"/>
  <c r="C2406" i="48"/>
  <c r="C80" i="48"/>
  <c r="C2553" i="48"/>
  <c r="C2523" i="48"/>
  <c r="C1993" i="48"/>
  <c r="C1475" i="48"/>
  <c r="C2602" i="48"/>
  <c r="C443" i="48"/>
  <c r="C101" i="48"/>
  <c r="C2530" i="48"/>
  <c r="C2424" i="48"/>
  <c r="C1743" i="48"/>
  <c r="C2035" i="48"/>
  <c r="C1836" i="48"/>
  <c r="C1143" i="48"/>
  <c r="C1788" i="48"/>
  <c r="C2650" i="48"/>
  <c r="C1868" i="48"/>
  <c r="C1646" i="48"/>
  <c r="C1860" i="48"/>
  <c r="C1296" i="48"/>
  <c r="C369" i="48"/>
  <c r="C1838" i="48"/>
  <c r="C2545" i="48"/>
  <c r="C2435" i="48"/>
  <c r="C2639" i="48"/>
  <c r="C2307" i="48"/>
  <c r="C1588" i="48"/>
  <c r="C1282" i="48"/>
  <c r="C1200" i="48"/>
  <c r="C1228" i="48"/>
  <c r="C604" i="48"/>
  <c r="C2008" i="48"/>
  <c r="C501" i="48"/>
  <c r="C2078" i="48"/>
  <c r="C550" i="48"/>
  <c r="C1843" i="48"/>
  <c r="C407" i="48"/>
  <c r="C38" i="48"/>
  <c r="C2206" i="48"/>
  <c r="C551" i="48"/>
  <c r="C2269" i="48"/>
  <c r="C1133" i="48"/>
  <c r="C320" i="48"/>
  <c r="C1462" i="48"/>
  <c r="C272" i="48"/>
  <c r="C50" i="48"/>
  <c r="C1270" i="48"/>
  <c r="C1242" i="48"/>
  <c r="C1278" i="48"/>
  <c r="C1658" i="48"/>
  <c r="C1437" i="48"/>
  <c r="C2284" i="48"/>
  <c r="C2237" i="48"/>
  <c r="C2645" i="48"/>
  <c r="C563" i="48"/>
  <c r="C1492" i="48"/>
  <c r="C2234" i="48"/>
  <c r="C1708" i="48"/>
  <c r="C2203" i="48"/>
  <c r="C2547" i="48"/>
  <c r="C1506" i="48"/>
  <c r="C449" i="48"/>
  <c r="C1953" i="48"/>
  <c r="C1457" i="48"/>
  <c r="C1962" i="48"/>
  <c r="C2036" i="48"/>
  <c r="C1522" i="48"/>
  <c r="C1949" i="48"/>
  <c r="C506" i="48"/>
  <c r="C401" i="48"/>
  <c r="C2427" i="48"/>
  <c r="C2306" i="48"/>
  <c r="C477" i="48"/>
  <c r="C26" i="48"/>
  <c r="C1912" i="48"/>
  <c r="C543" i="48"/>
  <c r="C98" i="48"/>
  <c r="C1130" i="48"/>
  <c r="C226" i="48"/>
  <c r="C278" i="48"/>
  <c r="C640" i="48"/>
  <c r="C2034" i="48"/>
  <c r="C333" i="48"/>
  <c r="C553" i="48"/>
  <c r="C549" i="48"/>
  <c r="C2050" i="48"/>
  <c r="C403" i="48"/>
  <c r="C1844" i="48"/>
  <c r="C1759" i="48"/>
  <c r="C1256" i="48"/>
  <c r="C1932" i="48"/>
  <c r="C1259" i="48"/>
  <c r="C626" i="48"/>
  <c r="C1571" i="48"/>
  <c r="C1869" i="48"/>
  <c r="C1987" i="48"/>
  <c r="C135" i="48"/>
  <c r="C2216" i="48"/>
  <c r="C475" i="48"/>
  <c r="C1685" i="48"/>
  <c r="C344" i="48"/>
  <c r="C1218" i="48"/>
  <c r="C1715" i="48"/>
  <c r="C1753" i="48"/>
  <c r="C2196" i="48"/>
  <c r="C1451" i="48"/>
  <c r="C2538" i="48"/>
  <c r="C1384" i="48"/>
  <c r="C2426" i="48"/>
  <c r="C2539" i="48"/>
  <c r="C1456" i="48"/>
  <c r="C2319" i="48"/>
  <c r="C1181" i="48"/>
  <c r="C1332" i="48"/>
  <c r="C1416" i="48"/>
  <c r="C490" i="48"/>
  <c r="C1651" i="48"/>
  <c r="C1499" i="48"/>
  <c r="C1622" i="48"/>
  <c r="C192" i="48"/>
  <c r="C241" i="48"/>
  <c r="C1592" i="48"/>
  <c r="C603" i="48"/>
  <c r="C1728" i="48"/>
  <c r="C1849" i="48"/>
  <c r="C1202" i="48"/>
  <c r="C1215" i="48"/>
  <c r="C1580" i="48"/>
  <c r="C2357" i="48"/>
  <c r="C1593" i="48"/>
  <c r="C1688" i="48"/>
  <c r="C495" i="48"/>
  <c r="C227" i="48"/>
  <c r="C1114" i="48"/>
  <c r="C2075" i="48"/>
  <c r="C627" i="48"/>
  <c r="C1709" i="48"/>
  <c r="C2618" i="48"/>
  <c r="C347" i="48"/>
  <c r="C2644" i="48"/>
  <c r="C1293" i="48"/>
  <c r="C244" i="48"/>
  <c r="C2239" i="48"/>
  <c r="C396" i="48"/>
  <c r="C2221" i="48"/>
  <c r="C1144" i="48"/>
  <c r="C2367" i="48"/>
  <c r="C1611" i="48"/>
  <c r="C533" i="48"/>
  <c r="C209" i="48"/>
  <c r="C1171" i="4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Gavin Sayer</author>
    <author>Mark Clarke</author>
  </authors>
  <commentList>
    <comment ref="B94" authorId="0" shapeId="0" xr:uid="{0AB71BE3-F8B7-41B1-9C1C-CFD8F80D893A}">
      <text>
        <r>
          <rPr>
            <sz val="9"/>
            <color indexed="81"/>
            <rFont val="Tahoma"/>
            <family val="2"/>
          </rPr>
          <t>See also line 813 and paragraphs 52-64 of CIPFA’s Bulletin 09 year end closure 2020-21  https://www.cipfa.org/policy-and-guidance/cipfa-bulletins/cipfa-bulletin-09-closure-of-the-202021-financial-statements</t>
        </r>
      </text>
    </comment>
    <comment ref="B102" authorId="0" shapeId="0" xr:uid="{E92C2178-A130-4204-B17E-89EE0B0CED92}">
      <text>
        <r>
          <rPr>
            <sz val="9"/>
            <color indexed="81"/>
            <rFont val="Tahoma"/>
            <family val="2"/>
          </rPr>
          <t>See also line 797 and paragraphs 52-64 of CIPFA’s Bulletin 09 year end closure 2020-21  https://www.cipfa.org/policy-and-guidance/cipfa-bulletins/cipfa-bulletin-09-closure-of-the-202021-financial-statements</t>
        </r>
      </text>
    </comment>
    <comment ref="B106" authorId="0" shapeId="0" xr:uid="{9B05E91D-6E31-4298-83A3-537AF6A29572}">
      <text>
        <r>
          <rPr>
            <sz val="9"/>
            <color indexed="81"/>
            <rFont val="Tahoma"/>
            <family val="2"/>
          </rPr>
          <t>NB The value in 815d makes 2021-22 Retained business rates income (line 870) lower than it would otherwise have been.</t>
        </r>
      </text>
    </comment>
    <comment ref="B122" authorId="1" shapeId="0" xr:uid="{3DE4EDEA-4AD6-4932-8066-10E51F1361DC}">
      <text>
        <r>
          <rPr>
            <sz val="9"/>
            <color indexed="81"/>
            <rFont val="Tahoma"/>
            <family val="2"/>
          </rPr>
          <t>See CIPFA bulletin 09 Closure of Financial Statements 2020-21 paras 60 &amp; 61 
www.cipfa.org/policy-and-guidance/cipfa-bulletins/cipfa-bulletin-09-closure-of-the-202021-financial-statements.</t>
        </r>
      </text>
    </comment>
    <comment ref="B125" authorId="0" shapeId="0" xr:uid="{CC8E84DC-70C4-4524-9A84-818D022D7978}">
      <text>
        <r>
          <rPr>
            <sz val="9"/>
            <color indexed="81"/>
            <rFont val="Tahoma"/>
            <family val="2"/>
          </rPr>
          <t xml:space="preserve">Be sure to check carefully whether or not your source includes all of the exceptional elements or not
</t>
        </r>
      </text>
    </comment>
    <comment ref="B134" authorId="0" shapeId="0" xr:uid="{5C1FB1FF-E467-42F3-A56B-786FA7EC1C34}">
      <text>
        <r>
          <rPr>
            <sz val="9"/>
            <color indexed="81"/>
            <rFont val="Tahoma"/>
            <family val="2"/>
          </rPr>
          <t>In line with paras 6.11-6.13 of https://www.cipfa.org/-/media/files/policy-and-guidance/cipfa-bulletins/cipfa-bulletin-10-year-end-closure-2021-22.pdf.      
2021-22 Source: The opening balance has been pre-populated from the NNDR3 2021-22 return.</t>
        </r>
      </text>
    </comment>
    <comment ref="B135" authorId="0" shapeId="0" xr:uid="{5561C954-973A-421A-B63C-40B4EE46DBE7}">
      <text>
        <r>
          <rPr>
            <sz val="9"/>
            <color indexed="81"/>
            <rFont val="Tahoma"/>
            <family val="2"/>
          </rPr>
          <t xml:space="preserve">In line with paras 6.11-6.13 of https://www.cipfa.org/-/media/files/policy-and-guidance/cipfa-bulletins/cipfa-bulletin-10-year-end-closure-2021-22.pdf    
2021-22 Source: The opening balance has been pre-populated from the NNDR3 2021-22 return.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Gavin Sayer</author>
  </authors>
  <commentList>
    <comment ref="B81" authorId="0" shapeId="0" xr:uid="{3E37384F-77C8-42E7-9BDB-BDC14148EA12}">
      <text>
        <r>
          <rPr>
            <b/>
            <sz val="9"/>
            <color indexed="81"/>
            <rFont val="Tahoma"/>
            <family val="2"/>
          </rPr>
          <t xml:space="preserve">If relevant, record payments relating to passing on specific grant funding like the Infection Control Fund grant funding. </t>
        </r>
        <r>
          <rPr>
            <sz val="9"/>
            <color indexed="81"/>
            <rFont val="Tahoma"/>
            <family val="2"/>
          </rPr>
          <t xml:space="preserve">
</t>
        </r>
      </text>
    </comment>
    <comment ref="B82" authorId="0" shapeId="0" xr:uid="{9A19C87E-5EEB-49B1-B8BB-DAB30AB40D66}">
      <text>
        <r>
          <rPr>
            <b/>
            <sz val="9"/>
            <color indexed="81"/>
            <rFont val="Tahoma"/>
            <family val="2"/>
          </rPr>
          <t>This was introduced to include, for example, ‘support to market’ payments.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<sst xmlns="http://schemas.openxmlformats.org/spreadsheetml/2006/main" count="17888" uniqueCount="6055">
  <si>
    <t>2022-23</t>
  </si>
  <si>
    <t>Version 1.0</t>
  </si>
  <si>
    <t>RO - REVENUE OUTTURN SUITE OF FORMS</t>
  </si>
  <si>
    <t xml:space="preserve">         For return by:</t>
  </si>
  <si>
    <t xml:space="preserve">Provisional data: </t>
  </si>
  <si>
    <t>Friday 28 July 2023</t>
  </si>
  <si>
    <t xml:space="preserve">Certified return (see section below): </t>
  </si>
  <si>
    <t>Friday 13 October 2023</t>
  </si>
  <si>
    <t>Local authorities, as defined in S.168 of the Local Government Act 1972 (as amended), are required by the Secretary of State to submit this return to DLUHC. The return may also be required under S.65 of the Local Government and Housing Act 1989.</t>
  </si>
  <si>
    <t>Please select your authority name from the drop down list by clicking in the cell below:</t>
  </si>
  <si>
    <t>Name of Local Authority:</t>
  </si>
  <si>
    <t>Please click here to select your authority name ==&gt;</t>
  </si>
  <si>
    <t>E-code:</t>
  </si>
  <si>
    <t>ONS-code:</t>
  </si>
  <si>
    <t>PLEASE READ ALL RELEVANT GUIDANCE NOTES BEFORE COMPLETING THESE FORMS.</t>
  </si>
  <si>
    <t>Your authority is required to complete and return the following forms:</t>
  </si>
  <si>
    <r>
      <t xml:space="preserve">THIS SUITE OF FORMS SHOULD BE COMPLETED ON A </t>
    </r>
    <r>
      <rPr>
        <b/>
        <sz val="14"/>
        <color theme="5"/>
        <rFont val="Arial"/>
        <family val="2"/>
      </rPr>
      <t>NON-INTERNATIONAL ACCOUNTING STANDARD 19 (NON-IAS19) BASIS</t>
    </r>
    <r>
      <rPr>
        <sz val="14"/>
        <color theme="5"/>
        <rFont val="Arial"/>
        <family val="2"/>
      </rPr>
      <t xml:space="preserve"> (EXCEPT WHERE SPECIFIED).</t>
    </r>
  </si>
  <si>
    <t>IMPORTANT: Please DO NOT alter this spreadsheet by inserting/deleting, merging any cells, or even using cut &amp; paste, as the data from this spreadsheet are directly transferred into the DLUHC database by a macro and these could break the references in the form.</t>
  </si>
  <si>
    <t xml:space="preserve">Once completed please e-mail this Excel workbook to: </t>
  </si>
  <si>
    <t>LGF1.REVENUE@levellingup.gov.uk</t>
  </si>
  <si>
    <t>Enquiries concerning completion of these forms should be made to the email address above or by calling 030 3444 2123 or 030 3444 2615</t>
  </si>
  <si>
    <t>LOCAL AUTHORITY CONTACT DETAILS</t>
  </si>
  <si>
    <t>Name:</t>
  </si>
  <si>
    <t>Telephone:</t>
  </si>
  <si>
    <t>E-mail:</t>
  </si>
  <si>
    <t>PLEASE ENTER YOUR S151 OFFICER DETAILS</t>
  </si>
  <si>
    <t>We address correspondence regarding the Statutory Local Government Finance Data Returns to the 'Chief Financial Officer'. In your authority is this the same person as the S151 Officer?</t>
  </si>
  <si>
    <t>Click on arrow at the right end of this cell to select</t>
  </si>
  <si>
    <t>IF YOU ANSWERED NO TO THE ABOVE, PLEASE ENTER YOUR Chief Financial Officer's DETAILS</t>
  </si>
  <si>
    <t>This form must be certified by the Chief Financial/Section 151 Officer or suitable deputy. They must complete the declaration below. 
When submitting your return (by email), you should copy in the certifier named below and confirm that this declaration has been completed by writing 'CERTIFIED' at the start of the email subject.</t>
  </si>
  <si>
    <t xml:space="preserve">It is acknowledged that various sections of the return may be best reviewed by different staff, and that the certifier’s statement is likely to be informed by the review of other expert staff and underpinned by appropriate delegation and review and sign-off processes.	</t>
  </si>
  <si>
    <t xml:space="preserve">I certify that, to the best of my knowledge and belief, the information provided in the revenue outturn return is based on the latest available information at the time of completion.	</t>
  </si>
  <si>
    <t>Name</t>
  </si>
  <si>
    <t>*</t>
  </si>
  <si>
    <t>Signature</t>
  </si>
  <si>
    <t>Role</t>
  </si>
  <si>
    <t>if role selected is 'Other' (must describe job title in this row)</t>
  </si>
  <si>
    <t>Date</t>
  </si>
  <si>
    <r>
      <t xml:space="preserve">Fields marked </t>
    </r>
    <r>
      <rPr>
        <sz val="14"/>
        <color rgb="FFFF0000"/>
        <rFont val="Arial"/>
        <family val="2"/>
      </rPr>
      <t>*</t>
    </r>
    <r>
      <rPr>
        <sz val="14"/>
        <rFont val="Arial"/>
        <family val="2"/>
      </rPr>
      <t xml:space="preserve"> are required.</t>
    </r>
  </si>
  <si>
    <t>Version notes</t>
  </si>
  <si>
    <t>Version</t>
  </si>
  <si>
    <t>Description of change(s)</t>
  </si>
  <si>
    <t>LOCAL AUTH</t>
  </si>
  <si>
    <t>CODE</t>
  </si>
  <si>
    <t>CLASS</t>
  </si>
  <si>
    <t>FORM DIST CODE</t>
  </si>
  <si>
    <t>SAR CODE</t>
  </si>
  <si>
    <t>FORM DISTRIBUTION</t>
  </si>
  <si>
    <t>upper</t>
  </si>
  <si>
    <t>LCTS</t>
  </si>
  <si>
    <t>CIL</t>
  </si>
  <si>
    <t>OLD LA CODES</t>
  </si>
  <si>
    <t>Please select your authority name on Title page</t>
  </si>
  <si>
    <t>E-code</t>
  </si>
  <si>
    <t>Your Authority ONS Code will appear here !</t>
  </si>
  <si>
    <t>Forms to be completed will appear here !</t>
  </si>
  <si>
    <t>tier services</t>
  </si>
  <si>
    <t>CC</t>
  </si>
  <si>
    <t>Adur</t>
  </si>
  <si>
    <t>E3831</t>
  </si>
  <si>
    <t>E07000223</t>
  </si>
  <si>
    <t>SD</t>
  </si>
  <si>
    <t>RO2, RO3, RO4, RO5, RO6, RS, RSm, RSX, TSR, RG</t>
  </si>
  <si>
    <t>CFA</t>
  </si>
  <si>
    <t>Allerdale</t>
  </si>
  <si>
    <t>E0931</t>
  </si>
  <si>
    <t>E07000026</t>
  </si>
  <si>
    <t>CITY</t>
  </si>
  <si>
    <t>Amber Valley</t>
  </si>
  <si>
    <t>E1031</t>
  </si>
  <si>
    <t>E07000032</t>
  </si>
  <si>
    <t>POL</t>
  </si>
  <si>
    <t>Arun</t>
  </si>
  <si>
    <t>E3832</t>
  </si>
  <si>
    <t>E07000224</t>
  </si>
  <si>
    <t>FIRE</t>
  </si>
  <si>
    <t>Ashfield</t>
  </si>
  <si>
    <t>E3031</t>
  </si>
  <si>
    <t>E07000170</t>
  </si>
  <si>
    <t>GLA</t>
  </si>
  <si>
    <t>Ashford</t>
  </si>
  <si>
    <t>E2231</t>
  </si>
  <si>
    <t>E07000105</t>
  </si>
  <si>
    <t>RO2, RO3, RO4, RO5, RO6, RS, RSm, RSX, TSR, RG, SAR</t>
  </si>
  <si>
    <t/>
  </si>
  <si>
    <t>Avon &amp; Somerset Police and Crime Commissioner and Chief Constable</t>
  </si>
  <si>
    <t>E7050</t>
  </si>
  <si>
    <t>E23000036</t>
  </si>
  <si>
    <t>RO4, RO5, RO6, RS, RSm, RSX, TSR, RG, SAR</t>
  </si>
  <si>
    <t>ILB</t>
  </si>
  <si>
    <t>Avon Combined Fire and Rescue Authority</t>
  </si>
  <si>
    <t>E6101</t>
  </si>
  <si>
    <t>E31000001</t>
  </si>
  <si>
    <t>RO4, RO5, RO6, RS, RSm, RSX, TSR, RG</t>
  </si>
  <si>
    <t>Babergh</t>
  </si>
  <si>
    <t>E3531</t>
  </si>
  <si>
    <t>E07000200</t>
  </si>
  <si>
    <t>MD</t>
  </si>
  <si>
    <t>Barking &amp; Dagenham</t>
  </si>
  <si>
    <t>E5030</t>
  </si>
  <si>
    <t>E09000002</t>
  </si>
  <si>
    <t>OLB</t>
  </si>
  <si>
    <t>RO1, RO2, RO3, RO4, RO5, RO6, RS, RSm, RSX, TSR, RG</t>
  </si>
  <si>
    <t>Barnet</t>
  </si>
  <si>
    <t>E5031</t>
  </si>
  <si>
    <t>E09000003</t>
  </si>
  <si>
    <t>Barnsley</t>
  </si>
  <si>
    <t>E4401</t>
  </si>
  <si>
    <t>E08000016</t>
  </si>
  <si>
    <t>RO1, RO2, RO3, RO4, RO5, RO6, RS, RSm, RSX, TSR, RG, SAR</t>
  </si>
  <si>
    <t>PARK</t>
  </si>
  <si>
    <t>Barrow-in-Furness</t>
  </si>
  <si>
    <t>E0932</t>
  </si>
  <si>
    <t>E07000027</t>
  </si>
  <si>
    <t>COMB</t>
  </si>
  <si>
    <t>Basildon</t>
  </si>
  <si>
    <t>E1531</t>
  </si>
  <si>
    <t>E07000066</t>
  </si>
  <si>
    <t>SCILLY</t>
  </si>
  <si>
    <t>Basingstoke &amp; Deane</t>
  </si>
  <si>
    <t>E1731</t>
  </si>
  <si>
    <t>E07000084</t>
  </si>
  <si>
    <t>Bassetlaw</t>
  </si>
  <si>
    <t>E3032</t>
  </si>
  <si>
    <t>E07000171</t>
  </si>
  <si>
    <t>UA</t>
  </si>
  <si>
    <t>Bath &amp; North East Somerset</t>
  </si>
  <si>
    <t>E0101</t>
  </si>
  <si>
    <t>E06000022</t>
  </si>
  <si>
    <t>WASTE</t>
  </si>
  <si>
    <t>Bedford</t>
  </si>
  <si>
    <t>E0202</t>
  </si>
  <si>
    <t>E06000055</t>
  </si>
  <si>
    <t>Bedfordshire Combined Fire Authority</t>
  </si>
  <si>
    <t>E6102</t>
  </si>
  <si>
    <t>E31000002</t>
  </si>
  <si>
    <t>Bedfordshire Police and Crime Commissioner and Chief Constable</t>
  </si>
  <si>
    <t>E7002</t>
  </si>
  <si>
    <t>E23000026</t>
  </si>
  <si>
    <t>Berkshire Combined Fire Authority</t>
  </si>
  <si>
    <t>E6103</t>
  </si>
  <si>
    <t>E31000003</t>
  </si>
  <si>
    <t>Bexley</t>
  </si>
  <si>
    <t>E5032</t>
  </si>
  <si>
    <t>E09000004</t>
  </si>
  <si>
    <t>Birmingham</t>
  </si>
  <si>
    <t>E4601</t>
  </si>
  <si>
    <t>E08000025</t>
  </si>
  <si>
    <t>Blaby</t>
  </si>
  <si>
    <t>E2431</t>
  </si>
  <si>
    <t>E07000129</t>
  </si>
  <si>
    <t>Blackburn with Darwen</t>
  </si>
  <si>
    <t>E2301</t>
  </si>
  <si>
    <t>E06000008</t>
  </si>
  <si>
    <t>Blackpool</t>
  </si>
  <si>
    <t>E2302</t>
  </si>
  <si>
    <t>E06000009</t>
  </si>
  <si>
    <t>Bolsover</t>
  </si>
  <si>
    <t>E1032</t>
  </si>
  <si>
    <t>E07000033</t>
  </si>
  <si>
    <t>Bolton</t>
  </si>
  <si>
    <t>E4201</t>
  </si>
  <si>
    <t>E08000001</t>
  </si>
  <si>
    <t>Boston</t>
  </si>
  <si>
    <t>E2531</t>
  </si>
  <si>
    <t>E07000136</t>
  </si>
  <si>
    <t>Bournemouth, Christchurch &amp; Poole</t>
  </si>
  <si>
    <t>E1204</t>
  </si>
  <si>
    <t>E06000058</t>
  </si>
  <si>
    <t>E1201</t>
  </si>
  <si>
    <t>E1202</t>
  </si>
  <si>
    <t>E1232</t>
  </si>
  <si>
    <t>Bracknell Forest</t>
  </si>
  <si>
    <t>E0301</t>
  </si>
  <si>
    <t>E06000036</t>
  </si>
  <si>
    <t>Bradford</t>
  </si>
  <si>
    <t>E4701</t>
  </si>
  <si>
    <t>E08000032</t>
  </si>
  <si>
    <t>Braintree</t>
  </si>
  <si>
    <t>E1532</t>
  </si>
  <si>
    <t>E07000067</t>
  </si>
  <si>
    <t>Breckland</t>
  </si>
  <si>
    <t>E2631</t>
  </si>
  <si>
    <t>E07000143</t>
  </si>
  <si>
    <t>Brent</t>
  </si>
  <si>
    <t>E5033</t>
  </si>
  <si>
    <t>E09000005</t>
  </si>
  <si>
    <t>Brentwood</t>
  </si>
  <si>
    <t>E1533</t>
  </si>
  <si>
    <t>E07000068</t>
  </si>
  <si>
    <t>Brighton &amp; Hove</t>
  </si>
  <si>
    <t>E1401</t>
  </si>
  <si>
    <t>E06000043</t>
  </si>
  <si>
    <t>Bristol</t>
  </si>
  <si>
    <t>E0102</t>
  </si>
  <si>
    <t>E06000023</t>
  </si>
  <si>
    <t>Broadland</t>
  </si>
  <si>
    <t>E2632</t>
  </si>
  <si>
    <t>E07000144</t>
  </si>
  <si>
    <t>Bromley</t>
  </si>
  <si>
    <t>E5034</t>
  </si>
  <si>
    <t>E09000006</t>
  </si>
  <si>
    <t>Bromsgrove</t>
  </si>
  <si>
    <t>E1831</t>
  </si>
  <si>
    <t>E07000234</t>
  </si>
  <si>
    <t>Broxbourne</t>
  </si>
  <si>
    <t>E1931</t>
  </si>
  <si>
    <t>E07000095</t>
  </si>
  <si>
    <t>Broxtowe</t>
  </si>
  <si>
    <t>E3033</t>
  </si>
  <si>
    <t>E07000172</t>
  </si>
  <si>
    <t>Buckinghamshire</t>
  </si>
  <si>
    <t>E0402</t>
  </si>
  <si>
    <t>E06000060</t>
  </si>
  <si>
    <t>Buckinghamshire &amp; Milton Keynes Combined Fire Authority</t>
  </si>
  <si>
    <t>E6104</t>
  </si>
  <si>
    <t>E31000004</t>
  </si>
  <si>
    <t>Burnley</t>
  </si>
  <si>
    <t>E2333</t>
  </si>
  <si>
    <t>E07000117</t>
  </si>
  <si>
    <t>Bury</t>
  </si>
  <si>
    <t>E4202</t>
  </si>
  <si>
    <t>E08000002</t>
  </si>
  <si>
    <t>Calderdale</t>
  </si>
  <si>
    <t>E4702</t>
  </si>
  <si>
    <t>E08000033</t>
  </si>
  <si>
    <t>Cambridge</t>
  </si>
  <si>
    <t>E0531</t>
  </si>
  <si>
    <t>E07000008</t>
  </si>
  <si>
    <t>Cambridgeshire</t>
  </si>
  <si>
    <t>E0521</t>
  </si>
  <si>
    <t>E10000003</t>
  </si>
  <si>
    <t>Cambridgeshire and Peterborough Combined Authority</t>
  </si>
  <si>
    <t>E6356</t>
  </si>
  <si>
    <t>E47000008</t>
  </si>
  <si>
    <t>RO1, RO2, RO4, RO5, RO6, RS, RSm, RSX, TSR, RG</t>
  </si>
  <si>
    <t>Cambridgeshire Combined Fire Authority</t>
  </si>
  <si>
    <t>E6105</t>
  </si>
  <si>
    <t>E31000005</t>
  </si>
  <si>
    <t>Cambridgeshire Police and Crime Commissioner and Chief Constable</t>
  </si>
  <si>
    <t>E7005</t>
  </si>
  <si>
    <t>E23000023</t>
  </si>
  <si>
    <t>Camden</t>
  </si>
  <si>
    <t>E5011</t>
  </si>
  <si>
    <t>E09000007</t>
  </si>
  <si>
    <t>Cannock Chase</t>
  </si>
  <si>
    <t>E3431</t>
  </si>
  <si>
    <t>E07000192</t>
  </si>
  <si>
    <t>Canterbury</t>
  </si>
  <si>
    <t>E2232</t>
  </si>
  <si>
    <t>E07000106</t>
  </si>
  <si>
    <t>Carlisle</t>
  </si>
  <si>
    <t>E0933</t>
  </si>
  <si>
    <t>E07000028</t>
  </si>
  <si>
    <t>Castle Point</t>
  </si>
  <si>
    <t>E1534</t>
  </si>
  <si>
    <t>E07000069</t>
  </si>
  <si>
    <t>Central Bedfordshire</t>
  </si>
  <si>
    <t>E0203</t>
  </si>
  <si>
    <t>E06000056</t>
  </si>
  <si>
    <t>Charnwood</t>
  </si>
  <si>
    <t>E2432</t>
  </si>
  <si>
    <t>E07000130</t>
  </si>
  <si>
    <t>Chelmsford</t>
  </si>
  <si>
    <t>E1535</t>
  </si>
  <si>
    <t>E07000070</t>
  </si>
  <si>
    <t>Cheltenham</t>
  </si>
  <si>
    <t>E1631</t>
  </si>
  <si>
    <t>E07000078</t>
  </si>
  <si>
    <t>Cherwell</t>
  </si>
  <si>
    <t>E3131</t>
  </si>
  <si>
    <t>E07000177</t>
  </si>
  <si>
    <t>Cheshire Combined Fire Authority</t>
  </si>
  <si>
    <t>E6106</t>
  </si>
  <si>
    <t>E31000006</t>
  </si>
  <si>
    <t>Cheshire East</t>
  </si>
  <si>
    <t>E0603</t>
  </si>
  <si>
    <t>E06000049</t>
  </si>
  <si>
    <t>Cheshire Police and Crime Commissioner and Chief Constable</t>
  </si>
  <si>
    <t>E7006</t>
  </si>
  <si>
    <t>E23000006</t>
  </si>
  <si>
    <t>Cheshire West &amp; Chester</t>
  </si>
  <si>
    <t>E0604</t>
  </si>
  <si>
    <t>E06000050</t>
  </si>
  <si>
    <t>Chesterfield</t>
  </si>
  <si>
    <t>E1033</t>
  </si>
  <si>
    <t>E07000034</t>
  </si>
  <si>
    <t>Chichester</t>
  </si>
  <si>
    <t>E3833</t>
  </si>
  <si>
    <t>E07000225</t>
  </si>
  <si>
    <t>Chorley</t>
  </si>
  <si>
    <t>E2334</t>
  </si>
  <si>
    <t>E07000118</t>
  </si>
  <si>
    <t>City of London</t>
  </si>
  <si>
    <t>E5010</t>
  </si>
  <si>
    <t>E09000001</t>
  </si>
  <si>
    <t>Cleveland Combined Fire Authority</t>
  </si>
  <si>
    <t>E6107</t>
  </si>
  <si>
    <t>E31000007</t>
  </si>
  <si>
    <t>Cleveland Police and Crime Commissioner and Chief Constable</t>
  </si>
  <si>
    <t>E7007</t>
  </si>
  <si>
    <t>E23000013</t>
  </si>
  <si>
    <t>Colchester</t>
  </si>
  <si>
    <t>E1536</t>
  </si>
  <si>
    <t>E07000071</t>
  </si>
  <si>
    <t>Copeland</t>
  </si>
  <si>
    <t>E0934</t>
  </si>
  <si>
    <t>E07000029</t>
  </si>
  <si>
    <t>Cornwall</t>
  </si>
  <si>
    <t>E0801</t>
  </si>
  <si>
    <t>E06000052</t>
  </si>
  <si>
    <t>Cotswold</t>
  </si>
  <si>
    <t>E1632</t>
  </si>
  <si>
    <t>E07000079</t>
  </si>
  <si>
    <t>Coventry</t>
  </si>
  <si>
    <t>E4602</t>
  </si>
  <si>
    <t>E08000026</t>
  </si>
  <si>
    <t>Craven</t>
  </si>
  <si>
    <t>E2731</t>
  </si>
  <si>
    <t>E07000163</t>
  </si>
  <si>
    <t>Crawley</t>
  </si>
  <si>
    <t>E3834</t>
  </si>
  <si>
    <t>E07000226</t>
  </si>
  <si>
    <t>Croydon</t>
  </si>
  <si>
    <t>E5035</t>
  </si>
  <si>
    <t>E09000008</t>
  </si>
  <si>
    <t>Cumbria</t>
  </si>
  <si>
    <t>E0920</t>
  </si>
  <si>
    <t>E10000006</t>
  </si>
  <si>
    <t>Cumbria Police and Crime Commissioner and Chief Constable</t>
  </si>
  <si>
    <t>E7009</t>
  </si>
  <si>
    <t>E23000002</t>
  </si>
  <si>
    <t>Dacorum</t>
  </si>
  <si>
    <t>E1932</t>
  </si>
  <si>
    <t>E07000096</t>
  </si>
  <si>
    <t>Darlington</t>
  </si>
  <si>
    <t>E1301</t>
  </si>
  <si>
    <t>E06000005</t>
  </si>
  <si>
    <t>Dartford</t>
  </si>
  <si>
    <t>E2233</t>
  </si>
  <si>
    <t>E07000107</t>
  </si>
  <si>
    <t>Dartmoor National Park Authority</t>
  </si>
  <si>
    <t>E6401</t>
  </si>
  <si>
    <t>E26000001</t>
  </si>
  <si>
    <t>RO2, RO4, RO5 RO6, RS, RSm, RSX, TSR, RG</t>
  </si>
  <si>
    <t>Derby</t>
  </si>
  <si>
    <t>E1001</t>
  </si>
  <si>
    <t>E06000015</t>
  </si>
  <si>
    <t>Derbyshire</t>
  </si>
  <si>
    <t>E1021</t>
  </si>
  <si>
    <t>E10000007</t>
  </si>
  <si>
    <t>Derbyshire Combined Fire Authority</t>
  </si>
  <si>
    <t>E6110</t>
  </si>
  <si>
    <t>E31000010</t>
  </si>
  <si>
    <t>Derbyshire Dales</t>
  </si>
  <si>
    <t>E1035</t>
  </si>
  <si>
    <t>E07000035</t>
  </si>
  <si>
    <t>Derbyshire Police and Crime Commissioner and Chief Constable</t>
  </si>
  <si>
    <t>E7010</t>
  </si>
  <si>
    <t>E23000018</t>
  </si>
  <si>
    <t>Devon</t>
  </si>
  <si>
    <t>E1121</t>
  </si>
  <si>
    <t>E10000008</t>
  </si>
  <si>
    <t>Devon &amp; Cornwall Police and Crime Commissioner and Chief Constable</t>
  </si>
  <si>
    <t>E7051</t>
  </si>
  <si>
    <t>E23000035</t>
  </si>
  <si>
    <t>Devon &amp; Somerset Combined Fire Authority</t>
  </si>
  <si>
    <t>E6161</t>
  </si>
  <si>
    <t>E31000011</t>
  </si>
  <si>
    <t>Doncaster</t>
  </si>
  <si>
    <t>E4402</t>
  </si>
  <si>
    <t>E08000017</t>
  </si>
  <si>
    <t>Dorset UA</t>
  </si>
  <si>
    <t>E1203</t>
  </si>
  <si>
    <t>E06000059</t>
  </si>
  <si>
    <t>Dorset and Wiltshire Combined Fire Authority</t>
  </si>
  <si>
    <t>E6162</t>
  </si>
  <si>
    <t>E31000047</t>
  </si>
  <si>
    <t>Dorset Police and Crime Commissioner and Chief Constable</t>
  </si>
  <si>
    <t>E7012</t>
  </si>
  <si>
    <t>E23000039</t>
  </si>
  <si>
    <t>Dover</t>
  </si>
  <si>
    <t>E2234</t>
  </si>
  <si>
    <t>E07000108</t>
  </si>
  <si>
    <t>Dudley</t>
  </si>
  <si>
    <t>E4603</t>
  </si>
  <si>
    <t>E08000027</t>
  </si>
  <si>
    <t>Durham</t>
  </si>
  <si>
    <t>E1302</t>
  </si>
  <si>
    <t>E06000047</t>
  </si>
  <si>
    <t>Durham Combined Fire Authority</t>
  </si>
  <si>
    <t>E6113</t>
  </si>
  <si>
    <t>E31000013</t>
  </si>
  <si>
    <t>Durham Police and Crime Commissioner and Chief Constable</t>
  </si>
  <si>
    <t>E7013</t>
  </si>
  <si>
    <t>E23000008</t>
  </si>
  <si>
    <t>Ealing</t>
  </si>
  <si>
    <t>E5036</t>
  </si>
  <si>
    <t>E09000009</t>
  </si>
  <si>
    <t>East Cambridgeshire</t>
  </si>
  <si>
    <t>E0532</t>
  </si>
  <si>
    <t>E07000009</t>
  </si>
  <si>
    <t>East Devon</t>
  </si>
  <si>
    <t>E1131</t>
  </si>
  <si>
    <t>E07000040</t>
  </si>
  <si>
    <t>East Hampshire</t>
  </si>
  <si>
    <t>E1732</t>
  </si>
  <si>
    <t>E07000085</t>
  </si>
  <si>
    <t>East Hertfordshire</t>
  </si>
  <si>
    <t>E1933</t>
  </si>
  <si>
    <t>E07000242</t>
  </si>
  <si>
    <t>East Lindsey</t>
  </si>
  <si>
    <t>E2532</t>
  </si>
  <si>
    <t>E07000137</t>
  </si>
  <si>
    <t>East London Waste Authority</t>
  </si>
  <si>
    <t>E6201</t>
  </si>
  <si>
    <t>E50000001</t>
  </si>
  <si>
    <t>East Riding of Yorkshire</t>
  </si>
  <si>
    <t>E2001</t>
  </si>
  <si>
    <t>E06000011</t>
  </si>
  <si>
    <t>East Staffordshire</t>
  </si>
  <si>
    <t>E3432</t>
  </si>
  <si>
    <t>E07000193</t>
  </si>
  <si>
    <t>East Suffolk</t>
  </si>
  <si>
    <t>E3538</t>
  </si>
  <si>
    <t>E07000244</t>
  </si>
  <si>
    <t>East Sussex</t>
  </si>
  <si>
    <t>E1421</t>
  </si>
  <si>
    <t>E10000011</t>
  </si>
  <si>
    <t>East Sussex Combined Fire Authority</t>
  </si>
  <si>
    <t>E6114</t>
  </si>
  <si>
    <t>E31000014</t>
  </si>
  <si>
    <t>Eastbourne</t>
  </si>
  <si>
    <t>E1432</t>
  </si>
  <si>
    <t>E07000061</t>
  </si>
  <si>
    <t>Eastleigh</t>
  </si>
  <si>
    <t>E1733</t>
  </si>
  <si>
    <t>E07000086</t>
  </si>
  <si>
    <t>Eden</t>
  </si>
  <si>
    <t>E0935</t>
  </si>
  <si>
    <t>E07000030</t>
  </si>
  <si>
    <t>Elmbridge</t>
  </si>
  <si>
    <t>E3631</t>
  </si>
  <si>
    <t>E07000207</t>
  </si>
  <si>
    <t>Enfield</t>
  </si>
  <si>
    <t>E5037</t>
  </si>
  <si>
    <t>E09000010</t>
  </si>
  <si>
    <t>Epping Forest</t>
  </si>
  <si>
    <t>E1537</t>
  </si>
  <si>
    <t>E07000072</t>
  </si>
  <si>
    <t>Epsom &amp; Ewell</t>
  </si>
  <si>
    <t>E3632</t>
  </si>
  <si>
    <t>E07000208</t>
  </si>
  <si>
    <t>Erewash</t>
  </si>
  <si>
    <t>E1036</t>
  </si>
  <si>
    <t>E07000036</t>
  </si>
  <si>
    <t>Essex</t>
  </si>
  <si>
    <t>E1521</t>
  </si>
  <si>
    <t>E10000012</t>
  </si>
  <si>
    <t>Essex Police, Fire and Crime Commissioner Fire and Rescue Authority</t>
  </si>
  <si>
    <t>E6115</t>
  </si>
  <si>
    <t>E31000015</t>
  </si>
  <si>
    <t>Essex Police and Crime Commissioner and Chief Constable</t>
  </si>
  <si>
    <t>E7015</t>
  </si>
  <si>
    <t>E23000028</t>
  </si>
  <si>
    <t>Exeter</t>
  </si>
  <si>
    <t>E1132</t>
  </si>
  <si>
    <t>E07000041</t>
  </si>
  <si>
    <t>Exmoor National Park Authority</t>
  </si>
  <si>
    <t>E6402</t>
  </si>
  <si>
    <t>E26000002</t>
  </si>
  <si>
    <t>Fareham</t>
  </si>
  <si>
    <t>E1734</t>
  </si>
  <si>
    <t>E07000087</t>
  </si>
  <si>
    <t>Fenland</t>
  </si>
  <si>
    <t>E0533</t>
  </si>
  <si>
    <t>E07000010</t>
  </si>
  <si>
    <t>Folkestone &amp; Hythe</t>
  </si>
  <si>
    <t>E2240</t>
  </si>
  <si>
    <t>E07000112</t>
  </si>
  <si>
    <t>Forest of Dean</t>
  </si>
  <si>
    <t>E1633</t>
  </si>
  <si>
    <t>E07000080</t>
  </si>
  <si>
    <t>Fylde</t>
  </si>
  <si>
    <t>E2335</t>
  </si>
  <si>
    <t>E07000119</t>
  </si>
  <si>
    <t>Gateshead</t>
  </si>
  <si>
    <t>E4501</t>
  </si>
  <si>
    <t>E08000037</t>
  </si>
  <si>
    <t>Gedling</t>
  </si>
  <si>
    <t>E3034</t>
  </si>
  <si>
    <t>E07000173</t>
  </si>
  <si>
    <t>Gloucester</t>
  </si>
  <si>
    <t>E1634</t>
  </si>
  <si>
    <t>E07000081</t>
  </si>
  <si>
    <t>Gloucestershire</t>
  </si>
  <si>
    <t>E1620</t>
  </si>
  <si>
    <t>E10000013</t>
  </si>
  <si>
    <t>Gloucestershire Police and Crime Commissioner and Chief Constable</t>
  </si>
  <si>
    <t>E7016</t>
  </si>
  <si>
    <t>E23000037</t>
  </si>
  <si>
    <t>Gosport</t>
  </si>
  <si>
    <t>E1735</t>
  </si>
  <si>
    <t>E07000088</t>
  </si>
  <si>
    <t>Gravesham</t>
  </si>
  <si>
    <t>E2236</t>
  </si>
  <si>
    <t>E07000109</t>
  </si>
  <si>
    <t>Great Yarmouth</t>
  </si>
  <si>
    <t>E2633</t>
  </si>
  <si>
    <t>E07000145</t>
  </si>
  <si>
    <t>Greater London Authority</t>
  </si>
  <si>
    <t>E5100</t>
  </si>
  <si>
    <t>E12000007</t>
  </si>
  <si>
    <t>Greater Manchester Combined Authority</t>
  </si>
  <si>
    <t>E6348</t>
  </si>
  <si>
    <t>E47000001</t>
  </si>
  <si>
    <t>Greater Manchester Police</t>
  </si>
  <si>
    <t>E7042</t>
  </si>
  <si>
    <t>E23000005</t>
  </si>
  <si>
    <t>Greenwich</t>
  </si>
  <si>
    <t>E5012</t>
  </si>
  <si>
    <t>E09000011</t>
  </si>
  <si>
    <t>RO1, RO2, RO3, RO4, RO5, RO6, RS, RSm, RSX, TSR, RG,SAR</t>
  </si>
  <si>
    <t>Guildford</t>
  </si>
  <si>
    <t>E3633</t>
  </si>
  <si>
    <t>E07000209</t>
  </si>
  <si>
    <t>Hackney</t>
  </si>
  <si>
    <t>E5013</t>
  </si>
  <si>
    <t>E09000012</t>
  </si>
  <si>
    <t>Halton</t>
  </si>
  <si>
    <t>E0601</t>
  </si>
  <si>
    <t>E06000006</t>
  </si>
  <si>
    <t>Hambleton</t>
  </si>
  <si>
    <t>E2732</t>
  </si>
  <si>
    <t>E07000164</t>
  </si>
  <si>
    <t>Hammersmith &amp; Fulham</t>
  </si>
  <si>
    <t>E5014</t>
  </si>
  <si>
    <t>E09000013</t>
  </si>
  <si>
    <t>Hampshire</t>
  </si>
  <si>
    <t>E1721</t>
  </si>
  <si>
    <t>E10000014</t>
  </si>
  <si>
    <t>Hampshire and Isle of Wight Fire and Rescue Authority</t>
  </si>
  <si>
    <t>E6163</t>
  </si>
  <si>
    <t>E31000048</t>
  </si>
  <si>
    <t>Hampshire Police and Crime Commissioner and Chief Constable</t>
  </si>
  <si>
    <t>E7052</t>
  </si>
  <si>
    <t>E23000030</t>
  </si>
  <si>
    <t>Harborough</t>
  </si>
  <si>
    <t>E2433</t>
  </si>
  <si>
    <t>E07000131</t>
  </si>
  <si>
    <t>Haringey</t>
  </si>
  <si>
    <t>E5038</t>
  </si>
  <si>
    <t>E09000014</t>
  </si>
  <si>
    <t>Harlow</t>
  </si>
  <si>
    <t>E1538</t>
  </si>
  <si>
    <t>E07000073</t>
  </si>
  <si>
    <t>Harrogate</t>
  </si>
  <si>
    <t>E2753</t>
  </si>
  <si>
    <t>E07000165</t>
  </si>
  <si>
    <t>Harrow</t>
  </si>
  <si>
    <t>E5039</t>
  </si>
  <si>
    <t>E09000015</t>
  </si>
  <si>
    <t>Hart</t>
  </si>
  <si>
    <t>E1736</t>
  </si>
  <si>
    <t>E07000089</t>
  </si>
  <si>
    <t>Hartlepool</t>
  </si>
  <si>
    <t>E0701</t>
  </si>
  <si>
    <t>E06000001</t>
  </si>
  <si>
    <t>Hastings</t>
  </si>
  <si>
    <t>E1433</t>
  </si>
  <si>
    <t>E07000062</t>
  </si>
  <si>
    <t>Havant</t>
  </si>
  <si>
    <t>E1737</t>
  </si>
  <si>
    <t>E07000090</t>
  </si>
  <si>
    <t>Havering</t>
  </si>
  <si>
    <t>E5040</t>
  </si>
  <si>
    <t>E09000016</t>
  </si>
  <si>
    <t>Hereford &amp; Worcester Combined Fire Authority</t>
  </si>
  <si>
    <t>E6118</t>
  </si>
  <si>
    <t>E31000018</t>
  </si>
  <si>
    <t>Herefordshire</t>
  </si>
  <si>
    <t>E1801</t>
  </si>
  <si>
    <t>E06000019</t>
  </si>
  <si>
    <t>Hertfordshire</t>
  </si>
  <si>
    <t>E1920</t>
  </si>
  <si>
    <t>E10000015</t>
  </si>
  <si>
    <t>Hertfordshire Police and Crime Commissioner and Chief Constable</t>
  </si>
  <si>
    <t>E7019</t>
  </si>
  <si>
    <t>E23000027</t>
  </si>
  <si>
    <t>Hertsmere</t>
  </si>
  <si>
    <t>E1934</t>
  </si>
  <si>
    <t>E07000098</t>
  </si>
  <si>
    <t>High Peak</t>
  </si>
  <si>
    <t>E1037</t>
  </si>
  <si>
    <t>E07000037</t>
  </si>
  <si>
    <t>Hillingdon</t>
  </si>
  <si>
    <t>E5041</t>
  </si>
  <si>
    <t>E09000017</t>
  </si>
  <si>
    <t>Hinckley &amp; Bosworth</t>
  </si>
  <si>
    <t>E2434</t>
  </si>
  <si>
    <t>E07000132</t>
  </si>
  <si>
    <t>Horsham</t>
  </si>
  <si>
    <t>E3835</t>
  </si>
  <si>
    <t>E07000227</t>
  </si>
  <si>
    <t>Hounslow</t>
  </si>
  <si>
    <t>E5042</t>
  </si>
  <si>
    <t>E09000018</t>
  </si>
  <si>
    <t>Humberside Combined Fire Authority</t>
  </si>
  <si>
    <t>E6120</t>
  </si>
  <si>
    <t>E31000020</t>
  </si>
  <si>
    <t>Humberside Police and Crime Commissioner and Chief Constable</t>
  </si>
  <si>
    <t>E7020</t>
  </si>
  <si>
    <t>E23000012</t>
  </si>
  <si>
    <t>Huntingdonshire</t>
  </si>
  <si>
    <t>E0551</t>
  </si>
  <si>
    <t>E07000011</t>
  </si>
  <si>
    <t>Hyndburn</t>
  </si>
  <si>
    <t>E2336</t>
  </si>
  <si>
    <t>E07000120</t>
  </si>
  <si>
    <t>Ipswich</t>
  </si>
  <si>
    <t>E3533</t>
  </si>
  <si>
    <t>E07000202</t>
  </si>
  <si>
    <t>Isle of Wight</t>
  </si>
  <si>
    <t>E2101</t>
  </si>
  <si>
    <t>E06000046</t>
  </si>
  <si>
    <t>Isles of Scilly</t>
  </si>
  <si>
    <t>E4001</t>
  </si>
  <si>
    <t>E06000053</t>
  </si>
  <si>
    <t>Islington</t>
  </si>
  <si>
    <t>E5015</t>
  </si>
  <si>
    <t>E09000019</t>
  </si>
  <si>
    <t>Kensington &amp; Chelsea</t>
  </si>
  <si>
    <t>E5016</t>
  </si>
  <si>
    <t>E09000020</t>
  </si>
  <si>
    <t>Kent</t>
  </si>
  <si>
    <t>E2221</t>
  </si>
  <si>
    <t>E10000016</t>
  </si>
  <si>
    <t>Kent Combined Fire Authority</t>
  </si>
  <si>
    <t>E6122</t>
  </si>
  <si>
    <t>E31000022</t>
  </si>
  <si>
    <t>Kent Police and Crime Commissioner and Chief Constable</t>
  </si>
  <si>
    <t>E7022</t>
  </si>
  <si>
    <t>E23000032</t>
  </si>
  <si>
    <t>King's Lynn &amp; West Norfolk</t>
  </si>
  <si>
    <t>E2634</t>
  </si>
  <si>
    <t>E07000146</t>
  </si>
  <si>
    <t>Kingston upon Hull</t>
  </si>
  <si>
    <t>E2002</t>
  </si>
  <si>
    <t>E06000010</t>
  </si>
  <si>
    <t>Kingston upon Thames</t>
  </si>
  <si>
    <t>E5043</t>
  </si>
  <si>
    <t>E09000021</t>
  </si>
  <si>
    <t>Kirklees</t>
  </si>
  <si>
    <t>E4703</t>
  </si>
  <si>
    <t>E08000034</t>
  </si>
  <si>
    <t>Knowsley</t>
  </si>
  <si>
    <t>E4301</t>
  </si>
  <si>
    <t>E08000011</t>
  </si>
  <si>
    <t>Lake District National Park</t>
  </si>
  <si>
    <t>E6403</t>
  </si>
  <si>
    <t>E26000011</t>
  </si>
  <si>
    <t>RO2, RO4, RO5, RO6, RS, RSm, RSX, TSR, RG</t>
  </si>
  <si>
    <t>Lambeth</t>
  </si>
  <si>
    <t>E5017</t>
  </si>
  <si>
    <t>E09000022</t>
  </si>
  <si>
    <t>Lancashire</t>
  </si>
  <si>
    <t>E2321</t>
  </si>
  <si>
    <t>E10000017</t>
  </si>
  <si>
    <t>Lancashire Combined Fire Authority</t>
  </si>
  <si>
    <t>E6123</t>
  </si>
  <si>
    <t>E31000023</t>
  </si>
  <si>
    <t>Lancashire Police and Crime Commissioner and Chief Constable</t>
  </si>
  <si>
    <t>E7023</t>
  </si>
  <si>
    <t>E23000003</t>
  </si>
  <si>
    <t>Lancaster</t>
  </si>
  <si>
    <t>E2337</t>
  </si>
  <si>
    <t>E07000121</t>
  </si>
  <si>
    <t>Lee Valley Regional Park Authority</t>
  </si>
  <si>
    <t>E6803</t>
  </si>
  <si>
    <t>Leeds</t>
  </si>
  <si>
    <t>E4704</t>
  </si>
  <si>
    <t>E08000035</t>
  </si>
  <si>
    <t>Leicester</t>
  </si>
  <si>
    <t>E2401</t>
  </si>
  <si>
    <t>E06000016</t>
  </si>
  <si>
    <t>Leicestershire</t>
  </si>
  <si>
    <t>E2421</t>
  </si>
  <si>
    <t>E10000018</t>
  </si>
  <si>
    <t>Leicestershire Combined Fire Authority</t>
  </si>
  <si>
    <t>E6124</t>
  </si>
  <si>
    <t>E31000024</t>
  </si>
  <si>
    <t>Leicestershire Police and Crime Commissioner and Chief Constable</t>
  </si>
  <si>
    <t>E7024</t>
  </si>
  <si>
    <t>E23000021</t>
  </si>
  <si>
    <t>Lewes</t>
  </si>
  <si>
    <t>E1435</t>
  </si>
  <si>
    <t>E07000063</t>
  </si>
  <si>
    <t>Lewisham</t>
  </si>
  <si>
    <t>E5018</t>
  </si>
  <si>
    <t>E09000023</t>
  </si>
  <si>
    <t>Lichfield</t>
  </si>
  <si>
    <t>E3433</t>
  </si>
  <si>
    <t>E07000194</t>
  </si>
  <si>
    <t>Lincoln</t>
  </si>
  <si>
    <t>E2533</t>
  </si>
  <si>
    <t>E07000138</t>
  </si>
  <si>
    <t>Lincolnshire</t>
  </si>
  <si>
    <t>E2520</t>
  </si>
  <si>
    <t>E10000019</t>
  </si>
  <si>
    <t>Lincolnshire Police and Crime Commissioner and Chief Constable</t>
  </si>
  <si>
    <t>E7025</t>
  </si>
  <si>
    <t>E23000020</t>
  </si>
  <si>
    <t>Liverpool</t>
  </si>
  <si>
    <t>E4302</t>
  </si>
  <si>
    <t>E08000012</t>
  </si>
  <si>
    <t>Liverpool City Region Combined Authority</t>
  </si>
  <si>
    <t>E6349</t>
  </si>
  <si>
    <t>E47000004</t>
  </si>
  <si>
    <t>Luton</t>
  </si>
  <si>
    <t>E0201</t>
  </si>
  <si>
    <t>E06000032</t>
  </si>
  <si>
    <t>Maidstone</t>
  </si>
  <si>
    <t>E2237</t>
  </si>
  <si>
    <t>E07000110</t>
  </si>
  <si>
    <t>Maldon</t>
  </si>
  <si>
    <t>E1539</t>
  </si>
  <si>
    <t>E07000074</t>
  </si>
  <si>
    <t>Malvern Hills</t>
  </si>
  <si>
    <t>E1851</t>
  </si>
  <si>
    <t>E07000235</t>
  </si>
  <si>
    <t>Manchester</t>
  </si>
  <si>
    <t>E4203</t>
  </si>
  <si>
    <t>E08000003</t>
  </si>
  <si>
    <t>Mansfield</t>
  </si>
  <si>
    <t>E3035</t>
  </si>
  <si>
    <t>E07000174</t>
  </si>
  <si>
    <t>Medway Towns</t>
  </si>
  <si>
    <t>E2201</t>
  </si>
  <si>
    <t>E06000035</t>
  </si>
  <si>
    <t>Melton</t>
  </si>
  <si>
    <t>E2436</t>
  </si>
  <si>
    <t>E07000133</t>
  </si>
  <si>
    <t>Mendip</t>
  </si>
  <si>
    <t>E3331</t>
  </si>
  <si>
    <t>E07000187</t>
  </si>
  <si>
    <t>Merseyside Fire &amp; CD Authority</t>
  </si>
  <si>
    <t>E6143</t>
  </si>
  <si>
    <t>E31000041</t>
  </si>
  <si>
    <t>Merseyside Police and Crime Commissioner and Chief Constable</t>
  </si>
  <si>
    <t>E7043</t>
  </si>
  <si>
    <t>E23000004</t>
  </si>
  <si>
    <t>Merseyside Recycling and Waste Authority</t>
  </si>
  <si>
    <t>E6204</t>
  </si>
  <si>
    <t>E50000006</t>
  </si>
  <si>
    <t>Merton</t>
  </si>
  <si>
    <t>E5044</t>
  </si>
  <si>
    <t>E09000024</t>
  </si>
  <si>
    <t>Mid Devon</t>
  </si>
  <si>
    <t>E1133</t>
  </si>
  <si>
    <t>E07000042</t>
  </si>
  <si>
    <t>Mid Suffolk</t>
  </si>
  <si>
    <t>E3534</t>
  </si>
  <si>
    <t>E07000203</t>
  </si>
  <si>
    <t>Mid Sussex</t>
  </si>
  <si>
    <t>E3836</t>
  </si>
  <si>
    <t>E07000228</t>
  </si>
  <si>
    <t>Middlesbrough</t>
  </si>
  <si>
    <t>E0702</t>
  </si>
  <si>
    <t>E06000002</t>
  </si>
  <si>
    <t>Milton Keynes</t>
  </si>
  <si>
    <t>E0401</t>
  </si>
  <si>
    <t>E06000042</t>
  </si>
  <si>
    <t>Mole Valley</t>
  </si>
  <si>
    <t>E3634</t>
  </si>
  <si>
    <t>E07000210</t>
  </si>
  <si>
    <t>New Forest</t>
  </si>
  <si>
    <t>E1738</t>
  </si>
  <si>
    <t>E07000091</t>
  </si>
  <si>
    <t>New Forest National Park</t>
  </si>
  <si>
    <t>E6409</t>
  </si>
  <si>
    <t>E26000009</t>
  </si>
  <si>
    <t>Newark &amp; Sherwood</t>
  </si>
  <si>
    <t>E3036</t>
  </si>
  <si>
    <t>E07000175</t>
  </si>
  <si>
    <t>Newcastle upon Tyne</t>
  </si>
  <si>
    <t>E4502</t>
  </si>
  <si>
    <t>E08000021</t>
  </si>
  <si>
    <t>Newcastle-under-Lyme</t>
  </si>
  <si>
    <t>E3434</t>
  </si>
  <si>
    <t>E07000195</t>
  </si>
  <si>
    <t>Newham</t>
  </si>
  <si>
    <t>E5045</t>
  </si>
  <si>
    <t>E09000025</t>
  </si>
  <si>
    <t>Norfolk</t>
  </si>
  <si>
    <t>E2620</t>
  </si>
  <si>
    <t>E10000020</t>
  </si>
  <si>
    <t>Norfolk Police and Crime Commissioner and Chief Constable</t>
  </si>
  <si>
    <t>E7026</t>
  </si>
  <si>
    <t>E23000024</t>
  </si>
  <si>
    <t>North Devon</t>
  </si>
  <si>
    <t>E1134</t>
  </si>
  <si>
    <t>E07000043</t>
  </si>
  <si>
    <t>North East Combined Authority</t>
  </si>
  <si>
    <t>E6357</t>
  </si>
  <si>
    <t>E47000010</t>
  </si>
  <si>
    <t>North East Derbyshire</t>
  </si>
  <si>
    <t>E1038</t>
  </si>
  <si>
    <t>E07000038</t>
  </si>
  <si>
    <t>North East Lincolnshire</t>
  </si>
  <si>
    <t>E2003</t>
  </si>
  <si>
    <t>E06000012</t>
  </si>
  <si>
    <t>North Hertfordshire</t>
  </si>
  <si>
    <t>E1935</t>
  </si>
  <si>
    <t>E07000099</t>
  </si>
  <si>
    <t>North Kesteven</t>
  </si>
  <si>
    <t>E2534</t>
  </si>
  <si>
    <t>E07000139</t>
  </si>
  <si>
    <t>North Lincolnshire</t>
  </si>
  <si>
    <t>E2004</t>
  </si>
  <si>
    <t>E06000013</t>
  </si>
  <si>
    <t>North London Waste Authority</t>
  </si>
  <si>
    <t>E6205</t>
  </si>
  <si>
    <t>E50000002</t>
  </si>
  <si>
    <t>North Norfolk</t>
  </si>
  <si>
    <t>E2635</t>
  </si>
  <si>
    <t>E07000147</t>
  </si>
  <si>
    <t>North Northamptonshire</t>
  </si>
  <si>
    <t>E2801</t>
  </si>
  <si>
    <t>E06000061</t>
  </si>
  <si>
    <t>North of Tyne Combined Authority</t>
  </si>
  <si>
    <t>E6358</t>
  </si>
  <si>
    <t>E47000011</t>
  </si>
  <si>
    <t>North Somerset</t>
  </si>
  <si>
    <t>E0104</t>
  </si>
  <si>
    <t>E06000024</t>
  </si>
  <si>
    <t>North Tyneside</t>
  </si>
  <si>
    <t>E4503</t>
  </si>
  <si>
    <t>E08000022</t>
  </si>
  <si>
    <t>North Warwickshire</t>
  </si>
  <si>
    <t>E3731</t>
  </si>
  <si>
    <t>E07000218</t>
  </si>
  <si>
    <t>North West Leicestershire</t>
  </si>
  <si>
    <t>E2437</t>
  </si>
  <si>
    <t>E07000134</t>
  </si>
  <si>
    <t>North York Moors National Park Authority</t>
  </si>
  <si>
    <t>E6404</t>
  </si>
  <si>
    <t>E26000005</t>
  </si>
  <si>
    <t>North Yorkshire</t>
  </si>
  <si>
    <t>E2721</t>
  </si>
  <si>
    <t>E10000023</t>
  </si>
  <si>
    <t>North Yorkshire Combined Fire Authority</t>
  </si>
  <si>
    <t>E6127</t>
  </si>
  <si>
    <t>E31000027</t>
  </si>
  <si>
    <t>North Yorkshire Police and Crime Commissioner and Chief Constable</t>
  </si>
  <si>
    <t>E7027</t>
  </si>
  <si>
    <t>E23000009</t>
  </si>
  <si>
    <t>Northamptonshire Police and Crime Commissioner and Chief Constable</t>
  </si>
  <si>
    <t>E7028</t>
  </si>
  <si>
    <t>E23000022</t>
  </si>
  <si>
    <t>E6128</t>
  </si>
  <si>
    <t>E31000028</t>
  </si>
  <si>
    <t>Northumberland</t>
  </si>
  <si>
    <t>E2901</t>
  </si>
  <si>
    <t>E06000057</t>
  </si>
  <si>
    <t>Northumberland National Park Authority</t>
  </si>
  <si>
    <t>E6405</t>
  </si>
  <si>
    <t>E26000004</t>
  </si>
  <si>
    <t>Northumbria Police and Crime Commissioner and Chief Constable</t>
  </si>
  <si>
    <t>E7045</t>
  </si>
  <si>
    <t>E23000007</t>
  </si>
  <si>
    <t>Norwich</t>
  </si>
  <si>
    <t>E2636</t>
  </si>
  <si>
    <t>E07000148</t>
  </si>
  <si>
    <t>Nottingham</t>
  </si>
  <si>
    <t>E3001</t>
  </si>
  <si>
    <t>E06000018</t>
  </si>
  <si>
    <t>Nottinghamshire</t>
  </si>
  <si>
    <t>E3021</t>
  </si>
  <si>
    <t>E10000024</t>
  </si>
  <si>
    <t>Nottinghamshire Fire &amp; Rescue Service</t>
  </si>
  <si>
    <t>E6130</t>
  </si>
  <si>
    <t>E31000030</t>
  </si>
  <si>
    <t>Nottinghamshire Police and Crime Commissioner and Chief Constable</t>
  </si>
  <si>
    <t>E7030</t>
  </si>
  <si>
    <t>E23000019</t>
  </si>
  <si>
    <t>Nuneaton &amp; Bedworth</t>
  </si>
  <si>
    <t>E3732</t>
  </si>
  <si>
    <t>E07000219</t>
  </si>
  <si>
    <t>Oadby &amp; Wigston</t>
  </si>
  <si>
    <t>E2438</t>
  </si>
  <si>
    <t>E07000135</t>
  </si>
  <si>
    <t>Oldham</t>
  </si>
  <si>
    <t>E4204</t>
  </si>
  <si>
    <t>E08000004</t>
  </si>
  <si>
    <t>Oxford</t>
  </si>
  <si>
    <t>E3132</t>
  </si>
  <si>
    <t>E07000178</t>
  </si>
  <si>
    <t>Oxfordshire</t>
  </si>
  <si>
    <t>E3120</t>
  </si>
  <si>
    <t>E10000025</t>
  </si>
  <si>
    <t>Peak District National Park Authority</t>
  </si>
  <si>
    <t>E6406</t>
  </si>
  <si>
    <t>E26000006</t>
  </si>
  <si>
    <t>Pendle</t>
  </si>
  <si>
    <t>E2338</t>
  </si>
  <si>
    <t>E07000122</t>
  </si>
  <si>
    <t>Peterborough</t>
  </si>
  <si>
    <t>E0501</t>
  </si>
  <si>
    <t>E06000031</t>
  </si>
  <si>
    <t>Plymouth</t>
  </si>
  <si>
    <t>E1101</t>
  </si>
  <si>
    <t>E06000026</t>
  </si>
  <si>
    <t>Portsmouth</t>
  </si>
  <si>
    <t>E1701</t>
  </si>
  <si>
    <t>E06000044</t>
  </si>
  <si>
    <t>Preston</t>
  </si>
  <si>
    <t>E2339</t>
  </si>
  <si>
    <t>E07000123</t>
  </si>
  <si>
    <t>Reading</t>
  </si>
  <si>
    <t>E0303</t>
  </si>
  <si>
    <t>E06000038</t>
  </si>
  <si>
    <t>Redbridge</t>
  </si>
  <si>
    <t>E5046</t>
  </si>
  <si>
    <t>E09000026</t>
  </si>
  <si>
    <t>Redcar &amp; Cleveland</t>
  </si>
  <si>
    <t>E0703</t>
  </si>
  <si>
    <t>E06000003</t>
  </si>
  <si>
    <t>Redditch</t>
  </si>
  <si>
    <t>E1835</t>
  </si>
  <si>
    <t>E07000236</t>
  </si>
  <si>
    <t>Reigate &amp; Banstead</t>
  </si>
  <si>
    <t>E3635</t>
  </si>
  <si>
    <t>E07000211</t>
  </si>
  <si>
    <t>Ribble Valley</t>
  </si>
  <si>
    <t>E2340</t>
  </si>
  <si>
    <t>E07000124</t>
  </si>
  <si>
    <t>Richmond upon Thames</t>
  </si>
  <si>
    <t>E5047</t>
  </si>
  <si>
    <t>E09000027</t>
  </si>
  <si>
    <t>Richmondshire</t>
  </si>
  <si>
    <t>E2734</t>
  </si>
  <si>
    <t>E07000166</t>
  </si>
  <si>
    <t>Rochdale</t>
  </si>
  <si>
    <t>E4205</t>
  </si>
  <si>
    <t>E08000005</t>
  </si>
  <si>
    <t>Rochford</t>
  </si>
  <si>
    <t>E1540</t>
  </si>
  <si>
    <t>E07000075</t>
  </si>
  <si>
    <t>Rossendale</t>
  </si>
  <si>
    <t>E2341</t>
  </si>
  <si>
    <t>E07000125</t>
  </si>
  <si>
    <t>Rother</t>
  </si>
  <si>
    <t>E1436</t>
  </si>
  <si>
    <t>E07000064</t>
  </si>
  <si>
    <t>Rotherham</t>
  </si>
  <si>
    <t>E4403</t>
  </si>
  <si>
    <t>E08000018</t>
  </si>
  <si>
    <t>Rugby</t>
  </si>
  <si>
    <t>E3733</t>
  </si>
  <si>
    <t>E07000220</t>
  </si>
  <si>
    <t>Runnymede</t>
  </si>
  <si>
    <t>E3636</t>
  </si>
  <si>
    <t>E07000212</t>
  </si>
  <si>
    <t>Rushcliffe</t>
  </si>
  <si>
    <t>E3038</t>
  </si>
  <si>
    <t>E07000176</t>
  </si>
  <si>
    <t>Rushmoor</t>
  </si>
  <si>
    <t>E1740</t>
  </si>
  <si>
    <t>E07000092</t>
  </si>
  <si>
    <t>Rutland</t>
  </si>
  <si>
    <t>E2402</t>
  </si>
  <si>
    <t>E06000017</t>
  </si>
  <si>
    <t>Ryedale</t>
  </si>
  <si>
    <t>E2755</t>
  </si>
  <si>
    <t>E07000167</t>
  </si>
  <si>
    <t>Salford</t>
  </si>
  <si>
    <t>E4206</t>
  </si>
  <si>
    <t>E08000006</t>
  </si>
  <si>
    <t>Sandwell</t>
  </si>
  <si>
    <t>E4604</t>
  </si>
  <si>
    <t>E08000028</t>
  </si>
  <si>
    <t>Scarborough</t>
  </si>
  <si>
    <t>E2736</t>
  </si>
  <si>
    <t>E07000168</t>
  </si>
  <si>
    <t>Sedgemoor</t>
  </si>
  <si>
    <t>E3332</t>
  </si>
  <si>
    <t>E07000188</t>
  </si>
  <si>
    <t>Sefton</t>
  </si>
  <si>
    <t>E4304</t>
  </si>
  <si>
    <t>E08000014</t>
  </si>
  <si>
    <t>Selby</t>
  </si>
  <si>
    <t>E2757</t>
  </si>
  <si>
    <t>E07000169</t>
  </si>
  <si>
    <t>Sevenoaks</t>
  </si>
  <si>
    <t>E2239</t>
  </si>
  <si>
    <t>E07000111</t>
  </si>
  <si>
    <t>Sheffield</t>
  </si>
  <si>
    <t>E4404</t>
  </si>
  <si>
    <t>E08000019</t>
  </si>
  <si>
    <t>Shropshire</t>
  </si>
  <si>
    <t>E3202</t>
  </si>
  <si>
    <t>E06000051</t>
  </si>
  <si>
    <t>Shropshire Combined Fire Authority</t>
  </si>
  <si>
    <t>E6132</t>
  </si>
  <si>
    <t>E31000032</t>
  </si>
  <si>
    <t>Slough</t>
  </si>
  <si>
    <t>E0304</t>
  </si>
  <si>
    <t>E06000039</t>
  </si>
  <si>
    <t>Solihull</t>
  </si>
  <si>
    <t>E4605</t>
  </si>
  <si>
    <t>E08000029</t>
  </si>
  <si>
    <t>Somerset</t>
  </si>
  <si>
    <t>E3320</t>
  </si>
  <si>
    <t>E10000027</t>
  </si>
  <si>
    <t>Somerset West &amp; Taunton</t>
  </si>
  <si>
    <t>E3336</t>
  </si>
  <si>
    <t>E07000246</t>
  </si>
  <si>
    <t>South Cambridgeshire</t>
  </si>
  <si>
    <t>E0536</t>
  </si>
  <si>
    <t>E07000012</t>
  </si>
  <si>
    <t>South Derbyshire</t>
  </si>
  <si>
    <t>E1039</t>
  </si>
  <si>
    <t>E07000039</t>
  </si>
  <si>
    <t>South Downs National Park Authority</t>
  </si>
  <si>
    <t>E6410</t>
  </si>
  <si>
    <t>E26000010</t>
  </si>
  <si>
    <t>RO2, RO4, RO5, RO6, RS, RSm, RSX, TSR, RG, SAR</t>
  </si>
  <si>
    <t>South Gloucestershire</t>
  </si>
  <si>
    <t>E0103</t>
  </si>
  <si>
    <t>E06000025</t>
  </si>
  <si>
    <t>South Hams</t>
  </si>
  <si>
    <t>E1136</t>
  </si>
  <si>
    <t>E07000044</t>
  </si>
  <si>
    <t>South Holland</t>
  </si>
  <si>
    <t>E2535</t>
  </si>
  <si>
    <t>E07000140</t>
  </si>
  <si>
    <t>South Kesteven</t>
  </si>
  <si>
    <t>E2536</t>
  </si>
  <si>
    <t>E07000141</t>
  </si>
  <si>
    <t>South Lakeland</t>
  </si>
  <si>
    <t>E0936</t>
  </si>
  <si>
    <t>E07000031</t>
  </si>
  <si>
    <t>South Norfolk</t>
  </si>
  <si>
    <t>E2637</t>
  </si>
  <si>
    <t>E07000149</t>
  </si>
  <si>
    <t>South Oxfordshire</t>
  </si>
  <si>
    <t>E3133</t>
  </si>
  <si>
    <t>E07000179</t>
  </si>
  <si>
    <t>South Ribble</t>
  </si>
  <si>
    <t>E2342</t>
  </si>
  <si>
    <t>E07000126</t>
  </si>
  <si>
    <t>South Somerset</t>
  </si>
  <si>
    <t>E3334</t>
  </si>
  <si>
    <t>E07000189</t>
  </si>
  <si>
    <t>South Staffordshire</t>
  </si>
  <si>
    <t>E3435</t>
  </si>
  <si>
    <t>E07000196</t>
  </si>
  <si>
    <t>South Tyneside</t>
  </si>
  <si>
    <t>E4504</t>
  </si>
  <si>
    <t>E08000023</t>
  </si>
  <si>
    <t>South Yorkshire Fire &amp; CD Authority</t>
  </si>
  <si>
    <t>E6144</t>
  </si>
  <si>
    <t>E31000042</t>
  </si>
  <si>
    <t>South Yorkshire Mayoral Combined Authority</t>
  </si>
  <si>
    <t>E6350</t>
  </si>
  <si>
    <t>E47000002</t>
  </si>
  <si>
    <t>South Yorkshire Police and Crime Commissioner and Chief Constable</t>
  </si>
  <si>
    <t>E7044</t>
  </si>
  <si>
    <t>E23000011</t>
  </si>
  <si>
    <t>Southampton</t>
  </si>
  <si>
    <t>E1702</t>
  </si>
  <si>
    <t>E06000045</t>
  </si>
  <si>
    <t>Southend-on-Sea</t>
  </si>
  <si>
    <t>E1501</t>
  </si>
  <si>
    <t>E06000033</t>
  </si>
  <si>
    <t>Southwark</t>
  </si>
  <si>
    <t>E5019</t>
  </si>
  <si>
    <t>E09000028</t>
  </si>
  <si>
    <t>Spelthorne</t>
  </si>
  <si>
    <t>E3637</t>
  </si>
  <si>
    <t>E07000213</t>
  </si>
  <si>
    <t>St Albans</t>
  </si>
  <si>
    <t>E1936</t>
  </si>
  <si>
    <t>E07000240</t>
  </si>
  <si>
    <t>St Helens</t>
  </si>
  <si>
    <t>E4303</t>
  </si>
  <si>
    <t>E08000013</t>
  </si>
  <si>
    <t>Stafford</t>
  </si>
  <si>
    <t>E3436</t>
  </si>
  <si>
    <t>E07000197</t>
  </si>
  <si>
    <t>Staffordshire</t>
  </si>
  <si>
    <t>E3421</t>
  </si>
  <si>
    <t>E10000028</t>
  </si>
  <si>
    <t>Staffordshire Combined Fire Authority</t>
  </si>
  <si>
    <t>E6134</t>
  </si>
  <si>
    <t>E31000033</t>
  </si>
  <si>
    <t>Staffordshire Moorlands</t>
  </si>
  <si>
    <t>E3437</t>
  </si>
  <si>
    <t>E07000198</t>
  </si>
  <si>
    <t>Staffordshire Police and Crime Commissioner and Chief Constable</t>
  </si>
  <si>
    <t>E7034</t>
  </si>
  <si>
    <t>E23000015</t>
  </si>
  <si>
    <t>Stevenage</t>
  </si>
  <si>
    <t>E1937</t>
  </si>
  <si>
    <t>E07000243</t>
  </si>
  <si>
    <t>Stockport</t>
  </si>
  <si>
    <t>E4207</t>
  </si>
  <si>
    <t>E08000007</t>
  </si>
  <si>
    <t>Stockton-on-Tees</t>
  </si>
  <si>
    <t>E0704</t>
  </si>
  <si>
    <t>E06000004</t>
  </si>
  <si>
    <t>Stoke-on-Trent</t>
  </si>
  <si>
    <t>E3401</t>
  </si>
  <si>
    <t>E06000021</t>
  </si>
  <si>
    <t>Stratford-on-Avon</t>
  </si>
  <si>
    <t>E3734</t>
  </si>
  <si>
    <t>E07000221</t>
  </si>
  <si>
    <t>Stroud</t>
  </si>
  <si>
    <t>E1635</t>
  </si>
  <si>
    <t>E07000082</t>
  </si>
  <si>
    <t>Suffolk</t>
  </si>
  <si>
    <t>E3520</t>
  </si>
  <si>
    <t>E10000029</t>
  </si>
  <si>
    <t>Suffolk Police and Crime Commissioner and Chief Constable</t>
  </si>
  <si>
    <t>E7035</t>
  </si>
  <si>
    <t>E23000025</t>
  </si>
  <si>
    <t>Sunderland</t>
  </si>
  <si>
    <t>E4505</t>
  </si>
  <si>
    <t>E08000024</t>
  </si>
  <si>
    <t>Surrey</t>
  </si>
  <si>
    <t>E3620</t>
  </si>
  <si>
    <t>E10000030</t>
  </si>
  <si>
    <t>Surrey Heath</t>
  </si>
  <si>
    <t>E3638</t>
  </si>
  <si>
    <t>E07000214</t>
  </si>
  <si>
    <t>Surrey Police and Crime Commissioner and Chief Constable</t>
  </si>
  <si>
    <t>E7036</t>
  </si>
  <si>
    <t>E23000031</t>
  </si>
  <si>
    <t>Sussex Police and Crime Commissioner and Chief Constable</t>
  </si>
  <si>
    <t>E7053</t>
  </si>
  <si>
    <t>E23000033</t>
  </si>
  <si>
    <t>Sutton</t>
  </si>
  <si>
    <t>E5048</t>
  </si>
  <si>
    <t>E09000029</t>
  </si>
  <si>
    <t>Swale</t>
  </si>
  <si>
    <t>E2241</t>
  </si>
  <si>
    <t>E07000113</t>
  </si>
  <si>
    <t>Swindon</t>
  </si>
  <si>
    <t>E3901</t>
  </si>
  <si>
    <t>E06000030</t>
  </si>
  <si>
    <t>Tameside</t>
  </si>
  <si>
    <t>E4208</t>
  </si>
  <si>
    <t>E08000008</t>
  </si>
  <si>
    <t>Tamworth</t>
  </si>
  <si>
    <t>E3439</t>
  </si>
  <si>
    <t>E07000199</t>
  </si>
  <si>
    <t>Tandridge</t>
  </si>
  <si>
    <t>E3639</t>
  </si>
  <si>
    <t>E07000215</t>
  </si>
  <si>
    <t>Tees Valley Combined Authority</t>
  </si>
  <si>
    <t>E6355</t>
  </si>
  <si>
    <t>E47000006</t>
  </si>
  <si>
    <t>RO1, RO2, RO4, RO5 RO6, RS, RSm, RSX, TSR, RG</t>
  </si>
  <si>
    <t>Teignbridge</t>
  </si>
  <si>
    <t>E1137</t>
  </si>
  <si>
    <t>E07000045</t>
  </si>
  <si>
    <t>Telford &amp; Wrekin</t>
  </si>
  <si>
    <t>E3201</t>
  </si>
  <si>
    <t>E06000020</t>
  </si>
  <si>
    <t>Tendring</t>
  </si>
  <si>
    <t>E1542</t>
  </si>
  <si>
    <t>E07000076</t>
  </si>
  <si>
    <t>Test Valley</t>
  </si>
  <si>
    <t>E1742</t>
  </si>
  <si>
    <t>E07000093</t>
  </si>
  <si>
    <t>Tewkesbury</t>
  </si>
  <si>
    <t>E1636</t>
  </si>
  <si>
    <t>E07000083</t>
  </si>
  <si>
    <t>Thames Valley Police and Crime Commissioner and Chief Constable</t>
  </si>
  <si>
    <t>E7054</t>
  </si>
  <si>
    <t>E23000029</t>
  </si>
  <si>
    <t>Thanet</t>
  </si>
  <si>
    <t>E2242</t>
  </si>
  <si>
    <t>E07000114</t>
  </si>
  <si>
    <t>The Broads Authority</t>
  </si>
  <si>
    <t>E6408</t>
  </si>
  <si>
    <t>E26000007</t>
  </si>
  <si>
    <t>Three Rivers</t>
  </si>
  <si>
    <t>E1938</t>
  </si>
  <si>
    <t>E07000102</t>
  </si>
  <si>
    <t>Thurrock</t>
  </si>
  <si>
    <t>E1502</t>
  </si>
  <si>
    <t>E06000034</t>
  </si>
  <si>
    <t>Tonbridge &amp; Malling</t>
  </si>
  <si>
    <t>E2243</t>
  </si>
  <si>
    <t>E07000115</t>
  </si>
  <si>
    <t>Torbay</t>
  </si>
  <si>
    <t>E1102</t>
  </si>
  <si>
    <t>E06000027</t>
  </si>
  <si>
    <t>Torridge</t>
  </si>
  <si>
    <t>E1139</t>
  </si>
  <si>
    <t>E07000046</t>
  </si>
  <si>
    <t>Tower Hamlets</t>
  </si>
  <si>
    <t>E5020</t>
  </si>
  <si>
    <t>E09000030</t>
  </si>
  <si>
    <t>Trafford</t>
  </si>
  <si>
    <t>E4209</t>
  </si>
  <si>
    <t>E08000009</t>
  </si>
  <si>
    <t>Tunbridge Wells</t>
  </si>
  <si>
    <t>E2244</t>
  </si>
  <si>
    <t>E07000116</t>
  </si>
  <si>
    <t>Tyne and Wear Fire and Rescue Authority</t>
  </si>
  <si>
    <t>E6145</t>
  </si>
  <si>
    <t>E31000043</t>
  </si>
  <si>
    <t>Uttlesford</t>
  </si>
  <si>
    <t>E1544</t>
  </si>
  <si>
    <t>E07000077</t>
  </si>
  <si>
    <t>Vale of White Horse</t>
  </si>
  <si>
    <t>E3134</t>
  </si>
  <si>
    <t>E07000180</t>
  </si>
  <si>
    <t>Wakefield</t>
  </si>
  <si>
    <t>E4705</t>
  </si>
  <si>
    <t>E08000036</t>
  </si>
  <si>
    <t>Walsall</t>
  </si>
  <si>
    <t>E4606</t>
  </si>
  <si>
    <t>E08000030</t>
  </si>
  <si>
    <t>Waltham Forest</t>
  </si>
  <si>
    <t>E5049</t>
  </si>
  <si>
    <t>E09000031</t>
  </si>
  <si>
    <t>Wandsworth</t>
  </si>
  <si>
    <t>E5021</t>
  </si>
  <si>
    <t>E09000032</t>
  </si>
  <si>
    <t>Warrington</t>
  </si>
  <si>
    <t>E0602</t>
  </si>
  <si>
    <t>E06000007</t>
  </si>
  <si>
    <t>Warwick</t>
  </si>
  <si>
    <t>E3735</t>
  </si>
  <si>
    <t>E07000222</t>
  </si>
  <si>
    <t>Warwickshire</t>
  </si>
  <si>
    <t>E3720</t>
  </si>
  <si>
    <t>E10000031</t>
  </si>
  <si>
    <t>Warwickshire Police and Crime Commissioner and Chief Constable</t>
  </si>
  <si>
    <t>E7037</t>
  </si>
  <si>
    <t>E23000017</t>
  </si>
  <si>
    <t>Watford</t>
  </si>
  <si>
    <t>E1939</t>
  </si>
  <si>
    <t>E07000103</t>
  </si>
  <si>
    <t>Waverley</t>
  </si>
  <si>
    <t>E3640</t>
  </si>
  <si>
    <t>E07000216</t>
  </si>
  <si>
    <t>Wealden</t>
  </si>
  <si>
    <t>E1437</t>
  </si>
  <si>
    <t>E07000065</t>
  </si>
  <si>
    <t>Welwyn Hatfield</t>
  </si>
  <si>
    <t>E1940</t>
  </si>
  <si>
    <t>E07000241</t>
  </si>
  <si>
    <t>West Berkshire</t>
  </si>
  <si>
    <t>E0302</t>
  </si>
  <si>
    <t>E06000037</t>
  </si>
  <si>
    <t>West Devon</t>
  </si>
  <si>
    <t>E1140</t>
  </si>
  <si>
    <t>E07000047</t>
  </si>
  <si>
    <t>West Lancashire</t>
  </si>
  <si>
    <t>E2343</t>
  </si>
  <si>
    <t>E07000127</t>
  </si>
  <si>
    <t>West Lindsey</t>
  </si>
  <si>
    <t>E2537</t>
  </si>
  <si>
    <t>E07000142</t>
  </si>
  <si>
    <t>West London Waste Authority</t>
  </si>
  <si>
    <t>E6207</t>
  </si>
  <si>
    <t>E50000003</t>
  </si>
  <si>
    <t>West Mercia Police and Crime Commissioner and Chief Constable</t>
  </si>
  <si>
    <t>E7055</t>
  </si>
  <si>
    <t>E23000016</t>
  </si>
  <si>
    <t>West Midlands Combined Authority</t>
  </si>
  <si>
    <t>E6346</t>
  </si>
  <si>
    <t>E47000007</t>
  </si>
  <si>
    <t>West Midlands Fire and Rescue Authority</t>
  </si>
  <si>
    <t>E6146</t>
  </si>
  <si>
    <t>E31000044</t>
  </si>
  <si>
    <t>West Midlands Police and Crime Commissioner and Chief Constable</t>
  </si>
  <si>
    <t>E7046</t>
  </si>
  <si>
    <t>E23000014</t>
  </si>
  <si>
    <t>West Northamptonshire</t>
  </si>
  <si>
    <t>E2802</t>
  </si>
  <si>
    <t>E06000062</t>
  </si>
  <si>
    <t>West of England Combined Authority</t>
  </si>
  <si>
    <t>E6354</t>
  </si>
  <si>
    <t>E47000009</t>
  </si>
  <si>
    <t>West Oxfordshire</t>
  </si>
  <si>
    <t>E3135</t>
  </si>
  <si>
    <t>E07000181</t>
  </si>
  <si>
    <t>West Suffolk</t>
  </si>
  <si>
    <t>E3539</t>
  </si>
  <si>
    <t>E07000245</t>
  </si>
  <si>
    <t>West Sussex</t>
  </si>
  <si>
    <t>E3820</t>
  </si>
  <si>
    <t>E10000032</t>
  </si>
  <si>
    <t>West Yorkshire Combined Authority</t>
  </si>
  <si>
    <t>E6353</t>
  </si>
  <si>
    <t>E47000003</t>
  </si>
  <si>
    <t>West Yorkshire Fire &amp; CD Authority</t>
  </si>
  <si>
    <t>E6147</t>
  </si>
  <si>
    <t>E31000045</t>
  </si>
  <si>
    <t>West Yorkshire Police</t>
  </si>
  <si>
    <t>E7047</t>
  </si>
  <si>
    <t>E23000010</t>
  </si>
  <si>
    <t>Western Riverside Waste Authority</t>
  </si>
  <si>
    <t>E6206</t>
  </si>
  <si>
    <t>E50000004</t>
  </si>
  <si>
    <t>Westminster</t>
  </si>
  <si>
    <t>E5022</t>
  </si>
  <si>
    <t>E09000033</t>
  </si>
  <si>
    <t>Wigan</t>
  </si>
  <si>
    <t>E4210</t>
  </si>
  <si>
    <t>E08000010</t>
  </si>
  <si>
    <t>Wiltshire</t>
  </si>
  <si>
    <t>E3902</t>
  </si>
  <si>
    <t>E06000054</t>
  </si>
  <si>
    <t>Wiltshire Police and Crime Commissioner and Chief Constable</t>
  </si>
  <si>
    <t>E7039</t>
  </si>
  <si>
    <t>E23000038</t>
  </si>
  <si>
    <t>Winchester</t>
  </si>
  <si>
    <t>E1743</t>
  </si>
  <si>
    <t>E07000094</t>
  </si>
  <si>
    <t>Windsor &amp; Maidenhead</t>
  </si>
  <si>
    <t>E0305</t>
  </si>
  <si>
    <t>E06000040</t>
  </si>
  <si>
    <t>Wirral</t>
  </si>
  <si>
    <t>E4305</t>
  </si>
  <si>
    <t>E08000015</t>
  </si>
  <si>
    <t>Woking</t>
  </si>
  <si>
    <t>E3641</t>
  </si>
  <si>
    <t>E07000217</t>
  </si>
  <si>
    <t>Wokingham</t>
  </si>
  <si>
    <t>E0306</t>
  </si>
  <si>
    <t>E06000041</t>
  </si>
  <si>
    <t>Wolverhampton</t>
  </si>
  <si>
    <t>E4607</t>
  </si>
  <si>
    <t>E08000031</t>
  </si>
  <si>
    <t>Worcester</t>
  </si>
  <si>
    <t>E1837</t>
  </si>
  <si>
    <t>E07000237</t>
  </si>
  <si>
    <t>Worcestershire</t>
  </si>
  <si>
    <t>E1821</t>
  </si>
  <si>
    <t>E10000034</t>
  </si>
  <si>
    <t>Worthing</t>
  </si>
  <si>
    <t>E3837</t>
  </si>
  <si>
    <t>E07000229</t>
  </si>
  <si>
    <t>Wychavon</t>
  </si>
  <si>
    <t>E1838</t>
  </si>
  <si>
    <t>E07000238</t>
  </si>
  <si>
    <t>Wyre</t>
  </si>
  <si>
    <t>E2344</t>
  </si>
  <si>
    <t>E07000128</t>
  </si>
  <si>
    <t>Wyre Forest</t>
  </si>
  <si>
    <t>E1839</t>
  </si>
  <si>
    <t>E07000239</t>
  </si>
  <si>
    <t>York</t>
  </si>
  <si>
    <t>E2701</t>
  </si>
  <si>
    <t>E06000014</t>
  </si>
  <si>
    <t>Yorkshire Dales National Park Authority</t>
  </si>
  <si>
    <t>E6407</t>
  </si>
  <si>
    <t>E26000012</t>
  </si>
  <si>
    <t>Yes, our S151 officer is the Chief Financial Officer</t>
  </si>
  <si>
    <t>No, it is a different person</t>
  </si>
  <si>
    <t>Chief Financial Officer</t>
  </si>
  <si>
    <t>Deputy Chief Financial Officer</t>
  </si>
  <si>
    <t>S151 Officer</t>
  </si>
  <si>
    <t>Deputy S151 Officer</t>
  </si>
  <si>
    <t>Other</t>
  </si>
  <si>
    <t>resolve</t>
  </si>
  <si>
    <t>General Fund Revenue Account Outturn</t>
  </si>
  <si>
    <t>For return by: Provisional data: Friday 28 July 2023, Certified data: Friday 13 October 2023</t>
  </si>
  <si>
    <r>
      <t xml:space="preserve">RS </t>
    </r>
    <r>
      <rPr>
        <sz val="12"/>
        <color theme="1"/>
        <rFont val="Arial"/>
        <family val="2"/>
      </rPr>
      <t xml:space="preserve">is partly autopopulated from elsewhere in the </t>
    </r>
    <r>
      <rPr>
        <b/>
        <sz val="12"/>
        <color theme="1"/>
        <rFont val="Arial"/>
        <family val="2"/>
      </rPr>
      <t>RO Suite</t>
    </r>
    <r>
      <rPr>
        <sz val="12"/>
        <color theme="1"/>
        <rFont val="Arial"/>
        <family val="2"/>
      </rPr>
      <t xml:space="preserve"> (</t>
    </r>
    <r>
      <rPr>
        <b/>
        <sz val="12"/>
        <color theme="4"/>
        <rFont val="Arial"/>
        <family val="2"/>
      </rPr>
      <t>these are indicated with a blue background and locked cell</t>
    </r>
    <r>
      <rPr>
        <sz val="12"/>
        <color theme="1"/>
        <rFont val="Arial"/>
        <family val="2"/>
      </rPr>
      <t xml:space="preserve">) please correct any errors or issues on the source form. </t>
    </r>
  </si>
  <si>
    <r>
      <rPr>
        <sz val="12"/>
        <color theme="1"/>
        <rFont val="Arial"/>
        <family val="2"/>
      </rPr>
      <t xml:space="preserve">This form should be completed </t>
    </r>
    <r>
      <rPr>
        <b/>
        <sz val="12"/>
        <color theme="1"/>
        <rFont val="Arial"/>
        <family val="2"/>
      </rPr>
      <t xml:space="preserve">on a non-IAS19 basis </t>
    </r>
    <r>
      <rPr>
        <sz val="12"/>
        <color theme="1"/>
        <rFont val="Arial"/>
        <family val="2"/>
      </rPr>
      <t>and</t>
    </r>
    <r>
      <rPr>
        <b/>
        <sz val="12"/>
        <color theme="1"/>
        <rFont val="Arial"/>
        <family val="2"/>
      </rPr>
      <t xml:space="preserve"> PFI on an "Off Balance Sheet" basis.</t>
    </r>
  </si>
  <si>
    <t>In this form (RS) for rows up to line 885, figures are +ve if a net expenditure, and -ve if a net income.</t>
  </si>
  <si>
    <t>Net current expenditure</t>
  </si>
  <si>
    <t>£ 000</t>
  </si>
  <si>
    <t>(1)</t>
  </si>
  <si>
    <t>Validation Parameters</t>
  </si>
  <si>
    <t>Percentage</t>
  </si>
  <si>
    <t>Actual</t>
  </si>
  <si>
    <t>Last Year</t>
  </si>
  <si>
    <t>Upper Bound Actual</t>
  </si>
  <si>
    <t>Lower Bound Actual</t>
  </si>
  <si>
    <t>Upper Bound Percentage</t>
  </si>
  <si>
    <t>Lower Bound Percentage</t>
  </si>
  <si>
    <t>Actual Test</t>
  </si>
  <si>
    <t>Percentage Test</t>
  </si>
  <si>
    <t>Combined</t>
  </si>
  <si>
    <t>Education services</t>
  </si>
  <si>
    <t>RO1 line 90</t>
  </si>
  <si>
    <t>Highways and transport services</t>
  </si>
  <si>
    <t>RO2 line 90</t>
  </si>
  <si>
    <t>Children Social Care</t>
  </si>
  <si>
    <t>RO3 line 30</t>
  </si>
  <si>
    <t>Adult Social Care</t>
  </si>
  <si>
    <t>RO3 line 60</t>
  </si>
  <si>
    <t>Public Health</t>
  </si>
  <si>
    <t>RO3 line 90</t>
  </si>
  <si>
    <t>Housing services (GFRA only)</t>
  </si>
  <si>
    <t>RO4 line 90</t>
  </si>
  <si>
    <t>Cultural and related services</t>
  </si>
  <si>
    <t>RO5 line 190</t>
  </si>
  <si>
    <t>Environmental and regulatory services</t>
  </si>
  <si>
    <t>RO5 line 290</t>
  </si>
  <si>
    <t>Planning and development services</t>
  </si>
  <si>
    <t>RO5 line 390</t>
  </si>
  <si>
    <t>Police services</t>
  </si>
  <si>
    <t>RO6 line 100</t>
  </si>
  <si>
    <t>Fire and rescue services</t>
  </si>
  <si>
    <t>RO6 line 290</t>
  </si>
  <si>
    <t>Central services</t>
  </si>
  <si>
    <t>RO6 line 490</t>
  </si>
  <si>
    <t>Other services</t>
  </si>
  <si>
    <t>RO6 line 500</t>
  </si>
  <si>
    <r>
      <t>TOTAL SERVICE EXPENDITURE</t>
    </r>
    <r>
      <rPr>
        <sz val="14"/>
        <color theme="1"/>
        <rFont val="Arial"/>
        <family val="2"/>
      </rPr>
      <t xml:space="preserve"> </t>
    </r>
    <r>
      <rPr>
        <b/>
        <sz val="10"/>
        <color theme="1"/>
        <rFont val="Arial"/>
        <family val="2"/>
      </rPr>
      <t>(TOTAL OF LINES 190 TO 698)</t>
    </r>
  </si>
  <si>
    <t>RSX line 699</t>
  </si>
  <si>
    <r>
      <t>Housing benefits:</t>
    </r>
    <r>
      <rPr>
        <sz val="12"/>
        <color theme="1"/>
        <rFont val="Arial"/>
        <family val="2"/>
      </rPr>
      <t xml:space="preserve"> rent allowances - mandatory payments</t>
    </r>
  </si>
  <si>
    <r>
      <t>Housing benefits:</t>
    </r>
    <r>
      <rPr>
        <sz val="12"/>
        <color theme="1"/>
        <rFont val="Arial"/>
        <family val="2"/>
      </rPr>
      <t xml:space="preserve"> non-HRA rent rebates - mandatory payments</t>
    </r>
  </si>
  <si>
    <r>
      <t>Housing benefits:</t>
    </r>
    <r>
      <rPr>
        <sz val="12"/>
        <color theme="1"/>
        <rFont val="Arial"/>
        <family val="2"/>
      </rPr>
      <t xml:space="preserve"> rent rebates to HRA tenants - mandatory payments</t>
    </r>
  </si>
  <si>
    <r>
      <t>Housing benefits</t>
    </r>
    <r>
      <rPr>
        <sz val="12"/>
        <color theme="1"/>
        <rFont val="Arial"/>
        <family val="2"/>
      </rPr>
      <t>: subsidy limitation transfers from HRA</t>
    </r>
  </si>
  <si>
    <t>Contribution to the HRA re items shared by the whole community</t>
  </si>
  <si>
    <t>Precepts and levies</t>
  </si>
  <si>
    <r>
      <t xml:space="preserve">Parish precepts </t>
    </r>
    <r>
      <rPr>
        <sz val="10"/>
        <color theme="1"/>
        <rFont val="Arial"/>
        <family val="2"/>
      </rPr>
      <t>(+ve.  NB not income, but the amount passed to parish &amp; town councils. CTR line 890 must be gross of this)</t>
    </r>
  </si>
  <si>
    <t>Integrated Transport Authority levy (- for authorities for which this is an income, + for others)</t>
  </si>
  <si>
    <t>Waste Disposal Authority levy (- for authorities for which this is an income, + for others)</t>
  </si>
  <si>
    <t xml:space="preserve">London Pensions Fund Authority levy </t>
  </si>
  <si>
    <t>Other levies</t>
  </si>
  <si>
    <t>External Trading Accounts net surplus(-)/ deficit(+)</t>
  </si>
  <si>
    <t>TSR line 698</t>
  </si>
  <si>
    <t>Internal Trading Accounts net surplus(-)/ deficit(+)</t>
  </si>
  <si>
    <t>TSR line 898</t>
  </si>
  <si>
    <t>Capital items accounted for in External Trading Accounts</t>
  </si>
  <si>
    <t>TSR line 697</t>
  </si>
  <si>
    <t>Capital items accounted for in Internal Trading Accounts</t>
  </si>
  <si>
    <t>TSR line 897</t>
  </si>
  <si>
    <t>Appropriations to(+) / from(-) Accumulated Absences Account</t>
  </si>
  <si>
    <t>Adjustments to net current expenditure</t>
  </si>
  <si>
    <r>
      <t>NET CURRENT EXPENDITURE</t>
    </r>
    <r>
      <rPr>
        <sz val="14"/>
        <color theme="1"/>
        <rFont val="Arial"/>
        <family val="2"/>
      </rPr>
      <t xml:space="preserve"> </t>
    </r>
    <r>
      <rPr>
        <b/>
        <sz val="10"/>
        <color theme="1"/>
        <rFont val="Arial"/>
        <family val="2"/>
      </rPr>
      <t>(TOTAL OF LINES 699 TO 748)</t>
    </r>
  </si>
  <si>
    <r>
      <t>Levy:</t>
    </r>
    <r>
      <rPr>
        <sz val="12"/>
        <color theme="1"/>
        <rFont val="Arial"/>
        <family val="2"/>
      </rPr>
      <t xml:space="preserve"> Environment Agency flood defence: payments(+) receipts(-)</t>
    </r>
  </si>
  <si>
    <r>
      <t>Capital expenditure charged to the GF Revenue Account (CERA) (</t>
    </r>
    <r>
      <rPr>
        <i/>
        <sz val="12"/>
        <color theme="1"/>
        <rFont val="Arial"/>
        <family val="2"/>
      </rPr>
      <t>exclude Public Health</t>
    </r>
    <r>
      <rPr>
        <sz val="12"/>
        <color theme="1"/>
        <rFont val="Arial"/>
        <family val="2"/>
      </rPr>
      <t>)</t>
    </r>
  </si>
  <si>
    <t>Capital expenditure charged to the GF Revenue Account (CERA) - Public Health</t>
  </si>
  <si>
    <t>Capital receipts used to finance revenue expenditure under receipts flexibility (-)</t>
  </si>
  <si>
    <r>
      <t xml:space="preserve">Netting off </t>
    </r>
    <r>
      <rPr>
        <b/>
        <sz val="12"/>
        <color theme="1"/>
        <rFont val="Arial"/>
        <family val="2"/>
      </rPr>
      <t>other</t>
    </r>
    <r>
      <rPr>
        <sz val="12"/>
        <color theme="1"/>
        <rFont val="Arial"/>
        <family val="2"/>
      </rPr>
      <t xml:space="preserve"> expenditure capitalised by a direction under Section 16(2)(b) (-)</t>
    </r>
  </si>
  <si>
    <t>Provision for bad debts (+/-)</t>
  </si>
  <si>
    <t>Provision for repayment of principal</t>
  </si>
  <si>
    <t>Leasing payments</t>
  </si>
  <si>
    <t>Interest payable and similar charges</t>
  </si>
  <si>
    <r>
      <t>Interest</t>
    </r>
    <r>
      <rPr>
        <sz val="12"/>
        <color theme="1"/>
        <rFont val="Arial"/>
        <family val="2"/>
      </rPr>
      <t>: HRA item 8 payments (+) and receipts (-)</t>
    </r>
  </si>
  <si>
    <r>
      <t xml:space="preserve">SUB-TOTAL </t>
    </r>
    <r>
      <rPr>
        <b/>
        <sz val="10"/>
        <color theme="1"/>
        <rFont val="Arial"/>
        <family val="2"/>
      </rPr>
      <t>(total of lines 749 to 783)</t>
    </r>
  </si>
  <si>
    <r>
      <t>Interest and investment income (-)</t>
    </r>
    <r>
      <rPr>
        <sz val="12"/>
        <color theme="1"/>
        <rFont val="Arial"/>
        <family val="2"/>
      </rPr>
      <t>: external receipts and dividends</t>
    </r>
    <r>
      <rPr>
        <b/>
        <sz val="12"/>
        <color theme="1"/>
        <rFont val="Arial"/>
        <family val="2"/>
      </rPr>
      <t xml:space="preserve">; </t>
    </r>
    <r>
      <rPr>
        <sz val="12"/>
        <color theme="1"/>
        <rFont val="Arial"/>
        <family val="2"/>
      </rPr>
      <t>of which</t>
    </r>
  </si>
  <si>
    <t>Income from Treasury Management activities (-)</t>
  </si>
  <si>
    <t>Income from non-treasury management activities (-), of which:</t>
  </si>
  <si>
    <t xml:space="preserve"> • Investment properties</t>
  </si>
  <si>
    <t xml:space="preserve"> • Dividends from subsidiaries</t>
  </si>
  <si>
    <t xml:space="preserve"> • Dividends from equity other than subsidiaries</t>
  </si>
  <si>
    <t xml:space="preserve"> • Income from joint ventures</t>
  </si>
  <si>
    <t xml:space="preserve"> • Interest from capital loans</t>
  </si>
  <si>
    <t xml:space="preserve"> • Interest from revenue loans</t>
  </si>
  <si>
    <t xml:space="preserve"> • Income from bonds</t>
  </si>
  <si>
    <t xml:space="preserve"> • Other </t>
  </si>
  <si>
    <t>Private Finance Initiative (PFI) schemes - difference from service charge</t>
  </si>
  <si>
    <t>Appropriations to(+) / from(-) financial instruments adjustment account</t>
  </si>
  <si>
    <t>Appropriations to(+) / from(-) unequal pay back pay account</t>
  </si>
  <si>
    <t>Specific and special revenue grants outside AEF</t>
  </si>
  <si>
    <t>RG Line 799</t>
  </si>
  <si>
    <t>Business Rates Supplement (GLA only)</t>
  </si>
  <si>
    <t>Community Infrastructure Levy (CIL) (income) (-)</t>
  </si>
  <si>
    <t>Carbon Reduction Commitment transactions (expenditure) (+)</t>
  </si>
  <si>
    <t>Carbon Reduction Commitment transactions (income) (-)</t>
  </si>
  <si>
    <t>Appropriations to(+)/from(-) dedicated schools grant adjustment account</t>
  </si>
  <si>
    <r>
      <t xml:space="preserve">REVENUE EXPENDITURE </t>
    </r>
    <r>
      <rPr>
        <b/>
        <sz val="10"/>
        <rFont val="Arial"/>
        <family val="2"/>
      </rPr>
      <t>(TOTAL OF LINES 785 TO 797)</t>
    </r>
  </si>
  <si>
    <t>Local Services Support Grant (LSSG) (-)</t>
  </si>
  <si>
    <t>Specific and special revenue grants inside AEF</t>
  </si>
  <si>
    <t>RG Line 699</t>
  </si>
  <si>
    <r>
      <t xml:space="preserve">NET REVENUE EXPENDITURE </t>
    </r>
    <r>
      <rPr>
        <b/>
        <sz val="10"/>
        <rFont val="Arial"/>
        <family val="2"/>
      </rPr>
      <t>(TOTAL OF LINES 800 TO 804)</t>
    </r>
  </si>
  <si>
    <t>Inter-authority transfers in respect of reorganisation</t>
  </si>
  <si>
    <t>Appropriations to(+) / from(-) schools' reserves</t>
  </si>
  <si>
    <t>Appropriations to(+) / from(-) dedicated schools grant reserves</t>
  </si>
  <si>
    <t>Appropriations to(+) / from(-) public health financial reserves</t>
  </si>
  <si>
    <r>
      <t xml:space="preserve">Appropriations to(+) / from(-) other earmarked financial reserves - </t>
    </r>
    <r>
      <rPr>
        <sz val="10"/>
        <color theme="1"/>
        <rFont val="Arial"/>
        <family val="2"/>
      </rPr>
      <t>NB must be the sum of 815a &amp; 815d</t>
    </r>
  </si>
  <si>
    <t>815a</t>
  </si>
  <si>
    <t>of which : enter other appropriations to other earmarked reserves here</t>
  </si>
  <si>
    <t>815d</t>
  </si>
  <si>
    <t>of which: COVID additional business rate relief grants from reserves lines 1028 &amp; 1029 (-)</t>
  </si>
  <si>
    <t>Appropriations to(+) / from(-) unallocated financial reserves</t>
  </si>
  <si>
    <t>Revenue Support Grant (-)</t>
  </si>
  <si>
    <t>Police grant (-)</t>
  </si>
  <si>
    <t>Rate retention</t>
  </si>
  <si>
    <t>diff vs form</t>
  </si>
  <si>
    <t>% diff</t>
  </si>
  <si>
    <t>if diff greater than 10,000 and %diff greater than 10% error</t>
  </si>
  <si>
    <t>Retained income from Rate Retention Scheme (-)</t>
  </si>
  <si>
    <t>=" Your authority provided the figure "&amp;TEXT(VLOOKUP(LA_code,LA_Data,37,FALSE),"#,##0")&amp;" in your RA 22-23 return"</t>
  </si>
  <si>
    <t>Collection fund surplus(-)/deficits(+) for council tax</t>
  </si>
  <si>
    <t>Other Items</t>
  </si>
  <si>
    <r>
      <t xml:space="preserve">COUNCIL TAX REQUIREMENT </t>
    </r>
    <r>
      <rPr>
        <b/>
        <sz val="10"/>
        <rFont val="Arial"/>
        <family val="2"/>
      </rPr>
      <t>(TOTAL OF LINES 805 TO 885)</t>
    </r>
  </si>
  <si>
    <t>CTR balance discrepancy</t>
  </si>
  <si>
    <t xml:space="preserve"> - must be near zero</t>
  </si>
  <si>
    <t>Revenue account reserves levels at start and end of 2022-23</t>
  </si>
  <si>
    <t>Start (1st April) positions have been pre-populated using 31 March 2022 figures submitted from your RO 2021-22</t>
  </si>
  <si>
    <t>If this figure has changed please overwrite</t>
  </si>
  <si>
    <t>At 1 April
2022</t>
  </si>
  <si>
    <t>At 31 March
2023</t>
  </si>
  <si>
    <t xml:space="preserve"> </t>
  </si>
  <si>
    <t>Schools reserves level</t>
  </si>
  <si>
    <t>Dedicated Schools Grant Adjustment Account level</t>
  </si>
  <si>
    <t>Dedicated Schools Grant reserves level</t>
  </si>
  <si>
    <t>Public Health financial reserves level</t>
  </si>
  <si>
    <t>Other earmarked financial reserves level (including exceptional elements)</t>
  </si>
  <si>
    <t>915b</t>
  </si>
  <si>
    <t>Other earmarked financial reserves level (excluding lines 1028 &amp; 1029)</t>
  </si>
  <si>
    <t>Sub-components of 915 'Other earmarked reserves'</t>
  </si>
  <si>
    <t>Other earmarked reserves: Contractual commitments</t>
  </si>
  <si>
    <t>These cells (lines 1023,1024,1025,1026,1030 for 1/4/2022) -&gt;</t>
  </si>
  <si>
    <t>Other earmarked reserves: Planned future revenue and capital spending</t>
  </si>
  <si>
    <t>have been pre-populated from your RO 2021-22 -&gt;</t>
  </si>
  <si>
    <t>Other earmarked reserves: Specific risks</t>
  </si>
  <si>
    <t>with values that your authority provided for 31/3/2022 -&gt;</t>
  </si>
  <si>
    <t>Other earmarked reserves: Budget stabilisation</t>
  </si>
  <si>
    <t>You must check and update if necessary by typing over formula -&gt;</t>
  </si>
  <si>
    <t>Other earmarked reserves: Other (sum of 1028, 1029 &amp; 1030)</t>
  </si>
  <si>
    <r>
      <t xml:space="preserve">Exceptional elements </t>
    </r>
    <r>
      <rPr>
        <b/>
        <u/>
        <sz val="10"/>
        <color theme="1"/>
        <rFont val="Arial"/>
        <family val="2"/>
      </rPr>
      <t>within</t>
    </r>
    <r>
      <rPr>
        <b/>
        <sz val="10"/>
        <color theme="1"/>
        <rFont val="Arial"/>
        <family val="2"/>
      </rPr>
      <t xml:space="preserve"> 1027 'Other earmarked reserves: Other'.  </t>
    </r>
  </si>
  <si>
    <r>
      <t xml:space="preserve">Other Earmarked reserves: due to authority's share of expanded retail relief grants 2020-21 &amp; 2021-22 (relevant to billing </t>
    </r>
    <r>
      <rPr>
        <u/>
        <sz val="10"/>
        <color theme="1"/>
        <rFont val="Arial"/>
        <family val="2"/>
      </rPr>
      <t>and</t>
    </r>
    <r>
      <rPr>
        <sz val="10"/>
        <color theme="1"/>
        <rFont val="Arial"/>
        <family val="2"/>
      </rPr>
      <t xml:space="preserve"> major precepting authorities). See cell note and explanatory guidance document. </t>
    </r>
  </si>
  <si>
    <r>
      <t xml:space="preserve">Other Earmarked reserves: authority's share of COVID-19 Additional Relief Fund (2021-22) (relevant to billing </t>
    </r>
    <r>
      <rPr>
        <u/>
        <sz val="10"/>
        <color theme="1"/>
        <rFont val="Arial"/>
        <family val="2"/>
      </rPr>
      <t>and</t>
    </r>
    <r>
      <rPr>
        <sz val="10"/>
        <color theme="1"/>
        <rFont val="Arial"/>
        <family val="2"/>
      </rPr>
      <t xml:space="preserve"> major precepting authorities). See cell note and explanatory guidance document. </t>
    </r>
  </si>
  <si>
    <r>
      <t xml:space="preserve">Other Earmarked reserves: of which </t>
    </r>
    <r>
      <rPr>
        <i/>
        <sz val="10"/>
        <color theme="1"/>
        <rFont val="Arial"/>
        <family val="2"/>
      </rPr>
      <t>(enter description of any exceptional components in the cell below)</t>
    </r>
  </si>
  <si>
    <t>Follow instruction written against lines 1023-1026 -&gt;</t>
  </si>
  <si>
    <t>1030 description</t>
  </si>
  <si>
    <t>type description of amounts recorded in line 1030</t>
  </si>
  <si>
    <t>Unallocated financial reserves level</t>
  </si>
  <si>
    <t>Prior Year Adjustments</t>
  </si>
  <si>
    <t>NOTE: Reserves levels (non-zero) should be positive on lines 911 and 913-916.</t>
  </si>
  <si>
    <t>Capital items</t>
  </si>
  <si>
    <t>Depreciation (+)</t>
  </si>
  <si>
    <t>Loss on impairment of assets (+)</t>
  </si>
  <si>
    <t>Loss on impairment of loans to subsidiaries (+)</t>
  </si>
  <si>
    <t>Loss on impairment of loans to other parties (exc. subsidiaries) (+)</t>
  </si>
  <si>
    <t>Revaluations taken to surplus (-) or deficit (+) on the provision of services</t>
  </si>
  <si>
    <t>Gain (-) / loss (+) on fair value movements in investment properties</t>
  </si>
  <si>
    <t xml:space="preserve">Gain (-) / loss (+) on fair value movements on equity in subsidiaries, associates and joint ventures </t>
  </si>
  <si>
    <t>Gain (-) / loss (+) on fair value movements in other investment assets</t>
  </si>
  <si>
    <t>Gain (-) / loss (+) on financial derivatives</t>
  </si>
  <si>
    <t>Credit for capital grants (-)</t>
  </si>
  <si>
    <t>Revenue Expenditure funded from Capital by Statute (RECS) (+)</t>
  </si>
  <si>
    <t>Total Capital items (TOTAL OF LINES 931 to 936 and 943 to 948)</t>
  </si>
  <si>
    <t>Equal pay costs</t>
  </si>
  <si>
    <t>One off equal pay costs  - falling on the schools budget</t>
  </si>
  <si>
    <t>One off equal pay costs - chargeable to any other revenue account</t>
  </si>
  <si>
    <t xml:space="preserve">Please confirm the RO suite of forms are completed on non-IAS19 and PFI "Off-Balance Sheet" basis </t>
  </si>
  <si>
    <t>No</t>
  </si>
  <si>
    <t>(Please click on the cell to select YES/NO)</t>
  </si>
  <si>
    <t>Yes</t>
  </si>
  <si>
    <t>Housing Revenue Account (HRA) - 2022-23</t>
  </si>
  <si>
    <t>Net total cost</t>
  </si>
  <si>
    <t>Total Housing Revenue Account (HRA) income  (+)</t>
  </si>
  <si>
    <t>RO4 line 115</t>
  </si>
  <si>
    <t>Total Housing Revenue Account (HRA) expenditure  (nb expenditure is shown as +)</t>
  </si>
  <si>
    <t>RO4 line 135</t>
  </si>
  <si>
    <t>Surplus or deficit for the year on HRA services (line 980 minus 981)</t>
  </si>
  <si>
    <t>RO4 line 140</t>
  </si>
  <si>
    <t xml:space="preserve">Housing Revenue Account (HRA) Reserves </t>
  </si>
  <si>
    <t>RO4 line 146</t>
  </si>
  <si>
    <t>Local council tax support scheme</t>
  </si>
  <si>
    <r>
      <rPr>
        <sz val="12"/>
        <rFont val="Arial"/>
        <family val="2"/>
      </rPr>
      <t>The person in your authority who completed the</t>
    </r>
    <r>
      <rPr>
        <sz val="12"/>
        <color theme="5"/>
        <rFont val="Arial"/>
        <family val="2"/>
      </rPr>
      <t xml:space="preserve"> </t>
    </r>
    <r>
      <rPr>
        <u/>
        <sz val="12"/>
        <color rgb="FF1F80D1"/>
        <rFont val="Arial"/>
        <family val="2"/>
      </rPr>
      <t>Council Tax Requirement return</t>
    </r>
    <r>
      <rPr>
        <sz val="12"/>
        <color theme="5"/>
        <rFont val="Arial"/>
        <family val="2"/>
      </rPr>
      <t xml:space="preserve"> </t>
    </r>
    <r>
      <rPr>
        <sz val="12"/>
        <rFont val="Arial"/>
        <family val="2"/>
      </rPr>
      <t>is likely to be best placed to provide the calculated amount for line 994&amp;995</t>
    </r>
  </si>
  <si>
    <r>
      <t xml:space="preserve">Total council tax revenue foregone - </t>
    </r>
    <r>
      <rPr>
        <b/>
        <sz val="12"/>
        <rFont val="Arial"/>
        <family val="2"/>
      </rPr>
      <t>pensioner households</t>
    </r>
    <r>
      <rPr>
        <sz val="12"/>
        <rFont val="Arial"/>
        <family val="2"/>
      </rPr>
      <t xml:space="preserve">  (+)</t>
    </r>
  </si>
  <si>
    <r>
      <t xml:space="preserve">Total council tax revenue foregone - </t>
    </r>
    <r>
      <rPr>
        <b/>
        <sz val="12"/>
        <rFont val="Arial"/>
        <family val="2"/>
      </rPr>
      <t xml:space="preserve">working age households </t>
    </r>
    <r>
      <rPr>
        <sz val="12"/>
        <rFont val="Arial"/>
        <family val="2"/>
      </rPr>
      <t xml:space="preserve"> (+)</t>
    </r>
  </si>
  <si>
    <t>Total amount of council tax revenue foregone</t>
  </si>
  <si>
    <t>The total amount paid to local parishes to compensate for the localisation of council tax support [to be completed by billing authorities only]  (+)</t>
  </si>
  <si>
    <t>CLASS CHECK VALIDATIONS</t>
  </si>
  <si>
    <t>Planning and Development Services</t>
  </si>
  <si>
    <t>Housing benefits: rent rebates to HRA tenants - mandatory payments</t>
  </si>
  <si>
    <t>LCTS subsidy</t>
  </si>
  <si>
    <t>Local tax collection: Non-domestic rate relief - discretionary payments</t>
  </si>
  <si>
    <t>Click To Select</t>
  </si>
  <si>
    <t>My local authority does own investment properties directly, and I have completed the memorandum section</t>
  </si>
  <si>
    <t>Important - Please confirm basis for completion of Investment Properties memorandum section</t>
  </si>
  <si>
    <t>My local authority does not own any investment properties</t>
  </si>
  <si>
    <t>My local authority does not own investment properties directly (i.e. none apart from those held by companies or joint ventures)</t>
  </si>
  <si>
    <t xml:space="preserve">All figures in £000, not in £ (across the whole data return).   </t>
  </si>
  <si>
    <t>Memorandum section on investment properties</t>
  </si>
  <si>
    <t>Record income as -ve and expenditure as +ve.</t>
  </si>
  <si>
    <t>Income (-)</t>
  </si>
  <si>
    <t>Direct costs</t>
  </si>
  <si>
    <t>Attributable Minimum Revenue Provision</t>
  </si>
  <si>
    <t>Attributable interest costs</t>
  </si>
  <si>
    <t>Total costs</t>
  </si>
  <si>
    <t>Net income</t>
  </si>
  <si>
    <t>of which, within LA boundary</t>
  </si>
  <si>
    <t>of which, outside boundary but within LEP area</t>
  </si>
  <si>
    <t>of which, outside LEP area</t>
  </si>
  <si>
    <t>Investments properties</t>
  </si>
  <si>
    <t>* LEP = local enterprise partnership</t>
  </si>
  <si>
    <r>
      <t xml:space="preserve">Provide a brief description of the rationale for any properties that are </t>
    </r>
    <r>
      <rPr>
        <b/>
        <u/>
        <sz val="11"/>
        <rFont val="Arial"/>
        <family val="2"/>
      </rPr>
      <t>outside LEP area</t>
    </r>
    <r>
      <rPr>
        <b/>
        <sz val="11"/>
        <rFont val="Arial"/>
        <family val="2"/>
      </rPr>
      <t>, noting the intended benefit for the council’s residents</t>
    </r>
  </si>
  <si>
    <t>Contingency and reserves</t>
  </si>
  <si>
    <t>Explain in the box your authority’s approach to setting aside a contingency against your investment assets, including amounts and how these are held</t>
  </si>
  <si>
    <r>
      <t xml:space="preserve">RSX </t>
    </r>
    <r>
      <rPr>
        <sz val="12"/>
        <color theme="1"/>
        <rFont val="Arial"/>
        <family val="2"/>
      </rPr>
      <t xml:space="preserve">is autopopulated from elsewhere in the </t>
    </r>
    <r>
      <rPr>
        <b/>
        <sz val="12"/>
        <color theme="1"/>
        <rFont val="Arial"/>
        <family val="2"/>
      </rPr>
      <t>RO Suite</t>
    </r>
    <r>
      <rPr>
        <sz val="12"/>
        <color theme="1"/>
        <rFont val="Arial"/>
        <family val="2"/>
      </rPr>
      <t xml:space="preserve"> please correct any errors or issues on the source form. </t>
    </r>
  </si>
  <si>
    <t>Running</t>
  </si>
  <si>
    <t>Total</t>
  </si>
  <si>
    <t>Sales, Fees</t>
  </si>
  <si>
    <t>Net Current</t>
  </si>
  <si>
    <t xml:space="preserve">Employees </t>
  </si>
  <si>
    <t xml:space="preserve">Expenses </t>
  </si>
  <si>
    <t>Expenditure</t>
  </si>
  <si>
    <t>&amp; Charges</t>
  </si>
  <si>
    <t>Income</t>
  </si>
  <si>
    <t>(2)</t>
  </si>
  <si>
    <t>(3) = (1) + (2)</t>
  </si>
  <si>
    <t>(4)</t>
  </si>
  <si>
    <t>(5)</t>
  </si>
  <si>
    <t>(6) = (4) + (5)</t>
  </si>
  <si>
    <t>(7)  = (3) - (6)</t>
  </si>
  <si>
    <t>TOTAL SERVICE EXPENDITURE</t>
  </si>
  <si>
    <t>(total of lines 190 to 698)</t>
  </si>
  <si>
    <t>Some grants have been pre-populated to help in completing this form.</t>
  </si>
  <si>
    <t>TOTAL GRANT</t>
  </si>
  <si>
    <t>If this figure has changed, please overwrite and write a reason next to the line in the memo table.</t>
  </si>
  <si>
    <t>Issued by</t>
  </si>
  <si>
    <t xml:space="preserve">GRANTS WITHIN AGGREGATE EXTERNAL FINANCE (AEF) </t>
  </si>
  <si>
    <t>Dedicated Schools Grant (DSG)</t>
  </si>
  <si>
    <t>DfE</t>
  </si>
  <si>
    <t>Pupil Premium Grant</t>
  </si>
  <si>
    <t>Universal Infants Free School Meals</t>
  </si>
  <si>
    <t>This line has been intentionally left blank</t>
  </si>
  <si>
    <t>Public Health Grant</t>
  </si>
  <si>
    <t>DHSC</t>
  </si>
  <si>
    <t>Social Care Grant</t>
  </si>
  <si>
    <t>DLUHC</t>
  </si>
  <si>
    <t>Rural Services Delivery Grant</t>
  </si>
  <si>
    <t>Improved Better Care Fund</t>
  </si>
  <si>
    <t>Lower Tier Services Grant</t>
  </si>
  <si>
    <t xml:space="preserve">Former Independent Living Fund recipient grant </t>
  </si>
  <si>
    <t>Market Sustainability and Fair Cost of Care Fund</t>
  </si>
  <si>
    <t>Services Grant</t>
  </si>
  <si>
    <r>
      <t xml:space="preserve">Homelessness Prevention Grant including Winter Top-up </t>
    </r>
    <r>
      <rPr>
        <vertAlign val="superscript"/>
        <sz val="12"/>
        <color theme="1"/>
        <rFont val="Arial"/>
        <family val="2"/>
      </rPr>
      <t>(a)</t>
    </r>
  </si>
  <si>
    <t>Housing Benefit Subsidy Admin Grant</t>
  </si>
  <si>
    <t>DWP</t>
  </si>
  <si>
    <t>New Homes Bonus</t>
  </si>
  <si>
    <t xml:space="preserve">Localised Council Tax support administration subsidy grant </t>
  </si>
  <si>
    <t>The Private Finance Initiative (PFI)</t>
  </si>
  <si>
    <t>Police Officer Uplift Grant</t>
  </si>
  <si>
    <t>HO</t>
  </si>
  <si>
    <r>
      <t xml:space="preserve">Other grants within AEF  </t>
    </r>
    <r>
      <rPr>
        <sz val="10"/>
        <color theme="1"/>
        <rFont val="Arial"/>
        <family val="2"/>
      </rPr>
      <t>(enter in memorandum box A below)</t>
    </r>
  </si>
  <si>
    <r>
      <t xml:space="preserve">TOTAL GRANTS INSIDE AEF  (total of lines 102 to 698) </t>
    </r>
    <r>
      <rPr>
        <sz val="10"/>
        <rFont val="Arial"/>
        <family val="2"/>
      </rPr>
      <t>(transfers to RS line 804 as income)</t>
    </r>
  </si>
  <si>
    <t>(a) Please note up until 2016-17 DWP temporary accommodation management fee was netted off of the relevant expenditure lines. Now that this funding is a grant, it should not be netted off.</t>
  </si>
  <si>
    <t>GRANTS OUTSIDE AGGREGATE EXTERNAL FINANCE (AEF)</t>
  </si>
  <si>
    <t>Adult and Community Learning from Skills Funding Agency</t>
  </si>
  <si>
    <t>DfE (ESFA)</t>
  </si>
  <si>
    <t>Sixth Form Funding from the Education Funding Agency (EFA)</t>
  </si>
  <si>
    <t xml:space="preserve">Mandatory Rent Allowances: subsidy </t>
  </si>
  <si>
    <t xml:space="preserve">Mandatory Rent Rebates outside HRA: subsidy </t>
  </si>
  <si>
    <t>Rent Rebates Granted to HRA Tenants: subsidy</t>
  </si>
  <si>
    <r>
      <t xml:space="preserve">Other grants outside AEF </t>
    </r>
    <r>
      <rPr>
        <i/>
        <sz val="12"/>
        <rFont val="Arial"/>
        <family val="2"/>
      </rPr>
      <t xml:space="preserve"> </t>
    </r>
    <r>
      <rPr>
        <sz val="10"/>
        <rFont val="Arial"/>
        <family val="2"/>
      </rPr>
      <t>(enter in memorandum box B below)</t>
    </r>
  </si>
  <si>
    <r>
      <t xml:space="preserve">TOTAL GRANTS OUTSIDE AEF (total of lines 715 to 798) </t>
    </r>
    <r>
      <rPr>
        <sz val="10"/>
        <rFont val="Arial"/>
        <family val="2"/>
      </rPr>
      <t>(Transfers to RS line 791 as income)</t>
    </r>
  </si>
  <si>
    <t>TOTAL SPECIFIC AND SPECIAL REVENUE GRANTS (total of lines 699 + 799)</t>
  </si>
  <si>
    <t>Totals in lines 699 and 799 transfer to RS form as income</t>
  </si>
  <si>
    <t>MEMORANDUM BOX A</t>
  </si>
  <si>
    <t>OTHER GRANTS WITHIN AEF  (breakdown of line 698)</t>
  </si>
  <si>
    <t>Primary PE and Sport Premium</t>
  </si>
  <si>
    <t>Promote Innovation in the Delivery of Children’s Services</t>
  </si>
  <si>
    <t>KS2 Monitoring and Moderation</t>
  </si>
  <si>
    <t>Phonics Screening Check</t>
  </si>
  <si>
    <t>SEND implementation grant</t>
  </si>
  <si>
    <t xml:space="preserve">Staying Put grant </t>
  </si>
  <si>
    <t>Metropolitan Railway Passenger Services (include NEXUS Tyne and Wear Metro)</t>
  </si>
  <si>
    <t>DfT</t>
  </si>
  <si>
    <t>Mersey Travel</t>
  </si>
  <si>
    <t>Access Fund</t>
  </si>
  <si>
    <t>Bus Service Operator's Grant - Local Authority Bus Subsidy Ring-Fenced (Revenue) Grant</t>
  </si>
  <si>
    <t>Better Bus Area</t>
  </si>
  <si>
    <t>Local Reform and Community Voices</t>
  </si>
  <si>
    <t>DH</t>
  </si>
  <si>
    <t>Housing Benefit Reform Transitional Funding</t>
  </si>
  <si>
    <t>Social Fund administrative funding</t>
  </si>
  <si>
    <t>Right to Control Trailblazers</t>
  </si>
  <si>
    <t>Neighbourhood Planning Front Runners</t>
  </si>
  <si>
    <t>Greater London Authority Settlement</t>
  </si>
  <si>
    <t>Preventing Repossessions Fund</t>
  </si>
  <si>
    <t>Court Desk Revenue Grant</t>
  </si>
  <si>
    <t>Transition to capped costs</t>
  </si>
  <si>
    <t>Deferred Payments</t>
  </si>
  <si>
    <t>Troubled Families grants</t>
  </si>
  <si>
    <t>Coastal Communities Fund</t>
  </si>
  <si>
    <t>New Homes Bonus: Returned Funding</t>
  </si>
  <si>
    <t>Fire Revenue Grant</t>
  </si>
  <si>
    <t>Council Tax Support Admin Subsidy</t>
  </si>
  <si>
    <t>Weekly Collection Support Scheme</t>
  </si>
  <si>
    <t>Digital Partners Programme</t>
  </si>
  <si>
    <t>Innovation Challenge Award</t>
  </si>
  <si>
    <t>Community Right to Challenge</t>
  </si>
  <si>
    <t>Community Right to Bid</t>
  </si>
  <si>
    <t>Local Authority Social Housing Fraud</t>
  </si>
  <si>
    <t>Commons Pioneer Authorities</t>
  </si>
  <si>
    <t>DEFRA</t>
  </si>
  <si>
    <t>National Parks &amp; Broads</t>
  </si>
  <si>
    <t>Commons Registration Authorities</t>
  </si>
  <si>
    <t>Bathing Water Regulations 2013</t>
  </si>
  <si>
    <t>Asylum Seekers</t>
  </si>
  <si>
    <t>Counter Terrorism</t>
  </si>
  <si>
    <t>Police Innovation Fund</t>
  </si>
  <si>
    <t>Health Premium Incentive Scheme (HPIS)</t>
  </si>
  <si>
    <t>PHE</t>
  </si>
  <si>
    <t>Additional Restrictions grant (where acting as principal)</t>
  </si>
  <si>
    <t>BEIS</t>
  </si>
  <si>
    <r>
      <t>Other</t>
    </r>
    <r>
      <rPr>
        <i/>
        <sz val="12"/>
        <color theme="5"/>
        <rFont val="Arial"/>
        <family val="2"/>
      </rPr>
      <t xml:space="preserve"> (Please include further grants inside AEF in the total amount here)</t>
    </r>
  </si>
  <si>
    <r>
      <t>TOTAL OTHER GRANTS WITHIN AEF</t>
    </r>
    <r>
      <rPr>
        <sz val="12"/>
        <rFont val="Arial"/>
        <family val="2"/>
      </rPr>
      <t xml:space="preserve"> (Equals line 698)</t>
    </r>
  </si>
  <si>
    <t>MEMORANDUM BOX B</t>
  </si>
  <si>
    <t>OTHER GRANTS OUTSIDE AEF  (breakdown of line 798)</t>
  </si>
  <si>
    <t xml:space="preserve">The 16 to 19 Bursary Fund </t>
  </si>
  <si>
    <t>Discretionary Housing Payments (DHPs)</t>
  </si>
  <si>
    <t>Housing Acts/ Urban Developments - contributions towards cost of loan charges</t>
  </si>
  <si>
    <t>Local Enterprise Partnerships Core Funding</t>
  </si>
  <si>
    <t>DLUHC/BIS</t>
  </si>
  <si>
    <t>Areas of Outstanding Natural Beauty (AONB)</t>
  </si>
  <si>
    <t>Further Education funding from Skills Funding Agency - other 19+ funding</t>
  </si>
  <si>
    <t>Higher Education Funding Council for England (HEFCE) Payments</t>
  </si>
  <si>
    <t>Regional Growth Fund (Revenue)</t>
  </si>
  <si>
    <t>intentionally left blank</t>
  </si>
  <si>
    <t>-</t>
  </si>
  <si>
    <r>
      <t>Other</t>
    </r>
    <r>
      <rPr>
        <sz val="12"/>
        <color theme="5"/>
        <rFont val="Arial"/>
        <family val="2"/>
      </rPr>
      <t xml:space="preserve"> </t>
    </r>
    <r>
      <rPr>
        <i/>
        <sz val="12"/>
        <color theme="5"/>
        <rFont val="Arial"/>
        <family val="2"/>
      </rPr>
      <t>(Please include further grants outside AEF in the total amount here)</t>
    </r>
  </si>
  <si>
    <r>
      <t>TOTAL OTHER GRANTS OUTSIDE AEF</t>
    </r>
    <r>
      <rPr>
        <sz val="12"/>
        <rFont val="Arial"/>
        <family val="2"/>
      </rPr>
      <t xml:space="preserve"> (Equals line 798)</t>
    </r>
  </si>
  <si>
    <t>Schools</t>
  </si>
  <si>
    <t>Early Years</t>
  </si>
  <si>
    <t>Primary schools</t>
  </si>
  <si>
    <t>Secondary schools</t>
  </si>
  <si>
    <t>Special schools and alternative provision</t>
  </si>
  <si>
    <t>Post-16 provision</t>
  </si>
  <si>
    <t>Other education and community budget</t>
  </si>
  <si>
    <t>TOTAL EDUCATION SERVICES</t>
  </si>
  <si>
    <t>Transfers to RS form (figures in red box)</t>
  </si>
  <si>
    <t>…of which agency staff costs</t>
  </si>
  <si>
    <t>£000</t>
  </si>
  <si>
    <t>Education services - agency staff cost memorandum item</t>
  </si>
  <si>
    <t>Transport planning, policy and strategy</t>
  </si>
  <si>
    <t>Highways maintenance planning, policy and strategy</t>
  </si>
  <si>
    <t>Public and other transport planning, policy and strategy</t>
  </si>
  <si>
    <t>Highways and roads - maintenance</t>
  </si>
  <si>
    <t>Structural maintenance - principal roads</t>
  </si>
  <si>
    <t>Structural maintenance - other LA roads</t>
  </si>
  <si>
    <t>Structural maintenance - bridges</t>
  </si>
  <si>
    <t>Environmental, safety and routine maintenance - principal roads</t>
  </si>
  <si>
    <t>Environmental, safety and routine maintenance - other LA roads</t>
  </si>
  <si>
    <t>Winter service</t>
  </si>
  <si>
    <t>Street lighting (including energy costs)</t>
  </si>
  <si>
    <t>Also enter specific details on maintenance in 'Additional Information' section below</t>
  </si>
  <si>
    <t>Traffic management and road safety</t>
  </si>
  <si>
    <t>Congestion charging</t>
  </si>
  <si>
    <t>Bus lane enforcement</t>
  </si>
  <si>
    <t>Road safety education and safe routes (including school crossing patrols)</t>
  </si>
  <si>
    <t>Other traffic management</t>
  </si>
  <si>
    <t>Parking services</t>
  </si>
  <si>
    <t>On-street parking</t>
  </si>
  <si>
    <t>Off-street parking</t>
  </si>
  <si>
    <t>Public transport</t>
  </si>
  <si>
    <t>Statutory concessionary fares</t>
  </si>
  <si>
    <t>Discretionary concessionary fares</t>
  </si>
  <si>
    <t>Support to operators - bus services</t>
  </si>
  <si>
    <t>Support to operators - rail services</t>
  </si>
  <si>
    <t>Support to operators - other</t>
  </si>
  <si>
    <t>Public transport co-ordination</t>
  </si>
  <si>
    <t>Airports, harbours and toll facilities</t>
  </si>
  <si>
    <t>TOTAL HIGHWAYS AND TRANSPORT SERVICES</t>
  </si>
  <si>
    <t>Highways and transport services - agency staff cost Memorandum item</t>
  </si>
  <si>
    <t>ADDITIONAL INFORMATION</t>
  </si>
  <si>
    <t>Joint arrangements included within maintenance (col. 5)</t>
  </si>
  <si>
    <t>Structural maintenance - principal roads: joint arrangements in line 31</t>
  </si>
  <si>
    <t>Structural maintenance - other LA roads: joint arrangements in line 32</t>
  </si>
  <si>
    <t>Environmental/safety/routine maintenance principal roads: joint arrangements in line 41</t>
  </si>
  <si>
    <t>Environmental/safety/routine maintenance other LA roads: joint arrangements in line 44</t>
  </si>
  <si>
    <t>Third party liability claims included within maintenance</t>
  </si>
  <si>
    <t>Structural maintenance (all local roads): third party liability claims in</t>
  </si>
  <si>
    <t>lines 31 + 32</t>
  </si>
  <si>
    <t>Unplanned patching included within maintenance (col. 2)</t>
  </si>
  <si>
    <t>Environmental/safety/routine maintenance principal roads: unplanned patching in line 41</t>
  </si>
  <si>
    <t>Environmental/safety/routine maintenance other LA roads: unplanned patching in line 44</t>
  </si>
  <si>
    <t>On-street parking: breakdown of sales, fees and charges (col. 4)</t>
  </si>
  <si>
    <t>On-street parking: Penalty Charge Notice income included in line 61</t>
  </si>
  <si>
    <t>On street parking: other sales, fees and charges in line 61</t>
  </si>
  <si>
    <t>Public transport: support to operators (GLA only)</t>
  </si>
  <si>
    <t>Payment to operators in respect of depreciation which is included in line 73 - bus services</t>
  </si>
  <si>
    <t>Payment to operators in respect of depreciation which is included in line 74 - rail services</t>
  </si>
  <si>
    <t>Payment to operators in respect of depreciation which is included in line 75 - other</t>
  </si>
  <si>
    <t>Data for Adult Social Care should match figures provided in the ASC-FR return sent to NHS Digital</t>
  </si>
  <si>
    <t>please liaise with your Adult Social Care Team</t>
  </si>
  <si>
    <t>Expenses</t>
  </si>
  <si>
    <t>Children's social care</t>
  </si>
  <si>
    <t>Children's social care: Sure start children's centres and early years</t>
  </si>
  <si>
    <t>Children's social care - Children Looked After</t>
  </si>
  <si>
    <t>of which residential care</t>
  </si>
  <si>
    <t>of which fostering services</t>
  </si>
  <si>
    <t>of which asylum seeking children who are looked after</t>
  </si>
  <si>
    <t>of which other</t>
  </si>
  <si>
    <t>Children's social care - Other children's and families services</t>
  </si>
  <si>
    <t>Children's social care - Family Support Services</t>
  </si>
  <si>
    <t>Children's social care - Youth Justice</t>
  </si>
  <si>
    <t>Children's social care: Safeguarding children and young people’s services</t>
  </si>
  <si>
    <t>Children's social care - Asylum Seekers</t>
  </si>
  <si>
    <t>Children's social care: Services for young people</t>
  </si>
  <si>
    <t>TOTAL CHILDREN SOCIAL CARE</t>
  </si>
  <si>
    <t>Children's social care - agency staff cost memorandum item</t>
  </si>
  <si>
    <t>Adult social care</t>
  </si>
  <si>
    <t>Physical support - adults (18–64)</t>
  </si>
  <si>
    <t>Physical support - older people (65+)</t>
  </si>
  <si>
    <t>Sensory support - adults (18–64)</t>
  </si>
  <si>
    <t>Sensory support - older people (65+)</t>
  </si>
  <si>
    <t>Support with memory and cognition - adults (18–64)</t>
  </si>
  <si>
    <t>Support with memory and cognition - older people (65+)</t>
  </si>
  <si>
    <t>Learning disability support - adults (18–64)</t>
  </si>
  <si>
    <t>Learning disability support - older people (65+)</t>
  </si>
  <si>
    <t>Mental health support - adults (18–64)</t>
  </si>
  <si>
    <t>Mental health support - older people (65+)</t>
  </si>
  <si>
    <t>Social support: Substance misuse support</t>
  </si>
  <si>
    <t>Social support: Asylum seeker support</t>
  </si>
  <si>
    <t>Social support: Social Isolation</t>
  </si>
  <si>
    <t>Social support: Support for carer</t>
  </si>
  <si>
    <t>The following two rows (for 18-64 and 65+) will be estimated by the proportions in the two yellows cells, which you can amend</t>
  </si>
  <si>
    <t>if your figures for ages 18-64 and 65+ are estimates, please briefly describe how, noting assumptions</t>
  </si>
  <si>
    <t>of which aged 18-64</t>
  </si>
  <si>
    <t>of which aged 65+</t>
  </si>
  <si>
    <t>Assistive equipment and technology</t>
  </si>
  <si>
    <r>
      <t xml:space="preserve">Care assessment and safeguarding* </t>
    </r>
    <r>
      <rPr>
        <sz val="8"/>
        <rFont val="Arial"/>
        <family val="2"/>
      </rPr>
      <t>(previously named 'social care activities')</t>
    </r>
  </si>
  <si>
    <t>Information and early intervention</t>
  </si>
  <si>
    <r>
      <t>Commissioning, strategy and admin support*</t>
    </r>
    <r>
      <rPr>
        <sz val="8"/>
        <rFont val="Arial"/>
        <family val="2"/>
      </rPr>
      <t xml:space="preserve"> (previously named Commissioning and service delivery)</t>
    </r>
  </si>
  <si>
    <t>of which for aged 18-64</t>
  </si>
  <si>
    <t>of which for aged 65+</t>
  </si>
  <si>
    <t>* Category has been renamed to better reflect its definition which is unchanged</t>
  </si>
  <si>
    <t>Formulae in this row are the basis for warning messages</t>
  </si>
  <si>
    <t>Disbursement payments to care providers</t>
  </si>
  <si>
    <t>Other payments to care providers</t>
  </si>
  <si>
    <t>TOTAL ADULT SOCIAL CARE</t>
  </si>
  <si>
    <t>Adult social care - agency staff cost memorandum item</t>
  </si>
  <si>
    <t>Sexual health services - STI testing and treatment (prescribed functions)</t>
  </si>
  <si>
    <t>Sexual health services - Contraception (prescribed functions)</t>
  </si>
  <si>
    <t>Sexual health services - Advice, prevention and promotion  (non-prescribed functions)</t>
  </si>
  <si>
    <t>NHS health check programme  (prescribed functions)</t>
  </si>
  <si>
    <t>Health protection - Local authority role in health protection  (prescribed functions)</t>
  </si>
  <si>
    <t>National child measurement programme (prescribed functions)</t>
  </si>
  <si>
    <t>Public health advice to NHS commissioners (prescribed functions)</t>
  </si>
  <si>
    <t>Obesity - adults</t>
  </si>
  <si>
    <t>Obesity - children</t>
  </si>
  <si>
    <t>Physical activity - adults</t>
  </si>
  <si>
    <t>Physical activity - children</t>
  </si>
  <si>
    <t>Substance misuse - Treatment for drug misuse in adults</t>
  </si>
  <si>
    <t>Substance misuse - Treatment for alcohol misuse in adults</t>
  </si>
  <si>
    <t>Substance misuse - Preventing and reducing harm from drug misuse in adults</t>
  </si>
  <si>
    <t>Substance misuse - Preventing and reducing harm from alcohol misuse in adults</t>
  </si>
  <si>
    <t>Substance misuse - Specialist drug and alcohol misuse services for  children and young people</t>
  </si>
  <si>
    <t>Smoking and tobacco - Stop smoking services and interventions</t>
  </si>
  <si>
    <t>Smoking and tobacco - Wider tobacco control</t>
  </si>
  <si>
    <t>Children 5–19 public health programmes</t>
  </si>
  <si>
    <t>Miscellaneous public health services - Children's 0–5 services (prescribed functions)</t>
  </si>
  <si>
    <t>Miscellaneous public health services - Children’s 0-5 services - Other (non-prescribed functions)</t>
  </si>
  <si>
    <t>Health at work</t>
  </si>
  <si>
    <t>Public mental health</t>
  </si>
  <si>
    <t>Miscellaneous public health services</t>
  </si>
  <si>
    <t>Test, track &amp; trace and outbreak planning</t>
  </si>
  <si>
    <t>Other public health spend relating to COVID-19</t>
  </si>
  <si>
    <t>TOTAL PUBLIC HEALTH</t>
  </si>
  <si>
    <t>Public health - agency staff cost memorandum item</t>
  </si>
  <si>
    <t>Public Health Expenditure by Primary Care Service Provider</t>
  </si>
  <si>
    <t>General Practice Services (included above within total public health)</t>
  </si>
  <si>
    <t>Dental Services (included above within total public health)</t>
  </si>
  <si>
    <t>Pharmaceutical Services and Locally Commissioned Services from Pharmacies (included above within total public health)</t>
  </si>
  <si>
    <t>Eye Care Services (included above within total public health)</t>
  </si>
  <si>
    <t>Supporting People</t>
  </si>
  <si>
    <t>Supporting people ancillary expenditure included above within total children social care</t>
  </si>
  <si>
    <t>Supporting people ancillary expenditure included above within total adult social care</t>
  </si>
  <si>
    <t>Housing strategy, advice and enabling</t>
  </si>
  <si>
    <t>Housing advances</t>
  </si>
  <si>
    <t>Private sector housing renewal</t>
  </si>
  <si>
    <t>Administration of financial support for repairs and improvements</t>
  </si>
  <si>
    <t>Other private sector housing renewal</t>
  </si>
  <si>
    <t>Homelessness</t>
  </si>
  <si>
    <t>Nightly paid, privately managed accommodation, self-contained</t>
  </si>
  <si>
    <t>Private sector accommodation leased by authority or by a registered provider</t>
  </si>
  <si>
    <t>Hostels (including reception centres, emergency units and refuges)</t>
  </si>
  <si>
    <t>Bed and breakfast hotels (including shared annexes)</t>
  </si>
  <si>
    <t>Local authority or housing association stock</t>
  </si>
  <si>
    <t>Any other type of temporary accommodation (including private landlord and not known)</t>
  </si>
  <si>
    <t>Temporary accommodation administration</t>
  </si>
  <si>
    <t>Homeless Reduction Act: Administration, Prevention, Relief &amp; Support</t>
  </si>
  <si>
    <t>Non Homeless Reduction Act: Administration and Support</t>
  </si>
  <si>
    <t>Total Homelessness</t>
  </si>
  <si>
    <t>Housing benefits</t>
  </si>
  <si>
    <t>Rent allowances - discretionary payments</t>
  </si>
  <si>
    <t>Non-HRA rent rebates - discretionary payments</t>
  </si>
  <si>
    <t>Rent rebates to HRA tenants - discretionary payments</t>
  </si>
  <si>
    <t>Housing benefits administration</t>
  </si>
  <si>
    <t>For mandatory housing benefits: see RS lines 711 to 713</t>
  </si>
  <si>
    <t>Other council property (Non-HRA)</t>
  </si>
  <si>
    <t>Housing welfare</t>
  </si>
  <si>
    <t>Other welfare services</t>
  </si>
  <si>
    <t>TOTAL HOUSING SERVICES (GFRA only)</t>
  </si>
  <si>
    <t>Housing services - agency staff cost memorandum item</t>
  </si>
  <si>
    <t>Dwelling rents (gross)</t>
  </si>
  <si>
    <t>Non-dwelling rents (gross)</t>
  </si>
  <si>
    <t>Tenants’ leaseholders’ and other charges for services and facilities</t>
  </si>
  <si>
    <t>Contributions towards expenditure (other than government grants and
 assistance)</t>
  </si>
  <si>
    <t>Government grants and assistance (including downward adjustments)</t>
  </si>
  <si>
    <t>Interest on investments credited direct to the HRA</t>
  </si>
  <si>
    <t>Transfers from GF only</t>
  </si>
  <si>
    <t>Transfers from MRR and other transfers permitted or required by
 legislation</t>
  </si>
  <si>
    <t>HRA - Appropriation to/from Accumulated Absences Account</t>
  </si>
  <si>
    <r>
      <t xml:space="preserve">TOTAL HOUSING REVENUE ACCOUNT (HRA) INCOME </t>
    </r>
    <r>
      <rPr>
        <b/>
        <sz val="10"/>
        <rFont val="Arial"/>
        <family val="2"/>
      </rPr>
      <t>(total of lines 101 to 111)</t>
    </r>
  </si>
  <si>
    <r>
      <t>Expenditure (</t>
    </r>
    <r>
      <rPr>
        <b/>
        <sz val="12"/>
        <color rgb="FFFF0000"/>
        <rFont val="Arial"/>
        <family val="2"/>
      </rPr>
      <t>expenditure must be recorded as +ve values</t>
    </r>
    <r>
      <rPr>
        <b/>
        <sz val="12"/>
        <rFont val="Arial"/>
        <family val="2"/>
      </rPr>
      <t xml:space="preserve">. </t>
    </r>
    <r>
      <rPr>
        <sz val="12"/>
        <rFont val="Arial"/>
        <family val="2"/>
      </rPr>
      <t>This contrasts with the convention on the rest of the RO suite of forms where expenditure is the opposite sign to income</t>
    </r>
    <r>
      <rPr>
        <b/>
        <sz val="12"/>
        <rFont val="Arial"/>
        <family val="2"/>
      </rPr>
      <t>.)</t>
    </r>
  </si>
  <si>
    <t>Repairs and maintenance</t>
  </si>
  <si>
    <t>Supervision and management (including CDC)</t>
  </si>
  <si>
    <t>Special services</t>
  </si>
  <si>
    <t>Rents, rates, taxes and other charges</t>
  </si>
  <si>
    <t>Direct charges to the HRA - Interest payable and similar charges including amortisation of premiums and discounts</t>
  </si>
  <si>
    <t>Charges to the HRA for debt repayment or non-interest charges in respect
 of credit arrangements (including on balance sheet PFI schemes)</t>
  </si>
  <si>
    <t>HRA - Capital expenditure charged to the GF Revenue Account (CERA)</t>
  </si>
  <si>
    <t>Debt management costs</t>
  </si>
  <si>
    <t>Transfers to GF only</t>
  </si>
  <si>
    <t>Transfers to MRR and other transfers permitted or required
 by legislation</t>
  </si>
  <si>
    <t>HRA - Provision for bad debts (+/-)</t>
  </si>
  <si>
    <r>
      <t>TOTAL HOUSING REVENUE ACCOUNT (HRA) EXPENDITURE</t>
    </r>
    <r>
      <rPr>
        <b/>
        <sz val="10"/>
        <rFont val="Arial"/>
        <family val="2"/>
      </rPr>
      <t xml:space="preserve"> (total of lines 121 to 133)</t>
    </r>
  </si>
  <si>
    <r>
      <t>SURPLUS OR DEFICIT FOR THE YEAR ON HRA SERVICES</t>
    </r>
    <r>
      <rPr>
        <b/>
        <sz val="10"/>
        <rFont val="Arial"/>
        <family val="2"/>
      </rPr>
      <t xml:space="preserve"> (line 115 minus 135)</t>
    </r>
  </si>
  <si>
    <t>1 April 2022</t>
  </si>
  <si>
    <t>31 March 2023</t>
  </si>
  <si>
    <t>Housing Revenue Account (HRA) Reserves*</t>
  </si>
  <si>
    <t>(Include: earmarked reserves and any balances on the HRA and the Housing Repairs Account. "Exclude: balance on the Major Repairs Reserve.")</t>
  </si>
  <si>
    <t xml:space="preserve">CULTURAL AND RELATED SERVICES </t>
  </si>
  <si>
    <t>Culture and heritage</t>
  </si>
  <si>
    <t>Archives</t>
  </si>
  <si>
    <t>Arts development and support</t>
  </si>
  <si>
    <t>Heritage</t>
  </si>
  <si>
    <t>Museums and galleries</t>
  </si>
  <si>
    <t>Theatres and public entertainment</t>
  </si>
  <si>
    <t>Recreation and sport</t>
  </si>
  <si>
    <t>Community centres and public halls</t>
  </si>
  <si>
    <t>Foreshore</t>
  </si>
  <si>
    <t>Sports development and community recreation</t>
  </si>
  <si>
    <t>Sports and leisure facilities (including golf courses)</t>
  </si>
  <si>
    <t>Parks &amp; Open Spaces (including play areas)</t>
  </si>
  <si>
    <t>Allotments</t>
  </si>
  <si>
    <t>Tourism</t>
  </si>
  <si>
    <t>Upper</t>
  </si>
  <si>
    <t>Library service</t>
  </si>
  <si>
    <t>L</t>
  </si>
  <si>
    <t>TOTAL CULTURAL AND RELATED SERVICES</t>
  </si>
  <si>
    <t>SC</t>
  </si>
  <si>
    <t>Cultural and related services - agency staff cost memorandum item</t>
  </si>
  <si>
    <t xml:space="preserve">ENVIRONMENTAL AND REGULATORY SERVICES  </t>
  </si>
  <si>
    <t>Cemetery, cremation and mortuary services</t>
  </si>
  <si>
    <t>Regulatory services</t>
  </si>
  <si>
    <t>Trading standards</t>
  </si>
  <si>
    <t>Water safety</t>
  </si>
  <si>
    <t>Food safety</t>
  </si>
  <si>
    <t>Environmental protection; noise and nuisance</t>
  </si>
  <si>
    <t>Housing standards</t>
  </si>
  <si>
    <t>Health and safety</t>
  </si>
  <si>
    <t>Port health (excluding levies)</t>
  </si>
  <si>
    <t>Port health levies</t>
  </si>
  <si>
    <t>Pest control</t>
  </si>
  <si>
    <t>Public conveniences</t>
  </si>
  <si>
    <t>Animal and public health; infectious disease control</t>
  </si>
  <si>
    <t>Licensing - Alcohol and entertainment licensing; taxi licensing</t>
  </si>
  <si>
    <t>Community Safety</t>
  </si>
  <si>
    <t>Crime Reduction</t>
  </si>
  <si>
    <t>Safety Services</t>
  </si>
  <si>
    <t>CCTV</t>
  </si>
  <si>
    <t>Flood defence, land drainage and  coast protection</t>
  </si>
  <si>
    <t>Defences against flooding</t>
  </si>
  <si>
    <t>Land drainage and related work (excluding levy / Special levies)</t>
  </si>
  <si>
    <t>Land drainage and related work - Levy / Special levies</t>
  </si>
  <si>
    <t>Coast protection</t>
  </si>
  <si>
    <t>Agricultural and fisheries services</t>
  </si>
  <si>
    <t>Street cleansing (not chargeable to Highways)</t>
  </si>
  <si>
    <t>Waste management</t>
  </si>
  <si>
    <t>Waste collection</t>
  </si>
  <si>
    <t>Waste disposal</t>
  </si>
  <si>
    <t>Trade waste</t>
  </si>
  <si>
    <t>Recycling</t>
  </si>
  <si>
    <t>Waste minimisation</t>
  </si>
  <si>
    <t>Climate change costs</t>
  </si>
  <si>
    <t>TOTAL ENVIRONMENTAL AND REGULATORY SERVICES</t>
  </si>
  <si>
    <t>Environmental and regulatory services - agency staff cost memorandum item</t>
  </si>
  <si>
    <t xml:space="preserve">PLANNING AND DEVELOPMENT SERVICES  </t>
  </si>
  <si>
    <t>Building control</t>
  </si>
  <si>
    <t>Development control</t>
  </si>
  <si>
    <t>Planning policy</t>
  </si>
  <si>
    <t>Conservation and listed buildings planning policy</t>
  </si>
  <si>
    <t>Other planning policy</t>
  </si>
  <si>
    <t>Environmental initiatives</t>
  </si>
  <si>
    <t>Economic development</t>
  </si>
  <si>
    <t>Economic research</t>
  </si>
  <si>
    <t>Business support</t>
  </si>
  <si>
    <t>Community development</t>
  </si>
  <si>
    <t>TOTAL PLANNING AND DEVELOPMENT SERVICES</t>
  </si>
  <si>
    <t>Planning and development services - agency staff cost memorandum item</t>
  </si>
  <si>
    <t>TOTAL CULTURAL, ENVIRONMENTAL, REGULATORY AND PLANNING SERVICES</t>
  </si>
  <si>
    <t>Total cultural, environmental, regulatory and planning services - Memorandum item</t>
  </si>
  <si>
    <t xml:space="preserve">PROTECTIVE SERVICES </t>
  </si>
  <si>
    <t>POLICE SERVICES</t>
  </si>
  <si>
    <t>TOTAL POLICE SERVICES</t>
  </si>
  <si>
    <t>Police services - agency staff cost memorandum item</t>
  </si>
  <si>
    <t>FIRE AND RESCUE SERVICES</t>
  </si>
  <si>
    <t>Community fire safety</t>
  </si>
  <si>
    <t>Fire fighting and rescue operations</t>
  </si>
  <si>
    <t>Fire and rescue service emergency planning and civil defence</t>
  </si>
  <si>
    <t>TOTAL FIRE AND RESCUE SERVICES</t>
  </si>
  <si>
    <t>Fire and rescue services - agency staff cost memorandum item</t>
  </si>
  <si>
    <t xml:space="preserve">CENTRAL SERVICES </t>
  </si>
  <si>
    <t>CORPORATE AND DEMOCRATIC CORE</t>
  </si>
  <si>
    <t>CENTRAL SERVICES TO THE PUBLIC</t>
  </si>
  <si>
    <t>Local tax collection</t>
  </si>
  <si>
    <t>Council tax collection</t>
  </si>
  <si>
    <t>Council tax discounts for prompt payment</t>
  </si>
  <si>
    <t>Council tax discounts locally funded</t>
  </si>
  <si>
    <t>Council tax support administration</t>
  </si>
  <si>
    <t>Non-domestic rates collection</t>
  </si>
  <si>
    <t>BID ballots</t>
  </si>
  <si>
    <t>Registration of births, deaths and marriages</t>
  </si>
  <si>
    <t>Elections</t>
  </si>
  <si>
    <t>Registration of electors</t>
  </si>
  <si>
    <t>Conducting elections</t>
  </si>
  <si>
    <t>Emergency planning</t>
  </si>
  <si>
    <t>Local land charges</t>
  </si>
  <si>
    <t>Local welfare assistance schemes</t>
  </si>
  <si>
    <t>General grants, bequests and donations</t>
  </si>
  <si>
    <t>Coroners' court services</t>
  </si>
  <si>
    <t>Other court services</t>
  </si>
  <si>
    <t>NON-DISTRIBUTED COSTS</t>
  </si>
  <si>
    <t xml:space="preserve">Retirement benefits </t>
  </si>
  <si>
    <t>Costs of unused shares of IT facilities and other assets</t>
  </si>
  <si>
    <t>Revenue expenditure on surplus assets</t>
  </si>
  <si>
    <t>MANAGEMENT AND SUPPORT SERVICES</t>
  </si>
  <si>
    <t>- enter breakdown in management and support services section below</t>
  </si>
  <si>
    <t>TOTAL CENTRAL SERVICES</t>
  </si>
  <si>
    <t>Central services - agency staff cost memorandum item</t>
  </si>
  <si>
    <t>MANAGEMENT AND SUPPORT SERVICES: breakdown of Other Income on line 489 (col. 5)</t>
  </si>
  <si>
    <t>Recharges within central services</t>
  </si>
  <si>
    <t>Recharges to general fund revenue account (excluding central services)</t>
  </si>
  <si>
    <t>Recharges to central government</t>
  </si>
  <si>
    <t>Recharges to other accounts</t>
  </si>
  <si>
    <t>Other management and support services income (excluding recharges)</t>
  </si>
  <si>
    <t>TOTAL OTHER SERVICES</t>
  </si>
  <si>
    <t>– to be individually specified in the other services breakdown below</t>
  </si>
  <si>
    <t>Total other services - agency staff cost memorandum item</t>
  </si>
  <si>
    <t>OTHER  SERVICES: breakdown of line 500</t>
  </si>
  <si>
    <t xml:space="preserve"> Other (please specify )         &lt;&lt; please type on this line to specify &gt;&gt;</t>
  </si>
  <si>
    <t xml:space="preserve"> TOTAL (Lines 501 to 520) to agree with line 500</t>
  </si>
  <si>
    <t>Gross</t>
  </si>
  <si>
    <t>Income (+)</t>
  </si>
  <si>
    <t>Surplus(-)/</t>
  </si>
  <si>
    <t>Expenditure (+)</t>
  </si>
  <si>
    <t>deficit(+)</t>
  </si>
  <si>
    <t>(3)  = (1) - (2)</t>
  </si>
  <si>
    <t>INTERNAL AND EXTERNAL TRADING ACCOUNTS</t>
  </si>
  <si>
    <t>EXTERNAL TRADING ACCOUNTS</t>
  </si>
  <si>
    <t>Car Parks</t>
  </si>
  <si>
    <t>Airports</t>
  </si>
  <si>
    <t>Ports</t>
  </si>
  <si>
    <t>Piers</t>
  </si>
  <si>
    <t>Toll bridges and roads</t>
  </si>
  <si>
    <t>Museums</t>
  </si>
  <si>
    <t>Theatres</t>
  </si>
  <si>
    <t>Civic halls</t>
  </si>
  <si>
    <t>Civic restaurants</t>
  </si>
  <si>
    <t>Sports facilities</t>
  </si>
  <si>
    <t>Crematoria</t>
  </si>
  <si>
    <t>Fishery harbours</t>
  </si>
  <si>
    <t>Corporation estates</t>
  </si>
  <si>
    <t>Industrial estates</t>
  </si>
  <si>
    <t>Investment properties</t>
  </si>
  <si>
    <t xml:space="preserve">Market undertakings </t>
  </si>
  <si>
    <t>Other External Trading Accounts - &lt;&lt;please type on this line to specify&gt;&gt;</t>
  </si>
  <si>
    <t>TOTAL EXTERNAL TRADING ACCOUNTS</t>
  </si>
  <si>
    <t>TOTAL EXTERNAL TRADING ACCOUNTS - Capital items *</t>
  </si>
  <si>
    <t>TOTAL EXTERNAL TRADING ACCOUNTS - incl Capital items*</t>
  </si>
  <si>
    <t>INTERNAL TRADING ACCOUNTS</t>
  </si>
  <si>
    <t>Administrative Education support services</t>
  </si>
  <si>
    <t>Specialist Education support services</t>
  </si>
  <si>
    <t>Highways maintenance</t>
  </si>
  <si>
    <t>Social Services: residential homes</t>
  </si>
  <si>
    <t>Social Services: home care services</t>
  </si>
  <si>
    <t>Housing management</t>
  </si>
  <si>
    <t>Leisure management</t>
  </si>
  <si>
    <t>Environmental cleaning and sweeping</t>
  </si>
  <si>
    <t>Construction and property services</t>
  </si>
  <si>
    <t>Building cleaning</t>
  </si>
  <si>
    <t>Building maintenance</t>
  </si>
  <si>
    <t>Grounds maintenance</t>
  </si>
  <si>
    <t>Vehicle maintenance</t>
  </si>
  <si>
    <t>Vehicle management and transport</t>
  </si>
  <si>
    <t>Refuse collection</t>
  </si>
  <si>
    <t>Catering services (staff, welfare, education etc)</t>
  </si>
  <si>
    <t>Office services (printing, security, etc)</t>
  </si>
  <si>
    <t>Information Technology</t>
  </si>
  <si>
    <t>Finance services</t>
  </si>
  <si>
    <t>Legal services</t>
  </si>
  <si>
    <t>Personnel services</t>
  </si>
  <si>
    <t>Other Internal Trading Accounts - &lt;&lt;please type on this line to specify&gt;&gt;</t>
  </si>
  <si>
    <t>TOTAL INTERNAL TRADING ACCOUNTS</t>
  </si>
  <si>
    <t>TOTAL INTERNAL TRADING ACCOUNTS - Capital items *</t>
  </si>
  <si>
    <t>TOTAL INTERNAL TRADING ACCOUNTS - incl Capital items *</t>
  </si>
  <si>
    <t>EXTERNAL</t>
  </si>
  <si>
    <t>INTERNAL</t>
  </si>
  <si>
    <t>TRADING</t>
  </si>
  <si>
    <t>ACCOUNTS</t>
  </si>
  <si>
    <t>Total Capital items (total of lines 931 to 936)</t>
  </si>
  <si>
    <t>NOTE: The total Capital items line 939  col 1 must equal line 697 and col 2 must equal line 897.</t>
  </si>
  <si>
    <t>of which:</t>
  </si>
  <si>
    <t>NB: These three categories were previously grouped as 'Social Care and Public Health'.</t>
  </si>
  <si>
    <t>Highways</t>
  </si>
  <si>
    <t>Housing</t>
  </si>
  <si>
    <t>Cultural,</t>
  </si>
  <si>
    <t>and</t>
  </si>
  <si>
    <t>Children's</t>
  </si>
  <si>
    <t>Adult</t>
  </si>
  <si>
    <t>services</t>
  </si>
  <si>
    <t>Environmental</t>
  </si>
  <si>
    <t>Fire</t>
  </si>
  <si>
    <t>Central</t>
  </si>
  <si>
    <t>TOTAL ALL</t>
  </si>
  <si>
    <t>Education</t>
  </si>
  <si>
    <t>transport</t>
  </si>
  <si>
    <t>Social</t>
  </si>
  <si>
    <t>Public</t>
  </si>
  <si>
    <t>(excluding</t>
  </si>
  <si>
    <t>and Planning</t>
  </si>
  <si>
    <t>Police</t>
  </si>
  <si>
    <t>&amp; Rescue</t>
  </si>
  <si>
    <t>and Other</t>
  </si>
  <si>
    <t>SERVICES</t>
  </si>
  <si>
    <t>Care</t>
  </si>
  <si>
    <t>Health</t>
  </si>
  <si>
    <t>HRA)</t>
  </si>
  <si>
    <t>(1) = sum of (2) to (9)</t>
  </si>
  <si>
    <t>(3)</t>
  </si>
  <si>
    <t>(4a)</t>
  </si>
  <si>
    <t>(4b)</t>
  </si>
  <si>
    <t>(4c)</t>
  </si>
  <si>
    <t>(6)</t>
  </si>
  <si>
    <t>(7)</t>
  </si>
  <si>
    <t>(8)</t>
  </si>
  <si>
    <t>(9)</t>
  </si>
  <si>
    <t>PART A - PAY ESTIMATES</t>
  </si>
  <si>
    <t>Teachers Group</t>
  </si>
  <si>
    <t>1 Teacher salary</t>
  </si>
  <si>
    <t>2 Employer's National Insurance contributions</t>
  </si>
  <si>
    <t>3 Employer's Retirement Benefit Cost</t>
  </si>
  <si>
    <t>4 Location allowance</t>
  </si>
  <si>
    <r>
      <t xml:space="preserve">5 TOTAL TEACHERS GROUP </t>
    </r>
    <r>
      <rPr>
        <b/>
        <sz val="10"/>
        <rFont val="Arial"/>
        <family val="2"/>
      </rPr>
      <t>(Total of lines 1 to 4)</t>
    </r>
  </si>
  <si>
    <r>
      <t xml:space="preserve">Police &amp; Fire Group </t>
    </r>
    <r>
      <rPr>
        <b/>
        <sz val="8"/>
        <rFont val="Arial"/>
        <family val="2"/>
      </rPr>
      <t>(nb uniformed staff excl NJCLGS, PCSOs, Traffic Wardens &amp; designated officers)</t>
    </r>
  </si>
  <si>
    <t>6 Police &amp; Fire salary</t>
  </si>
  <si>
    <t>7 Employer's National Insurance contributions</t>
  </si>
  <si>
    <t>8 Employer's Retirement Benefit Cost</t>
  </si>
  <si>
    <t>9 Location allowance</t>
  </si>
  <si>
    <r>
      <t xml:space="preserve">10 TOTAL POLICE &amp; FIRE GROUP </t>
    </r>
    <r>
      <rPr>
        <b/>
        <sz val="10"/>
        <rFont val="Arial"/>
        <family val="2"/>
      </rPr>
      <t>(Total of lines 6 to 9)</t>
    </r>
  </si>
  <si>
    <t>All Other Staff Group</t>
  </si>
  <si>
    <t>11 All Other Staff salary</t>
  </si>
  <si>
    <t>12 Employer's National Insurance contributions</t>
  </si>
  <si>
    <t>13 Employer's Retirement Benefit Cost</t>
  </si>
  <si>
    <t>14 Location allowance</t>
  </si>
  <si>
    <r>
      <t xml:space="preserve">15 TOTAL ALL OTHER STAFF GROUP </t>
    </r>
    <r>
      <rPr>
        <b/>
        <sz val="10"/>
        <rFont val="Arial"/>
        <family val="2"/>
      </rPr>
      <t>(Total of lines 11 to 14)</t>
    </r>
  </si>
  <si>
    <t>16 Other Pay Related Costs</t>
  </si>
  <si>
    <r>
      <t xml:space="preserve">17 TOTAL Part A  </t>
    </r>
    <r>
      <rPr>
        <b/>
        <sz val="10"/>
        <rFont val="Arial"/>
        <family val="2"/>
      </rPr>
      <t>(Total of lines 5, 10, 15, 16)</t>
    </r>
  </si>
  <si>
    <t>If totals are different to 'Employees' spend in the RSX, comparable figures will appear here:</t>
  </si>
  <si>
    <t xml:space="preserve">NB: These two categories were previously grouped as 'Social Care'. </t>
  </si>
  <si>
    <t>PART B - RUNNING EXPENSES</t>
  </si>
  <si>
    <t>All Other</t>
  </si>
  <si>
    <t>Social Care</t>
  </si>
  <si>
    <t>Premises Related Expenditure</t>
  </si>
  <si>
    <t>18 Repairs, Alterations and Maintenance of Buildings</t>
  </si>
  <si>
    <t>19 Energy Costs - Electricity, Gas and Other</t>
  </si>
  <si>
    <t>21 Rents</t>
  </si>
  <si>
    <t>22 Rates</t>
  </si>
  <si>
    <t>23 Water Services</t>
  </si>
  <si>
    <t>24 Fixtures &amp; Fittings</t>
  </si>
  <si>
    <t>25 Cleaning and Domestic Supplies</t>
  </si>
  <si>
    <t>26 Grounds Maintenance Costs</t>
  </si>
  <si>
    <t>27 Premises Insurance</t>
  </si>
  <si>
    <t>28 Other Premises Related Expenditure</t>
  </si>
  <si>
    <r>
      <t xml:space="preserve">29 TOTAL PREMISES EXPENSES </t>
    </r>
    <r>
      <rPr>
        <b/>
        <sz val="10"/>
        <rFont val="Arial"/>
        <family val="2"/>
      </rPr>
      <t>(Total of lines 18 to 28)</t>
    </r>
  </si>
  <si>
    <t>Transport Related Expenditure</t>
  </si>
  <si>
    <t>30 Direct Transport Costs - Vehicle Running Costs, Repair &amp; Maintenance</t>
  </si>
  <si>
    <t>32 Contract Hire and Operating Leases</t>
  </si>
  <si>
    <t>33 Car Allowances for Travelling Expenses</t>
  </si>
  <si>
    <t>34 Public Transport Allowances for Travelling Expenses</t>
  </si>
  <si>
    <t>35 Transport Insurance</t>
  </si>
  <si>
    <t>36 Other Transport Related Expenditure</t>
  </si>
  <si>
    <r>
      <t xml:space="preserve">37 TOTAL TRANSPORT EXPENSES </t>
    </r>
    <r>
      <rPr>
        <b/>
        <sz val="10"/>
        <rFont val="Arial"/>
        <family val="2"/>
      </rPr>
      <t>(Total of lines 30 to 36)</t>
    </r>
  </si>
  <si>
    <t>Supplies &amp; Services</t>
  </si>
  <si>
    <t>38 Equipment, Furniture &amp; Materials</t>
  </si>
  <si>
    <t>39 Catering</t>
  </si>
  <si>
    <t>40 Clothing, Uniforms &amp; Laundry</t>
  </si>
  <si>
    <t>41 Printing, Stationery and General Office Expenses</t>
  </si>
  <si>
    <t>42 Communications and Computing - Postage, Telephone, Computer Costs and Other</t>
  </si>
  <si>
    <t>46 Subsistence and Conference Expenses</t>
  </si>
  <si>
    <t>47 Subscriptions</t>
  </si>
  <si>
    <t>48 Insurance</t>
  </si>
  <si>
    <t>49 Schools' Non ICT Learning Resources</t>
  </si>
  <si>
    <t>50 Schools' ICT Learning Resources</t>
  </si>
  <si>
    <t>51 Exam Fees</t>
  </si>
  <si>
    <t>52 Other Supplies and Services Expenditure</t>
  </si>
  <si>
    <r>
      <t xml:space="preserve">53 TOTAL SUPPLIES &amp; SERVICES EXPENDITURE </t>
    </r>
    <r>
      <rPr>
        <b/>
        <sz val="10"/>
        <rFont val="Arial"/>
        <family val="2"/>
      </rPr>
      <t>(Total of lines 38 to 52)</t>
    </r>
  </si>
  <si>
    <t>Third Party Payments</t>
  </si>
  <si>
    <t>54 Joint Authorities and Other Local Authorities</t>
  </si>
  <si>
    <t>55 Payments to Voluntary Bodies</t>
  </si>
  <si>
    <t>56 Private Contractors and Other Agencies  -  Professional Services</t>
  </si>
  <si>
    <t>57 Private Contractors and Other Agencies  -  Agency Staff</t>
  </si>
  <si>
    <t>58 Private Contractors and Other Agencies  -  Other, incl to another local authority</t>
  </si>
  <si>
    <t>59 Internal Trading Organisations</t>
  </si>
  <si>
    <r>
      <t xml:space="preserve">60 TOTAL THIRD PARTY PAYMENTS </t>
    </r>
    <r>
      <rPr>
        <b/>
        <sz val="10"/>
        <rFont val="Arial"/>
        <family val="2"/>
      </rPr>
      <t>(Total of lines 54 to 59)</t>
    </r>
  </si>
  <si>
    <t>61 Total Transfer Payments (Discretionary)</t>
  </si>
  <si>
    <t>62 Expenditure on Management and Support Services</t>
  </si>
  <si>
    <r>
      <t xml:space="preserve">63 TOTAL Part B </t>
    </r>
    <r>
      <rPr>
        <b/>
        <sz val="10"/>
        <rFont val="Arial"/>
        <family val="2"/>
      </rPr>
      <t>(Total of lines 29, 37, 53, 60, 61 &amp; 62)</t>
    </r>
  </si>
  <si>
    <t>(Corresponds to RO Running Expenses &amp; Joint Arrangements)</t>
  </si>
  <si>
    <t>PART C - INCOME</t>
  </si>
  <si>
    <t>64 Rental Income</t>
  </si>
  <si>
    <t>65 Recharges</t>
  </si>
  <si>
    <t>66 All Other Income</t>
  </si>
  <si>
    <t>67 TOTAL Part C (Lines 64 to 66)</t>
  </si>
  <si>
    <t>1. Please give a breakdown of your levy income as reported on the RS line 722</t>
  </si>
  <si>
    <t>2. Please let your constituent LAs know of their figures to ensure same figures are reported on their forms.</t>
  </si>
  <si>
    <t>Integrated Transport Authority levy income breakdown</t>
  </si>
  <si>
    <t>Local Authority (LA)</t>
  </si>
  <si>
    <t>Levy income (positive figures)
 £ 000</t>
  </si>
  <si>
    <t>TOTAL</t>
  </si>
  <si>
    <t>WASTE DISPOSAL AUTHORITY ONLY</t>
  </si>
  <si>
    <t>1. Please give a breakdown of your levy income as reported on the RS line 724</t>
  </si>
  <si>
    <t>Waste Disposal Authority levy income breakdown</t>
  </si>
  <si>
    <t>Levy income (positive figures)
£ 000</t>
  </si>
  <si>
    <t>Additional information, comments and suggestions:</t>
  </si>
  <si>
    <t>The table below is for comments and explanations about your data. If the data that you enter triggers a validation warning, a link will appear to the relevant cell below.  This is so that you can explain why the figure is significantly different from what might be expected (eg compared to the previous year). Please provide explanations that give insight to what has changed in terms of service provision or delivery.  Such explanations are required so that the data has credibility.</t>
  </si>
  <si>
    <t>Line</t>
  </si>
  <si>
    <t>Form</t>
  </si>
  <si>
    <r>
      <t>Comments and Explanations</t>
    </r>
    <r>
      <rPr>
        <b/>
        <sz val="11"/>
        <rFont val="Arial"/>
        <family val="2"/>
      </rPr>
      <t xml:space="preserve"> </t>
    </r>
    <r>
      <rPr>
        <sz val="11"/>
        <rFont val="Arial"/>
        <family val="2"/>
      </rPr>
      <t>(please fill this in if there is a reason for a validation error in the form or anything you would like to highlight in the database)</t>
    </r>
  </si>
  <si>
    <t>RS-edu-net-exp</t>
  </si>
  <si>
    <t>RS</t>
  </si>
  <si>
    <t>Return to form</t>
  </si>
  <si>
    <t>RS-trans-net-exp</t>
  </si>
  <si>
    <t>RS-csc-net-exp</t>
  </si>
  <si>
    <t>RS-asc-net-exp</t>
  </si>
  <si>
    <t>RS-phs-net-exp</t>
  </si>
  <si>
    <t>RS-hous-net-exp</t>
  </si>
  <si>
    <t>RS-cul-net-exp</t>
  </si>
  <si>
    <t>RS-env-net-exp</t>
  </si>
  <si>
    <t>RS-plan-net-exp</t>
  </si>
  <si>
    <t>RS-pol-net-exp</t>
  </si>
  <si>
    <t>RS-frs-net-exp</t>
  </si>
  <si>
    <t>RS-cen-net-exp</t>
  </si>
  <si>
    <t>RS-oth-net-exp</t>
  </si>
  <si>
    <t>RS-totsx-net-exp</t>
  </si>
  <si>
    <t>RS-hbrent-net-exp</t>
  </si>
  <si>
    <t>RS-hbnreb-net-exp</t>
  </si>
  <si>
    <t>RS-hbhreb-net-exp</t>
  </si>
  <si>
    <t>RS-hbsubl-net-exp</t>
  </si>
  <si>
    <t>RS-hbhrashare-net-exp</t>
  </si>
  <si>
    <t>RS-parishaggprecept-net-exp</t>
  </si>
  <si>
    <t>RS-levyita-net-exp</t>
  </si>
  <si>
    <t>RS-levywaste-net-exp</t>
  </si>
  <si>
    <t>RS-levylonpen-net-exp</t>
  </si>
  <si>
    <t>RS-levyother-net-exp</t>
  </si>
  <si>
    <t>RS-tradaccext-net-exp</t>
  </si>
  <si>
    <t>RS-tradaccint-net-exp</t>
  </si>
  <si>
    <t>RS-tradcapext-net-exp</t>
  </si>
  <si>
    <t>RS-tradcapint-net-exp</t>
  </si>
  <si>
    <t>RS-accumul-net-exp</t>
  </si>
  <si>
    <t>RS-adjnce-net-exp</t>
  </si>
  <si>
    <t>RS-netcurrtot-net-exp</t>
  </si>
  <si>
    <t>RS-levyflood-net-exp</t>
  </si>
  <si>
    <t>RS-cera-net-exp</t>
  </si>
  <si>
    <t>RS-ceraph-net-exp</t>
  </si>
  <si>
    <t>RS-caprecflex-net-exp</t>
  </si>
  <si>
    <t>RS-adjexpcap-net-exp</t>
  </si>
  <si>
    <t>RS-provbad-net-exp</t>
  </si>
  <si>
    <t>RS-provprin-net-exp</t>
  </si>
  <si>
    <t>RS-leasing-net-exp</t>
  </si>
  <si>
    <t>RS-intextpay-net-exp</t>
  </si>
  <si>
    <t>RS-inthrapay-net-exp</t>
  </si>
  <si>
    <t>RS-sub-tot-net-exp</t>
  </si>
  <si>
    <t>RS-intinvinc-net-exp</t>
  </si>
  <si>
    <t>RS-inctma-net-exp</t>
  </si>
  <si>
    <t>RS-incnontma-net-exp</t>
  </si>
  <si>
    <t>RS-invprop-net-exp</t>
  </si>
  <si>
    <t>RS-dvdsubs-net-exp</t>
  </si>
  <si>
    <t>RS-dvdequ-net-exp</t>
  </si>
  <si>
    <t>RS-incjntvns-net-exp</t>
  </si>
  <si>
    <t>RS-intcaplns-net-exp</t>
  </si>
  <si>
    <t>RS-intrevlns-net-exp</t>
  </si>
  <si>
    <t>RS-incbnds-net-exp</t>
  </si>
  <si>
    <t>RS-incntmaoth-net-exp</t>
  </si>
  <si>
    <t>RS-pfidiff-net-exp</t>
  </si>
  <si>
    <t>RS-appfinadj-net-exp</t>
  </si>
  <si>
    <t>RS-appunequal-net-exp</t>
  </si>
  <si>
    <t>RS-grantoutaef-net-exp</t>
  </si>
  <si>
    <t>RS-brsupp-net-exp</t>
  </si>
  <si>
    <t>RS-levycil-net-exp</t>
  </si>
  <si>
    <t>RS-crcexp-net-exp</t>
  </si>
  <si>
    <t>RS-crcinc-net-exp</t>
  </si>
  <si>
    <t>RS-appdsgadj-net-exp</t>
  </si>
  <si>
    <t>RS-revenuetot-net-exp</t>
  </si>
  <si>
    <t>RS-grantlss-net-exp</t>
  </si>
  <si>
    <t>RS-grantinaef-net-exp</t>
  </si>
  <si>
    <t>RS-netrevexp-net-exp</t>
  </si>
  <si>
    <t>RS-trnsreorg-net-exp</t>
  </si>
  <si>
    <t>RS-appressch-net-exp</t>
  </si>
  <si>
    <t>RS-appresdsg-net-exp</t>
  </si>
  <si>
    <t>RS-appresph-net-exp</t>
  </si>
  <si>
    <t>RS-appresoth-net-exp</t>
  </si>
  <si>
    <t>RS-appresothearA-net-exp</t>
  </si>
  <si>
    <t>RS-appresothearC-net-exp</t>
  </si>
  <si>
    <t>RS-appresunall-net-exp</t>
  </si>
  <si>
    <t>RS-grantrsg-net-exp</t>
  </si>
  <si>
    <t>RS-grantpol-net-exp</t>
  </si>
  <si>
    <t>RS-retainnndr-net-exp</t>
  </si>
  <si>
    <t>RS-colfunct-net-exp</t>
  </si>
  <si>
    <t>RS-othinc-net-exp</t>
  </si>
  <si>
    <t>RS-ctrtot-net-exp</t>
  </si>
  <si>
    <t>RS-ressch-end-cy</t>
  </si>
  <si>
    <t>RS-resdsgadj-end-cy</t>
  </si>
  <si>
    <t>RS-resdsg-end-cy</t>
  </si>
  <si>
    <t>RS-resph-end-cy</t>
  </si>
  <si>
    <t>RS-resoth-end-cy</t>
  </si>
  <si>
    <t>RS-resothcont-end-cy</t>
  </si>
  <si>
    <t>RS-resothfut-end-cy</t>
  </si>
  <si>
    <t>RS-resothspec-end-cy</t>
  </si>
  <si>
    <t>RS-resothbdg-end-cy</t>
  </si>
  <si>
    <t>RS-resothoth-end-cy</t>
  </si>
  <si>
    <t>RS-resothexA-end-cy</t>
  </si>
  <si>
    <t>RS-resothexB-end-cy</t>
  </si>
  <si>
    <t>RS-resothexC-end-cy</t>
  </si>
  <si>
    <t>RS-resunall-end-cy</t>
  </si>
  <si>
    <t>RS-pyadj-start-cy</t>
  </si>
  <si>
    <t>RS-capdep-net-exp</t>
  </si>
  <si>
    <t>RS-caploss-net-exp</t>
  </si>
  <si>
    <t>RS-caplosslnsbs-net-exp</t>
  </si>
  <si>
    <t>RS-caplosslnsoth-net-exp</t>
  </si>
  <si>
    <t>RS-capreval-net-exp</t>
  </si>
  <si>
    <t>RS-capgninvprp-net-exp</t>
  </si>
  <si>
    <t>RS-capgneqsbsjv-net-exp</t>
  </si>
  <si>
    <t>RS-capgnothinv-net-exp</t>
  </si>
  <si>
    <t>RS-capgnfinderv-net-exp</t>
  </si>
  <si>
    <t>RS-capgrant-net-exp</t>
  </si>
  <si>
    <t>RS-caprecs-net-exp</t>
  </si>
  <si>
    <t>RS-captot-net-exp</t>
  </si>
  <si>
    <t>RS-equal-sch-net-exp</t>
  </si>
  <si>
    <t>RS-equal-oth-net-exp</t>
  </si>
  <si>
    <t>RS-ro-suite-confirm</t>
  </si>
  <si>
    <t>RS-hrainctot-net-tot-cst</t>
  </si>
  <si>
    <t>RS-hraexptot-net-tot-cst</t>
  </si>
  <si>
    <t>RS-hradiff-net-tot-cst</t>
  </si>
  <si>
    <t>RS-reshra-start</t>
  </si>
  <si>
    <t>RS-lctspen-net-exp</t>
  </si>
  <si>
    <t>RS-lctswa-net-exp</t>
  </si>
  <si>
    <t>RS-lctstot-net-exp</t>
  </si>
  <si>
    <t>RS-lctsparish-net-exp</t>
  </si>
  <si>
    <t>RSX-edu-net-cur-exp</t>
  </si>
  <si>
    <t>RSX</t>
  </si>
  <si>
    <t>RSX-trans-net-cur-exp</t>
  </si>
  <si>
    <t>RSX-csc-net-cur-exp</t>
  </si>
  <si>
    <t>RSX-asc-net-cur-exp</t>
  </si>
  <si>
    <t>RSX-phs-net-cur-exp</t>
  </si>
  <si>
    <t>RSX-hous-net-cur-exp</t>
  </si>
  <si>
    <t>RSX-cul-net-cur-exp</t>
  </si>
  <si>
    <t>RSX-env-net-cur-exp</t>
  </si>
  <si>
    <t>RSX-plan-net-cur-exp</t>
  </si>
  <si>
    <t>RSX-pol-net-cur-exp</t>
  </si>
  <si>
    <t>RSX-frs-net-cur-exp</t>
  </si>
  <si>
    <t>RSX-cen-net-cur-exp</t>
  </si>
  <si>
    <t>RSX-oth-net-cur-exp</t>
  </si>
  <si>
    <t>RSX-totsx-net-cur-exp</t>
  </si>
  <si>
    <t>RG-grantindsg-tot-grant</t>
  </si>
  <si>
    <t>RG</t>
  </si>
  <si>
    <t>RG-grantinppg-tot-grant</t>
  </si>
  <si>
    <t>RG-grantinusm-tot-grant</t>
  </si>
  <si>
    <t>RG-grantinph-tot-grant</t>
  </si>
  <si>
    <t>RG-grantinscs-tot-grant</t>
  </si>
  <si>
    <t>RG-grantinrsd-tot-grant</t>
  </si>
  <si>
    <t>RG-grantinibcf-tot-grant</t>
  </si>
  <si>
    <t>RG-grantinlts-tot-grant</t>
  </si>
  <si>
    <t>RG-grantinilf-tot-grant</t>
  </si>
  <si>
    <t>RG-grantinmkt-tot-grant</t>
  </si>
  <si>
    <t>RG-grantinsrvs-tot-grant</t>
  </si>
  <si>
    <t>RG-grantinfhs-tot-grant</t>
  </si>
  <si>
    <t>RG-grantinhbs-tot-grant</t>
  </si>
  <si>
    <t>RG-grantinnhb-tot-grant</t>
  </si>
  <si>
    <t>RG-grantinlcts-tot-grant</t>
  </si>
  <si>
    <t>RG-grantinpfi-tot-grant</t>
  </si>
  <si>
    <t>RG-grantinpolup-tot-grant</t>
  </si>
  <si>
    <t>RG-grantinoth-tot-grant</t>
  </si>
  <si>
    <t>RG-grantintot-tot-grant</t>
  </si>
  <si>
    <t>RG-grantoutacomm-tot-grant</t>
  </si>
  <si>
    <t>RG-grantoutsixth-tot-grant</t>
  </si>
  <si>
    <t>RG-grantouthbrent-tot-grant</t>
  </si>
  <si>
    <t>RG-grantouthbnreb-tot-grant</t>
  </si>
  <si>
    <t>RG-grantouthbhreb-tot-grant</t>
  </si>
  <si>
    <t>RG-grantoutoth-tot-grant</t>
  </si>
  <si>
    <t>RG-grantouttot-tot-grant</t>
  </si>
  <si>
    <t>RG-granttot-tot-grant</t>
  </si>
  <si>
    <t>RG-grantinoth-prm-spr-oth-tot-grant</t>
  </si>
  <si>
    <t>RG-grantinoth-prd-cs-oth-tot-grant</t>
  </si>
  <si>
    <t>RG-grantinoth-ks2-mm-oth-tot-grant</t>
  </si>
  <si>
    <t>RG-grantinoth-psc-oth-tot-grant</t>
  </si>
  <si>
    <t>RG-grantinoth-SEND-oth-tot-grant</t>
  </si>
  <si>
    <t>RG-grantinoth-spg-oth-tot-grant</t>
  </si>
  <si>
    <t>RG-grantinoth-met-rail-srv-oth-tot-grant</t>
  </si>
  <si>
    <t>RG-grantinoth-mrsy-trvl-oth-tot-grant</t>
  </si>
  <si>
    <t>RG-grantinoth-acc-fnd-oth-tot-grant</t>
  </si>
  <si>
    <t>RG-grantinoth-bso-oth-tot-grant</t>
  </si>
  <si>
    <t>RG-grantinoth-bba-oth-tot-grant</t>
  </si>
  <si>
    <t>RG-grantinoth-lcl-rfrm-oth-tot-grant</t>
  </si>
  <si>
    <t>RG-grantinoth-hb-rfr-oth-tot-grant</t>
  </si>
  <si>
    <t>RG-grantinoth-sfa-oth-tot-grant</t>
  </si>
  <si>
    <t>RG-grantinoth-cnt-trlblz-oth-tot-grant</t>
  </si>
  <si>
    <t>RG-grantinoth-ngh-pln-oth-tot-grant</t>
  </si>
  <si>
    <t>RG-grantinoth-gla-stt-oth-tot-grant</t>
  </si>
  <si>
    <t>RG-grantinoth-prv-rps-oth-tot-grant</t>
  </si>
  <si>
    <t>RG-grantinoth-crt-dsk-oth-tot-grant</t>
  </si>
  <si>
    <t>RG-grantinoth-cap-cst-oth-tot-grant</t>
  </si>
  <si>
    <t>RG-grantinoth-dfr-pym-oth-tot-grant</t>
  </si>
  <si>
    <t>RG-grantinoth-trb-fml-oth-tot-grant</t>
  </si>
  <si>
    <t>RG-grantinoth-cst-cmm-oth-tot-grant</t>
  </si>
  <si>
    <t>RG-grantinoth-nhb-oth-tot-grant</t>
  </si>
  <si>
    <t>RG-grantinoth-frg-oth-tot-grant</t>
  </si>
  <si>
    <t>RG-grantinoth-ct-spp-oth-tot-grant</t>
  </si>
  <si>
    <t>RG-grantinoth-wkl-cll-oth-tot-grant</t>
  </si>
  <si>
    <t>RG-grantinoth-dpp-oth-tot-grant</t>
  </si>
  <si>
    <t>RG-grantinoth-icp-oth-tot-grant</t>
  </si>
  <si>
    <t>RG-grantinoth-crc-oth-tot-grant</t>
  </si>
  <si>
    <t>RG-grantinoth-crb-oth-tot-grant</t>
  </si>
  <si>
    <t>RG-grantinoth-lashf-oth-tot-grant</t>
  </si>
  <si>
    <t>RG-grantinoth-cpa-oth-tot-grant</t>
  </si>
  <si>
    <t>RG-grantinoth-ntn-prk-oth-tot-grant</t>
  </si>
  <si>
    <t>RG-grantinoth-cra-oth-tot-grant</t>
  </si>
  <si>
    <t>RG-grantinoth-wtr-rgl-oth-tot-grant</t>
  </si>
  <si>
    <t>RG-grantinoth-asy-oth-tot-grant</t>
  </si>
  <si>
    <t>RG-grantinoth-ct-oth-tot-grant</t>
  </si>
  <si>
    <t>RG-grantinoth-pol-if-oth-tot-grant</t>
  </si>
  <si>
    <t>RG-grantinoth-hpis-oth-tot-grant</t>
  </si>
  <si>
    <t>RG-grantinoth1-name-oth-tot-grant</t>
  </si>
  <si>
    <t>RG-grantinoth2-name-oth-tot-grant</t>
  </si>
  <si>
    <t>RG-grantinoth3-name-oth-tot-grant</t>
  </si>
  <si>
    <t>RG-grantinoth4-name-oth-tot-grant</t>
  </si>
  <si>
    <t>RG-grantinoth5-name-oth-tot-grant</t>
  </si>
  <si>
    <t>RG-grantinoth6-name-oth-tot-grant</t>
  </si>
  <si>
    <t>RG-grantinoth7-name-oth-tot-grant</t>
  </si>
  <si>
    <t>RG-grantinoth8-name-oth-tot-grant</t>
  </si>
  <si>
    <t>RG-grantinoth9-name-oth-tot-grant</t>
  </si>
  <si>
    <t>RG-grantinoth10-name-oth-tot-grant</t>
  </si>
  <si>
    <t>RG-grantinoth11-name-oth-tot-grant</t>
  </si>
  <si>
    <t>RG-grantinoth12-name-oth-tot-grant</t>
  </si>
  <si>
    <t>RG-grantinoth13-name-oth-tot-grant</t>
  </si>
  <si>
    <t>RG-grantinoth14-name-oth-tot-grant</t>
  </si>
  <si>
    <t>RG-grantinoth15-name-oth-tot-grant</t>
  </si>
  <si>
    <t>RG-grantinoth16-name-oth-tot-grant</t>
  </si>
  <si>
    <t>RG-grantinoth17-name-oth-tot-grant</t>
  </si>
  <si>
    <t>RG-grantinoth18-name-oth-tot-grant</t>
  </si>
  <si>
    <t>RG-grantinoth19-name-oth-tot-grant</t>
  </si>
  <si>
    <t>RG-grantinoth20-name-oth-tot-grant</t>
  </si>
  <si>
    <t>RG-grantinoth21-name-oth-tot-grant</t>
  </si>
  <si>
    <t>RG-grantinoth22-name-oth-tot-grant</t>
  </si>
  <si>
    <t>RG-grantinoth23-name-oth-tot-grant</t>
  </si>
  <si>
    <t>RG-grantinoth24-name-oth-tot-grant</t>
  </si>
  <si>
    <t>RG-grantinoth25-name-oth-tot-grant</t>
  </si>
  <si>
    <t>RG-grantinoth26-name-oth-tot-grant</t>
  </si>
  <si>
    <t>RG-grantinoth27-name-oth-tot-grant</t>
  </si>
  <si>
    <t>RG-grantinothadd-name-oth-tot-grant</t>
  </si>
  <si>
    <t>RG-grantinoth-tot-oth-tot-grant</t>
  </si>
  <si>
    <t>RG-grantoth-1619-brs-oth-tot-grant</t>
  </si>
  <si>
    <t>RG-grantoth-dhp-oth-tot-grant</t>
  </si>
  <si>
    <t>RG-grantoth-hous-urb-dvlp-oth-tot-grant</t>
  </si>
  <si>
    <t>RG-grantoth-lcl-ent-prtn-oth-tot-grant</t>
  </si>
  <si>
    <t>RG-grantoth-aonb-oth-tot-grant</t>
  </si>
  <si>
    <t>RG-grantoth-feffa-oth-tot-grant</t>
  </si>
  <si>
    <t>RG-grantoth-hefce-oth-tot-grant</t>
  </si>
  <si>
    <t>RG-grantoth-rgf-oth-tot-grant</t>
  </si>
  <si>
    <t>RG-grantoutoth1-name-oth-tot-grant</t>
  </si>
  <si>
    <t>RG-grantoutoth2-name-oth-tot-grant</t>
  </si>
  <si>
    <t>RG-grantoutoth3-name-oth-tot-grant</t>
  </si>
  <si>
    <t>RG-grantoutoth4-name-oth-tot-grant</t>
  </si>
  <si>
    <t>RG-grantoutoth5-name-oth-tot-grant</t>
  </si>
  <si>
    <t>RG-grantoutoth6-name-oth-tot-grant</t>
  </si>
  <si>
    <t>RG-grantoutoth7-name-oth-tot-grant</t>
  </si>
  <si>
    <t>RG-grantoutoth8-name-oth-tot-grant</t>
  </si>
  <si>
    <t>RG-grantoutoth9-name-oth-tot-grant</t>
  </si>
  <si>
    <t>RG-grantoutoth10-name-oth-tot-grant</t>
  </si>
  <si>
    <t>RG-grantoutoth11-name-oth-tot-grant</t>
  </si>
  <si>
    <t>RG-grantoutoth12-name-oth-tot-grant</t>
  </si>
  <si>
    <t>RG-grantoutoth13-name-oth-tot-grant</t>
  </si>
  <si>
    <t>RG-grantoutoth14-name-oth-tot-grant</t>
  </si>
  <si>
    <t>RG-grantoutoth15-name-oth-tot-grant</t>
  </si>
  <si>
    <t>RG-grantoutoth16-name-oth-tot-grant</t>
  </si>
  <si>
    <t>RG-grantoutothadd-name-oth-tot-grant</t>
  </si>
  <si>
    <t>RG-grantoutoth-tot-oth-tot-grant</t>
  </si>
  <si>
    <t>RO1-eduerl-net-cur-exp</t>
  </si>
  <si>
    <t>RO1</t>
  </si>
  <si>
    <t>RO1-eduprm-net-cur-exp</t>
  </si>
  <si>
    <t>RO1-eduscn-net-cur-exp</t>
  </si>
  <si>
    <t>RO1-eduspc-net-cur-exp</t>
  </si>
  <si>
    <t>RO1-edupst-net-cur-exp</t>
  </si>
  <si>
    <t>RO1-eduoth-net-cur-exp</t>
  </si>
  <si>
    <t>RO1-edutot-net-cur-exp</t>
  </si>
  <si>
    <t>RO1-edusvmem-run-exp</t>
  </si>
  <si>
    <t>RO2-transpln-hghwys-mnt-net-cur-exp</t>
  </si>
  <si>
    <t>RO2</t>
  </si>
  <si>
    <t>RO2-transpln-pub-oth-net-cur-exp</t>
  </si>
  <si>
    <t>RO2-transrdsmnt-prn-rds-net-cur-exp</t>
  </si>
  <si>
    <t>RO2-transrdsmnt-oth-rds-net-cur-exp</t>
  </si>
  <si>
    <t>RO2-transrdsmnt-brd-net-cur-exp</t>
  </si>
  <si>
    <t>RO2-transrdsenv-prn-rds-net-cur-exp</t>
  </si>
  <si>
    <t>RO2-transrdsenv-oth-rds-net-cur-exp</t>
  </si>
  <si>
    <t>RO2-transrdswnt-net-cur-exp</t>
  </si>
  <si>
    <t>RO2-transrdslgh-net-cur-exp</t>
  </si>
  <si>
    <t>RO2-transrdstrfcng-net-cur-exp</t>
  </si>
  <si>
    <t>RO2-transrdstrfbs-net-cur-exp</t>
  </si>
  <si>
    <t>RO2-transrdstrfsft-net-cur-exp</t>
  </si>
  <si>
    <t>RO2-transrdstrfoth-net-cur-exp</t>
  </si>
  <si>
    <t>RO2-transprk-on-str-prk-net-cur-exp</t>
  </si>
  <si>
    <t>RO2-transprk-off-str-prk-net-cur-exp</t>
  </si>
  <si>
    <t>RO2-transpblstt-net-cur-exp</t>
  </si>
  <si>
    <t>RO2-transpbldsc-net-cur-exp</t>
  </si>
  <si>
    <t>RO2-transpblopr-bus-net-cur-exp</t>
  </si>
  <si>
    <t>RO2-transpblopr-rail-net-cur-exp</t>
  </si>
  <si>
    <t>RO2-transpblopr-oth-net-cur-exp</t>
  </si>
  <si>
    <t>RO2-transpblcrd-net-cur-exp</t>
  </si>
  <si>
    <t>RO2-transaht-net-cur-exp</t>
  </si>
  <si>
    <t>RO2-transtot-net-cur-exp</t>
  </si>
  <si>
    <t>RO2-transthrprtlbtclm-str-mnt-net-cur-exp</t>
  </si>
  <si>
    <t>RO2-transpubsupopr-pym-bus-net-cur-exp</t>
  </si>
  <si>
    <t>RO2-transpubsupopr-pym-rail-net-cur-exp</t>
  </si>
  <si>
    <t>RO2-transpubsupopr-pym-oth-net-cur-exp</t>
  </si>
  <si>
    <t>RO2-transunpptcmnt-env-prn-rds-run-exp</t>
  </si>
  <si>
    <t>RO2-transunpptcmnt-env-oth-rds-run-exp</t>
  </si>
  <si>
    <t>RO2-transonstrfeechr-on-str-prk-pcn-sfc</t>
  </si>
  <si>
    <t>RO2-transonstrfeechr-on-str-prk-oth-sfc</t>
  </si>
  <si>
    <t>RO2-transjntarrmnt-str-mnt-prn-rds-oth-inc</t>
  </si>
  <si>
    <t>RO2-transjntarrmnt-str-mnt-oth-rds-oth-inc</t>
  </si>
  <si>
    <t>RO2-transjntarrmnt-env-mnt-prn-rds-oth-inc</t>
  </si>
  <si>
    <t>RO2-transjntarrmnt-env-mnt-oth-rds-oth-inc</t>
  </si>
  <si>
    <t>RO2-transsvmem-run-exp</t>
  </si>
  <si>
    <t>RO3-cscsr-net-cur-exp</t>
  </si>
  <si>
    <t>RO3</t>
  </si>
  <si>
    <t>RO3-csclkd-net-cur-exp</t>
  </si>
  <si>
    <t>RO3-cscoth-net-cur-exp</t>
  </si>
  <si>
    <t>RO3-csclkdres-net-cur-exp</t>
  </si>
  <si>
    <t>RO3-csclkdfos-net-cur-exp</t>
  </si>
  <si>
    <t>RO3-csclkdasy-net-cur-exp</t>
  </si>
  <si>
    <t>RO3-csclkdoth-net-cur-exp</t>
  </si>
  <si>
    <t>RO3-cscfml-net-cur-exp</t>
  </si>
  <si>
    <t>RO3-cscyth-net-cur-exp</t>
  </si>
  <si>
    <t>RO3-cscsfg-net-cur-exp</t>
  </si>
  <si>
    <t>RO3-cscasy-net-cur-exp</t>
  </si>
  <si>
    <t>RO3-cscsrv-net-cur-exp</t>
  </si>
  <si>
    <t>RO3-csctot-net-cur-exp</t>
  </si>
  <si>
    <t>RO3-cscsvmem-run-exp</t>
  </si>
  <si>
    <t>RO3-ascphyadl-net-cur-exp</t>
  </si>
  <si>
    <t>RO3-ascphyold-net-cur-exp</t>
  </si>
  <si>
    <t>RO3-ascsnsadl-net-cur-exp</t>
  </si>
  <si>
    <t>RO3-ascsnsold-net-cur-exp</t>
  </si>
  <si>
    <t>RO3-ascmmradl-net-cur-exp</t>
  </si>
  <si>
    <t>RO3-ascmmrold-net-cur-exp</t>
  </si>
  <si>
    <t>RO3-asclrnadl-net-cur-exp</t>
  </si>
  <si>
    <t>RO3-asclrnold-net-cur-exp</t>
  </si>
  <si>
    <t>RO3-ascmntadl-net-cur-exp</t>
  </si>
  <si>
    <t>RO3-ascmntold-net-cur-exp</t>
  </si>
  <si>
    <t>RO3-ascsclsbs-net-cur-exp</t>
  </si>
  <si>
    <t>RO3-ascsclasy-net-cur-exp</t>
  </si>
  <si>
    <t>RO3-ascsclisl-net-cur-exp</t>
  </si>
  <si>
    <t>RO3-ascsclcrr-net-cur-exp</t>
  </si>
  <si>
    <t>RO3-ascass-net-cur-exp</t>
  </si>
  <si>
    <t>RO3-asccrasssfg-net-cur-exp</t>
  </si>
  <si>
    <t>RO3-ascinf-net-cur-exp</t>
  </si>
  <si>
    <t>RO3-asccmstad-net-cur-exp</t>
  </si>
  <si>
    <t>RO3-ascdsbcr-net-cur-exp</t>
  </si>
  <si>
    <t>RO3-ascothnondsbcr-net-cur-exp</t>
  </si>
  <si>
    <t>RO3-asctot-net-cur-exp</t>
  </si>
  <si>
    <t>RO3-ascsvmem-run-exp</t>
  </si>
  <si>
    <t>RO3-phsxlsti-net-cur-exp</t>
  </si>
  <si>
    <t>RO3-phsxlcnt-net-cur-exp</t>
  </si>
  <si>
    <t>RO3-phsxlprm-net-cur-exp</t>
  </si>
  <si>
    <t>RO3-phhcp-net-cur-exp</t>
  </si>
  <si>
    <t>RO3-phprt-net-cur-exp</t>
  </si>
  <si>
    <t>RO3-phcmp-net-cur-exp</t>
  </si>
  <si>
    <t>RO3-phadv-net-cur-exp</t>
  </si>
  <si>
    <t>RO3-phobsadl-net-cur-exp</t>
  </si>
  <si>
    <t>RO3-phobschl-net-cur-exp</t>
  </si>
  <si>
    <t>RO3-phphyadl-net-cur-exp</t>
  </si>
  <si>
    <t>RO3-phphychl-net-cur-exp</t>
  </si>
  <si>
    <t>RO3-phsbstrtdrg-net-cur-exp</t>
  </si>
  <si>
    <t>RO3-phsbstrtalc-net-cur-exp</t>
  </si>
  <si>
    <t>RO3-phsbsprvdrg-net-cur-exp</t>
  </si>
  <si>
    <t>RO3-phsbsprvalc-net-cur-exp</t>
  </si>
  <si>
    <t>RO3-phsbsspc-net-cur-exp</t>
  </si>
  <si>
    <t>RO3-phsmkstp-net-cur-exp</t>
  </si>
  <si>
    <t>RO3-phsmkcnt-net-cur-exp</t>
  </si>
  <si>
    <t>RO3-phchl-net-cur-exp</t>
  </si>
  <si>
    <t>RO3-phbbymnd-net-cur-exp</t>
  </si>
  <si>
    <t>RO3-phbbyoth-net-cur-exp</t>
  </si>
  <si>
    <t>RO3-phwrk-net-cur-exp</t>
  </si>
  <si>
    <t>RO3-phmnt-net-cur-exp</t>
  </si>
  <si>
    <t>RO3-phmsc-net-cur-exp</t>
  </si>
  <si>
    <t>RO3-phttt-net-cur-exp</t>
  </si>
  <si>
    <t>RO3-phcvd19-net-cur-exp</t>
  </si>
  <si>
    <t>RO3-phtot-net-cur-exp</t>
  </si>
  <si>
    <t>RO3-phsvmem-run-exp</t>
  </si>
  <si>
    <t>RO3-phsup-anc-exp-csc-net-cur-exp</t>
  </si>
  <si>
    <t>RO3-phprmcarservprov-gp-net-cur-exp</t>
  </si>
  <si>
    <t>RO3-phprmcarservprov-dent-net-cur-exp</t>
  </si>
  <si>
    <t>RO3-phprmcarservprov-pharm-net-cur-exp</t>
  </si>
  <si>
    <t>RO3-phprmcarservprov-eye-net-cur-exp</t>
  </si>
  <si>
    <t>RO3-phsup-anc-exp-asc-net-cur-exp</t>
  </si>
  <si>
    <t>RO4-housgfcfstr-hous-str-adv-enb-net-cur-exp</t>
  </si>
  <si>
    <t>RO4</t>
  </si>
  <si>
    <t>RO4-housgfcfstr-hous-adv-net-cur-exp</t>
  </si>
  <si>
    <t>RO4-housprvsecrnw-adm-rpr-imp-net-cur-exp</t>
  </si>
  <si>
    <t>RO4-housprvsecrnw-oth-net-cur-exp</t>
  </si>
  <si>
    <t>RO4-housgfcfhml-ngt-prv-mng-acc-net-cur-exp</t>
  </si>
  <si>
    <t>RO4-housgfcfhml-prv-acc-lsd-net-cur-exp</t>
  </si>
  <si>
    <t>RO4-housgfcfhml-hst-incl-rcpt-net-cur-exp</t>
  </si>
  <si>
    <t>RO4-housgfcfhml-bb-htls-net-cur-exp</t>
  </si>
  <si>
    <t>RO4-housgfcfhml-la-ha-stk-net-cur-exp</t>
  </si>
  <si>
    <t>RO4-housgfcfhml-any-oth-temp-acc-net-cur-exp</t>
  </si>
  <si>
    <t>RO4-housgfcfhml-tmp-acc-adm-net-cur-exp</t>
  </si>
  <si>
    <t>RO4-housgfcfhml-hml-rdct-act-net-cur-exp</t>
  </si>
  <si>
    <t>RO4-housgfcfhml-non-hml-rdct-act-run-net-cur-exp</t>
  </si>
  <si>
    <t>RO4-housgfcfhml-hml-tot-net-cur-exp</t>
  </si>
  <si>
    <t>RO4-housgfcfbnf-rnt-all-dsp-net-cur-exp</t>
  </si>
  <si>
    <t>RO4-housgfcfbnf-non-hra-rbt-dsp-net-cur-exp</t>
  </si>
  <si>
    <t>RO4-housgfcfbnf-rnt-rbt-hra-dsp-net-cur-exp</t>
  </si>
  <si>
    <t>RO4-housgfcfbnfadm-net-cur-exp</t>
  </si>
  <si>
    <t>RO4-housgfcfcnc-net-cur-exp</t>
  </si>
  <si>
    <t>RO4-housgfcfwlfspp-net-cur-exp</t>
  </si>
  <si>
    <t>RO4-housgfcfwlfoth-net-cur-exp</t>
  </si>
  <si>
    <t>RO4-housgfcftot-net-cur-exp</t>
  </si>
  <si>
    <t>RO4-housgsvmem-run-exp</t>
  </si>
  <si>
    <t>RO4-hraincdwell-net-tot-cst</t>
  </si>
  <si>
    <t>RO4-hraincnondwell-net-tot-cst</t>
  </si>
  <si>
    <t>RO4-hrainctenants-net-tot-cst</t>
  </si>
  <si>
    <t>RO4-hrainccnt-net-tot-cst</t>
  </si>
  <si>
    <t>RO4-hraincgrant-net-tot-cst</t>
  </si>
  <si>
    <t>RO4-hraincintinv-net-tot-cst</t>
  </si>
  <si>
    <t>RO4-hrainctrnsgf-net-tot-cst</t>
  </si>
  <si>
    <t>RO4-hrainctrnsmrr-net-tot-cst</t>
  </si>
  <si>
    <t>RO4-hraincaccumul-net-tot-cst</t>
  </si>
  <si>
    <t>RO4-hrainctot-net-tot-cst</t>
  </si>
  <si>
    <t>RO4-hraexprepair-net-tot-cst</t>
  </si>
  <si>
    <t>RO4-hraexpsupervise-net-tot-cst</t>
  </si>
  <si>
    <t>RO4-hraexpspecial-net-tot-cst</t>
  </si>
  <si>
    <t>RO4-hraexprents-net-tot-cst</t>
  </si>
  <si>
    <t>RO4-hraexpintpay-net-tot-cst</t>
  </si>
  <si>
    <t>RO4-hraexpdebtrepay-net-tot-cst</t>
  </si>
  <si>
    <t>RO4-hraexpcera-net-tot-cst</t>
  </si>
  <si>
    <t>RO4-hraexpdebtman-net-tot-cst</t>
  </si>
  <si>
    <t>RO4-hraexptrnsgf-net-tot-cst</t>
  </si>
  <si>
    <t>RO4-hraexptrnsmrr-net-tot-cst</t>
  </si>
  <si>
    <t>RO4-hraexpprovbad-net-tot-cst</t>
  </si>
  <si>
    <t>RO4-hraexptot-net-tot-cst</t>
  </si>
  <si>
    <t>RO4-hradiff-net-tot-cst</t>
  </si>
  <si>
    <t>RO4-reshra-start-cy</t>
  </si>
  <si>
    <t>RO5-culhrtarc-empl</t>
  </si>
  <si>
    <t>RO5</t>
  </si>
  <si>
    <t>RO5-culhrt-art-dvl-spp-empl</t>
  </si>
  <si>
    <t>RO5-culhrt-hrt-empl</t>
  </si>
  <si>
    <t>RO5-culhrt-msm-gll-empl</t>
  </si>
  <si>
    <t>RO5-culhrt-tht-pbl-ent-empl</t>
  </si>
  <si>
    <t>RO5-culspr-cmm-cen-pub-hll-empl</t>
  </si>
  <si>
    <t>RO5-culspr-frs-empl</t>
  </si>
  <si>
    <t>RO5-culspr-spr-dvl-cmm-rec-empl</t>
  </si>
  <si>
    <t>RO5-culspr-spr-lsr-fcl-empl</t>
  </si>
  <si>
    <t>RO5-culprk-opn-empl</t>
  </si>
  <si>
    <t>RO5-culall-empl</t>
  </si>
  <si>
    <t>RO5-cultrs-empl</t>
  </si>
  <si>
    <t>RO5-cullib-empl</t>
  </si>
  <si>
    <t>RO5-cultot-empl</t>
  </si>
  <si>
    <t>RO5-culsvmem-run-exp</t>
  </si>
  <si>
    <t>RO5-envcmt-empl</t>
  </si>
  <si>
    <t>RO5-envrgltrd-empl</t>
  </si>
  <si>
    <t>RO5-envrglenvwtr-empl</t>
  </si>
  <si>
    <t>RO5-envrglenvfd-empl</t>
  </si>
  <si>
    <t>RO5-envrglenvenv-empl</t>
  </si>
  <si>
    <t>RO5-envrglenvhsn-empl</t>
  </si>
  <si>
    <t>RO5-envrglenvhs-empl</t>
  </si>
  <si>
    <t>RO5-envrglenvprtxlvs-empl</t>
  </si>
  <si>
    <t>RO5-envrglenvprtlvs-empl</t>
  </si>
  <si>
    <t>RO5-envrglenvpst-empl</t>
  </si>
  <si>
    <t>RO5-envrglenvtlt-empl</t>
  </si>
  <si>
    <t>RO5-envrglenvanm-empl</t>
  </si>
  <si>
    <t>RO5-envrglenvlcn-empl</t>
  </si>
  <si>
    <t>RO5-envcmmcrm-empl</t>
  </si>
  <si>
    <t>RO5-envcmmsft-empl</t>
  </si>
  <si>
    <t>RO5-envcmmcct-empl</t>
  </si>
  <si>
    <t>RO5-envfldfld-empl</t>
  </si>
  <si>
    <t>RO5-envflddrn-empl</t>
  </si>
  <si>
    <t>RO5-envflddrnlev-empl</t>
  </si>
  <si>
    <t>RO5-envcst-empl</t>
  </si>
  <si>
    <t>RO5-envagr-empl</t>
  </si>
  <si>
    <t>RO5-envstr-empl</t>
  </si>
  <si>
    <t>RO5-envcll-empl</t>
  </si>
  <si>
    <t>RO5-envdsp-empl</t>
  </si>
  <si>
    <t>RO5-envtrd-empl</t>
  </si>
  <si>
    <t>RO5-envrcy-empl</t>
  </si>
  <si>
    <t>RO5-envmin-empl</t>
  </si>
  <si>
    <t>RO5-envclm-empl</t>
  </si>
  <si>
    <t>RO5-envtot-empl</t>
  </si>
  <si>
    <t>RO5-envsvmem-run-exp</t>
  </si>
  <si>
    <t>RO5-planbld-empl</t>
  </si>
  <si>
    <t>RO5-plandvl-empl</t>
  </si>
  <si>
    <t>RO5-planplc-cns-lst-bld-empl</t>
  </si>
  <si>
    <t>RO5-planplc-oth-empl</t>
  </si>
  <si>
    <t>RO5-planenv-empl</t>
  </si>
  <si>
    <t>RO5-planecndev-empl</t>
  </si>
  <si>
    <t>RO5-planecnrsr-empl</t>
  </si>
  <si>
    <t>RO5-planbsn-empl</t>
  </si>
  <si>
    <t>RO5-plancmm-empl</t>
  </si>
  <si>
    <t>RO5-plantot-empl</t>
  </si>
  <si>
    <t>RO5-plansvmem-run-exp</t>
  </si>
  <si>
    <t>RO5-culenvplantot-empl</t>
  </si>
  <si>
    <t>RO5-culenvplantotmem-run-exp</t>
  </si>
  <si>
    <t>RO6-poltot-empl</t>
  </si>
  <si>
    <t>RO6</t>
  </si>
  <si>
    <t>RO6-polsvmem-run-exp</t>
  </si>
  <si>
    <t>RO6-frs-cmm-fs-empl</t>
  </si>
  <si>
    <t>RO6-frs-ffr-opr-empl</t>
  </si>
  <si>
    <t>RO6-frs-frs-emr-pln-empl</t>
  </si>
  <si>
    <t>RO6-frstot-empl</t>
  </si>
  <si>
    <t>RO6-frssvmem-run-exp</t>
  </si>
  <si>
    <t>RO6-cencrp-empl</t>
  </si>
  <si>
    <t>RO6-centax-cll-empl</t>
  </si>
  <si>
    <t>RO6-centaxdsc-prm-pym-empl</t>
  </si>
  <si>
    <t>RO6-centaxdsc-empl</t>
  </si>
  <si>
    <t>RO6-centaxadm-empl</t>
  </si>
  <si>
    <t>RO6-centaxoth-non-dms-cll-empl</t>
  </si>
  <si>
    <t>RO6-centaxoth-bid-bll-empl</t>
  </si>
  <si>
    <t>RO6-cencntbrt-dth-mrr-empl</t>
  </si>
  <si>
    <t>RO6-cencnt-rgs-elc-empl</t>
  </si>
  <si>
    <t>RO6-cencnt-cnd-elc-empl</t>
  </si>
  <si>
    <t>RO6-cenemr-empl</t>
  </si>
  <si>
    <t>RO6-cencnt-lcl-lnd-chr-empl</t>
  </si>
  <si>
    <t>RO6-cencnt-lcl-wlf-empl</t>
  </si>
  <si>
    <t>RO6-cencnt-gnr-bqs-dnt-empl</t>
  </si>
  <si>
    <t>RO6-cencrn-empl</t>
  </si>
  <si>
    <t>RO6-cencrtoth-empl</t>
  </si>
  <si>
    <t>RO6-cenndcrtr-empl</t>
  </si>
  <si>
    <t>RO6-cenndcit-empl</t>
  </si>
  <si>
    <t>RO6-cenndcsrp-empl</t>
  </si>
  <si>
    <t>RO6-cennd-mng-spp-empl</t>
  </si>
  <si>
    <t>RO6-centot-empl</t>
  </si>
  <si>
    <t>RO6-censvmem-run-exp</t>
  </si>
  <si>
    <t>RO6-cennd-rch-cen-oth-inc</t>
  </si>
  <si>
    <t>RO6-cennd-rch-gfra-oth-inc</t>
  </si>
  <si>
    <t>RO6-cennd-rch-cen-gov-oth-inc</t>
  </si>
  <si>
    <t>RO6-cennd-rch-oth-acc-oth-inc</t>
  </si>
  <si>
    <t>RO6-cennd-oth-oth-inc</t>
  </si>
  <si>
    <t>RO6-cenothtot-empl</t>
  </si>
  <si>
    <t>RO6-cenothsvmem-run-exp</t>
  </si>
  <si>
    <t>RO6-cenoth1-n cenoth1-empl</t>
  </si>
  <si>
    <t>RO6-cenoth2-n cenoth2-empl</t>
  </si>
  <si>
    <t>RO6-cenoth3-n cenoth3-empl</t>
  </si>
  <si>
    <t>RO6-cenoth4-n cenoth4-empl</t>
  </si>
  <si>
    <t>RO6-cenoth5-n cenoth5-empl</t>
  </si>
  <si>
    <t>RO6-cenoth6-n cenoth6-empl</t>
  </si>
  <si>
    <t>RO6-cenoth7-n cenoth7-empl</t>
  </si>
  <si>
    <t>RO6-cenoth8-n cenoth8-empl</t>
  </si>
  <si>
    <t>RO6-cenoth9-n cenoth9-empl</t>
  </si>
  <si>
    <t>RO6-cenoth10-n cenoth10-empl</t>
  </si>
  <si>
    <t>RO6-cenoth11-n cenoth11-empl</t>
  </si>
  <si>
    <t>RO6-cenoth12-n cenoth12-empl</t>
  </si>
  <si>
    <t>RO6-cenoth13-n cenoth13-empl</t>
  </si>
  <si>
    <t>RO6-cenoth14-n cenoth14-empl</t>
  </si>
  <si>
    <t>RO6-cenoth15-n cenoth15-empl</t>
  </si>
  <si>
    <t>RO6-cenoth16-n cenoth16-empl</t>
  </si>
  <si>
    <t>RO6-cenoth17-n cenoth17-empl</t>
  </si>
  <si>
    <t>RO6-cenoth18-n cenoth18-empl</t>
  </si>
  <si>
    <t>RO6-cenoth19-n cenoth19-empl</t>
  </si>
  <si>
    <t>RO6-cenoth20-n cenoth20-empl</t>
  </si>
  <si>
    <t>RO6-centoth-tot-empl</t>
  </si>
  <si>
    <t>TSR-tradaccext-car-prk-SurDef</t>
  </si>
  <si>
    <t>TSR</t>
  </si>
  <si>
    <t>TSR-tradaccext-arp-SurDef</t>
  </si>
  <si>
    <t>TSR-tradaccext-prt-SurDef</t>
  </si>
  <si>
    <t>TSR-tradaccext-prs-SurDef</t>
  </si>
  <si>
    <t>TSR-tradaccext-tbr-SurDef</t>
  </si>
  <si>
    <t>TSR-tradaccext-msm-SurDef</t>
  </si>
  <si>
    <t>TSR-tradaccext-tht-SurDef</t>
  </si>
  <si>
    <t>TSR-tradaccext-cvc-hll-SurDef</t>
  </si>
  <si>
    <t>TSR-tradaccext-cvc-rst-SurDef</t>
  </si>
  <si>
    <t>TSR-tradaccext-spr-fcl-SurDef</t>
  </si>
  <si>
    <t>TSR-tradaccext-crm-SurDef</t>
  </si>
  <si>
    <t>TSR-tradaccext-fsh-hrb-SurDef</t>
  </si>
  <si>
    <t>TSR-tradaccext-trd-wst-SurDef</t>
  </si>
  <si>
    <t>TSR-tradaccext-bld-cnt-SurDef</t>
  </si>
  <si>
    <t>TSR-tradaccext-crp-est-SurDef</t>
  </si>
  <si>
    <t>TSR-tradaccext-ind-est-SurDef</t>
  </si>
  <si>
    <t>TSR-tradaccext-inv-prp-SurDef</t>
  </si>
  <si>
    <t>TSR-tradaccext-mrk-und-SurDef</t>
  </si>
  <si>
    <t>TSR-tradaccextoth1-n tradaccextoth1-SurDef</t>
  </si>
  <si>
    <t>TSR-tradaccextoth2-n tradaccextoth2-SurDef</t>
  </si>
  <si>
    <t>TSR-tradaccextoth3-n tradaccextoth3-SurDef</t>
  </si>
  <si>
    <t>TSR-tradaccextoth4-n tradaccextoth4-SurDef</t>
  </si>
  <si>
    <t>TSR-tradaccextoth5-n tradaccextoth5-SurDef</t>
  </si>
  <si>
    <t>TSR-tradaccext-SurDef-excl-Cap</t>
  </si>
  <si>
    <t>TSR-captot-ext</t>
  </si>
  <si>
    <t>TSR-tradcapext-SurDef-incl-Cap</t>
  </si>
  <si>
    <t>TSR-tradaccint-adm-edu-SurDef</t>
  </si>
  <si>
    <t>TSR-tradaccint-spc-edu-SurDef</t>
  </si>
  <si>
    <t>TSR-tradaccinthghwys-mnt-SurDef</t>
  </si>
  <si>
    <t>TSR-tradaccinton-str-prk-SurDef</t>
  </si>
  <si>
    <t>TSR-tradaccint-ss-rsd-SurDef</t>
  </si>
  <si>
    <t>TSR-tradaccint-ss-hcs-SurDef</t>
  </si>
  <si>
    <t>TSR-tradaccint-hous-mng-SurDef</t>
  </si>
  <si>
    <t>TSR-tradaccint-lsr-mng-SurDef</t>
  </si>
  <si>
    <t>TSR-tradaccint-env-SurDef</t>
  </si>
  <si>
    <t>TSR-tradaccint-cps-SurDef</t>
  </si>
  <si>
    <t>TSR-tradaccint-bld-cln-SurDef</t>
  </si>
  <si>
    <t>TSR-tradaccint-bld-mnt-SurDef</t>
  </si>
  <si>
    <t>TSR-tradaccint-grn-mnt-SurDef</t>
  </si>
  <si>
    <t>TSR-tradaccint-vhc-mnt-SurDef</t>
  </si>
  <si>
    <t>TSR-tradaccint-vhc-mng-SurDef</t>
  </si>
  <si>
    <t>TSR-tradaccint-rfs-cll-SurDef</t>
  </si>
  <si>
    <t>TSR-tradaccint-ctr-SurDef</t>
  </si>
  <si>
    <t>TSR-tradaccint-off-SurDef</t>
  </si>
  <si>
    <t>TSR-tradaccint-it-SurDef</t>
  </si>
  <si>
    <t>TSR-tradaccint-fnc-SurDef</t>
  </si>
  <si>
    <t>TSR-tradaccint-lgl-SurDef</t>
  </si>
  <si>
    <t>TSR-tradaccint-prs-SurDef</t>
  </si>
  <si>
    <t>TSR-tradaccintoth1-n tradaccintoth1-SurDef</t>
  </si>
  <si>
    <t>TSR-tradaccintoth2-n tradaccintoth2-SurDef</t>
  </si>
  <si>
    <t>TSR-tradaccintoth3-n tradaccintoth3-SurDef</t>
  </si>
  <si>
    <t>TSR-tradaccintoth4-n tradaccintoth4-SurDef</t>
  </si>
  <si>
    <t>TSR-tradaccintoth5-n tradaccintoth5-SurDef</t>
  </si>
  <si>
    <t>TSR-tradaccint-SurDef-excl-Cap</t>
  </si>
  <si>
    <t>TSR-captot-int</t>
  </si>
  <si>
    <t>TSR-tradaccint-SurDef-incl-Cap</t>
  </si>
  <si>
    <t>TSR-capdep-int</t>
  </si>
  <si>
    <t>TSR-caploss-int</t>
  </si>
  <si>
    <t>TSR-capreval-int</t>
  </si>
  <si>
    <t>TSR-capgrant-int</t>
  </si>
  <si>
    <t>TSR-caprecs-int</t>
  </si>
  <si>
    <t>TSR-capsum-int</t>
  </si>
  <si>
    <t>SAR-tchr-slr-tot</t>
  </si>
  <si>
    <t>SAR</t>
  </si>
  <si>
    <t>SAR-tchr-ni-cnt-tot</t>
  </si>
  <si>
    <t>SAR-tchr-rtr-bnf-tot</t>
  </si>
  <si>
    <t>SAR-tchr-lct-all-tot</t>
  </si>
  <si>
    <t>SAR-tchrtot-tot</t>
  </si>
  <si>
    <t>SAR-pol-frs-slr-tot</t>
  </si>
  <si>
    <t>SAR-pol-frs-ni-cnt-tot</t>
  </si>
  <si>
    <t>SAR-pol-frs-rtr-bnf-tot</t>
  </si>
  <si>
    <t>SAR-pol-frs-lct-all-tot</t>
  </si>
  <si>
    <t>SAR-pol-frs-tot-tot</t>
  </si>
  <si>
    <t>SAR-oth-slr-tot</t>
  </si>
  <si>
    <t>SAR-oth-ni-cnt-tot</t>
  </si>
  <si>
    <t>SAR-oth-rtr-bnf-tot</t>
  </si>
  <si>
    <t>SAR-oth-lct-all-tot</t>
  </si>
  <si>
    <t>SAR-othtot-tot</t>
  </si>
  <si>
    <t>SAR-othcst-tot</t>
  </si>
  <si>
    <t>SAR-tot-tot</t>
  </si>
  <si>
    <t>SARB-runexp-premrepair-tot</t>
  </si>
  <si>
    <t>SARB-runexp-premenergy-tot</t>
  </si>
  <si>
    <t>SARB-runexp-premrents-tot</t>
  </si>
  <si>
    <t>SARB-runexp-premrates-tot</t>
  </si>
  <si>
    <t>SARB-runexp-premwater-tot</t>
  </si>
  <si>
    <t>SARB-runexp-premfixfit-tot</t>
  </si>
  <si>
    <t>SARB-runexp-premclean-tot</t>
  </si>
  <si>
    <t>SARB-runexp-premgroundmnt-tot</t>
  </si>
  <si>
    <t>SARB-runexp-premins-tot</t>
  </si>
  <si>
    <t>SARB-runexp-premoth-tot</t>
  </si>
  <si>
    <t>SARB-runexp-premtot-tot</t>
  </si>
  <si>
    <t>SARB-runexp-transvhcmnt-tot</t>
  </si>
  <si>
    <t>SARB-runexp-transhire-lease-tot</t>
  </si>
  <si>
    <t>SARB-runexp-transcarall-tot</t>
  </si>
  <si>
    <t>SARB-runexp-transpubttrnsall-tot</t>
  </si>
  <si>
    <t>SARB-runexp-transins-tot</t>
  </si>
  <si>
    <t>SARB-runexp-transoth-tot</t>
  </si>
  <si>
    <t>SARB-runexp-transtot-tot</t>
  </si>
  <si>
    <t>SARB-runexp-suppequip-tot</t>
  </si>
  <si>
    <t>SARB-runexp-suppcatering-tot</t>
  </si>
  <si>
    <t>SARB-runexp-suppclth-tot</t>
  </si>
  <si>
    <t>SARB-runexp-suppoffexp-tot</t>
  </si>
  <si>
    <t>SARB-runexp-suppcomms-tot</t>
  </si>
  <si>
    <t>SARB-runexp-suppsubs-tot</t>
  </si>
  <si>
    <t>SARB-runexp-suppsubscrip-tot</t>
  </si>
  <si>
    <t>SARB-runexp-suppins-tot</t>
  </si>
  <si>
    <t>SARB-runexp-suppsch-non-ict-tot</t>
  </si>
  <si>
    <t>SARB-runexp-suppsch-ict-tot</t>
  </si>
  <si>
    <t>SARB-runexp-suppexam-tot</t>
  </si>
  <si>
    <t>SARB-runexp-suppoth-tot</t>
  </si>
  <si>
    <t>SARB-runexp-supptot-tot</t>
  </si>
  <si>
    <t>SARB-runexp-tpp-jnt-oth-la-tot</t>
  </si>
  <si>
    <t>SARB-runexp-tpp-pym-vln-tot</t>
  </si>
  <si>
    <t>SARB-runexp-tpp-pc-profess-tot</t>
  </si>
  <si>
    <t>SARB-runexp-tpp-pc-agency-tot</t>
  </si>
  <si>
    <t>SARB-runexp-tpp-pc-oth-tot</t>
  </si>
  <si>
    <t>SARB-runexp-tpp-ito-tot</t>
  </si>
  <si>
    <t>SARB-runexp-tpp-tot-tot</t>
  </si>
  <si>
    <t>SARB-runexp-ttl-trn-pym-dsc-tot</t>
  </si>
  <si>
    <t>SARB-runexp-exp-mng-ss-tot</t>
  </si>
  <si>
    <t>SARB-runexp-tot-tot</t>
  </si>
  <si>
    <t>SARC-inc-rnt-tot</t>
  </si>
  <si>
    <t>SARC-inc-rch-tot</t>
  </si>
  <si>
    <t>SARC-inc-oth-tot</t>
  </si>
  <si>
    <t>SARC-inc-tot-tot</t>
  </si>
  <si>
    <t>AssetID</t>
  </si>
  <si>
    <t>AssetValue</t>
  </si>
  <si>
    <t>AssetComments1</t>
  </si>
  <si>
    <t>AssetComments2</t>
  </si>
  <si>
    <t>AssetComments3</t>
  </si>
  <si>
    <t>AssetComments4</t>
  </si>
  <si>
    <t>AssetComments5</t>
  </si>
  <si>
    <t>RO</t>
  </si>
  <si>
    <t>FormVers</t>
  </si>
  <si>
    <t>OrgID</t>
  </si>
  <si>
    <t>Period</t>
  </si>
  <si>
    <t>Contact_Name</t>
  </si>
  <si>
    <t>Contact_Tele</t>
  </si>
  <si>
    <t>Contact_Email</t>
  </si>
  <si>
    <t>S151_Contact_Name</t>
  </si>
  <si>
    <t>S151_Contact_Tele</t>
  </si>
  <si>
    <t>S151_Contact_Email</t>
  </si>
  <si>
    <t>S151_CFO_dropdown</t>
  </si>
  <si>
    <t>CFO_Contact_Name</t>
  </si>
  <si>
    <t>CFO_Contact_Tele</t>
  </si>
  <si>
    <t>CFO_Contact_Email</t>
  </si>
  <si>
    <t>Cert_Contact_Name</t>
  </si>
  <si>
    <t>Cert_Contact_Sig</t>
  </si>
  <si>
    <t>Cert_Contact_Role</t>
  </si>
  <si>
    <t>Cert_Role_Other</t>
  </si>
  <si>
    <t>Cert_Contact_Date</t>
  </si>
  <si>
    <t>RS-error</t>
  </si>
  <si>
    <t>RS-ressch-start-cy</t>
  </si>
  <si>
    <t>RS-resdsgadj-start-cy</t>
  </si>
  <si>
    <t>RS-resdsg-start-cy</t>
  </si>
  <si>
    <t>RS-resph-start-cy</t>
  </si>
  <si>
    <t>RS-resoth-start-cy</t>
  </si>
  <si>
    <t>RS-resothcont-strt-cy</t>
  </si>
  <si>
    <t>RS-resothfut-strt-cy</t>
  </si>
  <si>
    <t>RS-resothspec-strt-cy</t>
  </si>
  <si>
    <t>RS-resothbdg-strt-cy</t>
  </si>
  <si>
    <t>RS-resothoth-strt-cy</t>
  </si>
  <si>
    <t>RS-resothexA-strt-cy</t>
  </si>
  <si>
    <t>RS-resothexB-strt-cy</t>
  </si>
  <si>
    <t>RS-resothexC-strt-cy</t>
  </si>
  <si>
    <t>RS-resunall-start-cy</t>
  </si>
  <si>
    <t>RS-reshra-end</t>
  </si>
  <si>
    <t>RS-invprp-conf</t>
  </si>
  <si>
    <t>RS-invprp-inc-net-exp</t>
  </si>
  <si>
    <t>RS-linvprpin-inc-net-exp</t>
  </si>
  <si>
    <t>RS-invprpout1-inc-net-exp</t>
  </si>
  <si>
    <t>RS-invprpout2-inc-net-exp</t>
  </si>
  <si>
    <t>RS-invprp-net-exp</t>
  </si>
  <si>
    <t>RS-invprpin-net-exp</t>
  </si>
  <si>
    <t>RS-invprpout1-net-exp</t>
  </si>
  <si>
    <t>RS-invprpout2-net-exp</t>
  </si>
  <si>
    <t>RS-invprp-attrmrp-net-exp</t>
  </si>
  <si>
    <t>RS-invprpin-attrmrp-net-exp</t>
  </si>
  <si>
    <t>RS-invprpout1-attrmrp-net-exp</t>
  </si>
  <si>
    <t>RS-invprpout2-attrmrp-net-exp</t>
  </si>
  <si>
    <t>RS-invprp-attrint-net-exp</t>
  </si>
  <si>
    <t>RS-invprpin-attrint-net-exp</t>
  </si>
  <si>
    <t>RS-invprpout1-attrint-net-exp</t>
  </si>
  <si>
    <t>RS-invprpout2-attrint-net-exp</t>
  </si>
  <si>
    <t>RS-invprp-totcost-net-exp</t>
  </si>
  <si>
    <t>RS-invprpin-totcost-net-exp</t>
  </si>
  <si>
    <t>RS-invprpout1-totcost-net-exp</t>
  </si>
  <si>
    <t>RS-invprpout2-totcost-net-exp</t>
  </si>
  <si>
    <t>RS-invprp-netinc-net-exp</t>
  </si>
  <si>
    <t>RS-invprpin-netinc-net-exp</t>
  </si>
  <si>
    <t>RS-invprpout1-netinc-net-exp</t>
  </si>
  <si>
    <t>RS-invprpout2-netinc-net-exp</t>
  </si>
  <si>
    <t xml:space="preserve">contres-comm </t>
  </si>
  <si>
    <t>RSX-error</t>
  </si>
  <si>
    <t>RSX-edu-empl</t>
  </si>
  <si>
    <t>RSX-trans-empl</t>
  </si>
  <si>
    <t>RSX-csc-empl</t>
  </si>
  <si>
    <t>RSX-asc-empl</t>
  </si>
  <si>
    <t>RSX-phs-empl</t>
  </si>
  <si>
    <t>RSX-hous-empl</t>
  </si>
  <si>
    <t>RSX-cul-empl</t>
  </si>
  <si>
    <t>RSX-env-empl</t>
  </si>
  <si>
    <t>RSX-plan-empl</t>
  </si>
  <si>
    <t>RSX-pol-empl</t>
  </si>
  <si>
    <t>RSX-frs-empl</t>
  </si>
  <si>
    <t>RSX-cen-empl</t>
  </si>
  <si>
    <t>RSX-oth-empl</t>
  </si>
  <si>
    <t>RSX-totsx-empl</t>
  </si>
  <si>
    <t>RSX-edu-run-exp</t>
  </si>
  <si>
    <t>RSX-trans-run-exp</t>
  </si>
  <si>
    <t>RSX-csc-run-exp</t>
  </si>
  <si>
    <t>RSX-asc-run-exp</t>
  </si>
  <si>
    <t>RSX-phs-run-exp</t>
  </si>
  <si>
    <t>RSX-hous-run-exp</t>
  </si>
  <si>
    <t>RSX-cul-run-exp</t>
  </si>
  <si>
    <t>RSX-env-run-exp</t>
  </si>
  <si>
    <t>RSX-plan-run-exp</t>
  </si>
  <si>
    <t>RSX-pol-run-exp</t>
  </si>
  <si>
    <t>RSX-frs-run-exp</t>
  </si>
  <si>
    <t>RSX-cen-run-exp</t>
  </si>
  <si>
    <t>RSX-oth-run-exp</t>
  </si>
  <si>
    <t>RSX-totsx-run-exp</t>
  </si>
  <si>
    <t>RSX-edu-tot-exp</t>
  </si>
  <si>
    <t>RSX-trans-tot-exp</t>
  </si>
  <si>
    <t>RSX-csc-tot-exp</t>
  </si>
  <si>
    <t>RSX-asc-tot-exp</t>
  </si>
  <si>
    <t>RSX-phs-tot-exp</t>
  </si>
  <si>
    <t>RSX-hous-tot-exp</t>
  </si>
  <si>
    <t>RSX-cul-tot-exp</t>
  </si>
  <si>
    <t>RSX-env-tot-exp</t>
  </si>
  <si>
    <t>RSX-plan-tot-exp</t>
  </si>
  <si>
    <t>RSX-pol-tot-exp</t>
  </si>
  <si>
    <t>RSX-frs-tot-exp</t>
  </si>
  <si>
    <t>RSX-cen-tot-exp</t>
  </si>
  <si>
    <t>RSX-oth-tot-exp</t>
  </si>
  <si>
    <t>RSX-totsx-tot-exp</t>
  </si>
  <si>
    <t>RSX-edu-sfc</t>
  </si>
  <si>
    <t>RSX-trans-sfc</t>
  </si>
  <si>
    <t>RSX-csc-sfc</t>
  </si>
  <si>
    <t>RSX-asc-sfc</t>
  </si>
  <si>
    <t>RSX-phs-sfc</t>
  </si>
  <si>
    <t>RSX-hous-sfc</t>
  </si>
  <si>
    <t>RSX-cul-sfc</t>
  </si>
  <si>
    <t>RSX-env-sfc</t>
  </si>
  <si>
    <t>RSX-plan-sfc</t>
  </si>
  <si>
    <t>RSX-pol-sfc</t>
  </si>
  <si>
    <t>RSX-frs-sfc</t>
  </si>
  <si>
    <t>RSX-cen-sfc</t>
  </si>
  <si>
    <t>RSX-oth-sfc</t>
  </si>
  <si>
    <t>RSX-totsx-sfc</t>
  </si>
  <si>
    <t>RSX-edu-oth-inc</t>
  </si>
  <si>
    <t>RSX-trans-oth-inc</t>
  </si>
  <si>
    <t>RSX-csc-oth-inc</t>
  </si>
  <si>
    <t>RSX-asc-oth-inc</t>
  </si>
  <si>
    <t>RSX-phs-oth-inc</t>
  </si>
  <si>
    <t>RSX-hous-oth-inc</t>
  </si>
  <si>
    <t>RSX-cul-oth-inc</t>
  </si>
  <si>
    <t>RSX-env-oth-inc</t>
  </si>
  <si>
    <t>RSX-plan-oth-inc</t>
  </si>
  <si>
    <t>RSX-pol-oth-inc</t>
  </si>
  <si>
    <t>RSX-frs-oth-inc</t>
  </si>
  <si>
    <t>RSX-cen-oth-inc</t>
  </si>
  <si>
    <t>RSX-oth-oth-inc</t>
  </si>
  <si>
    <t>RSX-totsx-oth-inc</t>
  </si>
  <si>
    <t>RSX-edu-tot-inc</t>
  </si>
  <si>
    <t>RSX-trans-tot-inc</t>
  </si>
  <si>
    <t>RSX-csc-tot-inc</t>
  </si>
  <si>
    <t>RSX-asc-tot-inc</t>
  </si>
  <si>
    <t>RSX-phs-tot-inc</t>
  </si>
  <si>
    <t>RSX-hous-tot-inc</t>
  </si>
  <si>
    <t>RSX-cul-tot-inc</t>
  </si>
  <si>
    <t>RSX-env-tot-inc</t>
  </si>
  <si>
    <t>RSX-plan-tot-inc</t>
  </si>
  <si>
    <t>RSX-pol-tot-inc</t>
  </si>
  <si>
    <t>RSX-frs-tot-inc</t>
  </si>
  <si>
    <t>RSX-cen-tot-inc</t>
  </si>
  <si>
    <t>RSX-oth-tot-inc</t>
  </si>
  <si>
    <t>RSX-totsx-tot-inc</t>
  </si>
  <si>
    <t>RO1-edu-error</t>
  </si>
  <si>
    <t>RO1-eduerl-empl</t>
  </si>
  <si>
    <t>RO1-eduprm-empl</t>
  </si>
  <si>
    <t>RO1-eduscn-empl</t>
  </si>
  <si>
    <t>RO1-eduspc-empl</t>
  </si>
  <si>
    <t>RO1-edupst-empl</t>
  </si>
  <si>
    <t>RO1-eduoth-empl</t>
  </si>
  <si>
    <t>RO1-edutot-empl</t>
  </si>
  <si>
    <t>RO1-eduerl-run-exp</t>
  </si>
  <si>
    <t>RO1-eduprm-run-exp</t>
  </si>
  <si>
    <t>RO1-eduscn-run-exp</t>
  </si>
  <si>
    <t>RO1-eduspc-run-exp</t>
  </si>
  <si>
    <t>RO1-edupst-run-exp</t>
  </si>
  <si>
    <t>RO1-eduoth-run-exp</t>
  </si>
  <si>
    <t>RO1-edutot-run-exp</t>
  </si>
  <si>
    <t>RO1-eduerl-tot-exp</t>
  </si>
  <si>
    <t>RO1-eduprm-tot-exp</t>
  </si>
  <si>
    <t>RO1-eduscn-tot-exp</t>
  </si>
  <si>
    <t>RO1-eduspc-tot-exp</t>
  </si>
  <si>
    <t>RO1-edupst-tot-exp</t>
  </si>
  <si>
    <t>RO1-eduoth-tot-exp</t>
  </si>
  <si>
    <t>RO1-edutot-tot-exp</t>
  </si>
  <si>
    <t>RO1-eduerl-sfc</t>
  </si>
  <si>
    <t>RO1-eduprm-sfc</t>
  </si>
  <si>
    <t>RO1-eduscn-sfc</t>
  </si>
  <si>
    <t>RO1-eduspc-sfc</t>
  </si>
  <si>
    <t>RO1-edupst-sfc</t>
  </si>
  <si>
    <t>RO1-eduoth-sfc</t>
  </si>
  <si>
    <t>RO1-edutot-sfc</t>
  </si>
  <si>
    <t>RO1-eduerl-oth-inc</t>
  </si>
  <si>
    <t>RO1-eduprm-oth-inc</t>
  </si>
  <si>
    <t>RO1-eduscn-oth-inc</t>
  </si>
  <si>
    <t>RO1-eduspc-oth-inc</t>
  </si>
  <si>
    <t>RO1-edupst-oth-inc</t>
  </si>
  <si>
    <t>RO1-eduoth-oth-inc</t>
  </si>
  <si>
    <t>RO1-edutot-oth-inc</t>
  </si>
  <si>
    <t>RO1-eduerl-tot-inc</t>
  </si>
  <si>
    <t>RO1-eduprm-tot-inc</t>
  </si>
  <si>
    <t>RO1-eduscn-tot-inc</t>
  </si>
  <si>
    <t>RO1-eduspc-tot-inc</t>
  </si>
  <si>
    <t>RO1-edupst-tot-inc</t>
  </si>
  <si>
    <t>RO1-eduoth-tot-inc</t>
  </si>
  <si>
    <t>RO1-edutot-tot-inc</t>
  </si>
  <si>
    <t>RG-error</t>
  </si>
  <si>
    <t>RO2-trans-error</t>
  </si>
  <si>
    <t>RO2-transpln-hghwys-mnt-empl</t>
  </si>
  <si>
    <t>RO2-transpln-pub-oth-empl</t>
  </si>
  <si>
    <t>RO2-transrdsmnt-prn-rds-empl</t>
  </si>
  <si>
    <t>RO2-transrdsmnt-oth-rds-empl</t>
  </si>
  <si>
    <t>RO2-transrdsmnt-brd-empl</t>
  </si>
  <si>
    <t>RO2-transrdsenv-prn-rds-empl</t>
  </si>
  <si>
    <t>RO2-transrdsenv-oth-rds-empl</t>
  </si>
  <si>
    <t>RO2-transrdswnt-empl</t>
  </si>
  <si>
    <t>RO2-transrdslgh-empl</t>
  </si>
  <si>
    <t>RO2-transrdstrfcng-empl</t>
  </si>
  <si>
    <t>RO2-transrdstrfbs-empl</t>
  </si>
  <si>
    <t>RO2-transrdstrfsft-empl</t>
  </si>
  <si>
    <t>RO2-transrdstrfoth-empl</t>
  </si>
  <si>
    <t>RO2-transprk-on-str-prk-empl</t>
  </si>
  <si>
    <t>RO2-transprk-off-str-prk-empl</t>
  </si>
  <si>
    <t>RO2-transpblstt-empl</t>
  </si>
  <si>
    <t>RO2-transpbldsc-empl</t>
  </si>
  <si>
    <t>RO2-transpblopr-bus-empl</t>
  </si>
  <si>
    <t>RO2-transpblopr-rail-empl</t>
  </si>
  <si>
    <t>RO2-transpblopr-oth-empl</t>
  </si>
  <si>
    <t>RO2-transpblcrd-empl</t>
  </si>
  <si>
    <t>RO2-transaht-empl</t>
  </si>
  <si>
    <t>RO2-transtot-empl</t>
  </si>
  <si>
    <t>RO2-transthrprtlbtclm-str-mnt-empl</t>
  </si>
  <si>
    <t>RO2-transpubsupopr-pym-bus-empl</t>
  </si>
  <si>
    <t>RO2-transpubsupopr-pym-rail-empl</t>
  </si>
  <si>
    <t>RO2-transpubsupopr-pym-oth-empl</t>
  </si>
  <si>
    <t>RO2-transpln-hghwys-mnt-run-exp</t>
  </si>
  <si>
    <t>RO2-transpln-pub-oth-run-exp</t>
  </si>
  <si>
    <t>RO2-transrdsmnt-prn-rds-run-exp</t>
  </si>
  <si>
    <t>RO2-transrdsmnt-oth-rds-run-exp</t>
  </si>
  <si>
    <t>RO2-transrdsmnt-brd-run-exp</t>
  </si>
  <si>
    <t>RO2-transrdsenv-prn-rds-run-exp</t>
  </si>
  <si>
    <t>RO2-transrdsenv-oth-rds-run-exp</t>
  </si>
  <si>
    <t>RO2-transrdswnt-run-exp</t>
  </si>
  <si>
    <t>RO2-transrdslgh-run-exp</t>
  </si>
  <si>
    <t>RO2-transrdstrfcng-run-exp</t>
  </si>
  <si>
    <t>RO2-transrdstrfbs-run-exp</t>
  </si>
  <si>
    <t>RO2-transrdstrfsft-run-exp</t>
  </si>
  <si>
    <t>RO2-transrdstrfoth-run-exp</t>
  </si>
  <si>
    <t>RO2-transprk-on-str-prk-run-exp</t>
  </si>
  <si>
    <t>RO2-transprk-off-str-prk-run-exp</t>
  </si>
  <si>
    <t>RO2-transpblstt-run-exp</t>
  </si>
  <si>
    <t>RO2-transpbldsc-run-exp</t>
  </si>
  <si>
    <t>RO2-transpblopr-bus-run-exp</t>
  </si>
  <si>
    <t>RO2-transpblopr-rail-run-exp</t>
  </si>
  <si>
    <t>RO2-transpblopr-oth-run-exp</t>
  </si>
  <si>
    <t>RO2-transpblcrd-run-exp</t>
  </si>
  <si>
    <t>RO2-transaht-run-exp</t>
  </si>
  <si>
    <t>RO2-transtot-run-exp</t>
  </si>
  <si>
    <t>RO2-transthrprtlbtclm-str-mnt-run-exp</t>
  </si>
  <si>
    <t>RO2-transpubsupopr-pym-bus-run-exp</t>
  </si>
  <si>
    <t>RO2-transpubsupopr-pym-rail-run-exp</t>
  </si>
  <si>
    <t>RO2-transpubsupopr-pym-oth-run-exp</t>
  </si>
  <si>
    <t>RO2-transpln-hghwys-mnt-tot-exp</t>
  </si>
  <si>
    <t>RO2-transpln-pub-oth-tot-exp</t>
  </si>
  <si>
    <t>RO2-transrdsmnt-prn-rds-tot-exp</t>
  </si>
  <si>
    <t>RO2-transrdsmnt-oth-rds-tot-exp</t>
  </si>
  <si>
    <t>RO2-transrdsmnt-brd-tot-exp</t>
  </si>
  <si>
    <t>RO2-transrdsenv-prn-rds-tot-exp</t>
  </si>
  <si>
    <t>RO2-transrdsenv-oth-rds-tot-exp</t>
  </si>
  <si>
    <t>RO2-transrdswnt-tot-exp</t>
  </si>
  <si>
    <t>RO2-transrdslgh-tot-exp</t>
  </si>
  <si>
    <t>RO2-transrdstrfcng-tot-exp</t>
  </si>
  <si>
    <t>RO2-transrdstrfbs-tot-exp</t>
  </si>
  <si>
    <t>RO2-transrdstrfsft-tot-exp</t>
  </si>
  <si>
    <t>RO2-transrdstrfoth-tot-exp</t>
  </si>
  <si>
    <t>RO2-transprk-on-str-prk-tot-exp</t>
  </si>
  <si>
    <t>RO2-transprk-off-str-prk-tot-exp</t>
  </si>
  <si>
    <t>RO2-transpblstt-tot-exp</t>
  </si>
  <si>
    <t>RO2-transpbldsc-tot-exp</t>
  </si>
  <si>
    <t>RO2-transpblopr-bus-tot-exp</t>
  </si>
  <si>
    <t>RO2-transpblopr-rail-tot-exp</t>
  </si>
  <si>
    <t>RO2-transpblopr-oth-tot-exp</t>
  </si>
  <si>
    <t>RO2-transpblcrd-tot-exp</t>
  </si>
  <si>
    <t>RO2-transaht-tot-exp</t>
  </si>
  <si>
    <t>RO2-transtot-tot-exp</t>
  </si>
  <si>
    <t>RO2-transthrprtlbtclm-str-mnt-tot-exp</t>
  </si>
  <si>
    <t>RO2-transpubsupopr-pym-bus-tot-exp</t>
  </si>
  <si>
    <t>RO2-transpubsupopr-pym-rail-tot-exp</t>
  </si>
  <si>
    <t>RO2-transpubsupopr-pym-oth-tot-exp</t>
  </si>
  <si>
    <t>RO2-transpln-hghwys-mnt-sfc</t>
  </si>
  <si>
    <t>RO2-transpln-pub-oth-sfc</t>
  </si>
  <si>
    <t>RO2-transrdsmnt-prn-rds-sfc</t>
  </si>
  <si>
    <t>RO2-transrdsmnt-oth-rds-sfc</t>
  </si>
  <si>
    <t>RO2-transrdsmnt-brd-sfc</t>
  </si>
  <si>
    <t>RO2-transrdsenv-prn-rds-sfc</t>
  </si>
  <si>
    <t>RO2-transrdsenv-oth-rds-sfc</t>
  </si>
  <si>
    <t>RO2-transrdswnt-sfc</t>
  </si>
  <si>
    <t>RO2-transrdslgh-sfc</t>
  </si>
  <si>
    <t>RO2-transrdstrfcng-sfc</t>
  </si>
  <si>
    <t>RO2-transrdstrfbs-sfc</t>
  </si>
  <si>
    <t>RO2-transrdstrfsft-sfc</t>
  </si>
  <si>
    <t>RO2-transrdstrfoth-sfc</t>
  </si>
  <si>
    <t>RO2-transprk-on-str-prk-sfc</t>
  </si>
  <si>
    <t>RO2-transprk-off-str-prk-sfc</t>
  </si>
  <si>
    <t>RO2-transpblstt-sfc</t>
  </si>
  <si>
    <t>RO2-transpbldsc-sfc</t>
  </si>
  <si>
    <t>RO2-transpblopr-bus-sfc</t>
  </si>
  <si>
    <t>RO2-transpblopr-rail-sfc</t>
  </si>
  <si>
    <t>RO2-transpblopr-oth-sfc</t>
  </si>
  <si>
    <t>RO2-transpblcrd-sfc</t>
  </si>
  <si>
    <t>RO2-transaht-sfc</t>
  </si>
  <si>
    <t>RO2-transtot-sfc</t>
  </si>
  <si>
    <t>RO2-transthrprtlbtclm-str-mnt-sfc</t>
  </si>
  <si>
    <t>RO2-transpubsupopr-pym-bus-sfc</t>
  </si>
  <si>
    <t>RO2-transpubsupopr-pym-rail-sfc</t>
  </si>
  <si>
    <t>RO2-transpubsupopr-pym-oth-sfc</t>
  </si>
  <si>
    <t>RO2-transpln-hghwys-mnt-oth-inc</t>
  </si>
  <si>
    <t>RO2-transpln-pub-oth-oth-inc</t>
  </si>
  <si>
    <t>RO2-transrdsmnt-prn-rds-oth-inc</t>
  </si>
  <si>
    <t>RO2-transrdsmnt-oth-rds-oth-inc</t>
  </si>
  <si>
    <t>RO2-transrdsmnt-brd-oth-inc</t>
  </si>
  <si>
    <t>RO2-transrdsenv-prn-rds-oth-inc</t>
  </si>
  <si>
    <t>RO2-transrdsenv-oth-rds-oth-inc</t>
  </si>
  <si>
    <t>RO2-transrdswnt-oth-inc</t>
  </si>
  <si>
    <t>RO2-transrdslgh-oth-inc</t>
  </si>
  <si>
    <t>RO2-transrdstrfcng-oth-inc</t>
  </si>
  <si>
    <t>RO2-transrdstrfbs-oth-inc</t>
  </si>
  <si>
    <t>RO2-transrdstrfsft-oth-inc</t>
  </si>
  <si>
    <t>RO2-transrdstrfoth-oth-inc</t>
  </si>
  <si>
    <t>RO2-transprk-on-str-prk-oth-inc</t>
  </si>
  <si>
    <t>RO2-transprk-off-str-prk-oth-inc</t>
  </si>
  <si>
    <t>RO2-transpblstt-oth-inc</t>
  </si>
  <si>
    <t>RO2-transpbldsc-oth-inc</t>
  </si>
  <si>
    <t>RO2-transpblopr-bus-oth-inc</t>
  </si>
  <si>
    <t>RO2-transpblopr-rail-oth-inc</t>
  </si>
  <si>
    <t>RO2-transpblopr-oth-oth-inc</t>
  </si>
  <si>
    <t>RO2-transpblcrd-oth-inc</t>
  </si>
  <si>
    <t>RO2-transaht-oth-inc</t>
  </si>
  <si>
    <t>RO2-transtot-oth-inc</t>
  </si>
  <si>
    <t>RO2-transthrprtlbtclm-str-mnt-oth-inc</t>
  </si>
  <si>
    <t>RO2-transpubsupopr-pym-bus-oth-inc</t>
  </si>
  <si>
    <t>RO2-transpubsupopr-pym-rail-oth-inc</t>
  </si>
  <si>
    <t>RO2-transpubsupopr-pym-oth-oth-inc</t>
  </si>
  <si>
    <t>RO2-transpln-hghwys-mnt-tot-inc</t>
  </si>
  <si>
    <t>RO2-transpln-pub-oth-tot-inc</t>
  </si>
  <si>
    <t>RO2-transrdsmnt-prn-rds-tot-inc</t>
  </si>
  <si>
    <t>RO2-transrdsmnt-oth-rds-tot-inc</t>
  </si>
  <si>
    <t>RO2-transrdsmnt-brd-tot-inc</t>
  </si>
  <si>
    <t>RO2-transrdsenv-prn-rds-tot-inc</t>
  </si>
  <si>
    <t>RO2-transrdsenv-oth-rds-tot-inc</t>
  </si>
  <si>
    <t>RO2-transrdswnt-tot-inc</t>
  </si>
  <si>
    <t>RO2-transrdslgh-tot-inc</t>
  </si>
  <si>
    <t>RO2-transrdstrfcng-tot-inc</t>
  </si>
  <si>
    <t>RO2-transrdstrfbs-tot-inc</t>
  </si>
  <si>
    <t>RO2-transrdstrfsft-tot-inc</t>
  </si>
  <si>
    <t>RO2-transrdstrfoth-tot-inc</t>
  </si>
  <si>
    <t>RO2-transprk-on-str-prk-tot-inc</t>
  </si>
  <si>
    <t>RO2-transprk-off-str-prk-tot-inc</t>
  </si>
  <si>
    <t>RO2-transpblstt-tot-inc</t>
  </si>
  <si>
    <t>RO2-transpbldsc-tot-inc</t>
  </si>
  <si>
    <t>RO2-transpblopr-bus-tot-inc</t>
  </si>
  <si>
    <t>RO2-transpblopr-rail-tot-inc</t>
  </si>
  <si>
    <t>RO2-transpblopr-oth-tot-inc</t>
  </si>
  <si>
    <t>RO2-transpblcrd-tot-inc</t>
  </si>
  <si>
    <t>RO2-transaht-tot-inc</t>
  </si>
  <si>
    <t>RO2-transtot-tot-inc</t>
  </si>
  <si>
    <t>RO2-transthrprtlbtclm-str-mnt-tot-inc</t>
  </si>
  <si>
    <t>RO2-transpubsupopr-pym-bus-tot-inc</t>
  </si>
  <si>
    <t>RO2-transpubsupopr-pym-rail-tot-inc</t>
  </si>
  <si>
    <t>RO2-transpubsupopr-pym-oth-tot-inc</t>
  </si>
  <si>
    <t>RO3-ph-error</t>
  </si>
  <si>
    <t>RO3-cscsr-empl</t>
  </si>
  <si>
    <t>RO3-csclkd-empl</t>
  </si>
  <si>
    <t>RO3-csclkdres-empl</t>
  </si>
  <si>
    <t>RO3-csclkdfos-empl</t>
  </si>
  <si>
    <t>RO3-csclkdasy-empl</t>
  </si>
  <si>
    <t>RO3-csclkdoth-empl</t>
  </si>
  <si>
    <t>RO3-cscoth-empl</t>
  </si>
  <si>
    <t>RO3-cscfml-empl</t>
  </si>
  <si>
    <t>RO3-cscyth-empl</t>
  </si>
  <si>
    <t>RO3-cscsfg-empl</t>
  </si>
  <si>
    <t>RO3-cscasy-empl</t>
  </si>
  <si>
    <t>RO3-cscsrv-empl</t>
  </si>
  <si>
    <t>RO3-csctot-empl</t>
  </si>
  <si>
    <t>RO3-ascphyadl-empl</t>
  </si>
  <si>
    <t>RO3-ascphyold-empl</t>
  </si>
  <si>
    <t>RO3-ascsnsadl-empl</t>
  </si>
  <si>
    <t>RO3-ascsnsold-empl</t>
  </si>
  <si>
    <t>RO3-ascmmradl-empl</t>
  </si>
  <si>
    <t>RO3-ascmmrold-empl</t>
  </si>
  <si>
    <t>RO3-asclrnadl-empl</t>
  </si>
  <si>
    <t>RO3-asclrnold-empl</t>
  </si>
  <si>
    <t>RO3-ascmntadl-empl</t>
  </si>
  <si>
    <t>RO3-ascmntold-empl</t>
  </si>
  <si>
    <t>RO3-ascsclsbs-empl</t>
  </si>
  <si>
    <t>RO3-ascsclasy-empl</t>
  </si>
  <si>
    <t>RO3-ascsclisl-empl</t>
  </si>
  <si>
    <t>RO3-ascsclcrr-empl</t>
  </si>
  <si>
    <t>RO3-ascsclcrradl-empl</t>
  </si>
  <si>
    <t>RO3-ascsclcrrold-empl</t>
  </si>
  <si>
    <t>RO3-ascass-empl</t>
  </si>
  <si>
    <t>RO3-ascassadl-empl</t>
  </si>
  <si>
    <t>RO3-ascassold-empl</t>
  </si>
  <si>
    <t>RO3-asccrasssfg-empl</t>
  </si>
  <si>
    <t>RO3-asccrasssfgadl-empl</t>
  </si>
  <si>
    <t>RO3-asccrasssfgold-empl</t>
  </si>
  <si>
    <t>RO3-ascinf-empl</t>
  </si>
  <si>
    <t>RO3-ascinfadl-empl</t>
  </si>
  <si>
    <t>RO3-ascinfold-empl</t>
  </si>
  <si>
    <t>RO3-asccmstad-empl</t>
  </si>
  <si>
    <t>RO3-asccmstadadl-empl</t>
  </si>
  <si>
    <t>RO3-asccmstadold-empl</t>
  </si>
  <si>
    <t>RO3-ascdsbcr-empl</t>
  </si>
  <si>
    <t>RO3-ascothnondsbcr-empl</t>
  </si>
  <si>
    <t>RO3-asctot-empl</t>
  </si>
  <si>
    <t>RO3-phsxlsti-empl</t>
  </si>
  <si>
    <t>RO3-phsxlcnt-empl</t>
  </si>
  <si>
    <t>RO3-phsxlprm-empl</t>
  </si>
  <si>
    <t>RO3-phhcp-empl</t>
  </si>
  <si>
    <t>RO3-phprt-empl</t>
  </si>
  <si>
    <t>RO3-phcmp-empl</t>
  </si>
  <si>
    <t>RO3-phadv-empl</t>
  </si>
  <si>
    <t>RO3-phobsadl-empl</t>
  </si>
  <si>
    <t>RO3-phobschl-empl</t>
  </si>
  <si>
    <t>RO3-phphyadl-empl</t>
  </si>
  <si>
    <t>RO3-phphychl-empl</t>
  </si>
  <si>
    <t>RO3-phsbstrtdrg-empl</t>
  </si>
  <si>
    <t>RO3-phsbstrtalc-empl</t>
  </si>
  <si>
    <t>RO3-phsbsprvdrg-empl</t>
  </si>
  <si>
    <t>RO3-phsbsprvalc-empl</t>
  </si>
  <si>
    <t>RO3-phsbsspc-empl</t>
  </si>
  <si>
    <t>RO3-phsmkstp-empl</t>
  </si>
  <si>
    <t>RO3-phsmkcnt-empl</t>
  </si>
  <si>
    <t>RO3-phchl-empl</t>
  </si>
  <si>
    <t>RO3-phbbymnd-empl</t>
  </si>
  <si>
    <t>RO3-phbbyoth-empl</t>
  </si>
  <si>
    <t>RO3-phwrk-empl</t>
  </si>
  <si>
    <t>RO3-phmnt-empl</t>
  </si>
  <si>
    <t>RO3-phmsc-empl</t>
  </si>
  <si>
    <t>RO3-phttt-empl</t>
  </si>
  <si>
    <t>RO3-phcvd19-empl</t>
  </si>
  <si>
    <t>RO3-phtot-empl</t>
  </si>
  <si>
    <t>RO3-phsup-anc-exp-csc-empl</t>
  </si>
  <si>
    <t>RO3-phsup-anc-exp-asc-empl</t>
  </si>
  <si>
    <t>RO3-cscsr-run-exp</t>
  </si>
  <si>
    <t>RO3-csclkd-run-exp</t>
  </si>
  <si>
    <t>RO3-csclkdres-run-exp</t>
  </si>
  <si>
    <t>RO3-csclkdfos-run-exp</t>
  </si>
  <si>
    <t>RO3-csclkdasy-run-exp</t>
  </si>
  <si>
    <t>RO3-csclkdoth-run-exp</t>
  </si>
  <si>
    <t>RO3-cscoth-run-exp</t>
  </si>
  <si>
    <t>RO3-cscfml-run-exp</t>
  </si>
  <si>
    <t>RO3-cscyth-run-exp</t>
  </si>
  <si>
    <t>RO3-cscsfg-run-exp</t>
  </si>
  <si>
    <t>RO3-cscasy-run-exp</t>
  </si>
  <si>
    <t>RO3-cscsrv-run-exp</t>
  </si>
  <si>
    <t>RO3-csctot-run-exp</t>
  </si>
  <si>
    <t>RO3-ascphyadl-run-exp</t>
  </si>
  <si>
    <t>RO3-ascphyold-run-exp</t>
  </si>
  <si>
    <t>RO3-ascsnsadl-run-exp</t>
  </si>
  <si>
    <t>RO3-ascsnsold-run-exp</t>
  </si>
  <si>
    <t>RO3-ascmmradl-run-exp</t>
  </si>
  <si>
    <t>RO3-ascmmrold-run-exp</t>
  </si>
  <si>
    <t>RO3-asclrnadl-run-exp</t>
  </si>
  <si>
    <t>RO3-asclrnold-run-exp</t>
  </si>
  <si>
    <t>RO3-ascmntadl-run-exp</t>
  </si>
  <si>
    <t>RO3-ascmntold-run-exp</t>
  </si>
  <si>
    <t>RO3-ascsclsbs-run-exp</t>
  </si>
  <si>
    <t>RO3-ascsclasy-run-exp</t>
  </si>
  <si>
    <t>RO3-ascsclisl-run-exp</t>
  </si>
  <si>
    <t>RO3-ascsclcrr-run-exp</t>
  </si>
  <si>
    <t>RO3-ascsclcrradl-run-exp</t>
  </si>
  <si>
    <t>RO3-ascsclcrrold-run-exp</t>
  </si>
  <si>
    <t>RO3-ascass-run-exp</t>
  </si>
  <si>
    <t>RO3-ascassadl-run-exp</t>
  </si>
  <si>
    <t>RO3-ascassold-run-exp</t>
  </si>
  <si>
    <t>RO3-asccrasssfg-run-exp</t>
  </si>
  <si>
    <t>RO3-asccrasssfgadl-run-exp</t>
  </si>
  <si>
    <t>RO3-asccrasssfgold-run-exp</t>
  </si>
  <si>
    <t>RO3-ascinf-run-exp</t>
  </si>
  <si>
    <t>RO3-ascinfadl-run-exp</t>
  </si>
  <si>
    <t>RO3-ascinfold-run-exp</t>
  </si>
  <si>
    <t>RO3-asccmstad-run-exp</t>
  </si>
  <si>
    <t>RO3-asccmstadadl-run-exp</t>
  </si>
  <si>
    <t>RO3-asccmstadold-run-exp</t>
  </si>
  <si>
    <t>RO3-ascdsbcr-run-exp</t>
  </si>
  <si>
    <t>RO3-ascothnondsbcr-run-exp</t>
  </si>
  <si>
    <t>RO3-asctot-run-exp</t>
  </si>
  <si>
    <t>RO3-phsxlsti-run-exp</t>
  </si>
  <si>
    <t>RO3-phsxlcnt-run-exp</t>
  </si>
  <si>
    <t>RO3-phsxlprm-run-exp</t>
  </si>
  <si>
    <t>RO3-phhcp-run-exp</t>
  </si>
  <si>
    <t>RO3-phprt-run-exp</t>
  </si>
  <si>
    <t>RO3-phcmp-run-exp</t>
  </si>
  <si>
    <t>RO3-phadv-run-exp</t>
  </si>
  <si>
    <t>RO3-phobsadl-run-exp</t>
  </si>
  <si>
    <t>RO3-phobschl-run-exp</t>
  </si>
  <si>
    <t>RO3-phphyadl-run-exp</t>
  </si>
  <si>
    <t>RO3-phphychl-run-exp</t>
  </si>
  <si>
    <t>RO3-phsbstrtdrg-run-exp</t>
  </si>
  <si>
    <t>RO3-phsbstrtalc-run-exp</t>
  </si>
  <si>
    <t>RO3-phsbsprvdrg-run-exp</t>
  </si>
  <si>
    <t>RO3-phsbsprvalc-run-exp</t>
  </si>
  <si>
    <t>RO3-phsbsspc-run-exp</t>
  </si>
  <si>
    <t>RO3-phsmkstp-run-exp</t>
  </si>
  <si>
    <t>RO3-phsmkcnt-run-exp</t>
  </si>
  <si>
    <t>RO3-phchl-run-exp</t>
  </si>
  <si>
    <t>RO3-phbbymnd-run-exp</t>
  </si>
  <si>
    <t>RO3-phbbyoth-run-exp</t>
  </si>
  <si>
    <t>RO3-phwrk-run-exp</t>
  </si>
  <si>
    <t>RO3-phmnt-run-exp</t>
  </si>
  <si>
    <t>RO3-phmsc-run-exp</t>
  </si>
  <si>
    <t>RO3-phttt-run-exp</t>
  </si>
  <si>
    <t>RO3-phcvd19-run-exp</t>
  </si>
  <si>
    <t>RO3-phtot-run-exp</t>
  </si>
  <si>
    <t>RO3-phsup-anc-exp-csc-run-exp</t>
  </si>
  <si>
    <t>RO3-phsup-anc-exp-asc-run-exp</t>
  </si>
  <si>
    <t>RO3-cscsr-tot-exp</t>
  </si>
  <si>
    <t>RO3-csclkd-tot-exp</t>
  </si>
  <si>
    <t>RO3-csclkdres-tot-exp</t>
  </si>
  <si>
    <t>RO3-csclkdfos-tot-exp</t>
  </si>
  <si>
    <t>RO3-csclkdasy-tot-exp</t>
  </si>
  <si>
    <t>RO3-csclkdoth-tot-exp</t>
  </si>
  <si>
    <t>RO3-cscoth-tot-exp</t>
  </si>
  <si>
    <t>RO3-cscfml-tot-exp</t>
  </si>
  <si>
    <t>RO3-cscyth-tot-exp</t>
  </si>
  <si>
    <t>RO3-cscsfg-tot-exp</t>
  </si>
  <si>
    <t>RO3-cscasy-tot-exp</t>
  </si>
  <si>
    <t>RO3-cscsrv-tot-exp</t>
  </si>
  <si>
    <t>RO3-csctot-tot-exp</t>
  </si>
  <si>
    <t>RO3-ascphyadl-tot-exp</t>
  </si>
  <si>
    <t>RO3-ascphyold-tot-exp</t>
  </si>
  <si>
    <t>RO3-ascsnsadl-tot-exp</t>
  </si>
  <si>
    <t>RO3-ascsnsold-tot-exp</t>
  </si>
  <si>
    <t>RO3-ascmmradl-tot-exp</t>
  </si>
  <si>
    <t>RO3-ascmmrold-tot-exp</t>
  </si>
  <si>
    <t>RO3-asclrnadl-tot-exp</t>
  </si>
  <si>
    <t>RO3-asclrnold-tot-exp</t>
  </si>
  <si>
    <t>RO3-ascmntadl-tot-exp</t>
  </si>
  <si>
    <t>RO3-ascmntold-tot-exp</t>
  </si>
  <si>
    <t>RO3-ascsclsbs-tot-exp</t>
  </si>
  <si>
    <t>RO3-ascsclasy-tot-exp</t>
  </si>
  <si>
    <t>RO3-ascsclisl-tot-exp</t>
  </si>
  <si>
    <t>RO3-ascsclcrr-tot-exp</t>
  </si>
  <si>
    <t>RO3-ascsclcrradl-tot-exp</t>
  </si>
  <si>
    <t>RO3-ascsclcrrold-tot-exp</t>
  </si>
  <si>
    <t>RO3-ascass-tot-exp</t>
  </si>
  <si>
    <t>RO3-ascassadl-tot-exp</t>
  </si>
  <si>
    <t>RO3-ascassold-tot-exp</t>
  </si>
  <si>
    <t>RO3-asccrasssfg-tot-exp</t>
  </si>
  <si>
    <t>RO3-asccrasssfgadl-tot-exp</t>
  </si>
  <si>
    <t>RO3-asccrasssfgold-tot-exp</t>
  </si>
  <si>
    <t>RO3-ascinf-tot-exp</t>
  </si>
  <si>
    <t>RO3-ascinfadl-tot-exp</t>
  </si>
  <si>
    <t>RO3-ascinfold-tot-exp</t>
  </si>
  <si>
    <t>RO3-asccmstad-tot-exp</t>
  </si>
  <si>
    <t>RO3-asccmstadadl-tot-exp</t>
  </si>
  <si>
    <t>RO3-asccmstadold-tot-exp</t>
  </si>
  <si>
    <t>RO3-ascdsbcr-tot-exp</t>
  </si>
  <si>
    <t>RO3-ascothnondsbcr-tot-exp</t>
  </si>
  <si>
    <t>RO3-asctot-tot-exp</t>
  </si>
  <si>
    <t>RO3-phsxlsti-tot-exp</t>
  </si>
  <si>
    <t>RO3-phsxlcnt-tot-exp</t>
  </si>
  <si>
    <t>RO3-phsxlprm-tot-exp</t>
  </si>
  <si>
    <t>RO3-phhcp-tot-exp</t>
  </si>
  <si>
    <t>RO3-phprt-tot-exp</t>
  </si>
  <si>
    <t>RO3-phcmp-tot-exp</t>
  </si>
  <si>
    <t>RO3-phadv-tot-exp</t>
  </si>
  <si>
    <t>RO3-phobsadl-tot-exp</t>
  </si>
  <si>
    <t>RO3-phobschl-tot-exp</t>
  </si>
  <si>
    <t>RO3-phphyadl-tot-exp</t>
  </si>
  <si>
    <t>RO3-phphychl-tot-exp</t>
  </si>
  <si>
    <t>RO3-phsbstrtdrg-tot-exp</t>
  </si>
  <si>
    <t>RO3-phsbstrtalc-tot-exp</t>
  </si>
  <si>
    <t>RO3-phsbsprvdrg-tot-exp</t>
  </si>
  <si>
    <t>RO3-phsbsprvalc-tot-exp</t>
  </si>
  <si>
    <t>RO3-phsbsspc-tot-exp</t>
  </si>
  <si>
    <t>RO3-phsmkstp-tot-exp</t>
  </si>
  <si>
    <t>RO3-phsmkcnt-tot-exp</t>
  </si>
  <si>
    <t>RO3-phchl-tot-exp</t>
  </si>
  <si>
    <t>RO3-phbbymnd-tot-exp</t>
  </si>
  <si>
    <t>RO3-phbbyoth-tot-exp</t>
  </si>
  <si>
    <t>RO3-phwrk-tot-exp</t>
  </si>
  <si>
    <t>RO3-phmnt-tot-exp</t>
  </si>
  <si>
    <t>RO3-phmsc-tot-exp</t>
  </si>
  <si>
    <t>RO3-phttt-tot-exp</t>
  </si>
  <si>
    <t>RO3-phcvd19-tot-exp</t>
  </si>
  <si>
    <t>RO3-phtot-tot-exp</t>
  </si>
  <si>
    <t>RO3-phsup-anc-exp-csc-tot-exp</t>
  </si>
  <si>
    <t>RO3-phsup-anc-exp-asc-tot-exp</t>
  </si>
  <si>
    <t>RO3-cscsr-sfc</t>
  </si>
  <si>
    <t>RO3-csclkd-sfc</t>
  </si>
  <si>
    <t>RO3-csclkdres-sfc</t>
  </si>
  <si>
    <t>RO3-csclkdfos-sfc</t>
  </si>
  <si>
    <t>RO3-csclkdasy-sfc</t>
  </si>
  <si>
    <t>RO3-csclkdoth-sfc</t>
  </si>
  <si>
    <t>RO3-cscoth-sfc</t>
  </si>
  <si>
    <t>RO3-cscfml-sfc</t>
  </si>
  <si>
    <t>RO3-cscyth-sfc</t>
  </si>
  <si>
    <t>RO3-cscsfg-sfc</t>
  </si>
  <si>
    <t>RO3-cscasy-sfc</t>
  </si>
  <si>
    <t>RO3-cscsrv-sfc</t>
  </si>
  <si>
    <t>RO3-csctot-sfc</t>
  </si>
  <si>
    <t>RO3-ascphyadl-sfc</t>
  </si>
  <si>
    <t>RO3-ascphyold-sfc</t>
  </si>
  <si>
    <t>RO3-ascsnsadl-sfc</t>
  </si>
  <si>
    <t>RO3-ascsnsold-sfc</t>
  </si>
  <si>
    <t>RO3-ascmmradl-sfc</t>
  </si>
  <si>
    <t>RO3-ascmmrold-sfc</t>
  </si>
  <si>
    <t>RO3-asclrnadl-sfc</t>
  </si>
  <si>
    <t>RO3-asclrnold-sfc</t>
  </si>
  <si>
    <t>RO3-ascmntadl-sfc</t>
  </si>
  <si>
    <t>RO3-ascmntold-sfc</t>
  </si>
  <si>
    <t>RO3-ascsclsbs-sfc</t>
  </si>
  <si>
    <t>RO3-ascsclasy-sfc</t>
  </si>
  <si>
    <t>RO3-ascsclisl-sfc</t>
  </si>
  <si>
    <t>RO3-ascsclcrr-sfc</t>
  </si>
  <si>
    <t>RO3-ascsclcrradl-sfc</t>
  </si>
  <si>
    <t>RO3-ascsclcrrold-sfc</t>
  </si>
  <si>
    <t>RO3-ascass-sfc</t>
  </si>
  <si>
    <t>RO3-ascassadl-sfc</t>
  </si>
  <si>
    <t>RO3-ascassold-sfc</t>
  </si>
  <si>
    <t>RO3-asccrasssfg-sfc</t>
  </si>
  <si>
    <t>RO3-asccrasssfgadl-sfc</t>
  </si>
  <si>
    <t>RO3-asccrasssfgold-sfc</t>
  </si>
  <si>
    <t>RO3-ascinf-sfc</t>
  </si>
  <si>
    <t>RO3-ascinfadl-sfc</t>
  </si>
  <si>
    <t>RO3-ascinfold-sfc</t>
  </si>
  <si>
    <t>RO3-asccmstad-sfc</t>
  </si>
  <si>
    <t>RO3-asccmstadadl-sfc</t>
  </si>
  <si>
    <t>RO3-asccmstadold-sfc</t>
  </si>
  <si>
    <t>RO3-ascdsbcr-sfc</t>
  </si>
  <si>
    <t>RO3-ascothnondsbcr-sfc</t>
  </si>
  <si>
    <t>RO3-asctot-sfc</t>
  </si>
  <si>
    <t>RO3-phsxlsti-sfc</t>
  </si>
  <si>
    <t>RO3-phsxlcnt-sfc</t>
  </si>
  <si>
    <t>RO3-phsxlprm-sfc</t>
  </si>
  <si>
    <t>RO3-phhcp-sfc</t>
  </si>
  <si>
    <t>RO3-phprt-sfc</t>
  </si>
  <si>
    <t>RO3-phcmp-sfc</t>
  </si>
  <si>
    <t>RO3-phadv-sfc</t>
  </si>
  <si>
    <t>RO3-phobsadl-sfc</t>
  </si>
  <si>
    <t>RO3-phobschl-sfc</t>
  </si>
  <si>
    <t>RO3-phphyadl-sfc</t>
  </si>
  <si>
    <t>RO3-phphychl-sfc</t>
  </si>
  <si>
    <t>RO3-phsbstrtdrg-sfc</t>
  </si>
  <si>
    <t>RO3-phsbstrtalc-sfc</t>
  </si>
  <si>
    <t>RO3-phsbsprvdrg-sfc</t>
  </si>
  <si>
    <t>RO3-phsbsprvalc-sfc</t>
  </si>
  <si>
    <t>RO3-phsbsspc-sfc</t>
  </si>
  <si>
    <t>RO3-phsmkstp-sfc</t>
  </si>
  <si>
    <t>RO3-phsmkcnt-sfc</t>
  </si>
  <si>
    <t>RO3-phchl-sfc</t>
  </si>
  <si>
    <t>RO3-phbbymnd-sfc</t>
  </si>
  <si>
    <t>RO3-phbbyoth-sfc</t>
  </si>
  <si>
    <t>RO3-phwrk-sfc</t>
  </si>
  <si>
    <t>RO3-phmnt-sfc</t>
  </si>
  <si>
    <t>RO3-phmsc-sfc</t>
  </si>
  <si>
    <t>RO3-phttt-sfc</t>
  </si>
  <si>
    <t>RO3-phcvd19-sfc</t>
  </si>
  <si>
    <t>RO3-phtot-sfc</t>
  </si>
  <si>
    <t>RO3-phsup-anc-exp-csc-sfc</t>
  </si>
  <si>
    <t>RO3-phsup-anc-exp-asc-sfc</t>
  </si>
  <si>
    <t>RO3-cscsr-oth-inc</t>
  </si>
  <si>
    <t>RO3-csclkd-oth-inc</t>
  </si>
  <si>
    <t>RO3-csclkdres-oth-inc</t>
  </si>
  <si>
    <t>RO3-csclkdfos-oth-inc</t>
  </si>
  <si>
    <t>RO3-csclkdasy-oth-inc</t>
  </si>
  <si>
    <t>RO3-csclkdoth-oth-inc</t>
  </si>
  <si>
    <t>RO3-cscoth-oth-inc</t>
  </si>
  <si>
    <t>RO3-cscfml-oth-inc</t>
  </si>
  <si>
    <t>RO3-cscyth-oth-inc</t>
  </si>
  <si>
    <t>RO3-cscsfg-oth-inc</t>
  </si>
  <si>
    <t>RO3-cscasy-oth-inc</t>
  </si>
  <si>
    <t>RO3-cscsrv-oth-inc</t>
  </si>
  <si>
    <t>RO3-csctot-oth-inc</t>
  </si>
  <si>
    <t>RO3-ascphyadl-oth-inc</t>
  </si>
  <si>
    <t>RO3-ascphyold-oth-inc</t>
  </si>
  <si>
    <t>RO3-ascsnsadl-oth-inc</t>
  </si>
  <si>
    <t>RO3-ascsnsold-oth-inc</t>
  </si>
  <si>
    <t>RO3-ascmmradl-oth-inc</t>
  </si>
  <si>
    <t>RO3-ascmmrold-oth-inc</t>
  </si>
  <si>
    <t>RO3-asclrnadl-oth-inc</t>
  </si>
  <si>
    <t>RO3-asclrnold-oth-inc</t>
  </si>
  <si>
    <t>RO3-ascmntadl-oth-inc</t>
  </si>
  <si>
    <t>RO3-ascmntold-oth-inc</t>
  </si>
  <si>
    <t>RO3-ascsclsbs-oth-inc</t>
  </si>
  <si>
    <t>RO3-ascsclasy-oth-inc</t>
  </si>
  <si>
    <t>RO3-ascsclisl-oth-inc</t>
  </si>
  <si>
    <t>RO3-ascsclcrr-oth-inc</t>
  </si>
  <si>
    <t>RO3-ascsclcrradl-oth-inc</t>
  </si>
  <si>
    <t>RO3-ascsclcrrold-oth-inc</t>
  </si>
  <si>
    <t>RO3-ascass-oth-inc</t>
  </si>
  <si>
    <t>RO3-ascassadl-oth-inc</t>
  </si>
  <si>
    <t>RO3-ascassold-oth-inc</t>
  </si>
  <si>
    <t>RO3-asccrasssfg-oth-inc</t>
  </si>
  <si>
    <t>RO3-asccrasssfgadl-oth-inc</t>
  </si>
  <si>
    <t>RO3-asccrasssfgold-oth-inc</t>
  </si>
  <si>
    <t>RO3-ascinf-oth-inc</t>
  </si>
  <si>
    <t>RO3-ascinfadl-oth-inc</t>
  </si>
  <si>
    <t>RO3-ascinfold-oth-inc</t>
  </si>
  <si>
    <t>RO3-asccmstad-oth-inc</t>
  </si>
  <si>
    <t>RO3-asccmstadadl-oth-inc</t>
  </si>
  <si>
    <t>RO3-asccmstadold-oth-inc</t>
  </si>
  <si>
    <t>RO3-ascdsbcr-oth-inc</t>
  </si>
  <si>
    <t>RO3-ascothnondsbcr-oth-inc</t>
  </si>
  <si>
    <t>RO3-asctot-oth-inc</t>
  </si>
  <si>
    <t>RO3-phsxlsti-oth-inc</t>
  </si>
  <si>
    <t>RO3-phsxlcnt-oth-inc</t>
  </si>
  <si>
    <t>RO3-phsxlprm-oth-inc</t>
  </si>
  <si>
    <t>RO3-phhcp-oth-inc</t>
  </si>
  <si>
    <t>RO3-phprt-oth-inc</t>
  </si>
  <si>
    <t>RO3-phcmp-oth-inc</t>
  </si>
  <si>
    <t>RO3-phadv-oth-inc</t>
  </si>
  <si>
    <t>RO3-phobsadl-oth-inc</t>
  </si>
  <si>
    <t>RO3-phobschl-oth-inc</t>
  </si>
  <si>
    <t>RO3-phphyadl-oth-inc</t>
  </si>
  <si>
    <t>RO3-phphychl-oth-inc</t>
  </si>
  <si>
    <t>RO3-phsbstrtdrg-oth-inc</t>
  </si>
  <si>
    <t>RO3-phsbstrtalc-oth-inc</t>
  </si>
  <si>
    <t>RO3-phsbsprvdrg-oth-inc</t>
  </si>
  <si>
    <t>RO3-phsbsprvalc-oth-inc</t>
  </si>
  <si>
    <t>RO3-phsbsspc-oth-inc</t>
  </si>
  <si>
    <t>RO3-phsmkstp-oth-inc</t>
  </si>
  <si>
    <t>RO3-phsmkcnt-oth-inc</t>
  </si>
  <si>
    <t>RO3-phchl-oth-inc</t>
  </si>
  <si>
    <t>RO3-phbbymnd-oth-inc</t>
  </si>
  <si>
    <t>RO3-phbbyoth-oth-inc</t>
  </si>
  <si>
    <t>RO3-phwrk-oth-inc</t>
  </si>
  <si>
    <t>RO3-phmnt-oth-inc</t>
  </si>
  <si>
    <t>RO3-phmsc-oth-inc</t>
  </si>
  <si>
    <t>RO3-phttt-oth-inc</t>
  </si>
  <si>
    <t>RO3-phcvd19-oth-inc</t>
  </si>
  <si>
    <t>RO3-phtot-oth-inc</t>
  </si>
  <si>
    <t>RO3-phsup-anc-exp-csc-oth-inc</t>
  </si>
  <si>
    <t>RO3-phsup-anc-exp-asc-oth-inc</t>
  </si>
  <si>
    <t>RO3-cscsr-tot-inc</t>
  </si>
  <si>
    <t>RO3-csclkd-tot-inc</t>
  </si>
  <si>
    <t>RO3-csclkdres-tot-inc</t>
  </si>
  <si>
    <t>RO3-csclkdfos-tot-inc</t>
  </si>
  <si>
    <t>RO3-csclkdasy-tot-inc</t>
  </si>
  <si>
    <t>RO3-csclkdoth-tot-inc</t>
  </si>
  <si>
    <t>RO3-cscoth-tot-inc</t>
  </si>
  <si>
    <t>RO3-cscfml-tot-inc</t>
  </si>
  <si>
    <t>RO3-cscyth-tot-inc</t>
  </si>
  <si>
    <t>RO3-cscsfg-tot-inc</t>
  </si>
  <si>
    <t>RO3-cscasy-tot-inc</t>
  </si>
  <si>
    <t>RO3-cscsrv-tot-inc</t>
  </si>
  <si>
    <t>RO3-csctot-tot-inc</t>
  </si>
  <si>
    <t>RO3-ascphyadl-tot-inc</t>
  </si>
  <si>
    <t>RO3-ascphyold-tot-inc</t>
  </si>
  <si>
    <t>RO3-ascsnsadl-tot-inc</t>
  </si>
  <si>
    <t>RO3-ascsnsold-tot-inc</t>
  </si>
  <si>
    <t>RO3-ascmmradl-tot-inc</t>
  </si>
  <si>
    <t>RO3-ascmmrold-tot-inc</t>
  </si>
  <si>
    <t>RO3-asclrnadl-tot-inc</t>
  </si>
  <si>
    <t>RO3-asclrnold-tot-inc</t>
  </si>
  <si>
    <t>RO3-ascmntadl-tot-inc</t>
  </si>
  <si>
    <t>RO3-ascmntold-tot-inc</t>
  </si>
  <si>
    <t>RO3-ascsclsbs-tot-inc</t>
  </si>
  <si>
    <t>RO3-ascsclasy-tot-inc</t>
  </si>
  <si>
    <t>RO3-ascsclisl-tot-inc</t>
  </si>
  <si>
    <t>RO3-ascsclcrr-tot-inc</t>
  </si>
  <si>
    <t>RO3-ascsclcrrold-tot-inc</t>
  </si>
  <si>
    <t>RO3-ascsclcrradl-tot-inc</t>
  </si>
  <si>
    <t>RO3-ascass-tot-inc</t>
  </si>
  <si>
    <t>RO3-ascassadl-tot-inc</t>
  </si>
  <si>
    <t>RO3-ascassold-tot-inc</t>
  </si>
  <si>
    <t>RO3-asccrasssfg-tot-inc</t>
  </si>
  <si>
    <t>RO3-asccrasssfgadl-tot-inc</t>
  </si>
  <si>
    <t>RO3-asccrasssfgold-tot-inc</t>
  </si>
  <si>
    <t>RO3-ascinf-tot-inc</t>
  </si>
  <si>
    <t>RO3-ascinfadl-tot-inc</t>
  </si>
  <si>
    <t>RO3-ascinfold-tot-inc</t>
  </si>
  <si>
    <t>RO3-asccmstad-tot-inc</t>
  </si>
  <si>
    <t>RO3-asccmstadadl-tot-inc</t>
  </si>
  <si>
    <t>RO3-asccmstadold-tot-inc</t>
  </si>
  <si>
    <t>RO3-ascdsbcr-tot-inc</t>
  </si>
  <si>
    <t>RO3-ascothnondsbcr-tot-inc</t>
  </si>
  <si>
    <t>RO3-asctot-tot-inc</t>
  </si>
  <si>
    <t>RO3-phsxlsti-tot-inc</t>
  </si>
  <si>
    <t>RO3-phsxlcnt-tot-inc</t>
  </si>
  <si>
    <t>RO3-phsxlprm-tot-inc</t>
  </si>
  <si>
    <t>RO3-phhcp-tot-inc</t>
  </si>
  <si>
    <t>RO3-phprt-tot-inc</t>
  </si>
  <si>
    <t>RO3-phcmp-tot-inc</t>
  </si>
  <si>
    <t>RO3-phadv-tot-inc</t>
  </si>
  <si>
    <t>RO3-phobsadl-tot-inc</t>
  </si>
  <si>
    <t>RO3-phobschl-tot-inc</t>
  </si>
  <si>
    <t>RO3-phphyadl-tot-inc</t>
  </si>
  <si>
    <t>RO3-phphychl-tot-inc</t>
  </si>
  <si>
    <t>RO3-phsbstrtdrg-tot-inc</t>
  </si>
  <si>
    <t>RO3-phsbstrtalc-tot-inc</t>
  </si>
  <si>
    <t>RO3-phsbsprvdrg-tot-inc</t>
  </si>
  <si>
    <t>RO3-phsbsprvalc-tot-inc</t>
  </si>
  <si>
    <t>RO3-phsbsspc-tot-inc</t>
  </si>
  <si>
    <t>RO3-phsmkstp-tot-inc</t>
  </si>
  <si>
    <t>RO3-phsmkcnt-tot-inc</t>
  </si>
  <si>
    <t>RO3-phchl-tot-inc</t>
  </si>
  <si>
    <t>RO3-phbbymnd-tot-inc</t>
  </si>
  <si>
    <t>RO3-phbbyoth-tot-inc</t>
  </si>
  <si>
    <t>RO3-phwrk-tot-inc</t>
  </si>
  <si>
    <t>RO3-phmnt-tot-inc</t>
  </si>
  <si>
    <t>RO3-phmsc-tot-inc</t>
  </si>
  <si>
    <t>RO3-phttt-tot-inc</t>
  </si>
  <si>
    <t>RO3-phcvd19-tot-inc</t>
  </si>
  <si>
    <t>RO3-phtot-tot-inc</t>
  </si>
  <si>
    <t>RO3-phsup-anc-exp-csc-tot-inc</t>
  </si>
  <si>
    <t>RO3-phsup-anc-exp-asc-tot-inc</t>
  </si>
  <si>
    <t>RO3-ascsclcrradl-net-cur-exp</t>
  </si>
  <si>
    <t>RO3-ascsclcrrold-net-cur-exp</t>
  </si>
  <si>
    <t>RO3-ascassadl-net-cur-exp</t>
  </si>
  <si>
    <t>RO3-ascassold-net-cur-exp</t>
  </si>
  <si>
    <t>RO3-asccrasssfgadl-net-cur-exp</t>
  </si>
  <si>
    <t>RO3-asccrasssfgold-net-cur-exp</t>
  </si>
  <si>
    <t>RO3-ascinfadl-net-cur-exp</t>
  </si>
  <si>
    <t>RO3-ascinfold-net-cur-exp</t>
  </si>
  <si>
    <t>RO3-asccmstadadl-net-cur-exp</t>
  </si>
  <si>
    <t>RO3-asccmstadold-net-cur-exp</t>
  </si>
  <si>
    <t>RO4-hous-error</t>
  </si>
  <si>
    <t>RO4-housgfcfstr-hous-str-adv-enb-empl</t>
  </si>
  <si>
    <t>RO4-housgfcfstr-hous-adv-empl</t>
  </si>
  <si>
    <t>RO4-housprvsecrnw-adm-rpr-imp-empl</t>
  </si>
  <si>
    <t>RO4-housprvsecrnw-oth-empl</t>
  </si>
  <si>
    <t>RO4-housgfcfhml-ngt-prv-mng-acc-empl</t>
  </si>
  <si>
    <t>RO4-housgfcfhml-prv-acc-lsd-empl</t>
  </si>
  <si>
    <t>RO4-housgfcfhml-hst-incl-rcpt-empl</t>
  </si>
  <si>
    <t>RO4-housgfcfhml-bb-htls-empl</t>
  </si>
  <si>
    <t>RO4-housgfcfhml-la-ha-stk-empl</t>
  </si>
  <si>
    <t>RO4-housgfcfhml-any-oth-temp-acc-empl</t>
  </si>
  <si>
    <t>RO4-housgfcfhml-tmp-acc-adm-empl</t>
  </si>
  <si>
    <t>RO4-housgfcfhml-hml-rdct-act-empl</t>
  </si>
  <si>
    <t>RO4-housgfcfhml-non-hml-rdct-act-empl</t>
  </si>
  <si>
    <t>RO4-housgfcfhml-hml-tot-empl</t>
  </si>
  <si>
    <t>RO4-housgfcfbnf-rnt-all-dsp-empl</t>
  </si>
  <si>
    <t>RO4-housgfcfbnf-non-hra-rbt-dsp-empl</t>
  </si>
  <si>
    <t>RO4-housgfcfbnf-rnt-rbt-hra-dsp-empl</t>
  </si>
  <si>
    <t>RO4-housgfcfbnfadm-empl</t>
  </si>
  <si>
    <t>RO4-housgfcfcnc-empl</t>
  </si>
  <si>
    <t>RO4-housgfcfwlfspp-empl</t>
  </si>
  <si>
    <t>RO4-housgfcfwlfoth-empl</t>
  </si>
  <si>
    <t>RO4-housgfcftot-empl</t>
  </si>
  <si>
    <t>RO4-housgfcfstr-hous-str-adv-enb-run-exp</t>
  </si>
  <si>
    <t>RO4-housgfcfstr-hous-adv-run-exp</t>
  </si>
  <si>
    <t>RO4-housprvsecrnw-adm-rpr-imp-run-exp</t>
  </si>
  <si>
    <t>RO4-housprvsecrnw-oth-run-exp</t>
  </si>
  <si>
    <t>RO4-housgfcfhml-ngt-prv-mng-acc-run-exp</t>
  </si>
  <si>
    <t>RO4-housgfcfhml-prv-acc-lsd-run-exp</t>
  </si>
  <si>
    <t>RO4-housgfcfhml-hst-incl-rcpt-run-exp</t>
  </si>
  <si>
    <t>RO4-housgfcfhml-bb-htls-run-exp</t>
  </si>
  <si>
    <t>RO4-housgfcfhml-la-ha-stk-run-exp</t>
  </si>
  <si>
    <t>RO4-housgfcfhml-any-oth-temp-acc-run-exp</t>
  </si>
  <si>
    <t>RO4-housgfcfhml-tmp-acc-adm-run-exp</t>
  </si>
  <si>
    <t>RO4-housgfcfhml-hml-rdct-act-run-exp</t>
  </si>
  <si>
    <t>RO4-housgfcfhml-non-hml-rdct-act-run-exp</t>
  </si>
  <si>
    <t>RO4-housgfcfhml-hml-tot-run-exp</t>
  </si>
  <si>
    <t>RO4-housgfcfbnf-rnt-all-dsp-run-exp</t>
  </si>
  <si>
    <t>RO4-housgfcfbnf-non-hra-rbt-dsp-run-exp</t>
  </si>
  <si>
    <t>RO4-housgfcfbnf-rnt-rbt-hra-dsp-run-exp</t>
  </si>
  <si>
    <t>RO4-housgfcfbnfadm-run-exp</t>
  </si>
  <si>
    <t>RO4-housgfcfcnc-run-exp</t>
  </si>
  <si>
    <t>RO4-housgfcfwlfspp-run-exp</t>
  </si>
  <si>
    <t>RO4-housgfcfwlfoth-run-exp</t>
  </si>
  <si>
    <t>RO4-housgfcftot-run-exp</t>
  </si>
  <si>
    <t>RO4-housgfcfstr-hous-str-adv-enb-tot-exp</t>
  </si>
  <si>
    <t>RO4-housgfcfstr-hous-adv-tot-exp</t>
  </si>
  <si>
    <t>RO4-housprvsecrnw-adm-rpr-imp-tot-exp</t>
  </si>
  <si>
    <t>RO4-housprvsecrnw-oth-tot-exp</t>
  </si>
  <si>
    <t>RO4-housgfcfhml-ngt-prv-mng-acc-tot-exp</t>
  </si>
  <si>
    <t>RO4-housgfcfhml-prv-acc-lsd-tot-exp</t>
  </si>
  <si>
    <t>RO4-housgfcfhml-hst-incl-rcpt-run-tot-exp</t>
  </si>
  <si>
    <t>RO4-housgfcfhml-bb-htls-tot-exp</t>
  </si>
  <si>
    <t>RO4-housgfcfhml-la-ha-stk-tot-exp</t>
  </si>
  <si>
    <t>RO4-housgfcfhml-any-oth-temp-acc-tot-exp</t>
  </si>
  <si>
    <t>RO4-housgfcfhml-tmp-acc-adm-tot-exp</t>
  </si>
  <si>
    <t>RO4-housgfcfhml-hml-rdct-act-tot-exp</t>
  </si>
  <si>
    <t>RO4-housgfcfhml-non-hml-rdct-act-tot-exp</t>
  </si>
  <si>
    <t>RO4-housgfcfhml-hml-tot-tot-exp</t>
  </si>
  <si>
    <t>RO4-housgfcfbnf-rnt-all-dsp-tot-exp</t>
  </si>
  <si>
    <t>RO4-housgfcfbnf-non-hra-rbt-dsp-tot-exp</t>
  </si>
  <si>
    <t>RO4-housgfcfbnf-rnt-rbt-hra-dsp-tot-exp</t>
  </si>
  <si>
    <t>RO4-housgfcfbnfadm-tot-exp</t>
  </si>
  <si>
    <t>RO4-housgfcfcnc-tot-exp</t>
  </si>
  <si>
    <t>RO4-housgfcfwlfspp-tot-exp</t>
  </si>
  <si>
    <t>RO4-housgfcfwlfoth-tot-exp</t>
  </si>
  <si>
    <t>RO4-housgfcftot-tot-exp</t>
  </si>
  <si>
    <t>RO4-housgfcfstr-hous-str-adv-enb-sfc</t>
  </si>
  <si>
    <t>RO4-housgfcfstr-hous-adv-sfc</t>
  </si>
  <si>
    <t>RO4-housprvsecrnw-adm-rpr-imp-sfc</t>
  </si>
  <si>
    <t>RO4-housprvsecrnw-oth-sfc</t>
  </si>
  <si>
    <t>RO4-housgfcfhml-ngt-prv-mng-acc-sfc</t>
  </si>
  <si>
    <t>RO4-housgfcfhml-prv-acc-lsd-sfc</t>
  </si>
  <si>
    <t>RO4-housgfcfhml-hst-incl-rcpt-sfc</t>
  </si>
  <si>
    <t>RO4-housgfcfhml-bb-htls-sfc</t>
  </si>
  <si>
    <t>RO4-housgfcfhml-la-ha-stk-sfc</t>
  </si>
  <si>
    <t>RO4-housgfcfhml-any-oth-temp-acc-sfc</t>
  </si>
  <si>
    <t>RO4-housgfcfhml-tmp-acc-adm-sfc</t>
  </si>
  <si>
    <t>RO4-housgfcfhml-hml-rdct-act-sfc</t>
  </si>
  <si>
    <t>RO4-housgfcfhml-non-hml-rdct-act-run-sfc</t>
  </si>
  <si>
    <t>RO4-housgfcfhml-hml-tot-sfc</t>
  </si>
  <si>
    <t>RO4-housgfcfbnf-rnt-all-dsp-sfc</t>
  </si>
  <si>
    <t>RO4-housgfcfbnf-non-hra-rbt-dsp-sfc</t>
  </si>
  <si>
    <t>RO4-housgfcfbnf-rnt-rbt-hra-dsp-sfc</t>
  </si>
  <si>
    <t>RO4-housgfcfbnfadm-sfc</t>
  </si>
  <si>
    <t>RO4-housgfcfcnc-sfc</t>
  </si>
  <si>
    <t>RO4-housgfcfwlfspp-sfc</t>
  </si>
  <si>
    <t>RO4-housgfcfwlfoth-sfc</t>
  </si>
  <si>
    <t>RO4-housgfcftot-sfc</t>
  </si>
  <si>
    <t>RO4-housgfcfstr-hous-str-adv-enb-oth-inc</t>
  </si>
  <si>
    <t>RO4-housgfcfstr-hous-adv-oth-inc</t>
  </si>
  <si>
    <t>RO4-housprvsecrnw-adm-rpr-imp-oth-inc</t>
  </si>
  <si>
    <t>RO4-housprvsecrnw-oth-oth-inc</t>
  </si>
  <si>
    <t>RO4-housgfcfhml-ngt-prv-mng-acc-oth-inc</t>
  </si>
  <si>
    <t>RO4-housgfcfhml-prv-acc-lsd-oth-inc</t>
  </si>
  <si>
    <t>RO4-housgfcfhml-hst-incl-rcpt-oth-inc</t>
  </si>
  <si>
    <t>RO4-housgfcfhml-bb-htls-oth-inc</t>
  </si>
  <si>
    <t>RO4-housgfcfhml-la-ha-stk-oth-inc</t>
  </si>
  <si>
    <t>RO4-housgfcfhml-any-oth-temp-acc-oth-inc</t>
  </si>
  <si>
    <t>RO4-housgfcfhml-tmp-acc-adm-oth-inc</t>
  </si>
  <si>
    <t>RO4-housgfcfhml-hml-rdct-act-oth-inc</t>
  </si>
  <si>
    <t>RO4-housgfcfhml-non-hml-rdct-act-run-oth-inc</t>
  </si>
  <si>
    <t>RO4-housgfcfhml-hml-tot-oth-inc</t>
  </si>
  <si>
    <t>RO4-housgfcfbnf-rnt-all-dsp-oth-inc</t>
  </si>
  <si>
    <t>RO4-housgfcfbnf-non-hra-rbt-dsp-oth-inc</t>
  </si>
  <si>
    <t>RO4-housgfcfbnf-rnt-rbt-hra-dsp-oth-inc</t>
  </si>
  <si>
    <t>RO4-housgfcfbnfadm-oth-inc</t>
  </si>
  <si>
    <t>RO4-housgfcfcnc-oth-inc</t>
  </si>
  <si>
    <t>RO4-housgfcfwlfspp-oth-inc</t>
  </si>
  <si>
    <t>RO4-housgfcfwlfoth-oth-inc</t>
  </si>
  <si>
    <t>RO4-housgfcftot-oth-inc</t>
  </si>
  <si>
    <t>RO4-housgfcfstr-hous-str-adv-enb-tot-inc</t>
  </si>
  <si>
    <t>RO4-housgfcfstr-hous-adv-tot-inc</t>
  </si>
  <si>
    <t>RO4-housprvsecrnw-adm-rpr-imp-tot-inc</t>
  </si>
  <si>
    <t>RO4-housprvsecrnw-oth-tot-inc</t>
  </si>
  <si>
    <t>RO4-housgfcfhml-ngt-prv-mng-acc-tot-inc</t>
  </si>
  <si>
    <t>RO4-housgfcfhml-prv-acc-lsd-tot-inc</t>
  </si>
  <si>
    <t>RO4-housgfcfhml-hst-incl-rcpt-tot-inc</t>
  </si>
  <si>
    <t>RO4-housgfcfhml-bb-htls-tot-inc</t>
  </si>
  <si>
    <t>RO4-housgfcfhml-la-ha-stk-tot-inc</t>
  </si>
  <si>
    <t>RO4-housgfcfhml-any-oth-temp-acc-tot-inc</t>
  </si>
  <si>
    <t>RO4-housgfcfhml-tmp-acc-adm-tot-inc</t>
  </si>
  <si>
    <t>RO4-housgfcfhml-hml-rdct-act-tot-inc</t>
  </si>
  <si>
    <t>RO4-housgfcfhml-non-hml-rdct-act-run-tot-inc</t>
  </si>
  <si>
    <t>RO4-housgfcfhml-hml-tot-tot-inc</t>
  </si>
  <si>
    <t>RO4-housgfcfbnf-rnt-all-dsp-tot-inc</t>
  </si>
  <si>
    <t>RO4-housgfcfbnf-non-hra-rbt-dsp-tot-inc</t>
  </si>
  <si>
    <t>RO4-housgfcfbnf-rnt-rbt-hra-dsp-tot-inc</t>
  </si>
  <si>
    <t>RO4-housgfcfbnfadm-tot-inc</t>
  </si>
  <si>
    <t>RO4-housgfcfcnc-tot-inc</t>
  </si>
  <si>
    <t>RO4-housgfcfwlfspp-tot-inc</t>
  </si>
  <si>
    <t>RO4-housgfcfwlfoth-tot-inc</t>
  </si>
  <si>
    <t>RO4-housgfcftot-tot-inc</t>
  </si>
  <si>
    <t>RO4-reshra-end-cy</t>
  </si>
  <si>
    <t>RO5-cul-error</t>
  </si>
  <si>
    <t>RO5-culhrtarc-run-exp</t>
  </si>
  <si>
    <t>RO5-culhrt-art-dvl-spp-run-exp</t>
  </si>
  <si>
    <t>RO5-culhrt-hrt-run-exp</t>
  </si>
  <si>
    <t>RO5-culhrt-msm-gll-run-exp</t>
  </si>
  <si>
    <t>RO5-culhrt-tht-pbl-ent-run-exp</t>
  </si>
  <si>
    <t>RO5-culspr-cmm-cen-pub-hll-run-exp</t>
  </si>
  <si>
    <t>RO5-culspr-frs-run-exp</t>
  </si>
  <si>
    <t>RO5-culspr-spr-dvl-cmm-rec-run-exp</t>
  </si>
  <si>
    <t>RO5-culspr-spr-lsr-fcl-run-exp</t>
  </si>
  <si>
    <t>RO5-culprk-opn-run-exp</t>
  </si>
  <si>
    <t>RO5-culall-run-exp</t>
  </si>
  <si>
    <t>RO5-cultrs-run-exp</t>
  </si>
  <si>
    <t>RO5-cullib-run-exp</t>
  </si>
  <si>
    <t>RO5-cultot-run-exp</t>
  </si>
  <si>
    <t>RO5-envcmt-run-exp</t>
  </si>
  <si>
    <t>RO5-envrgltrd-run-exp</t>
  </si>
  <si>
    <t>RO5-envrglenvwtr-run-exp</t>
  </si>
  <si>
    <t>RO5-envrglenvfd-run-exp</t>
  </si>
  <si>
    <t>RO5-envrglenvenv-run-exp</t>
  </si>
  <si>
    <t>RO5-envrglenvhsn-run-exp</t>
  </si>
  <si>
    <t>RO5-envrglenvhs-run-exp</t>
  </si>
  <si>
    <t>RO5-envrglenvprtxlvs-run-exp</t>
  </si>
  <si>
    <t>RO5-envrglenvprtlvs-run-exp</t>
  </si>
  <si>
    <t>RO5-envrglenvpst-run-exp</t>
  </si>
  <si>
    <t>RO5-envrglenvtlt-run-exp</t>
  </si>
  <si>
    <t>RO5-envrglenvanm-run-exp</t>
  </si>
  <si>
    <t>RO5-envrglenvlcn-run-exp</t>
  </si>
  <si>
    <t>RO5-envcmmcrm-run-exp</t>
  </si>
  <si>
    <t>RO5-envcmmsft-run-exp</t>
  </si>
  <si>
    <t>RO5-envcmmcct-run-exp</t>
  </si>
  <si>
    <t>RO5-envfldfld-run-exp</t>
  </si>
  <si>
    <t>RO5-envflddrn-run-exp</t>
  </si>
  <si>
    <t>RO5-envflddrnlev-run-exp</t>
  </si>
  <si>
    <t>RO5-envcst-run-exp</t>
  </si>
  <si>
    <t>RO5-envagr-run-exp</t>
  </si>
  <si>
    <t>RO5-envstr-run-exp</t>
  </si>
  <si>
    <t>RO5-envcll-run-exp</t>
  </si>
  <si>
    <t>RO5-envdsp-run-exp</t>
  </si>
  <si>
    <t>RO5-envtrd-run-exp</t>
  </si>
  <si>
    <t>RO5-envrcy-run-exp</t>
  </si>
  <si>
    <t>RO5-envmin-run-exp</t>
  </si>
  <si>
    <t>RO5-envclm-run-exp</t>
  </si>
  <si>
    <t>RO5-envtot-run-exp</t>
  </si>
  <si>
    <t>RO5-planbld-run-exp</t>
  </si>
  <si>
    <t>RO5-plandvl-run-exp</t>
  </si>
  <si>
    <t>RO5-planplc-cns-lst-bld-run-exp</t>
  </si>
  <si>
    <t>RO5-planplc-oth-run-exp</t>
  </si>
  <si>
    <t>RO5-planenv-run-exp</t>
  </si>
  <si>
    <t>RO5-planecndev-run-exp</t>
  </si>
  <si>
    <t>RO5-planecnrsr-run-exp</t>
  </si>
  <si>
    <t>RO5-planbsn-run-exp</t>
  </si>
  <si>
    <t>RO5-plancmm-run-exp</t>
  </si>
  <si>
    <t>RO5-plantot-run-exp</t>
  </si>
  <si>
    <t>RO5-culenvplantot-run-exp</t>
  </si>
  <si>
    <t>RO5-culhrtarc-tot-exp</t>
  </si>
  <si>
    <t>RO5-culhrt-art-dvl-spp-tot-exp</t>
  </si>
  <si>
    <t>RO5-culhrt-hrt-tot-exp</t>
  </si>
  <si>
    <t>RO5-culhrt-msm-gll-tot-exp</t>
  </si>
  <si>
    <t>RO5-culhrt-tht-pbl-ent-tot-exp</t>
  </si>
  <si>
    <t>RO5-culspr-cmm-cen-pub-hll-tot-exp</t>
  </si>
  <si>
    <t>RO5-culspr-frs-tot-exp</t>
  </si>
  <si>
    <t>RO5-culspr-spr-dvl-cmm-rec-tot-exp</t>
  </si>
  <si>
    <t>RO5-culspr-spr-lsr-fcl-tot-exp</t>
  </si>
  <si>
    <t>RO5-culprk-opn-tot-exp</t>
  </si>
  <si>
    <t>RO5-culall-tot-exp</t>
  </si>
  <si>
    <t>RO5-cultrs-tot-exp</t>
  </si>
  <si>
    <t>RO5-cullib-tot-exp</t>
  </si>
  <si>
    <t>RO5-cultot-tot-exp</t>
  </si>
  <si>
    <t>RO5-envcmt-tot-exp</t>
  </si>
  <si>
    <t>RO5-envrgltrd-tot-exp</t>
  </si>
  <si>
    <t>RO5-envrglenvwtr-tot-exp</t>
  </si>
  <si>
    <t>RO5-envrglenvfd-tot-exp</t>
  </si>
  <si>
    <t>RO5-envrglenvenv-tot-exp</t>
  </si>
  <si>
    <t>RO5-envrglenvhsn-tot-exp</t>
  </si>
  <si>
    <t>RO5-envrglenvhs-tot-exp</t>
  </si>
  <si>
    <t>RO5-envrglenvprtxlvs-tot-exp</t>
  </si>
  <si>
    <t>RO5-envrglenvprtlvs-tot-exp</t>
  </si>
  <si>
    <t>RO5-envrglenvpst-tot-exp</t>
  </si>
  <si>
    <t>RO5-envrglenvtlt-tot-exp</t>
  </si>
  <si>
    <t>RO5-envrglenvanm-tot-exp</t>
  </si>
  <si>
    <t>RO5-envrglenvlcn-tot-exp</t>
  </si>
  <si>
    <t>RO5-envcmmcrm-tot-exp</t>
  </si>
  <si>
    <t>RO5-envcmmsft-tot-exp</t>
  </si>
  <si>
    <t>RO5-envcmmcct-tot-exp</t>
  </si>
  <si>
    <t>RO5-envfldfld-tot-exp</t>
  </si>
  <si>
    <t>RO5-envflddrn-tot-exp</t>
  </si>
  <si>
    <t>RO5-envflddrnlev-tot-exp</t>
  </si>
  <si>
    <t>RO5-envcst-tot-exp</t>
  </si>
  <si>
    <t>RO5-envagr-tot-exp</t>
  </si>
  <si>
    <t>RO5-envstr-tot-exp</t>
  </si>
  <si>
    <t>RO5-envcll-tot-exp</t>
  </si>
  <si>
    <t>RO5-envdsp-tot-exp</t>
  </si>
  <si>
    <t>RO5-envtrd-tot-exp</t>
  </si>
  <si>
    <t>RO5-envrcy-tot-exp</t>
  </si>
  <si>
    <t>RO5-envmin-tot-exp</t>
  </si>
  <si>
    <t>RO5-envclm-tot-exp</t>
  </si>
  <si>
    <t>RO5-envtot-tot-exp</t>
  </si>
  <si>
    <t>RO5-planbld-tot-exp</t>
  </si>
  <si>
    <t>RO5-plandvl-tot-exp</t>
  </si>
  <si>
    <t>RO5-planplc-cns-lst-bld-tot-exp</t>
  </si>
  <si>
    <t>RO5-planplc-oth-tot-exp</t>
  </si>
  <si>
    <t>RO5-planenv-tot-exp</t>
  </si>
  <si>
    <t>RO5-planecndev-tot-exp</t>
  </si>
  <si>
    <t>RO5-planecnrsr-tot-exp</t>
  </si>
  <si>
    <t>RO5-planbsn-tot-exp</t>
  </si>
  <si>
    <t>RO5-plancmm-tot-exp</t>
  </si>
  <si>
    <t>RO5-plantot-tot-exp</t>
  </si>
  <si>
    <t>RO5-culenvplantot-tot-exp</t>
  </si>
  <si>
    <t>RO5-culhrtarc-sfc</t>
  </si>
  <si>
    <t>RO5-culhrt-art-dvl-spp-sfc</t>
  </si>
  <si>
    <t>RO5-culhrt-hrt-sfc</t>
  </si>
  <si>
    <t>RO5-culhrt-msm-gll-sfc</t>
  </si>
  <si>
    <t>RO5-culhrt-tht-pbl-ent-sfc</t>
  </si>
  <si>
    <t>RO5-culspr-cmm-cen-pub-hll-sfc</t>
  </si>
  <si>
    <t>RO5-culspr-frs-sfc</t>
  </si>
  <si>
    <t>RO5-culspr-spr-dvl-cmm-rec-sfc</t>
  </si>
  <si>
    <t>RO5-culspr-spr-lsr-fcl-sfc</t>
  </si>
  <si>
    <t>RO5-culprk-opn-sfc</t>
  </si>
  <si>
    <t>RO5-culall-sfc</t>
  </si>
  <si>
    <t>RO5-cultrs-sfc</t>
  </si>
  <si>
    <t>RO5-cullib-sfc</t>
  </si>
  <si>
    <t>RO5-cultot-sfc</t>
  </si>
  <si>
    <t>RO5-envcmt-sfc</t>
  </si>
  <si>
    <t>RO5-envrgltrd-sfc</t>
  </si>
  <si>
    <t>RO5-envrglenvwtr-sfc</t>
  </si>
  <si>
    <t>RO5-envrglenvfd-sfc</t>
  </si>
  <si>
    <t>RO5-envrglenvenv-sfc</t>
  </si>
  <si>
    <t>RO5-envrglenvhsn-sfc</t>
  </si>
  <si>
    <t>RO5-envrglenvhs-sfc</t>
  </si>
  <si>
    <t>RO5-envrglenvprtxlvs-sfc</t>
  </si>
  <si>
    <t>RO5-envrglenvprtlvs-sfc</t>
  </si>
  <si>
    <t>RO5-envrglenvpst-sfc</t>
  </si>
  <si>
    <t>RO5-envrglenvtlt-sfc</t>
  </si>
  <si>
    <t>RO5-envrglenvanm-sfc</t>
  </si>
  <si>
    <t>RO5-envrglenvlcn-sfc</t>
  </si>
  <si>
    <t>RO5-envcmmcrm-sfc</t>
  </si>
  <si>
    <t>RO5-envcmmsft-sfc</t>
  </si>
  <si>
    <t>RO5-envcmmcct-sfc</t>
  </si>
  <si>
    <t>RO5-envfldfld-sfc</t>
  </si>
  <si>
    <t>RO5-envflddrn-sfc</t>
  </si>
  <si>
    <t>RO5-envflddrnlev-sfc</t>
  </si>
  <si>
    <t>RO5-envcst-sfc</t>
  </si>
  <si>
    <t>RO5-envagr-sfc</t>
  </si>
  <si>
    <t>RO5-envstr-sfc</t>
  </si>
  <si>
    <t>RO5-envcll-sfc</t>
  </si>
  <si>
    <t>RO5-envdsp-sfc</t>
  </si>
  <si>
    <t>RO5-envtrd-sfc</t>
  </si>
  <si>
    <t>RO5-envrcy-sfc</t>
  </si>
  <si>
    <t>RO5-envmin-sfc</t>
  </si>
  <si>
    <t>RO5-envclm-sfc</t>
  </si>
  <si>
    <t>RO5-envtot-sfc</t>
  </si>
  <si>
    <t>RO5-planbld-sfc</t>
  </si>
  <si>
    <t>RO5-plandvl-sfc</t>
  </si>
  <si>
    <t>RO5-planplc-cns-lst-bld-sfc</t>
  </si>
  <si>
    <t>RO5-planplc-oth-sfc</t>
  </si>
  <si>
    <t>RO5-planenv-sfc</t>
  </si>
  <si>
    <t>RO5-planecndev-sfc</t>
  </si>
  <si>
    <t>RO5-planecnrsr-sfc</t>
  </si>
  <si>
    <t>RO5-planbsn-sfc</t>
  </si>
  <si>
    <t>RO5-plancmm-sfc</t>
  </si>
  <si>
    <t>RO5-plantot-sfc</t>
  </si>
  <si>
    <t>RO5-culenvplantot-sfc</t>
  </si>
  <si>
    <t>RO5-culhrtarc-oth-inc</t>
  </si>
  <si>
    <t>RO5-culhrt-art-dvl-spp-oth-inc</t>
  </si>
  <si>
    <t>RO5-culhrt-hrt-oth-inc</t>
  </si>
  <si>
    <t>RO5-culhrt-msm-gll-oth-inc</t>
  </si>
  <si>
    <t>RO5-culhrt-tht-pbl-ent-oth-inc</t>
  </si>
  <si>
    <t>RO5-culspr-cmm-cen-pub-hll-oth-inc</t>
  </si>
  <si>
    <t>RO5-culspr-frs-oth-inc</t>
  </si>
  <si>
    <t>RO5-culspr-spr-dvl-cmm-rec-oth-inc</t>
  </si>
  <si>
    <t>RO5-culspr-spr-lsr-fcl-oth-inc</t>
  </si>
  <si>
    <t>RO5-culprk-opn-oth-inc</t>
  </si>
  <si>
    <t>RO5-culall-oth-inc</t>
  </si>
  <si>
    <t>RO5-cultrs-oth-inc</t>
  </si>
  <si>
    <t>RO5-cullib-oth-inc</t>
  </si>
  <si>
    <t>RO5-cultot-oth-inc</t>
  </si>
  <si>
    <t>RO5-envcmt-oth-inc</t>
  </si>
  <si>
    <t>RO5-envrgltrd-oth-inc</t>
  </si>
  <si>
    <t>RO5-envrglenvwtr-oth-inc</t>
  </si>
  <si>
    <t>RO5-envrglenvfd-oth-inc</t>
  </si>
  <si>
    <t>RO5-envrglenvenv-oth-inc</t>
  </si>
  <si>
    <t>RO5-envrglenvhsn-oth-inc</t>
  </si>
  <si>
    <t>RO5-envrglenvhs-oth-inc</t>
  </si>
  <si>
    <t>RO5-envrglenvprtxlvs-oth-inc</t>
  </si>
  <si>
    <t>RO5-envrglenvprtlvs-oth-inc</t>
  </si>
  <si>
    <t>RO5-envrglenvpst-oth-inc</t>
  </si>
  <si>
    <t>RO5-envrglenvtlt-oth-inc</t>
  </si>
  <si>
    <t>RO5-envrglenvanm-oth-inc</t>
  </si>
  <si>
    <t>RO5-envrglenvlcn-oth-inc</t>
  </si>
  <si>
    <t>RO5-envcmmcrm-oth-inc</t>
  </si>
  <si>
    <t>RO5-envcmmsft-oth-inc</t>
  </si>
  <si>
    <t>RO5-envcmmcct-oth-inc</t>
  </si>
  <si>
    <t>RO5-envfldfld-oth-inc</t>
  </si>
  <si>
    <t>RO5-envflddrn-oth-inc</t>
  </si>
  <si>
    <t>RO5-envflddrnlev-oth-inc</t>
  </si>
  <si>
    <t>RO5-envcst-oth-inc</t>
  </si>
  <si>
    <t>RO5-envagr-oth-inc</t>
  </si>
  <si>
    <t>RO5-envstr-oth-inc</t>
  </si>
  <si>
    <t>RO5-envcll-oth-inc</t>
  </si>
  <si>
    <t>RO5-envdsp-oth-inc</t>
  </si>
  <si>
    <t>RO5-envtrd-oth-inc</t>
  </si>
  <si>
    <t>RO5-envrcy-oth-inc</t>
  </si>
  <si>
    <t>RO5-envmin-oth-inc</t>
  </si>
  <si>
    <t>RO5-envclm-oth-inc</t>
  </si>
  <si>
    <t>RO5-envtot-oth-inc</t>
  </si>
  <si>
    <t>RO5-planbld-oth-inc</t>
  </si>
  <si>
    <t>RO5-plandvl-oth-inc</t>
  </si>
  <si>
    <t>RO5-planplc-cns-lst-bld-oth-inc</t>
  </si>
  <si>
    <t>RO5-planplc-oth-oth-inc</t>
  </si>
  <si>
    <t>RO5-planenv-oth-inc</t>
  </si>
  <si>
    <t>RO5-planecndev-oth-inc</t>
  </si>
  <si>
    <t>RO5-planecnrsr-oth-inc</t>
  </si>
  <si>
    <t>RO5-planbsn-oth-inc</t>
  </si>
  <si>
    <t>RO5-plancmm-oth-inc</t>
  </si>
  <si>
    <t>RO5-plantot-oth-inc</t>
  </si>
  <si>
    <t>RO5-culenvplantot-oth-inc</t>
  </si>
  <si>
    <t>RO5-culhrtarc-tot-inc</t>
  </si>
  <si>
    <t>RO5-culhrt-art-dvl-spp-tot-inc</t>
  </si>
  <si>
    <t>RO5-culhrt-hrt-tot-inc</t>
  </si>
  <si>
    <t>RO5-culhrt-msm-gll-tot-inc</t>
  </si>
  <si>
    <t>RO5-culhrt-tht-pbl-ent-tot-inc</t>
  </si>
  <si>
    <t>RO5-culspr-cmm-cen-pub-hll-tot-inc</t>
  </si>
  <si>
    <t>RO5-culspr-frs-tot-inc</t>
  </si>
  <si>
    <t>RO5-culspr-spr-dvl-cmm-rec-tot-inc</t>
  </si>
  <si>
    <t>RO5-culspr-spr-lsr-fcl-tot-inc</t>
  </si>
  <si>
    <t>RO5-culprk-opn-tot-inc</t>
  </si>
  <si>
    <t>RO5-culall-tot-inc</t>
  </si>
  <si>
    <t>RO5-cultrs-tot-inc</t>
  </si>
  <si>
    <t>RO5-cullib-tot-inc</t>
  </si>
  <si>
    <t>RO5-cultot-tot-inc</t>
  </si>
  <si>
    <t>RO5-envcmt-tot-inc</t>
  </si>
  <si>
    <t>RO5-envrgltrd-tot-inc</t>
  </si>
  <si>
    <t>RO5-envrglenvwtr-tot-inc</t>
  </si>
  <si>
    <t>RO5-envrglenvfd-tot-inc</t>
  </si>
  <si>
    <t>RO5-envrglenvenv-tot-inc</t>
  </si>
  <si>
    <t>RO5-envrglenvhsn-tot-inc</t>
  </si>
  <si>
    <t>RO5-envrglenvhs-tot-inc</t>
  </si>
  <si>
    <t>RO5-envrglenvprtxlvs-tot-inc</t>
  </si>
  <si>
    <t>RO5-envrglenvprtlvs-tot-inc</t>
  </si>
  <si>
    <t>RO5-envrglenvpst-tot-inc</t>
  </si>
  <si>
    <t>RO5-envrglenvtlt-tot-inc</t>
  </si>
  <si>
    <t>RO5-envrglenvanm-tot-inc</t>
  </si>
  <si>
    <t>RO5-envrglenvlcn-tot-inc</t>
  </si>
  <si>
    <t>RO5-envcmmcrm-tot-inc</t>
  </si>
  <si>
    <t>RO5-envcmmsft-tot-inc</t>
  </si>
  <si>
    <t>RO5-envcmmcct-tot-inc</t>
  </si>
  <si>
    <t>RO5-envfldfld-tot-inc</t>
  </si>
  <si>
    <t>RO5-envflddrn-tot-inc</t>
  </si>
  <si>
    <t>RO5-envflddrnlev-tot-inc</t>
  </si>
  <si>
    <t>RO5-envcst-tot-inc</t>
  </si>
  <si>
    <t>RO5-envagr-tot-inc</t>
  </si>
  <si>
    <t>RO5-envstr-tot-inc</t>
  </si>
  <si>
    <t>RO5-envcll-tot-inc</t>
  </si>
  <si>
    <t>RO5-envdsp-tot-inc</t>
  </si>
  <si>
    <t>RO5-envtrd-tot-inc</t>
  </si>
  <si>
    <t>RO5-envrcy-tot-inc</t>
  </si>
  <si>
    <t>RO5-envmin-tot-inc</t>
  </si>
  <si>
    <t>RO5-envclm-tot-inc</t>
  </si>
  <si>
    <t>RO5-envtot-tot-inc</t>
  </si>
  <si>
    <t>RO5-planbld-tot-inc</t>
  </si>
  <si>
    <t>RO5-plandvl-tot-inc</t>
  </si>
  <si>
    <t>RO5-planplc-cns-lst-bld-tot-inc</t>
  </si>
  <si>
    <t>RO5-planplc-oth-tot-inc</t>
  </si>
  <si>
    <t>RO5-planenv-tot-inc</t>
  </si>
  <si>
    <t>RO5-planecndev-tot-inc</t>
  </si>
  <si>
    <t>RO5-planecnrsr-tot-inc</t>
  </si>
  <si>
    <t>RO5-planbsn-tot-inc</t>
  </si>
  <si>
    <t>RO5-plancmm-tot-inc</t>
  </si>
  <si>
    <t>RO5-plantot-tot-inc</t>
  </si>
  <si>
    <t>RO5-culenvplantot-tot-inc</t>
  </si>
  <si>
    <t>RO5-culhrtarc-net-cur-exp</t>
  </si>
  <si>
    <t>RO5-culhrt-art-dvl-spp-net-cur-exp</t>
  </si>
  <si>
    <t>RO5-culhrt-hrt-net-cur-exp</t>
  </si>
  <si>
    <t>RO5-culhrt-msm-gll-net-cur-exp</t>
  </si>
  <si>
    <t>RO5-culhrt-tht-pbl-ent-net-cur-exp</t>
  </si>
  <si>
    <t>RO5-culspr-cmm-cen-pub-hll-net-cur-exp</t>
  </si>
  <si>
    <t>RO5-culspr-frs-net-cur-exp</t>
  </si>
  <si>
    <t>RO5-culspr-spr-dvl-cmm-rec-net-cur-exp</t>
  </si>
  <si>
    <t>RO5-culspr-spr-lsr-fcl-net-cur-exp</t>
  </si>
  <si>
    <t>RO5-culprk-opn-net-cur-exp</t>
  </si>
  <si>
    <t>RO5-culall-net-cur-exp</t>
  </si>
  <si>
    <t>RO5-cultrs-net-cur-exp</t>
  </si>
  <si>
    <t>RO5-cullib-net-cur-exp</t>
  </si>
  <si>
    <t>RO5-cultot-net-cur-exp</t>
  </si>
  <si>
    <t>RO5-envcmt-net-cur-exp</t>
  </si>
  <si>
    <t>RO5-envrgltrd-net-cur-exp</t>
  </si>
  <si>
    <t>RO5-envrglenvwtr-net-cur-exp</t>
  </si>
  <si>
    <t>RO5-envrglenvfd-net-cur-exp</t>
  </si>
  <si>
    <t>RO5-envrglenvenv-net-cur-exp</t>
  </si>
  <si>
    <t>RO5-envrglenvhsn-net-cur-exp</t>
  </si>
  <si>
    <t>RO5-envrglenvhs-net-cur-exp</t>
  </si>
  <si>
    <t>RO5-envrglenvprtxlvs-net-cur-exp</t>
  </si>
  <si>
    <t>RO5-envrglenvprtlvs-net-cur-exp</t>
  </si>
  <si>
    <t>RO5-envrglenvpst-net-cur-exp</t>
  </si>
  <si>
    <t>RO5-envrglenvtlt-net-cur-exp</t>
  </si>
  <si>
    <t>RO5-envrglenvanm-net-cur-exp</t>
  </si>
  <si>
    <t>RO5-envrglenvlcn-net-cur-exp</t>
  </si>
  <si>
    <t>RO5-envcmmcrm-net-cur-exp</t>
  </si>
  <si>
    <t>RO5-envcmmsft-net-cur-exp</t>
  </si>
  <si>
    <t>RO5-envcmmcct-net-cur-exp</t>
  </si>
  <si>
    <t>RO5-envfldfld-net-cur-exp</t>
  </si>
  <si>
    <t>RO5-envflddrn-net-cur-exp</t>
  </si>
  <si>
    <t>RO5-envflddrnlev-net-cur-exp</t>
  </si>
  <si>
    <t>RO5-envcst-net-cur-exp</t>
  </si>
  <si>
    <t>RO5-envagr-net-cur-exp</t>
  </si>
  <si>
    <t>RO5-envstr-net-cur-exp</t>
  </si>
  <si>
    <t>RO5-envcll-net-cur-exp</t>
  </si>
  <si>
    <t>RO5-envdsp-net-cur-exp</t>
  </si>
  <si>
    <t>RO5-envtrd-net-cur-exp</t>
  </si>
  <si>
    <t>RO5-envrcy-net-cur-exp</t>
  </si>
  <si>
    <t>RO5-envmin-net-cur-exp</t>
  </si>
  <si>
    <t>RO5-envclm-net-cur-exp</t>
  </si>
  <si>
    <t>RO5-envtot-net-cur-exp</t>
  </si>
  <si>
    <t>RO5-planbld-net-cur-exp</t>
  </si>
  <si>
    <t>RO5-plandvl-net-cur-exp</t>
  </si>
  <si>
    <t>RO5-planplc-cns-lst-bld-net-cur-exp</t>
  </si>
  <si>
    <t>RO5-planplc-oth-net-cur-exp</t>
  </si>
  <si>
    <t>RO5-planenv-net-cur-exp</t>
  </si>
  <si>
    <t>RO5-planecndev-net-cur-exp</t>
  </si>
  <si>
    <t>RO5-planecnrsr-net-cur-exp</t>
  </si>
  <si>
    <t>RO5-planbsn-net-cur-exp</t>
  </si>
  <si>
    <t>RO5-plancmm-net-cur-exp</t>
  </si>
  <si>
    <t>RO5-plantot-net-cur-exp</t>
  </si>
  <si>
    <t>RO5-culenvplantot-net-cur-exp</t>
  </si>
  <si>
    <t>RO6-cen-error</t>
  </si>
  <si>
    <t>RO6-poltot-run-exp</t>
  </si>
  <si>
    <t>RO6-frs-cmm-fs-run-exp</t>
  </si>
  <si>
    <t>RO6-frs-ffr-opr-run-exp</t>
  </si>
  <si>
    <t>RO6-frs-frs-emr-pln-run-exp</t>
  </si>
  <si>
    <t>RO6-frstot-run-exp</t>
  </si>
  <si>
    <t>RO6-cencrp-run-exp</t>
  </si>
  <si>
    <t>RO6-centax-cll-run-exp</t>
  </si>
  <si>
    <t>RO6-centaxdsc-prm-pym-run-exp</t>
  </si>
  <si>
    <t>RO6-centaxdsc-run-exp</t>
  </si>
  <si>
    <t>RO6-centaxadm-run-exp</t>
  </si>
  <si>
    <t>RO6-centaxoth-non-dms-cll-run-exp</t>
  </si>
  <si>
    <t>RO6-centaxoth-bid-bll-run-exp</t>
  </si>
  <si>
    <t>RO6-cencntbrt-dth-mrr-run-exp</t>
  </si>
  <si>
    <t>RO6-cencnt-rgs-elc-run-exp</t>
  </si>
  <si>
    <t>RO6-cencnt-cnd-elc-run-exp</t>
  </si>
  <si>
    <t>RO6-cenemr-run-exp</t>
  </si>
  <si>
    <t>RO6-cencnt-lcl-lnd-chr-run-exp</t>
  </si>
  <si>
    <t>RO6-cencnt-lcl-wlf-run-exp</t>
  </si>
  <si>
    <t>RO6-cencnt-gnr-bqs-dnt-run-exp</t>
  </si>
  <si>
    <t>RO6-cencrn-run-exp</t>
  </si>
  <si>
    <t>RO6-cencrtoth-run-exp</t>
  </si>
  <si>
    <t>RO6-cenndcrtr-run-exp</t>
  </si>
  <si>
    <t>RO6-cenndcit-run-exp</t>
  </si>
  <si>
    <t>RO6-cenndcsrp-run-exp</t>
  </si>
  <si>
    <t>RO6-cennd-mng-spp-run-exp</t>
  </si>
  <si>
    <t>RO6-centot-run-exp</t>
  </si>
  <si>
    <t>RO6-cenothtot-run-exp</t>
  </si>
  <si>
    <t>RO6-cenoth1-n cenoth1-run-exp</t>
  </si>
  <si>
    <t>RO6-cenoth2-n cenoth2-run-exp</t>
  </si>
  <si>
    <t>RO6-cenoth3-n cenoth3-run-exp</t>
  </si>
  <si>
    <t>RO6-cenoth4-n cenoth4-run-exp</t>
  </si>
  <si>
    <t>RO6-cenoth5-n cenoth5-run-exp</t>
  </si>
  <si>
    <t>RO6-cenoth6-n cenoth6-run-exp</t>
  </si>
  <si>
    <t>RO6-cenoth7-n cenoth7-run-exp</t>
  </si>
  <si>
    <t>RO6-cenoth8-n cenoth8-run-exp</t>
  </si>
  <si>
    <t>RO6-cenoth9-n cenoth9-run-exp</t>
  </si>
  <si>
    <t>RO6-cenoth10-n cenoth10-run-exp</t>
  </si>
  <si>
    <t>RO6-cenoth11-n cenoth11-run-exp</t>
  </si>
  <si>
    <t>RO6-cenoth12-n cenoth12-run-exp</t>
  </si>
  <si>
    <t>RO6-cenoth13-n cenoth13-run-exp</t>
  </si>
  <si>
    <t>RO6-cenoth14-n cenoth14-run-exp</t>
  </si>
  <si>
    <t>RO6-cenoth15-n cenoth15-run-exp</t>
  </si>
  <si>
    <t>RO6-cenoth16-n cenoth16-run-exp</t>
  </si>
  <si>
    <t>RO6-cenoth17-n cenoth17-run-exp</t>
  </si>
  <si>
    <t>RO6-cenoth18-n cenoth18-run-exp</t>
  </si>
  <si>
    <t>RO6-cenoth19-n cenoth19-run-exp</t>
  </si>
  <si>
    <t>RO6-cenoth20-n cenoth20-run-exp</t>
  </si>
  <si>
    <t>RO6-centoth-tot-run-exp</t>
  </si>
  <si>
    <t>RO6-poltot-tot-exp</t>
  </si>
  <si>
    <t>RO6-frs-cmm-fs-tot-exp</t>
  </si>
  <si>
    <t>RO6-frs-ffr-opr-tot-exp</t>
  </si>
  <si>
    <t>RO6-frs-frs-emr-pln-tot-exp</t>
  </si>
  <si>
    <t>RO6-frstot-tot-exp</t>
  </si>
  <si>
    <t>RO6-cencrp-tot-exp</t>
  </si>
  <si>
    <t>RO6-centax-cll-tot-exp</t>
  </si>
  <si>
    <t>RO6-centaxdsc-prm-pym-tot-exp</t>
  </si>
  <si>
    <t>RO6-centaxdsc-tot-exp</t>
  </si>
  <si>
    <t>RO6-centaxadm-tot-exp</t>
  </si>
  <si>
    <t>RO6-centaxoth-non-dms-cll-tot-exp</t>
  </si>
  <si>
    <t>RO6-centaxoth-bid-bll-tot-exp</t>
  </si>
  <si>
    <t>RO6-cencntbrt-dth-mrr-tot-exp</t>
  </si>
  <si>
    <t>RO6-cencnt-rgs-elc-tot-exp</t>
  </si>
  <si>
    <t>RO6-cencnt-cnd-elc-tot-exp</t>
  </si>
  <si>
    <t>RO6-cenemr-tot-exp</t>
  </si>
  <si>
    <t>RO6-cencnt-lcl-lnd-chr-tot-exp</t>
  </si>
  <si>
    <t>RO6-cencnt-lcl-wlf-tot-exp</t>
  </si>
  <si>
    <t>RO6-cencnt-gnr-bqs-dnt-tot-exp</t>
  </si>
  <si>
    <t>RO6-cencrn-tot-exp</t>
  </si>
  <si>
    <t>RO6-cencrtoth-tot-exp</t>
  </si>
  <si>
    <t>RO6-cenndcrtr-tot-exp</t>
  </si>
  <si>
    <t>RO6-cenndcit-tot-exp</t>
  </si>
  <si>
    <t>RO6-cenndcsrp-tot-exp</t>
  </si>
  <si>
    <t>RO6-cennd-mng-spp-tot-exp</t>
  </si>
  <si>
    <t>RO6-centot-tot-exp</t>
  </si>
  <si>
    <t>RO6-cenothtot-tot-exp</t>
  </si>
  <si>
    <t>RO6-cenoth1-n cenoth1-tot-exp</t>
  </si>
  <si>
    <t>RO6-cenoth2-n cenoth2-tot-exp</t>
  </si>
  <si>
    <t>RO6-cenoth3-n cenoth3-tot-exp</t>
  </si>
  <si>
    <t>RO6-cenoth4-n cenoth4-tot-exp</t>
  </si>
  <si>
    <t>RO6-cenoth5-n cenoth5-tot-exp</t>
  </si>
  <si>
    <t>RO6-cenoth6-n cenoth6-tot-exp</t>
  </si>
  <si>
    <t>RO6-cenoth7-n cenoth7-tot-exp</t>
  </si>
  <si>
    <t>RO6-cenoth8-n cenoth8-tot-exp</t>
  </si>
  <si>
    <t>RO6-cenoth9-n cenoth9-tot-exp</t>
  </si>
  <si>
    <t>RO6-cenoth10-n cenoth10-tot-exp</t>
  </si>
  <si>
    <t>RO6-cenoth11-n cenoth11-tot-exp</t>
  </si>
  <si>
    <t>RO6-cenoth12-n cenoth12-tot-exp</t>
  </si>
  <si>
    <t>RO6-cenoth13-n cenoth13-tot-exp</t>
  </si>
  <si>
    <t>RO6-cenoth14-n cenoth14-tot-exp</t>
  </si>
  <si>
    <t>RO6-cenoth15-n cenoth15-tot-exp</t>
  </si>
  <si>
    <t>RO6-cenoth16-n cenoth16-tot-exp</t>
  </si>
  <si>
    <t>RO6-cenoth17-n cenoth17-tot-exp</t>
  </si>
  <si>
    <t>RO6-cenoth18-n cenoth18-tot-exp</t>
  </si>
  <si>
    <t>RO6-cenoth19-n cenoth19-tot-exp</t>
  </si>
  <si>
    <t>RO6-cenoth20-n cenoth20-tot-exp</t>
  </si>
  <si>
    <t>RO6-centoth-tot-tot-exp</t>
  </si>
  <si>
    <t>RO6-poltot-sfc</t>
  </si>
  <si>
    <t>RO6-frs-cmm-fs-sfc</t>
  </si>
  <si>
    <t>RO6-frs-ffr-opr-sfc</t>
  </si>
  <si>
    <t>RO6-frs-frs-emr-pln-sfc</t>
  </si>
  <si>
    <t>RO6-frstot-sfc</t>
  </si>
  <si>
    <t>RO6-cencrp-sfc</t>
  </si>
  <si>
    <t>RO6-centax-cll-sfc</t>
  </si>
  <si>
    <t>RO6-centaxdsc-prm-pym-sfc</t>
  </si>
  <si>
    <t>RO6-centaxdsc-sfc</t>
  </si>
  <si>
    <t>RO6-centaxadm-sfc</t>
  </si>
  <si>
    <t>RO6-centaxoth-non-dms-cll-sfc</t>
  </si>
  <si>
    <t>RO6-centaxoth-bid-bll-sfc</t>
  </si>
  <si>
    <t>RO6-cencntbrt-dth-mrr-sfc</t>
  </si>
  <si>
    <t>RO6-cencnt-rgs-elc-sfc</t>
  </si>
  <si>
    <t>RO6-cencnt-cnd-elc-sfc</t>
  </si>
  <si>
    <t>RO6-cenemr-sfc</t>
  </si>
  <si>
    <t>RO6-cencnt-lcl-lnd-chr-sfc</t>
  </si>
  <si>
    <t>RO6-cencnt-lcl-wlf-sfc</t>
  </si>
  <si>
    <t>RO6-cencnt-gnr-bqs-dnt-sfc</t>
  </si>
  <si>
    <t>RO6-cencrn-sfc</t>
  </si>
  <si>
    <t>RO6-cencrtoth-sfc</t>
  </si>
  <si>
    <t>RO6-cenndcrtr-sfc</t>
  </si>
  <si>
    <t>RO6-cenndcit-sfc</t>
  </si>
  <si>
    <t>RO6-cenndcsrp-sfc</t>
  </si>
  <si>
    <t>RO6-cennd-mng-spp-sfc</t>
  </si>
  <si>
    <t>RO6-centot-sfc</t>
  </si>
  <si>
    <t>RO6-cenothtot-sfc</t>
  </si>
  <si>
    <t>RO6-cenoth1-n cenoth1-sfc</t>
  </si>
  <si>
    <t>RO6-cenoth2-n cenoth2-sfc</t>
  </si>
  <si>
    <t>RO6-cenoth3-n cenoth3-sfc</t>
  </si>
  <si>
    <t>RO6-cenoth4-n cenoth4-sfc</t>
  </si>
  <si>
    <t>RO6-cenoth5-n cenoth5-sfc</t>
  </si>
  <si>
    <t>RO6-cenoth6-n cenoth6-sfc</t>
  </si>
  <si>
    <t>RO6-cenoth7-n cenoth7-sfc</t>
  </si>
  <si>
    <t>RO6-cenoth8-n cenoth8-sfc</t>
  </si>
  <si>
    <t>RO6-cenoth9-n cenoth9-sfc</t>
  </si>
  <si>
    <t>RO6-cenoth10-n cenoth10-sfc</t>
  </si>
  <si>
    <t>RO6-cenoth11-n cenoth11-sfc</t>
  </si>
  <si>
    <t>RO6-cenoth12-n cenoth12-sfc</t>
  </si>
  <si>
    <t>RO6-cenoth13-n cenoth13-sfc</t>
  </si>
  <si>
    <t>RO6-cenoth14-n cenoth14-sfc</t>
  </si>
  <si>
    <t>RO6-cenoth15-n cenoth15-sfc</t>
  </si>
  <si>
    <t>RO6-cenoth16-n cenoth16-sfc</t>
  </si>
  <si>
    <t>RO6-cenoth17-n cenoth17-sfc</t>
  </si>
  <si>
    <t>RO6-cenoth18-n cenoth18-sfc</t>
  </si>
  <si>
    <t>RO6-cenoth19-n cenoth19-sfc</t>
  </si>
  <si>
    <t>RO6-cenoth20-n cenoth20-sfc</t>
  </si>
  <si>
    <t>RO6-centoth-tot-sfc</t>
  </si>
  <si>
    <t>RO6-poltot-oth-inc</t>
  </si>
  <si>
    <t>RO6-frs-cmm-fs-oth-inc</t>
  </si>
  <si>
    <t>RO6-frs-ffr-opr-oth-inc</t>
  </si>
  <si>
    <t>RO6-frs-frs-emr-pln-oth-inc</t>
  </si>
  <si>
    <t>RO6-frstot-oth-inc</t>
  </si>
  <si>
    <t>RO6-cencrp-oth-inc</t>
  </si>
  <si>
    <t>RO6-centax-cll-oth-inc</t>
  </si>
  <si>
    <t>RO6-centaxdsc-prm-pym-oth-inc</t>
  </si>
  <si>
    <t>RO6-centaxdsc-oth-inc</t>
  </si>
  <si>
    <t>RO6-centaxadm-oth-inc</t>
  </si>
  <si>
    <t>RO6-centaxoth-non-dms-cll-oth-inc</t>
  </si>
  <si>
    <t>RO6-centaxoth-bid-bll-oth-inc</t>
  </si>
  <si>
    <t>RO6-cencntbrt-dth-mrr-oth-inc</t>
  </si>
  <si>
    <t>RO6-cencnt-rgs-elc-oth-inc</t>
  </si>
  <si>
    <t>RO6-cencnt-cnd-elc-oth-inc</t>
  </si>
  <si>
    <t>RO6-cenemr-oth-inc</t>
  </si>
  <si>
    <t>RO6-cencnt-lcl-lnd-chr-oth-inc</t>
  </si>
  <si>
    <t>RO6-cencnt-lcl-wlf-oth-inc</t>
  </si>
  <si>
    <t>RO6-cencnt-gnr-bqs-dnt-oth-inc</t>
  </si>
  <si>
    <t>RO6-cencrn-oth-inc</t>
  </si>
  <si>
    <t>RO6-cencrtoth-oth-inc</t>
  </si>
  <si>
    <t>RO6-cenndcrtr-oth-inc</t>
  </si>
  <si>
    <t>RO6-cenndcit-oth-inc</t>
  </si>
  <si>
    <t>RO6-cenndcsrp-oth-inc</t>
  </si>
  <si>
    <t>RO6-cennd-mng-spp-oth-inc</t>
  </si>
  <si>
    <t>RO6-centot-oth-inc</t>
  </si>
  <si>
    <t>RO6-cenothtot-oth-inc</t>
  </si>
  <si>
    <t>RO6-cenoth1-n cenoth1-oth-inc</t>
  </si>
  <si>
    <t>RO6-cenoth2-n cenoth2-oth-inc</t>
  </si>
  <si>
    <t>RO6-cenoth3-n cenoth3-oth-inc</t>
  </si>
  <si>
    <t>RO6-cenoth4-n cenoth4-oth-inc</t>
  </si>
  <si>
    <t>RO6-cenoth5-n cenoth5-oth-inc</t>
  </si>
  <si>
    <t>RO6-cenoth6-n cenoth6-oth-inc</t>
  </si>
  <si>
    <t>RO6-cenoth7-n cenoth7-oth-inc</t>
  </si>
  <si>
    <t>RO6-cenoth8-n cenoth8-oth-inc</t>
  </si>
  <si>
    <t>RO6-cenoth9-n cenoth9-oth-inc</t>
  </si>
  <si>
    <t>RO6-cenoth10-n cenoth10-oth-inc</t>
  </si>
  <si>
    <t>RO6-cenoth11-n cenoth11-oth-inc</t>
  </si>
  <si>
    <t>RO6-cenoth12-n cenoth12-oth-inc</t>
  </si>
  <si>
    <t>RO6-cenoth13-n cenoth13-oth-inc</t>
  </si>
  <si>
    <t>RO6-cenoth14-n cenoth14-oth-inc</t>
  </si>
  <si>
    <t>RO6-cenoth15-n cenoth15-oth-inc</t>
  </si>
  <si>
    <t>RO6-cenoth16-n cenoth16-oth-inc</t>
  </si>
  <si>
    <t>RO6-cenoth17-n cenoth17-oth-inc</t>
  </si>
  <si>
    <t>RO6-cenoth18-n cenoth18-oth-inc</t>
  </si>
  <si>
    <t>RO6-cenoth19-n cenoth19-oth-inc</t>
  </si>
  <si>
    <t>RO6-cenoth20-n cenoth20-oth-inc</t>
  </si>
  <si>
    <t>RO6-centoth-tot-oth-inc</t>
  </si>
  <si>
    <t>RO6-poltot-tot-inc</t>
  </si>
  <si>
    <t>RO6-frs-cmm-fs-tot-inc</t>
  </si>
  <si>
    <t>RO6-frs-ffr-opr-tot-inc</t>
  </si>
  <si>
    <t>RO6-frs-frs-emr-pln-tot-inc</t>
  </si>
  <si>
    <t>RO6-frstot-tot-inc</t>
  </si>
  <si>
    <t>RO6-cencrp-tot-inc</t>
  </si>
  <si>
    <t>RO6-centax-cll-tot-inc</t>
  </si>
  <si>
    <t>RO6-centaxdsc-prm-pym-tot-inc</t>
  </si>
  <si>
    <t>RO6-centaxdsc-tot-inc</t>
  </si>
  <si>
    <t>RO6-centaxadm-tot-inc</t>
  </si>
  <si>
    <t>RO6-centaxoth-non-dms-cll-tot-inc</t>
  </si>
  <si>
    <t>RO6-centaxoth-bid-bll-tot-inc</t>
  </si>
  <si>
    <t>RO6-cencntbrt-dth-mrr-tot-inc</t>
  </si>
  <si>
    <t>RO6-cencnt-rgs-elc-tot-inc</t>
  </si>
  <si>
    <t>RO6-cencnt-cnd-elc-tot-inc</t>
  </si>
  <si>
    <t>RO6-cenemr-tot-inc</t>
  </si>
  <si>
    <t>RO6-cencnt-lcl-lnd-chr-tot-inc</t>
  </si>
  <si>
    <t>RO6-cencnt-lcl-wlf-tot-inc</t>
  </si>
  <si>
    <t>RO6-cencnt-gnr-bqs-dnt-tot-inc</t>
  </si>
  <si>
    <t>RO6-cencrn-tot-inc</t>
  </si>
  <si>
    <t>RO6-cencrtoth-tot-inc</t>
  </si>
  <si>
    <t>RO6-cenndcrtr-tot-inc</t>
  </si>
  <si>
    <t>RO6-cenndcit-tot-inc</t>
  </si>
  <si>
    <t>RO6-cenndcsrp-tot-inc</t>
  </si>
  <si>
    <t>RO6-cennd-mng-spp-tot-inc</t>
  </si>
  <si>
    <t>RO6-centot-tot-inc</t>
  </si>
  <si>
    <t>RO6-cenothtot-tot-inc</t>
  </si>
  <si>
    <t>RO6-cenoth1-n cenoth1-tot-inc</t>
  </si>
  <si>
    <t>RO6-cenoth2-n cenoth2-tot-inc</t>
  </si>
  <si>
    <t>RO6-cenoth3-n cenoth3-tot-inc</t>
  </si>
  <si>
    <t>RO6-cenoth4-n cenoth4-tot-inc</t>
  </si>
  <si>
    <t>RO6-cenoth5-n cenoth5-tot-inc</t>
  </si>
  <si>
    <t>RO6-cenoth6-n cenoth6-tot-inc</t>
  </si>
  <si>
    <t>RO6-cenoth7-n cenoth7-tot-inc</t>
  </si>
  <si>
    <t>RO6-cenoth8-n cenoth8-tot-inc</t>
  </si>
  <si>
    <t>RO6-cenoth9-n cenoth9-tot-inc</t>
  </si>
  <si>
    <t>RO6-cenoth10-n cenoth10-tot-inc</t>
  </si>
  <si>
    <t>RO6-cenoth11-n cenoth11-tot-inc</t>
  </si>
  <si>
    <t>RO6-cenoth12-n cenoth12-tot-inc</t>
  </si>
  <si>
    <t>RO6-cenoth13-n cenoth13-tot-inc</t>
  </si>
  <si>
    <t>RO6-cenoth14-n cenoth14-tot-inc</t>
  </si>
  <si>
    <t>RO6-cenoth15-n cenoth15-tot-inc</t>
  </si>
  <si>
    <t>RO6-cenoth16-n cenoth16-tot-inc</t>
  </si>
  <si>
    <t>RO6-cenoth17-n cenoth17-tot-inc</t>
  </si>
  <si>
    <t>RO6-cenoth18-n cenoth18-tot-inc</t>
  </si>
  <si>
    <t>RO6-cenoth19-n cenoth19-tot-inc</t>
  </si>
  <si>
    <t>RO6-cenoth20-n cenoth20-tot-inc</t>
  </si>
  <si>
    <t>RO6-centoth-tot-tot-inc</t>
  </si>
  <si>
    <t>RO6-poltot-net-cur-exp</t>
  </si>
  <si>
    <t>RO6-frs-cmm-fs-net-cur-exp</t>
  </si>
  <si>
    <t>RO6-frs-ffr-opr-net-cur-exp</t>
  </si>
  <si>
    <t>RO6-frs-frs-emr-pln-net-cur-exp</t>
  </si>
  <si>
    <t>RO6-frstot-net-cur-exp</t>
  </si>
  <si>
    <t>RO6-cencrp-net-cur-exp</t>
  </si>
  <si>
    <t>RO6-centax-cll-net-cur-exp</t>
  </si>
  <si>
    <t>RO6-centaxdsc-prm-pym-net-cur-exp</t>
  </si>
  <si>
    <t>RO6-centaxdsc-net-cur-exp</t>
  </si>
  <si>
    <t>RO6-centaxadm-net-cur-exp</t>
  </si>
  <si>
    <t>RO6-centaxoth-non-dms-cll-net-cur-exp</t>
  </si>
  <si>
    <t>RO6-centaxoth-bid-bll-net-cur-exp</t>
  </si>
  <si>
    <t>RO6-cencntbrt-dth-mrr-net-cur-exp</t>
  </si>
  <si>
    <t>RO6-cencnt-rgs-elc-net-cur-exp</t>
  </si>
  <si>
    <t>RO6-cencnt-cnd-elc-net-cur-exp</t>
  </si>
  <si>
    <t>RO6-cenemr-net-cur-exp</t>
  </si>
  <si>
    <t>RO6-cencnt-lcl-lnd-chr-net-cur-exp</t>
  </si>
  <si>
    <t>RO6-cencnt-lcl-wlf-net-cur-exp</t>
  </si>
  <si>
    <t>RO6-cencnt-gnr-bqs-dnt-net-cur-exp</t>
  </si>
  <si>
    <t>RO6-cencrn-net-cur-exp</t>
  </si>
  <si>
    <t>RO6-cencrtoth-net-cur-exp</t>
  </si>
  <si>
    <t>RO6-cenndcrtr-net-cur-exp</t>
  </si>
  <si>
    <t>RO6-cenndcit-net-cur-exp</t>
  </si>
  <si>
    <t>RO6-cenndcsrp-net-cur-exp</t>
  </si>
  <si>
    <t>RO6-cennd-mng-spp-net-cur-exp</t>
  </si>
  <si>
    <t>RO6-centot-net-cur-exp</t>
  </si>
  <si>
    <t>RO6-cenothtot-net-cur-exp</t>
  </si>
  <si>
    <t>RO6-cenoth1-n cenoth1-net-cur-exp</t>
  </si>
  <si>
    <t>RO6-cenoth2-n cenoth2-net-cur-exp</t>
  </si>
  <si>
    <t>RO6-cenoth3-n cenoth3-net-cur-exp</t>
  </si>
  <si>
    <t>RO6-cenoth4-n cenoth4-net-cur-exp</t>
  </si>
  <si>
    <t>RO6-cenoth5-n cenoth5-net-cur-exp</t>
  </si>
  <si>
    <t>RO6-cenoth6-n cenoth6-net-cur-exp</t>
  </si>
  <si>
    <t>RO6-cenoth7-n cenoth7-net-cur-exp</t>
  </si>
  <si>
    <t>RO6-cenoth8-n cenoth8-net-cur-exp</t>
  </si>
  <si>
    <t>RO6-cenoth9-n cenoth9-net-cur-exp</t>
  </si>
  <si>
    <t>RO6-cenoth10-n cenoth10-net-cur-exp</t>
  </si>
  <si>
    <t>RO6-cenoth11-n cenoth11-net-cur-exp</t>
  </si>
  <si>
    <t>RO6-cenoth12-n cenoth12-net-cur-exp</t>
  </si>
  <si>
    <t>RO6-cenoth13-n cenoth13-net-cur-exp</t>
  </si>
  <si>
    <t>RO6-cenoth14-n cenoth14-net-cur-exp</t>
  </si>
  <si>
    <t>RO6-cenoth15-n cenoth15-net-cur-exp</t>
  </si>
  <si>
    <t>RO6-cenoth16-n cenoth16-net-cur-exp</t>
  </si>
  <si>
    <t>RO6-cenoth17-n cenoth17-net-cur-exp</t>
  </si>
  <si>
    <t>RO6-cenoth18-n cenoth18-net-cur-exp</t>
  </si>
  <si>
    <t>RO6-cenoth19-n cenoth19-net-cur-exp</t>
  </si>
  <si>
    <t>RO6-cenoth20-n cenoth20-net-cur-exp</t>
  </si>
  <si>
    <t>RO6-centoth-tot-net-cur-exp</t>
  </si>
  <si>
    <t>TSR-error</t>
  </si>
  <si>
    <t>TSR-tradaccext-car-prk-gross-exp</t>
  </si>
  <si>
    <t>TSR-tradaccext-arp-gross-exp</t>
  </si>
  <si>
    <t>TSR-tradaccext-prt-gross-exp</t>
  </si>
  <si>
    <t>TSR-tradaccext-prs-gross-exp</t>
  </si>
  <si>
    <t>TSR-tradaccext-tbr-gross-exp</t>
  </si>
  <si>
    <t>TSR-tradaccext-msm-gross-exp</t>
  </si>
  <si>
    <t>TSR-tradaccext-tht-gross-exp</t>
  </si>
  <si>
    <t>TSR-tradaccext-cvc-hll-gross-exp</t>
  </si>
  <si>
    <t>TSR-tradaccext-cvc-rst-gross-exp</t>
  </si>
  <si>
    <t>TSR-tradaccext-spr-fcl-gross-exp</t>
  </si>
  <si>
    <t>TSR-tradaccext-crm-gross-exp</t>
  </si>
  <si>
    <t>TSR-tradaccext-fsh-hrb-gross-exp</t>
  </si>
  <si>
    <t>TSR-tradaccext-trd-wst-gross-exp</t>
  </si>
  <si>
    <t>TSR-tradaccext-bld-cnt-gross-exp</t>
  </si>
  <si>
    <t>TSR-tradaccext-crp-est-gross-exp</t>
  </si>
  <si>
    <t>TSR-tradaccext-ind-est-gross-exp</t>
  </si>
  <si>
    <t>TSR-tradaccext-inv-prp-gross-exp</t>
  </si>
  <si>
    <t>TSR-tradaccext-mrk-und-gross-exp</t>
  </si>
  <si>
    <t>TSR-tradaccextoth1-n tradaccextoth1-gross-exp</t>
  </si>
  <si>
    <t>TSR-tradaccextoth2-n tradaccextoth2-gross-exp</t>
  </si>
  <si>
    <t>TSR-tradaccextoth3-n tradaccextoth3-gross-exp</t>
  </si>
  <si>
    <t>TSR-tradaccextoth4-n tradaccextoth4-gross-exp</t>
  </si>
  <si>
    <t>TSR-tradaccextoth5-n tradaccextoth5-gross-exp</t>
  </si>
  <si>
    <t>TSR-tradaccext-tot-gross-exp-excl-Cap</t>
  </si>
  <si>
    <t>TSR-tradaccint-adm-edu-gross-exp</t>
  </si>
  <si>
    <t>TSR-tradaccint-spc-edu-gross-exp</t>
  </si>
  <si>
    <t>TSR-tradaccinthghwys-mnt-gross-exp</t>
  </si>
  <si>
    <t>TSR-tradaccinton-str-prk-gross-exp</t>
  </si>
  <si>
    <t>TSR-tradaccint-ss-rsd-gross-exp</t>
  </si>
  <si>
    <t>TSR-tradaccint-ss-hcs-gross-exp</t>
  </si>
  <si>
    <t>TSR-tradaccint-hous-mng-gross-exp</t>
  </si>
  <si>
    <t>TSR-tradaccint-lsr-mng-gross-exp</t>
  </si>
  <si>
    <t>TSR-tradaccint-env-gross-exp</t>
  </si>
  <si>
    <t>TSR-tradaccint-cps-gross-exp</t>
  </si>
  <si>
    <t>TSR-tradaccint-bld-cln-gross-exp</t>
  </si>
  <si>
    <t>TSR-tradaccint-bld-mnt-gross-exp</t>
  </si>
  <si>
    <t>TSR-tradaccint-grn-mnt-gross-exp</t>
  </si>
  <si>
    <t>TSR-tradaccint-vhc-mnt-gross-exp</t>
  </si>
  <si>
    <t>TSR-tradaccint-vhc-mng-gross-exp</t>
  </si>
  <si>
    <t>TSR-tradaccint-rfs-cll-gross-exp</t>
  </si>
  <si>
    <t>TSR-tradaccint-ctr-gross-exp</t>
  </si>
  <si>
    <t>TSR-tradaccint-off-gross-exp</t>
  </si>
  <si>
    <t>TSR-tradaccint-it-gross-exp</t>
  </si>
  <si>
    <t>TSR-tradaccint-fnc-gross-exp</t>
  </si>
  <si>
    <t>TSR-tradaccint-lgl-gross-exp</t>
  </si>
  <si>
    <t>TSR-tradaccint-prs-gross-exp</t>
  </si>
  <si>
    <t>TSR-tradaccintoth1-n tradaccintoth1-gross-exp</t>
  </si>
  <si>
    <t>TSR-tradaccintoth2-n tradaccintoth2-gross-exp</t>
  </si>
  <si>
    <t>TSR-tradaccintoth3-n tradaccintoth3-gross-exp</t>
  </si>
  <si>
    <t>TSR-tradaccintoth4-n tradaccintoth4-gross-exp</t>
  </si>
  <si>
    <t>TSR-tradaccintoth5-n tradaccintoth5-gross-exp</t>
  </si>
  <si>
    <t>TSR-tradaccint-tot-gross-exp-excl-Cap</t>
  </si>
  <si>
    <t>TSR-tradaccext-car-prk-inc</t>
  </si>
  <si>
    <t>TSR-tradaccext-arp-inc</t>
  </si>
  <si>
    <t>TSR-tradaccext-prt-inc</t>
  </si>
  <si>
    <t>TSR-tradaccext-prs-inc</t>
  </si>
  <si>
    <t>TSR-tradaccext-tbr-inc</t>
  </si>
  <si>
    <t>TSR-tradaccext-msm-inc</t>
  </si>
  <si>
    <t>TSR-tradaccext-tht-inc</t>
  </si>
  <si>
    <t>TSR-tradaccext-cvc-hll-inc</t>
  </si>
  <si>
    <t>TSR-tradaccext-cvc-rst-inc</t>
  </si>
  <si>
    <t>TSR-tradaccext-spr-fcl-inc</t>
  </si>
  <si>
    <t>TSR-tradaccext-crm-inc</t>
  </si>
  <si>
    <t>TSR-tradaccext-fsh-hrb-inc</t>
  </si>
  <si>
    <t>TSR-tradaccext-trd-wst-inc</t>
  </si>
  <si>
    <t>TSR-tradaccext-bld-cnt-inc</t>
  </si>
  <si>
    <t>TSR-tradaccext-crp-est-inc</t>
  </si>
  <si>
    <t>TSR-tradaccext-ind-est-inc</t>
  </si>
  <si>
    <t>TSR-tradaccext-inv-prp-inc</t>
  </si>
  <si>
    <t>TSR-tradaccext-mrk-und-inc</t>
  </si>
  <si>
    <t>TSR-tradaccextoth1-n tradaccextoth1-inc</t>
  </si>
  <si>
    <t>TSR-tradaccextoth2-n tradaccextoth2-inc</t>
  </si>
  <si>
    <t>TSR-tradaccextoth3-n tradaccextoth3-inc</t>
  </si>
  <si>
    <t>TSR-tradaccextoth4-n tradaccextoth4-inc</t>
  </si>
  <si>
    <t>TSR-tradaccextoth5-n tradaccextoth5-inc</t>
  </si>
  <si>
    <t>TSR-tradaccext-tot-inc-excl-Cap</t>
  </si>
  <si>
    <t>TSR-tradaccint-adm-edu-inc</t>
  </si>
  <si>
    <t>TSR-tradaccint-spc-edu-inc</t>
  </si>
  <si>
    <t>TSR-tradaccinthghwys-mnt-inc</t>
  </si>
  <si>
    <t>TSR-tradaccinton-str-prk-inc</t>
  </si>
  <si>
    <t>TSR-tradaccint-ss-rsd-inc</t>
  </si>
  <si>
    <t>TSR-tradaccint-ss-hcs-inc</t>
  </si>
  <si>
    <t>TSR-tradaccint-hous-mng-inc</t>
  </si>
  <si>
    <t>TSR-tradaccint-lsr-mng-inc</t>
  </si>
  <si>
    <t>TSR-tradaccint-env-inc</t>
  </si>
  <si>
    <t>TSR-tradaccint-cps-inc</t>
  </si>
  <si>
    <t>TSR-tradaccint-bld-cln-inc</t>
  </si>
  <si>
    <t>TSR-tradaccint-bld-mnt-inc</t>
  </si>
  <si>
    <t>TSR-tradaccint-grn-mnt-inc</t>
  </si>
  <si>
    <t>TSR-tradaccint-vhc-mnt-inc</t>
  </si>
  <si>
    <t>TSR-tradaccint-vhc-mng-inc</t>
  </si>
  <si>
    <t>TSR-tradaccint-rfs-cll-inc</t>
  </si>
  <si>
    <t>TSR-tradaccint-ctr-inc</t>
  </si>
  <si>
    <t>TSR-tradaccint-off-inc</t>
  </si>
  <si>
    <t>TSR-tradaccint-it-inc</t>
  </si>
  <si>
    <t>TSR-tradaccint-fnc-inc</t>
  </si>
  <si>
    <t>TSR-tradaccint-lgl-inc</t>
  </si>
  <si>
    <t>TSR-tradaccint-prs-inc</t>
  </si>
  <si>
    <t>TSR-tradaccintoth1-n tradaccintoth1-inc</t>
  </si>
  <si>
    <t>TSR-tradaccintoth2-n tradaccintoth2-inc</t>
  </si>
  <si>
    <t>TSR-tradaccintoth3-n tradaccintoth3-inc</t>
  </si>
  <si>
    <t>TSR-tradaccintoth4-n tradaccintoth4-inc</t>
  </si>
  <si>
    <t>TSR-tradaccintoth5-n tradaccintoth5-inc</t>
  </si>
  <si>
    <t>TSR-tradaccint-tot-inc-excl-Cap</t>
  </si>
  <si>
    <t>TSR-capdep-ext</t>
  </si>
  <si>
    <t>TSR-caploss-ext</t>
  </si>
  <si>
    <t>TSR-capreval-ext</t>
  </si>
  <si>
    <t>TSR-capgrant-ext</t>
  </si>
  <si>
    <t>TSR-caprecs-ext</t>
  </si>
  <si>
    <t>TSR-capsum-ext</t>
  </si>
  <si>
    <t>SAR-tchr-slr-edu</t>
  </si>
  <si>
    <t>SAR-tchr-ni-cnt-edu</t>
  </si>
  <si>
    <t>SAR-tchr-rtr-bnf-edu</t>
  </si>
  <si>
    <t>SAR-tchr-lct-all-edu</t>
  </si>
  <si>
    <t>SAR-tchrtot-edu</t>
  </si>
  <si>
    <t>SAR-pol-frs-slr-edu</t>
  </si>
  <si>
    <t>SAR-pol-frs-ni-cnt-edu</t>
  </si>
  <si>
    <t>SAR-pol-frs-rtr-bnf-edu</t>
  </si>
  <si>
    <t>SAR-pol-frs-lct-all-edu</t>
  </si>
  <si>
    <t>SAR-pol-frs-tot-edu</t>
  </si>
  <si>
    <t>SAR-oth-slr-edu</t>
  </si>
  <si>
    <t>SAR-oth-ni-cnt-edu</t>
  </si>
  <si>
    <t>SAR-oth-rtr-bnf-edu</t>
  </si>
  <si>
    <t>SAR-oth-lct-all-edu</t>
  </si>
  <si>
    <t>SAR-othtot-edu</t>
  </si>
  <si>
    <t>SAR-othcst-edu</t>
  </si>
  <si>
    <t>SAR-tot-edu</t>
  </si>
  <si>
    <t>SAR-tchr-slr-trans</t>
  </si>
  <si>
    <t>SAR-tchr-ni-cnt-trans</t>
  </si>
  <si>
    <t>SAR-tchr-rtr-bnf-trans</t>
  </si>
  <si>
    <t>SAR-tchr-lct-all-trans</t>
  </si>
  <si>
    <t>SAR-tchrtot-trans</t>
  </si>
  <si>
    <t>SAR-pol-frs-slr-trans</t>
  </si>
  <si>
    <t>SAR-pol-frs-ni-cnt-trans</t>
  </si>
  <si>
    <t>SAR-pol-frs-rtr-bnf-trans</t>
  </si>
  <si>
    <t>SAR-pol-frs-lct-all-trans</t>
  </si>
  <si>
    <t>SAR-pol-frs-tot-trans</t>
  </si>
  <si>
    <t>SAR-oth-slr-trans</t>
  </si>
  <si>
    <t>SAR-oth-ni-cnt-trans</t>
  </si>
  <si>
    <t>SAR-oth-rtr-bnf-trans</t>
  </si>
  <si>
    <t>SAR-oth-lct-all-trans</t>
  </si>
  <si>
    <t>SAR-othtot-trans</t>
  </si>
  <si>
    <t>SAR-othcst-trans</t>
  </si>
  <si>
    <t>SAR-tot-trans</t>
  </si>
  <si>
    <t>SAR-tchr-slr-sc-ch</t>
  </si>
  <si>
    <t>SAR-tchr-ni-cnt-sc-ch</t>
  </si>
  <si>
    <t>SAR-tchr-rtr-bnf-sc-ch</t>
  </si>
  <si>
    <t>SAR-tchr-lct-all-sc-ch</t>
  </si>
  <si>
    <t>SAR-tchrtot-sc-ch</t>
  </si>
  <si>
    <t>SAR-pol-frs-slr-sc-ch</t>
  </si>
  <si>
    <t>SAR-pol-frs-ni-cnt-sc-ch</t>
  </si>
  <si>
    <t>SAR-pol-frs-rtr-bnf-sc-ch</t>
  </si>
  <si>
    <t>SAR-pol-frs-lct-all-sc-ch</t>
  </si>
  <si>
    <t>SAR-pol-frs-tot-sc-ch</t>
  </si>
  <si>
    <t>SAR-oth-slr-sc-ch</t>
  </si>
  <si>
    <t>SAR-oth-ni-cnt-sc-ch</t>
  </si>
  <si>
    <t>SAR-oth-rtr-bnf-sc-ch</t>
  </si>
  <si>
    <t>SAR-oth-lct-all-sc-ch</t>
  </si>
  <si>
    <t>SAR-othtot-sc-ch</t>
  </si>
  <si>
    <t>SAR-othcst-sc-ch</t>
  </si>
  <si>
    <t>SAR-tot-sc-ch</t>
  </si>
  <si>
    <t>SAR-tchr-slr-sc-ad</t>
  </si>
  <si>
    <t>SAR-tchr-ni-cnt-sc-ad</t>
  </si>
  <si>
    <t>SAR-tchr-rtr-bnf-sc-ad</t>
  </si>
  <si>
    <t>SAR-tchr-lct-all-sc-ad</t>
  </si>
  <si>
    <t>SAR-tchrtot-sc-ad</t>
  </si>
  <si>
    <t>SAR-pol-frs-slr-sc-ad</t>
  </si>
  <si>
    <t>SAR-pol-frs-ni-cnt-sc-ad</t>
  </si>
  <si>
    <t>SAR-pol-frs-rtr-bnf-sc-ad</t>
  </si>
  <si>
    <t>SAR-pol-frs-lct-all-sc-ad</t>
  </si>
  <si>
    <t>SAR-pol-frs-tot-sc-ad</t>
  </si>
  <si>
    <t>SAR-oth-slr-sc-ad</t>
  </si>
  <si>
    <t>SAR-oth-ni-cnt-sc-ad</t>
  </si>
  <si>
    <t>SAR-oth-rtr-bnf-sc-ad</t>
  </si>
  <si>
    <t>SAR-oth-lct-all-sc-ad</t>
  </si>
  <si>
    <t>SAR-othtot-sc-ad</t>
  </si>
  <si>
    <t>SAR-othcst-sc-ad</t>
  </si>
  <si>
    <t>SAR-tot-sc-ad</t>
  </si>
  <si>
    <t>SAR-tchr-slr-ph</t>
  </si>
  <si>
    <t>SAR-tchr-ni-cnt-ph</t>
  </si>
  <si>
    <t>SAR-tchr-rtr-bnf-ph</t>
  </si>
  <si>
    <t>SAR-tchr-lct-all-ph</t>
  </si>
  <si>
    <t>SAR-tchrtot-ph</t>
  </si>
  <si>
    <t>SAR-pol-frs-slr-ph</t>
  </si>
  <si>
    <t>SAR-pol-frs-ni-cnt-ph</t>
  </si>
  <si>
    <t>SAR-pol-frs-rtr-bnf-ph</t>
  </si>
  <si>
    <t>SAR-pol-frs-lct-all-ph</t>
  </si>
  <si>
    <t>SAR-pol-frs-tot-ph</t>
  </si>
  <si>
    <t>SAR-oth-slr-ph</t>
  </si>
  <si>
    <t>SAR-oth-ni-cnt-ph</t>
  </si>
  <si>
    <t>SAR-oth-rtr-bnf-ph</t>
  </si>
  <si>
    <t>SAR-oth-lct-all-ph</t>
  </si>
  <si>
    <t>SAR-othtot-ph</t>
  </si>
  <si>
    <t>SAR-othcst-ph</t>
  </si>
  <si>
    <t>SAR-tot-ph</t>
  </si>
  <si>
    <t>SAR-tchr-slr-hous</t>
  </si>
  <si>
    <t>SAR-tchr-ni-cnt-hous</t>
  </si>
  <si>
    <t>SAR-tchr-rtr-bnf-hous</t>
  </si>
  <si>
    <t>SAR-tchr-lct-all-hous</t>
  </si>
  <si>
    <t>SAR-tchrtot-hous</t>
  </si>
  <si>
    <t>SAR-pol-frs-slr-hous</t>
  </si>
  <si>
    <t>SAR-pol-frs-ni-cnt-hous</t>
  </si>
  <si>
    <t>SAR-pol-frs-rtr-bnf-hous</t>
  </si>
  <si>
    <t>SAR-pol-frs-lct-all-hous</t>
  </si>
  <si>
    <t>SAR-pol-frs-tot-hous</t>
  </si>
  <si>
    <t>SAR-oth-slr-hous</t>
  </si>
  <si>
    <t>SAR-oth-ni-cnt-hous</t>
  </si>
  <si>
    <t>SAR-oth-rtr-bnf-hous</t>
  </si>
  <si>
    <t>SAR-oth-lct-all-hous</t>
  </si>
  <si>
    <t>SAR-othtot-hous</t>
  </si>
  <si>
    <t>SAR-othcst-hous</t>
  </si>
  <si>
    <t>SAR-tot-hous</t>
  </si>
  <si>
    <t>SAR-tchr-slr-cul-env-plan</t>
  </si>
  <si>
    <t>SAR-tchr-ni-cnt-cul-env-plan</t>
  </si>
  <si>
    <t>SAR-tchr-rtr-bnf-cul-env-plan</t>
  </si>
  <si>
    <t>SAR-tchr-lct-all-cul-env-plan</t>
  </si>
  <si>
    <t>SAR-tchrtot-cul-env-plan</t>
  </si>
  <si>
    <t>SAR-pol-frs-slr-cul-env-plan</t>
  </si>
  <si>
    <t>SAR-pol-frs-ni-cnt-cul-env-plan</t>
  </si>
  <si>
    <t>SAR-pol-frs-rtr-bnf-cul-env-plan</t>
  </si>
  <si>
    <t>SAR-pol-frs-lct-all-cul-env-plan</t>
  </si>
  <si>
    <t>SAR-pol-frs-tot-cul-env-plan</t>
  </si>
  <si>
    <t>SAR-oth-slr-cul-env-plan</t>
  </si>
  <si>
    <t>SAR-oth-ni-cnt-cul-env-plan</t>
  </si>
  <si>
    <t>SAR-oth-rtr-bnf-cul-env-plan</t>
  </si>
  <si>
    <t>SAR-oth-lct-all-cul-env-plan</t>
  </si>
  <si>
    <t>SAR-othtot-cul-env-plan</t>
  </si>
  <si>
    <t>SAR-othcst-cul-env-plan</t>
  </si>
  <si>
    <t>SAR-tot-cul-env-plan</t>
  </si>
  <si>
    <t>SAR-tchr-slr-pol</t>
  </si>
  <si>
    <t>SAR-tchr-ni-cnt-pol</t>
  </si>
  <si>
    <t>SAR-tchr-rtr-bnf-pol</t>
  </si>
  <si>
    <t>SAR-tchr-lct-all-pol</t>
  </si>
  <si>
    <t>SAR-tchrtot-pol</t>
  </si>
  <si>
    <t>SAR-pol-frs-slr-pol</t>
  </si>
  <si>
    <t>SAR-pol-frs-ni-cnt-pol</t>
  </si>
  <si>
    <t>SAR-pol-frs-rtr-bnf-pol</t>
  </si>
  <si>
    <t>SAR-pol-frs-lct-all-pol</t>
  </si>
  <si>
    <t>SAR-pol-frs-tot-pol</t>
  </si>
  <si>
    <t>SAR-oth-slr-pol</t>
  </si>
  <si>
    <t>SAR-oth-ni-cnt-pol</t>
  </si>
  <si>
    <t>SAR-oth-rtr-bnf-pol</t>
  </si>
  <si>
    <t>SAR-oth-lct-all-pol</t>
  </si>
  <si>
    <t>SAR-othtot-pol</t>
  </si>
  <si>
    <t>SAR-othcst-pol</t>
  </si>
  <si>
    <t>SAR-tot-pol</t>
  </si>
  <si>
    <t>SAR-tchr-slr-frs</t>
  </si>
  <si>
    <t>SAR-tchr-ni-cnt-frs</t>
  </si>
  <si>
    <t>SAR-tchr-rtr-bnf-frs</t>
  </si>
  <si>
    <t>SAR-tchr-lct-all-frs</t>
  </si>
  <si>
    <t>SAR-tchrtot-frs</t>
  </si>
  <si>
    <t>SAR-pol-frs-slr-frs</t>
  </si>
  <si>
    <t>SAR-pol-frs-ni-cnt-frs</t>
  </si>
  <si>
    <t>SAR-pol-frs-rtr-bnf-frs</t>
  </si>
  <si>
    <t>SAR-pol-frs-lct-all-frs</t>
  </si>
  <si>
    <t>SAR-pol-frs-tot-frs</t>
  </si>
  <si>
    <t>SAR-oth-slr-frs</t>
  </si>
  <si>
    <t>SAR-oth-ni-cnt-frs</t>
  </si>
  <si>
    <t>SAR-oth-rtr-bnf-frs</t>
  </si>
  <si>
    <t>SAR-oth-lct-all-frs</t>
  </si>
  <si>
    <t>SAR-othtot-frs</t>
  </si>
  <si>
    <t>SAR-othcst-frs</t>
  </si>
  <si>
    <t>SAR-tot-frs</t>
  </si>
  <si>
    <t>SAR-tchr-slr-cen-oth</t>
  </si>
  <si>
    <t>SAR-tchr-ni-cnt-cen-oth</t>
  </si>
  <si>
    <t>SAR-tchr-rtr-bnf-cen-oth</t>
  </si>
  <si>
    <t>SAR-tchr-lct-all-cen-oth</t>
  </si>
  <si>
    <t>SAR-tchrtot-cen-oth</t>
  </si>
  <si>
    <t>SAR-pol-frs-slr-cen-oth</t>
  </si>
  <si>
    <t>SAR-pol-frs-ni-cnt-cen-oth</t>
  </si>
  <si>
    <t>SAR-pol-frs-rtr-bnf-cen-oth</t>
  </si>
  <si>
    <t>SAR-pol-frs-lct-all-cen-oth</t>
  </si>
  <si>
    <t>SAR-pol-frs-tot-cen-oth</t>
  </si>
  <si>
    <t>SAR-oth-slr-cen-oth</t>
  </si>
  <si>
    <t>SAR-oth-ni-cnt-cen-oth</t>
  </si>
  <si>
    <t>SAR-oth-rtr-bnf-cen-oth</t>
  </si>
  <si>
    <t>SAR-oth-lct-all-cen-oth</t>
  </si>
  <si>
    <t>SAR-othtot-cen-oth</t>
  </si>
  <si>
    <t>SAR-othcst-cen-oth</t>
  </si>
  <si>
    <t>SAR-tot-cen-oth</t>
  </si>
  <si>
    <t>WASTE-levyinc1-n levyinc1-inc</t>
  </si>
  <si>
    <t>WASTE-levyinc2-n levyinc2-inc</t>
  </si>
  <si>
    <t>WASTE-levyinc3-n levyinc3-inc</t>
  </si>
  <si>
    <t>WASTE-levyinc4-n levyinc4-inc</t>
  </si>
  <si>
    <t>WASTE-levyinc5-n levyinc5-inc</t>
  </si>
  <si>
    <t>WASTE-levyinc6-n levyinc6-inc</t>
  </si>
  <si>
    <t>WASTE-levyinc7-n levyinc7-inc</t>
  </si>
  <si>
    <t>WASTE-levyinc8-n levyinc8-inc</t>
  </si>
  <si>
    <t>WASTE-levyinc9-n levyinc9-inc</t>
  </si>
  <si>
    <t>WASTE-levyinc10-n levyinc10-inc</t>
  </si>
  <si>
    <t>WASTE-levyinc11-n levyinc11-inc</t>
  </si>
  <si>
    <t>WASTE-levyinc12-n levyinc12-inc</t>
  </si>
  <si>
    <t>WASTE-levyinc13-n levyinc13-inc</t>
  </si>
  <si>
    <t>WASTE-levyinc14-n levyinc14-inc</t>
  </si>
  <si>
    <t>WASTE-levyinc15-n levyinc15-inc</t>
  </si>
  <si>
    <t>WASTE-levyinc-tot</t>
  </si>
  <si>
    <t>TRANS-levyinc1-n levyinc1-inc</t>
  </si>
  <si>
    <t>TRANS-levyinc2-n levyinc2-inc</t>
  </si>
  <si>
    <t>TRANS-levyinc3-n levyinc3-inc</t>
  </si>
  <si>
    <t>TRANS-levyinc4-n levyinc4-inc</t>
  </si>
  <si>
    <t>TRANS-levyinc5-n levyinc5-inc</t>
  </si>
  <si>
    <t>TRANS-levyinc6-n levyinc6-inc</t>
  </si>
  <si>
    <t>TRANS-levyinc7-n levyinc7-inc</t>
  </si>
  <si>
    <t>TRANS-levyinc8-n levyinc8-inc</t>
  </si>
  <si>
    <t>TRANS-levyinc9-n levyinc9-inc</t>
  </si>
  <si>
    <t>TRANS-levyinc10-n levyinc10-inc</t>
  </si>
  <si>
    <t>TRANS-levyinc11-n levyinc11-inc</t>
  </si>
  <si>
    <t>TRANS-levyinc12-n levyinc12-inc</t>
  </si>
  <si>
    <t>TRANS-levyinc13-n levyinc13-inc</t>
  </si>
  <si>
    <t>TRANS-levyinc14-n levyinc14-inc</t>
  </si>
  <si>
    <t>TRANS-levyinc15-n levyinc15-inc</t>
  </si>
  <si>
    <t>TRANS-levyinc-tot</t>
  </si>
  <si>
    <t>SARB-runexp-premrepair-sc-ch</t>
  </si>
  <si>
    <t>SARB-runexp-premenergy-sc-ch</t>
  </si>
  <si>
    <t>SARB-runexp-premrents-sc-ch</t>
  </si>
  <si>
    <t>SARB-runexp-premrates-sc-ch</t>
  </si>
  <si>
    <t>SARB-runexp-premwater-sc-ch</t>
  </si>
  <si>
    <t>SARB-runexp-premfixfit-sc-ch</t>
  </si>
  <si>
    <t>SARB-runexp-premclean-sc-ch</t>
  </si>
  <si>
    <t>SARB-runexp-premgroundmnt-sc-ch</t>
  </si>
  <si>
    <t>SARB-runexp-premins-sc-ch</t>
  </si>
  <si>
    <t>SARB-runexp-premoth-sc-ch</t>
  </si>
  <si>
    <t>SARB-runexp-premtot-sc-ch</t>
  </si>
  <si>
    <t>SARB-runexp-transvhcmnt-sc-ch</t>
  </si>
  <si>
    <t>SARB-runexp-transhire-lease-sc-ch</t>
  </si>
  <si>
    <t>SARB-runexp-transcarall-sc-ch</t>
  </si>
  <si>
    <t>SARB-runexp-transpubttrnsall-sc-ch</t>
  </si>
  <si>
    <t>SARB-runexp-transins-sc-ch</t>
  </si>
  <si>
    <t>SARB-runexp-transoth-sc-ch</t>
  </si>
  <si>
    <t>SARB-runexp-transtot-sc-ch</t>
  </si>
  <si>
    <t>SARB-runexp-suppequip-sc-ch</t>
  </si>
  <si>
    <t>SARB-runexp-suppcatering-sc-ch</t>
  </si>
  <si>
    <t>SARB-runexp-suppclth-sc-ch</t>
  </si>
  <si>
    <t>SARB-runexp-suppoffexp-sc-ch</t>
  </si>
  <si>
    <t>SARB-runexp-suppcomms-sc-ch</t>
  </si>
  <si>
    <t>SARB-runexp-suppsubs-sc-ch</t>
  </si>
  <si>
    <t>SARB-runexp-suppsubscrip-sc-ch</t>
  </si>
  <si>
    <t>SARB-runexp-suppins-sc-ch</t>
  </si>
  <si>
    <t>SARB-runexp-suppsch-non-ict-sc-ch</t>
  </si>
  <si>
    <t>SARB-runexp-suppsch-ict-sc-ch</t>
  </si>
  <si>
    <t>SARB-runexp-suppexam-sc-ch</t>
  </si>
  <si>
    <t>SARB-runexp-suppoth-sc-ch</t>
  </si>
  <si>
    <t>SARB-runexp-supptot-sc-ch</t>
  </si>
  <si>
    <t>SARB-runexp-tpp-jnt-oth-la-sc-ch</t>
  </si>
  <si>
    <t>SARB-runexp-tpp-pym-vln-sc-ch</t>
  </si>
  <si>
    <t>SARB-runexp-tpp-pc-profess-sc-ch</t>
  </si>
  <si>
    <t>SARB-runexp-tpp-pc-agency-sc-ch</t>
  </si>
  <si>
    <t>SARB-runexp-tpp-pc-oth-sc-ch</t>
  </si>
  <si>
    <t>SARB-runexp-tpp-ito-sc-ch</t>
  </si>
  <si>
    <t>SARB-runexp-tpp-tot-sc-ch</t>
  </si>
  <si>
    <t>SARB-runexp-ttl-trn-pym-dsc-sc-ch</t>
  </si>
  <si>
    <t>SARB-runexp-exp-mng-ss-sc-ch</t>
  </si>
  <si>
    <t>SARB-runexp-tot-sc-ch</t>
  </si>
  <si>
    <t>SARB-runexp-premrepair-sc-ad</t>
  </si>
  <si>
    <t>SARB-runexp-premenergy-sc-ad</t>
  </si>
  <si>
    <t>SARB-runexp-premrents-sc-ad</t>
  </si>
  <si>
    <t>SARB-runexp-premrates-sc-ad</t>
  </si>
  <si>
    <t>SARB-runexp-premwater-sc-ad</t>
  </si>
  <si>
    <t>SARB-runexp-premfixfit-sc-ad</t>
  </si>
  <si>
    <t>SARB-runexp-premclean-sc-ad</t>
  </si>
  <si>
    <t>SARB-runexp-premgroundmnt-sc-ad</t>
  </si>
  <si>
    <t>SARB-runexp-premins-sc-ad</t>
  </si>
  <si>
    <t>SARB-runexp-premoth-sc-ad</t>
  </si>
  <si>
    <t>SARB-runexp-premtot-sc-ad</t>
  </si>
  <si>
    <t>SARB-runexp-transvhcmnt-sc-ad</t>
  </si>
  <si>
    <t>SARB-runexp-transhire-lease-sc-ad</t>
  </si>
  <si>
    <t>SARB-runexp-transcarall-sc-ad</t>
  </si>
  <si>
    <t>SARB-runexp-transpubttrnsall-sc-ad</t>
  </si>
  <si>
    <t>SARB-runexp-transins-sc-ad</t>
  </si>
  <si>
    <t>SARB-runexp-transoth-sc-ad</t>
  </si>
  <si>
    <t>SARB-runexp-transtot-sc-ad</t>
  </si>
  <si>
    <t>SARB-runexp-suppequip-sc-ad</t>
  </si>
  <si>
    <t>SARB-runexp-suppcatering-sc-ad</t>
  </si>
  <si>
    <t>SARB-runexp-suppclth-sc-ad</t>
  </si>
  <si>
    <t>SARB-runexp-suppoffexp-sc-ad</t>
  </si>
  <si>
    <t>SARB-runexp-suppcomms-sc-ad</t>
  </si>
  <si>
    <t>SARB-runexp-suppsubs-sc-ad</t>
  </si>
  <si>
    <t>SARB-runexp-suppsubscrip-sc-ad</t>
  </si>
  <si>
    <t>SARB-runexp-suppins-sc-ad</t>
  </si>
  <si>
    <t>SARB-runexp-suppsch-non-ict-sc-ad</t>
  </si>
  <si>
    <t>SARB-runexp-suppsch-ict-sc-ad</t>
  </si>
  <si>
    <t>SARB-runexp-suppexam-sc-ad</t>
  </si>
  <si>
    <t>SARB-runexp-suppoth-sc-ad</t>
  </si>
  <si>
    <t>SARB-runexp-supptot-sc-ad</t>
  </si>
  <si>
    <t>SARB-runexp-tpp-jnt-oth-la-sc-ad</t>
  </si>
  <si>
    <t>SARB-runexp-tpp-pym-vln-sc-ad</t>
  </si>
  <si>
    <t>SARB-runexp-tpp-pc-profess-sc-ad</t>
  </si>
  <si>
    <t>SARB-runexp-tpp-pc-agency-sc-ad</t>
  </si>
  <si>
    <t>SARB-runexp-tpp-pc-oth-sc-ad</t>
  </si>
  <si>
    <t>SARB-runexp-tpp-ito-sc-ad</t>
  </si>
  <si>
    <t>SARB-runexp-tpp-tot-sc-ad</t>
  </si>
  <si>
    <t>SARB-runexp-ttl-trn-pym-dsc-sc-ad</t>
  </si>
  <si>
    <t>SARB-runexp-exp-mng-ss-sc-ad</t>
  </si>
  <si>
    <t>SARB-runexp-tot-sc-ad</t>
  </si>
  <si>
    <t>SARB-runexp-premrepair-pol</t>
  </si>
  <si>
    <t>SARB-runexp-premenergy-pol</t>
  </si>
  <si>
    <t>SARB-runexp-premrents-pol</t>
  </si>
  <si>
    <t>SARB-runexp-premrates-pol</t>
  </si>
  <si>
    <t>SARB-runexp-premwater-pol</t>
  </si>
  <si>
    <t>SARB-runexp-premfixfit-pol</t>
  </si>
  <si>
    <t>SARB-runexp-premclean-pol</t>
  </si>
  <si>
    <t>SARB-runexp-premgroundmnt-pol</t>
  </si>
  <si>
    <t>SARB-runexp-premins-pol</t>
  </si>
  <si>
    <t>SARB-runexp-premoth-pol</t>
  </si>
  <si>
    <t>SARB-runexp-premtot-pol</t>
  </si>
  <si>
    <t>SARB-runexp-transvhcmnt-pol</t>
  </si>
  <si>
    <t>SARB-runexp-transhire-lease-pol</t>
  </si>
  <si>
    <t>SARB-runexp-transcarall-pol</t>
  </si>
  <si>
    <t>SARB-runexp-transpubttrnsall-pol</t>
  </si>
  <si>
    <t>SARB-runexp-transins-pol</t>
  </si>
  <si>
    <t>SARB-runexp-transoth-pol</t>
  </si>
  <si>
    <t>SARB-runexp-transtot-pol</t>
  </si>
  <si>
    <t>SARB-runexp-suppequip-pol</t>
  </si>
  <si>
    <t>SARB-runexp-suppcatering-pol</t>
  </si>
  <si>
    <t>SARB-runexp-suppclth-pol</t>
  </si>
  <si>
    <t>SARB-runexp-suppoffexp-pol</t>
  </si>
  <si>
    <t>SARB-runexp-suppcomms-pol</t>
  </si>
  <si>
    <t>SARB-runexp-suppsubs-pol</t>
  </si>
  <si>
    <t>SARB-runexp-suppsubscrip-pol</t>
  </si>
  <si>
    <t>SARB-runexp-suppins-pol</t>
  </si>
  <si>
    <t>SARB-runexp-suppsch-non-ict-pol</t>
  </si>
  <si>
    <t>SARB-runexp-suppsch-ict-pol</t>
  </si>
  <si>
    <t>SARB-runexp-suppexam-pol</t>
  </si>
  <si>
    <t>SARB-runexp-suppoth-pol</t>
  </si>
  <si>
    <t>SARB-runexp-supptot-pol</t>
  </si>
  <si>
    <t>SARB-runexp-tpp-jnt-oth-la-pol</t>
  </si>
  <si>
    <t>SARB-runexp-tpp-pym-vln-pol</t>
  </si>
  <si>
    <t>SARB-runexp-tpp-pc-profess-pol</t>
  </si>
  <si>
    <t>SARB-runexp-tpp-pc-agency-pol</t>
  </si>
  <si>
    <t>SARB-runexp-tpp-pc-oth-pol</t>
  </si>
  <si>
    <t>SARB-runexp-tpp-ito-pol</t>
  </si>
  <si>
    <t>SARB-runexp-tpp-tot-pol</t>
  </si>
  <si>
    <t>SARB-runexp-ttl-trn-pym-dsc-pol</t>
  </si>
  <si>
    <t>SARB-runexp-exp-mng-ss-pol</t>
  </si>
  <si>
    <t>SARB-runexp-tot-pol</t>
  </si>
  <si>
    <t>SARB-runexp-premrepair-oth</t>
  </si>
  <si>
    <t>SARB-runexp-premenergy-oth</t>
  </si>
  <si>
    <t>SARB-runexp-premrents-oth</t>
  </si>
  <si>
    <t>SARB-runexp-premrates-oth</t>
  </si>
  <si>
    <t>SARB-runexp-premwater-oth</t>
  </si>
  <si>
    <t>SARB-runexp-premfixfit-oth</t>
  </si>
  <si>
    <t>SARB-runexp-premclean-oth</t>
  </si>
  <si>
    <t>SARB-runexp-premgroundmnt-oth</t>
  </si>
  <si>
    <t>SARB-runexp-premins-oth</t>
  </si>
  <si>
    <t>SARB-runexp-premoth-oth</t>
  </si>
  <si>
    <t>SARB-runexp-premtot-oth</t>
  </si>
  <si>
    <t>SARB-runexp-transvhcmnt-oth</t>
  </si>
  <si>
    <t>SARB-runexp-transhire-lease-oth</t>
  </si>
  <si>
    <t>SARB-runexp-transcarall-oth</t>
  </si>
  <si>
    <t>SARB-runexp-transpubttrnsall-oth</t>
  </si>
  <si>
    <t>SARB-runexp-transins-oth</t>
  </si>
  <si>
    <t>SARB-runexp-transoth-oth</t>
  </si>
  <si>
    <t>SARB-runexp-transtot-oth</t>
  </si>
  <si>
    <t>SARB-runexp-suppequip-oth</t>
  </si>
  <si>
    <t>SARB-runexp-suppcatering-oth</t>
  </si>
  <si>
    <t>SARB-runexp-suppclth-oth</t>
  </si>
  <si>
    <t>SARB-runexp-suppoffexp-oth</t>
  </si>
  <si>
    <t>SARB-runexp-suppcomms-oth</t>
  </si>
  <si>
    <t>SARB-runexp-suppsubs-oth</t>
  </si>
  <si>
    <t>SARB-runexp-suppsubscrip-oth</t>
  </si>
  <si>
    <t>SARB-runexp-suppins-oth</t>
  </si>
  <si>
    <t>SARB-runexp-suppsch-non-ict-oth</t>
  </si>
  <si>
    <t>SARB-runexp-suppsch-ict-oth</t>
  </si>
  <si>
    <t>SARB-runexp-suppexam-oth</t>
  </si>
  <si>
    <t>SARB-runexp-suppoth-oth</t>
  </si>
  <si>
    <t>SARB-runexp-supptot-oth</t>
  </si>
  <si>
    <t>SARB-runexp-tpp-jnt-oth-la-oth</t>
  </si>
  <si>
    <t>SARB-runexp-tpp-pym-vln-oth</t>
  </si>
  <si>
    <t>SARB-runexp-tpp-pc-profess-oth</t>
  </si>
  <si>
    <t>SARB-runexp-tpp-pc-agency-oth</t>
  </si>
  <si>
    <t>SARB-runexp-tpp-pc-oth-oth</t>
  </si>
  <si>
    <t>SARB-runexp-tpp-ito-oth</t>
  </si>
  <si>
    <t>SARB-runexp-tpp-tot-oth</t>
  </si>
  <si>
    <t>SARB-runexp-ttl-trn-pym-dsc-oth</t>
  </si>
  <si>
    <t>SARB-runexp-exp-mng-ss-oth</t>
  </si>
  <si>
    <t>SARB-runexp-tot-oth</t>
  </si>
  <si>
    <t>RO1107</t>
  </si>
  <si>
    <t>RO1207</t>
  </si>
  <si>
    <t>RO1307</t>
  </si>
  <si>
    <t>RO1407</t>
  </si>
  <si>
    <t>RO1457</t>
  </si>
  <si>
    <t>RO1657</t>
  </si>
  <si>
    <t>RO1907</t>
  </si>
  <si>
    <t>RO2117</t>
  </si>
  <si>
    <t>RO2127</t>
  </si>
  <si>
    <t>RO2317</t>
  </si>
  <si>
    <t>RO2327</t>
  </si>
  <si>
    <t>RO2337</t>
  </si>
  <si>
    <t>RO2417</t>
  </si>
  <si>
    <t>RO2447</t>
  </si>
  <si>
    <t>RO2487</t>
  </si>
  <si>
    <t>RO2497</t>
  </si>
  <si>
    <t>RO2517</t>
  </si>
  <si>
    <t>RO2527</t>
  </si>
  <si>
    <t>RO2547</t>
  </si>
  <si>
    <t>RO2587</t>
  </si>
  <si>
    <t>RO2617</t>
  </si>
  <si>
    <t>RO2627</t>
  </si>
  <si>
    <t>RO2717</t>
  </si>
  <si>
    <t>RO2727</t>
  </si>
  <si>
    <t>RO2737</t>
  </si>
  <si>
    <t>RO2747</t>
  </si>
  <si>
    <t>RO2757</t>
  </si>
  <si>
    <t>RO2767</t>
  </si>
  <si>
    <t>RO2807</t>
  </si>
  <si>
    <t>RO2907</t>
  </si>
  <si>
    <t>RO21015</t>
  </si>
  <si>
    <t>RO21025</t>
  </si>
  <si>
    <t>RO21035</t>
  </si>
  <si>
    <t>RO21045</t>
  </si>
  <si>
    <t>RO21307</t>
  </si>
  <si>
    <t>RO21412</t>
  </si>
  <si>
    <t>RO21442</t>
  </si>
  <si>
    <t>RO21614</t>
  </si>
  <si>
    <t>RO21624</t>
  </si>
  <si>
    <t>RO21727</t>
  </si>
  <si>
    <t>RO21737</t>
  </si>
  <si>
    <t>RO21747</t>
  </si>
  <si>
    <t>RO3107</t>
  </si>
  <si>
    <t>RO3137</t>
  </si>
  <si>
    <t>RO3157</t>
  </si>
  <si>
    <t>RO3227</t>
  </si>
  <si>
    <t>RO3237</t>
  </si>
  <si>
    <t>RO3257</t>
  </si>
  <si>
    <t>RO3267</t>
  </si>
  <si>
    <t>RO3277</t>
  </si>
  <si>
    <t>RO3307</t>
  </si>
  <si>
    <t>RO3327</t>
  </si>
  <si>
    <t>RO3337</t>
  </si>
  <si>
    <t>RO3347</t>
  </si>
  <si>
    <t>RO3357</t>
  </si>
  <si>
    <t>RO3367</t>
  </si>
  <si>
    <t>RO3377</t>
  </si>
  <si>
    <t>RO3407</t>
  </si>
  <si>
    <t>RO3417</t>
  </si>
  <si>
    <t>RO3447</t>
  </si>
  <si>
    <t>RO3457</t>
  </si>
  <si>
    <t>RO3487</t>
  </si>
  <si>
    <t>RO3497</t>
  </si>
  <si>
    <t>RO3507</t>
  </si>
  <si>
    <t>RO3517</t>
  </si>
  <si>
    <t>RO3537</t>
  </si>
  <si>
    <t>RO3547</t>
  </si>
  <si>
    <t>RO3557</t>
  </si>
  <si>
    <t>RO3567</t>
  </si>
  <si>
    <t>RO3607</t>
  </si>
  <si>
    <t>RO3617</t>
  </si>
  <si>
    <t>RO3627</t>
  </si>
  <si>
    <t>RO3637</t>
  </si>
  <si>
    <t>RO3657</t>
  </si>
  <si>
    <t>RO3667</t>
  </si>
  <si>
    <t>RO3687</t>
  </si>
  <si>
    <t>RO3707</t>
  </si>
  <si>
    <t>RO3717</t>
  </si>
  <si>
    <t>RO3727</t>
  </si>
  <si>
    <t>RO3737</t>
  </si>
  <si>
    <t>RO3747</t>
  </si>
  <si>
    <t>RO3767</t>
  </si>
  <si>
    <t>RO3777</t>
  </si>
  <si>
    <t>RO3787</t>
  </si>
  <si>
    <t>RO3797</t>
  </si>
  <si>
    <t>RO3807</t>
  </si>
  <si>
    <t>RO3817</t>
  </si>
  <si>
    <t>RO3827</t>
  </si>
  <si>
    <t>RO3837</t>
  </si>
  <si>
    <t>RO3847</t>
  </si>
  <si>
    <t>RO3857</t>
  </si>
  <si>
    <t>RO3867</t>
  </si>
  <si>
    <t>RO3877</t>
  </si>
  <si>
    <t>RO3897</t>
  </si>
  <si>
    <t>RO3907</t>
  </si>
  <si>
    <t>RO3937</t>
  </si>
  <si>
    <t>RO3947</t>
  </si>
  <si>
    <t>RO3957</t>
  </si>
  <si>
    <t>RO3967</t>
  </si>
  <si>
    <t>RO3987</t>
  </si>
  <si>
    <t>RO3997</t>
  </si>
  <si>
    <t>RO4107</t>
  </si>
  <si>
    <t>RO4207</t>
  </si>
  <si>
    <t>RO4317</t>
  </si>
  <si>
    <t>RO4387</t>
  </si>
  <si>
    <t>RO4807</t>
  </si>
  <si>
    <t>RO4817</t>
  </si>
  <si>
    <t>RO4827</t>
  </si>
  <si>
    <t>RO4837</t>
  </si>
  <si>
    <t>RO4847</t>
  </si>
  <si>
    <t>RO4857</t>
  </si>
  <si>
    <t>RO4867</t>
  </si>
  <si>
    <t>RO4877</t>
  </si>
  <si>
    <t>RO4887</t>
  </si>
  <si>
    <t>RO4897</t>
  </si>
  <si>
    <t>RO4517</t>
  </si>
  <si>
    <t>RO4527</t>
  </si>
  <si>
    <t>RO4537</t>
  </si>
  <si>
    <t>RO4577</t>
  </si>
  <si>
    <t>RO4607</t>
  </si>
  <si>
    <t>RO4757</t>
  </si>
  <si>
    <t>RO4787</t>
  </si>
  <si>
    <t>RO4907</t>
  </si>
  <si>
    <t>RO41018</t>
  </si>
  <si>
    <t>RO41028</t>
  </si>
  <si>
    <t>RO41038</t>
  </si>
  <si>
    <t>RO41048</t>
  </si>
  <si>
    <t>RO41058</t>
  </si>
  <si>
    <t>RO41068</t>
  </si>
  <si>
    <t>RO41078</t>
  </si>
  <si>
    <t>RO41088</t>
  </si>
  <si>
    <t>RO41118</t>
  </si>
  <si>
    <t>RO41218</t>
  </si>
  <si>
    <t>RO41228</t>
  </si>
  <si>
    <t>RO41238</t>
  </si>
  <si>
    <t>RO41248</t>
  </si>
  <si>
    <t>RO41258</t>
  </si>
  <si>
    <t>RO41268</t>
  </si>
  <si>
    <t>RO41278</t>
  </si>
  <si>
    <t>RO41288</t>
  </si>
  <si>
    <t>RO41298</t>
  </si>
  <si>
    <t>RO41308</t>
  </si>
  <si>
    <t>RO41338</t>
  </si>
  <si>
    <t>RO41469</t>
  </si>
  <si>
    <t>RO414610</t>
  </si>
  <si>
    <t>RO51117</t>
  </si>
  <si>
    <t>RO51127</t>
  </si>
  <si>
    <t>RO51137</t>
  </si>
  <si>
    <t>RO51147</t>
  </si>
  <si>
    <t>RO51157</t>
  </si>
  <si>
    <t>RO51217</t>
  </si>
  <si>
    <t>RO51227</t>
  </si>
  <si>
    <t>RO51237</t>
  </si>
  <si>
    <t>RO51297</t>
  </si>
  <si>
    <t>RO51317</t>
  </si>
  <si>
    <t>RO51377</t>
  </si>
  <si>
    <t>RO51407</t>
  </si>
  <si>
    <t>RO51507</t>
  </si>
  <si>
    <t>RO51907</t>
  </si>
  <si>
    <t>RO52107</t>
  </si>
  <si>
    <t>RO52197</t>
  </si>
  <si>
    <t>RO52207</t>
  </si>
  <si>
    <t>RO52217</t>
  </si>
  <si>
    <t>RO52227</t>
  </si>
  <si>
    <t>RO52237</t>
  </si>
  <si>
    <t>RO52247</t>
  </si>
  <si>
    <t>RO52257</t>
  </si>
  <si>
    <t>RO52267</t>
  </si>
  <si>
    <t>RO52277</t>
  </si>
  <si>
    <t>RO52287</t>
  </si>
  <si>
    <t>RO52297</t>
  </si>
  <si>
    <t>RO52307</t>
  </si>
  <si>
    <t>RO52317</t>
  </si>
  <si>
    <t>RO52327</t>
  </si>
  <si>
    <t>RO52337</t>
  </si>
  <si>
    <t>RO52417</t>
  </si>
  <si>
    <t>RO52437</t>
  </si>
  <si>
    <t>RO52447</t>
  </si>
  <si>
    <t>RO52477</t>
  </si>
  <si>
    <t>RO52507</t>
  </si>
  <si>
    <t>RO52707</t>
  </si>
  <si>
    <t>RO52817</t>
  </si>
  <si>
    <t>RO52827</t>
  </si>
  <si>
    <t>RO52837</t>
  </si>
  <si>
    <t>RO52847</t>
  </si>
  <si>
    <t>RO52857</t>
  </si>
  <si>
    <t>RO52867</t>
  </si>
  <si>
    <t>RO52907</t>
  </si>
  <si>
    <t>RO53107</t>
  </si>
  <si>
    <t>RO53207</t>
  </si>
  <si>
    <t>RO53357</t>
  </si>
  <si>
    <t>RO53387</t>
  </si>
  <si>
    <t>RO53407</t>
  </si>
  <si>
    <t>RO53507</t>
  </si>
  <si>
    <t>RO53517</t>
  </si>
  <si>
    <t>RO53527</t>
  </si>
  <si>
    <t>RO53607</t>
  </si>
  <si>
    <t>RO53907</t>
  </si>
  <si>
    <t>RO54007</t>
  </si>
  <si>
    <t>RO61007</t>
  </si>
  <si>
    <t>RO62107</t>
  </si>
  <si>
    <t>RO62207</t>
  </si>
  <si>
    <t>RO62307</t>
  </si>
  <si>
    <t>RO62907</t>
  </si>
  <si>
    <t>RO64107</t>
  </si>
  <si>
    <t>RO64217</t>
  </si>
  <si>
    <t>RO64227</t>
  </si>
  <si>
    <t>RO64237</t>
  </si>
  <si>
    <t>RO64257</t>
  </si>
  <si>
    <t>RO64267</t>
  </si>
  <si>
    <t>RO64287</t>
  </si>
  <si>
    <t>RO64307</t>
  </si>
  <si>
    <t>RO64417</t>
  </si>
  <si>
    <t>RO64427</t>
  </si>
  <si>
    <t>RO64507</t>
  </si>
  <si>
    <t>RO64607</t>
  </si>
  <si>
    <t>RO64657</t>
  </si>
  <si>
    <t>RO64707</t>
  </si>
  <si>
    <t>RO64757</t>
  </si>
  <si>
    <t>RO64767</t>
  </si>
  <si>
    <t>RO64817</t>
  </si>
  <si>
    <t>RO64827</t>
  </si>
  <si>
    <t>RO64847</t>
  </si>
  <si>
    <t>RO64897</t>
  </si>
  <si>
    <t>RO64907</t>
  </si>
  <si>
    <t>RO64915</t>
  </si>
  <si>
    <t>RO64925</t>
  </si>
  <si>
    <t>RO64935</t>
  </si>
  <si>
    <t>RO64945</t>
  </si>
  <si>
    <t>RO64955</t>
  </si>
  <si>
    <t>RO65007</t>
  </si>
  <si>
    <t>RS1901</t>
  </si>
  <si>
    <t>RS2901</t>
  </si>
  <si>
    <t>RS3301</t>
  </si>
  <si>
    <t>RS3601</t>
  </si>
  <si>
    <t>RS3901</t>
  </si>
  <si>
    <t>RS4901</t>
  </si>
  <si>
    <t>RS5091</t>
  </si>
  <si>
    <t>RS5901</t>
  </si>
  <si>
    <t>RS5991</t>
  </si>
  <si>
    <t>RS6011</t>
  </si>
  <si>
    <t>RS6021</t>
  </si>
  <si>
    <t>RS6901</t>
  </si>
  <si>
    <t>RS6981</t>
  </si>
  <si>
    <t>RS6991</t>
  </si>
  <si>
    <t>RS7111</t>
  </si>
  <si>
    <t>RS7121</t>
  </si>
  <si>
    <t>RS7131</t>
  </si>
  <si>
    <t>RS7141</t>
  </si>
  <si>
    <t>RS7181</t>
  </si>
  <si>
    <t>RS7211</t>
  </si>
  <si>
    <t>RS7221</t>
  </si>
  <si>
    <t>RS7241</t>
  </si>
  <si>
    <t>RS7271</t>
  </si>
  <si>
    <t>RS7281</t>
  </si>
  <si>
    <t>RS7311</t>
  </si>
  <si>
    <t>RS7321</t>
  </si>
  <si>
    <t>RS7411</t>
  </si>
  <si>
    <t>RS7421</t>
  </si>
  <si>
    <t>RS7471</t>
  </si>
  <si>
    <t>RS7481</t>
  </si>
  <si>
    <t>RS7491</t>
  </si>
  <si>
    <t>RS7591</t>
  </si>
  <si>
    <t>RS7651</t>
  </si>
  <si>
    <t>RS7661</t>
  </si>
  <si>
    <t>RS7671</t>
  </si>
  <si>
    <t>RS7681</t>
  </si>
  <si>
    <t>RS7711</t>
  </si>
  <si>
    <t>RS7731</t>
  </si>
  <si>
    <t>RS7761</t>
  </si>
  <si>
    <t>RS7811</t>
  </si>
  <si>
    <t>RS7831</t>
  </si>
  <si>
    <t>RS7851</t>
  </si>
  <si>
    <t>RS7861</t>
  </si>
  <si>
    <t>RS7881</t>
  </si>
  <si>
    <t>RS7891</t>
  </si>
  <si>
    <t>RS7901</t>
  </si>
  <si>
    <t>RS7911</t>
  </si>
  <si>
    <t>RS7931</t>
  </si>
  <si>
    <t>RS7941</t>
  </si>
  <si>
    <t>RS7951</t>
  </si>
  <si>
    <t>RS7961</t>
  </si>
  <si>
    <t>RS7971</t>
  </si>
  <si>
    <t>RS8001</t>
  </si>
  <si>
    <t>RS8031</t>
  </si>
  <si>
    <t>RS8041</t>
  </si>
  <si>
    <t>RS8051</t>
  </si>
  <si>
    <t>RS8061</t>
  </si>
  <si>
    <t>RS8111</t>
  </si>
  <si>
    <t>RS8131</t>
  </si>
  <si>
    <t>RS8141</t>
  </si>
  <si>
    <t>RS8151</t>
  </si>
  <si>
    <t>RS8161</t>
  </si>
  <si>
    <t>RS8511</t>
  </si>
  <si>
    <t>RS8561</t>
  </si>
  <si>
    <t>RS8701</t>
  </si>
  <si>
    <t>RS8801</t>
  </si>
  <si>
    <t>RS8851</t>
  </si>
  <si>
    <t>RS8901</t>
  </si>
  <si>
    <t>RS9112</t>
  </si>
  <si>
    <t>RS9132</t>
  </si>
  <si>
    <t>RS9142</t>
  </si>
  <si>
    <t>RS9152</t>
  </si>
  <si>
    <t>RS9162</t>
  </si>
  <si>
    <t>RS9113</t>
  </si>
  <si>
    <t>RS9133</t>
  </si>
  <si>
    <t>RS9143</t>
  </si>
  <si>
    <t>RS9153</t>
  </si>
  <si>
    <t>RS9163</t>
  </si>
  <si>
    <t>RS9202</t>
  </si>
  <si>
    <t>RS9311</t>
  </si>
  <si>
    <t>RS9331</t>
  </si>
  <si>
    <t>RS9341</t>
  </si>
  <si>
    <t>RS9351</t>
  </si>
  <si>
    <t>RS9361</t>
  </si>
  <si>
    <t>RS9391</t>
  </si>
  <si>
    <t>RS9948</t>
  </si>
  <si>
    <t>RS9958</t>
  </si>
  <si>
    <t>RS9968</t>
  </si>
  <si>
    <t>RS9978</t>
  </si>
  <si>
    <t>RS9411</t>
  </si>
  <si>
    <t>RS9421</t>
  </si>
  <si>
    <t>RS9805</t>
  </si>
  <si>
    <t>RS9815</t>
  </si>
  <si>
    <t>RS9825</t>
  </si>
  <si>
    <t>RS9836</t>
  </si>
  <si>
    <t>RS9837</t>
  </si>
  <si>
    <t>RSX1907</t>
  </si>
  <si>
    <t>RSX2907</t>
  </si>
  <si>
    <t>RSX3307</t>
  </si>
  <si>
    <t>RSX3607</t>
  </si>
  <si>
    <t>RSX3907</t>
  </si>
  <si>
    <t>RSX4907</t>
  </si>
  <si>
    <t>RSX5097</t>
  </si>
  <si>
    <t>RSX5907</t>
  </si>
  <si>
    <t>RSX5997</t>
  </si>
  <si>
    <t>RSX6017</t>
  </si>
  <si>
    <t>RSX6027</t>
  </si>
  <si>
    <t>RSX6907</t>
  </si>
  <si>
    <t>RSX6987</t>
  </si>
  <si>
    <t>RSX6997</t>
  </si>
  <si>
    <t>TSR2601</t>
  </si>
  <si>
    <t>TSR2811</t>
  </si>
  <si>
    <t>TSR2821</t>
  </si>
  <si>
    <t>TSR2831</t>
  </si>
  <si>
    <t>TSR2841</t>
  </si>
  <si>
    <t>TSR5141</t>
  </si>
  <si>
    <t>TSR5151</t>
  </si>
  <si>
    <t>TSR5211</t>
  </si>
  <si>
    <t>TSR5251</t>
  </si>
  <si>
    <t>TSR5281</t>
  </si>
  <si>
    <t>TSR5351</t>
  </si>
  <si>
    <t>TSR5501</t>
  </si>
  <si>
    <t>TSR5801</t>
  </si>
  <si>
    <t>TSR5911</t>
  </si>
  <si>
    <t>TSR5941</t>
  </si>
  <si>
    <t>TSR5951</t>
  </si>
  <si>
    <t>TSR5961</t>
  </si>
  <si>
    <t>TSR5971</t>
  </si>
  <si>
    <t>TSR6961</t>
  </si>
  <si>
    <t>TSR6971</t>
  </si>
  <si>
    <t>TSR6981</t>
  </si>
  <si>
    <t>TSR7161</t>
  </si>
  <si>
    <t>TSR7171</t>
  </si>
  <si>
    <t>TSR7231</t>
  </si>
  <si>
    <t>TSR7261</t>
  </si>
  <si>
    <t>TSR7331</t>
  </si>
  <si>
    <t>TSR7341</t>
  </si>
  <si>
    <t>TSR7411</t>
  </si>
  <si>
    <t>TSR7521</t>
  </si>
  <si>
    <t>TSR7571</t>
  </si>
  <si>
    <t>TSR8101</t>
  </si>
  <si>
    <t>TSR8211</t>
  </si>
  <si>
    <t>TSR8251</t>
  </si>
  <si>
    <t>TSR8301</t>
  </si>
  <si>
    <t>TSR8411</t>
  </si>
  <si>
    <t>TSR8451</t>
  </si>
  <si>
    <t>TSR8501</t>
  </si>
  <si>
    <t>TSR8601</t>
  </si>
  <si>
    <t>TSR8711</t>
  </si>
  <si>
    <t>TSR8721</t>
  </si>
  <si>
    <t>TSR8731</t>
  </si>
  <si>
    <t>TSR8741</t>
  </si>
  <si>
    <t>TSR8751</t>
  </si>
  <si>
    <t>TSR8961</t>
  </si>
  <si>
    <t>TSR8971</t>
  </si>
  <si>
    <t>TSR8981</t>
  </si>
  <si>
    <t>TSR9312</t>
  </si>
  <si>
    <t>TSR9332</t>
  </si>
  <si>
    <t>TSR9342</t>
  </si>
  <si>
    <t>TSR9352</t>
  </si>
  <si>
    <t>TSR9362</t>
  </si>
  <si>
    <t>TSR9392</t>
  </si>
  <si>
    <t>TSR9313</t>
  </si>
  <si>
    <t>TSR9333</t>
  </si>
  <si>
    <t>TSR9343</t>
  </si>
  <si>
    <t>TSR9353</t>
  </si>
  <si>
    <t>TSR9363</t>
  </si>
  <si>
    <t>TSR9393</t>
  </si>
  <si>
    <t>Table</t>
  </si>
  <si>
    <t>Row</t>
  </si>
  <si>
    <t>Column</t>
  </si>
  <si>
    <t>ONS Code</t>
  </si>
  <si>
    <t>Local authority</t>
  </si>
  <si>
    <t>Class</t>
  </si>
  <si>
    <t>Net Current Expenditure
 (C7 = C3 - C6)</t>
  </si>
  <si>
    <t>Other Income</t>
  </si>
  <si>
    <t>Running Expenses</t>
  </si>
  <si>
    <t>Sales, Fees and Charges</t>
  </si>
  <si>
    <t>TOTAL SERVICE EXPENDITURE (total of lines 190 to 698)</t>
  </si>
  <si>
    <t>Housing benefits: rent allowances - mandatory payments</t>
  </si>
  <si>
    <t>Housing benefits: non-HRA rent rebates - mandatory payments</t>
  </si>
  <si>
    <t>Housing benefits: subsidy limitation transfers from HRA</t>
  </si>
  <si>
    <t>Parish Precepts</t>
  </si>
  <si>
    <t>Integrated Transport Authority levy</t>
  </si>
  <si>
    <t>Waste Disposal Authority levy</t>
  </si>
  <si>
    <t>London Pensions Fund Authority levy</t>
  </si>
  <si>
    <t xml:space="preserve">Other levies </t>
  </si>
  <si>
    <t>NET CURRENT EXPENDITURE</t>
  </si>
  <si>
    <t>Levy: Environment Agency flood defence</t>
  </si>
  <si>
    <t>Capital expenditure charged to the GF Revenue Account (CERA) (exclude Public Health)</t>
  </si>
  <si>
    <t>Capital expenditure charged to the GF Revenue Account (CERA) (Public Health)</t>
  </si>
  <si>
    <t>Flexible use of Capital Receipts</t>
  </si>
  <si>
    <t>Netting off expenditure capitalised by a direction under Section 16(2)b (-)</t>
  </si>
  <si>
    <t>Interest: Interest payable and similar charges</t>
  </si>
  <si>
    <t>Interest: HRA item 8 payments and receipts</t>
  </si>
  <si>
    <t>SUB-TOTAL</t>
  </si>
  <si>
    <t>Interest and investment income (-): external receipts and dividends</t>
  </si>
  <si>
    <t>Appropriations to(+)/ from(-) financial instruments adjustment account</t>
  </si>
  <si>
    <t>Appropriations to(+)/ from(-) unequal pay back pay account</t>
  </si>
  <si>
    <t>Specific and special grants outside AEF [SG line 799 as income]</t>
  </si>
  <si>
    <t>Community Infrastructure levy</t>
  </si>
  <si>
    <t>Carbon Reduction Commitment (CRC) transactions (expenditure) (+)</t>
  </si>
  <si>
    <t>Carbon Reduction Commitment (CRC) transactions (income) (-)</t>
  </si>
  <si>
    <t>REVENUE EXPENDITURE</t>
  </si>
  <si>
    <t>Local Services Support Grant (LSSG)</t>
  </si>
  <si>
    <t>Specific and special grants inside AEF [SG line 699 as income]</t>
  </si>
  <si>
    <t>NET REVENUE EXPENDITURE</t>
  </si>
  <si>
    <t>Appropriations to(+)/ from(-) schools' reserves</t>
  </si>
  <si>
    <t>Appropriations to(+)/ from(-) dedicated schools grant reserves</t>
  </si>
  <si>
    <t>Appropriations to(+)/ from(-) public health financial reserves</t>
  </si>
  <si>
    <t>Appropriations to(+)/ from(-) other earmarked financial reserves</t>
  </si>
  <si>
    <t>Appropriations to(+)/ from(-) unallocated financial reserves</t>
  </si>
  <si>
    <t>Revenue Support Grant</t>
  </si>
  <si>
    <t>Police grant</t>
  </si>
  <si>
    <t>Retained income from Rate Retention Scheme</t>
  </si>
  <si>
    <t>Collection fund surplus/deficits for council tax</t>
  </si>
  <si>
    <t>Other items</t>
  </si>
  <si>
    <t>COUNCIL TAX REQUIREMENT</t>
  </si>
  <si>
    <t>Schools reserves level at 1 April</t>
  </si>
  <si>
    <t>Estimated dedicated schools grant reserves level at 1 April</t>
  </si>
  <si>
    <t>Public health financial reserves level at 1 April</t>
  </si>
  <si>
    <t>Other earmarked financial reserves level at 1 April</t>
  </si>
  <si>
    <t>Unallocated financial reserves level at 1 April</t>
  </si>
  <si>
    <t>Schools reserves level at 31 March</t>
  </si>
  <si>
    <t>Estimated dedicated schools grant reserves level at 31 March</t>
  </si>
  <si>
    <t>Public health financial reserves level at 31 March</t>
  </si>
  <si>
    <t>Other earmarked financial reserves level at 31 March</t>
  </si>
  <si>
    <t>Unallocated financial reserves level at 31 March</t>
  </si>
  <si>
    <t xml:space="preserve">Prior Year Adjustments  </t>
  </si>
  <si>
    <t>Depreciation</t>
  </si>
  <si>
    <t>Loss on impairment of assets</t>
  </si>
  <si>
    <t>Revaluations taken to surplus or deficit on the provision of services</t>
  </si>
  <si>
    <t>Credit for capital grants</t>
  </si>
  <si>
    <t>Revenue Expenditure funded from Capital by Statute (RECS)</t>
  </si>
  <si>
    <t xml:space="preserve">Total 
Capital 
Items </t>
  </si>
  <si>
    <t>Total council tax revenue foregone - pensioners</t>
  </si>
  <si>
    <t>Total council tax revenue foregone - working age people</t>
  </si>
  <si>
    <t>The total amount paid to local parishes [by the billing authority] with respect to their council tax support allocation</t>
  </si>
  <si>
    <t>TOTAL HOUSING REVENUE ACCOUNT (HRA) INCOME</t>
  </si>
  <si>
    <t>TOTAL HOUSING REVENUE ACCOUNT (HRA) EXPENDITURE</t>
  </si>
  <si>
    <t>SURPLUS OR DEFICIT FOR THE YEAR ON HRA SERVICES</t>
  </si>
  <si>
    <t>Housing Revenue Account (HRA) Reserves at 1 April 2020</t>
  </si>
  <si>
    <t>Housing Revenue Account (HRA) Reserves at 31 March 2021</t>
  </si>
  <si>
    <t>Net Surplus Deficit</t>
  </si>
  <si>
    <t>External</t>
  </si>
  <si>
    <t>Internal</t>
  </si>
  <si>
    <t>FIR</t>
  </si>
  <si>
    <t>Bedfordshire Combined Fire and Rescue Authority</t>
  </si>
  <si>
    <t>Berkshire Combined Fire and Rescue Authority</t>
  </si>
  <si>
    <t>Bournemouth, Christchurch and Poole</t>
  </si>
  <si>
    <t>Buckinghamshire Combined Fire and Rescue Authority</t>
  </si>
  <si>
    <t>Cambridgeshire Combined Fire and Rescue Authority</t>
  </si>
  <si>
    <t>Cheshire Combined Fire and Rescue Authority</t>
  </si>
  <si>
    <t>Cheshire West and Chester</t>
  </si>
  <si>
    <t>City of Nottingham</t>
  </si>
  <si>
    <t>Cleveland Combined Fire and Rescue Authority</t>
  </si>
  <si>
    <t>Park</t>
  </si>
  <si>
    <t>Derby City</t>
  </si>
  <si>
    <t>Derbyshire Combined Fire and Rescue Authority</t>
  </si>
  <si>
    <t>Devon and Somerset Combined Fire and Rescue Authority</t>
  </si>
  <si>
    <t>Dorset and Wiltshire Fire and Rescue Authority</t>
  </si>
  <si>
    <t>Dorset</t>
  </si>
  <si>
    <t>Durham Combined Fire and Rescue Authority</t>
  </si>
  <si>
    <t>Waste</t>
  </si>
  <si>
    <t>East Sussex Combined Fire and Rescue Authority</t>
  </si>
  <si>
    <t>Essex Combined Fire and Rescue Authority</t>
  </si>
  <si>
    <t>Folkestone and Hythe</t>
  </si>
  <si>
    <t>Hereford &amp; Worcester Combined Fire and Rescue Authority</t>
  </si>
  <si>
    <t>Humberside Combined Fire and Rescue Authority</t>
  </si>
  <si>
    <t>Kent Combined Fire and Rescue Authority</t>
  </si>
  <si>
    <t>Lake District National Park Authority</t>
  </si>
  <si>
    <t>Lancashire Combined Fire and Rescue Authority</t>
  </si>
  <si>
    <t>Leicester City</t>
  </si>
  <si>
    <t>Leicestershire Combined Fire and Rescue Authority</t>
  </si>
  <si>
    <t>Merseyside Fire and Rescue Authority</t>
  </si>
  <si>
    <t>Merseyside Waste Disposal Authority</t>
  </si>
  <si>
    <t>New Forest National Park Authority</t>
  </si>
  <si>
    <t>North Yorkshire Combined Fire and Rescue Authority</t>
  </si>
  <si>
    <t>Northamptonshire Police, Fire and Crime Commissioner Fire and Rescue Authority</t>
  </si>
  <si>
    <t>Nottinghamshire Combined Fire and Rescue Authority</t>
  </si>
  <si>
    <t>…</t>
  </si>
  <si>
    <t>Shropshire Combined Fire and Rescue Authority</t>
  </si>
  <si>
    <t>Somerset West and Taunton</t>
  </si>
  <si>
    <t>South Yorkshire Fire and Rescue Authority</t>
  </si>
  <si>
    <t>Staffordshire Combined Fire and Rescue Authority</t>
  </si>
  <si>
    <t>Telford and the Wrekin</t>
  </si>
  <si>
    <t>The Medway Towns</t>
  </si>
  <si>
    <t>The West Yorkshire Combined Authority</t>
  </si>
  <si>
    <t>Torbay UA</t>
  </si>
  <si>
    <t>West Yorkshire Fire and Rescue Authority</t>
  </si>
  <si>
    <t>915 adj</t>
  </si>
  <si>
    <t>Estimated other earmarked financial reserves level at 31 March (adjusted)</t>
  </si>
  <si>
    <t>Other earmarked reserves: contractual commitments at 31 March</t>
  </si>
  <si>
    <t>Other earmarked reserves: planned future revenue and capital spending at 31 March</t>
  </si>
  <si>
    <t>Other earmarked reserves: specific risks at 31 March</t>
  </si>
  <si>
    <t>Other earmarked reserves: budget stabilisation at 31 March</t>
  </si>
  <si>
    <t>Other earmarked reserves: other at 31 March</t>
  </si>
  <si>
    <t>Other earmarked reserves: authority's share of expanded retail relief grants 2020-21 and 2021-22 at 31 March</t>
  </si>
  <si>
    <t>Other earmarked reserves: authority's notional share of COVID-19 additional relief fund 2021-22 at 31 March</t>
  </si>
  <si>
    <t>Other earmarked reserves: of which at 31 March</t>
  </si>
  <si>
    <t>Greater Manchester Police and Crime Commissioner and Chief Constable</t>
  </si>
  <si>
    <t>North East Combined Authority (post Nov 2018)</t>
  </si>
  <si>
    <t>Northamptonshire Police, Fire and Crime Commissioner Police Authority</t>
  </si>
  <si>
    <t>Buckinghamshire Council</t>
  </si>
  <si>
    <t>Ecode</t>
  </si>
  <si>
    <t>ONS code</t>
  </si>
  <si>
    <t>LA name</t>
  </si>
  <si>
    <t>Retail discount -  Amount due to authority in 2021-22 (line 50)</t>
  </si>
  <si>
    <t>Nursery discount -  Amount due to authority in 2021-22 (line 51)</t>
  </si>
  <si>
    <t>Sum of line 50+51</t>
  </si>
  <si>
    <t>Line 50+51 /1000</t>
  </si>
  <si>
    <t>COVID-19 additional relief -  Amount due to authority in 2021-22 (line 60)</t>
  </si>
  <si>
    <t>Line 60 /1000</t>
  </si>
  <si>
    <t>Barking and Dagenham</t>
  </si>
  <si>
    <t>Basingstoke and Deane</t>
  </si>
  <si>
    <t>Bath and North East Somerset</t>
  </si>
  <si>
    <t>Bedford UA</t>
  </si>
  <si>
    <t xml:space="preserve">Bournemouth, Christchurch &amp; Poole </t>
  </si>
  <si>
    <t>Brighton and Hove</t>
  </si>
  <si>
    <t xml:space="preserve">Bromley </t>
  </si>
  <si>
    <t>Buckinghamshire UA</t>
  </si>
  <si>
    <t>Cornwall UA</t>
  </si>
  <si>
    <t>Dorset Council</t>
  </si>
  <si>
    <t>Durham UA</t>
  </si>
  <si>
    <t>Epsom and Ewell</t>
  </si>
  <si>
    <t>Hammersmith and Fulham</t>
  </si>
  <si>
    <t>Hinckley and Bosworth</t>
  </si>
  <si>
    <t xml:space="preserve">Islington </t>
  </si>
  <si>
    <t>Kensington and Chelsea</t>
  </si>
  <si>
    <t>King’s Lynn and West Norfolk</t>
  </si>
  <si>
    <t>Medway</t>
  </si>
  <si>
    <t>Newark and Sherwood</t>
  </si>
  <si>
    <t>Northumberland UA</t>
  </si>
  <si>
    <t xml:space="preserve">Nottingham </t>
  </si>
  <si>
    <t>Nuneaton and Bedworth</t>
  </si>
  <si>
    <t>Oadby and Wigston</t>
  </si>
  <si>
    <t>Redcar and Cleveland</t>
  </si>
  <si>
    <t>Reigate and Banstead</t>
  </si>
  <si>
    <t>Shropshire UA</t>
  </si>
  <si>
    <t xml:space="preserve">Somerset West &amp; Taunton </t>
  </si>
  <si>
    <t>St. Helens</t>
  </si>
  <si>
    <t>Telford and Wrekin</t>
  </si>
  <si>
    <t>Tonbridge and Malling</t>
  </si>
  <si>
    <t>Wiltshire UA</t>
  </si>
  <si>
    <t>Windsor and Maidenhead</t>
  </si>
  <si>
    <t>Avon Fire Authority</t>
  </si>
  <si>
    <t>Bedfordshire Fire Authority</t>
  </si>
  <si>
    <t>Berkshire Fire Authority</t>
  </si>
  <si>
    <t>Buckinghamshire Fire Authority</t>
  </si>
  <si>
    <t>Cambridgeshire Fire Authority</t>
  </si>
  <si>
    <t>Cheshire Fire Authority</t>
  </si>
  <si>
    <t>Cleveland Fire Authority</t>
  </si>
  <si>
    <t>Derbyshire Fire Authority</t>
  </si>
  <si>
    <t>Devon and Somerset Fire Authority</t>
  </si>
  <si>
    <t>Dorset &amp; Wiltshire Fire &amp; Rescue Authority</t>
  </si>
  <si>
    <t>Durham Fire Authority</t>
  </si>
  <si>
    <t>East Sussex Fire Authority</t>
  </si>
  <si>
    <t>Essex Fire Authority</t>
  </si>
  <si>
    <t>Greater Manchester Fire</t>
  </si>
  <si>
    <t>Hereford and Worcester Fire Authority</t>
  </si>
  <si>
    <t>Humberside Fire Authority</t>
  </si>
  <si>
    <t>Kent Fire Authority</t>
  </si>
  <si>
    <t>Lancashire Fire Authority</t>
  </si>
  <si>
    <t>Leicestershire Fire Authority</t>
  </si>
  <si>
    <t>Merseyside Fire</t>
  </si>
  <si>
    <t>North Yorkshire Fire Authority</t>
  </si>
  <si>
    <t>Northamptonshire PCC-Fire</t>
  </si>
  <si>
    <t>Nottinghamshire Fire Authority</t>
  </si>
  <si>
    <t>Shropshire Fire Authority</t>
  </si>
  <si>
    <t>South Yorkshire Fire</t>
  </si>
  <si>
    <t>Staffordshire Fire Authority</t>
  </si>
  <si>
    <t>Tyne and Wear Fire</t>
  </si>
  <si>
    <t>West Midlands Fire</t>
  </si>
  <si>
    <t>West of England CA</t>
  </si>
  <si>
    <t>West Yorkshire Fire</t>
  </si>
  <si>
    <t>organisation-id</t>
  </si>
  <si>
    <t>organisation name</t>
  </si>
  <si>
    <t>RS 851</t>
  </si>
  <si>
    <t>RS 856</t>
  </si>
  <si>
    <t>Dedicated schools grant RG102</t>
  </si>
  <si>
    <t>/1000</t>
  </si>
  <si>
    <t>Public health grant</t>
  </si>
  <si>
    <t>RG 313</t>
  </si>
  <si>
    <t>Rural services delivery grant</t>
  </si>
  <si>
    <t>RG 317</t>
  </si>
  <si>
    <t>RG 315</t>
  </si>
  <si>
    <t>IBCF</t>
  </si>
  <si>
    <t>RG 323</t>
  </si>
  <si>
    <t>Former ILF RG330</t>
  </si>
  <si>
    <t>Homelessness prevention grant</t>
  </si>
  <si>
    <t>RG 401</t>
  </si>
  <si>
    <t>New homes bonus</t>
  </si>
  <si>
    <t>RG 540</t>
  </si>
  <si>
    <t>Localised CT support administration subsidy grant RG543</t>
  </si>
  <si>
    <t>Parish precepts
RS 721</t>
  </si>
  <si>
    <t>CTR
RS 890</t>
  </si>
  <si>
    <t>HRA reserves 31 March 2022
RO4 146</t>
  </si>
  <si>
    <t>CERA
RS 765</t>
  </si>
  <si>
    <t>Capital receipts flexibility CER form</t>
  </si>
  <si>
    <t>Billing Authority</t>
  </si>
  <si>
    <t>Capital receipts flexibility RA form
RS 767</t>
  </si>
  <si>
    <t>NOT PRE-POPULATED Retained income from Rate Retention Scheme
RS 870</t>
  </si>
  <si>
    <t>PH authority</t>
  </si>
  <si>
    <t>Social Care Authority</t>
  </si>
  <si>
    <t>PWLB interest costs</t>
  </si>
  <si>
    <t>Lower Tiers Services Grant</t>
  </si>
  <si>
    <t>x1000</t>
  </si>
  <si>
    <t>NOT PRE-POPULATED Pupil Premium Grant RG103</t>
  </si>
  <si>
    <t>Housing Benefit Subsidy Admin Grant RG406</t>
  </si>
  <si>
    <t>RA Column N</t>
  </si>
  <si>
    <t>RA Column P</t>
  </si>
  <si>
    <t>https://skillsfunding.service.gov.uk/view-latest-funding/national-funding-allocations/DSG/2022-to-2023</t>
  </si>
  <si>
    <t>RA Column S</t>
  </si>
  <si>
    <t>RA Column W</t>
  </si>
  <si>
    <t>RA Column U</t>
  </si>
  <si>
    <t>RA Column Y</t>
  </si>
  <si>
    <t>https://www.gov.uk/government/publications/former-independent-living-fund-grant-2022-to-2023/former-independent-living-fund-grant-2022-to-2023</t>
  </si>
  <si>
    <t>RA
Column AC</t>
  </si>
  <si>
    <t>RA
Column AU</t>
  </si>
  <si>
    <t>RA
Column BC</t>
  </si>
  <si>
    <t>RA
Column AQ</t>
  </si>
  <si>
    <t>https://www.gov.uk/government/publications/localised-council-tax-support-administration-subsidy-grant-2022-to-2023/local-council-tax-support-administration-subsidy-grant-determination-2022-23-no-316145</t>
  </si>
  <si>
    <t>https://www.gov.uk/government/statistics/council-tax-levels-set-by-local-authorities-in-england-2022-to-2023</t>
  </si>
  <si>
    <t>https://www.gov.uk/government/statistics/local-authority-revenue-expenditure-and-financing-england-2021-to-2022-individual-local-authority-data-outturn</t>
  </si>
  <si>
    <t>https://www.gov.uk/government/statistics/local-authority-revenue-expenditure-and-financing-england-2022-to-2023-budget-individual-local-authority-data</t>
  </si>
  <si>
    <t>https://www.gov.uk/government/statistics/local-authority-capital-expenditure-and-financing-in-england-2022-to-2023-individual-local-authority-data-forecast</t>
  </si>
  <si>
    <t>https://www.gov.uk/government/publications/core-spending-power-final-local-government-finance-settlement-2022-to-2023</t>
  </si>
  <si>
    <t>...</t>
  </si>
  <si>
    <t>Greater Manchester Combined Authority (excl Police)</t>
  </si>
  <si>
    <t>Broads Authority</t>
  </si>
  <si>
    <t>West Yorkshire Combined Authority (excl Police)</t>
  </si>
  <si>
    <t>code</t>
  </si>
  <si>
    <t>Row_No_Live</t>
  </si>
  <si>
    <t>Col_No_Live</t>
  </si>
  <si>
    <t>Val_No</t>
  </si>
  <si>
    <t>Table_Name</t>
  </si>
  <si>
    <t>Description</t>
  </si>
  <si>
    <t>Percentage_Lower</t>
  </si>
  <si>
    <t>Percentage_higher</t>
  </si>
  <si>
    <t>Row_No_Validation</t>
  </si>
  <si>
    <t>Col_No_Validation</t>
  </si>
  <si>
    <t>Validation_Table_Name</t>
  </si>
  <si>
    <t>Year-on-year - Early years</t>
  </si>
  <si>
    <t>RO1_1920</t>
  </si>
  <si>
    <t>Year-on-year - Primary schools</t>
  </si>
  <si>
    <t>Year-on-year - Secondary schools</t>
  </si>
  <si>
    <t>Year-on-year - Special schools and alternative provision</t>
  </si>
  <si>
    <t>Year-on-year - Post-16 provision</t>
  </si>
  <si>
    <t>Year-on-year - Other education and community budget</t>
  </si>
  <si>
    <t>Year-on-year - TOTAL EDUCATION SERVICES</t>
  </si>
  <si>
    <t>Year-on-year - Highways maintenance planning, policy and strategy</t>
  </si>
  <si>
    <t>RO2_1920</t>
  </si>
  <si>
    <t>Year-on-year - Public and other transport planning, policy and strategy</t>
  </si>
  <si>
    <t>Year-on-year - Structural maintenance - principal roads</t>
  </si>
  <si>
    <t>Year-on-year - Structural maintenance - other LA roads</t>
  </si>
  <si>
    <t>Year-on-year - Street lighting (including energy costs)</t>
  </si>
  <si>
    <t>Year-on-year - Environmental, safety and routine maintenance - principal roads</t>
  </si>
  <si>
    <t>Year-on-year - Environmental, safety and routine maintenance - other LA roads</t>
  </si>
  <si>
    <t>Year-on-year - Winter service</t>
  </si>
  <si>
    <t>Year-on-year - Congestion charging</t>
  </si>
  <si>
    <t>RO252</t>
  </si>
  <si>
    <t>Year-on-year - Road safety education and safe routes (including school crossing patrols)</t>
  </si>
  <si>
    <t>Year-on-year - Other traffic management</t>
  </si>
  <si>
    <t>Year-on-year - On-street parking</t>
  </si>
  <si>
    <t>Year-on-year - Off-street parking</t>
  </si>
  <si>
    <t>Year-on-year - Statutory concessionary fares</t>
  </si>
  <si>
    <t>Year-on-year - Discretionary concessionary fares</t>
  </si>
  <si>
    <t>Year-on-year - Support to operators - bus services</t>
  </si>
  <si>
    <t>Year-on-year - Support to operators - rail services</t>
  </si>
  <si>
    <t>Year-on-year - Support to operators - other</t>
  </si>
  <si>
    <t>Year-on-year - Public transport co-ordination</t>
  </si>
  <si>
    <t>Year-on-year - Airports, harbours and toll facilities</t>
  </si>
  <si>
    <t>Year-on-year - TOTAL HIGHWAYS AND TRANSPORT SERVICES</t>
  </si>
  <si>
    <t>Year-on-year - Structural maintenance - principal roads: joint arrangements in line 31</t>
  </si>
  <si>
    <t>Year-on-year - Structural maintenance - other LA roads: joint arrangements in line 32</t>
  </si>
  <si>
    <t>Year-on-year - Environmental/safety/routine maintenance principal roads: joint arrangements in line 41</t>
  </si>
  <si>
    <t>Year-on-year - Environmental/safety/routine maintenance other LA roads: joint arrangements in line 44</t>
  </si>
  <si>
    <t>Year-on-year - Structural maintenance (all local roads): third party liability claims in</t>
  </si>
  <si>
    <t>Year-on-year - Environmental/safety/routine maintenance principal roads: unplanned patching in line 41</t>
  </si>
  <si>
    <t>Year-on-year - Environmental/safety/routine maintenance other LA roads: unplanned patching in line 44</t>
  </si>
  <si>
    <t>Year-on-year - On-street parking: Penalty Charge Notice income included in line 61</t>
  </si>
  <si>
    <t>Year-on-year - On street parking: other sales, fees and charges in line 61</t>
  </si>
  <si>
    <t>Year-on-year - Payment to operators in respect of depreciation which is included in line 73 - bus services</t>
  </si>
  <si>
    <t>Year-on-year - Payment to operators in respect of depreciation which is included in line 74 - rail services</t>
  </si>
  <si>
    <t>Year-on-year - Payment to operators in respect of depreciation which is included in line 75 - other</t>
  </si>
  <si>
    <t>Year-on-year - Children's social care: Sure start children's centres/flying start and early years</t>
  </si>
  <si>
    <t>RO3_1920</t>
  </si>
  <si>
    <t>Year-on-year - Children's social care - Children Looked After</t>
  </si>
  <si>
    <t>Year-on-year - Children's social care - Other children's and families services</t>
  </si>
  <si>
    <t>Year-on-year - Children's social care - Family Support Services</t>
  </si>
  <si>
    <t>Year-on-year - Children's social care - Youth Justice</t>
  </si>
  <si>
    <t>Year-on-year - Children's social care: Safeguarding children and young people’s services</t>
  </si>
  <si>
    <t>Year-on-year - Children's social care - Asylum Seekers</t>
  </si>
  <si>
    <t>Year-on-year - Children's social care: Services for young people</t>
  </si>
  <si>
    <t>Year-on-year - TOTAL CHILDREN SOCIAL CARE</t>
  </si>
  <si>
    <t>Year-on-year - Physical support - adults (18–64)</t>
  </si>
  <si>
    <t>Year-on-year - Physical support - older people (65+)</t>
  </si>
  <si>
    <t>Year-on-year - Sensory support - adults (18–64)</t>
  </si>
  <si>
    <t>Year-on-year - Sensory support - older people (65+)</t>
  </si>
  <si>
    <t>Year-on-year - Support with memory and cognition - adults (18–64)</t>
  </si>
  <si>
    <t>Year-on-year - Support with memory and cognition - older people (65+)</t>
  </si>
  <si>
    <t>Year-on-year - Learning disability support - adults (18–64)</t>
  </si>
  <si>
    <t>Year-on-year - Learning disability support - older people (65+)</t>
  </si>
  <si>
    <t>Year-on-year - Mental health support - adults (18–64)</t>
  </si>
  <si>
    <t>Year-on-year - Mental health support - older people (65+)</t>
  </si>
  <si>
    <t>Year-on-year - Social support: Substance misuse support</t>
  </si>
  <si>
    <t>Year-on-year - Social support: Asylum seeker support</t>
  </si>
  <si>
    <t>Year-on-year - Social support: Social Isolation</t>
  </si>
  <si>
    <t>Year-on-year - Social support: Support for carer</t>
  </si>
  <si>
    <t>Year-on-year - Assistive equipment and technology</t>
  </si>
  <si>
    <t>Year-on-year - Care assessment and safeguarding* (previously named 'social care activities')</t>
  </si>
  <si>
    <t>Year-on-year - Information and early intervention</t>
  </si>
  <si>
    <t>Year-on-year - Commissioning, strategy and admin support* (previously named Commissioning and service delivery)</t>
  </si>
  <si>
    <t>Year-on-year - TOTAL ADULT SOCIAL CARE</t>
  </si>
  <si>
    <t>Year-on-year - Sexual health services - STI testing and treatment (prescribed functions)</t>
  </si>
  <si>
    <t>Year-on-year - Sexual health services - Contraception (prescribed functions)</t>
  </si>
  <si>
    <t>Year-on-year - Sexual health services - Advice, prevention and promotion  (non-prescribed functions)</t>
  </si>
  <si>
    <t>Year-on-year - NHS health check programme  (prescribed functions)</t>
  </si>
  <si>
    <t>Year-on-year - Health protection - Local authority role in health protection  (prescribed functions)</t>
  </si>
  <si>
    <t>Year-on-year - National child measurement programme (prescribed functions)</t>
  </si>
  <si>
    <t>Year-on-year - Public health advice (prescribed functions)</t>
  </si>
  <si>
    <t>Year-on-year - Obesity - adults</t>
  </si>
  <si>
    <t>Year-on-year - Obesity - children</t>
  </si>
  <si>
    <t>Year-on-year - Physical activity - adults</t>
  </si>
  <si>
    <t>Year-on-year - Physical activity - children</t>
  </si>
  <si>
    <t>Year-on-year - Substance misuse - (drugs and alcohol) - youth services</t>
  </si>
  <si>
    <t>Year-on-year - Smoking and tobacco - Stop smoking services and interventions</t>
  </si>
  <si>
    <t>Year-on-year - Smoking and tobacco - Wider tobacco control</t>
  </si>
  <si>
    <t>Year-on-year - Children 5–19 public health programmes</t>
  </si>
  <si>
    <t>Year-on-year - Miscellaneous public health services</t>
  </si>
  <si>
    <t>Year-on-year - TOTAL PUBLIC HEALTH</t>
  </si>
  <si>
    <t>Year-on-year - General Practice Services (included above within total public health)</t>
  </si>
  <si>
    <t>Year-on-year - Dental Services (included above within total public health)</t>
  </si>
  <si>
    <t>Year-on-year - Pharmaceutical Services and Locally Commissioned Services from Pharmacies (included above within total public health)</t>
  </si>
  <si>
    <t>Year-on-year - Eye Care Services (included above within total public health)</t>
  </si>
  <si>
    <t>Year-on-year - Supporting people ancillary expenditure included above within total children social care</t>
  </si>
  <si>
    <t>Year-on-year - Supporting people ancillary expenditure included above within total adult social care</t>
  </si>
  <si>
    <t>Year-on-year - Housing strategy, advice and enabling</t>
  </si>
  <si>
    <t>RO4_1920</t>
  </si>
  <si>
    <t>Year-on-year - Housing advances</t>
  </si>
  <si>
    <t>Year-on-year - Administration of financial support for repairs and improvements</t>
  </si>
  <si>
    <t>Year-on-year - Other private sector housing renewal</t>
  </si>
  <si>
    <t>Year-on-year - Other nightly paid, privately managed accommodation</t>
  </si>
  <si>
    <t>Year-on-year - Private managed accommodation leased by the authority</t>
  </si>
  <si>
    <t>Year-on-year - Hostels (non-HRA support)</t>
  </si>
  <si>
    <t>Year-on-year - Bed/breakfast accommodation</t>
  </si>
  <si>
    <t>Year-on-year - Private managed accommodation leased by RSLs</t>
  </si>
  <si>
    <t>Year-on-year - Directly with a private sector landlord</t>
  </si>
  <si>
    <t>Year-on-year - Accommodation within the authority’s own stock (non-HRA)</t>
  </si>
  <si>
    <t>Year-on-year - Other temporary accommodation</t>
  </si>
  <si>
    <t>Year-on-year - Homelessness: Administration</t>
  </si>
  <si>
    <t>Year-on-year - Accommodation within RSL stock</t>
  </si>
  <si>
    <t>Year-on-year - Homelessness: Prevention</t>
  </si>
  <si>
    <t>Year-on-year - Homelessness: Support</t>
  </si>
  <si>
    <t>Year-on-year - Rent allowances - discretionary payments</t>
  </si>
  <si>
    <t>Year-on-year - Non-HRA rent rebates - discretionary payments</t>
  </si>
  <si>
    <t>Year-on-year - Rent rebates to HRA tenants - discretionary payments</t>
  </si>
  <si>
    <t>Year-on-year - Housing benefits administration</t>
  </si>
  <si>
    <t>Year-on-year - Other council property (Non-HRA)</t>
  </si>
  <si>
    <t>Year-on-year - Supporting People</t>
  </si>
  <si>
    <t>Year-on-year - Other welfare services</t>
  </si>
  <si>
    <t>Year-on-year - TOTAL HOUSING SERVICES (GFRA only)</t>
  </si>
  <si>
    <t>Year-on-year - Dwelling rents (gross)</t>
  </si>
  <si>
    <t>Year-on-year - Non-dwelling rents (gross)</t>
  </si>
  <si>
    <t>Year-on-year - Tenants’ leaseholders’ and other charges for services and facilities</t>
  </si>
  <si>
    <t>Year-on-year - Contributions towards expenditure (other than government grants and
 assistance)</t>
  </si>
  <si>
    <t>Year-on-year - Government grants and assistance (including downward adjustments)</t>
  </si>
  <si>
    <t>Year-on-year - Interest on investments credited direct to the HRA</t>
  </si>
  <si>
    <t>Year-on-year - Transfers from GF only</t>
  </si>
  <si>
    <t>Year-on-year - Transfers from MRR and other transfers permitted or required by
 legislation</t>
  </si>
  <si>
    <t>Year-on-year - HRA - Appropriation to/from Accumulated Absences Account</t>
  </si>
  <si>
    <t>Year-on-year - TOTAL HOUSING REVENUE ACCOUNT (HRA) INCOME (total of lines 101 to 111)</t>
  </si>
  <si>
    <t>Year-on-year - Repairs and maintenance</t>
  </si>
  <si>
    <t>Year-on-year - Supervision and management (including CDC)</t>
  </si>
  <si>
    <t>Year-on-year - Special services</t>
  </si>
  <si>
    <t>Year-on-year - Rents, rates, taxes and other charges</t>
  </si>
  <si>
    <t>Year-on-year - Direct charges to the HRA - Interest payable and similar charges including amortisation of premiums and discounts</t>
  </si>
  <si>
    <t>Year-on-year - Charges to the HRA for debt repayment or non-interest charges in respect
 of credit arrangements (including on balance sheet PFI schemes)</t>
  </si>
  <si>
    <t>Year-on-year - HRA - Capital expenditure charged to the GF Revenue Account (CERA)</t>
  </si>
  <si>
    <t>Year-on-year - Debt management costs</t>
  </si>
  <si>
    <t>Year-on-year - Transfers to GF only</t>
  </si>
  <si>
    <t>Year-on-year - Transfers to MRR and other transfers permitted or required
 by legislation</t>
  </si>
  <si>
    <t>Year-on-year - HRA - Provision for bad debts (+/-)</t>
  </si>
  <si>
    <t>Year-on-year - TOTAL HOUSING REVENUE ACCOUNT (HRA) EXPENDITURE (total of lines 121 to 133)</t>
  </si>
  <si>
    <t>Year-on-year - SURPLUS OR DEFICIT FOR THE YEAR ON HRA SERVICES (line 115 minus 135)</t>
  </si>
  <si>
    <t>Year-on-year - Housing Revenue Account (HRA) Reserves*  - 1 April This Year, 31 March Last Year</t>
  </si>
  <si>
    <t>Year-on-year - Housing Revenue Account (HRA) Reserves* - 31 March This Year, 31 March Last Year</t>
  </si>
  <si>
    <t>Year-on-year - Archives</t>
  </si>
  <si>
    <t>RO5_1920</t>
  </si>
  <si>
    <t>Year-on-year - Arts development and support</t>
  </si>
  <si>
    <t>Year-on-year - Heritage</t>
  </si>
  <si>
    <t>Year-on-year - Museums and galleries</t>
  </si>
  <si>
    <t>Year-on-year - Theatres and public entertainment</t>
  </si>
  <si>
    <t>Year-on-year - Community centres and public halls</t>
  </si>
  <si>
    <t>Year-on-year - Foreshore</t>
  </si>
  <si>
    <t>Year-on-year - Sports development and community recreation</t>
  </si>
  <si>
    <t>Year-on-year - Sports and leisure facilities (including golf courses)</t>
  </si>
  <si>
    <t>Year-on-year - Parks &amp; Open Spaces (including play areas)</t>
  </si>
  <si>
    <t>RO5137</t>
  </si>
  <si>
    <t>Year-on-year - Allotments</t>
  </si>
  <si>
    <t>Year-on-year - Tourism</t>
  </si>
  <si>
    <t>Year-on-year - Library service</t>
  </si>
  <si>
    <t>Year-on-year - TOTAL CULTURAL AND RELATED SERVICES</t>
  </si>
  <si>
    <t>Year-on-year - Cemetery, cremation and mortuary services</t>
  </si>
  <si>
    <t>Year-on-year - Trading standards</t>
  </si>
  <si>
    <t>Year-on-year - Water safety</t>
  </si>
  <si>
    <t>Year-on-year - Food safety</t>
  </si>
  <si>
    <t>Year-on-year - Environmental protection; noise and nuisance</t>
  </si>
  <si>
    <t>Year-on-year - Housing standards</t>
  </si>
  <si>
    <t>Year-on-year - Health and safety</t>
  </si>
  <si>
    <t>Year-on-year - Port health (excluding levies)</t>
  </si>
  <si>
    <t>Year-on-year - Port health levies</t>
  </si>
  <si>
    <t>Year-on-year - Pest control</t>
  </si>
  <si>
    <t>Year-on-year - Public conveniences</t>
  </si>
  <si>
    <t>Year-on-year - Animal and public health; infectious disease control</t>
  </si>
  <si>
    <t>Year-on-year - Licensing - Alcohol and entertainment licensing; taxi licensing</t>
  </si>
  <si>
    <t>Year-on-year - Crime Reduction</t>
  </si>
  <si>
    <t>Year-on-year - Safety Services</t>
  </si>
  <si>
    <t>Year-on-year - CCTV</t>
  </si>
  <si>
    <t>Year-on-year - Defences against flooding</t>
  </si>
  <si>
    <t>Year-on-year - Land drainage and related work (excluding levy / Special levies)</t>
  </si>
  <si>
    <t>Year-on-year - Land drainage and related work - Levy / Special levies</t>
  </si>
  <si>
    <t>Year-on-year - Coast protection</t>
  </si>
  <si>
    <t>Year-on-year - Agricultural and fisheries services</t>
  </si>
  <si>
    <t>Year-on-year - Street cleansing (not chargeable to Highways)</t>
  </si>
  <si>
    <t>Year-on-year - Waste collection</t>
  </si>
  <si>
    <t>Year-on-year - Waste disposal</t>
  </si>
  <si>
    <t>Year-on-year - Trade waste</t>
  </si>
  <si>
    <t>Year-on-year - Recycling</t>
  </si>
  <si>
    <t>Year-on-year - Waste minimisation</t>
  </si>
  <si>
    <t>Year-on-year - Climate change costs</t>
  </si>
  <si>
    <t>Year-on-year - TOTAL ENVIRONMENTAL AND REGULATORY SERVICES</t>
  </si>
  <si>
    <t>Year-on-year - Building control</t>
  </si>
  <si>
    <t>Year-on-year - Development control</t>
  </si>
  <si>
    <t>Year-on-year - Conservation and listed buildings planning policy</t>
  </si>
  <si>
    <t>Year-on-year - Other planning policy</t>
  </si>
  <si>
    <t>Year-on-year - Environmental initiatives</t>
  </si>
  <si>
    <t>Year-on-year - Economic development</t>
  </si>
  <si>
    <t>Year-on-year - Economic research</t>
  </si>
  <si>
    <t>Year-on-year - Business support</t>
  </si>
  <si>
    <t>Year-on-year - Community development</t>
  </si>
  <si>
    <t>Year-on-year - TOTAL PLANNING AND DEVELOPMENT SERVICES</t>
  </si>
  <si>
    <t>Year-on-year - TOTAL CULTURAL, ENVIRONMENTAL, REGULATORY AND PLANNING SERVICES</t>
  </si>
  <si>
    <t>Year-on-year - Total Police Services</t>
  </si>
  <si>
    <t>RO6_1920</t>
  </si>
  <si>
    <t>Year-on-year - Community Fire Safety</t>
  </si>
  <si>
    <t>Year-on-year - Fire Fighting And Rescue Operations</t>
  </si>
  <si>
    <t>Year-on-year - Fire And Rescue Service Emergency Planning And Civil Defence</t>
  </si>
  <si>
    <t>Year-on-year - Total Fire And Rescue Services</t>
  </si>
  <si>
    <t>Year-on-year - Corporate And Democratic Core</t>
  </si>
  <si>
    <t>Year-on-year - Council Tax Collection</t>
  </si>
  <si>
    <t>Year-on-year - Council Tax Discounts For Prompt Payment</t>
  </si>
  <si>
    <t>Year-on-year - Council Tax Discounts Locally Funded</t>
  </si>
  <si>
    <t>Year-on-year - Council Tax Support Administration</t>
  </si>
  <si>
    <t>Year-on-year - Non-Domestic Rates Collection</t>
  </si>
  <si>
    <t>Year-on-year - Bid Ballots</t>
  </si>
  <si>
    <t>Year-on-year - Registration Of Births, Deaths And Marriages</t>
  </si>
  <si>
    <t>Year-on-year - Registration Of Electors</t>
  </si>
  <si>
    <t>Year-on-year - Conducting Elections</t>
  </si>
  <si>
    <t>Year-on-year - Emergency Planning</t>
  </si>
  <si>
    <t>Year-on-year - Local Land Charges</t>
  </si>
  <si>
    <t>Year-on-year - Local Welfare Assistance Schemes</t>
  </si>
  <si>
    <t>Year-on-year - General Grants, Bequests And Donations</t>
  </si>
  <si>
    <t>Year-on-year - Coroners' Court Services</t>
  </si>
  <si>
    <t>Year-on-year - Other Court Services</t>
  </si>
  <si>
    <t xml:space="preserve">Year-on-year - Retirement Benefits </t>
  </si>
  <si>
    <t>Year-on-year - Costs Of Unused Shares Of It Facilities And Other Assets</t>
  </si>
  <si>
    <t>Year-on-year - Revenue Expenditure On Surplus Assets</t>
  </si>
  <si>
    <t>Year-on-year - Management And Support Services</t>
  </si>
  <si>
    <t>Year-on-year - Total Central Services</t>
  </si>
  <si>
    <t>Year-on-year - Recharges Within Central Services</t>
  </si>
  <si>
    <t>Year-on-year - Recharges To General Fund Revenue Account (Excluding Central Services)</t>
  </si>
  <si>
    <t>Year-on-year - Recharges To Central Government</t>
  </si>
  <si>
    <t>Year-on-year - Recharges To Other Accounts</t>
  </si>
  <si>
    <t>Year-on-year - Other Management And Support Services Income (Excluding Recharges)</t>
  </si>
  <si>
    <t>Year-on-year - Total Other Services</t>
  </si>
  <si>
    <t>Year-on-year - Education Services</t>
  </si>
  <si>
    <t>RSX_1920</t>
  </si>
  <si>
    <t>Year-on-year - Highways And Transport Services</t>
  </si>
  <si>
    <t>Year-on-year - Children Social Care</t>
  </si>
  <si>
    <t>Year-on-year - Adult Social Care</t>
  </si>
  <si>
    <t>Year-on-year - Public Health</t>
  </si>
  <si>
    <t>Year-on-year - Housing Services (Gfra Only)</t>
  </si>
  <si>
    <t>Year-on-year - Cultural And Related Services</t>
  </si>
  <si>
    <t>Year-on-year - Environmental And Regulatory Services</t>
  </si>
  <si>
    <t>Year-on-year - Planning And Development Services</t>
  </si>
  <si>
    <t>Year-on-year - Police Services</t>
  </si>
  <si>
    <t>Year-on-year - Fire And Rescue Services</t>
  </si>
  <si>
    <t>Year-on-year - Central Services</t>
  </si>
  <si>
    <t>Year-on-year - Other Services</t>
  </si>
  <si>
    <t>Year-on-year - Total Service Expenditure</t>
  </si>
  <si>
    <t>RS_1920</t>
  </si>
  <si>
    <t>Year-on-year - Total Service Expenditure (Total Of Lines 190 To 698)</t>
  </si>
  <si>
    <t>Year-on-year - Housing Benefits: Rent Allowances - Mandatory Payments</t>
  </si>
  <si>
    <t>Year-on-year - Housing Benefits: Non-Hra Rent Rebates - Mandatory Payments</t>
  </si>
  <si>
    <t>Year-on-year - Housing Benefits: Rent Rebates To Hra Tenants - Mandatory Payments</t>
  </si>
  <si>
    <t>Year-on-year - Housing Benefits: Subsidy Limitation Transfers From Hra</t>
  </si>
  <si>
    <t>Year-on-year - Contribution To The Hra Re Items Shared By The Whole Community</t>
  </si>
  <si>
    <t xml:space="preserve">Year-on-year - Parish Precepts </t>
  </si>
  <si>
    <t xml:space="preserve">Year-on-year - Integrated Transport Authority Levy </t>
  </si>
  <si>
    <t xml:space="preserve">Year-on-year - Waste Disposal Authority Levy </t>
  </si>
  <si>
    <t xml:space="preserve">Year-on-year - London Pensions Fund Authority Levy </t>
  </si>
  <si>
    <t>Year-on-year - Other Levies</t>
  </si>
  <si>
    <t>Year-on-year - External Trading Accounts Net Surplus(-)/ Deficit(+)</t>
  </si>
  <si>
    <t>Year-on-year - Internal Trading Accounts Net Surplus(-)/ Deficit(+)</t>
  </si>
  <si>
    <t>Year-on-year - Capital Items Accounted For In External Trading Accounts</t>
  </si>
  <si>
    <t>Year-on-year - Capital Items Accounted For In Internal Trading Accounts</t>
  </si>
  <si>
    <t>Year-on-year - Appropriations To(+) / From(-) Accumulated Absences Account</t>
  </si>
  <si>
    <t>Year-on-year - Adjustments To Net Current Expenditure</t>
  </si>
  <si>
    <t>Year-on-year - Net Current Expenditure (Total Of Lines 699 To 748)</t>
  </si>
  <si>
    <t>Year-on-year - Levy: Environment Agency Flood Defence</t>
  </si>
  <si>
    <t>Year-on-year - Capital Expenditure Charged To The Gf Revenue Account (Cera) (Exclude Public Health)</t>
  </si>
  <si>
    <t>Year-on-year - Capital Expenditure Charged To The Gf Revenue Account (Cera) - Public Health</t>
  </si>
  <si>
    <t>Year-on-year - Provision For Bad Debts</t>
  </si>
  <si>
    <t>Year-on-year - Provision For Repayment Of Principal</t>
  </si>
  <si>
    <t>Year-on-year - Leasing Payments</t>
  </si>
  <si>
    <t>Year-on-year - Interest Payable And Similar Charges</t>
  </si>
  <si>
    <t>Year-on-year - Interest: Hra Item 8 Payments And Receipts</t>
  </si>
  <si>
    <t>Year-on-year - Sub-Total (Total Of Lines 749 To 783)</t>
  </si>
  <si>
    <t>Year-on-year - Interest And Investment Income (-): External Receipts And Dividends</t>
  </si>
  <si>
    <t>Year-on-year - Private Finance Initiative (Pfi) Schemes - Difference From Service Charge</t>
  </si>
  <si>
    <t>Year-on-year - Appropriations To(+) / From(-) Financial Instruments Adjustment Account</t>
  </si>
  <si>
    <t>Year-on-year - Appropriations To(+) / From(-) Unequal Pay Back Pay Account</t>
  </si>
  <si>
    <t>Year-on-year - Specific And Special Revenue Grants Outside Aef</t>
  </si>
  <si>
    <t>Year-on-year - Business Rates Supplement</t>
  </si>
  <si>
    <t>Year-on-year - Community Infrastructure Levy (Cil)</t>
  </si>
  <si>
    <t>Year-on-year - Carbon Reduction Commitment Transactions (Expenditure) (+)</t>
  </si>
  <si>
    <t>Year-on-year - Carbon Reduction Commitment Transactions (Income) (-)</t>
  </si>
  <si>
    <t>Year-on-year - Revenue Expenditure (Total Of Lines 785 To 796)</t>
  </si>
  <si>
    <t>Year-on-year - Local Services Support Grant (Lssg)</t>
  </si>
  <si>
    <t>Year-on-year - Specific And Special Revenue Grants Inside Aef</t>
  </si>
  <si>
    <t>Year-on-year - Net Revenue Expenditure (Total Of Lines 800 To 804)</t>
  </si>
  <si>
    <t>Year-on-year - Inter-Authority Transfers In Respect Of Reorganisation</t>
  </si>
  <si>
    <t>Year-on-year - Appropriations To(+) / From(-) Schools' Reserves</t>
  </si>
  <si>
    <t>RS813</t>
  </si>
  <si>
    <t>Year-on-year - Appropriations To(+) / From(-) dedicated Schools' grant Reserves</t>
  </si>
  <si>
    <t>Year-on-year - Appropriations To(+) / From(-) Public Health Financial Reserves</t>
  </si>
  <si>
    <t>Year-on-year - Appropriations To(+) / From(-) Other Earmarked Financial Reserves</t>
  </si>
  <si>
    <t>Year-on-year - Appropriations To(+) / From(-) Unallocated Financial Reserves</t>
  </si>
  <si>
    <t>Year-on-year - Revenue Support Grant</t>
  </si>
  <si>
    <t>Year-on-year - Police Grant</t>
  </si>
  <si>
    <t>Year-on-year - Retained Income From Rate Retention Scheme</t>
  </si>
  <si>
    <t>Year-on-year - Other Items</t>
  </si>
  <si>
    <t>Year-on-year - Council Tax Requirement (Total Of Lines 805 To 880)</t>
  </si>
  <si>
    <t>Year-on-year - Schools Reserves Level - 1 April This Year, 31 March Last Year</t>
  </si>
  <si>
    <t>Year-on-year - Dedicates Schools grant Reserves Level - 1 April This Year, 31 March Last Year</t>
  </si>
  <si>
    <t>Year-on-year - Public Health Financial Reserves Level - 1 April This Year, 31 March Last Year</t>
  </si>
  <si>
    <t>Year-on-year - Other Earmarked Financial Reserves Level - 1 April This Year, 31 March Last Year</t>
  </si>
  <si>
    <t>Year-on-year - Unallocated Financial Reserves Level - 1 April This Year, 31 March Last Year</t>
  </si>
  <si>
    <t>Year-on-year - Prior Year Adjustments</t>
  </si>
  <si>
    <t>Year-on-year - Schools Reserves Level - 31 March This Year, 31 March Last Year</t>
  </si>
  <si>
    <t>Year-on-year - Dedicated Schools grant Reserves Level - 31 March This Year, 31 March Last Year</t>
  </si>
  <si>
    <t>Year-on-year - Public Health Financial Reserves Level - 31 March This Year, 31 March Last Year</t>
  </si>
  <si>
    <t>Year-on-year - Other Earmarked Financial Reserves Level - 31 March This Year, 31 March Last Year</t>
  </si>
  <si>
    <t>Year-on-year - Unallocated Financial Reserves Level - 31 March This Year, 31 March Last Year</t>
  </si>
  <si>
    <t>Year-on-year - Depreciation</t>
  </si>
  <si>
    <t>Year-on-year - Loss On Impairment Of Assets</t>
  </si>
  <si>
    <t>Year-on-year - Revaluations Taken To Surplus Or Deficit On The Provision Of Services</t>
  </si>
  <si>
    <t>Year-on-year - Credit For Capital Grants</t>
  </si>
  <si>
    <t>Year-on-year - Revenue Expenditure Funded From Capital By Statute (Recs)</t>
  </si>
  <si>
    <t>Year-on-year - Total Capital Items (Total Of Lines 931 To 936)</t>
  </si>
  <si>
    <t>Year-on-year - One Off Equal Pay Costs  - Falling On The Schools Budget</t>
  </si>
  <si>
    <t>Year-on-year - One Off Equal Pay Costs - Chargeable To Any Other Revenue Account</t>
  </si>
  <si>
    <t>Year-on-year - Total Service Expenditure On Non-Ias19 And Pfi "On Balance Sheet" Basis</t>
  </si>
  <si>
    <t>Year-on-year - Total Housing Revenue Account (Hra) Income</t>
  </si>
  <si>
    <t>Year-on-year - Total Housing Revenue Account (Hra) Expenditure</t>
  </si>
  <si>
    <t>Year-on-year - Surplus Or Deficit For The Year On Hra Services (Line 980 Minus 981)</t>
  </si>
  <si>
    <t>Year-on-year - Housing Revenue Account (Hra) Reserves - 1 April This Year, 31 March Last Year</t>
  </si>
  <si>
    <t>Year-on-year - Housing Revenue Account (Hra) Reserves - 31 March This Year, 31 March Last Year</t>
  </si>
  <si>
    <t>Year-on-year - Total Council Tax Revenue Foregone - Pensioners</t>
  </si>
  <si>
    <t>Year-on-year - Total Council Tax Revenue Foregone - Working Age People</t>
  </si>
  <si>
    <t>Year-on-year - Total Amount Of Council Tax Revenue Foregone</t>
  </si>
  <si>
    <t>Year-on-year - The Total Amount Paid To Local Parishes [By The Billing Authority] With Respect To Their Council Tax Support Allocation</t>
  </si>
  <si>
    <t>Year-on-year - Car Parks</t>
  </si>
  <si>
    <t>TSR_1920</t>
  </si>
  <si>
    <t>Year-on-year - Airports</t>
  </si>
  <si>
    <t>Year-on-year - Ports</t>
  </si>
  <si>
    <t>Year-on-year - Piers</t>
  </si>
  <si>
    <t>Year-on-year - Toll Bridges And Roads</t>
  </si>
  <si>
    <t>Year-on-year - Museums</t>
  </si>
  <si>
    <t>Year-on-year - Theatres</t>
  </si>
  <si>
    <t>Year-on-year - Civic Halls</t>
  </si>
  <si>
    <t>Year-on-year - Civic Restaurants</t>
  </si>
  <si>
    <t>Year-on-year - Sports Facilities</t>
  </si>
  <si>
    <t>Year-on-year - Crematoria</t>
  </si>
  <si>
    <t>Year-on-year - Fishery Harbours</t>
  </si>
  <si>
    <t>Year-on-year - Trade Waste</t>
  </si>
  <si>
    <t>Year-on-year - Building Control</t>
  </si>
  <si>
    <t>Year-on-year - Corporation Estates</t>
  </si>
  <si>
    <t>Year-on-year - Industrial Estates</t>
  </si>
  <si>
    <t>Year-on-year - Investment Properties</t>
  </si>
  <si>
    <t>Year-on-year - Market Undertakings</t>
  </si>
  <si>
    <t>Year-on-year - Total External Trading Accounts</t>
  </si>
  <si>
    <t>Year-on-year - Total External Trading Accounts - Capital Items *</t>
  </si>
  <si>
    <t>Year-on-year - Total External Trading Accounts - Net Surplus(-)/Deficit(+) *</t>
  </si>
  <si>
    <t>Year-on-year - Administrative Education Support Services</t>
  </si>
  <si>
    <t>Year-on-year - Specialist Education Support Services</t>
  </si>
  <si>
    <t>Year-on-year - Highways Maintenance</t>
  </si>
  <si>
    <t>Year-on-year - On-Street Parking</t>
  </si>
  <si>
    <t>Year-on-year - Social Services: Residential Homes</t>
  </si>
  <si>
    <t>Year-on-year - Social Services: Home Care Services</t>
  </si>
  <si>
    <t>Year-on-year - Housing Management</t>
  </si>
  <si>
    <t>Year-on-year - Leisure Management</t>
  </si>
  <si>
    <t>Year-on-year - Environmental Cleaning And Sweeping</t>
  </si>
  <si>
    <t>Year-on-year - Construction And Property Services</t>
  </si>
  <si>
    <t>Year-on-year - Building Cleaning</t>
  </si>
  <si>
    <t>Year-on-year - Building Maintenance</t>
  </si>
  <si>
    <t>Year-on-year - Grounds Maintenance</t>
  </si>
  <si>
    <t>Year-on-year - Vehicle Maintenance</t>
  </si>
  <si>
    <t>Year-on-year - Vehicle Management And Transport</t>
  </si>
  <si>
    <t>Year-on-year - Refuse Collection</t>
  </si>
  <si>
    <t>Year-on-year - Catering Services (Staff, Welfare, Education Etc)</t>
  </si>
  <si>
    <t>Year-on-year - Office Services (Printing, Security, Etc)</t>
  </si>
  <si>
    <t>Year-on-year - Information Technology</t>
  </si>
  <si>
    <t>Year-on-year - Finance Services</t>
  </si>
  <si>
    <t>Year-on-year - Legal Services</t>
  </si>
  <si>
    <t>Year-on-year - Personnel Services</t>
  </si>
  <si>
    <t>Year-on-year - Total Internal Trading Accounts</t>
  </si>
  <si>
    <t>Year-on-year - Total Internal Trading Accounts - Capital Items *</t>
  </si>
  <si>
    <t>Year-on-year - Total Internal Trading Accounts - Net Surplus(-)/Deficit(</t>
  </si>
  <si>
    <t>Year-on-year - Capital Items (External) - Depreciation</t>
  </si>
  <si>
    <t>Year-on-year - Capital Items (External) - Loss On Impairment Of Assets</t>
  </si>
  <si>
    <t>Year-on-year - Capital Items (External) - Revaluations Taken To Surplus Or Deficit On The Provision</t>
  </si>
  <si>
    <t>Year-on-year - Capital Items (External) - Credit For Capital Grants</t>
  </si>
  <si>
    <t>Year-on-year - Capital Items (External) - Revenue Expenditure Funded From Capital By Statute (Recs)</t>
  </si>
  <si>
    <t>Year-on-year - Capital Items (External) - Total Capital Items (Total Of Lines 931 To 936)</t>
  </si>
  <si>
    <t>Year-on-year - Capital Items (Internal) - Depreciation</t>
  </si>
  <si>
    <t>Year-on-year - Capital Items (Internal) - Loss On Impairment Of Assets</t>
  </si>
  <si>
    <t>Year-on-year - Capital Items (Internal) - Revaluations Taken To Surplus Or Deficit On The Provision</t>
  </si>
  <si>
    <t>Year-on-year - Capital Items (Internal) - Credit For Capital Grants</t>
  </si>
  <si>
    <t>Year-on-year - Capital Items (Internal) - Revenue Expenditure Funded From Capital By Statute (Recs)</t>
  </si>
  <si>
    <t>Year-on-year - Capital Items (Internal) - Total Capital Items (Total Of Lines 931 To 936)</t>
  </si>
  <si>
    <t xml:space="preserve">PHE Check - Public Health spend should either equal or exceed grant </t>
  </si>
  <si>
    <t>Council Tax CTR -  Parish Precepts</t>
  </si>
  <si>
    <t>CTR_parish</t>
  </si>
  <si>
    <t>Council Tax CTR -  CTR  check</t>
  </si>
  <si>
    <t>CTR</t>
  </si>
  <si>
    <t>Business Rates -  Calc Comparison</t>
  </si>
  <si>
    <t>NNDR_calc</t>
  </si>
  <si>
    <t>Special Condition - Non-IAS19 balance check</t>
  </si>
  <si>
    <t>Settlement Check - Revenue Support Grant</t>
  </si>
  <si>
    <t>RSG</t>
  </si>
  <si>
    <t>Settlement Check - Police Grant</t>
  </si>
  <si>
    <t>PG</t>
  </si>
  <si>
    <t>Positive Check - Schools reserves level start</t>
  </si>
  <si>
    <t>BLANK</t>
  </si>
  <si>
    <t>Positive Check - Public health financial reserves level start</t>
  </si>
  <si>
    <t>Positive Check - Other earmarked financial reserves level start</t>
  </si>
  <si>
    <t>Positive Check - Unallocated financial reserves level start</t>
  </si>
  <si>
    <t>Positive Check - Schools reserves level end</t>
  </si>
  <si>
    <t>Positive Check - Public health financial reserves level end</t>
  </si>
  <si>
    <t>Positive Check - Other earmarked financial reserves level end</t>
  </si>
  <si>
    <t>Positive Check - Unallocated financial reserves level end</t>
  </si>
  <si>
    <t>Special Condition - GLA Only  Line 793 Business Rates Supplement</t>
  </si>
  <si>
    <t>Special Condition - Non-IAS19 confirmation</t>
  </si>
  <si>
    <t>Special Condition - Parks, Trans, Waste should have zero for Parish Precepts</t>
  </si>
  <si>
    <t>Special Condition - Parks, Trans, Waste should have zero for RSG</t>
  </si>
  <si>
    <t>Special Condition - Parks, Trans, Waste should have zero for Council Tax</t>
  </si>
  <si>
    <t>Negative Check - Revenue Support Grant</t>
  </si>
  <si>
    <t>Negative Check - Police Grant</t>
  </si>
  <si>
    <t>Negative Check - Business Rates</t>
  </si>
  <si>
    <t>Positive Check - CERA</t>
  </si>
  <si>
    <t>Positive Check - CERA Public Health</t>
  </si>
  <si>
    <t>Merseyside Fire &amp; Rescue Authority</t>
  </si>
  <si>
    <t>South Yorkshire Fire &amp; Rescue Authority</t>
  </si>
  <si>
    <t>West Yorkshire Fire &amp; Rescue Authority</t>
  </si>
  <si>
    <t>Nottinghamshire Fire &amp; Rescue Authority</t>
  </si>
  <si>
    <t>North Yorkshire Police, Fire and Crime Commissioner - Fire</t>
  </si>
  <si>
    <t>North Yorkshire Police, Fire and Crime Commissioner - Police</t>
  </si>
  <si>
    <t>Staffordshire Police, Fire and Crime Commissioner - Fire</t>
  </si>
  <si>
    <t>Staffordshire Police, Fire and Crime Commissioner - Police</t>
  </si>
  <si>
    <t>Essex Police, Fire and Crime Commissioner - Fire</t>
  </si>
  <si>
    <t>Essex Police, Fire and Crime Commissioner - Police</t>
  </si>
  <si>
    <t>Northamptonshire Police, Fire and Crime Commissioner - Fire</t>
  </si>
  <si>
    <t>Northamptonshire Police, Fire and Crime Commissioner - Police</t>
  </si>
  <si>
    <t>Bedfordshire Fire and Rescue Authority</t>
  </si>
  <si>
    <t>Berkshire Fire and Rescue Authority</t>
  </si>
  <si>
    <t>Buckinghamshire &amp; Milton Keynes Fire and Rescue Authority</t>
  </si>
  <si>
    <t>Cambridgeshire Fire and Rescue Authority</t>
  </si>
  <si>
    <t>Cheshire Fire and Rescue Authority</t>
  </si>
  <si>
    <t>Cleveland Fire and Rescue Authority</t>
  </si>
  <si>
    <t>Derbyshire Fire and Rescue Authority</t>
  </si>
  <si>
    <t>Devon &amp; Somerset Fire and Rescue Authority</t>
  </si>
  <si>
    <t>Durham Fire and Rescue Authority</t>
  </si>
  <si>
    <t>East Sussex Fire and Rescue Authority</t>
  </si>
  <si>
    <t>Hereford &amp; Worcester Fire and Rescue Authority</t>
  </si>
  <si>
    <t>Humberside Fire and Rescue Authority</t>
  </si>
  <si>
    <t>Kent Fire and Rescue Authority</t>
  </si>
  <si>
    <t>Lancashire Fire and Rescue Authority</t>
  </si>
  <si>
    <t>Leicestershire Fire and Rescue Authority</t>
  </si>
  <si>
    <t>Shropshire Fire and Rescue Authority</t>
  </si>
  <si>
    <r>
      <t xml:space="preserve">LEVY INCOME - TRANSPORT AND WASTE AUTHORITIES </t>
    </r>
    <r>
      <rPr>
        <b/>
        <sz val="16"/>
        <color theme="5"/>
        <rFont val="Arial"/>
        <family val="2"/>
      </rPr>
      <t>ONLY</t>
    </r>
  </si>
  <si>
    <t>COMBINED AUTHORITIES ONLY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</si>
</sst>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4" formatCode="_-&quot;£&quot;* #,##0.00_-;\-&quot;£&quot;* #,##0.00_-;_-&quot;£&quot;* &quot;-&quot;??_-;_-@_-"/>
    <numFmt numFmtId="43" formatCode="_-* #,##0.00_-;\-* #,##0.00_-;_-* &quot;-&quot;??_-;_-@_-"/>
    <numFmt numFmtId="164" formatCode="_(* #,##0.00_);_(* \(#,##0.00\);_(* &quot;-&quot;??_);_(@_)"/>
    <numFmt numFmtId="165" formatCode="_(&quot;£&quot;* #,##0.00_);_(&quot;£&quot;* \(#,##0.00\);_(&quot;£&quot;* &quot;-&quot;??_);_(@_)"/>
    <numFmt numFmtId="166" formatCode="&quot;£&quot;#,##0_);[Red]\(&quot;£&quot;#,##0\)"/>
    <numFmt numFmtId="167" formatCode="0_)"/>
    <numFmt numFmtId="168" formatCode="#,##0_)"/>
    <numFmt numFmtId="169" formatCode="0.0000"/>
    <numFmt numFmtId="170" formatCode="_-* #,##0_-;\-* #,##0_-;_-* &quot;-&quot;??_-;_-@_-"/>
    <numFmt numFmtId="171" formatCode="&quot; &quot;#,##0.00&quot; &quot;;&quot;-&quot;#,##0.00&quot; &quot;;&quot; -&quot;00&quot; &quot;;&quot; &quot;@&quot; &quot;"/>
    <numFmt numFmtId="172" formatCode="#,##0.000"/>
    <numFmt numFmtId="173" formatCode="0.000%"/>
    <numFmt numFmtId="174" formatCode="0.0_)"/>
  </numFmts>
  <fonts count="20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2"/>
      <color theme="1"/>
      <name val="Arial"/>
      <family val="2"/>
    </font>
    <font>
      <sz val="10"/>
      <name val="Arial"/>
      <family val="2"/>
    </font>
    <font>
      <sz val="12"/>
      <color indexed="10"/>
      <name val="Helv"/>
    </font>
    <font>
      <b/>
      <sz val="12"/>
      <color indexed="10"/>
      <name val="Helv"/>
    </font>
    <font>
      <b/>
      <sz val="12"/>
      <color indexed="12"/>
      <name val="Helv"/>
    </font>
    <font>
      <b/>
      <sz val="12"/>
      <name val="Helv"/>
    </font>
    <font>
      <b/>
      <sz val="10"/>
      <name val="Helv"/>
    </font>
    <font>
      <sz val="12"/>
      <color indexed="12"/>
      <name val="Helv"/>
    </font>
    <font>
      <b/>
      <sz val="14"/>
      <name val="Helv"/>
    </font>
    <font>
      <sz val="8"/>
      <name val="Helv"/>
    </font>
    <font>
      <sz val="12"/>
      <name val="Helv"/>
    </font>
    <font>
      <sz val="12"/>
      <name val="Arial"/>
      <family val="2"/>
    </font>
    <font>
      <sz val="12"/>
      <color indexed="12"/>
      <name val="Arial"/>
      <family val="2"/>
    </font>
    <font>
      <b/>
      <sz val="12"/>
      <name val="Arial"/>
      <family val="2"/>
    </font>
    <font>
      <b/>
      <sz val="12"/>
      <name val="Arial"/>
      <family val="2"/>
    </font>
    <font>
      <b/>
      <sz val="24"/>
      <name val="Arial"/>
      <family val="2"/>
    </font>
    <font>
      <b/>
      <sz val="14"/>
      <name val="Arial"/>
      <family val="2"/>
    </font>
    <font>
      <b/>
      <sz val="16"/>
      <name val="Arial"/>
      <family val="2"/>
    </font>
    <font>
      <sz val="10"/>
      <name val="Arial"/>
      <family val="2"/>
    </font>
    <font>
      <b/>
      <sz val="22"/>
      <name val="Arial"/>
      <family val="2"/>
    </font>
    <font>
      <sz val="12"/>
      <color indexed="10"/>
      <name val="Arial"/>
      <family val="2"/>
    </font>
    <font>
      <b/>
      <sz val="11"/>
      <name val="Arial"/>
      <family val="2"/>
    </font>
    <font>
      <b/>
      <sz val="12"/>
      <color indexed="10"/>
      <name val="Arial"/>
      <family val="2"/>
    </font>
    <font>
      <b/>
      <sz val="12"/>
      <color indexed="12"/>
      <name val="Arial"/>
      <family val="2"/>
    </font>
    <font>
      <b/>
      <sz val="14"/>
      <color indexed="10"/>
      <name val="Arial"/>
      <family val="2"/>
    </font>
    <font>
      <sz val="10"/>
      <color indexed="10"/>
      <name val="Arial"/>
      <family val="2"/>
    </font>
    <font>
      <b/>
      <sz val="11"/>
      <name val="Helv"/>
    </font>
    <font>
      <b/>
      <sz val="10"/>
      <name val="Arial"/>
      <family val="2"/>
    </font>
    <font>
      <b/>
      <i/>
      <sz val="12"/>
      <name val="Arial"/>
      <family val="2"/>
    </font>
    <font>
      <b/>
      <sz val="10"/>
      <color indexed="10"/>
      <name val="Arial"/>
      <family val="2"/>
    </font>
    <font>
      <i/>
      <sz val="11"/>
      <color indexed="10"/>
      <name val="Arial"/>
      <family val="2"/>
    </font>
    <font>
      <sz val="10"/>
      <color indexed="12"/>
      <name val="Arial"/>
      <family val="2"/>
    </font>
    <font>
      <b/>
      <sz val="14"/>
      <color indexed="12"/>
      <name val="Arial"/>
      <family val="2"/>
    </font>
    <font>
      <b/>
      <sz val="12"/>
      <color indexed="52"/>
      <name val="Helv"/>
    </font>
    <font>
      <b/>
      <sz val="10"/>
      <name val="Arial"/>
      <family val="2"/>
    </font>
    <font>
      <b/>
      <sz val="12"/>
      <color indexed="53"/>
      <name val="Arial"/>
      <family val="2"/>
    </font>
    <font>
      <sz val="12"/>
      <color indexed="57"/>
      <name val="Helv"/>
    </font>
    <font>
      <sz val="12"/>
      <color indexed="11"/>
      <name val="Helv"/>
    </font>
    <font>
      <sz val="10"/>
      <color indexed="10"/>
      <name val="Arial"/>
      <family val="2"/>
    </font>
    <font>
      <u/>
      <sz val="7.5"/>
      <color indexed="12"/>
      <name val="Arial"/>
      <family val="2"/>
    </font>
    <font>
      <sz val="10"/>
      <color indexed="17"/>
      <name val="Arial"/>
      <family val="2"/>
    </font>
    <font>
      <b/>
      <u/>
      <sz val="11"/>
      <color indexed="17"/>
      <name val="Arial"/>
      <family val="2"/>
    </font>
    <font>
      <b/>
      <sz val="11"/>
      <color indexed="17"/>
      <name val="Arial"/>
      <family val="2"/>
    </font>
    <font>
      <sz val="8"/>
      <color indexed="12"/>
      <name val="Arial"/>
      <family val="2"/>
    </font>
    <font>
      <sz val="10"/>
      <color indexed="12"/>
      <name val="Arial"/>
      <family val="2"/>
    </font>
    <font>
      <sz val="12"/>
      <color indexed="23"/>
      <name val="Arial"/>
      <family val="2"/>
    </font>
    <font>
      <b/>
      <i/>
      <sz val="10"/>
      <name val="Arial"/>
      <family val="2"/>
    </font>
    <font>
      <b/>
      <sz val="20"/>
      <color indexed="12"/>
      <name val="Arial"/>
      <family val="2"/>
    </font>
    <font>
      <sz val="14"/>
      <name val="Arial"/>
      <family val="2"/>
    </font>
    <font>
      <sz val="10"/>
      <name val="Courier"/>
      <family val="3"/>
    </font>
    <font>
      <sz val="12"/>
      <color indexed="22"/>
      <name val="Arial"/>
      <family val="2"/>
    </font>
    <font>
      <sz val="14"/>
      <name val="Arial"/>
      <family val="2"/>
    </font>
    <font>
      <b/>
      <sz val="14"/>
      <color indexed="53"/>
      <name val="Helv"/>
    </font>
    <font>
      <b/>
      <sz val="14"/>
      <name val="Arial"/>
      <family val="2"/>
    </font>
    <font>
      <i/>
      <sz val="12"/>
      <name val="Arial"/>
      <family val="2"/>
    </font>
    <font>
      <i/>
      <sz val="12"/>
      <color indexed="10"/>
      <name val="Arial"/>
      <family val="2"/>
    </font>
    <font>
      <b/>
      <i/>
      <sz val="14"/>
      <name val="Arial"/>
      <family val="2"/>
    </font>
    <font>
      <b/>
      <sz val="12"/>
      <color indexed="17"/>
      <name val="Arial"/>
      <family val="2"/>
    </font>
    <font>
      <b/>
      <i/>
      <sz val="16"/>
      <name val="Arial"/>
      <family val="2"/>
    </font>
    <font>
      <b/>
      <i/>
      <sz val="12"/>
      <color indexed="10"/>
      <name val="Arial"/>
      <family val="2"/>
    </font>
    <font>
      <b/>
      <sz val="18"/>
      <name val="Arial"/>
      <family val="2"/>
    </font>
    <font>
      <sz val="8"/>
      <color indexed="10"/>
      <name val="Arial"/>
      <family val="2"/>
    </font>
    <font>
      <sz val="10"/>
      <color indexed="9"/>
      <name val="Arial"/>
      <family val="2"/>
    </font>
    <font>
      <sz val="12"/>
      <color indexed="8"/>
      <name val="Arial"/>
      <family val="2"/>
    </font>
    <font>
      <sz val="10"/>
      <color indexed="8"/>
      <name val="Arial"/>
      <family val="2"/>
    </font>
    <font>
      <sz val="8"/>
      <color indexed="18"/>
      <name val="Arial"/>
      <family val="2"/>
    </font>
    <font>
      <sz val="10"/>
      <color indexed="18"/>
      <name val="Arial"/>
      <family val="2"/>
    </font>
    <font>
      <b/>
      <sz val="10"/>
      <color indexed="18"/>
      <name val="Arial"/>
      <family val="2"/>
    </font>
    <font>
      <sz val="12"/>
      <color theme="0"/>
      <name val="Arial"/>
      <family val="2"/>
    </font>
    <font>
      <sz val="10"/>
      <color rgb="FFFF0000"/>
      <name val="Arial"/>
      <family val="2"/>
    </font>
    <font>
      <sz val="10"/>
      <color rgb="FF0070C0"/>
      <name val="Arial"/>
      <family val="2"/>
    </font>
    <font>
      <sz val="10"/>
      <color rgb="FFC00000"/>
      <name val="Arial"/>
      <family val="2"/>
    </font>
    <font>
      <b/>
      <sz val="10"/>
      <color rgb="FFFF0000"/>
      <name val="Arial"/>
      <family val="2"/>
    </font>
    <font>
      <sz val="10"/>
      <color rgb="FF7030A0"/>
      <name val="Arial"/>
      <family val="2"/>
    </font>
    <font>
      <b/>
      <sz val="12"/>
      <color rgb="FFFF0000"/>
      <name val="Arial"/>
      <family val="2"/>
    </font>
    <font>
      <sz val="10"/>
      <color theme="0"/>
      <name val="Arial"/>
      <family val="2"/>
    </font>
    <font>
      <sz val="12"/>
      <color rgb="FF002060"/>
      <name val="Arial"/>
      <family val="2"/>
    </font>
    <font>
      <b/>
      <sz val="14"/>
      <color rgb="FF002060"/>
      <name val="Arial"/>
      <family val="2"/>
    </font>
    <font>
      <b/>
      <sz val="14"/>
      <color rgb="FFFF0000"/>
      <name val="Arial"/>
      <family val="2"/>
    </font>
    <font>
      <sz val="10"/>
      <color rgb="FF0000FF"/>
      <name val="Arial"/>
      <family val="2"/>
    </font>
    <font>
      <b/>
      <sz val="12"/>
      <color rgb="FFFF0000"/>
      <name val="Helv"/>
    </font>
    <font>
      <sz val="12"/>
      <color rgb="FF0000FF"/>
      <name val="Arial"/>
      <family val="2"/>
    </font>
    <font>
      <b/>
      <sz val="14"/>
      <color theme="0"/>
      <name val="Arial"/>
      <family val="2"/>
    </font>
    <font>
      <b/>
      <sz val="12"/>
      <color theme="3"/>
      <name val="Arial"/>
      <family val="2"/>
    </font>
    <font>
      <b/>
      <sz val="14"/>
      <color theme="3"/>
      <name val="Arial"/>
      <family val="2"/>
    </font>
    <font>
      <b/>
      <sz val="12"/>
      <color theme="5"/>
      <name val="Arial"/>
      <family val="2"/>
    </font>
    <font>
      <sz val="10"/>
      <color theme="5"/>
      <name val="Arial"/>
      <family val="2"/>
    </font>
    <font>
      <b/>
      <sz val="12"/>
      <color theme="1"/>
      <name val="Arial"/>
      <family val="2"/>
    </font>
    <font>
      <b/>
      <sz val="14"/>
      <color theme="5"/>
      <name val="Arial"/>
      <family val="2"/>
    </font>
    <font>
      <b/>
      <sz val="16"/>
      <color theme="5"/>
      <name val="Arial"/>
      <family val="2"/>
    </font>
    <font>
      <sz val="11"/>
      <name val="Arial"/>
      <family val="2"/>
    </font>
    <font>
      <b/>
      <sz val="11"/>
      <color theme="1"/>
      <name val="Arial"/>
      <family val="2"/>
    </font>
    <font>
      <b/>
      <sz val="16"/>
      <color theme="3"/>
      <name val="Arial"/>
      <family val="2"/>
    </font>
    <font>
      <sz val="16"/>
      <color theme="3"/>
      <name val="Arial"/>
      <family val="2"/>
    </font>
    <font>
      <b/>
      <sz val="20"/>
      <color theme="3"/>
      <name val="Arial"/>
      <family val="2"/>
    </font>
    <font>
      <b/>
      <sz val="14"/>
      <color theme="1" tint="0.499984740745262"/>
      <name val="Arial"/>
      <family val="2"/>
    </font>
    <font>
      <b/>
      <sz val="16"/>
      <color theme="1"/>
      <name val="Arial"/>
      <family val="2"/>
    </font>
    <font>
      <b/>
      <sz val="12"/>
      <color theme="0" tint="-0.499984740745262"/>
      <name val="Arial"/>
      <family val="2"/>
    </font>
    <font>
      <sz val="16"/>
      <color theme="4"/>
      <name val="Arial"/>
      <family val="2"/>
    </font>
    <font>
      <sz val="14"/>
      <color theme="5"/>
      <name val="Arial"/>
      <family val="2"/>
    </font>
    <font>
      <b/>
      <sz val="14"/>
      <color theme="4"/>
      <name val="Arial"/>
      <family val="2"/>
    </font>
    <font>
      <b/>
      <sz val="18"/>
      <color theme="3"/>
      <name val="Arial"/>
      <family val="2"/>
    </font>
    <font>
      <b/>
      <i/>
      <sz val="11"/>
      <color theme="4"/>
      <name val="Arial"/>
      <family val="2"/>
    </font>
    <font>
      <b/>
      <sz val="14"/>
      <color theme="0"/>
      <name val="Helv"/>
    </font>
    <font>
      <b/>
      <sz val="12"/>
      <color theme="0"/>
      <name val="Arial"/>
      <family val="2"/>
    </font>
    <font>
      <i/>
      <sz val="12"/>
      <color theme="5"/>
      <name val="Arial"/>
      <family val="2"/>
    </font>
    <font>
      <b/>
      <i/>
      <sz val="11"/>
      <color theme="5"/>
      <name val="Arial"/>
      <family val="2"/>
    </font>
    <font>
      <sz val="12"/>
      <color theme="5"/>
      <name val="Arial"/>
      <family val="2"/>
    </font>
    <font>
      <sz val="12"/>
      <color theme="4"/>
      <name val="Arial"/>
      <family val="2"/>
    </font>
    <font>
      <b/>
      <sz val="14"/>
      <color theme="1"/>
      <name val="Arial"/>
      <family val="2"/>
    </font>
    <font>
      <b/>
      <i/>
      <sz val="12"/>
      <color theme="5"/>
      <name val="Arial"/>
      <family val="2"/>
    </font>
    <font>
      <sz val="9"/>
      <name val="Arial"/>
      <family val="2"/>
    </font>
    <font>
      <b/>
      <i/>
      <sz val="10"/>
      <color theme="5"/>
      <name val="Arial"/>
      <family val="2"/>
    </font>
    <font>
      <sz val="12"/>
      <color theme="3"/>
      <name val="Arial"/>
      <family val="2"/>
    </font>
    <font>
      <sz val="10"/>
      <color theme="1"/>
      <name val="Arial"/>
      <family val="2"/>
    </font>
    <font>
      <b/>
      <sz val="10"/>
      <color theme="3"/>
      <name val="Arial"/>
      <family val="2"/>
    </font>
    <font>
      <sz val="11"/>
      <color theme="1"/>
      <name val="Arial"/>
      <family val="2"/>
    </font>
    <font>
      <sz val="12"/>
      <color theme="3" tint="-0.249977111117893"/>
      <name val="Arial"/>
      <family val="2"/>
    </font>
    <font>
      <b/>
      <sz val="12"/>
      <color theme="4"/>
      <name val="Arial"/>
      <family val="2"/>
    </font>
    <font>
      <sz val="8"/>
      <color theme="4"/>
      <name val="Arial"/>
      <family val="2"/>
    </font>
    <font>
      <b/>
      <sz val="8"/>
      <color theme="4"/>
      <name val="Arial"/>
      <family val="2"/>
    </font>
    <font>
      <b/>
      <sz val="9"/>
      <color theme="4"/>
      <name val="Arial"/>
      <family val="2"/>
    </font>
    <font>
      <b/>
      <sz val="11"/>
      <color rgb="FF000000"/>
      <name val="Arial"/>
      <family val="2"/>
    </font>
    <font>
      <sz val="11"/>
      <color rgb="FF000000"/>
      <name val="Arial"/>
      <family val="2"/>
    </font>
    <font>
      <b/>
      <sz val="8"/>
      <color theme="5"/>
      <name val="Arial"/>
      <family val="2"/>
    </font>
    <font>
      <b/>
      <u/>
      <sz val="12"/>
      <color theme="5"/>
      <name val="Arial"/>
      <family val="2"/>
    </font>
    <font>
      <sz val="10"/>
      <name val="Arial"/>
      <family val="2"/>
    </font>
    <font>
      <b/>
      <sz val="18"/>
      <color theme="5"/>
      <name val="Arial"/>
      <family val="2"/>
    </font>
    <font>
      <sz val="18"/>
      <color theme="5"/>
      <name val="Arial"/>
      <family val="2"/>
    </font>
    <font>
      <b/>
      <sz val="20"/>
      <color rgb="FFC0504D"/>
      <name val="Arial"/>
      <family val="2"/>
    </font>
    <font>
      <b/>
      <sz val="10"/>
      <color rgb="FF00B050"/>
      <name val="Arial"/>
      <family val="2"/>
    </font>
    <font>
      <u/>
      <sz val="12"/>
      <color rgb="FF1F80D1"/>
      <name val="Arial"/>
      <family val="2"/>
    </font>
    <font>
      <b/>
      <sz val="10"/>
      <color theme="0" tint="-0.499984740745262"/>
      <name val="Arial"/>
      <family val="2"/>
    </font>
    <font>
      <i/>
      <sz val="10"/>
      <name val="Arial"/>
      <family val="2"/>
    </font>
    <font>
      <b/>
      <sz val="10"/>
      <color indexed="12"/>
      <name val="Arial"/>
      <family val="2"/>
    </font>
    <font>
      <u/>
      <sz val="11"/>
      <color theme="10"/>
      <name val="Calibri"/>
      <family val="2"/>
      <scheme val="minor"/>
    </font>
    <font>
      <sz val="11"/>
      <color rgb="FF000000"/>
      <name val="Calibri"/>
      <family val="2"/>
    </font>
    <font>
      <b/>
      <sz val="12"/>
      <color rgb="FF0000FF"/>
      <name val="Arial"/>
      <family val="2"/>
    </font>
    <font>
      <i/>
      <sz val="12"/>
      <color theme="1"/>
      <name val="Arial"/>
      <family val="2"/>
    </font>
    <font>
      <sz val="8"/>
      <name val="Arial"/>
      <family val="2"/>
    </font>
    <font>
      <b/>
      <sz val="12"/>
      <color theme="0"/>
      <name val="Helv"/>
    </font>
    <font>
      <sz val="12"/>
      <color rgb="FFFF0000"/>
      <name val="Arial"/>
      <family val="2"/>
    </font>
    <font>
      <sz val="10"/>
      <name val="Arial"/>
      <family val="2"/>
    </font>
    <font>
      <sz val="10"/>
      <name val="Arial"/>
      <family val="2"/>
    </font>
    <font>
      <sz val="8"/>
      <color theme="0"/>
      <name val="Arial"/>
      <family val="2"/>
    </font>
    <font>
      <b/>
      <sz val="8"/>
      <name val="Arial"/>
      <family val="2"/>
    </font>
    <font>
      <sz val="9"/>
      <color indexed="81"/>
      <name val="Tahoma"/>
      <family val="2"/>
    </font>
    <font>
      <b/>
      <sz val="9"/>
      <color indexed="81"/>
      <name val="Tahoma"/>
      <family val="2"/>
    </font>
    <font>
      <sz val="8"/>
      <color rgb="FFFF0000"/>
      <name val="Arial"/>
      <family val="2"/>
    </font>
    <font>
      <u/>
      <sz val="14"/>
      <color indexed="12"/>
      <name val="Arial"/>
      <family val="2"/>
    </font>
    <font>
      <sz val="11"/>
      <color rgb="FFFF0000"/>
      <name val="Calibri"/>
      <family val="2"/>
      <scheme val="minor"/>
    </font>
    <font>
      <b/>
      <sz val="8"/>
      <color rgb="FFFF0000"/>
      <name val="Arial"/>
      <family val="2"/>
    </font>
    <font>
      <b/>
      <i/>
      <sz val="12"/>
      <color rgb="FFFF0000"/>
      <name val="Arial"/>
      <family val="2"/>
    </font>
    <font>
      <sz val="10"/>
      <color rgb="FF000000"/>
      <name val="Arial"/>
      <family val="2"/>
    </font>
    <font>
      <sz val="11"/>
      <color indexed="8"/>
      <name val="Calibri"/>
      <family val="2"/>
    </font>
    <font>
      <sz val="11"/>
      <name val="Calibri"/>
      <family val="2"/>
    </font>
    <font>
      <u/>
      <sz val="12"/>
      <color indexed="12"/>
      <name val="Arial"/>
      <family val="2"/>
    </font>
    <font>
      <sz val="12"/>
      <color rgb="FF000000"/>
      <name val="Arial"/>
      <family val="2"/>
    </font>
    <font>
      <u/>
      <sz val="11"/>
      <color rgb="FF0563C1"/>
      <name val="Calibri"/>
      <family val="2"/>
    </font>
    <font>
      <sz val="10"/>
      <name val="Arial"/>
      <family val="2"/>
    </font>
    <font>
      <b/>
      <sz val="11"/>
      <color theme="4"/>
      <name val="Arial"/>
      <family val="2"/>
    </font>
    <font>
      <u/>
      <sz val="10"/>
      <color indexed="12"/>
      <name val="Arial"/>
      <family val="2"/>
    </font>
    <font>
      <b/>
      <sz val="10"/>
      <color theme="1"/>
      <name val="Arial"/>
      <family val="2"/>
    </font>
    <font>
      <sz val="10"/>
      <color theme="0" tint="-0.499984740745262"/>
      <name val="Arial"/>
      <family val="2"/>
    </font>
    <font>
      <b/>
      <sz val="10"/>
      <color theme="4"/>
      <name val="Arial"/>
      <family val="2"/>
    </font>
    <font>
      <b/>
      <u/>
      <sz val="8"/>
      <color theme="4"/>
      <name val="Arial"/>
      <family val="2"/>
    </font>
    <font>
      <sz val="14"/>
      <color theme="1"/>
      <name val="Arial"/>
      <family val="2"/>
    </font>
    <font>
      <b/>
      <u/>
      <sz val="10"/>
      <color theme="1"/>
      <name val="Arial"/>
      <family val="2"/>
    </font>
    <font>
      <u/>
      <sz val="10"/>
      <color theme="1"/>
      <name val="Arial"/>
      <family val="2"/>
    </font>
    <font>
      <i/>
      <sz val="10"/>
      <color theme="1"/>
      <name val="Arial"/>
      <family val="2"/>
    </font>
    <font>
      <vertAlign val="superscript"/>
      <sz val="12"/>
      <color theme="1"/>
      <name val="Arial"/>
      <family val="2"/>
    </font>
    <font>
      <b/>
      <i/>
      <sz val="10"/>
      <color rgb="FFFF0000"/>
      <name val="Arial"/>
      <family val="2"/>
    </font>
    <font>
      <sz val="16"/>
      <color rgb="FFFF0000"/>
      <name val="Arial"/>
      <family val="2"/>
    </font>
    <font>
      <sz val="18"/>
      <name val="Arial"/>
      <family val="2"/>
    </font>
    <font>
      <sz val="14"/>
      <color rgb="FFFF0000"/>
      <name val="Arial"/>
      <family val="2"/>
    </font>
    <font>
      <sz val="9"/>
      <color rgb="FFFF0000"/>
      <name val="Arial"/>
      <family val="2"/>
    </font>
    <font>
      <b/>
      <sz val="9"/>
      <name val="Arial"/>
      <family val="2"/>
    </font>
    <font>
      <u/>
      <sz val="9"/>
      <color indexed="12"/>
      <name val="Arial"/>
      <family val="2"/>
    </font>
    <font>
      <sz val="9"/>
      <color theme="0"/>
      <name val="Arial"/>
      <family val="2"/>
    </font>
    <font>
      <sz val="9"/>
      <color theme="0" tint="-0.249977111117893"/>
      <name val="Arial"/>
      <family val="2"/>
    </font>
    <font>
      <sz val="8"/>
      <color indexed="17"/>
      <name val="Arial"/>
      <family val="2"/>
    </font>
    <font>
      <b/>
      <sz val="8"/>
      <color theme="0"/>
      <name val="Arial"/>
      <family val="2"/>
    </font>
    <font>
      <b/>
      <sz val="8"/>
      <color theme="9" tint="-0.249977111117893"/>
      <name val="Arial"/>
      <family val="2"/>
    </font>
    <font>
      <sz val="7"/>
      <color rgb="FFFF0000"/>
      <name val="Arial"/>
      <family val="2"/>
    </font>
    <font>
      <sz val="16"/>
      <color theme="0"/>
      <name val="Arial"/>
      <family val="2"/>
    </font>
    <font>
      <b/>
      <u/>
      <sz val="11"/>
      <name val="Arial"/>
      <family val="2"/>
    </font>
    <font>
      <sz val="8"/>
      <color theme="1"/>
      <name val="Arial"/>
      <family val="2"/>
    </font>
    <font>
      <u/>
      <sz val="12"/>
      <color theme="10"/>
      <name val="Arial"/>
      <family val="2"/>
    </font>
    <font>
      <i/>
      <sz val="11"/>
      <color theme="1"/>
      <name val="Arial"/>
      <family val="2"/>
    </font>
    <font>
      <sz val="11"/>
      <color rgb="FF0000FF"/>
      <name val="Arial"/>
      <family val="2"/>
    </font>
    <font>
      <u/>
      <sz val="11"/>
      <color theme="10"/>
      <name val="Arial"/>
      <family val="2"/>
    </font>
    <font>
      <sz val="8"/>
      <name val="Arial"/>
      <family val="2"/>
    </font>
    <font>
      <u/>
      <sz val="8"/>
      <color rgb="FF0000FF"/>
      <name val="Arial"/>
      <family val="2"/>
    </font>
    <font>
      <b/>
      <sz val="10"/>
      <color rgb="FF4F81BD"/>
      <name val="Arial"/>
      <family val="2"/>
    </font>
    <font>
      <b/>
      <u/>
      <sz val="14"/>
      <name val="Arial"/>
      <family val="2"/>
    </font>
  </fonts>
  <fills count="37">
    <fill>
      <patternFill patternType="none"/>
    </fill>
    <fill>
      <patternFill patternType="gray125"/>
    </fill>
    <fill>
      <patternFill patternType="solid">
        <fgColor indexed="9"/>
        <bgColor indexed="64"/>
      </patternFill>
    </fill>
    <fill>
      <patternFill patternType="lightGray">
        <fgColor indexed="9"/>
        <bgColor indexed="9"/>
      </patternFill>
    </fill>
    <fill>
      <patternFill patternType="solid">
        <fgColor indexed="9"/>
        <bgColor indexed="9"/>
      </patternFill>
    </fill>
    <fill>
      <patternFill patternType="solid">
        <fgColor indexed="9"/>
        <bgColor indexed="8"/>
      </patternFill>
    </fill>
    <fill>
      <patternFill patternType="solid">
        <fgColor indexed="22"/>
        <bgColor indexed="64"/>
      </patternFill>
    </fill>
    <fill>
      <patternFill patternType="solid">
        <fgColor indexed="65"/>
        <bgColor indexed="8"/>
      </patternFill>
    </fill>
    <fill>
      <patternFill patternType="solid">
        <fgColor indexed="55"/>
        <bgColor indexed="64"/>
      </patternFill>
    </fill>
    <fill>
      <patternFill patternType="solid">
        <fgColor indexed="41"/>
        <bgColor indexed="64"/>
      </patternFill>
    </fill>
    <fill>
      <patternFill patternType="solid">
        <fgColor theme="0" tint="-0.249977111117893"/>
        <bgColor indexed="64"/>
      </patternFill>
    </fill>
    <fill>
      <patternFill patternType="solid">
        <fgColor rgb="FFFFFF00"/>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theme="6" tint="0.79998168889431442"/>
        <bgColor indexed="64"/>
      </patternFill>
    </fill>
    <fill>
      <patternFill patternType="solid">
        <fgColor rgb="FFC0C0C0"/>
        <bgColor rgb="FFC0C0C0"/>
      </patternFill>
    </fill>
    <fill>
      <patternFill patternType="solid">
        <fgColor theme="4" tint="0.59999389629810485"/>
        <bgColor indexed="64"/>
      </patternFill>
    </fill>
    <fill>
      <patternFill patternType="solid">
        <fgColor theme="6" tint="0.59999389629810485"/>
        <bgColor indexed="64"/>
      </patternFill>
    </fill>
    <fill>
      <patternFill patternType="solid">
        <fgColor theme="7" tint="0.79998168889431442"/>
        <bgColor indexed="64"/>
      </patternFill>
    </fill>
    <fill>
      <patternFill patternType="solid">
        <fgColor theme="3" tint="0.79998168889431442"/>
        <bgColor indexed="64"/>
      </patternFill>
    </fill>
    <fill>
      <patternFill patternType="solid">
        <fgColor rgb="FFFFFFCC"/>
      </patternFill>
    </fill>
    <fill>
      <patternFill patternType="solid">
        <fgColor rgb="FFFFFFCC"/>
        <bgColor indexed="64"/>
      </patternFill>
    </fill>
    <fill>
      <patternFill patternType="solid">
        <fgColor theme="0" tint="-4.9989318521683403E-2"/>
        <bgColor indexed="64"/>
      </patternFill>
    </fill>
    <fill>
      <patternFill patternType="solid">
        <fgColor rgb="FFFFFFFF"/>
        <bgColor indexed="64"/>
      </patternFill>
    </fill>
    <fill>
      <patternFill patternType="solid">
        <fgColor rgb="FFB8CCE4"/>
        <bgColor indexed="64"/>
      </patternFill>
    </fill>
    <fill>
      <patternFill patternType="solid">
        <fgColor theme="5" tint="0.59999389629810485"/>
        <bgColor indexed="64"/>
      </patternFill>
    </fill>
    <fill>
      <patternFill patternType="solid">
        <fgColor rgb="FFFFFFFF"/>
        <bgColor rgb="FF000000"/>
      </patternFill>
    </fill>
    <fill>
      <patternFill patternType="solid">
        <fgColor rgb="FFFDE9D9"/>
        <bgColor rgb="FF000000"/>
      </patternFill>
    </fill>
    <fill>
      <patternFill patternType="solid">
        <fgColor indexed="31"/>
      </patternFill>
    </fill>
    <fill>
      <patternFill patternType="solid">
        <fgColor indexed="47"/>
      </patternFill>
    </fill>
    <fill>
      <patternFill patternType="solid">
        <fgColor theme="6" tint="0.79998168889431442"/>
        <bgColor rgb="FF000000"/>
      </patternFill>
    </fill>
    <fill>
      <patternFill patternType="solid">
        <fgColor rgb="FFC00000"/>
        <bgColor indexed="64"/>
      </patternFill>
    </fill>
    <fill>
      <patternFill patternType="solid">
        <fgColor rgb="FFFFC000"/>
        <bgColor indexed="64"/>
      </patternFill>
    </fill>
    <fill>
      <patternFill patternType="solid">
        <fgColor rgb="FFFF99CC"/>
        <bgColor indexed="64"/>
      </patternFill>
    </fill>
    <fill>
      <patternFill patternType="solid">
        <fgColor theme="8" tint="0.79998168889431442"/>
        <bgColor indexed="64"/>
      </patternFill>
    </fill>
    <fill>
      <patternFill patternType="solid">
        <fgColor rgb="FF92D050"/>
        <bgColor indexed="64"/>
      </patternFill>
    </fill>
  </fills>
  <borders count="100">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diagonal/>
    </border>
    <border>
      <left/>
      <right style="thin">
        <color indexed="64"/>
      </right>
      <top/>
      <bottom/>
      <diagonal/>
    </border>
    <border>
      <left style="thin">
        <color indexed="64"/>
      </left>
      <right/>
      <top/>
      <bottom/>
      <diagonal/>
    </border>
    <border>
      <left style="thin">
        <color indexed="64"/>
      </left>
      <right style="thin">
        <color indexed="64"/>
      </right>
      <top/>
      <bottom style="thin">
        <color indexed="64"/>
      </bottom>
      <diagonal/>
    </border>
    <border>
      <left style="medium">
        <color indexed="8"/>
      </left>
      <right style="medium">
        <color indexed="8"/>
      </right>
      <top style="medium">
        <color indexed="8"/>
      </top>
      <bottom/>
      <diagonal/>
    </border>
    <border>
      <left/>
      <right style="medium">
        <color indexed="8"/>
      </right>
      <top style="medium">
        <color indexed="8"/>
      </top>
      <bottom/>
      <diagonal/>
    </border>
    <border>
      <left/>
      <right/>
      <top/>
      <bottom style="thin">
        <color indexed="64"/>
      </bottom>
      <diagonal/>
    </border>
    <border>
      <left style="medium">
        <color indexed="64"/>
      </left>
      <right/>
      <top/>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style="medium">
        <color indexed="8"/>
      </left>
      <right/>
      <top style="medium">
        <color indexed="8"/>
      </top>
      <bottom style="thin">
        <color indexed="8"/>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top style="medium">
        <color indexed="64"/>
      </top>
      <bottom style="thin">
        <color indexed="8"/>
      </bottom>
      <diagonal/>
    </border>
    <border>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thin">
        <color indexed="64"/>
      </left>
      <right style="thin">
        <color indexed="64"/>
      </right>
      <top style="thin">
        <color indexed="64"/>
      </top>
      <bottom style="medium">
        <color indexed="64"/>
      </bottom>
      <diagonal/>
    </border>
    <border>
      <left style="medium">
        <color indexed="8"/>
      </left>
      <right style="medium">
        <color indexed="8"/>
      </right>
      <top style="medium">
        <color indexed="8"/>
      </top>
      <bottom style="medium">
        <color indexed="8"/>
      </bottom>
      <diagonal/>
    </border>
    <border>
      <left style="medium">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8"/>
      </left>
      <right style="thin">
        <color indexed="64"/>
      </right>
      <top style="medium">
        <color indexed="64"/>
      </top>
      <bottom style="thin">
        <color indexed="64"/>
      </bottom>
      <diagonal/>
    </border>
    <border>
      <left style="thin">
        <color indexed="64"/>
      </left>
      <right style="medium">
        <color indexed="8"/>
      </right>
      <top style="medium">
        <color indexed="64"/>
      </top>
      <bottom style="thin">
        <color indexed="64"/>
      </bottom>
      <diagonal/>
    </border>
    <border>
      <left style="medium">
        <color indexed="8"/>
      </left>
      <right style="thin">
        <color indexed="64"/>
      </right>
      <top style="thin">
        <color indexed="64"/>
      </top>
      <bottom style="thin">
        <color indexed="64"/>
      </bottom>
      <diagonal/>
    </border>
    <border>
      <left style="thin">
        <color indexed="64"/>
      </left>
      <right style="medium">
        <color indexed="8"/>
      </right>
      <top style="thin">
        <color indexed="64"/>
      </top>
      <bottom style="thin">
        <color indexed="64"/>
      </bottom>
      <diagonal/>
    </border>
    <border>
      <left style="medium">
        <color indexed="8"/>
      </left>
      <right style="thin">
        <color indexed="64"/>
      </right>
      <top style="thin">
        <color indexed="64"/>
      </top>
      <bottom style="medium">
        <color indexed="8"/>
      </bottom>
      <diagonal/>
    </border>
    <border>
      <left style="thin">
        <color indexed="64"/>
      </left>
      <right style="thin">
        <color indexed="64"/>
      </right>
      <top style="thin">
        <color indexed="64"/>
      </top>
      <bottom style="medium">
        <color indexed="8"/>
      </bottom>
      <diagonal/>
    </border>
    <border>
      <left style="thin">
        <color rgb="FFFF0000"/>
      </left>
      <right style="thin">
        <color rgb="FFFF0000"/>
      </right>
      <top style="thin">
        <color rgb="FFFF0000"/>
      </top>
      <bottom style="thin">
        <color rgb="FFFF0000"/>
      </bottom>
      <diagonal/>
    </border>
    <border>
      <left style="medium">
        <color indexed="64"/>
      </left>
      <right style="medium">
        <color indexed="64"/>
      </right>
      <top/>
      <bottom style="medium">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12"/>
      </top>
      <bottom style="medium">
        <color indexed="64"/>
      </bottom>
      <diagonal/>
    </border>
    <border>
      <left style="thin">
        <color rgb="FFB2B2B2"/>
      </left>
      <right style="thin">
        <color rgb="FFB2B2B2"/>
      </right>
      <top style="thin">
        <color rgb="FFB2B2B2"/>
      </top>
      <bottom style="thin">
        <color rgb="FFB2B2B2"/>
      </bottom>
      <diagonal/>
    </border>
    <border>
      <left style="thin">
        <color indexed="64"/>
      </left>
      <right style="medium">
        <color indexed="8"/>
      </right>
      <top style="thin">
        <color indexed="64"/>
      </top>
      <bottom style="medium">
        <color indexed="8"/>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diagonal/>
    </border>
    <border>
      <left/>
      <right style="thin">
        <color indexed="64"/>
      </right>
      <top style="thin">
        <color indexed="64"/>
      </top>
      <bottom style="thin">
        <color indexed="64"/>
      </bottom>
      <diagonal/>
    </border>
    <border>
      <left/>
      <right style="thin">
        <color rgb="FFFF0000"/>
      </right>
      <top/>
      <bottom/>
      <diagonal/>
    </border>
    <border>
      <left/>
      <right style="thin">
        <color rgb="FFFF0000"/>
      </right>
      <top style="thin">
        <color rgb="FFFF0000"/>
      </top>
      <bottom style="thin">
        <color rgb="FFFF0000"/>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diagonal/>
    </border>
    <border>
      <left style="thin">
        <color indexed="17"/>
      </left>
      <right style="thin">
        <color indexed="17"/>
      </right>
      <top style="thin">
        <color indexed="17"/>
      </top>
      <bottom style="thin">
        <color indexed="17"/>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medium">
        <color indexed="8"/>
      </left>
      <right/>
      <top style="thin">
        <color indexed="8"/>
      </top>
      <bottom style="thin">
        <color indexed="8"/>
      </bottom>
      <diagonal/>
    </border>
    <border>
      <left style="medium">
        <color indexed="64"/>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8"/>
      </left>
      <right/>
      <top style="thin">
        <color indexed="8"/>
      </top>
      <bottom style="medium">
        <color indexed="8"/>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top style="thin">
        <color indexed="8"/>
      </top>
      <bottom style="medium">
        <color indexed="64"/>
      </bottom>
      <diagonal/>
    </border>
    <border>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thin">
        <color auto="1"/>
      </left>
      <right style="thin">
        <color auto="1"/>
      </right>
      <top style="thin">
        <color auto="1"/>
      </top>
      <bottom/>
      <diagonal/>
    </border>
    <border>
      <left style="thin">
        <color indexed="10"/>
      </left>
      <right style="thin">
        <color indexed="10"/>
      </right>
      <top style="thin">
        <color indexed="10"/>
      </top>
      <bottom style="thin">
        <color indexed="10"/>
      </bottom>
      <diagonal/>
    </border>
    <border>
      <left style="thin">
        <color indexed="10"/>
      </left>
      <right style="thin">
        <color indexed="10"/>
      </right>
      <top style="thin">
        <color indexed="10"/>
      </top>
      <bottom style="thin">
        <color indexed="10"/>
      </bottom>
      <diagonal/>
    </border>
    <border>
      <left/>
      <right/>
      <top style="thin">
        <color indexed="64"/>
      </top>
      <bottom/>
      <diagonal/>
    </border>
    <border>
      <left style="thin">
        <color indexed="17"/>
      </left>
      <right style="thin">
        <color indexed="17"/>
      </right>
      <top style="thin">
        <color indexed="17"/>
      </top>
      <bottom style="thin">
        <color indexed="17"/>
      </bottom>
      <diagonal/>
    </border>
    <border>
      <left style="thin">
        <color auto="1"/>
      </left>
      <right style="thin">
        <color auto="1"/>
      </right>
      <top style="thin">
        <color auto="1"/>
      </top>
      <bottom/>
      <diagonal/>
    </border>
    <border>
      <left style="thin">
        <color indexed="64"/>
      </left>
      <right/>
      <top style="thin">
        <color indexed="64"/>
      </top>
      <bottom/>
      <diagonal/>
    </border>
    <border>
      <left/>
      <right style="thin">
        <color indexed="64"/>
      </right>
      <top style="thin">
        <color indexed="64"/>
      </top>
      <bottom/>
      <diagonal/>
    </border>
    <border>
      <left style="thin">
        <color indexed="10"/>
      </left>
      <right style="thin">
        <color indexed="10"/>
      </right>
      <top style="thin">
        <color indexed="10"/>
      </top>
      <bottom style="thin">
        <color indexed="10"/>
      </bottom>
      <diagonal/>
    </border>
    <border>
      <left/>
      <right/>
      <top style="thin">
        <color indexed="64"/>
      </top>
      <bottom/>
      <diagonal/>
    </border>
    <border>
      <left style="thin">
        <color auto="1"/>
      </left>
      <right style="thin">
        <color auto="1"/>
      </right>
      <top style="thin">
        <color auto="1"/>
      </top>
      <bottom/>
      <diagonal/>
    </border>
    <border>
      <left style="thin">
        <color indexed="10"/>
      </left>
      <right style="thin">
        <color indexed="10"/>
      </right>
      <top style="thin">
        <color indexed="10"/>
      </top>
      <bottom style="thin">
        <color indexed="10"/>
      </bottom>
      <diagonal/>
    </border>
    <border>
      <left/>
      <right/>
      <top style="thin">
        <color indexed="64"/>
      </top>
      <bottom/>
      <diagonal/>
    </border>
    <border>
      <left style="thin">
        <color auto="1"/>
      </left>
      <right style="thin">
        <color auto="1"/>
      </right>
      <top style="thin">
        <color auto="1"/>
      </top>
      <bottom/>
      <diagonal/>
    </border>
    <border>
      <left style="thin">
        <color indexed="64"/>
      </left>
      <right/>
      <top style="thin">
        <color indexed="64"/>
      </top>
      <bottom/>
      <diagonal/>
    </border>
    <border>
      <left style="thin">
        <color indexed="17"/>
      </left>
      <right style="thin">
        <color indexed="17"/>
      </right>
      <top style="thin">
        <color indexed="17"/>
      </top>
      <bottom style="thin">
        <color indexed="17"/>
      </bottom>
      <diagonal/>
    </border>
    <border>
      <left style="medium">
        <color indexed="12"/>
      </left>
      <right style="thin">
        <color indexed="12"/>
      </right>
      <top style="thin">
        <color indexed="12"/>
      </top>
      <bottom style="thin">
        <color indexed="12"/>
      </bottom>
      <diagonal/>
    </border>
    <border>
      <left style="thin">
        <color indexed="12"/>
      </left>
      <right style="medium">
        <color indexed="12"/>
      </right>
      <top style="thin">
        <color indexed="12"/>
      </top>
      <bottom style="thin">
        <color indexed="12"/>
      </bottom>
      <diagonal/>
    </border>
    <border>
      <left style="medium">
        <color indexed="12"/>
      </left>
      <right style="thin">
        <color indexed="12"/>
      </right>
      <top style="thin">
        <color indexed="12"/>
      </top>
      <bottom style="medium">
        <color indexed="12"/>
      </bottom>
      <diagonal/>
    </border>
    <border>
      <left style="thin">
        <color indexed="12"/>
      </left>
      <right style="medium">
        <color indexed="12"/>
      </right>
      <top style="thin">
        <color indexed="12"/>
      </top>
      <bottom style="medium">
        <color indexed="12"/>
      </bottom>
      <diagonal/>
    </border>
    <border>
      <left style="medium">
        <color indexed="8"/>
      </left>
      <right style="thin">
        <color indexed="64"/>
      </right>
      <top style="thin">
        <color indexed="64"/>
      </top>
      <bottom/>
      <diagonal/>
    </border>
  </borders>
  <cellStyleXfs count="70">
    <xf numFmtId="0" fontId="0" fillId="0" borderId="0"/>
    <xf numFmtId="0" fontId="27" fillId="0" borderId="0"/>
    <xf numFmtId="0" fontId="48" fillId="0" borderId="0" applyNumberFormat="0" applyFill="0" applyBorder="0" applyAlignment="0" applyProtection="0">
      <alignment vertical="top"/>
      <protection locked="0"/>
    </xf>
    <xf numFmtId="167" fontId="58" fillId="0" borderId="0"/>
    <xf numFmtId="167" fontId="58" fillId="0" borderId="0"/>
    <xf numFmtId="0" fontId="10" fillId="0" borderId="0"/>
    <xf numFmtId="0" fontId="10" fillId="0" borderId="0"/>
    <xf numFmtId="164" fontId="10" fillId="0" borderId="0" applyFont="0" applyFill="0" applyBorder="0" applyAlignment="0" applyProtection="0"/>
    <xf numFmtId="165" fontId="10" fillId="0" borderId="0" applyFont="0" applyFill="0" applyBorder="0" applyAlignment="0" applyProtection="0"/>
    <xf numFmtId="0" fontId="10" fillId="0" borderId="0"/>
    <xf numFmtId="0" fontId="9" fillId="0" borderId="0"/>
    <xf numFmtId="0" fontId="10" fillId="0" borderId="0"/>
    <xf numFmtId="0" fontId="10" fillId="0" borderId="0"/>
    <xf numFmtId="9" fontId="10" fillId="0" borderId="0" applyFont="0" applyFill="0" applyBorder="0" applyAlignment="0" applyProtection="0"/>
    <xf numFmtId="0" fontId="135" fillId="21" borderId="50" applyNumberFormat="0" applyFont="0" applyAlignment="0" applyProtection="0"/>
    <xf numFmtId="0" fontId="7" fillId="0" borderId="0"/>
    <xf numFmtId="0" fontId="144" fillId="0" borderId="0" applyNumberFormat="0" applyFill="0" applyBorder="0" applyAlignment="0" applyProtection="0"/>
    <xf numFmtId="0" fontId="8" fillId="0" borderId="0"/>
    <xf numFmtId="43" fontId="10" fillId="0" borderId="0" applyFont="0" applyFill="0" applyBorder="0" applyAlignment="0" applyProtection="0"/>
    <xf numFmtId="44" fontId="10" fillId="0" borderId="0" applyFont="0" applyFill="0" applyBorder="0" applyAlignment="0" applyProtection="0"/>
    <xf numFmtId="0" fontId="8" fillId="0" borderId="0"/>
    <xf numFmtId="0" fontId="10" fillId="21" borderId="50" applyNumberFormat="0" applyFont="0" applyAlignment="0" applyProtection="0"/>
    <xf numFmtId="0" fontId="6"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21" borderId="50" applyNumberFormat="0" applyFont="0" applyAlignment="0" applyProtection="0"/>
    <xf numFmtId="0" fontId="6" fillId="0" borderId="0"/>
    <xf numFmtId="43" fontId="10" fillId="0" borderId="0" applyFont="0" applyFill="0" applyBorder="0" applyAlignment="0" applyProtection="0"/>
    <xf numFmtId="44" fontId="10" fillId="0" borderId="0" applyFont="0" applyFill="0" applyBorder="0" applyAlignment="0" applyProtection="0"/>
    <xf numFmtId="0" fontId="151" fillId="0" borderId="0"/>
    <xf numFmtId="43" fontId="152" fillId="0" borderId="0" applyFont="0" applyFill="0" applyBorder="0" applyAlignment="0" applyProtection="0"/>
    <xf numFmtId="0" fontId="5"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21" borderId="50" applyNumberFormat="0" applyFont="0" applyAlignment="0" applyProtection="0"/>
    <xf numFmtId="0" fontId="5" fillId="0" borderId="0"/>
    <xf numFmtId="43" fontId="10" fillId="0" borderId="0" applyFont="0" applyFill="0" applyBorder="0" applyAlignment="0" applyProtection="0"/>
    <xf numFmtId="44" fontId="10" fillId="0" borderId="0" applyFont="0" applyFill="0" applyBorder="0" applyAlignment="0" applyProtection="0"/>
    <xf numFmtId="0" fontId="5" fillId="0" borderId="0"/>
    <xf numFmtId="43" fontId="10" fillId="0" borderId="0" applyFont="0" applyFill="0" applyBorder="0" applyAlignment="0" applyProtection="0"/>
    <xf numFmtId="44" fontId="10" fillId="0" borderId="0" applyFont="0" applyFill="0" applyBorder="0" applyAlignment="0" applyProtection="0"/>
    <xf numFmtId="0" fontId="5"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4" fillId="0" borderId="0"/>
    <xf numFmtId="0" fontId="8" fillId="0" borderId="0"/>
    <xf numFmtId="0" fontId="162" fillId="0" borderId="0">
      <alignment vertical="center"/>
    </xf>
    <xf numFmtId="0" fontId="145" fillId="0" borderId="0"/>
    <xf numFmtId="171" fontId="145" fillId="0" borderId="0" applyFont="0" applyFill="0" applyBorder="0" applyAlignment="0" applyProtection="0"/>
    <xf numFmtId="0" fontId="10" fillId="0" borderId="0"/>
    <xf numFmtId="164" fontId="3" fillId="0" borderId="0" applyFont="0" applyFill="0" applyBorder="0" applyAlignment="0" applyProtection="0"/>
    <xf numFmtId="0" fontId="163" fillId="29" borderId="0" applyNumberFormat="0" applyBorder="0" applyAlignment="0" applyProtection="0"/>
    <xf numFmtId="0" fontId="3" fillId="0" borderId="0"/>
    <xf numFmtId="0" fontId="163" fillId="30" borderId="0" applyNumberFormat="0" applyBorder="0" applyAlignment="0" applyProtection="0"/>
    <xf numFmtId="0" fontId="164" fillId="0" borderId="0"/>
    <xf numFmtId="0" fontId="3" fillId="0" borderId="0"/>
    <xf numFmtId="0" fontId="166" fillId="0" borderId="0"/>
    <xf numFmtId="0" fontId="167" fillId="0" borderId="0" applyNumberFormat="0" applyFill="0" applyBorder="0" applyAlignment="0" applyProtection="0"/>
    <xf numFmtId="9" fontId="168" fillId="0" borderId="0" applyFont="0" applyFill="0" applyBorder="0" applyAlignment="0" applyProtection="0"/>
    <xf numFmtId="0" fontId="170" fillId="0" borderId="0" applyNumberFormat="0" applyFill="0" applyBorder="0" applyAlignment="0" applyProtection="0">
      <alignment vertical="top"/>
      <protection locked="0"/>
    </xf>
    <xf numFmtId="0" fontId="2" fillId="0" borderId="0"/>
    <xf numFmtId="0" fontId="144" fillId="0" borderId="0" applyNumberFormat="0" applyFill="0" applyBorder="0" applyAlignment="0" applyProtection="0"/>
    <xf numFmtId="0" fontId="196" fillId="0" borderId="0" applyNumberFormat="0" applyFill="0" applyBorder="0" applyAlignment="0" applyProtection="0"/>
    <xf numFmtId="43" fontId="2" fillId="0" borderId="0" applyFont="0" applyFill="0" applyBorder="0" applyAlignment="0" applyProtection="0"/>
    <xf numFmtId="0" fontId="162" fillId="0" borderId="0" applyNumberFormat="0" applyFont="0" applyBorder="0" applyProtection="0"/>
    <xf numFmtId="0" fontId="1" fillId="0" borderId="0"/>
  </cellStyleXfs>
  <cellXfs count="1246">
    <xf numFmtId="0" fontId="0" fillId="0" borderId="0" xfId="0"/>
    <xf numFmtId="0" fontId="12" fillId="0" borderId="0" xfId="1" applyFont="1"/>
    <xf numFmtId="0" fontId="11" fillId="0" borderId="0" xfId="1" applyFont="1"/>
    <xf numFmtId="0" fontId="0" fillId="0" borderId="0" xfId="1" applyFont="1"/>
    <xf numFmtId="0" fontId="0" fillId="0" borderId="0" xfId="1" applyFont="1" applyProtection="1">
      <protection hidden="1"/>
    </xf>
    <xf numFmtId="0" fontId="20" fillId="0" borderId="0" xfId="1" applyFont="1"/>
    <xf numFmtId="0" fontId="23" fillId="0" borderId="0" xfId="1" applyFont="1"/>
    <xf numFmtId="0" fontId="13" fillId="0" borderId="0" xfId="1" quotePrefix="1" applyFont="1" applyAlignment="1">
      <alignment horizontal="left"/>
    </xf>
    <xf numFmtId="0" fontId="0" fillId="0" borderId="0" xfId="1" quotePrefix="1" applyFont="1" applyAlignment="1">
      <alignment horizontal="left"/>
    </xf>
    <xf numFmtId="0" fontId="10" fillId="2" borderId="0" xfId="1" applyFont="1" applyFill="1"/>
    <xf numFmtId="0" fontId="22" fillId="2" borderId="0" xfId="1" applyFont="1" applyFill="1" applyProtection="1">
      <protection hidden="1"/>
    </xf>
    <xf numFmtId="0" fontId="20" fillId="0" borderId="0" xfId="1" applyFont="1" applyProtection="1">
      <protection hidden="1"/>
    </xf>
    <xf numFmtId="0" fontId="0" fillId="0" borderId="0" xfId="1" applyFont="1" applyAlignment="1" applyProtection="1">
      <alignment horizontal="left"/>
      <protection hidden="1"/>
    </xf>
    <xf numFmtId="0" fontId="40" fillId="0" borderId="0" xfId="1" applyFont="1" applyAlignment="1" applyProtection="1">
      <alignment horizontal="left"/>
      <protection hidden="1"/>
    </xf>
    <xf numFmtId="0" fontId="41" fillId="0" borderId="1" xfId="1" applyFont="1" applyBorder="1" applyAlignment="1" applyProtection="1">
      <alignment horizontal="center"/>
      <protection hidden="1"/>
    </xf>
    <xf numFmtId="0" fontId="14" fillId="0" borderId="5" xfId="1" applyFont="1" applyBorder="1" applyAlignment="1" applyProtection="1">
      <alignment horizontal="left" wrapText="1"/>
      <protection locked="0"/>
    </xf>
    <xf numFmtId="0" fontId="21" fillId="0" borderId="0" xfId="1" applyFont="1" applyAlignment="1" applyProtection="1">
      <alignment horizontal="center"/>
      <protection hidden="1"/>
    </xf>
    <xf numFmtId="0" fontId="47" fillId="0" borderId="0" xfId="1" applyFont="1"/>
    <xf numFmtId="0" fontId="52" fillId="0" borderId="0" xfId="1" applyFont="1" applyAlignment="1">
      <alignment horizontal="left"/>
    </xf>
    <xf numFmtId="0" fontId="0" fillId="0" borderId="0" xfId="1" applyFont="1" applyProtection="1">
      <protection locked="0"/>
    </xf>
    <xf numFmtId="167" fontId="35" fillId="0" borderId="0" xfId="1" applyNumberFormat="1" applyFont="1" applyAlignment="1" applyProtection="1">
      <alignment horizontal="left"/>
      <protection locked="0"/>
    </xf>
    <xf numFmtId="0" fontId="0" fillId="0" borderId="7" xfId="1" applyFont="1" applyBorder="1" applyProtection="1">
      <protection locked="0"/>
    </xf>
    <xf numFmtId="0" fontId="53" fillId="0" borderId="0" xfId="1" applyFont="1" applyProtection="1">
      <protection locked="0"/>
    </xf>
    <xf numFmtId="0" fontId="25" fillId="0" borderId="0" xfId="1" quotePrefix="1" applyFont="1" applyAlignment="1">
      <alignment horizontal="left"/>
    </xf>
    <xf numFmtId="167" fontId="16" fillId="6" borderId="10" xfId="1" quotePrefix="1" applyNumberFormat="1" applyFont="1" applyFill="1" applyBorder="1" applyAlignment="1" applyProtection="1">
      <alignment horizontal="left"/>
      <protection hidden="1"/>
    </xf>
    <xf numFmtId="167" fontId="16" fillId="6" borderId="6" xfId="1" quotePrefix="1" applyNumberFormat="1" applyFont="1" applyFill="1" applyBorder="1" applyAlignment="1" applyProtection="1">
      <alignment horizontal="left"/>
      <protection hidden="1"/>
    </xf>
    <xf numFmtId="0" fontId="28" fillId="0" borderId="0" xfId="1" applyFont="1" applyAlignment="1">
      <alignment horizontal="right"/>
    </xf>
    <xf numFmtId="0" fontId="25" fillId="0" borderId="0" xfId="1" applyFont="1" applyAlignment="1" applyProtection="1">
      <alignment horizontal="left"/>
      <protection hidden="1"/>
    </xf>
    <xf numFmtId="0" fontId="36" fillId="2" borderId="0" xfId="1" applyFont="1" applyFill="1"/>
    <xf numFmtId="0" fontId="0" fillId="2" borderId="0" xfId="1" applyFont="1" applyFill="1"/>
    <xf numFmtId="0" fontId="0" fillId="2" borderId="0" xfId="1" applyFont="1" applyFill="1" applyAlignment="1" applyProtection="1">
      <alignment horizontal="right"/>
      <protection hidden="1"/>
    </xf>
    <xf numFmtId="167" fontId="20" fillId="0" borderId="0" xfId="1" applyNumberFormat="1" applyFont="1" applyProtection="1">
      <protection hidden="1"/>
    </xf>
    <xf numFmtId="1" fontId="31" fillId="0" borderId="0" xfId="1" applyNumberFormat="1" applyFont="1" applyAlignment="1" applyProtection="1">
      <alignment horizontal="center"/>
      <protection hidden="1"/>
    </xf>
    <xf numFmtId="167" fontId="21" fillId="0" borderId="0" xfId="1" applyNumberFormat="1" applyFont="1" applyProtection="1">
      <protection hidden="1"/>
    </xf>
    <xf numFmtId="167" fontId="25" fillId="0" borderId="0" xfId="1" applyNumberFormat="1" applyFont="1" applyProtection="1">
      <protection hidden="1"/>
    </xf>
    <xf numFmtId="167" fontId="59" fillId="2" borderId="0" xfId="1" applyNumberFormat="1" applyFont="1" applyFill="1" applyProtection="1">
      <protection hidden="1"/>
    </xf>
    <xf numFmtId="167" fontId="41" fillId="0" borderId="0" xfId="1" applyNumberFormat="1" applyFont="1" applyProtection="1">
      <protection hidden="1"/>
    </xf>
    <xf numFmtId="0" fontId="60" fillId="0" borderId="0" xfId="1" applyFont="1"/>
    <xf numFmtId="0" fontId="43" fillId="0" borderId="0" xfId="1" applyFont="1"/>
    <xf numFmtId="0" fontId="25" fillId="0" borderId="0" xfId="1" applyFont="1" applyProtection="1">
      <protection hidden="1"/>
    </xf>
    <xf numFmtId="0" fontId="62" fillId="0" borderId="0" xfId="1" applyFont="1"/>
    <xf numFmtId="0" fontId="36" fillId="0" borderId="0" xfId="1" applyFont="1"/>
    <xf numFmtId="0" fontId="25" fillId="0" borderId="0" xfId="1" applyFont="1"/>
    <xf numFmtId="0" fontId="15" fillId="0" borderId="0" xfId="1" applyFont="1"/>
    <xf numFmtId="167" fontId="15" fillId="0" borderId="0" xfId="1" applyNumberFormat="1" applyFont="1" applyAlignment="1">
      <alignment horizontal="center"/>
    </xf>
    <xf numFmtId="167" fontId="32" fillId="0" borderId="0" xfId="1" applyNumberFormat="1" applyFont="1" applyProtection="1">
      <protection hidden="1"/>
    </xf>
    <xf numFmtId="167" fontId="32" fillId="2" borderId="0" xfId="1" applyNumberFormat="1" applyFont="1" applyFill="1" applyProtection="1">
      <protection hidden="1"/>
    </xf>
    <xf numFmtId="167" fontId="15" fillId="0" borderId="0" xfId="1" quotePrefix="1" applyNumberFormat="1" applyFont="1" applyAlignment="1">
      <alignment horizontal="center"/>
    </xf>
    <xf numFmtId="0" fontId="10" fillId="0" borderId="0" xfId="1" applyFont="1" applyProtection="1">
      <protection locked="0"/>
    </xf>
    <xf numFmtId="167" fontId="34" fillId="0" borderId="14" xfId="1" applyNumberFormat="1" applyFont="1" applyBorder="1" applyAlignment="1" applyProtection="1">
      <alignment horizontal="center"/>
      <protection hidden="1"/>
    </xf>
    <xf numFmtId="167" fontId="34" fillId="0" borderId="15" xfId="1" applyNumberFormat="1" applyFont="1" applyBorder="1" applyProtection="1">
      <protection hidden="1"/>
    </xf>
    <xf numFmtId="167" fontId="34" fillId="0" borderId="14" xfId="1" applyNumberFormat="1" applyFont="1" applyBorder="1" applyProtection="1">
      <protection hidden="1"/>
    </xf>
    <xf numFmtId="167" fontId="34" fillId="0" borderId="0" xfId="1" quotePrefix="1" applyNumberFormat="1" applyFont="1" applyAlignment="1" applyProtection="1">
      <alignment horizontal="left"/>
      <protection hidden="1"/>
    </xf>
    <xf numFmtId="14" fontId="52" fillId="0" borderId="0" xfId="1" applyNumberFormat="1" applyFont="1" applyAlignment="1">
      <alignment horizontal="left"/>
    </xf>
    <xf numFmtId="0" fontId="0" fillId="2" borderId="0" xfId="1" applyFont="1" applyFill="1" applyProtection="1">
      <protection hidden="1"/>
    </xf>
    <xf numFmtId="167" fontId="16" fillId="0" borderId="0" xfId="1" applyNumberFormat="1" applyFont="1" applyProtection="1">
      <protection hidden="1"/>
    </xf>
    <xf numFmtId="167" fontId="16" fillId="6" borderId="3" xfId="1" quotePrefix="1" applyNumberFormat="1" applyFont="1" applyFill="1" applyBorder="1" applyAlignment="1" applyProtection="1">
      <alignment horizontal="left"/>
      <protection hidden="1"/>
    </xf>
    <xf numFmtId="167" fontId="34" fillId="0" borderId="15" xfId="1" applyNumberFormat="1" applyFont="1" applyBorder="1" applyAlignment="1" applyProtection="1">
      <alignment horizontal="center"/>
      <protection hidden="1"/>
    </xf>
    <xf numFmtId="167" fontId="12" fillId="0" borderId="0" xfId="1" applyNumberFormat="1" applyFont="1" applyProtection="1">
      <protection hidden="1"/>
    </xf>
    <xf numFmtId="0" fontId="56" fillId="2" borderId="0" xfId="1" applyFont="1" applyFill="1" applyAlignment="1" applyProtection="1">
      <alignment horizontal="left"/>
      <protection hidden="1"/>
    </xf>
    <xf numFmtId="0" fontId="25" fillId="2" borderId="0" xfId="1" applyFont="1" applyFill="1" applyAlignment="1" applyProtection="1">
      <alignment horizontal="left"/>
      <protection hidden="1"/>
    </xf>
    <xf numFmtId="0" fontId="14" fillId="0" borderId="0" xfId="1" applyFont="1" applyProtection="1">
      <protection hidden="1"/>
    </xf>
    <xf numFmtId="167" fontId="41" fillId="2" borderId="0" xfId="1" applyNumberFormat="1" applyFont="1" applyFill="1" applyProtection="1">
      <protection hidden="1"/>
    </xf>
    <xf numFmtId="167" fontId="20" fillId="0" borderId="13" xfId="1" applyNumberFormat="1" applyFont="1" applyBorder="1" applyProtection="1">
      <protection locked="0"/>
    </xf>
    <xf numFmtId="0" fontId="0" fillId="9" borderId="0" xfId="1" applyFont="1" applyFill="1"/>
    <xf numFmtId="167" fontId="16" fillId="2" borderId="0" xfId="1" applyNumberFormat="1" applyFont="1" applyFill="1" applyProtection="1">
      <protection hidden="1"/>
    </xf>
    <xf numFmtId="167" fontId="31" fillId="0" borderId="0" xfId="1" applyNumberFormat="1" applyFont="1" applyProtection="1">
      <protection hidden="1"/>
    </xf>
    <xf numFmtId="167" fontId="15" fillId="0" borderId="0" xfId="1" applyNumberFormat="1" applyFont="1" applyAlignment="1" applyProtection="1">
      <alignment horizontal="center"/>
      <protection hidden="1"/>
    </xf>
    <xf numFmtId="0" fontId="15" fillId="0" borderId="0" xfId="1" applyFont="1" applyProtection="1">
      <protection hidden="1"/>
    </xf>
    <xf numFmtId="0" fontId="34" fillId="0" borderId="0" xfId="1" applyFont="1" applyAlignment="1" applyProtection="1">
      <alignment horizontal="center"/>
      <protection hidden="1"/>
    </xf>
    <xf numFmtId="0" fontId="71" fillId="0" borderId="0" xfId="1" applyFont="1"/>
    <xf numFmtId="0" fontId="73" fillId="0" borderId="0" xfId="1" applyFont="1"/>
    <xf numFmtId="0" fontId="73" fillId="0" borderId="0" xfId="1" applyFont="1" applyProtection="1">
      <protection hidden="1"/>
    </xf>
    <xf numFmtId="167" fontId="13" fillId="0" borderId="17" xfId="1" applyNumberFormat="1" applyFont="1" applyBorder="1" applyProtection="1">
      <protection locked="0"/>
    </xf>
    <xf numFmtId="0" fontId="12" fillId="0" borderId="21" xfId="1" applyFont="1" applyBorder="1"/>
    <xf numFmtId="167" fontId="16" fillId="0" borderId="24" xfId="1" applyNumberFormat="1" applyFont="1" applyBorder="1" applyProtection="1">
      <protection hidden="1"/>
    </xf>
    <xf numFmtId="167" fontId="16" fillId="0" borderId="25" xfId="1" applyNumberFormat="1" applyFont="1" applyBorder="1" applyProtection="1">
      <protection hidden="1"/>
    </xf>
    <xf numFmtId="167" fontId="16" fillId="8" borderId="25" xfId="1" quotePrefix="1" applyNumberFormat="1" applyFont="1" applyFill="1" applyBorder="1" applyAlignment="1" applyProtection="1">
      <alignment horizontal="left"/>
      <protection hidden="1"/>
    </xf>
    <xf numFmtId="167" fontId="16" fillId="0" borderId="26" xfId="1" applyNumberFormat="1" applyFont="1" applyBorder="1" applyProtection="1">
      <protection hidden="1"/>
    </xf>
    <xf numFmtId="167" fontId="16" fillId="0" borderId="19" xfId="1" applyNumberFormat="1" applyFont="1" applyBorder="1" applyProtection="1">
      <protection hidden="1"/>
    </xf>
    <xf numFmtId="167" fontId="16" fillId="8" borderId="27" xfId="1" quotePrefix="1" applyNumberFormat="1" applyFont="1" applyFill="1" applyBorder="1" applyAlignment="1" applyProtection="1">
      <alignment horizontal="left"/>
      <protection hidden="1"/>
    </xf>
    <xf numFmtId="167" fontId="11" fillId="0" borderId="25" xfId="1" applyNumberFormat="1" applyFont="1" applyBorder="1" applyProtection="1">
      <protection hidden="1"/>
    </xf>
    <xf numFmtId="167" fontId="11" fillId="0" borderId="26" xfId="1" applyNumberFormat="1" applyFont="1" applyBorder="1" applyProtection="1">
      <protection hidden="1"/>
    </xf>
    <xf numFmtId="167" fontId="16" fillId="0" borderId="29" xfId="1" applyNumberFormat="1" applyFont="1" applyBorder="1" applyProtection="1">
      <protection hidden="1"/>
    </xf>
    <xf numFmtId="167" fontId="16" fillId="0" borderId="29" xfId="1" quotePrefix="1" applyNumberFormat="1" applyFont="1" applyBorder="1" applyAlignment="1" applyProtection="1">
      <alignment horizontal="left"/>
      <protection hidden="1"/>
    </xf>
    <xf numFmtId="1" fontId="32" fillId="0" borderId="0" xfId="1" applyNumberFormat="1" applyFont="1" applyProtection="1">
      <protection hidden="1"/>
    </xf>
    <xf numFmtId="0" fontId="22" fillId="0" borderId="0" xfId="1" applyFont="1" applyProtection="1">
      <protection hidden="1"/>
    </xf>
    <xf numFmtId="167" fontId="32" fillId="0" borderId="16" xfId="1" applyNumberFormat="1" applyFont="1" applyBorder="1" applyProtection="1">
      <protection hidden="1"/>
    </xf>
    <xf numFmtId="167" fontId="37" fillId="0" borderId="0" xfId="1" quotePrefix="1" applyNumberFormat="1" applyFont="1" applyAlignment="1" applyProtection="1">
      <alignment horizontal="right"/>
      <protection hidden="1"/>
    </xf>
    <xf numFmtId="167" fontId="11" fillId="0" borderId="0" xfId="1" applyNumberFormat="1" applyFont="1" applyProtection="1">
      <protection hidden="1"/>
    </xf>
    <xf numFmtId="167" fontId="34" fillId="0" borderId="30" xfId="1" quotePrefix="1" applyNumberFormat="1" applyFont="1" applyBorder="1" applyAlignment="1" applyProtection="1">
      <alignment horizontal="center"/>
      <protection hidden="1"/>
    </xf>
    <xf numFmtId="167" fontId="70" fillId="0" borderId="0" xfId="1" applyNumberFormat="1" applyFont="1" applyAlignment="1" applyProtection="1">
      <alignment horizontal="left"/>
      <protection hidden="1"/>
    </xf>
    <xf numFmtId="167" fontId="70" fillId="0" borderId="0" xfId="1" quotePrefix="1" applyNumberFormat="1" applyFont="1" applyAlignment="1" applyProtection="1">
      <alignment horizontal="left"/>
      <protection hidden="1"/>
    </xf>
    <xf numFmtId="1" fontId="74" fillId="0" borderId="0" xfId="1" applyNumberFormat="1" applyFont="1"/>
    <xf numFmtId="167" fontId="32" fillId="0" borderId="18" xfId="1" applyNumberFormat="1" applyFont="1" applyBorder="1" applyProtection="1">
      <protection hidden="1"/>
    </xf>
    <xf numFmtId="0" fontId="20" fillId="0" borderId="0" xfId="1" applyFont="1" applyAlignment="1">
      <alignment horizontal="left"/>
    </xf>
    <xf numFmtId="167" fontId="34" fillId="10" borderId="30" xfId="1" applyNumberFormat="1" applyFont="1" applyFill="1" applyBorder="1" applyAlignment="1" applyProtection="1">
      <alignment horizontal="center"/>
      <protection hidden="1"/>
    </xf>
    <xf numFmtId="166" fontId="22" fillId="0" borderId="0" xfId="1" quotePrefix="1" applyNumberFormat="1" applyFont="1" applyAlignment="1" applyProtection="1">
      <alignment horizontal="right"/>
      <protection hidden="1"/>
    </xf>
    <xf numFmtId="0" fontId="22" fillId="0" borderId="0" xfId="1" applyFont="1" applyAlignment="1" applyProtection="1">
      <alignment horizontal="right"/>
      <protection hidden="1"/>
    </xf>
    <xf numFmtId="0" fontId="22" fillId="0" borderId="0" xfId="1" applyFont="1" applyAlignment="1">
      <alignment horizontal="right"/>
    </xf>
    <xf numFmtId="0" fontId="83" fillId="0" borderId="0" xfId="1" applyFont="1" applyProtection="1">
      <protection hidden="1"/>
    </xf>
    <xf numFmtId="0" fontId="0" fillId="11" borderId="0" xfId="0" applyFill="1"/>
    <xf numFmtId="0" fontId="82" fillId="11" borderId="0" xfId="0" applyFont="1" applyFill="1"/>
    <xf numFmtId="0" fontId="78" fillId="0" borderId="0" xfId="1" applyFont="1" applyProtection="1">
      <protection hidden="1"/>
    </xf>
    <xf numFmtId="1" fontId="22" fillId="0" borderId="0" xfId="1" applyNumberFormat="1" applyFont="1" applyProtection="1">
      <protection hidden="1"/>
    </xf>
    <xf numFmtId="1" fontId="22" fillId="0" borderId="0" xfId="1" quotePrefix="1" applyNumberFormat="1" applyFont="1" applyProtection="1">
      <protection hidden="1"/>
    </xf>
    <xf numFmtId="167" fontId="22" fillId="0" borderId="0" xfId="1" applyNumberFormat="1" applyFont="1" applyProtection="1">
      <protection hidden="1"/>
    </xf>
    <xf numFmtId="0" fontId="22" fillId="0" borderId="0" xfId="1" applyFont="1" applyAlignment="1" applyProtection="1">
      <alignment horizontal="left"/>
      <protection hidden="1"/>
    </xf>
    <xf numFmtId="167" fontId="20" fillId="0" borderId="0" xfId="1" quotePrefix="1" applyNumberFormat="1" applyFont="1" applyAlignment="1" applyProtection="1">
      <alignment horizontal="left"/>
      <protection hidden="1"/>
    </xf>
    <xf numFmtId="167" fontId="25" fillId="0" borderId="0" xfId="1" quotePrefix="1" applyNumberFormat="1" applyFont="1" applyAlignment="1" applyProtection="1">
      <alignment horizontal="left"/>
      <protection hidden="1"/>
    </xf>
    <xf numFmtId="167" fontId="20" fillId="2" borderId="0" xfId="1" quotePrefix="1" applyNumberFormat="1" applyFont="1" applyFill="1" applyAlignment="1" applyProtection="1">
      <alignment horizontal="left"/>
      <protection hidden="1"/>
    </xf>
    <xf numFmtId="167" fontId="39" fillId="2" borderId="0" xfId="1" quotePrefix="1" applyNumberFormat="1" applyFont="1" applyFill="1" applyAlignment="1" applyProtection="1">
      <alignment horizontal="left"/>
      <protection hidden="1"/>
    </xf>
    <xf numFmtId="0" fontId="0" fillId="0" borderId="0" xfId="0" applyProtection="1">
      <protection hidden="1"/>
    </xf>
    <xf numFmtId="167" fontId="65" fillId="0" borderId="0" xfId="1" quotePrefix="1" applyNumberFormat="1" applyFont="1" applyAlignment="1" applyProtection="1">
      <alignment horizontal="left"/>
      <protection hidden="1"/>
    </xf>
    <xf numFmtId="167" fontId="14" fillId="0" borderId="0" xfId="1" applyNumberFormat="1" applyFont="1" applyProtection="1">
      <protection hidden="1"/>
    </xf>
    <xf numFmtId="0" fontId="20" fillId="0" borderId="0" xfId="1" quotePrefix="1" applyFont="1" applyAlignment="1" applyProtection="1">
      <alignment horizontal="left" vertical="center"/>
      <protection hidden="1"/>
    </xf>
    <xf numFmtId="0" fontId="65" fillId="0" borderId="0" xfId="1" quotePrefix="1" applyFont="1" applyAlignment="1" applyProtection="1">
      <alignment horizontal="left" vertical="center"/>
      <protection hidden="1"/>
    </xf>
    <xf numFmtId="167" fontId="22" fillId="0" borderId="0" xfId="1" quotePrefix="1" applyNumberFormat="1" applyFont="1" applyAlignment="1" applyProtection="1">
      <alignment horizontal="left"/>
      <protection hidden="1"/>
    </xf>
    <xf numFmtId="0" fontId="22" fillId="2" borderId="0" xfId="1" applyFont="1" applyFill="1" applyAlignment="1" applyProtection="1">
      <alignment horizontal="left"/>
      <protection hidden="1"/>
    </xf>
    <xf numFmtId="0" fontId="36" fillId="2" borderId="0" xfId="1" applyFont="1" applyFill="1" applyProtection="1">
      <protection hidden="1"/>
    </xf>
    <xf numFmtId="167" fontId="25" fillId="0" borderId="0" xfId="1" quotePrefix="1" applyNumberFormat="1" applyFont="1" applyAlignment="1" applyProtection="1">
      <alignment horizontal="left" vertical="center"/>
      <protection hidden="1"/>
    </xf>
    <xf numFmtId="0" fontId="20" fillId="0" borderId="0" xfId="1" applyFont="1" applyAlignment="1" applyProtection="1">
      <alignment horizontal="left"/>
      <protection hidden="1"/>
    </xf>
    <xf numFmtId="0" fontId="20" fillId="0" borderId="0" xfId="1" quotePrefix="1" applyFont="1" applyAlignment="1" applyProtection="1">
      <alignment horizontal="left"/>
      <protection hidden="1"/>
    </xf>
    <xf numFmtId="0" fontId="68" fillId="0" borderId="0" xfId="1" quotePrefix="1" applyFont="1" applyAlignment="1" applyProtection="1">
      <alignment horizontal="left"/>
      <protection hidden="1"/>
    </xf>
    <xf numFmtId="167" fontId="20" fillId="0" borderId="0" xfId="1" applyNumberFormat="1" applyFont="1" applyAlignment="1" applyProtection="1">
      <alignment horizontal="left"/>
      <protection hidden="1"/>
    </xf>
    <xf numFmtId="0" fontId="78" fillId="0" borderId="0" xfId="0" applyFont="1"/>
    <xf numFmtId="0" fontId="88" fillId="0" borderId="0" xfId="0" applyFont="1"/>
    <xf numFmtId="0" fontId="10" fillId="0" borderId="0" xfId="1" applyFont="1" applyProtection="1">
      <protection hidden="1"/>
    </xf>
    <xf numFmtId="0" fontId="81" fillId="0" borderId="0" xfId="1" applyFont="1" applyProtection="1">
      <protection hidden="1"/>
    </xf>
    <xf numFmtId="0" fontId="19" fillId="0" borderId="0" xfId="1" applyFont="1" applyProtection="1">
      <protection hidden="1"/>
    </xf>
    <xf numFmtId="0" fontId="44" fillId="0" borderId="0" xfId="1" applyFont="1" applyAlignment="1" applyProtection="1">
      <alignment horizontal="center" vertical="center"/>
      <protection hidden="1"/>
    </xf>
    <xf numFmtId="167" fontId="96" fillId="0" borderId="0" xfId="1" applyNumberFormat="1" applyFont="1" applyProtection="1">
      <protection hidden="1"/>
    </xf>
    <xf numFmtId="0" fontId="0" fillId="0" borderId="0" xfId="0" applyAlignment="1">
      <alignment vertical="center"/>
    </xf>
    <xf numFmtId="0" fontId="88" fillId="0" borderId="0" xfId="0" applyFont="1" applyAlignment="1">
      <alignment vertical="center"/>
    </xf>
    <xf numFmtId="0" fontId="78" fillId="0" borderId="0" xfId="0" applyFont="1" applyAlignment="1">
      <alignment vertical="center"/>
    </xf>
    <xf numFmtId="0" fontId="0" fillId="2" borderId="0" xfId="1" applyFont="1" applyFill="1" applyAlignment="1">
      <alignment vertical="center"/>
    </xf>
    <xf numFmtId="0" fontId="100" fillId="14" borderId="0" xfId="1" applyFont="1" applyFill="1"/>
    <xf numFmtId="0" fontId="103" fillId="2" borderId="0" xfId="1" applyFont="1" applyFill="1" applyAlignment="1" applyProtection="1">
      <alignment horizontal="left"/>
      <protection hidden="1"/>
    </xf>
    <xf numFmtId="0" fontId="103" fillId="0" borderId="0" xfId="1" applyFont="1" applyProtection="1">
      <protection hidden="1"/>
    </xf>
    <xf numFmtId="0" fontId="104" fillId="2" borderId="0" xfId="1" applyFont="1" applyFill="1" applyAlignment="1" applyProtection="1">
      <alignment horizontal="left"/>
      <protection hidden="1"/>
    </xf>
    <xf numFmtId="0" fontId="104" fillId="0" borderId="0" xfId="1" applyFont="1" applyAlignment="1" applyProtection="1">
      <alignment horizontal="left"/>
      <protection hidden="1"/>
    </xf>
    <xf numFmtId="167" fontId="111" fillId="2" borderId="0" xfId="1" quotePrefix="1" applyNumberFormat="1" applyFont="1" applyFill="1" applyAlignment="1">
      <alignment horizontal="right"/>
    </xf>
    <xf numFmtId="0" fontId="113" fillId="14" borderId="0" xfId="1" applyFont="1" applyFill="1" applyAlignment="1" applyProtection="1">
      <alignment horizontal="center" vertical="center"/>
      <protection hidden="1"/>
    </xf>
    <xf numFmtId="167" fontId="113" fillId="14" borderId="0" xfId="1" applyNumberFormat="1" applyFont="1" applyFill="1" applyProtection="1">
      <protection hidden="1"/>
    </xf>
    <xf numFmtId="1" fontId="91" fillId="14" borderId="0" xfId="1" applyNumberFormat="1" applyFont="1" applyFill="1" applyAlignment="1" applyProtection="1">
      <alignment horizontal="left"/>
      <protection hidden="1"/>
    </xf>
    <xf numFmtId="167" fontId="30" fillId="0" borderId="0" xfId="1" applyNumberFormat="1" applyFont="1" applyAlignment="1" applyProtection="1">
      <alignment horizontal="right" vertical="center" wrapText="1"/>
      <protection hidden="1"/>
    </xf>
    <xf numFmtId="0" fontId="0" fillId="0" borderId="0" xfId="0" applyAlignment="1">
      <alignment horizontal="left"/>
    </xf>
    <xf numFmtId="0" fontId="0" fillId="0" borderId="0" xfId="0" applyAlignment="1">
      <alignment horizontal="left" vertical="center"/>
    </xf>
    <xf numFmtId="0" fontId="44" fillId="0" borderId="0" xfId="1" applyFont="1" applyAlignment="1" applyProtection="1">
      <alignment horizontal="left"/>
      <protection hidden="1"/>
    </xf>
    <xf numFmtId="167" fontId="44" fillId="0" borderId="0" xfId="1" applyNumberFormat="1" applyFont="1" applyAlignment="1" applyProtection="1">
      <alignment horizontal="left"/>
      <protection hidden="1"/>
    </xf>
    <xf numFmtId="167" fontId="42" fillId="0" borderId="0" xfId="1" applyNumberFormat="1" applyFont="1" applyAlignment="1" applyProtection="1">
      <alignment horizontal="left"/>
      <protection hidden="1"/>
    </xf>
    <xf numFmtId="167" fontId="61" fillId="0" borderId="0" xfId="1" applyNumberFormat="1" applyFont="1" applyAlignment="1" applyProtection="1">
      <alignment horizontal="left"/>
      <protection hidden="1"/>
    </xf>
    <xf numFmtId="0" fontId="44" fillId="0" borderId="0" xfId="1" applyFont="1" applyAlignment="1" applyProtection="1">
      <alignment horizontal="left" vertical="center"/>
      <protection hidden="1"/>
    </xf>
    <xf numFmtId="0" fontId="0" fillId="0" borderId="0" xfId="1" applyFont="1" applyAlignment="1">
      <alignment horizontal="left"/>
    </xf>
    <xf numFmtId="0" fontId="25" fillId="0" borderId="0" xfId="1" applyFont="1" applyAlignment="1">
      <alignment horizontal="left"/>
    </xf>
    <xf numFmtId="0" fontId="36" fillId="0" borderId="0" xfId="1" applyFont="1" applyAlignment="1">
      <alignment horizontal="left"/>
    </xf>
    <xf numFmtId="0" fontId="73" fillId="0" borderId="0" xfId="1" applyFont="1" applyAlignment="1">
      <alignment horizontal="left"/>
    </xf>
    <xf numFmtId="0" fontId="77" fillId="0" borderId="0" xfId="1" applyFont="1" applyAlignment="1" applyProtection="1">
      <alignment horizontal="left"/>
      <protection hidden="1"/>
    </xf>
    <xf numFmtId="167" fontId="113" fillId="14" borderId="0" xfId="1" applyNumberFormat="1" applyFont="1" applyFill="1" applyAlignment="1" applyProtection="1">
      <alignment horizontal="center" vertical="center"/>
      <protection hidden="1"/>
    </xf>
    <xf numFmtId="0" fontId="113" fillId="14" borderId="0" xfId="1" applyFont="1" applyFill="1" applyAlignment="1" applyProtection="1">
      <alignment horizontal="left" vertical="center"/>
      <protection hidden="1"/>
    </xf>
    <xf numFmtId="167" fontId="117" fillId="0" borderId="0" xfId="1" quotePrefix="1" applyNumberFormat="1" applyFont="1" applyAlignment="1" applyProtection="1">
      <alignment horizontal="left"/>
      <protection locked="0"/>
    </xf>
    <xf numFmtId="167" fontId="24" fillId="0" borderId="0" xfId="1" quotePrefix="1" applyNumberFormat="1" applyFont="1"/>
    <xf numFmtId="167" fontId="24" fillId="0" borderId="0" xfId="1" quotePrefix="1" applyNumberFormat="1" applyFont="1" applyAlignment="1">
      <alignment vertical="center"/>
    </xf>
    <xf numFmtId="0" fontId="25" fillId="0" borderId="0" xfId="1" quotePrefix="1" applyFont="1" applyAlignment="1" applyProtection="1">
      <alignment horizontal="left"/>
      <protection locked="0"/>
    </xf>
    <xf numFmtId="0" fontId="84" fillId="0" borderId="0" xfId="0" applyFont="1" applyProtection="1">
      <protection hidden="1"/>
    </xf>
    <xf numFmtId="0" fontId="28" fillId="0" borderId="0" xfId="1" applyFont="1" applyAlignment="1" applyProtection="1">
      <alignment horizontal="right"/>
      <protection hidden="1"/>
    </xf>
    <xf numFmtId="0" fontId="0" fillId="0" borderId="0" xfId="1" applyFont="1" applyAlignment="1" applyProtection="1">
      <alignment horizontal="center"/>
      <protection hidden="1"/>
    </xf>
    <xf numFmtId="0" fontId="106" fillId="0" borderId="0" xfId="1" quotePrefix="1" applyFont="1" applyAlignment="1" applyProtection="1">
      <alignment horizontal="left" vertical="center"/>
      <protection hidden="1"/>
    </xf>
    <xf numFmtId="167" fontId="25" fillId="0" borderId="0" xfId="1" quotePrefix="1" applyNumberFormat="1" applyFont="1" applyAlignment="1" applyProtection="1">
      <alignment horizontal="left" vertical="top"/>
      <protection hidden="1"/>
    </xf>
    <xf numFmtId="0" fontId="38" fillId="0" borderId="0" xfId="1" quotePrefix="1" applyFont="1" applyAlignment="1" applyProtection="1">
      <alignment horizontal="center"/>
      <protection hidden="1"/>
    </xf>
    <xf numFmtId="167" fontId="34" fillId="0" borderId="0" xfId="1" quotePrefix="1" applyNumberFormat="1" applyFont="1" applyAlignment="1" applyProtection="1">
      <alignment horizontal="center"/>
      <protection hidden="1"/>
    </xf>
    <xf numFmtId="0" fontId="25" fillId="0" borderId="0" xfId="1" quotePrefix="1" applyFont="1" applyAlignment="1" applyProtection="1">
      <alignment horizontal="left"/>
      <protection hidden="1"/>
    </xf>
    <xf numFmtId="0" fontId="93" fillId="2" borderId="0" xfId="1" quotePrefix="1" applyFont="1" applyFill="1" applyAlignment="1" applyProtection="1">
      <alignment horizontal="right"/>
      <protection hidden="1"/>
    </xf>
    <xf numFmtId="0" fontId="0" fillId="0" borderId="0" xfId="1" applyFont="1" applyAlignment="1" applyProtection="1">
      <alignment horizontal="right"/>
      <protection hidden="1"/>
    </xf>
    <xf numFmtId="0" fontId="63" fillId="0" borderId="0" xfId="1" quotePrefix="1" applyFont="1" applyAlignment="1" applyProtection="1">
      <alignment horizontal="right"/>
      <protection hidden="1"/>
    </xf>
    <xf numFmtId="0" fontId="32" fillId="0" borderId="0" xfId="1" quotePrefix="1" applyFont="1" applyAlignment="1" applyProtection="1">
      <alignment horizontal="center"/>
      <protection hidden="1"/>
    </xf>
    <xf numFmtId="167" fontId="21" fillId="0" borderId="0" xfId="1" quotePrefix="1" applyNumberFormat="1" applyFont="1" applyAlignment="1" applyProtection="1">
      <alignment horizontal="left"/>
      <protection hidden="1"/>
    </xf>
    <xf numFmtId="0" fontId="110" fillId="0" borderId="0" xfId="1" applyFont="1" applyAlignment="1" applyProtection="1">
      <alignment horizontal="left"/>
      <protection locked="0" hidden="1"/>
    </xf>
    <xf numFmtId="0" fontId="12" fillId="0" borderId="0" xfId="1" applyFont="1" applyProtection="1">
      <protection hidden="1"/>
    </xf>
    <xf numFmtId="0" fontId="13" fillId="0" borderId="0" xfId="1" quotePrefix="1" applyFont="1" applyAlignment="1" applyProtection="1">
      <alignment horizontal="left"/>
      <protection hidden="1"/>
    </xf>
    <xf numFmtId="0" fontId="11" fillId="0" borderId="0" xfId="1" applyFont="1" applyProtection="1">
      <protection hidden="1"/>
    </xf>
    <xf numFmtId="14" fontId="0" fillId="2" borderId="0" xfId="1" applyNumberFormat="1" applyFont="1" applyFill="1" applyProtection="1">
      <protection hidden="1"/>
    </xf>
    <xf numFmtId="0" fontId="28" fillId="2" borderId="0" xfId="1" applyFont="1" applyFill="1" applyAlignment="1" applyProtection="1">
      <alignment horizontal="right"/>
      <protection hidden="1"/>
    </xf>
    <xf numFmtId="0" fontId="0" fillId="0" borderId="0" xfId="0" applyAlignment="1" applyProtection="1">
      <alignment vertical="center"/>
      <protection hidden="1"/>
    </xf>
    <xf numFmtId="167" fontId="24" fillId="0" borderId="0" xfId="1" quotePrefix="1" applyNumberFormat="1" applyFont="1" applyAlignment="1" applyProtection="1">
      <alignment horizontal="center" wrapText="1"/>
      <protection hidden="1"/>
    </xf>
    <xf numFmtId="0" fontId="0" fillId="0" borderId="0" xfId="1" applyFont="1" applyAlignment="1" applyProtection="1">
      <alignment horizontal="center" wrapText="1"/>
      <protection hidden="1"/>
    </xf>
    <xf numFmtId="0" fontId="101" fillId="2" borderId="0" xfId="1" applyFont="1" applyFill="1" applyAlignment="1" applyProtection="1">
      <alignment horizontal="left" vertical="center" indent="1"/>
      <protection hidden="1"/>
    </xf>
    <xf numFmtId="0" fontId="51" fillId="2" borderId="0" xfId="1" applyFont="1" applyFill="1" applyAlignment="1" applyProtection="1">
      <alignment horizontal="center"/>
      <protection hidden="1"/>
    </xf>
    <xf numFmtId="0" fontId="20" fillId="2" borderId="0" xfId="1" applyFont="1" applyFill="1" applyProtection="1">
      <protection hidden="1"/>
    </xf>
    <xf numFmtId="0" fontId="20" fillId="2" borderId="0" xfId="1" quotePrefix="1" applyFont="1" applyFill="1" applyAlignment="1" applyProtection="1">
      <alignment wrapText="1"/>
      <protection hidden="1"/>
    </xf>
    <xf numFmtId="0" fontId="20" fillId="2" borderId="0" xfId="1" applyFont="1" applyFill="1" applyAlignment="1" applyProtection="1">
      <alignment wrapText="1"/>
      <protection hidden="1"/>
    </xf>
    <xf numFmtId="0" fontId="92" fillId="0" borderId="0" xfId="1" quotePrefix="1" applyFont="1" applyAlignment="1" applyProtection="1">
      <alignment horizontal="left" vertical="center" indent="1"/>
      <protection hidden="1"/>
    </xf>
    <xf numFmtId="0" fontId="38" fillId="2" borderId="0" xfId="1" applyFont="1" applyFill="1" applyAlignment="1" applyProtection="1">
      <alignment horizontal="left"/>
      <protection hidden="1"/>
    </xf>
    <xf numFmtId="0" fontId="31" fillId="0" borderId="0" xfId="1" applyFont="1" applyProtection="1">
      <protection hidden="1"/>
    </xf>
    <xf numFmtId="0" fontId="31" fillId="0" borderId="0" xfId="1" quotePrefix="1" applyFont="1" applyAlignment="1" applyProtection="1">
      <alignment horizontal="center"/>
      <protection hidden="1"/>
    </xf>
    <xf numFmtId="0" fontId="22" fillId="0" borderId="0" xfId="1" quotePrefix="1" applyFont="1" applyAlignment="1" applyProtection="1">
      <alignment horizontal="left"/>
      <protection hidden="1"/>
    </xf>
    <xf numFmtId="167" fontId="25" fillId="0" borderId="0" xfId="1" applyNumberFormat="1" applyFont="1" applyAlignment="1" applyProtection="1">
      <alignment horizontal="left"/>
      <protection hidden="1"/>
    </xf>
    <xf numFmtId="0" fontId="112" fillId="0" borderId="0" xfId="1" applyFont="1" applyProtection="1">
      <protection hidden="1"/>
    </xf>
    <xf numFmtId="167" fontId="20" fillId="0" borderId="0" xfId="1" quotePrefix="1" applyNumberFormat="1" applyFont="1" applyAlignment="1" applyProtection="1">
      <alignment horizontal="right"/>
      <protection hidden="1"/>
    </xf>
    <xf numFmtId="167" fontId="37" fillId="0" borderId="0" xfId="1" applyNumberFormat="1" applyFont="1" applyAlignment="1" applyProtection="1">
      <alignment horizontal="right"/>
      <protection hidden="1"/>
    </xf>
    <xf numFmtId="167" fontId="55" fillId="0" borderId="0" xfId="1" applyNumberFormat="1" applyFont="1" applyAlignment="1" applyProtection="1">
      <alignment horizontal="right"/>
      <protection hidden="1"/>
    </xf>
    <xf numFmtId="167" fontId="55" fillId="0" borderId="0" xfId="1" quotePrefix="1" applyNumberFormat="1" applyFont="1" applyAlignment="1" applyProtection="1">
      <alignment horizontal="right"/>
      <protection hidden="1"/>
    </xf>
    <xf numFmtId="167" fontId="22" fillId="0" borderId="0" xfId="1" applyNumberFormat="1" applyFont="1" applyAlignment="1" applyProtection="1">
      <alignment horizontal="left"/>
      <protection hidden="1"/>
    </xf>
    <xf numFmtId="0" fontId="15" fillId="0" borderId="0" xfId="1" applyFont="1" applyAlignment="1" applyProtection="1">
      <alignment horizontal="left"/>
      <protection hidden="1"/>
    </xf>
    <xf numFmtId="0" fontId="20" fillId="0" borderId="7" xfId="1" applyFont="1" applyBorder="1" applyAlignment="1" applyProtection="1">
      <alignment horizontal="left"/>
      <protection hidden="1"/>
    </xf>
    <xf numFmtId="167" fontId="14" fillId="0" borderId="7" xfId="1" applyNumberFormat="1" applyFont="1" applyBorder="1" applyAlignment="1" applyProtection="1">
      <alignment horizontal="left"/>
      <protection hidden="1"/>
    </xf>
    <xf numFmtId="0" fontId="0" fillId="0" borderId="7" xfId="0" applyBorder="1" applyProtection="1">
      <protection hidden="1"/>
    </xf>
    <xf numFmtId="0" fontId="77" fillId="14" borderId="7" xfId="1" applyFont="1" applyFill="1" applyBorder="1" applyProtection="1">
      <protection hidden="1"/>
    </xf>
    <xf numFmtId="167" fontId="84" fillId="14" borderId="0" xfId="1" applyNumberFormat="1" applyFont="1" applyFill="1" applyProtection="1">
      <protection hidden="1"/>
    </xf>
    <xf numFmtId="167" fontId="14" fillId="0" borderId="0" xfId="1" applyNumberFormat="1" applyFont="1" applyAlignment="1" applyProtection="1">
      <alignment horizontal="left"/>
      <protection hidden="1"/>
    </xf>
    <xf numFmtId="0" fontId="77" fillId="14" borderId="0" xfId="1" applyFont="1" applyFill="1" applyProtection="1">
      <protection hidden="1"/>
    </xf>
    <xf numFmtId="167" fontId="14" fillId="0" borderId="0" xfId="1" applyNumberFormat="1" applyFont="1" applyAlignment="1" applyProtection="1">
      <alignment horizontal="center"/>
      <protection hidden="1"/>
    </xf>
    <xf numFmtId="0" fontId="84" fillId="14" borderId="0" xfId="0" applyFont="1" applyFill="1" applyProtection="1">
      <protection hidden="1"/>
    </xf>
    <xf numFmtId="167" fontId="77" fillId="14" borderId="0" xfId="1" applyNumberFormat="1" applyFont="1" applyFill="1" applyProtection="1">
      <protection hidden="1"/>
    </xf>
    <xf numFmtId="0" fontId="115" fillId="0" borderId="0" xfId="1" quotePrefix="1" applyFont="1" applyAlignment="1" applyProtection="1">
      <alignment horizontal="left"/>
      <protection hidden="1"/>
    </xf>
    <xf numFmtId="0" fontId="37" fillId="0" borderId="0" xfId="1" applyFont="1" applyProtection="1">
      <protection hidden="1"/>
    </xf>
    <xf numFmtId="167" fontId="37" fillId="0" borderId="0" xfId="1" quotePrefix="1" applyNumberFormat="1" applyFont="1" applyAlignment="1" applyProtection="1">
      <alignment horizontal="left"/>
      <protection hidden="1"/>
    </xf>
    <xf numFmtId="167" fontId="72" fillId="0" borderId="0" xfId="1" applyNumberFormat="1" applyFont="1" applyAlignment="1" applyProtection="1">
      <alignment horizontal="left"/>
      <protection hidden="1"/>
    </xf>
    <xf numFmtId="167" fontId="72" fillId="0" borderId="0" xfId="1" quotePrefix="1" applyNumberFormat="1" applyFont="1" applyAlignment="1" applyProtection="1">
      <alignment horizontal="left"/>
      <protection hidden="1"/>
    </xf>
    <xf numFmtId="167" fontId="72" fillId="0" borderId="0" xfId="1" applyNumberFormat="1" applyFont="1" applyProtection="1">
      <protection hidden="1"/>
    </xf>
    <xf numFmtId="167" fontId="37" fillId="0" borderId="0" xfId="1" quotePrefix="1" applyNumberFormat="1" applyFont="1" applyAlignment="1" applyProtection="1">
      <alignment horizontal="left" vertical="center"/>
      <protection hidden="1"/>
    </xf>
    <xf numFmtId="0" fontId="36" fillId="0" borderId="0" xfId="1" applyFont="1" applyProtection="1">
      <protection hidden="1"/>
    </xf>
    <xf numFmtId="167" fontId="64" fillId="0" borderId="0" xfId="1" quotePrefix="1" applyNumberFormat="1" applyFont="1" applyAlignment="1" applyProtection="1">
      <alignment horizontal="left"/>
      <protection hidden="1"/>
    </xf>
    <xf numFmtId="167" fontId="63" fillId="0" borderId="0" xfId="1" quotePrefix="1" applyNumberFormat="1" applyFont="1" applyAlignment="1" applyProtection="1">
      <alignment horizontal="left"/>
      <protection hidden="1"/>
    </xf>
    <xf numFmtId="167" fontId="39" fillId="0" borderId="0" xfId="1" quotePrefix="1" applyNumberFormat="1" applyFont="1" applyAlignment="1" applyProtection="1">
      <alignment horizontal="left"/>
      <protection hidden="1"/>
    </xf>
    <xf numFmtId="0" fontId="72" fillId="0" borderId="0" xfId="1" applyFont="1" applyAlignment="1" applyProtection="1">
      <alignment horizontal="left"/>
      <protection hidden="1"/>
    </xf>
    <xf numFmtId="0" fontId="114" fillId="0" borderId="0" xfId="1" applyFont="1" applyProtection="1">
      <protection hidden="1"/>
    </xf>
    <xf numFmtId="0" fontId="113" fillId="14" borderId="0" xfId="1" applyFont="1" applyFill="1" applyProtection="1">
      <protection hidden="1"/>
    </xf>
    <xf numFmtId="0" fontId="72" fillId="0" borderId="0" xfId="1" applyFont="1" applyProtection="1">
      <protection hidden="1"/>
    </xf>
    <xf numFmtId="0" fontId="33" fillId="0" borderId="0" xfId="1" applyFont="1" applyProtection="1">
      <protection hidden="1"/>
    </xf>
    <xf numFmtId="0" fontId="20" fillId="0" borderId="0" xfId="1" applyFont="1" applyAlignment="1" applyProtection="1">
      <alignment horizontal="left" wrapText="1"/>
      <protection hidden="1"/>
    </xf>
    <xf numFmtId="0" fontId="116" fillId="0" borderId="0" xfId="1" applyFont="1" applyAlignment="1" applyProtection="1">
      <alignment horizontal="left" vertical="top"/>
      <protection hidden="1"/>
    </xf>
    <xf numFmtId="0" fontId="29" fillId="0" borderId="0" xfId="1" applyFont="1" applyProtection="1">
      <protection hidden="1"/>
    </xf>
    <xf numFmtId="0" fontId="94" fillId="13" borderId="1" xfId="1" applyFont="1" applyFill="1" applyBorder="1" applyAlignment="1" applyProtection="1">
      <alignment horizontal="center" vertical="center"/>
      <protection locked="0"/>
    </xf>
    <xf numFmtId="0" fontId="0" fillId="2" borderId="0" xfId="1" applyFont="1" applyFill="1" applyAlignment="1" applyProtection="1">
      <alignment vertical="center"/>
      <protection hidden="1"/>
    </xf>
    <xf numFmtId="0" fontId="0" fillId="2" borderId="0" xfId="1" applyFont="1" applyFill="1" applyAlignment="1" applyProtection="1">
      <alignment horizontal="center"/>
      <protection hidden="1"/>
    </xf>
    <xf numFmtId="167" fontId="22" fillId="2" borderId="0" xfId="4" applyFont="1" applyFill="1" applyAlignment="1" applyProtection="1">
      <alignment horizontal="right"/>
      <protection hidden="1"/>
    </xf>
    <xf numFmtId="0" fontId="10" fillId="0" borderId="0" xfId="0" quotePrefix="1" applyFont="1" applyProtection="1">
      <protection hidden="1"/>
    </xf>
    <xf numFmtId="167" fontId="36" fillId="2" borderId="0" xfId="1" quotePrefix="1" applyNumberFormat="1" applyFont="1" applyFill="1" applyAlignment="1" applyProtection="1">
      <alignment horizontal="right"/>
      <protection hidden="1"/>
    </xf>
    <xf numFmtId="167" fontId="38" fillId="2" borderId="0" xfId="1" applyNumberFormat="1" applyFont="1" applyFill="1" applyAlignment="1" applyProtection="1">
      <alignment horizontal="center"/>
      <protection hidden="1"/>
    </xf>
    <xf numFmtId="167" fontId="36" fillId="2" borderId="0" xfId="1" quotePrefix="1" applyNumberFormat="1" applyFont="1" applyFill="1" applyAlignment="1" applyProtection="1">
      <alignment horizontal="center"/>
      <protection hidden="1"/>
    </xf>
    <xf numFmtId="1" fontId="22" fillId="0" borderId="0" xfId="3" applyNumberFormat="1" applyFont="1" applyAlignment="1" applyProtection="1">
      <alignment horizontal="left" wrapText="1"/>
      <protection hidden="1"/>
    </xf>
    <xf numFmtId="0" fontId="57" fillId="0" borderId="0" xfId="0" quotePrefix="1" applyFont="1" applyProtection="1">
      <protection hidden="1"/>
    </xf>
    <xf numFmtId="0" fontId="99" fillId="14" borderId="0" xfId="1" applyFont="1" applyFill="1" applyAlignment="1" applyProtection="1">
      <alignment horizontal="center" vertical="center"/>
      <protection hidden="1"/>
    </xf>
    <xf numFmtId="0" fontId="0" fillId="14" borderId="0" xfId="1" applyFont="1" applyFill="1" applyProtection="1">
      <protection hidden="1"/>
    </xf>
    <xf numFmtId="1" fontId="22" fillId="0" borderId="0" xfId="3" applyNumberFormat="1" applyFont="1" applyAlignment="1" applyProtection="1">
      <alignment horizontal="left"/>
      <protection hidden="1"/>
    </xf>
    <xf numFmtId="1" fontId="25" fillId="0" borderId="0" xfId="3" applyNumberFormat="1" applyFont="1" applyAlignment="1" applyProtection="1">
      <alignment horizontal="left" wrapText="1"/>
      <protection hidden="1"/>
    </xf>
    <xf numFmtId="0" fontId="25" fillId="0" borderId="0" xfId="0" quotePrefix="1" applyFont="1" applyProtection="1">
      <protection hidden="1"/>
    </xf>
    <xf numFmtId="0" fontId="51" fillId="0" borderId="0" xfId="1" applyFont="1" applyAlignment="1" applyProtection="1">
      <alignment horizontal="center"/>
      <protection hidden="1"/>
    </xf>
    <xf numFmtId="0" fontId="31" fillId="0" borderId="0" xfId="1" applyFont="1" applyAlignment="1" applyProtection="1">
      <alignment horizontal="center"/>
      <protection hidden="1"/>
    </xf>
    <xf numFmtId="0" fontId="32" fillId="0" borderId="0" xfId="1" quotePrefix="1" applyFont="1" applyAlignment="1" applyProtection="1">
      <alignment horizontal="left"/>
      <protection hidden="1"/>
    </xf>
    <xf numFmtId="0" fontId="49" fillId="0" borderId="0" xfId="1" applyFont="1" applyAlignment="1" applyProtection="1">
      <alignment horizontal="center"/>
      <protection hidden="1"/>
    </xf>
    <xf numFmtId="0" fontId="107" fillId="14" borderId="0" xfId="1" applyFont="1" applyFill="1" applyAlignment="1" applyProtection="1">
      <alignment horizontal="left" vertical="center" indent="1"/>
      <protection hidden="1"/>
    </xf>
    <xf numFmtId="0" fontId="14" fillId="2" borderId="0" xfId="1" applyFont="1" applyFill="1" applyProtection="1">
      <protection hidden="1"/>
    </xf>
    <xf numFmtId="0" fontId="10" fillId="2" borderId="0" xfId="1" applyFont="1" applyFill="1" applyProtection="1">
      <protection hidden="1"/>
    </xf>
    <xf numFmtId="0" fontId="14" fillId="2" borderId="0" xfId="1" applyFont="1" applyFill="1" applyAlignment="1" applyProtection="1">
      <alignment horizontal="center"/>
      <protection hidden="1"/>
    </xf>
    <xf numFmtId="0" fontId="89" fillId="0" borderId="0" xfId="1" applyFont="1" applyAlignment="1" applyProtection="1">
      <alignment horizontal="center"/>
      <protection hidden="1"/>
    </xf>
    <xf numFmtId="0" fontId="29" fillId="0" borderId="0" xfId="1" applyFont="1" applyAlignment="1" applyProtection="1">
      <alignment horizontal="left"/>
      <protection hidden="1"/>
    </xf>
    <xf numFmtId="0" fontId="34" fillId="0" borderId="0" xfId="1" applyFont="1" applyProtection="1">
      <protection hidden="1"/>
    </xf>
    <xf numFmtId="0" fontId="31" fillId="2" borderId="0" xfId="1" applyFont="1" applyFill="1" applyProtection="1">
      <protection hidden="1"/>
    </xf>
    <xf numFmtId="0" fontId="19" fillId="4" borderId="0" xfId="1" applyFont="1" applyFill="1" applyProtection="1">
      <protection hidden="1"/>
    </xf>
    <xf numFmtId="0" fontId="10" fillId="3" borderId="0" xfId="1" applyFont="1" applyFill="1" applyProtection="1">
      <protection hidden="1"/>
    </xf>
    <xf numFmtId="0" fontId="14" fillId="0" borderId="0" xfId="1" applyFont="1" applyAlignment="1" applyProtection="1">
      <alignment horizontal="center"/>
      <protection hidden="1"/>
    </xf>
    <xf numFmtId="0" fontId="19" fillId="2" borderId="0" xfId="1" applyFont="1" applyFill="1" applyProtection="1">
      <protection hidden="1"/>
    </xf>
    <xf numFmtId="0" fontId="66" fillId="0" borderId="0" xfId="1" applyFont="1" applyAlignment="1" applyProtection="1">
      <alignment horizontal="center"/>
      <protection hidden="1"/>
    </xf>
    <xf numFmtId="0" fontId="29" fillId="0" borderId="0" xfId="1" applyFont="1" applyAlignment="1" applyProtection="1">
      <alignment horizontal="center"/>
      <protection hidden="1"/>
    </xf>
    <xf numFmtId="0" fontId="26" fillId="0" borderId="0" xfId="1" quotePrefix="1" applyFont="1" applyAlignment="1" applyProtection="1">
      <alignment horizontal="left"/>
      <protection hidden="1"/>
    </xf>
    <xf numFmtId="0" fontId="65" fillId="2" borderId="0" xfId="1" quotePrefix="1" applyFont="1" applyFill="1" applyAlignment="1" applyProtection="1">
      <alignment horizontal="left" vertical="center"/>
      <protection hidden="1"/>
    </xf>
    <xf numFmtId="0" fontId="10" fillId="5" borderId="0" xfId="1" applyFont="1" applyFill="1" applyProtection="1">
      <protection hidden="1"/>
    </xf>
    <xf numFmtId="167" fontId="67" fillId="0" borderId="0" xfId="1" quotePrefix="1" applyNumberFormat="1" applyFont="1" applyAlignment="1" applyProtection="1">
      <alignment horizontal="left"/>
      <protection hidden="1"/>
    </xf>
    <xf numFmtId="0" fontId="18" fillId="0" borderId="0" xfId="1" applyFont="1" applyAlignment="1" applyProtection="1">
      <alignment horizontal="left"/>
      <protection hidden="1"/>
    </xf>
    <xf numFmtId="0" fontId="18" fillId="0" borderId="0" xfId="1" quotePrefix="1" applyFont="1" applyAlignment="1" applyProtection="1">
      <alignment horizontal="right"/>
      <protection hidden="1"/>
    </xf>
    <xf numFmtId="0" fontId="15" fillId="0" borderId="0" xfId="1" quotePrefix="1" applyFont="1" applyAlignment="1" applyProtection="1">
      <alignment horizontal="left"/>
      <protection hidden="1"/>
    </xf>
    <xf numFmtId="0" fontId="20" fillId="0" borderId="0" xfId="1" applyFont="1" applyAlignment="1" applyProtection="1">
      <alignment horizontal="left" vertical="center"/>
      <protection hidden="1"/>
    </xf>
    <xf numFmtId="0" fontId="20" fillId="0" borderId="0" xfId="1" applyFont="1" applyAlignment="1" applyProtection="1">
      <alignment vertical="center"/>
      <protection hidden="1"/>
    </xf>
    <xf numFmtId="0" fontId="20" fillId="7" borderId="0" xfId="1" applyFont="1" applyFill="1" applyAlignment="1" applyProtection="1">
      <alignment horizontal="left" vertical="center"/>
      <protection hidden="1"/>
    </xf>
    <xf numFmtId="0" fontId="66" fillId="2" borderId="0" xfId="1" applyFont="1" applyFill="1" applyAlignment="1" applyProtection="1">
      <alignment horizontal="center" vertical="center"/>
      <protection hidden="1"/>
    </xf>
    <xf numFmtId="0" fontId="66" fillId="0" borderId="0" xfId="1" applyFont="1" applyAlignment="1" applyProtection="1">
      <alignment horizontal="center" vertical="center"/>
      <protection hidden="1"/>
    </xf>
    <xf numFmtId="0" fontId="22" fillId="0" borderId="0" xfId="1" applyFont="1" applyAlignment="1" applyProtection="1">
      <alignment horizontal="left" vertical="center"/>
      <protection hidden="1"/>
    </xf>
    <xf numFmtId="1" fontId="20" fillId="0" borderId="0" xfId="1" applyNumberFormat="1" applyFont="1" applyAlignment="1" applyProtection="1">
      <alignment vertical="center"/>
      <protection hidden="1"/>
    </xf>
    <xf numFmtId="0" fontId="20" fillId="0" borderId="0" xfId="1" quotePrefix="1" applyFont="1" applyAlignment="1" applyProtection="1">
      <alignment horizontal="center" vertical="center"/>
      <protection hidden="1"/>
    </xf>
    <xf numFmtId="0" fontId="20" fillId="0" borderId="0" xfId="1" applyFont="1" applyAlignment="1" applyProtection="1">
      <alignment horizontal="left" vertical="center" wrapText="1"/>
      <protection hidden="1"/>
    </xf>
    <xf numFmtId="0" fontId="25" fillId="0" borderId="0" xfId="1" applyFont="1" applyAlignment="1" applyProtection="1">
      <alignment horizontal="left" vertical="center"/>
      <protection hidden="1"/>
    </xf>
    <xf numFmtId="0" fontId="20" fillId="0" borderId="0" xfId="1" applyFont="1" applyAlignment="1" applyProtection="1">
      <alignment horizontal="center" vertical="center"/>
      <protection hidden="1"/>
    </xf>
    <xf numFmtId="0" fontId="19" fillId="0" borderId="0" xfId="1" applyFont="1" applyAlignment="1" applyProtection="1">
      <alignment vertical="center"/>
      <protection hidden="1"/>
    </xf>
    <xf numFmtId="0" fontId="22" fillId="0" borderId="0" xfId="1" quotePrefix="1" applyFont="1" applyAlignment="1" applyProtection="1">
      <alignment horizontal="left" vertical="center"/>
      <protection hidden="1"/>
    </xf>
    <xf numFmtId="0" fontId="22" fillId="0" borderId="0" xfId="1" applyFont="1" applyAlignment="1" applyProtection="1">
      <alignment vertical="center"/>
      <protection hidden="1"/>
    </xf>
    <xf numFmtId="0" fontId="64" fillId="2" borderId="0" xfId="1" quotePrefix="1" applyFont="1" applyFill="1" applyAlignment="1" applyProtection="1">
      <alignment horizontal="left" vertical="center"/>
      <protection hidden="1"/>
    </xf>
    <xf numFmtId="0" fontId="34" fillId="2" borderId="0" xfId="1" applyFont="1" applyFill="1" applyAlignment="1" applyProtection="1">
      <alignment horizontal="center" vertical="center"/>
      <protection hidden="1"/>
    </xf>
    <xf numFmtId="0" fontId="20" fillId="2" borderId="0" xfId="1" applyFont="1" applyFill="1" applyAlignment="1" applyProtection="1">
      <alignment vertical="center"/>
      <protection hidden="1"/>
    </xf>
    <xf numFmtId="0" fontId="34" fillId="0" borderId="0" xfId="1" applyFont="1" applyAlignment="1" applyProtection="1">
      <alignment horizontal="center" vertical="center"/>
      <protection hidden="1"/>
    </xf>
    <xf numFmtId="0" fontId="0" fillId="0" borderId="0" xfId="1" applyFont="1" applyAlignment="1" applyProtection="1">
      <alignment vertical="center"/>
      <protection hidden="1"/>
    </xf>
    <xf numFmtId="0" fontId="50" fillId="0" borderId="0" xfId="1" applyFont="1" applyAlignment="1" applyProtection="1">
      <alignment horizontal="center" vertical="center"/>
      <protection hidden="1"/>
    </xf>
    <xf numFmtId="0" fontId="19" fillId="4" borderId="0" xfId="1" applyFont="1" applyFill="1" applyAlignment="1" applyProtection="1">
      <alignment vertical="center"/>
      <protection hidden="1"/>
    </xf>
    <xf numFmtId="1" fontId="22" fillId="0" borderId="0" xfId="1" applyNumberFormat="1" applyFont="1" applyAlignment="1" applyProtection="1">
      <alignment vertical="center"/>
      <protection hidden="1"/>
    </xf>
    <xf numFmtId="0" fontId="20" fillId="0" borderId="0" xfId="0" quotePrefix="1" applyFont="1" applyProtection="1">
      <protection hidden="1"/>
    </xf>
    <xf numFmtId="167" fontId="20" fillId="0" borderId="0" xfId="1" quotePrefix="1" applyNumberFormat="1" applyFont="1" applyAlignment="1" applyProtection="1">
      <alignment horizontal="left" vertical="center"/>
      <protection hidden="1"/>
    </xf>
    <xf numFmtId="0" fontId="22" fillId="0" borderId="0" xfId="0" quotePrefix="1" applyFont="1" applyProtection="1">
      <protection hidden="1"/>
    </xf>
    <xf numFmtId="167" fontId="111" fillId="2" borderId="0" xfId="1" quotePrefix="1" applyNumberFormat="1" applyFont="1" applyFill="1" applyAlignment="1" applyProtection="1">
      <alignment horizontal="right"/>
      <protection hidden="1"/>
    </xf>
    <xf numFmtId="0" fontId="39" fillId="0" borderId="0" xfId="1" quotePrefix="1" applyFont="1" applyAlignment="1" applyProtection="1">
      <alignment horizontal="left"/>
      <protection hidden="1"/>
    </xf>
    <xf numFmtId="167" fontId="67" fillId="2" borderId="0" xfId="1" applyNumberFormat="1" applyFont="1" applyFill="1" applyAlignment="1" applyProtection="1">
      <alignment horizontal="left"/>
      <protection hidden="1"/>
    </xf>
    <xf numFmtId="167" fontId="14" fillId="2" borderId="0" xfId="1" applyNumberFormat="1" applyFont="1" applyFill="1" applyProtection="1">
      <protection hidden="1"/>
    </xf>
    <xf numFmtId="0" fontId="65" fillId="2" borderId="0" xfId="1" applyFont="1" applyFill="1" applyAlignment="1" applyProtection="1">
      <alignment horizontal="left" vertical="center"/>
      <protection hidden="1"/>
    </xf>
    <xf numFmtId="167" fontId="20" fillId="2" borderId="0" xfId="1" applyNumberFormat="1" applyFont="1" applyFill="1" applyProtection="1">
      <protection hidden="1"/>
    </xf>
    <xf numFmtId="167" fontId="20" fillId="0" borderId="16" xfId="1" applyNumberFormat="1" applyFont="1" applyBorder="1" applyProtection="1">
      <protection hidden="1"/>
    </xf>
    <xf numFmtId="0" fontId="10" fillId="0" borderId="0" xfId="0" applyFont="1" applyProtection="1">
      <protection hidden="1"/>
    </xf>
    <xf numFmtId="167" fontId="20" fillId="0" borderId="0" xfId="0" applyNumberFormat="1" applyFont="1" applyAlignment="1" applyProtection="1">
      <alignment horizontal="left"/>
      <protection hidden="1"/>
    </xf>
    <xf numFmtId="167" fontId="54" fillId="0" borderId="0" xfId="1" applyNumberFormat="1" applyFont="1" applyAlignment="1" applyProtection="1">
      <alignment horizontal="left"/>
      <protection hidden="1"/>
    </xf>
    <xf numFmtId="0" fontId="20" fillId="0" borderId="0" xfId="0" quotePrefix="1" applyFont="1" applyAlignment="1" applyProtection="1">
      <alignment horizontal="left" vertical="center"/>
      <protection hidden="1"/>
    </xf>
    <xf numFmtId="0" fontId="0" fillId="2" borderId="0" xfId="1" applyFont="1" applyFill="1" applyAlignment="1" applyProtection="1">
      <alignment horizontal="left"/>
      <protection hidden="1"/>
    </xf>
    <xf numFmtId="0" fontId="113" fillId="0" borderId="0" xfId="1" applyFont="1" applyAlignment="1" applyProtection="1">
      <alignment horizontal="center" vertical="center"/>
      <protection hidden="1"/>
    </xf>
    <xf numFmtId="0" fontId="0" fillId="0" borderId="18" xfId="1" applyFont="1" applyBorder="1" applyProtection="1">
      <protection hidden="1"/>
    </xf>
    <xf numFmtId="167" fontId="20" fillId="0" borderId="18" xfId="1" applyNumberFormat="1" applyFont="1" applyBorder="1" applyProtection="1">
      <protection hidden="1"/>
    </xf>
    <xf numFmtId="0" fontId="69" fillId="0" borderId="0" xfId="1" applyFont="1" applyProtection="1">
      <protection hidden="1"/>
    </xf>
    <xf numFmtId="167" fontId="92" fillId="0" borderId="0" xfId="1" applyNumberFormat="1" applyFont="1" applyAlignment="1" applyProtection="1">
      <alignment vertical="center"/>
      <protection hidden="1"/>
    </xf>
    <xf numFmtId="167" fontId="20" fillId="0" borderId="0" xfId="1" applyNumberFormat="1" applyFont="1" applyAlignment="1" applyProtection="1">
      <alignment vertical="center"/>
      <protection hidden="1"/>
    </xf>
    <xf numFmtId="0" fontId="20" fillId="0" borderId="0" xfId="1" applyFont="1" applyAlignment="1" applyProtection="1">
      <alignment vertical="center" wrapText="1"/>
      <protection hidden="1"/>
    </xf>
    <xf numFmtId="0" fontId="20" fillId="0" borderId="0" xfId="0" quotePrefix="1" applyFont="1" applyAlignment="1" applyProtection="1">
      <alignment vertical="center"/>
      <protection hidden="1"/>
    </xf>
    <xf numFmtId="0" fontId="22" fillId="0" borderId="0" xfId="1" applyFont="1" applyAlignment="1" applyProtection="1">
      <alignment vertical="center" wrapText="1"/>
      <protection hidden="1"/>
    </xf>
    <xf numFmtId="0" fontId="22" fillId="0" borderId="0" xfId="0" quotePrefix="1" applyFont="1" applyAlignment="1" applyProtection="1">
      <alignment vertical="center"/>
      <protection hidden="1"/>
    </xf>
    <xf numFmtId="0" fontId="10" fillId="0" borderId="0" xfId="0" quotePrefix="1" applyFont="1" applyAlignment="1" applyProtection="1">
      <alignment vertical="center"/>
      <protection hidden="1"/>
    </xf>
    <xf numFmtId="0" fontId="20" fillId="0" borderId="0" xfId="0" quotePrefix="1" applyFont="1" applyAlignment="1" applyProtection="1">
      <alignment vertical="center" wrapText="1"/>
      <protection hidden="1"/>
    </xf>
    <xf numFmtId="0" fontId="22" fillId="0" borderId="0" xfId="0" quotePrefix="1" applyFont="1" applyAlignment="1" applyProtection="1">
      <alignment vertical="center" wrapText="1"/>
      <protection hidden="1"/>
    </xf>
    <xf numFmtId="0" fontId="22" fillId="0" borderId="0" xfId="1" applyFont="1" applyAlignment="1" applyProtection="1">
      <alignment wrapText="1"/>
      <protection hidden="1"/>
    </xf>
    <xf numFmtId="167" fontId="121" fillId="0" borderId="0" xfId="1" applyNumberFormat="1" applyFont="1" applyAlignment="1" applyProtection="1">
      <alignment horizontal="left" vertical="top" indent="5"/>
      <protection hidden="1"/>
    </xf>
    <xf numFmtId="0" fontId="120" fillId="0" borderId="0" xfId="0" quotePrefix="1" applyFont="1" applyProtection="1">
      <protection hidden="1"/>
    </xf>
    <xf numFmtId="167" fontId="25" fillId="2" borderId="0" xfId="1" quotePrefix="1" applyNumberFormat="1" applyFont="1" applyFill="1" applyAlignment="1" applyProtection="1">
      <alignment horizontal="left"/>
      <protection hidden="1"/>
    </xf>
    <xf numFmtId="0" fontId="26" fillId="0" borderId="0" xfId="1" applyFont="1" applyAlignment="1" applyProtection="1">
      <alignment horizontal="left"/>
      <protection hidden="1"/>
    </xf>
    <xf numFmtId="167" fontId="57" fillId="0" borderId="0" xfId="1" applyNumberFormat="1" applyFont="1" applyProtection="1">
      <protection hidden="1"/>
    </xf>
    <xf numFmtId="0" fontId="20" fillId="2" borderId="0" xfId="1" quotePrefix="1" applyFont="1" applyFill="1" applyAlignment="1" applyProtection="1">
      <alignment horizontal="left"/>
      <protection hidden="1"/>
    </xf>
    <xf numFmtId="167" fontId="19" fillId="0" borderId="0" xfId="1" applyNumberFormat="1" applyFont="1" applyProtection="1">
      <protection hidden="1"/>
    </xf>
    <xf numFmtId="0" fontId="116" fillId="2" borderId="0" xfId="1" quotePrefix="1" applyFont="1" applyFill="1" applyProtection="1">
      <protection hidden="1"/>
    </xf>
    <xf numFmtId="167" fontId="16" fillId="2" borderId="0" xfId="1" quotePrefix="1" applyNumberFormat="1" applyFont="1" applyFill="1" applyAlignment="1" applyProtection="1">
      <alignment horizontal="left"/>
      <protection hidden="1"/>
    </xf>
    <xf numFmtId="0" fontId="117" fillId="0" borderId="0" xfId="1" applyFont="1" applyProtection="1">
      <protection locked="0"/>
    </xf>
    <xf numFmtId="167" fontId="22" fillId="0" borderId="0" xfId="4" applyFont="1" applyAlignment="1" applyProtection="1">
      <alignment horizontal="right"/>
      <protection hidden="1"/>
    </xf>
    <xf numFmtId="167" fontId="22" fillId="2" borderId="0" xfId="4" quotePrefix="1" applyFont="1" applyFill="1" applyAlignment="1" applyProtection="1">
      <alignment horizontal="right"/>
      <protection hidden="1"/>
    </xf>
    <xf numFmtId="167" fontId="36" fillId="0" borderId="0" xfId="4" applyFont="1" applyAlignment="1" applyProtection="1">
      <alignment horizontal="right"/>
      <protection hidden="1"/>
    </xf>
    <xf numFmtId="167" fontId="36" fillId="0" borderId="0" xfId="1" quotePrefix="1" applyNumberFormat="1" applyFont="1" applyAlignment="1" applyProtection="1">
      <alignment horizontal="right"/>
      <protection hidden="1"/>
    </xf>
    <xf numFmtId="0" fontId="0" fillId="0" borderId="16" xfId="1" applyFont="1" applyBorder="1" applyAlignment="1" applyProtection="1">
      <alignment horizontal="left"/>
      <protection hidden="1"/>
    </xf>
    <xf numFmtId="0" fontId="0" fillId="0" borderId="16" xfId="1" applyFont="1" applyBorder="1" applyProtection="1">
      <protection hidden="1"/>
    </xf>
    <xf numFmtId="167" fontId="16" fillId="0" borderId="16" xfId="1" applyNumberFormat="1" applyFont="1" applyBorder="1" applyProtection="1">
      <protection hidden="1"/>
    </xf>
    <xf numFmtId="0" fontId="36" fillId="0" borderId="0" xfId="1" applyFont="1" applyAlignment="1" applyProtection="1">
      <alignment horizontal="left"/>
      <protection hidden="1"/>
    </xf>
    <xf numFmtId="167" fontId="119" fillId="0" borderId="0" xfId="1" quotePrefix="1" applyNumberFormat="1" applyFont="1" applyAlignment="1" applyProtection="1">
      <alignment horizontal="left"/>
      <protection hidden="1"/>
    </xf>
    <xf numFmtId="167" fontId="20" fillId="2" borderId="0" xfId="1" quotePrefix="1" applyNumberFormat="1" applyFont="1" applyFill="1" applyAlignment="1" applyProtection="1">
      <alignment horizontal="left" vertical="center"/>
      <protection hidden="1"/>
    </xf>
    <xf numFmtId="167" fontId="20" fillId="0" borderId="0" xfId="1" applyNumberFormat="1" applyFont="1" applyAlignment="1" applyProtection="1">
      <alignment horizontal="left" vertical="center"/>
      <protection hidden="1"/>
    </xf>
    <xf numFmtId="167" fontId="22" fillId="0" borderId="0" xfId="1" quotePrefix="1" applyNumberFormat="1" applyFont="1" applyAlignment="1" applyProtection="1">
      <alignment horizontal="left" vertical="center"/>
      <protection hidden="1"/>
    </xf>
    <xf numFmtId="167" fontId="14" fillId="0" borderId="0" xfId="1" applyNumberFormat="1" applyFont="1" applyAlignment="1" applyProtection="1">
      <alignment horizontal="right"/>
      <protection hidden="1"/>
    </xf>
    <xf numFmtId="167" fontId="14" fillId="0" borderId="7" xfId="1" applyNumberFormat="1" applyFont="1" applyBorder="1" applyAlignment="1" applyProtection="1">
      <alignment horizontal="right"/>
      <protection hidden="1"/>
    </xf>
    <xf numFmtId="167" fontId="36" fillId="0" borderId="0" xfId="1" applyNumberFormat="1" applyFont="1" applyAlignment="1" applyProtection="1">
      <alignment horizontal="right"/>
      <protection hidden="1"/>
    </xf>
    <xf numFmtId="167" fontId="0" fillId="0" borderId="0" xfId="1" applyNumberFormat="1" applyFont="1" applyAlignment="1" applyProtection="1">
      <alignment horizontal="left"/>
      <protection hidden="1"/>
    </xf>
    <xf numFmtId="167" fontId="14" fillId="0" borderId="0" xfId="1" quotePrefix="1" applyNumberFormat="1" applyFont="1" applyAlignment="1" applyProtection="1">
      <alignment horizontal="left"/>
      <protection hidden="1"/>
    </xf>
    <xf numFmtId="167" fontId="0" fillId="2" borderId="0" xfId="1" applyNumberFormat="1" applyFont="1" applyFill="1" applyAlignment="1" applyProtection="1">
      <alignment horizontal="left"/>
      <protection hidden="1"/>
    </xf>
    <xf numFmtId="167" fontId="17" fillId="0" borderId="0" xfId="1" applyNumberFormat="1" applyFont="1" applyAlignment="1" applyProtection="1">
      <alignment horizontal="left"/>
      <protection hidden="1"/>
    </xf>
    <xf numFmtId="0" fontId="0" fillId="14" borderId="0" xfId="0" applyFill="1"/>
    <xf numFmtId="167" fontId="92" fillId="14" borderId="0" xfId="5" applyNumberFormat="1" applyFont="1" applyFill="1" applyAlignment="1" applyProtection="1">
      <alignment horizontal="left"/>
      <protection hidden="1"/>
    </xf>
    <xf numFmtId="0" fontId="25" fillId="14" borderId="0" xfId="5" applyFont="1" applyFill="1"/>
    <xf numFmtId="0" fontId="25" fillId="14" borderId="1" xfId="5" applyFont="1" applyFill="1" applyBorder="1" applyAlignment="1">
      <alignment horizontal="center" vertical="center"/>
    </xf>
    <xf numFmtId="0" fontId="22" fillId="14" borderId="49" xfId="5" applyFont="1" applyFill="1" applyBorder="1" applyAlignment="1" applyProtection="1">
      <alignment vertical="top"/>
      <protection hidden="1"/>
    </xf>
    <xf numFmtId="167" fontId="44" fillId="14" borderId="0" xfId="5" applyNumberFormat="1" applyFont="1" applyFill="1" applyAlignment="1" applyProtection="1">
      <alignment horizontal="left"/>
      <protection hidden="1"/>
    </xf>
    <xf numFmtId="0" fontId="26" fillId="14" borderId="1" xfId="5" applyFont="1" applyFill="1" applyBorder="1" applyAlignment="1">
      <alignment horizontal="center" vertical="center"/>
    </xf>
    <xf numFmtId="0" fontId="41" fillId="13" borderId="1" xfId="1" applyFont="1" applyFill="1" applyBorder="1" applyAlignment="1" applyProtection="1">
      <alignment horizontal="center"/>
      <protection hidden="1"/>
    </xf>
    <xf numFmtId="167" fontId="11" fillId="13" borderId="27" xfId="1" applyNumberFormat="1" applyFont="1" applyFill="1" applyBorder="1" applyProtection="1">
      <protection hidden="1"/>
    </xf>
    <xf numFmtId="167" fontId="16" fillId="13" borderId="25" xfId="1" applyNumberFormat="1" applyFont="1" applyFill="1" applyBorder="1" applyProtection="1">
      <protection hidden="1"/>
    </xf>
    <xf numFmtId="167" fontId="16" fillId="13" borderId="28" xfId="1" applyNumberFormat="1" applyFont="1" applyFill="1" applyBorder="1" applyProtection="1">
      <protection hidden="1"/>
    </xf>
    <xf numFmtId="0" fontId="41" fillId="14" borderId="1" xfId="1" applyFont="1" applyFill="1" applyBorder="1" applyAlignment="1" applyProtection="1">
      <alignment horizontal="center"/>
      <protection hidden="1"/>
    </xf>
    <xf numFmtId="167" fontId="16" fillId="14" borderId="25" xfId="1" applyNumberFormat="1" applyFont="1" applyFill="1" applyBorder="1" applyProtection="1">
      <protection hidden="1"/>
    </xf>
    <xf numFmtId="0" fontId="0" fillId="14" borderId="0" xfId="0" applyFill="1" applyProtection="1">
      <protection hidden="1"/>
    </xf>
    <xf numFmtId="0" fontId="105" fillId="14" borderId="0" xfId="1" quotePrefix="1" applyFont="1" applyFill="1" applyAlignment="1" applyProtection="1">
      <alignment horizontal="left" vertical="center" wrapText="1"/>
      <protection hidden="1"/>
    </xf>
    <xf numFmtId="167" fontId="118" fillId="14" borderId="0" xfId="5" applyNumberFormat="1" applyFont="1" applyFill="1" applyAlignment="1" applyProtection="1">
      <alignment horizontal="left"/>
      <protection hidden="1"/>
    </xf>
    <xf numFmtId="167" fontId="25" fillId="0" borderId="0" xfId="5" applyNumberFormat="1" applyFont="1" applyAlignment="1">
      <alignment horizontal="left"/>
    </xf>
    <xf numFmtId="167" fontId="17" fillId="0" borderId="0" xfId="5" applyNumberFormat="1" applyFont="1" applyAlignment="1">
      <alignment horizontal="left"/>
    </xf>
    <xf numFmtId="167" fontId="25" fillId="0" borderId="0" xfId="5" applyNumberFormat="1" applyFont="1" applyProtection="1">
      <protection hidden="1"/>
    </xf>
    <xf numFmtId="167" fontId="65" fillId="0" borderId="0" xfId="5" quotePrefix="1" applyNumberFormat="1" applyFont="1" applyAlignment="1">
      <alignment horizontal="left"/>
    </xf>
    <xf numFmtId="0" fontId="10" fillId="0" borderId="0" xfId="5"/>
    <xf numFmtId="0" fontId="0" fillId="0" borderId="0" xfId="5" applyFont="1"/>
    <xf numFmtId="0" fontId="14" fillId="0" borderId="0" xfId="5" applyFont="1"/>
    <xf numFmtId="167" fontId="20" fillId="0" borderId="0" xfId="5" applyNumberFormat="1" applyFont="1" applyProtection="1">
      <protection locked="0"/>
    </xf>
    <xf numFmtId="167" fontId="22" fillId="0" borderId="0" xfId="5" applyNumberFormat="1" applyFont="1" applyAlignment="1">
      <alignment horizontal="left"/>
    </xf>
    <xf numFmtId="167" fontId="22" fillId="0" borderId="0" xfId="4" quotePrefix="1" applyFont="1" applyAlignment="1">
      <alignment horizontal="right"/>
    </xf>
    <xf numFmtId="167" fontId="32" fillId="0" borderId="0" xfId="5" applyNumberFormat="1" applyFont="1" applyProtection="1">
      <protection hidden="1"/>
    </xf>
    <xf numFmtId="167" fontId="20" fillId="0" borderId="0" xfId="5" applyNumberFormat="1" applyFont="1"/>
    <xf numFmtId="0" fontId="10" fillId="0" borderId="0" xfId="5" quotePrefix="1" applyAlignment="1">
      <alignment horizontal="left"/>
    </xf>
    <xf numFmtId="167" fontId="10" fillId="0" borderId="0" xfId="5" quotePrefix="1" applyNumberFormat="1" applyAlignment="1">
      <alignment horizontal="left"/>
    </xf>
    <xf numFmtId="167" fontId="10" fillId="0" borderId="0" xfId="5" applyNumberFormat="1" applyAlignment="1">
      <alignment horizontal="left"/>
    </xf>
    <xf numFmtId="167" fontId="22" fillId="0" borderId="0" xfId="5" applyNumberFormat="1" applyFont="1"/>
    <xf numFmtId="167" fontId="14" fillId="0" borderId="0" xfId="5" quotePrefix="1" applyNumberFormat="1" applyFont="1" applyAlignment="1">
      <alignment horizontal="left"/>
    </xf>
    <xf numFmtId="0" fontId="20" fillId="0" borderId="0" xfId="5" applyFont="1"/>
    <xf numFmtId="167" fontId="22" fillId="0" borderId="0" xfId="5" applyNumberFormat="1" applyFont="1" applyProtection="1">
      <protection hidden="1"/>
    </xf>
    <xf numFmtId="167" fontId="22" fillId="0" borderId="0" xfId="5" quotePrefix="1" applyNumberFormat="1" applyFont="1" applyAlignment="1">
      <alignment horizontal="left"/>
    </xf>
    <xf numFmtId="167" fontId="16" fillId="0" borderId="0" xfId="5" applyNumberFormat="1" applyFont="1" applyProtection="1">
      <protection locked="0"/>
    </xf>
    <xf numFmtId="1" fontId="12" fillId="0" borderId="0" xfId="5" applyNumberFormat="1" applyFont="1" applyProtection="1">
      <protection hidden="1"/>
    </xf>
    <xf numFmtId="167" fontId="25" fillId="0" borderId="0" xfId="5" applyNumberFormat="1" applyFont="1"/>
    <xf numFmtId="167" fontId="17" fillId="0" borderId="0" xfId="5" quotePrefix="1" applyNumberFormat="1" applyFont="1" applyAlignment="1">
      <alignment horizontal="left"/>
    </xf>
    <xf numFmtId="167" fontId="41" fillId="0" borderId="0" xfId="5" applyNumberFormat="1" applyFont="1" applyProtection="1">
      <protection hidden="1"/>
    </xf>
    <xf numFmtId="167" fontId="20" fillId="0" borderId="0" xfId="5" applyNumberFormat="1" applyFont="1" applyAlignment="1">
      <alignment horizontal="left"/>
    </xf>
    <xf numFmtId="167" fontId="33" fillId="0" borderId="0" xfId="5" applyNumberFormat="1" applyFont="1" applyProtection="1">
      <protection hidden="1"/>
    </xf>
    <xf numFmtId="167" fontId="0" fillId="0" borderId="0" xfId="5" applyNumberFormat="1" applyFont="1" applyAlignment="1">
      <alignment horizontal="left"/>
    </xf>
    <xf numFmtId="167" fontId="22" fillId="0" borderId="0" xfId="1" applyNumberFormat="1" applyFont="1" applyAlignment="1" applyProtection="1">
      <alignment horizontal="right"/>
      <protection hidden="1"/>
    </xf>
    <xf numFmtId="0" fontId="22" fillId="0" borderId="0" xfId="1" quotePrefix="1" applyFont="1" applyAlignment="1" applyProtection="1">
      <alignment horizontal="right"/>
      <protection hidden="1"/>
    </xf>
    <xf numFmtId="167" fontId="22" fillId="0" borderId="0" xfId="1" quotePrefix="1" applyNumberFormat="1" applyFont="1" applyAlignment="1" applyProtection="1">
      <alignment horizontal="right"/>
      <protection hidden="1"/>
    </xf>
    <xf numFmtId="0" fontId="20" fillId="0" borderId="0" xfId="1" quotePrefix="1" applyFont="1" applyAlignment="1" applyProtection="1">
      <alignment horizontal="right"/>
      <protection hidden="1"/>
    </xf>
    <xf numFmtId="0" fontId="20" fillId="0" borderId="0" xfId="1" applyFont="1" applyAlignment="1" applyProtection="1">
      <alignment horizontal="right"/>
      <protection hidden="1"/>
    </xf>
    <xf numFmtId="167" fontId="22" fillId="0" borderId="0" xfId="5" quotePrefix="1" applyNumberFormat="1" applyFont="1" applyAlignment="1">
      <alignment horizontal="right"/>
    </xf>
    <xf numFmtId="167" fontId="22" fillId="0" borderId="0" xfId="5" applyNumberFormat="1" applyFont="1" applyAlignment="1">
      <alignment horizontal="right"/>
    </xf>
    <xf numFmtId="0" fontId="34" fillId="0" borderId="41" xfId="1" quotePrefix="1" applyFont="1" applyBorder="1" applyAlignment="1" applyProtection="1">
      <alignment horizontal="left"/>
      <protection hidden="1"/>
    </xf>
    <xf numFmtId="167" fontId="34" fillId="0" borderId="42" xfId="1" quotePrefix="1" applyNumberFormat="1" applyFont="1" applyBorder="1" applyAlignment="1" applyProtection="1">
      <alignment horizontal="center"/>
      <protection hidden="1"/>
    </xf>
    <xf numFmtId="167" fontId="94" fillId="14" borderId="0" xfId="5" applyNumberFormat="1" applyFont="1" applyFill="1" applyProtection="1">
      <protection hidden="1"/>
    </xf>
    <xf numFmtId="0" fontId="116" fillId="14" borderId="0" xfId="0" applyFont="1" applyFill="1"/>
    <xf numFmtId="167" fontId="97" fillId="14" borderId="0" xfId="5" applyNumberFormat="1" applyFont="1" applyFill="1" applyAlignment="1" applyProtection="1">
      <alignment horizontal="left"/>
      <protection hidden="1"/>
    </xf>
    <xf numFmtId="0" fontId="124" fillId="0" borderId="0" xfId="1" applyFont="1" applyProtection="1">
      <protection hidden="1"/>
    </xf>
    <xf numFmtId="0" fontId="123" fillId="0" borderId="0" xfId="1" applyFont="1" applyAlignment="1" applyProtection="1">
      <alignment vertical="center"/>
      <protection hidden="1"/>
    </xf>
    <xf numFmtId="0" fontId="96" fillId="0" borderId="0" xfId="1" applyFont="1" applyAlignment="1" applyProtection="1">
      <alignment horizontal="left" vertical="center"/>
      <protection hidden="1"/>
    </xf>
    <xf numFmtId="0" fontId="117" fillId="0" borderId="0" xfId="1" applyFont="1" applyAlignment="1" applyProtection="1">
      <alignment vertical="center"/>
      <protection locked="0"/>
    </xf>
    <xf numFmtId="0" fontId="117" fillId="0" borderId="0" xfId="1" quotePrefix="1" applyFont="1" applyAlignment="1" applyProtection="1">
      <alignment horizontal="center" vertical="center"/>
      <protection locked="0"/>
    </xf>
    <xf numFmtId="1" fontId="117" fillId="0" borderId="0" xfId="1" applyNumberFormat="1" applyFont="1" applyAlignment="1" applyProtection="1">
      <alignment vertical="center"/>
      <protection locked="0"/>
    </xf>
    <xf numFmtId="0" fontId="117" fillId="0" borderId="0" xfId="1" applyFont="1" applyAlignment="1" applyProtection="1">
      <alignment horizontal="left" vertical="center"/>
      <protection locked="0"/>
    </xf>
    <xf numFmtId="0" fontId="117" fillId="0" borderId="0" xfId="1" quotePrefix="1" applyFont="1" applyAlignment="1" applyProtection="1">
      <alignment horizontal="left" vertical="center"/>
      <protection locked="0"/>
    </xf>
    <xf numFmtId="167" fontId="125" fillId="14" borderId="0" xfId="1" applyNumberFormat="1" applyFont="1" applyFill="1" applyAlignment="1" applyProtection="1">
      <alignment horizontal="left"/>
      <protection hidden="1"/>
    </xf>
    <xf numFmtId="0" fontId="22" fillId="14" borderId="46" xfId="5" applyFont="1" applyFill="1" applyBorder="1" applyProtection="1">
      <protection hidden="1"/>
    </xf>
    <xf numFmtId="49" fontId="20" fillId="14" borderId="48" xfId="5" applyNumberFormat="1" applyFont="1" applyFill="1" applyBorder="1" applyAlignment="1" applyProtection="1">
      <alignment horizontal="left" vertical="center"/>
      <protection locked="0"/>
    </xf>
    <xf numFmtId="49" fontId="20" fillId="14" borderId="22" xfId="5" applyNumberFormat="1" applyFont="1" applyFill="1" applyBorder="1" applyAlignment="1" applyProtection="1">
      <alignment horizontal="left" vertical="center"/>
      <protection locked="0"/>
    </xf>
    <xf numFmtId="3" fontId="20" fillId="14" borderId="36" xfId="5" applyNumberFormat="1" applyFont="1" applyFill="1" applyBorder="1" applyAlignment="1" applyProtection="1">
      <alignment vertical="top"/>
      <protection locked="0"/>
    </xf>
    <xf numFmtId="3" fontId="20" fillId="14" borderId="36" xfId="5" applyNumberFormat="1" applyFont="1" applyFill="1" applyBorder="1" applyAlignment="1" applyProtection="1">
      <alignment vertical="center"/>
      <protection locked="0"/>
    </xf>
    <xf numFmtId="0" fontId="25" fillId="14" borderId="1" xfId="5" applyFont="1" applyFill="1" applyBorder="1" applyAlignment="1">
      <alignment horizontal="center" vertical="center" wrapText="1"/>
    </xf>
    <xf numFmtId="0" fontId="26" fillId="14" borderId="1" xfId="5" applyFont="1" applyFill="1" applyBorder="1" applyAlignment="1">
      <alignment horizontal="center" wrapText="1"/>
    </xf>
    <xf numFmtId="0" fontId="10" fillId="0" borderId="0" xfId="0" applyFont="1"/>
    <xf numFmtId="167" fontId="97" fillId="0" borderId="0" xfId="1" applyNumberFormat="1" applyFont="1" applyProtection="1">
      <protection hidden="1"/>
    </xf>
    <xf numFmtId="0" fontId="30" fillId="0" borderId="0" xfId="1" applyFont="1" applyAlignment="1" applyProtection="1">
      <alignment horizontal="left" vertical="center"/>
      <protection hidden="1"/>
    </xf>
    <xf numFmtId="167" fontId="22" fillId="0" borderId="0" xfId="1" applyNumberFormat="1" applyFont="1" applyAlignment="1" applyProtection="1">
      <alignment horizontal="left" vertical="center"/>
      <protection hidden="1"/>
    </xf>
    <xf numFmtId="0" fontId="22" fillId="0" borderId="0" xfId="1" quotePrefix="1" applyFont="1" applyAlignment="1" applyProtection="1">
      <alignment horizontal="left"/>
      <protection locked="0" hidden="1"/>
    </xf>
    <xf numFmtId="0" fontId="0" fillId="0" borderId="0" xfId="0" applyAlignment="1">
      <alignment horizontal="right"/>
    </xf>
    <xf numFmtId="1" fontId="129" fillId="0" borderId="0" xfId="1" applyNumberFormat="1" applyFont="1" applyAlignment="1" applyProtection="1">
      <alignment horizontal="center" vertical="center"/>
      <protection hidden="1"/>
    </xf>
    <xf numFmtId="1" fontId="129" fillId="0" borderId="7" xfId="1" applyNumberFormat="1" applyFont="1" applyBorder="1" applyAlignment="1" applyProtection="1">
      <alignment horizontal="center" vertical="center"/>
      <protection hidden="1"/>
    </xf>
    <xf numFmtId="0" fontId="129" fillId="0" borderId="0" xfId="1" applyFont="1" applyAlignment="1" applyProtection="1">
      <alignment horizontal="center" vertical="center"/>
      <protection hidden="1"/>
    </xf>
    <xf numFmtId="0" fontId="132" fillId="12" borderId="0" xfId="0" applyFont="1" applyFill="1" applyAlignment="1">
      <alignment horizontal="right" vertical="center"/>
    </xf>
    <xf numFmtId="0" fontId="132" fillId="12" borderId="0" xfId="0" applyFont="1" applyFill="1" applyAlignment="1">
      <alignment vertical="center"/>
    </xf>
    <xf numFmtId="0" fontId="132" fillId="12" borderId="0" xfId="0" applyFont="1" applyFill="1" applyAlignment="1">
      <alignment vertical="top"/>
    </xf>
    <xf numFmtId="0" fontId="125" fillId="12" borderId="0" xfId="0" applyFont="1" applyFill="1"/>
    <xf numFmtId="1" fontId="125" fillId="12" borderId="0" xfId="0" applyNumberFormat="1" applyFont="1" applyFill="1"/>
    <xf numFmtId="0" fontId="132" fillId="17" borderId="0" xfId="0" applyFont="1" applyFill="1" applyAlignment="1">
      <alignment horizontal="right" vertical="center"/>
    </xf>
    <xf numFmtId="0" fontId="132" fillId="17" borderId="0" xfId="0" applyFont="1" applyFill="1" applyAlignment="1">
      <alignment vertical="center"/>
    </xf>
    <xf numFmtId="0" fontId="132" fillId="17" borderId="0" xfId="0" applyFont="1" applyFill="1" applyAlignment="1">
      <alignment vertical="top"/>
    </xf>
    <xf numFmtId="0" fontId="125" fillId="17" borderId="0" xfId="0" applyFont="1" applyFill="1"/>
    <xf numFmtId="1" fontId="125" fillId="17" borderId="0" xfId="0" applyNumberFormat="1" applyFont="1" applyFill="1"/>
    <xf numFmtId="0" fontId="132" fillId="18" borderId="0" xfId="0" applyFont="1" applyFill="1" applyAlignment="1">
      <alignment horizontal="right" vertical="center"/>
    </xf>
    <xf numFmtId="0" fontId="132" fillId="18" borderId="0" xfId="0" applyFont="1" applyFill="1" applyAlignment="1">
      <alignment vertical="center"/>
    </xf>
    <xf numFmtId="0" fontId="132" fillId="18" borderId="0" xfId="0" applyFont="1" applyFill="1" applyAlignment="1">
      <alignment vertical="top"/>
    </xf>
    <xf numFmtId="0" fontId="125" fillId="18" borderId="0" xfId="0" applyFont="1" applyFill="1"/>
    <xf numFmtId="1" fontId="125" fillId="18" borderId="0" xfId="0" applyNumberFormat="1" applyFont="1" applyFill="1"/>
    <xf numFmtId="0" fontId="132" fillId="13" borderId="0" xfId="0" applyFont="1" applyFill="1" applyAlignment="1">
      <alignment horizontal="right" vertical="center"/>
    </xf>
    <xf numFmtId="0" fontId="132" fillId="13" borderId="0" xfId="0" applyFont="1" applyFill="1" applyAlignment="1">
      <alignment vertical="center"/>
    </xf>
    <xf numFmtId="0" fontId="132" fillId="13" borderId="0" xfId="0" applyFont="1" applyFill="1" applyAlignment="1">
      <alignment vertical="top"/>
    </xf>
    <xf numFmtId="0" fontId="125" fillId="13" borderId="0" xfId="0" applyFont="1" applyFill="1"/>
    <xf numFmtId="0" fontId="132" fillId="15" borderId="0" xfId="0" applyFont="1" applyFill="1" applyAlignment="1">
      <alignment horizontal="right" vertical="center"/>
    </xf>
    <xf numFmtId="0" fontId="132" fillId="15" borderId="0" xfId="0" applyFont="1" applyFill="1" applyAlignment="1">
      <alignment vertical="center"/>
    </xf>
    <xf numFmtId="0" fontId="132" fillId="15" borderId="0" xfId="0" applyFont="1" applyFill="1" applyAlignment="1">
      <alignment vertical="top"/>
    </xf>
    <xf numFmtId="0" fontId="125" fillId="15" borderId="0" xfId="0" applyFont="1" applyFill="1"/>
    <xf numFmtId="0" fontId="132" fillId="19" borderId="0" xfId="0" applyFont="1" applyFill="1" applyAlignment="1">
      <alignment horizontal="right" vertical="center"/>
    </xf>
    <xf numFmtId="0" fontId="132" fillId="19" borderId="0" xfId="0" applyFont="1" applyFill="1" applyAlignment="1">
      <alignment vertical="center"/>
    </xf>
    <xf numFmtId="0" fontId="132" fillId="19" borderId="0" xfId="0" applyFont="1" applyFill="1" applyAlignment="1">
      <alignment vertical="top"/>
    </xf>
    <xf numFmtId="0" fontId="125" fillId="19" borderId="0" xfId="0" applyFont="1" applyFill="1"/>
    <xf numFmtId="0" fontId="36" fillId="0" borderId="0" xfId="0" applyFont="1"/>
    <xf numFmtId="0" fontId="0" fillId="0" borderId="0" xfId="0" applyAlignment="1">
      <alignment horizontal="right" vertical="center"/>
    </xf>
    <xf numFmtId="0" fontId="36" fillId="0" borderId="0" xfId="0" applyFont="1" applyAlignment="1">
      <alignment horizontal="right" vertical="center"/>
    </xf>
    <xf numFmtId="167" fontId="32" fillId="17" borderId="45" xfId="1" applyNumberFormat="1" applyFont="1" applyFill="1" applyBorder="1" applyProtection="1">
      <protection hidden="1"/>
    </xf>
    <xf numFmtId="3" fontId="32" fillId="17" borderId="45" xfId="1" applyNumberFormat="1" applyFont="1" applyFill="1" applyBorder="1" applyProtection="1">
      <protection hidden="1"/>
    </xf>
    <xf numFmtId="167" fontId="32" fillId="17" borderId="45" xfId="1" applyNumberFormat="1" applyFont="1" applyFill="1" applyBorder="1" applyAlignment="1" applyProtection="1">
      <alignment vertical="center"/>
      <protection hidden="1"/>
    </xf>
    <xf numFmtId="168" fontId="32" fillId="17" borderId="13" xfId="1" applyNumberFormat="1" applyFont="1" applyFill="1" applyBorder="1" applyAlignment="1" applyProtection="1">
      <alignment vertical="center"/>
      <protection hidden="1"/>
    </xf>
    <xf numFmtId="0" fontId="84" fillId="0" borderId="0" xfId="0" applyFont="1"/>
    <xf numFmtId="0" fontId="84" fillId="0" borderId="0" xfId="1" applyFont="1" applyProtection="1">
      <protection hidden="1"/>
    </xf>
    <xf numFmtId="0" fontId="91" fillId="0" borderId="0" xfId="1" applyFont="1" applyProtection="1">
      <protection hidden="1"/>
    </xf>
    <xf numFmtId="0" fontId="84" fillId="2" borderId="0" xfId="1" applyFont="1" applyFill="1" applyProtection="1">
      <protection hidden="1"/>
    </xf>
    <xf numFmtId="0" fontId="130" fillId="0" borderId="0" xfId="0" applyFont="1"/>
    <xf numFmtId="167" fontId="99" fillId="0" borderId="0" xfId="1" applyNumberFormat="1" applyFont="1" applyAlignment="1" applyProtection="1">
      <alignment horizontal="left"/>
      <protection hidden="1"/>
    </xf>
    <xf numFmtId="167" fontId="22" fillId="14" borderId="0" xfId="1" applyNumberFormat="1" applyFont="1" applyFill="1" applyAlignment="1" applyProtection="1">
      <alignment horizontal="left"/>
      <protection hidden="1"/>
    </xf>
    <xf numFmtId="167" fontId="22" fillId="14" borderId="0" xfId="1" quotePrefix="1" applyNumberFormat="1" applyFont="1" applyFill="1" applyAlignment="1" applyProtection="1">
      <alignment horizontal="left"/>
      <protection hidden="1"/>
    </xf>
    <xf numFmtId="0" fontId="15" fillId="14" borderId="0" xfId="1" applyFont="1" applyFill="1" applyAlignment="1" applyProtection="1">
      <alignment horizontal="left"/>
      <protection hidden="1"/>
    </xf>
    <xf numFmtId="0" fontId="14" fillId="14" borderId="0" xfId="1" applyFont="1" applyFill="1" applyProtection="1">
      <protection hidden="1"/>
    </xf>
    <xf numFmtId="0" fontId="113" fillId="14" borderId="0" xfId="5" applyFont="1" applyFill="1" applyAlignment="1" applyProtection="1">
      <alignment horizontal="center" vertical="center"/>
      <protection hidden="1"/>
    </xf>
    <xf numFmtId="0" fontId="81" fillId="14" borderId="0" xfId="0" applyFont="1" applyFill="1" applyAlignment="1">
      <alignment horizontal="right"/>
    </xf>
    <xf numFmtId="167" fontId="133" fillId="0" borderId="0" xfId="1" applyNumberFormat="1" applyFont="1" applyAlignment="1" applyProtection="1">
      <alignment horizontal="right" vertical="center"/>
      <protection hidden="1"/>
    </xf>
    <xf numFmtId="0" fontId="129" fillId="0" borderId="0" xfId="2" applyFont="1" applyAlignment="1" applyProtection="1">
      <alignment horizontal="center" vertical="center"/>
      <protection locked="0" hidden="1"/>
    </xf>
    <xf numFmtId="0" fontId="129" fillId="0" borderId="0" xfId="0" applyFont="1" applyAlignment="1" applyProtection="1">
      <alignment horizontal="center" vertical="center"/>
      <protection locked="0" hidden="1"/>
    </xf>
    <xf numFmtId="0" fontId="129" fillId="0" borderId="0" xfId="1" applyFont="1" applyAlignment="1" applyProtection="1">
      <alignment horizontal="center" vertical="center"/>
      <protection locked="0" hidden="1"/>
    </xf>
    <xf numFmtId="167" fontId="21" fillId="0" borderId="0" xfId="1" applyNumberFormat="1" applyFont="1" applyProtection="1">
      <protection locked="0" hidden="1"/>
    </xf>
    <xf numFmtId="167" fontId="20" fillId="0" borderId="0" xfId="1" applyNumberFormat="1" applyFont="1" applyProtection="1">
      <protection locked="0" hidden="1"/>
    </xf>
    <xf numFmtId="0" fontId="20" fillId="0" borderId="0" xfId="1" applyFont="1" applyProtection="1">
      <protection locked="0" hidden="1"/>
    </xf>
    <xf numFmtId="0" fontId="128" fillId="0" borderId="0" xfId="1" applyFont="1" applyAlignment="1" applyProtection="1">
      <alignment horizontal="center" vertical="center"/>
      <protection locked="0" hidden="1"/>
    </xf>
    <xf numFmtId="0" fontId="129" fillId="2" borderId="0" xfId="1" applyFont="1" applyFill="1" applyAlignment="1" applyProtection="1">
      <alignment horizontal="center" vertical="center"/>
      <protection locked="0" hidden="1"/>
    </xf>
    <xf numFmtId="0" fontId="128" fillId="0" borderId="0" xfId="0" applyFont="1" applyAlignment="1" applyProtection="1">
      <alignment horizontal="center" vertical="center"/>
      <protection locked="0"/>
    </xf>
    <xf numFmtId="0" fontId="123" fillId="0" borderId="0" xfId="1" applyFont="1" applyAlignment="1">
      <alignment vertical="center"/>
    </xf>
    <xf numFmtId="0" fontId="22" fillId="14" borderId="0" xfId="1" applyFont="1" applyFill="1" applyAlignment="1" applyProtection="1">
      <alignment horizontal="left" vertical="center"/>
      <protection hidden="1"/>
    </xf>
    <xf numFmtId="0" fontId="22" fillId="14" borderId="0" xfId="1" quotePrefix="1" applyFont="1" applyFill="1" applyAlignment="1" applyProtection="1">
      <alignment horizontal="left" vertical="center"/>
      <protection hidden="1"/>
    </xf>
    <xf numFmtId="0" fontId="22" fillId="14" borderId="0" xfId="1" quotePrefix="1" applyFont="1" applyFill="1" applyAlignment="1" applyProtection="1">
      <alignment horizontal="left"/>
      <protection hidden="1"/>
    </xf>
    <xf numFmtId="0" fontId="22" fillId="14" borderId="0" xfId="1" applyFont="1" applyFill="1" applyAlignment="1" applyProtection="1">
      <alignment horizontal="center"/>
      <protection hidden="1"/>
    </xf>
    <xf numFmtId="0" fontId="20" fillId="14" borderId="0" xfId="1" applyFont="1" applyFill="1" applyAlignment="1" applyProtection="1">
      <alignment horizontal="center"/>
      <protection hidden="1"/>
    </xf>
    <xf numFmtId="0" fontId="134" fillId="0" borderId="0" xfId="1" applyFont="1" applyAlignment="1" applyProtection="1">
      <alignment horizontal="left" vertical="top"/>
      <protection hidden="1"/>
    </xf>
    <xf numFmtId="0" fontId="134" fillId="14" borderId="0" xfId="1" applyFont="1" applyFill="1" applyAlignment="1" applyProtection="1">
      <alignment horizontal="left" vertical="center"/>
      <protection hidden="1"/>
    </xf>
    <xf numFmtId="0" fontId="107" fillId="2" borderId="0" xfId="5" applyFont="1" applyFill="1" applyAlignment="1" applyProtection="1">
      <alignment horizontal="left" vertical="center" indent="1"/>
      <protection hidden="1"/>
    </xf>
    <xf numFmtId="0" fontId="20" fillId="2" borderId="0" xfId="5" quotePrefix="1" applyFont="1" applyFill="1" applyAlignment="1" applyProtection="1">
      <alignment wrapText="1"/>
      <protection hidden="1"/>
    </xf>
    <xf numFmtId="0" fontId="8" fillId="14" borderId="0" xfId="1" quotePrefix="1" applyFont="1" applyFill="1" applyAlignment="1" applyProtection="1">
      <alignment horizontal="left" vertical="center"/>
      <protection hidden="1"/>
    </xf>
    <xf numFmtId="167" fontId="113" fillId="0" borderId="0" xfId="1" applyNumberFormat="1" applyFont="1" applyAlignment="1" applyProtection="1">
      <alignment horizontal="center" vertical="center"/>
      <protection hidden="1"/>
    </xf>
    <xf numFmtId="0" fontId="22" fillId="0" borderId="0" xfId="1" quotePrefix="1" applyFont="1" applyAlignment="1" applyProtection="1">
      <alignment horizontal="center"/>
      <protection hidden="1"/>
    </xf>
    <xf numFmtId="167" fontId="22" fillId="0" borderId="0" xfId="1" quotePrefix="1" applyNumberFormat="1" applyFont="1" applyAlignment="1" applyProtection="1">
      <alignment horizontal="center"/>
      <protection hidden="1"/>
    </xf>
    <xf numFmtId="0" fontId="10" fillId="0" borderId="0" xfId="1" applyFont="1"/>
    <xf numFmtId="0" fontId="49" fillId="2" borderId="0" xfId="1" applyFont="1" applyFill="1" applyAlignment="1" applyProtection="1">
      <alignment horizontal="center"/>
      <protection hidden="1"/>
    </xf>
    <xf numFmtId="167" fontId="22" fillId="0" borderId="0" xfId="1" applyNumberFormat="1" applyFont="1" applyAlignment="1" applyProtection="1">
      <alignment horizontal="center"/>
      <protection hidden="1"/>
    </xf>
    <xf numFmtId="166" fontId="22" fillId="2" borderId="0" xfId="1" quotePrefix="1" applyNumberFormat="1" applyFont="1" applyFill="1" applyAlignment="1" applyProtection="1">
      <alignment horizontal="right"/>
      <protection hidden="1"/>
    </xf>
    <xf numFmtId="0" fontId="36" fillId="0" borderId="0" xfId="1" applyFont="1" applyAlignment="1" applyProtection="1">
      <alignment horizontal="right"/>
      <protection hidden="1"/>
    </xf>
    <xf numFmtId="167" fontId="22" fillId="2" borderId="0" xfId="1" applyNumberFormat="1" applyFont="1" applyFill="1" applyAlignment="1" applyProtection="1">
      <alignment horizontal="right"/>
      <protection hidden="1"/>
    </xf>
    <xf numFmtId="167" fontId="10" fillId="0" borderId="0" xfId="1" quotePrefix="1" applyNumberFormat="1" applyFont="1" applyAlignment="1" applyProtection="1">
      <alignment horizontal="left"/>
      <protection hidden="1"/>
    </xf>
    <xf numFmtId="0" fontId="57" fillId="0" borderId="0" xfId="1" applyFont="1" applyProtection="1">
      <protection hidden="1"/>
    </xf>
    <xf numFmtId="0" fontId="57" fillId="0" borderId="0" xfId="1" applyFont="1"/>
    <xf numFmtId="0" fontId="57" fillId="0" borderId="0" xfId="1" applyFont="1" applyAlignment="1">
      <alignment horizontal="left"/>
    </xf>
    <xf numFmtId="0" fontId="36" fillId="0" borderId="2" xfId="1" applyFont="1" applyBorder="1"/>
    <xf numFmtId="167" fontId="36" fillId="0" borderId="3" xfId="1" applyNumberFormat="1" applyFont="1" applyBorder="1"/>
    <xf numFmtId="0" fontId="36" fillId="0" borderId="3" xfId="1" applyFont="1" applyBorder="1"/>
    <xf numFmtId="0" fontId="36" fillId="0" borderId="8" xfId="1" applyFont="1" applyBorder="1"/>
    <xf numFmtId="167" fontId="36" fillId="0" borderId="1" xfId="1" applyNumberFormat="1" applyFont="1" applyBorder="1"/>
    <xf numFmtId="0" fontId="36" fillId="0" borderId="9" xfId="1" applyFont="1" applyBorder="1"/>
    <xf numFmtId="167" fontId="36" fillId="13" borderId="3" xfId="1" applyNumberFormat="1" applyFont="1" applyFill="1" applyBorder="1"/>
    <xf numFmtId="0" fontId="36" fillId="14" borderId="3" xfId="1" applyFont="1" applyFill="1" applyBorder="1"/>
    <xf numFmtId="0" fontId="36" fillId="13" borderId="3" xfId="1" applyFont="1" applyFill="1" applyBorder="1"/>
    <xf numFmtId="167" fontId="36" fillId="13" borderId="4" xfId="1" applyNumberFormat="1" applyFont="1" applyFill="1" applyBorder="1"/>
    <xf numFmtId="0" fontId="22" fillId="0" borderId="6" xfId="1" quotePrefix="1" applyFont="1" applyBorder="1" applyAlignment="1">
      <alignment horizontal="left" wrapText="1"/>
    </xf>
    <xf numFmtId="0" fontId="22" fillId="0" borderId="6" xfId="1" applyFont="1" applyBorder="1" applyAlignment="1">
      <alignment horizontal="left" wrapText="1"/>
    </xf>
    <xf numFmtId="167" fontId="22" fillId="0" borderId="6" xfId="1" quotePrefix="1" applyNumberFormat="1" applyFont="1" applyBorder="1" applyAlignment="1">
      <alignment horizontal="left" wrapText="1"/>
    </xf>
    <xf numFmtId="167" fontId="22" fillId="0" borderId="6" xfId="1" applyNumberFormat="1" applyFont="1" applyBorder="1" applyAlignment="1">
      <alignment horizontal="left" wrapText="1"/>
    </xf>
    <xf numFmtId="167" fontId="22" fillId="13" borderId="6" xfId="1" quotePrefix="1" applyNumberFormat="1" applyFont="1" applyFill="1" applyBorder="1" applyAlignment="1">
      <alignment horizontal="left" wrapText="1"/>
    </xf>
    <xf numFmtId="167" fontId="22" fillId="13" borderId="6" xfId="1" applyNumberFormat="1" applyFont="1" applyFill="1" applyBorder="1" applyAlignment="1">
      <alignment horizontal="left" wrapText="1"/>
    </xf>
    <xf numFmtId="167" fontId="22" fillId="14" borderId="6" xfId="1" quotePrefix="1" applyNumberFormat="1" applyFont="1" applyFill="1" applyBorder="1" applyAlignment="1">
      <alignment horizontal="left" wrapText="1"/>
    </xf>
    <xf numFmtId="167" fontId="36" fillId="0" borderId="22" xfId="1" quotePrefix="1" applyNumberFormat="1" applyFont="1" applyBorder="1" applyAlignment="1">
      <alignment horizontal="left"/>
    </xf>
    <xf numFmtId="167" fontId="36" fillId="0" borderId="10" xfId="1" quotePrefix="1" applyNumberFormat="1" applyFont="1" applyBorder="1" applyAlignment="1">
      <alignment horizontal="left"/>
    </xf>
    <xf numFmtId="167" fontId="36" fillId="0" borderId="11" xfId="1" quotePrefix="1" applyNumberFormat="1" applyFont="1" applyBorder="1" applyAlignment="1">
      <alignment horizontal="left"/>
    </xf>
    <xf numFmtId="167" fontId="36" fillId="0" borderId="12" xfId="1" quotePrefix="1" applyNumberFormat="1" applyFont="1" applyBorder="1" applyAlignment="1">
      <alignment horizontal="left"/>
    </xf>
    <xf numFmtId="167" fontId="36" fillId="13" borderId="10" xfId="1" quotePrefix="1" applyNumberFormat="1" applyFont="1" applyFill="1" applyBorder="1" applyAlignment="1">
      <alignment horizontal="left"/>
    </xf>
    <xf numFmtId="167" fontId="36" fillId="14" borderId="10" xfId="1" quotePrefix="1" applyNumberFormat="1" applyFont="1" applyFill="1" applyBorder="1" applyAlignment="1">
      <alignment horizontal="left"/>
    </xf>
    <xf numFmtId="167" fontId="36" fillId="13" borderId="23" xfId="1" quotePrefix="1" applyNumberFormat="1" applyFont="1" applyFill="1" applyBorder="1" applyAlignment="1">
      <alignment horizontal="left"/>
    </xf>
    <xf numFmtId="0" fontId="29" fillId="0" borderId="0" xfId="1" quotePrefix="1" applyFont="1" applyAlignment="1">
      <alignment horizontal="left"/>
    </xf>
    <xf numFmtId="167" fontId="20" fillId="2" borderId="0" xfId="4" applyFont="1" applyFill="1" applyAlignment="1" applyProtection="1">
      <alignment horizontal="right"/>
      <protection hidden="1"/>
    </xf>
    <xf numFmtId="0" fontId="10" fillId="2" borderId="0" xfId="1" applyFont="1" applyFill="1" applyAlignment="1" applyProtection="1">
      <alignment horizontal="left"/>
      <protection hidden="1"/>
    </xf>
    <xf numFmtId="0" fontId="22" fillId="0" borderId="0" xfId="1" applyFont="1" applyAlignment="1" applyProtection="1">
      <alignment horizontal="center"/>
      <protection hidden="1"/>
    </xf>
    <xf numFmtId="0" fontId="22" fillId="2" borderId="0" xfId="1" applyFont="1" applyFill="1" applyAlignment="1" applyProtection="1">
      <alignment horizontal="center"/>
      <protection hidden="1"/>
    </xf>
    <xf numFmtId="0" fontId="10" fillId="0" borderId="0" xfId="1" applyFont="1" applyAlignment="1" applyProtection="1">
      <alignment vertical="center"/>
      <protection hidden="1"/>
    </xf>
    <xf numFmtId="0" fontId="8" fillId="0" borderId="0" xfId="1" applyFont="1" applyAlignment="1" applyProtection="1">
      <alignment horizontal="left" vertical="center"/>
      <protection hidden="1"/>
    </xf>
    <xf numFmtId="0" fontId="8" fillId="0" borderId="0" xfId="1" quotePrefix="1" applyFont="1" applyAlignment="1" applyProtection="1">
      <alignment horizontal="left" vertical="center"/>
      <protection hidden="1"/>
    </xf>
    <xf numFmtId="0" fontId="8" fillId="14" borderId="0" xfId="1" applyFont="1" applyFill="1" applyAlignment="1" applyProtection="1">
      <alignment horizontal="left" vertical="center"/>
      <protection hidden="1"/>
    </xf>
    <xf numFmtId="0" fontId="10" fillId="0" borderId="0" xfId="1" applyFont="1" applyAlignment="1" applyProtection="1">
      <alignment horizontal="left" vertical="center"/>
      <protection hidden="1"/>
    </xf>
    <xf numFmtId="0" fontId="10" fillId="0" borderId="0" xfId="1" applyFont="1" applyAlignment="1" applyProtection="1">
      <alignment horizontal="left"/>
      <protection hidden="1"/>
    </xf>
    <xf numFmtId="0" fontId="49" fillId="0" borderId="0" xfId="1" applyFont="1" applyAlignment="1" applyProtection="1">
      <alignment horizontal="center" vertical="center"/>
      <protection hidden="1"/>
    </xf>
    <xf numFmtId="0" fontId="22" fillId="2" borderId="0" xfId="1" applyFont="1" applyFill="1" applyAlignment="1" applyProtection="1">
      <alignment horizontal="center" vertical="center"/>
      <protection hidden="1"/>
    </xf>
    <xf numFmtId="0" fontId="22" fillId="7" borderId="0" xfId="1" quotePrefix="1" applyFont="1" applyFill="1" applyAlignment="1" applyProtection="1">
      <alignment horizontal="left" vertical="center"/>
      <protection hidden="1"/>
    </xf>
    <xf numFmtId="0" fontId="22" fillId="0" borderId="0" xfId="1" quotePrefix="1" applyFont="1" applyAlignment="1" applyProtection="1">
      <alignment horizontal="right" vertical="center"/>
      <protection hidden="1"/>
    </xf>
    <xf numFmtId="1" fontId="8" fillId="0" borderId="0" xfId="1" applyNumberFormat="1" applyFont="1" applyAlignment="1" applyProtection="1">
      <alignment vertical="center"/>
      <protection hidden="1"/>
    </xf>
    <xf numFmtId="0" fontId="8" fillId="0" borderId="0" xfId="1" quotePrefix="1" applyFont="1" applyAlignment="1" applyProtection="1">
      <alignment horizontal="center" vertical="center"/>
      <protection hidden="1"/>
    </xf>
    <xf numFmtId="0" fontId="8" fillId="0" borderId="0" xfId="1" applyFont="1" applyAlignment="1" applyProtection="1">
      <alignment vertical="center"/>
      <protection hidden="1"/>
    </xf>
    <xf numFmtId="0" fontId="8" fillId="0" borderId="0" xfId="1" quotePrefix="1" applyFont="1" applyAlignment="1">
      <alignment horizontal="left" vertical="center"/>
    </xf>
    <xf numFmtId="0" fontId="8" fillId="0" borderId="0" xfId="1" quotePrefix="1" applyFont="1" applyAlignment="1">
      <alignment horizontal="center" vertical="center"/>
    </xf>
    <xf numFmtId="1" fontId="8" fillId="0" borderId="0" xfId="1" applyNumberFormat="1" applyFont="1" applyAlignment="1">
      <alignment vertical="center"/>
    </xf>
    <xf numFmtId="0" fontId="8" fillId="0" borderId="0" xfId="1" applyFont="1" applyAlignment="1">
      <alignment horizontal="left" vertical="center"/>
    </xf>
    <xf numFmtId="0" fontId="49" fillId="0" borderId="0" xfId="1" applyFont="1" applyAlignment="1" applyProtection="1">
      <alignment horizontal="left" vertical="center"/>
      <protection hidden="1"/>
    </xf>
    <xf numFmtId="0" fontId="49" fillId="0" borderId="0" xfId="1" applyFont="1" applyAlignment="1" applyProtection="1">
      <alignment horizontal="left"/>
      <protection hidden="1"/>
    </xf>
    <xf numFmtId="0" fontId="22" fillId="0" borderId="0" xfId="1" applyFont="1"/>
    <xf numFmtId="0" fontId="10" fillId="0" borderId="0" xfId="0" applyFont="1" applyAlignment="1">
      <alignment vertical="center"/>
    </xf>
    <xf numFmtId="167" fontId="8" fillId="0" borderId="0" xfId="1" quotePrefix="1" applyNumberFormat="1" applyFont="1" applyAlignment="1" applyProtection="1">
      <alignment horizontal="left"/>
      <protection hidden="1"/>
    </xf>
    <xf numFmtId="0" fontId="8" fillId="0" borderId="0" xfId="0" quotePrefix="1" applyFont="1" applyProtection="1">
      <protection hidden="1"/>
    </xf>
    <xf numFmtId="167" fontId="22" fillId="2" borderId="0" xfId="1" applyNumberFormat="1" applyFont="1" applyFill="1" applyProtection="1">
      <protection hidden="1"/>
    </xf>
    <xf numFmtId="0" fontId="20" fillId="2" borderId="0" xfId="1" applyFont="1" applyFill="1" applyAlignment="1" applyProtection="1">
      <alignment horizontal="left"/>
      <protection hidden="1"/>
    </xf>
    <xf numFmtId="167" fontId="8" fillId="14" borderId="0" xfId="0" applyNumberFormat="1" applyFont="1" applyFill="1" applyAlignment="1" applyProtection="1">
      <alignment horizontal="left"/>
      <protection hidden="1"/>
    </xf>
    <xf numFmtId="167" fontId="8" fillId="14" borderId="0" xfId="1" applyNumberFormat="1" applyFont="1" applyFill="1" applyAlignment="1" applyProtection="1">
      <alignment horizontal="left"/>
      <protection hidden="1"/>
    </xf>
    <xf numFmtId="167" fontId="29" fillId="0" borderId="0" xfId="4" applyFont="1" applyAlignment="1" applyProtection="1">
      <alignment horizontal="right"/>
      <protection hidden="1"/>
    </xf>
    <xf numFmtId="0" fontId="22" fillId="2" borderId="0" xfId="1" quotePrefix="1" applyFont="1" applyFill="1" applyAlignment="1" applyProtection="1">
      <alignment horizontal="left"/>
      <protection hidden="1"/>
    </xf>
    <xf numFmtId="167" fontId="22" fillId="2" borderId="0" xfId="1" quotePrefix="1" applyNumberFormat="1" applyFont="1" applyFill="1" applyAlignment="1" applyProtection="1">
      <alignment horizontal="left"/>
      <protection hidden="1"/>
    </xf>
    <xf numFmtId="167" fontId="22" fillId="2" borderId="0" xfId="1" applyNumberFormat="1" applyFont="1" applyFill="1" applyAlignment="1" applyProtection="1">
      <alignment horizontal="left"/>
      <protection hidden="1"/>
    </xf>
    <xf numFmtId="167" fontId="22" fillId="0" borderId="0" xfId="4" quotePrefix="1" applyFont="1" applyAlignment="1" applyProtection="1">
      <alignment horizontal="right"/>
      <protection hidden="1"/>
    </xf>
    <xf numFmtId="0" fontId="10" fillId="0" borderId="0" xfId="1" applyFont="1" applyAlignment="1" applyProtection="1">
      <alignment horizontal="right"/>
      <protection hidden="1"/>
    </xf>
    <xf numFmtId="0" fontId="22" fillId="0" borderId="7" xfId="1" applyFont="1" applyBorder="1" applyProtection="1">
      <protection hidden="1"/>
    </xf>
    <xf numFmtId="0" fontId="10" fillId="0" borderId="7" xfId="1" applyFont="1" applyBorder="1" applyProtection="1">
      <protection hidden="1"/>
    </xf>
    <xf numFmtId="167" fontId="36" fillId="0" borderId="0" xfId="1" applyNumberFormat="1" applyFont="1" applyAlignment="1" applyProtection="1">
      <alignment horizontal="left"/>
      <protection hidden="1"/>
    </xf>
    <xf numFmtId="0" fontId="25" fillId="2" borderId="0" xfId="1" applyFont="1" applyFill="1" applyProtection="1">
      <protection hidden="1"/>
    </xf>
    <xf numFmtId="0" fontId="22" fillId="0" borderId="0" xfId="1" applyFont="1" applyAlignment="1" applyProtection="1">
      <alignment horizontal="left"/>
      <protection locked="0"/>
    </xf>
    <xf numFmtId="0" fontId="40" fillId="0" borderId="0" xfId="1" applyFont="1" applyProtection="1">
      <protection locked="0"/>
    </xf>
    <xf numFmtId="0" fontId="84" fillId="14" borderId="0" xfId="0" applyFont="1" applyFill="1"/>
    <xf numFmtId="0" fontId="22" fillId="0" borderId="0" xfId="0" applyFont="1" applyProtection="1">
      <protection hidden="1"/>
    </xf>
    <xf numFmtId="167" fontId="20" fillId="24" borderId="0" xfId="1" applyNumberFormat="1" applyFont="1" applyFill="1" applyProtection="1">
      <protection hidden="1"/>
    </xf>
    <xf numFmtId="0" fontId="20" fillId="24" borderId="0" xfId="1" applyFont="1" applyFill="1" applyProtection="1">
      <protection hidden="1"/>
    </xf>
    <xf numFmtId="0" fontId="134" fillId="0" borderId="0" xfId="1" applyFont="1" applyAlignment="1" applyProtection="1">
      <alignment horizontal="left" vertical="center"/>
      <protection hidden="1"/>
    </xf>
    <xf numFmtId="0" fontId="129" fillId="0" borderId="0" xfId="2" applyFont="1" applyFill="1" applyAlignment="1" applyProtection="1">
      <alignment horizontal="center" vertical="center"/>
      <protection hidden="1"/>
    </xf>
    <xf numFmtId="0" fontId="36" fillId="0" borderId="0" xfId="0" applyFont="1" applyAlignment="1" applyProtection="1">
      <alignment horizontal="right"/>
      <protection hidden="1"/>
    </xf>
    <xf numFmtId="0" fontId="138" fillId="22" borderId="0" xfId="0" applyFont="1" applyFill="1" applyAlignment="1" applyProtection="1">
      <alignment horizontal="right"/>
      <protection hidden="1"/>
    </xf>
    <xf numFmtId="0" fontId="139" fillId="2" borderId="0" xfId="5" applyFont="1" applyFill="1" applyAlignment="1" applyProtection="1">
      <alignment horizontal="left"/>
      <protection hidden="1"/>
    </xf>
    <xf numFmtId="0" fontId="22" fillId="0" borderId="0" xfId="5" applyFont="1" applyAlignment="1" applyProtection="1">
      <alignment vertical="center"/>
      <protection hidden="1"/>
    </xf>
    <xf numFmtId="0" fontId="116" fillId="0" borderId="0" xfId="5" applyFont="1" applyAlignment="1" applyProtection="1">
      <alignment horizontal="left" vertical="center"/>
      <protection hidden="1"/>
    </xf>
    <xf numFmtId="0" fontId="20" fillId="0" borderId="0" xfId="5" applyFont="1" applyProtection="1">
      <protection hidden="1"/>
    </xf>
    <xf numFmtId="167" fontId="55" fillId="0" borderId="0" xfId="1" quotePrefix="1" applyNumberFormat="1" applyFont="1" applyAlignment="1" applyProtection="1">
      <alignment horizontal="left"/>
      <protection hidden="1"/>
    </xf>
    <xf numFmtId="167" fontId="99" fillId="0" borderId="0" xfId="1" applyNumberFormat="1" applyFont="1" applyAlignment="1" applyProtection="1">
      <alignment wrapText="1"/>
      <protection hidden="1"/>
    </xf>
    <xf numFmtId="0" fontId="141" fillId="0" borderId="0" xfId="0" applyFont="1" applyProtection="1">
      <protection hidden="1"/>
    </xf>
    <xf numFmtId="0" fontId="72" fillId="0" borderId="0" xfId="0" applyFont="1"/>
    <xf numFmtId="0" fontId="142" fillId="14" borderId="0" xfId="1" applyFont="1" applyFill="1" applyAlignment="1" applyProtection="1">
      <alignment horizontal="left"/>
      <protection hidden="1"/>
    </xf>
    <xf numFmtId="0" fontId="0" fillId="0" borderId="12" xfId="0" applyBorder="1" applyProtection="1">
      <protection hidden="1"/>
    </xf>
    <xf numFmtId="167" fontId="20" fillId="0" borderId="0" xfId="1" applyNumberFormat="1" applyFont="1" applyAlignment="1" applyProtection="1">
      <alignment horizontal="left" indent="1"/>
      <protection hidden="1"/>
    </xf>
    <xf numFmtId="167" fontId="8" fillId="0" borderId="16" xfId="1" applyNumberFormat="1" applyFont="1" applyBorder="1" applyAlignment="1" applyProtection="1">
      <alignment horizontal="left"/>
      <protection hidden="1"/>
    </xf>
    <xf numFmtId="167" fontId="143" fillId="14" borderId="0" xfId="1" applyNumberFormat="1" applyFont="1" applyFill="1" applyAlignment="1" applyProtection="1">
      <alignment horizontal="left" indent="1"/>
      <protection hidden="1"/>
    </xf>
    <xf numFmtId="167" fontId="32" fillId="14" borderId="0" xfId="1" applyNumberFormat="1" applyFont="1" applyFill="1" applyProtection="1">
      <protection hidden="1"/>
    </xf>
    <xf numFmtId="167" fontId="78" fillId="0" borderId="39" xfId="5" applyNumberFormat="1" applyFont="1" applyBorder="1" applyProtection="1">
      <protection locked="0" hidden="1"/>
    </xf>
    <xf numFmtId="167" fontId="78" fillId="0" borderId="19" xfId="5" applyNumberFormat="1" applyFont="1" applyBorder="1" applyProtection="1">
      <protection locked="0" hidden="1"/>
    </xf>
    <xf numFmtId="167" fontId="78" fillId="0" borderId="19" xfId="5" applyNumberFormat="1" applyFont="1" applyBorder="1" applyProtection="1">
      <protection hidden="1"/>
    </xf>
    <xf numFmtId="167" fontId="78" fillId="0" borderId="41" xfId="5" applyNumberFormat="1" applyFont="1" applyBorder="1" applyProtection="1">
      <protection locked="0" hidden="1"/>
    </xf>
    <xf numFmtId="167" fontId="78" fillId="0" borderId="41" xfId="5" applyNumberFormat="1" applyFont="1" applyBorder="1" applyProtection="1">
      <protection hidden="1"/>
    </xf>
    <xf numFmtId="0" fontId="78" fillId="0" borderId="41" xfId="5" applyFont="1" applyBorder="1"/>
    <xf numFmtId="167" fontId="78" fillId="0" borderId="41" xfId="5" quotePrefix="1" applyNumberFormat="1" applyFont="1" applyBorder="1" applyAlignment="1" applyProtection="1">
      <alignment horizontal="left"/>
      <protection hidden="1"/>
    </xf>
    <xf numFmtId="167" fontId="78" fillId="0" borderId="41" xfId="5" quotePrefix="1" applyNumberFormat="1" applyFont="1" applyBorder="1" applyAlignment="1" applyProtection="1">
      <alignment horizontal="left"/>
      <protection locked="0" hidden="1"/>
    </xf>
    <xf numFmtId="167" fontId="78" fillId="0" borderId="31" xfId="5" applyNumberFormat="1" applyFont="1" applyBorder="1" applyProtection="1">
      <protection locked="0" hidden="1"/>
    </xf>
    <xf numFmtId="167" fontId="78" fillId="0" borderId="43" xfId="5" applyNumberFormat="1" applyFont="1" applyBorder="1" applyProtection="1">
      <protection locked="0" hidden="1"/>
    </xf>
    <xf numFmtId="167" fontId="78" fillId="0" borderId="44" xfId="5" applyNumberFormat="1" applyFont="1" applyBorder="1" applyProtection="1">
      <protection locked="0" hidden="1"/>
    </xf>
    <xf numFmtId="167" fontId="78" fillId="0" borderId="44" xfId="5" applyNumberFormat="1" applyFont="1" applyBorder="1" applyAlignment="1" applyProtection="1">
      <alignment horizontal="left"/>
      <protection locked="0" hidden="1"/>
    </xf>
    <xf numFmtId="167" fontId="78" fillId="10" borderId="13" xfId="5" applyNumberFormat="1" applyFont="1" applyFill="1" applyBorder="1" applyProtection="1">
      <protection locked="0" hidden="1"/>
    </xf>
    <xf numFmtId="1" fontId="78" fillId="0" borderId="13" xfId="5" applyNumberFormat="1" applyFont="1" applyBorder="1" applyAlignment="1" applyProtection="1">
      <alignment horizontal="right"/>
      <protection locked="0" hidden="1"/>
    </xf>
    <xf numFmtId="167" fontId="79" fillId="10" borderId="44" xfId="5" applyNumberFormat="1" applyFont="1" applyFill="1" applyBorder="1" applyProtection="1">
      <protection locked="0" hidden="1"/>
    </xf>
    <xf numFmtId="1" fontId="78" fillId="0" borderId="29" xfId="5" applyNumberFormat="1" applyFont="1" applyBorder="1" applyAlignment="1" applyProtection="1">
      <alignment horizontal="right"/>
      <protection locked="0" hidden="1"/>
    </xf>
    <xf numFmtId="167" fontId="78" fillId="0" borderId="40" xfId="5" quotePrefix="1" applyNumberFormat="1" applyFont="1" applyBorder="1" applyAlignment="1" applyProtection="1">
      <alignment horizontal="left"/>
      <protection hidden="1"/>
    </xf>
    <xf numFmtId="167" fontId="78" fillId="0" borderId="42" xfId="5" quotePrefix="1" applyNumberFormat="1" applyFont="1" applyBorder="1" applyAlignment="1" applyProtection="1">
      <alignment horizontal="left"/>
      <protection hidden="1"/>
    </xf>
    <xf numFmtId="167" fontId="78" fillId="0" borderId="51" xfId="5" quotePrefix="1" applyNumberFormat="1" applyFont="1" applyBorder="1" applyAlignment="1" applyProtection="1">
      <alignment horizontal="left"/>
      <protection hidden="1"/>
    </xf>
    <xf numFmtId="0" fontId="76" fillId="0" borderId="20" xfId="5" applyFont="1" applyBorder="1"/>
    <xf numFmtId="0" fontId="76" fillId="0" borderId="32" xfId="5" applyFont="1" applyBorder="1"/>
    <xf numFmtId="0" fontId="123" fillId="0" borderId="32" xfId="5" applyFont="1" applyBorder="1"/>
    <xf numFmtId="0" fontId="123" fillId="0" borderId="33" xfId="5" applyFont="1" applyBorder="1"/>
    <xf numFmtId="0" fontId="123" fillId="0" borderId="31" xfId="5" applyFont="1" applyBorder="1"/>
    <xf numFmtId="0" fontId="123" fillId="0" borderId="36" xfId="5" applyFont="1" applyBorder="1"/>
    <xf numFmtId="0" fontId="123" fillId="0" borderId="34" xfId="5" applyFont="1" applyBorder="1"/>
    <xf numFmtId="0" fontId="123" fillId="0" borderId="19" xfId="5" applyFont="1" applyBorder="1"/>
    <xf numFmtId="0" fontId="123" fillId="0" borderId="35" xfId="5" applyFont="1" applyBorder="1"/>
    <xf numFmtId="167" fontId="75" fillId="0" borderId="31" xfId="5" applyNumberFormat="1" applyFont="1" applyBorder="1" applyProtection="1">
      <protection locked="0" hidden="1"/>
    </xf>
    <xf numFmtId="167" fontId="75" fillId="0" borderId="36" xfId="5" applyNumberFormat="1" applyFont="1" applyBorder="1" applyProtection="1">
      <protection locked="0" hidden="1"/>
    </xf>
    <xf numFmtId="167" fontId="75" fillId="0" borderId="31" xfId="5" quotePrefix="1" applyNumberFormat="1" applyFont="1" applyBorder="1" applyAlignment="1" applyProtection="1">
      <alignment horizontal="left"/>
      <protection locked="0" hidden="1"/>
    </xf>
    <xf numFmtId="167" fontId="75" fillId="0" borderId="31" xfId="5" quotePrefix="1" applyNumberFormat="1" applyFont="1" applyBorder="1" applyAlignment="1" applyProtection="1">
      <alignment horizontal="left"/>
      <protection hidden="1"/>
    </xf>
    <xf numFmtId="167" fontId="75" fillId="0" borderId="36" xfId="5" applyNumberFormat="1" applyFont="1" applyBorder="1" applyProtection="1">
      <protection hidden="1"/>
    </xf>
    <xf numFmtId="167" fontId="75" fillId="0" borderId="31" xfId="5" applyNumberFormat="1" applyFont="1" applyBorder="1" applyProtection="1">
      <protection hidden="1"/>
    </xf>
    <xf numFmtId="0" fontId="123" fillId="0" borderId="37" xfId="5" applyFont="1" applyBorder="1"/>
    <xf numFmtId="0" fontId="123" fillId="0" borderId="29" xfId="5" applyFont="1" applyBorder="1"/>
    <xf numFmtId="0" fontId="123" fillId="0" borderId="38" xfId="5" applyFont="1" applyBorder="1"/>
    <xf numFmtId="0" fontId="76" fillId="0" borderId="20" xfId="5" applyFont="1" applyBorder="1" applyAlignment="1">
      <alignment horizontal="center"/>
    </xf>
    <xf numFmtId="0" fontId="123" fillId="0" borderId="0" xfId="15" applyFont="1"/>
    <xf numFmtId="0" fontId="88" fillId="0" borderId="0" xfId="5" applyFont="1" applyProtection="1">
      <protection locked="0"/>
    </xf>
    <xf numFmtId="0" fontId="30" fillId="0" borderId="0" xfId="0" applyFont="1"/>
    <xf numFmtId="1" fontId="0" fillId="0" borderId="0" xfId="0" applyNumberFormat="1"/>
    <xf numFmtId="0" fontId="80" fillId="0" borderId="0" xfId="0" applyFont="1"/>
    <xf numFmtId="1" fontId="80" fillId="0" borderId="0" xfId="0" applyNumberFormat="1" applyFont="1"/>
    <xf numFmtId="0" fontId="48" fillId="0" borderId="0" xfId="2" applyAlignment="1" applyProtection="1">
      <alignment wrapText="1"/>
    </xf>
    <xf numFmtId="0" fontId="41" fillId="0" borderId="20" xfId="1" applyFont="1" applyBorder="1" applyAlignment="1" applyProtection="1">
      <alignment horizontal="left"/>
      <protection hidden="1"/>
    </xf>
    <xf numFmtId="167" fontId="20" fillId="0" borderId="0" xfId="5" applyNumberFormat="1" applyFont="1" applyAlignment="1" applyProtection="1">
      <alignment horizontal="left" indent="1"/>
      <protection hidden="1"/>
    </xf>
    <xf numFmtId="167" fontId="20" fillId="0" borderId="0" xfId="5" applyNumberFormat="1" applyFont="1" applyAlignment="1" applyProtection="1">
      <alignment horizontal="left"/>
      <protection hidden="1"/>
    </xf>
    <xf numFmtId="0" fontId="142" fillId="0" borderId="0" xfId="0" applyFont="1" applyAlignment="1">
      <alignment horizontal="right" wrapText="1"/>
    </xf>
    <xf numFmtId="167" fontId="96" fillId="0" borderId="0" xfId="5" applyNumberFormat="1" applyFont="1" applyProtection="1">
      <protection hidden="1"/>
    </xf>
    <xf numFmtId="167" fontId="120" fillId="0" borderId="0" xfId="5" applyNumberFormat="1" applyFont="1" applyAlignment="1" applyProtection="1">
      <alignment horizontal="left"/>
      <protection hidden="1"/>
    </xf>
    <xf numFmtId="0" fontId="34" fillId="0" borderId="0" xfId="1" applyFont="1"/>
    <xf numFmtId="168" fontId="41" fillId="0" borderId="0" xfId="1" applyNumberFormat="1" applyFont="1" applyProtection="1">
      <protection hidden="1"/>
    </xf>
    <xf numFmtId="167" fontId="96" fillId="14" borderId="0" xfId="1" applyNumberFormat="1" applyFont="1" applyFill="1" applyProtection="1">
      <protection hidden="1"/>
    </xf>
    <xf numFmtId="0" fontId="48" fillId="0" borderId="0" xfId="2" applyFill="1" applyAlignment="1" applyProtection="1">
      <alignment wrapText="1"/>
    </xf>
    <xf numFmtId="167" fontId="16" fillId="0" borderId="53" xfId="1" quotePrefix="1" applyNumberFormat="1" applyFont="1" applyBorder="1" applyAlignment="1" applyProtection="1">
      <alignment horizontal="left"/>
      <protection hidden="1"/>
    </xf>
    <xf numFmtId="167" fontId="16" fillId="0" borderId="53" xfId="1" applyNumberFormat="1" applyFont="1" applyBorder="1" applyProtection="1">
      <protection hidden="1"/>
    </xf>
    <xf numFmtId="167" fontId="11" fillId="0" borderId="53" xfId="1" quotePrefix="1" applyNumberFormat="1" applyFont="1" applyBorder="1" applyAlignment="1" applyProtection="1">
      <alignment horizontal="left"/>
      <protection hidden="1"/>
    </xf>
    <xf numFmtId="167" fontId="16" fillId="8" borderId="53" xfId="1" quotePrefix="1" applyNumberFormat="1" applyFont="1" applyFill="1" applyBorder="1" applyProtection="1">
      <protection hidden="1"/>
    </xf>
    <xf numFmtId="1" fontId="92" fillId="12" borderId="53" xfId="1" applyNumberFormat="1" applyFont="1" applyFill="1" applyBorder="1" applyAlignment="1" applyProtection="1">
      <alignment horizontal="right"/>
      <protection hidden="1"/>
    </xf>
    <xf numFmtId="1" fontId="93" fillId="12" borderId="53" xfId="1" applyNumberFormat="1" applyFont="1" applyFill="1" applyBorder="1" applyProtection="1">
      <protection hidden="1"/>
    </xf>
    <xf numFmtId="168" fontId="85" fillId="17" borderId="53" xfId="1" applyNumberFormat="1" applyFont="1" applyFill="1" applyBorder="1" applyAlignment="1" applyProtection="1">
      <alignment vertical="center"/>
      <protection locked="0" hidden="1"/>
    </xf>
    <xf numFmtId="168" fontId="20" fillId="0" borderId="53" xfId="1" applyNumberFormat="1" applyFont="1" applyBorder="1" applyAlignment="1" applyProtection="1">
      <alignment vertical="center"/>
      <protection locked="0"/>
    </xf>
    <xf numFmtId="168" fontId="32" fillId="17" borderId="53" xfId="1" applyNumberFormat="1" applyFont="1" applyFill="1" applyBorder="1" applyAlignment="1" applyProtection="1">
      <alignment vertical="center"/>
      <protection hidden="1"/>
    </xf>
    <xf numFmtId="167" fontId="20" fillId="0" borderId="53" xfId="1" applyNumberFormat="1" applyFont="1" applyBorder="1" applyProtection="1">
      <protection locked="0"/>
    </xf>
    <xf numFmtId="167" fontId="32" fillId="17" borderId="53" xfId="1" applyNumberFormat="1" applyFont="1" applyFill="1" applyBorder="1" applyProtection="1">
      <protection hidden="1"/>
    </xf>
    <xf numFmtId="167" fontId="32" fillId="20" borderId="53" xfId="1" applyNumberFormat="1" applyFont="1" applyFill="1" applyBorder="1" applyProtection="1">
      <protection hidden="1"/>
    </xf>
    <xf numFmtId="3" fontId="32" fillId="17" borderId="53" xfId="1" applyNumberFormat="1" applyFont="1" applyFill="1" applyBorder="1" applyProtection="1">
      <protection hidden="1"/>
    </xf>
    <xf numFmtId="167" fontId="20" fillId="0" borderId="53" xfId="1" applyNumberFormat="1" applyFont="1" applyBorder="1" applyAlignment="1" applyProtection="1">
      <alignment vertical="center"/>
      <protection locked="0"/>
    </xf>
    <xf numFmtId="167" fontId="22" fillId="0" borderId="53" xfId="1" applyNumberFormat="1" applyFont="1" applyBorder="1" applyProtection="1">
      <protection locked="0"/>
    </xf>
    <xf numFmtId="167" fontId="32" fillId="17" borderId="53" xfId="1" applyNumberFormat="1" applyFont="1" applyFill="1" applyBorder="1" applyAlignment="1" applyProtection="1">
      <alignment vertical="center"/>
      <protection hidden="1"/>
    </xf>
    <xf numFmtId="167" fontId="21" fillId="17" borderId="53" xfId="1" applyNumberFormat="1" applyFont="1" applyFill="1" applyBorder="1" applyProtection="1">
      <protection hidden="1"/>
    </xf>
    <xf numFmtId="167" fontId="41" fillId="17" borderId="53" xfId="1" applyNumberFormat="1" applyFont="1" applyFill="1" applyBorder="1" applyProtection="1">
      <protection hidden="1"/>
    </xf>
    <xf numFmtId="167" fontId="20" fillId="0" borderId="53" xfId="5" applyNumberFormat="1" applyFont="1" applyBorder="1" applyProtection="1">
      <protection locked="0"/>
    </xf>
    <xf numFmtId="3" fontId="20" fillId="14" borderId="55" xfId="5" applyNumberFormat="1" applyFont="1" applyFill="1" applyBorder="1" applyAlignment="1" applyProtection="1">
      <alignment vertical="center"/>
      <protection locked="0"/>
    </xf>
    <xf numFmtId="3" fontId="20" fillId="14" borderId="55" xfId="5" applyNumberFormat="1" applyFont="1" applyFill="1" applyBorder="1" applyAlignment="1" applyProtection="1">
      <alignment vertical="top"/>
      <protection locked="0"/>
    </xf>
    <xf numFmtId="0" fontId="132" fillId="11" borderId="0" xfId="0" applyFont="1" applyFill="1" applyAlignment="1">
      <alignment horizontal="right" vertical="center"/>
    </xf>
    <xf numFmtId="0" fontId="36" fillId="0" borderId="0" xfId="0" applyFont="1" applyProtection="1">
      <protection hidden="1"/>
    </xf>
    <xf numFmtId="0" fontId="20" fillId="2" borderId="0" xfId="1" quotePrefix="1" applyFont="1" applyFill="1" applyAlignment="1" applyProtection="1">
      <alignment horizontal="left" vertical="center"/>
      <protection hidden="1"/>
    </xf>
    <xf numFmtId="167" fontId="89" fillId="0" borderId="0" xfId="1" applyNumberFormat="1" applyFont="1" applyProtection="1">
      <protection hidden="1"/>
    </xf>
    <xf numFmtId="0" fontId="129" fillId="0" borderId="0" xfId="0" applyFont="1" applyAlignment="1" applyProtection="1">
      <alignment horizontal="center" vertical="center"/>
      <protection locked="0"/>
    </xf>
    <xf numFmtId="0" fontId="129" fillId="14" borderId="0" xfId="2" applyFont="1" applyFill="1" applyAlignment="1" applyProtection="1">
      <alignment horizontal="center" vertical="center"/>
      <protection locked="0" hidden="1"/>
    </xf>
    <xf numFmtId="0" fontId="129" fillId="0" borderId="0" xfId="2" applyFont="1" applyFill="1" applyAlignment="1" applyProtection="1">
      <alignment horizontal="center" vertical="center"/>
      <protection locked="0" hidden="1"/>
    </xf>
    <xf numFmtId="0" fontId="129" fillId="0" borderId="0" xfId="0" applyFont="1" applyAlignment="1">
      <alignment horizontal="center" vertical="center"/>
    </xf>
    <xf numFmtId="0" fontId="129" fillId="0" borderId="0" xfId="2" applyFont="1" applyAlignment="1" applyProtection="1">
      <alignment horizontal="center" vertical="center"/>
      <protection hidden="1"/>
    </xf>
    <xf numFmtId="0" fontId="129" fillId="0" borderId="0" xfId="0" applyFont="1"/>
    <xf numFmtId="0" fontId="20" fillId="0" borderId="0" xfId="0" applyFont="1"/>
    <xf numFmtId="0" fontId="20" fillId="0" borderId="0" xfId="0" applyFont="1" applyAlignment="1" applyProtection="1">
      <alignment horizontal="center" vertical="center"/>
      <protection hidden="1"/>
    </xf>
    <xf numFmtId="0" fontId="129" fillId="0" borderId="0" xfId="0" applyFont="1" applyAlignment="1" applyProtection="1">
      <alignment horizontal="center" vertical="center"/>
      <protection hidden="1"/>
    </xf>
    <xf numFmtId="0" fontId="22" fillId="0" borderId="0" xfId="0" applyFont="1" applyAlignment="1" applyProtection="1">
      <alignment horizontal="center" vertical="center"/>
      <protection hidden="1"/>
    </xf>
    <xf numFmtId="0" fontId="63" fillId="0" borderId="0" xfId="1" applyFont="1" applyAlignment="1" applyProtection="1">
      <alignment horizontal="left" vertical="center"/>
      <protection hidden="1"/>
    </xf>
    <xf numFmtId="168" fontId="21" fillId="17" borderId="53" xfId="1" applyNumberFormat="1" applyFont="1" applyFill="1" applyBorder="1" applyProtection="1">
      <protection hidden="1"/>
    </xf>
    <xf numFmtId="0" fontId="22" fillId="0" borderId="53" xfId="0" applyFont="1" applyBorder="1"/>
    <xf numFmtId="0" fontId="22" fillId="0" borderId="53" xfId="0" applyFont="1" applyBorder="1" applyAlignment="1">
      <alignment horizontal="center" vertical="center" wrapText="1"/>
    </xf>
    <xf numFmtId="0" fontId="113" fillId="0" borderId="0" xfId="1" applyFont="1" applyAlignment="1" applyProtection="1">
      <alignment horizontal="left" vertical="center"/>
      <protection hidden="1"/>
    </xf>
    <xf numFmtId="0" fontId="77" fillId="0" borderId="0" xfId="1" applyFont="1" applyProtection="1">
      <protection hidden="1"/>
    </xf>
    <xf numFmtId="167" fontId="149" fillId="0" borderId="0" xfId="1" applyNumberFormat="1" applyFont="1" applyAlignment="1" applyProtection="1">
      <alignment horizontal="center"/>
      <protection hidden="1"/>
    </xf>
    <xf numFmtId="167" fontId="113" fillId="0" borderId="0" xfId="1" applyNumberFormat="1" applyFont="1" applyAlignment="1" applyProtection="1">
      <alignment horizontal="right"/>
      <protection hidden="1"/>
    </xf>
    <xf numFmtId="0" fontId="84" fillId="0" borderId="0" xfId="0" applyFont="1" applyAlignment="1">
      <alignment horizontal="left"/>
    </xf>
    <xf numFmtId="0" fontId="10" fillId="0" borderId="0" xfId="0" applyFont="1" applyAlignment="1">
      <alignment horizontal="left"/>
    </xf>
    <xf numFmtId="167" fontId="20" fillId="0" borderId="53" xfId="1" applyNumberFormat="1" applyFont="1" applyBorder="1" applyProtection="1">
      <protection hidden="1"/>
    </xf>
    <xf numFmtId="167" fontId="8" fillId="0" borderId="0" xfId="1" applyNumberFormat="1" applyFont="1" applyAlignment="1" applyProtection="1">
      <alignment horizontal="left"/>
      <protection hidden="1"/>
    </xf>
    <xf numFmtId="0" fontId="0" fillId="0" borderId="0" xfId="1" applyFont="1" applyAlignment="1">
      <alignment horizontal="right"/>
    </xf>
    <xf numFmtId="167" fontId="153" fillId="0" borderId="0" xfId="1" applyNumberFormat="1" applyFont="1" applyProtection="1">
      <protection hidden="1"/>
    </xf>
    <xf numFmtId="0" fontId="0" fillId="0" borderId="0" xfId="1" applyFont="1" applyAlignment="1" applyProtection="1">
      <alignment wrapText="1"/>
      <protection hidden="1"/>
    </xf>
    <xf numFmtId="167" fontId="22" fillId="0" borderId="0" xfId="1" applyNumberFormat="1" applyFont="1" applyAlignment="1" applyProtection="1">
      <alignment horizontal="right" wrapText="1"/>
      <protection hidden="1"/>
    </xf>
    <xf numFmtId="0" fontId="96" fillId="2" borderId="0" xfId="1" applyFont="1" applyFill="1" applyAlignment="1" applyProtection="1">
      <alignment horizontal="center" vertical="center"/>
      <protection hidden="1"/>
    </xf>
    <xf numFmtId="0" fontId="22" fillId="2" borderId="0" xfId="1" quotePrefix="1" applyFont="1" applyFill="1" applyAlignment="1" applyProtection="1">
      <alignment horizontal="left" vertical="center"/>
      <protection hidden="1"/>
    </xf>
    <xf numFmtId="0" fontId="94" fillId="14" borderId="0" xfId="1" quotePrefix="1" applyFont="1" applyFill="1" applyAlignment="1" applyProtection="1">
      <alignment horizontal="left" vertical="center" wrapText="1"/>
      <protection hidden="1"/>
    </xf>
    <xf numFmtId="0" fontId="95" fillId="14" borderId="0" xfId="1" applyFont="1" applyFill="1" applyAlignment="1" applyProtection="1">
      <alignment vertical="center" wrapText="1"/>
      <protection hidden="1"/>
    </xf>
    <xf numFmtId="0" fontId="22" fillId="0" borderId="0" xfId="0" applyFont="1"/>
    <xf numFmtId="167" fontId="90" fillId="17" borderId="53" xfId="1" applyNumberFormat="1" applyFont="1" applyFill="1" applyBorder="1" applyProtection="1">
      <protection locked="0"/>
    </xf>
    <xf numFmtId="167" fontId="146" fillId="17" borderId="53" xfId="1" applyNumberFormat="1" applyFont="1" applyFill="1" applyBorder="1" applyProtection="1">
      <protection hidden="1"/>
    </xf>
    <xf numFmtId="167" fontId="32" fillId="17" borderId="54" xfId="1" applyNumberFormat="1" applyFont="1" applyFill="1" applyBorder="1" applyProtection="1">
      <protection hidden="1"/>
    </xf>
    <xf numFmtId="167" fontId="20" fillId="0" borderId="56" xfId="1" applyNumberFormat="1" applyFont="1" applyBorder="1" applyProtection="1">
      <protection locked="0"/>
    </xf>
    <xf numFmtId="167" fontId="32" fillId="17" borderId="56" xfId="1" applyNumberFormat="1" applyFont="1" applyFill="1" applyBorder="1" applyProtection="1">
      <protection hidden="1"/>
    </xf>
    <xf numFmtId="9" fontId="130" fillId="11" borderId="53" xfId="13" applyFont="1" applyFill="1" applyBorder="1" applyAlignment="1" applyProtection="1">
      <alignment horizontal="center" vertical="center"/>
      <protection hidden="1"/>
    </xf>
    <xf numFmtId="0" fontId="81" fillId="0" borderId="0" xfId="5" applyFont="1" applyAlignment="1" applyProtection="1">
      <alignment horizontal="left" vertical="center" indent="1"/>
      <protection hidden="1"/>
    </xf>
    <xf numFmtId="0" fontId="81" fillId="0" borderId="47" xfId="5" applyFont="1" applyBorder="1" applyAlignment="1" applyProtection="1">
      <alignment horizontal="left" vertical="center" indent="1"/>
      <protection hidden="1"/>
    </xf>
    <xf numFmtId="0" fontId="0" fillId="0" borderId="16" xfId="0" applyBorder="1" applyProtection="1">
      <protection hidden="1"/>
    </xf>
    <xf numFmtId="167" fontId="150" fillId="0" borderId="0" xfId="1" quotePrefix="1" applyNumberFormat="1" applyFont="1" applyAlignment="1" applyProtection="1">
      <alignment horizontal="left"/>
      <protection hidden="1"/>
    </xf>
    <xf numFmtId="167" fontId="78" fillId="0" borderId="0" xfId="1" quotePrefix="1" applyNumberFormat="1" applyFont="1" applyAlignment="1" applyProtection="1">
      <alignment horizontal="left"/>
      <protection hidden="1"/>
    </xf>
    <xf numFmtId="0" fontId="150" fillId="0" borderId="0" xfId="5" applyFont="1" applyAlignment="1" applyProtection="1">
      <alignment horizontal="center" vertical="center"/>
      <protection hidden="1"/>
    </xf>
    <xf numFmtId="0" fontId="78" fillId="0" borderId="0" xfId="0" applyFont="1" applyAlignment="1">
      <alignment horizontal="left"/>
    </xf>
    <xf numFmtId="0" fontId="159" fillId="0" borderId="0" xfId="15" applyFont="1"/>
    <xf numFmtId="1" fontId="78" fillId="13" borderId="13" xfId="5" applyNumberFormat="1" applyFont="1" applyFill="1" applyBorder="1" applyAlignment="1" applyProtection="1">
      <alignment horizontal="right"/>
      <protection locked="0" hidden="1"/>
    </xf>
    <xf numFmtId="0" fontId="89" fillId="0" borderId="0" xfId="0" applyFont="1" applyAlignment="1">
      <alignment horizontal="left"/>
    </xf>
    <xf numFmtId="0" fontId="150" fillId="0" borderId="0" xfId="0" applyFont="1" applyAlignment="1">
      <alignment horizontal="left"/>
    </xf>
    <xf numFmtId="0" fontId="160" fillId="0" borderId="0" xfId="0" applyFont="1" applyAlignment="1">
      <alignment horizontal="center" vertical="center"/>
    </xf>
    <xf numFmtId="0" fontId="150" fillId="27" borderId="0" xfId="0" applyFont="1" applyFill="1"/>
    <xf numFmtId="0" fontId="78" fillId="27" borderId="0" xfId="0" applyFont="1" applyFill="1"/>
    <xf numFmtId="0" fontId="0" fillId="0" borderId="12" xfId="0" applyBorder="1"/>
    <xf numFmtId="1" fontId="83" fillId="0" borderId="0" xfId="1" applyNumberFormat="1" applyFont="1" applyAlignment="1" applyProtection="1">
      <alignment horizontal="center"/>
      <protection hidden="1"/>
    </xf>
    <xf numFmtId="0" fontId="78" fillId="0" borderId="0" xfId="1" applyFont="1"/>
    <xf numFmtId="167" fontId="165" fillId="0" borderId="0" xfId="2" quotePrefix="1" applyNumberFormat="1" applyFont="1" applyAlignment="1" applyProtection="1">
      <alignment horizontal="left"/>
      <protection hidden="1"/>
    </xf>
    <xf numFmtId="167" fontId="165" fillId="0" borderId="0" xfId="2" applyNumberFormat="1" applyFont="1" applyAlignment="1" applyProtection="1">
      <alignment horizontal="left"/>
      <protection hidden="1"/>
    </xf>
    <xf numFmtId="168" fontId="85" fillId="0" borderId="53" xfId="1" applyNumberFormat="1" applyFont="1" applyBorder="1" applyAlignment="1" applyProtection="1">
      <alignment vertical="center"/>
      <protection locked="0" hidden="1"/>
    </xf>
    <xf numFmtId="0" fontId="22" fillId="0" borderId="0" xfId="0" applyFont="1" applyAlignment="1" applyProtection="1">
      <alignment vertical="center"/>
      <protection hidden="1"/>
    </xf>
    <xf numFmtId="0" fontId="25" fillId="0" borderId="0" xfId="0" applyFont="1" applyProtection="1">
      <protection hidden="1"/>
    </xf>
    <xf numFmtId="0" fontId="25" fillId="0" borderId="0" xfId="0" applyFont="1"/>
    <xf numFmtId="167" fontId="157" fillId="14" borderId="0" xfId="1" applyNumberFormat="1" applyFont="1" applyFill="1" applyAlignment="1" applyProtection="1">
      <alignment horizontal="right" vertical="center" wrapText="1"/>
      <protection hidden="1"/>
    </xf>
    <xf numFmtId="167" fontId="20" fillId="0" borderId="0" xfId="1" quotePrefix="1" applyNumberFormat="1" applyFont="1" applyAlignment="1" applyProtection="1">
      <alignment horizontal="left" vertical="top"/>
      <protection hidden="1"/>
    </xf>
    <xf numFmtId="0" fontId="20" fillId="0" borderId="0" xfId="1" applyFont="1" applyAlignment="1" applyProtection="1">
      <alignment vertical="top"/>
      <protection hidden="1"/>
    </xf>
    <xf numFmtId="0" fontId="160" fillId="0" borderId="0" xfId="2" applyFont="1" applyAlignment="1" applyProtection="1">
      <alignment horizontal="center" vertical="center"/>
      <protection locked="0" hidden="1"/>
    </xf>
    <xf numFmtId="3" fontId="0" fillId="0" borderId="0" xfId="0" applyNumberFormat="1"/>
    <xf numFmtId="172" fontId="0" fillId="0" borderId="0" xfId="0" applyNumberFormat="1"/>
    <xf numFmtId="0" fontId="0" fillId="13" borderId="0" xfId="0" applyFill="1"/>
    <xf numFmtId="9" fontId="130" fillId="11" borderId="53" xfId="62" applyFont="1" applyFill="1" applyBorder="1" applyAlignment="1" applyProtection="1">
      <alignment horizontal="center" vertical="center"/>
      <protection hidden="1"/>
    </xf>
    <xf numFmtId="167" fontId="161" fillId="0" borderId="0" xfId="1" applyNumberFormat="1" applyFont="1" applyProtection="1">
      <protection hidden="1"/>
    </xf>
    <xf numFmtId="167" fontId="8" fillId="0" borderId="0" xfId="5" applyNumberFormat="1" applyFont="1" applyAlignment="1" applyProtection="1">
      <alignment horizontal="left"/>
      <protection hidden="1"/>
    </xf>
    <xf numFmtId="0" fontId="0" fillId="0" borderId="0" xfId="0" quotePrefix="1"/>
    <xf numFmtId="0" fontId="169" fillId="0" borderId="0" xfId="0" applyFont="1" applyProtection="1">
      <protection hidden="1"/>
    </xf>
    <xf numFmtId="167" fontId="32" fillId="0" borderId="0" xfId="1" applyNumberFormat="1" applyFont="1" applyAlignment="1" applyProtection="1">
      <alignment vertical="center"/>
      <protection hidden="1"/>
    </xf>
    <xf numFmtId="167" fontId="32" fillId="17" borderId="58" xfId="1" applyNumberFormat="1" applyFont="1" applyFill="1" applyBorder="1" applyAlignment="1" applyProtection="1">
      <alignment vertical="center"/>
      <protection hidden="1"/>
    </xf>
    <xf numFmtId="167" fontId="32" fillId="0" borderId="57" xfId="1" applyNumberFormat="1" applyFont="1" applyBorder="1" applyAlignment="1" applyProtection="1">
      <alignment vertical="center"/>
      <protection hidden="1"/>
    </xf>
    <xf numFmtId="0" fontId="127" fillId="0" borderId="0" xfId="2" applyFont="1" applyAlignment="1" applyProtection="1">
      <alignment horizontal="center" vertical="center"/>
      <protection locked="0" hidden="1"/>
    </xf>
    <xf numFmtId="0" fontId="129" fillId="0" borderId="0" xfId="2" applyFont="1" applyAlignment="1" applyProtection="1">
      <alignment horizontal="center"/>
    </xf>
    <xf numFmtId="0" fontId="83" fillId="0" borderId="0" xfId="2" applyFont="1" applyAlignment="1" applyProtection="1">
      <alignment horizontal="center" vertical="center"/>
      <protection locked="0" hidden="1"/>
    </xf>
    <xf numFmtId="0" fontId="77" fillId="0" borderId="0" xfId="0" applyFont="1" applyAlignment="1">
      <alignment horizontal="center"/>
    </xf>
    <xf numFmtId="0" fontId="10" fillId="0" borderId="0" xfId="1" applyFont="1" applyAlignment="1">
      <alignment horizontal="left"/>
    </xf>
    <xf numFmtId="3" fontId="172" fillId="23" borderId="11" xfId="1" applyNumberFormat="1" applyFont="1" applyFill="1" applyBorder="1" applyProtection="1">
      <protection hidden="1"/>
    </xf>
    <xf numFmtId="0" fontId="172" fillId="23" borderId="0" xfId="0" applyFont="1" applyFill="1" applyAlignment="1">
      <alignment horizontal="right"/>
    </xf>
    <xf numFmtId="0" fontId="172" fillId="23" borderId="7" xfId="0" applyFont="1" applyFill="1" applyBorder="1" applyAlignment="1">
      <alignment horizontal="right"/>
    </xf>
    <xf numFmtId="0" fontId="173" fillId="14" borderId="10" xfId="2" applyFont="1" applyFill="1" applyBorder="1" applyAlignment="1" applyProtection="1">
      <alignment horizontal="center" vertical="center"/>
      <protection locked="0"/>
    </xf>
    <xf numFmtId="0" fontId="20" fillId="0" borderId="10" xfId="0" applyFont="1" applyBorder="1" applyAlignment="1" applyProtection="1">
      <alignment horizontal="left"/>
      <protection hidden="1"/>
    </xf>
    <xf numFmtId="0" fontId="20" fillId="0" borderId="10" xfId="0" applyFont="1" applyBorder="1" applyProtection="1">
      <protection hidden="1"/>
    </xf>
    <xf numFmtId="0" fontId="20" fillId="0" borderId="10" xfId="0" applyFont="1" applyBorder="1" applyAlignment="1">
      <alignment horizontal="left"/>
    </xf>
    <xf numFmtId="0" fontId="20" fillId="0" borderId="10" xfId="0" applyFont="1" applyBorder="1"/>
    <xf numFmtId="0" fontId="20" fillId="0" borderId="13" xfId="0" applyFont="1" applyBorder="1" applyAlignment="1">
      <alignment horizontal="left"/>
    </xf>
    <xf numFmtId="0" fontId="20" fillId="0" borderId="47" xfId="0" applyFont="1" applyBorder="1"/>
    <xf numFmtId="0" fontId="174" fillId="0" borderId="0" xfId="2" applyFont="1" applyAlignment="1" applyProtection="1">
      <alignment horizontal="left" vertical="top"/>
      <protection hidden="1"/>
    </xf>
    <xf numFmtId="0" fontId="174" fillId="0" borderId="0" xfId="2" applyFont="1" applyFill="1" applyAlignment="1" applyProtection="1">
      <alignment horizontal="center" vertical="center"/>
      <protection hidden="1"/>
    </xf>
    <xf numFmtId="0" fontId="174" fillId="0" borderId="0" xfId="2" applyFont="1" applyAlignment="1" applyProtection="1">
      <alignment horizontal="center" vertical="center"/>
      <protection hidden="1"/>
    </xf>
    <xf numFmtId="0" fontId="129" fillId="0" borderId="0" xfId="0" applyFont="1" applyProtection="1">
      <protection hidden="1"/>
    </xf>
    <xf numFmtId="167" fontId="129" fillId="0" borderId="0" xfId="1" applyNumberFormat="1" applyFont="1" applyProtection="1">
      <protection hidden="1"/>
    </xf>
    <xf numFmtId="167" fontId="171" fillId="0" borderId="0" xfId="1" applyNumberFormat="1" applyFont="1" applyProtection="1">
      <protection hidden="1"/>
    </xf>
    <xf numFmtId="0" fontId="37" fillId="0" borderId="0" xfId="0" applyFont="1" applyAlignment="1">
      <alignment horizontal="right" vertical="center"/>
    </xf>
    <xf numFmtId="0" fontId="14" fillId="0" borderId="0" xfId="0" applyFont="1" applyAlignment="1">
      <alignment horizontal="left"/>
    </xf>
    <xf numFmtId="0" fontId="36" fillId="12" borderId="53" xfId="0" applyFont="1" applyFill="1" applyBorder="1" applyAlignment="1">
      <alignment wrapText="1"/>
    </xf>
    <xf numFmtId="0" fontId="20" fillId="0" borderId="0" xfId="1" applyFont="1" applyAlignment="1" applyProtection="1">
      <alignment vertical="center"/>
      <protection locked="0"/>
    </xf>
    <xf numFmtId="0" fontId="20" fillId="0" borderId="0" xfId="1" applyFont="1" applyAlignment="1" applyProtection="1">
      <alignment horizontal="left" vertical="center"/>
      <protection locked="0"/>
    </xf>
    <xf numFmtId="174" fontId="20" fillId="25" borderId="53" xfId="5" applyNumberFormat="1" applyFont="1" applyFill="1" applyBorder="1" applyProtection="1">
      <protection hidden="1"/>
    </xf>
    <xf numFmtId="0" fontId="10" fillId="0" borderId="53" xfId="0" applyFont="1" applyBorder="1" applyProtection="1">
      <protection locked="0"/>
    </xf>
    <xf numFmtId="0" fontId="123" fillId="0" borderId="0" xfId="0" applyFont="1"/>
    <xf numFmtId="0" fontId="123" fillId="0" borderId="0" xfId="0" applyFont="1" applyAlignment="1">
      <alignment horizontal="left"/>
    </xf>
    <xf numFmtId="1" fontId="123" fillId="0" borderId="0" xfId="0" applyNumberFormat="1" applyFont="1" applyAlignment="1">
      <alignment vertical="center"/>
    </xf>
    <xf numFmtId="0" fontId="123" fillId="0" borderId="0" xfId="0" quotePrefix="1" applyFont="1" applyAlignment="1">
      <alignment horizontal="right" vertical="center"/>
    </xf>
    <xf numFmtId="0" fontId="123" fillId="0" borderId="0" xfId="0" applyFont="1" applyAlignment="1">
      <alignment horizontal="right" vertical="center"/>
    </xf>
    <xf numFmtId="1" fontId="123" fillId="0" borderId="0" xfId="0" applyNumberFormat="1" applyFont="1"/>
    <xf numFmtId="0" fontId="123" fillId="0" borderId="0" xfId="33" applyFont="1"/>
    <xf numFmtId="0" fontId="123" fillId="0" borderId="0" xfId="6" applyFont="1"/>
    <xf numFmtId="49" fontId="123" fillId="0" borderId="0" xfId="0" applyNumberFormat="1" applyFont="1" applyAlignment="1">
      <alignment horizontal="right" vertical="center"/>
    </xf>
    <xf numFmtId="0" fontId="96" fillId="0" borderId="0" xfId="1" quotePrefix="1" applyFont="1" applyAlignment="1" applyProtection="1">
      <alignment horizontal="left"/>
      <protection hidden="1"/>
    </xf>
    <xf numFmtId="0" fontId="96" fillId="0" borderId="0" xfId="1" applyFont="1" applyAlignment="1" applyProtection="1">
      <alignment horizontal="left"/>
      <protection hidden="1"/>
    </xf>
    <xf numFmtId="167" fontId="118" fillId="0" borderId="0" xfId="1" applyNumberFormat="1" applyFont="1" applyAlignment="1" applyProtection="1">
      <alignment horizontal="left"/>
      <protection hidden="1"/>
    </xf>
    <xf numFmtId="167" fontId="118" fillId="0" borderId="0" xfId="1" quotePrefix="1" applyNumberFormat="1" applyFont="1" applyAlignment="1" applyProtection="1">
      <alignment horizontal="left"/>
      <protection hidden="1"/>
    </xf>
    <xf numFmtId="167" fontId="96" fillId="0" borderId="0" xfId="1" quotePrefix="1" applyNumberFormat="1" applyFont="1" applyAlignment="1" applyProtection="1">
      <alignment horizontal="left"/>
      <protection hidden="1"/>
    </xf>
    <xf numFmtId="0" fontId="118" fillId="0" borderId="0" xfId="1" applyFont="1" applyAlignment="1" applyProtection="1">
      <alignment horizontal="left"/>
      <protection hidden="1"/>
    </xf>
    <xf numFmtId="0" fontId="8" fillId="0" borderId="0" xfId="1" applyFont="1" applyProtection="1">
      <protection hidden="1"/>
    </xf>
    <xf numFmtId="167" fontId="8" fillId="14" borderId="0" xfId="1" quotePrefix="1" applyNumberFormat="1" applyFont="1" applyFill="1" applyAlignment="1" applyProtection="1">
      <alignment horizontal="left"/>
      <protection hidden="1"/>
    </xf>
    <xf numFmtId="167" fontId="96" fillId="14" borderId="0" xfId="1" applyNumberFormat="1" applyFont="1" applyFill="1" applyAlignment="1" applyProtection="1">
      <alignment horizontal="left"/>
      <protection hidden="1"/>
    </xf>
    <xf numFmtId="167" fontId="96" fillId="14" borderId="0" xfId="1" quotePrefix="1" applyNumberFormat="1" applyFont="1" applyFill="1" applyAlignment="1" applyProtection="1">
      <alignment horizontal="left"/>
      <protection hidden="1"/>
    </xf>
    <xf numFmtId="167" fontId="96" fillId="0" borderId="0" xfId="1" applyNumberFormat="1" applyFont="1" applyAlignment="1" applyProtection="1">
      <alignment horizontal="left"/>
      <protection hidden="1"/>
    </xf>
    <xf numFmtId="167" fontId="123" fillId="0" borderId="0" xfId="1" quotePrefix="1" applyNumberFormat="1" applyFont="1" applyAlignment="1" applyProtection="1">
      <alignment horizontal="left" indent="2"/>
      <protection hidden="1"/>
    </xf>
    <xf numFmtId="3" fontId="171" fillId="14" borderId="0" xfId="5" applyNumberFormat="1" applyFont="1" applyFill="1" applyProtection="1">
      <protection hidden="1"/>
    </xf>
    <xf numFmtId="167" fontId="123" fillId="0" borderId="0" xfId="1" applyNumberFormat="1" applyFont="1" applyAlignment="1" applyProtection="1">
      <alignment horizontal="left"/>
      <protection hidden="1"/>
    </xf>
    <xf numFmtId="167" fontId="123" fillId="0" borderId="0" xfId="1" quotePrefix="1" applyNumberFormat="1" applyFont="1" applyAlignment="1" applyProtection="1">
      <alignment horizontal="left"/>
      <protection hidden="1"/>
    </xf>
    <xf numFmtId="3" fontId="171" fillId="0" borderId="0" xfId="5" applyNumberFormat="1" applyFont="1" applyProtection="1">
      <protection hidden="1"/>
    </xf>
    <xf numFmtId="167" fontId="123" fillId="0" borderId="0" xfId="1" applyNumberFormat="1" applyFont="1" applyAlignment="1" applyProtection="1">
      <alignment horizontal="left" vertical="top"/>
      <protection hidden="1"/>
    </xf>
    <xf numFmtId="167" fontId="123" fillId="0" borderId="0" xfId="5" quotePrefix="1" applyNumberFormat="1" applyFont="1" applyAlignment="1" applyProtection="1">
      <alignment horizontal="left" vertical="top" wrapText="1"/>
      <protection hidden="1"/>
    </xf>
    <xf numFmtId="167" fontId="123" fillId="0" borderId="0" xfId="1" quotePrefix="1" applyNumberFormat="1" applyFont="1" applyAlignment="1" applyProtection="1">
      <alignment horizontal="left" vertical="top" wrapText="1"/>
      <protection hidden="1"/>
    </xf>
    <xf numFmtId="0" fontId="178" fillId="0" borderId="0" xfId="0" quotePrefix="1" applyFont="1"/>
    <xf numFmtId="0" fontId="8" fillId="14" borderId="0" xfId="1" applyFont="1" applyFill="1" applyAlignment="1" applyProtection="1">
      <alignment vertical="center"/>
      <protection hidden="1"/>
    </xf>
    <xf numFmtId="0" fontId="123" fillId="11" borderId="0" xfId="0" applyFont="1" applyFill="1"/>
    <xf numFmtId="1" fontId="123" fillId="11" borderId="0" xfId="0" applyNumberFormat="1" applyFont="1" applyFill="1" applyAlignment="1">
      <alignment vertical="center"/>
    </xf>
    <xf numFmtId="0" fontId="123" fillId="11" borderId="0" xfId="0" quotePrefix="1" applyFont="1" applyFill="1" applyAlignment="1">
      <alignment horizontal="right" vertical="center"/>
    </xf>
    <xf numFmtId="167" fontId="111" fillId="2" borderId="0" xfId="1" quotePrefix="1" applyNumberFormat="1" applyFont="1" applyFill="1" applyAlignment="1" applyProtection="1">
      <alignment horizontal="right" vertical="top"/>
      <protection hidden="1"/>
    </xf>
    <xf numFmtId="0" fontId="181" fillId="12" borderId="0" xfId="5" applyFont="1" applyFill="1" applyAlignment="1" applyProtection="1">
      <alignment horizontal="left" vertical="center" indent="1"/>
      <protection hidden="1"/>
    </xf>
    <xf numFmtId="0" fontId="150" fillId="12" borderId="0" xfId="5" quotePrefix="1" applyFont="1" applyFill="1" applyAlignment="1" applyProtection="1">
      <alignment wrapText="1"/>
      <protection hidden="1"/>
    </xf>
    <xf numFmtId="0" fontId="160" fillId="0" borderId="0" xfId="0" applyFont="1" applyAlignment="1">
      <alignment horizontal="left" vertical="center"/>
    </xf>
    <xf numFmtId="0" fontId="150" fillId="27" borderId="0" xfId="0" applyFont="1" applyFill="1" applyAlignment="1">
      <alignment horizontal="left"/>
    </xf>
    <xf numFmtId="0" fontId="78" fillId="27" borderId="0" xfId="0" applyFont="1" applyFill="1" applyAlignment="1">
      <alignment horizontal="left"/>
    </xf>
    <xf numFmtId="0" fontId="89" fillId="0" borderId="0" xfId="0" applyFont="1" applyAlignment="1">
      <alignment horizontal="left" vertical="center"/>
    </xf>
    <xf numFmtId="0" fontId="22" fillId="0" borderId="0" xfId="0" applyFont="1" applyAlignment="1">
      <alignment horizontal="left"/>
    </xf>
    <xf numFmtId="0" fontId="25" fillId="22" borderId="0" xfId="0" applyFont="1" applyFill="1" applyAlignment="1">
      <alignment horizontal="left" vertical="top"/>
    </xf>
    <xf numFmtId="0" fontId="0" fillId="22" borderId="0" xfId="0" applyFill="1" applyProtection="1">
      <protection hidden="1"/>
    </xf>
    <xf numFmtId="0" fontId="183" fillId="22" borderId="0" xfId="0" applyFont="1" applyFill="1" applyProtection="1">
      <protection hidden="1"/>
    </xf>
    <xf numFmtId="0" fontId="25" fillId="22" borderId="0" xfId="1" applyFont="1" applyFill="1" applyProtection="1">
      <protection hidden="1"/>
    </xf>
    <xf numFmtId="0" fontId="57" fillId="22" borderId="0" xfId="0" applyFont="1" applyFill="1" applyAlignment="1">
      <alignment horizontal="right" vertical="top"/>
    </xf>
    <xf numFmtId="0" fontId="0" fillId="32" borderId="0" xfId="0" applyFill="1"/>
    <xf numFmtId="0" fontId="0" fillId="33" borderId="0" xfId="0" applyFill="1"/>
    <xf numFmtId="167" fontId="22" fillId="2" borderId="0" xfId="1" quotePrefix="1" applyNumberFormat="1" applyFont="1" applyFill="1" applyAlignment="1" applyProtection="1">
      <alignment horizontal="right" vertical="center" wrapText="1"/>
      <protection hidden="1"/>
    </xf>
    <xf numFmtId="0" fontId="123" fillId="34" borderId="0" xfId="0" applyFont="1" applyFill="1"/>
    <xf numFmtId="1" fontId="123" fillId="34" borderId="0" xfId="0" applyNumberFormat="1" applyFont="1" applyFill="1" applyAlignment="1">
      <alignment vertical="center"/>
    </xf>
    <xf numFmtId="0" fontId="123" fillId="34" borderId="0" xfId="0" quotePrefix="1" applyFont="1" applyFill="1" applyAlignment="1">
      <alignment horizontal="right" vertical="center"/>
    </xf>
    <xf numFmtId="0" fontId="0" fillId="34" borderId="0" xfId="0" applyFill="1"/>
    <xf numFmtId="0" fontId="0" fillId="0" borderId="0" xfId="0" applyAlignment="1">
      <alignment wrapText="1"/>
    </xf>
    <xf numFmtId="0" fontId="36" fillId="0" borderId="0" xfId="0" applyFont="1" applyAlignment="1">
      <alignment wrapText="1"/>
    </xf>
    <xf numFmtId="10" fontId="123" fillId="0" borderId="0" xfId="62" applyNumberFormat="1" applyFont="1" applyFill="1"/>
    <xf numFmtId="10" fontId="0" fillId="0" borderId="0" xfId="62" applyNumberFormat="1" applyFont="1" applyFill="1"/>
    <xf numFmtId="173" fontId="0" fillId="0" borderId="0" xfId="62" applyNumberFormat="1" applyFont="1" applyFill="1"/>
    <xf numFmtId="9" fontId="0" fillId="0" borderId="0" xfId="62" applyFont="1" applyFill="1"/>
    <xf numFmtId="167" fontId="150" fillId="0" borderId="0" xfId="1" applyNumberFormat="1" applyFont="1" applyAlignment="1" applyProtection="1">
      <alignment horizontal="left" indent="1"/>
      <protection hidden="1"/>
    </xf>
    <xf numFmtId="0" fontId="83" fillId="0" borderId="0" xfId="1" applyFont="1" applyAlignment="1" applyProtection="1">
      <alignment horizontal="right"/>
      <protection hidden="1"/>
    </xf>
    <xf numFmtId="167" fontId="83" fillId="0" borderId="0" xfId="1" applyNumberFormat="1" applyFont="1" applyAlignment="1" applyProtection="1">
      <alignment horizontal="right"/>
      <protection hidden="1"/>
    </xf>
    <xf numFmtId="0" fontId="89" fillId="0" borderId="0" xfId="1" applyFont="1" applyProtection="1">
      <protection hidden="1"/>
    </xf>
    <xf numFmtId="167" fontId="83" fillId="0" borderId="0" xfId="4" quotePrefix="1" applyFont="1" applyAlignment="1" applyProtection="1">
      <alignment horizontal="right"/>
      <protection hidden="1"/>
    </xf>
    <xf numFmtId="167" fontId="81" fillId="0" borderId="0" xfId="1" quotePrefix="1" applyNumberFormat="1" applyFont="1" applyAlignment="1" applyProtection="1">
      <alignment horizontal="right"/>
      <protection hidden="1"/>
    </xf>
    <xf numFmtId="167" fontId="83" fillId="0" borderId="0" xfId="5" applyNumberFormat="1" applyFont="1" applyAlignment="1">
      <alignment horizontal="right"/>
    </xf>
    <xf numFmtId="0" fontId="83" fillId="0" borderId="0" xfId="5" applyFont="1" applyAlignment="1">
      <alignment horizontal="right"/>
    </xf>
    <xf numFmtId="0" fontId="89" fillId="0" borderId="0" xfId="5" applyFont="1"/>
    <xf numFmtId="167" fontId="83" fillId="0" borderId="0" xfId="4" quotePrefix="1" applyFont="1" applyAlignment="1">
      <alignment horizontal="right"/>
    </xf>
    <xf numFmtId="167" fontId="32" fillId="25" borderId="53" xfId="5" applyNumberFormat="1" applyFont="1" applyFill="1" applyBorder="1" applyProtection="1">
      <protection hidden="1"/>
    </xf>
    <xf numFmtId="167" fontId="21" fillId="25" borderId="53" xfId="5" applyNumberFormat="1" applyFont="1" applyFill="1" applyBorder="1" applyProtection="1">
      <protection hidden="1"/>
    </xf>
    <xf numFmtId="167" fontId="41" fillId="25" borderId="53" xfId="5" applyNumberFormat="1" applyFont="1" applyFill="1" applyBorder="1" applyProtection="1">
      <protection hidden="1"/>
    </xf>
    <xf numFmtId="0" fontId="150" fillId="0" borderId="0" xfId="0" applyFont="1" applyAlignment="1" applyProtection="1">
      <alignment horizontal="left"/>
      <protection hidden="1"/>
    </xf>
    <xf numFmtId="0" fontId="150" fillId="0" borderId="0" xfId="0" applyFont="1" applyProtection="1">
      <protection hidden="1"/>
    </xf>
    <xf numFmtId="0" fontId="0" fillId="0" borderId="0" xfId="0" quotePrefix="1" applyProtection="1">
      <protection hidden="1"/>
    </xf>
    <xf numFmtId="0" fontId="150" fillId="0" borderId="0" xfId="1" applyFont="1" applyAlignment="1" applyProtection="1">
      <alignment horizontal="left"/>
      <protection hidden="1"/>
    </xf>
    <xf numFmtId="0" fontId="150" fillId="0" borderId="0" xfId="0" quotePrefix="1" applyFont="1" applyAlignment="1" applyProtection="1">
      <alignment horizontal="left"/>
      <protection hidden="1"/>
    </xf>
    <xf numFmtId="0" fontId="116" fillId="0" borderId="0" xfId="1" applyFont="1" applyProtection="1">
      <protection hidden="1"/>
    </xf>
    <xf numFmtId="0" fontId="150" fillId="0" borderId="0" xfId="1" applyFont="1" applyAlignment="1" applyProtection="1">
      <alignment horizontal="left" vertical="center"/>
      <protection hidden="1"/>
    </xf>
    <xf numFmtId="0" fontId="150" fillId="0" borderId="0" xfId="1" quotePrefix="1" applyFont="1" applyAlignment="1" applyProtection="1">
      <alignment horizontal="left" vertical="center"/>
      <protection hidden="1"/>
    </xf>
    <xf numFmtId="0" fontId="81" fillId="0" borderId="0" xfId="0" applyFont="1"/>
    <xf numFmtId="167" fontId="150" fillId="0" borderId="0" xfId="1" applyNumberFormat="1" applyFont="1" applyAlignment="1" applyProtection="1">
      <alignment horizontal="left"/>
      <protection hidden="1"/>
    </xf>
    <xf numFmtId="0" fontId="120" fillId="0" borderId="0" xfId="0" applyFont="1"/>
    <xf numFmtId="0" fontId="184" fillId="12" borderId="0" xfId="5" quotePrefix="1" applyFont="1" applyFill="1" applyAlignment="1" applyProtection="1">
      <alignment wrapText="1"/>
      <protection hidden="1"/>
    </xf>
    <xf numFmtId="0" fontId="120" fillId="2" borderId="0" xfId="1" applyFont="1" applyFill="1" applyProtection="1">
      <protection hidden="1"/>
    </xf>
    <xf numFmtId="0" fontId="120" fillId="2" borderId="0" xfId="1" applyFont="1" applyFill="1"/>
    <xf numFmtId="0" fontId="120" fillId="0" borderId="0" xfId="0" applyFont="1" applyProtection="1">
      <protection hidden="1"/>
    </xf>
    <xf numFmtId="0" fontId="120" fillId="0" borderId="0" xfId="0" applyFont="1" applyAlignment="1" applyProtection="1">
      <alignment vertical="center"/>
      <protection hidden="1"/>
    </xf>
    <xf numFmtId="0" fontId="120" fillId="0" borderId="0" xfId="0" applyFont="1" applyAlignment="1">
      <alignment vertical="center"/>
    </xf>
    <xf numFmtId="0" fontId="185" fillId="2" borderId="0" xfId="1" applyFont="1" applyFill="1" applyProtection="1">
      <protection hidden="1"/>
    </xf>
    <xf numFmtId="0" fontId="120" fillId="0" borderId="0" xfId="1" applyFont="1" applyProtection="1">
      <protection hidden="1"/>
    </xf>
    <xf numFmtId="0" fontId="120" fillId="0" borderId="0" xfId="1" applyFont="1"/>
    <xf numFmtId="0" fontId="185" fillId="0" borderId="0" xfId="1" applyFont="1" applyProtection="1">
      <protection hidden="1"/>
    </xf>
    <xf numFmtId="0" fontId="186" fillId="0" borderId="0" xfId="2" applyFont="1" applyAlignment="1" applyProtection="1">
      <protection hidden="1"/>
    </xf>
    <xf numFmtId="0" fontId="185" fillId="0" borderId="0" xfId="1" applyFont="1"/>
    <xf numFmtId="0" fontId="185" fillId="0" borderId="0" xfId="0" applyFont="1"/>
    <xf numFmtId="0" fontId="184" fillId="0" borderId="0" xfId="0" applyFont="1" applyProtection="1">
      <protection hidden="1"/>
    </xf>
    <xf numFmtId="0" fontId="184" fillId="0" borderId="0" xfId="0" applyFont="1"/>
    <xf numFmtId="0" fontId="120" fillId="14" borderId="0" xfId="0" applyFont="1" applyFill="1" applyProtection="1">
      <protection hidden="1"/>
    </xf>
    <xf numFmtId="0" fontId="187" fillId="0" borderId="0" xfId="0" applyFont="1" applyProtection="1">
      <protection hidden="1"/>
    </xf>
    <xf numFmtId="0" fontId="187" fillId="0" borderId="0" xfId="0" applyFont="1"/>
    <xf numFmtId="0" fontId="188" fillId="0" borderId="0" xfId="0" quotePrefix="1" applyFont="1"/>
    <xf numFmtId="0" fontId="157" fillId="12" borderId="0" xfId="5" quotePrefix="1" applyFont="1" applyFill="1" applyAlignment="1" applyProtection="1">
      <alignment vertical="top" wrapText="1"/>
      <protection hidden="1"/>
    </xf>
    <xf numFmtId="0" fontId="148" fillId="0" borderId="0" xfId="0" applyFont="1" applyAlignment="1" applyProtection="1">
      <alignment vertical="top" wrapText="1"/>
      <protection hidden="1"/>
    </xf>
    <xf numFmtId="0" fontId="148" fillId="0" borderId="0" xfId="1" applyFont="1" applyAlignment="1" applyProtection="1">
      <alignment horizontal="center" vertical="top" wrapText="1"/>
      <protection hidden="1"/>
    </xf>
    <xf numFmtId="0" fontId="148" fillId="2" borderId="0" xfId="1" applyFont="1" applyFill="1" applyAlignment="1" applyProtection="1">
      <alignment vertical="top" wrapText="1"/>
      <protection hidden="1"/>
    </xf>
    <xf numFmtId="0" fontId="189" fillId="2" borderId="0" xfId="1" applyFont="1" applyFill="1" applyAlignment="1" applyProtection="1">
      <alignment horizontal="center" vertical="top" wrapText="1"/>
      <protection hidden="1"/>
    </xf>
    <xf numFmtId="0" fontId="154" fillId="0" borderId="0" xfId="1" applyFont="1" applyAlignment="1" applyProtection="1">
      <alignment vertical="top" wrapText="1"/>
      <protection hidden="1"/>
    </xf>
    <xf numFmtId="0" fontId="148" fillId="0" borderId="0" xfId="1" applyFont="1" applyAlignment="1" applyProtection="1">
      <alignment vertical="top" wrapText="1"/>
      <protection hidden="1"/>
    </xf>
    <xf numFmtId="167" fontId="190" fillId="14" borderId="0" xfId="1" applyNumberFormat="1" applyFont="1" applyFill="1" applyAlignment="1" applyProtection="1">
      <alignment vertical="top" wrapText="1"/>
      <protection hidden="1"/>
    </xf>
    <xf numFmtId="0" fontId="191" fillId="0" borderId="0" xfId="0" applyFont="1" applyAlignment="1">
      <alignment horizontal="center" vertical="top" wrapText="1"/>
    </xf>
    <xf numFmtId="0" fontId="154" fillId="0" borderId="0" xfId="0" applyFont="1" applyAlignment="1" applyProtection="1">
      <alignment vertical="top" wrapText="1"/>
      <protection hidden="1"/>
    </xf>
    <xf numFmtId="0" fontId="154" fillId="14" borderId="0" xfId="0" applyFont="1" applyFill="1" applyAlignment="1">
      <alignment vertical="top" wrapText="1"/>
    </xf>
    <xf numFmtId="0" fontId="148" fillId="0" borderId="0" xfId="0" applyFont="1" applyAlignment="1">
      <alignment vertical="top" wrapText="1"/>
    </xf>
    <xf numFmtId="0" fontId="160" fillId="14" borderId="0" xfId="0" applyFont="1" applyFill="1" applyAlignment="1" applyProtection="1">
      <alignment vertical="top" wrapText="1"/>
      <protection hidden="1"/>
    </xf>
    <xf numFmtId="167" fontId="154" fillId="14" borderId="0" xfId="5" applyNumberFormat="1" applyFont="1" applyFill="1" applyAlignment="1" applyProtection="1">
      <alignment vertical="top" wrapText="1"/>
      <protection hidden="1"/>
    </xf>
    <xf numFmtId="0" fontId="154" fillId="0" borderId="0" xfId="0" applyFont="1" applyAlignment="1">
      <alignment vertical="top" wrapText="1"/>
    </xf>
    <xf numFmtId="167" fontId="157" fillId="0" borderId="0" xfId="5" applyNumberFormat="1" applyFont="1" applyAlignment="1" applyProtection="1">
      <alignment vertical="top" wrapText="1"/>
      <protection hidden="1"/>
    </xf>
    <xf numFmtId="0" fontId="157" fillId="0" borderId="0" xfId="0" applyFont="1" applyAlignment="1" applyProtection="1">
      <alignment vertical="top" wrapText="1"/>
      <protection hidden="1"/>
    </xf>
    <xf numFmtId="0" fontId="190" fillId="14" borderId="0" xfId="1" applyFont="1" applyFill="1" applyAlignment="1" applyProtection="1">
      <alignment horizontal="left" vertical="top" wrapText="1"/>
      <protection hidden="1"/>
    </xf>
    <xf numFmtId="0" fontId="154" fillId="14" borderId="0" xfId="1" applyFont="1" applyFill="1" applyAlignment="1" applyProtection="1">
      <alignment horizontal="left" vertical="top" wrapText="1"/>
      <protection hidden="1"/>
    </xf>
    <xf numFmtId="167" fontId="153" fillId="14" borderId="0" xfId="1" applyNumberFormat="1" applyFont="1" applyFill="1" applyAlignment="1" applyProtection="1">
      <alignment vertical="top" wrapText="1"/>
      <protection hidden="1"/>
    </xf>
    <xf numFmtId="167" fontId="153" fillId="0" borderId="0" xfId="1" applyNumberFormat="1" applyFont="1" applyAlignment="1" applyProtection="1">
      <alignment vertical="top" wrapText="1"/>
      <protection hidden="1"/>
    </xf>
    <xf numFmtId="0" fontId="153" fillId="0" borderId="0" xfId="0" applyFont="1" applyAlignment="1" applyProtection="1">
      <alignment vertical="top" wrapText="1"/>
      <protection hidden="1"/>
    </xf>
    <xf numFmtId="0" fontId="153" fillId="14" borderId="0" xfId="0" applyFont="1" applyFill="1" applyAlignment="1" applyProtection="1">
      <alignment vertical="top" wrapText="1"/>
      <protection hidden="1"/>
    </xf>
    <xf numFmtId="167" fontId="148" fillId="0" borderId="0" xfId="1" applyNumberFormat="1" applyFont="1" applyAlignment="1" applyProtection="1">
      <alignment vertical="top" wrapText="1"/>
      <protection hidden="1"/>
    </xf>
    <xf numFmtId="0" fontId="190" fillId="14" borderId="0" xfId="1" applyFont="1" applyFill="1" applyAlignment="1" applyProtection="1">
      <alignment vertical="top" wrapText="1"/>
      <protection hidden="1"/>
    </xf>
    <xf numFmtId="0" fontId="153" fillId="14" borderId="0" xfId="1" applyFont="1" applyFill="1" applyAlignment="1" applyProtection="1">
      <alignment vertical="top" wrapText="1"/>
      <protection hidden="1"/>
    </xf>
    <xf numFmtId="167" fontId="190" fillId="14" borderId="0" xfId="1" applyNumberFormat="1" applyFont="1" applyFill="1" applyAlignment="1" applyProtection="1">
      <alignment horizontal="center" vertical="top" wrapText="1"/>
      <protection hidden="1"/>
    </xf>
    <xf numFmtId="167" fontId="160" fillId="0" borderId="0" xfId="1" applyNumberFormat="1" applyFont="1" applyAlignment="1" applyProtection="1">
      <alignment horizontal="right"/>
      <protection hidden="1"/>
    </xf>
    <xf numFmtId="0" fontId="190" fillId="0" borderId="0" xfId="1" applyFont="1" applyAlignment="1" applyProtection="1">
      <alignment horizontal="left" vertical="top" wrapText="1"/>
      <protection hidden="1"/>
    </xf>
    <xf numFmtId="167" fontId="190" fillId="0" borderId="0" xfId="1" applyNumberFormat="1" applyFont="1" applyAlignment="1" applyProtection="1">
      <alignment vertical="top" wrapText="1"/>
      <protection hidden="1"/>
    </xf>
    <xf numFmtId="167" fontId="20" fillId="0" borderId="0" xfId="1" quotePrefix="1" applyNumberFormat="1" applyFont="1" applyProtection="1">
      <protection locked="0" hidden="1"/>
    </xf>
    <xf numFmtId="0" fontId="20" fillId="0" borderId="0" xfId="1" quotePrefix="1" applyFont="1" applyProtection="1">
      <protection locked="0" hidden="1"/>
    </xf>
    <xf numFmtId="0" fontId="193" fillId="2" borderId="0" xfId="5" quotePrefix="1" applyFont="1" applyFill="1" applyAlignment="1" applyProtection="1">
      <alignment horizontal="left" vertical="center" indent="1"/>
      <protection hidden="1"/>
    </xf>
    <xf numFmtId="0" fontId="96" fillId="0" borderId="0" xfId="0" applyFont="1" applyAlignment="1">
      <alignment horizontal="center"/>
    </xf>
    <xf numFmtId="0" fontId="22" fillId="0" borderId="0" xfId="0" applyFont="1" applyAlignment="1">
      <alignment horizontal="center"/>
    </xf>
    <xf numFmtId="0" fontId="22" fillId="0" borderId="0" xfId="0" applyFont="1" applyAlignment="1">
      <alignment horizontal="right"/>
    </xf>
    <xf numFmtId="0" fontId="20" fillId="0" borderId="0" xfId="0" applyFont="1" applyAlignment="1">
      <alignment horizontal="right"/>
    </xf>
    <xf numFmtId="0" fontId="150" fillId="0" borderId="0" xfId="0" applyFont="1" applyAlignment="1">
      <alignment horizontal="right" vertical="center" indent="1"/>
    </xf>
    <xf numFmtId="0" fontId="83" fillId="0" borderId="0" xfId="0" applyFont="1" applyAlignment="1">
      <alignment horizontal="left"/>
    </xf>
    <xf numFmtId="170" fontId="0" fillId="0" borderId="0" xfId="31" applyNumberFormat="1" applyFont="1"/>
    <xf numFmtId="0" fontId="160" fillId="0" borderId="0" xfId="1" applyFont="1" applyAlignment="1" applyProtection="1">
      <alignment horizontal="right" wrapText="1"/>
      <protection hidden="1"/>
    </xf>
    <xf numFmtId="0" fontId="192" fillId="0" borderId="0" xfId="1" applyFont="1" applyAlignment="1" applyProtection="1">
      <alignment horizontal="right" wrapText="1"/>
      <protection hidden="1"/>
    </xf>
    <xf numFmtId="0" fontId="192" fillId="0" borderId="0" xfId="1" applyFont="1" applyAlignment="1" applyProtection="1">
      <alignment wrapText="1"/>
      <protection hidden="1"/>
    </xf>
    <xf numFmtId="0" fontId="83" fillId="0" borderId="0" xfId="2" applyFont="1" applyAlignment="1" applyProtection="1">
      <alignment horizontal="center"/>
      <protection locked="0" hidden="1"/>
    </xf>
    <xf numFmtId="0" fontId="190" fillId="14" borderId="0" xfId="1" applyFont="1" applyFill="1" applyAlignment="1" applyProtection="1">
      <alignment horizontal="left" wrapText="1"/>
      <protection hidden="1"/>
    </xf>
    <xf numFmtId="0" fontId="154" fillId="0" borderId="0" xfId="0" applyFont="1" applyAlignment="1">
      <alignment wrapText="1"/>
    </xf>
    <xf numFmtId="167" fontId="195" fillId="0" borderId="0" xfId="1" applyNumberFormat="1" applyFont="1" applyAlignment="1" applyProtection="1">
      <alignment horizontal="left"/>
      <protection hidden="1"/>
    </xf>
    <xf numFmtId="0" fontId="10" fillId="0" borderId="18" xfId="1" applyFont="1" applyBorder="1" applyProtection="1">
      <protection hidden="1"/>
    </xf>
    <xf numFmtId="0" fontId="10" fillId="0" borderId="0" xfId="0" quotePrefix="1" applyFont="1"/>
    <xf numFmtId="0" fontId="10" fillId="0" borderId="0" xfId="0" applyFont="1" applyAlignment="1">
      <alignment wrapText="1"/>
    </xf>
    <xf numFmtId="0" fontId="125" fillId="0" borderId="0" xfId="15" applyFont="1"/>
    <xf numFmtId="0" fontId="197" fillId="0" borderId="0" xfId="15" applyFont="1" applyAlignment="1">
      <alignment vertical="top"/>
    </xf>
    <xf numFmtId="0" fontId="125" fillId="0" borderId="0" xfId="15" applyFont="1" applyAlignment="1">
      <alignment wrapText="1"/>
    </xf>
    <xf numFmtId="0" fontId="125" fillId="26" borderId="0" xfId="15" applyFont="1" applyFill="1" applyAlignment="1">
      <alignment wrapText="1"/>
    </xf>
    <xf numFmtId="0" fontId="197" fillId="0" borderId="0" xfId="15" applyFont="1" applyAlignment="1">
      <alignment vertical="top" wrapText="1"/>
    </xf>
    <xf numFmtId="0" fontId="198" fillId="0" borderId="0" xfId="15" applyFont="1" applyAlignment="1">
      <alignment wrapText="1"/>
    </xf>
    <xf numFmtId="0" fontId="199" fillId="0" borderId="0" xfId="16" applyFont="1" applyAlignment="1">
      <alignment wrapText="1"/>
    </xf>
    <xf numFmtId="1" fontId="125" fillId="0" borderId="0" xfId="17" applyNumberFormat="1" applyFont="1"/>
    <xf numFmtId="2" fontId="125" fillId="0" borderId="0" xfId="15" applyNumberFormat="1" applyFont="1"/>
    <xf numFmtId="3" fontId="125" fillId="0" borderId="0" xfId="15" applyNumberFormat="1" applyFont="1"/>
    <xf numFmtId="0" fontId="125" fillId="26" borderId="0" xfId="15" applyFont="1" applyFill="1"/>
    <xf numFmtId="1" fontId="125" fillId="0" borderId="0" xfId="15" applyNumberFormat="1" applyFont="1"/>
    <xf numFmtId="2" fontId="125" fillId="26" borderId="0" xfId="15" applyNumberFormat="1" applyFont="1" applyFill="1"/>
    <xf numFmtId="0" fontId="48" fillId="0" borderId="0" xfId="2" quotePrefix="1" applyAlignment="1" applyProtection="1">
      <alignment wrapText="1"/>
    </xf>
    <xf numFmtId="1" fontId="125" fillId="0" borderId="0" xfId="31" applyNumberFormat="1" applyFont="1"/>
    <xf numFmtId="168" fontId="20" fillId="25" borderId="53" xfId="1" applyNumberFormat="1" applyFont="1" applyFill="1" applyBorder="1" applyAlignment="1" applyProtection="1">
      <alignment vertical="center"/>
      <protection locked="0"/>
    </xf>
    <xf numFmtId="0" fontId="125" fillId="0" borderId="0" xfId="15" applyFont="1" applyAlignment="1">
      <alignment horizontal="right"/>
    </xf>
    <xf numFmtId="0" fontId="48" fillId="0" borderId="0" xfId="2" applyAlignment="1" applyProtection="1">
      <alignment horizontal="right" wrapText="1"/>
    </xf>
    <xf numFmtId="1" fontId="125" fillId="0" borderId="0" xfId="17" applyNumberFormat="1" applyFont="1" applyAlignment="1">
      <alignment horizontal="right"/>
    </xf>
    <xf numFmtId="2" fontId="125" fillId="0" borderId="0" xfId="15" applyNumberFormat="1" applyFont="1" applyAlignment="1">
      <alignment horizontal="right"/>
    </xf>
    <xf numFmtId="0" fontId="148" fillId="13" borderId="0" xfId="0" applyFont="1" applyFill="1" applyAlignment="1">
      <alignment horizontal="right"/>
    </xf>
    <xf numFmtId="0" fontId="148" fillId="13" borderId="0" xfId="0" applyFont="1" applyFill="1" applyAlignment="1">
      <alignment horizontal="right" vertical="center"/>
    </xf>
    <xf numFmtId="167" fontId="20" fillId="13" borderId="0" xfId="1" quotePrefix="1" applyNumberFormat="1" applyFont="1" applyFill="1" applyAlignment="1" applyProtection="1">
      <alignment horizontal="left"/>
      <protection hidden="1"/>
    </xf>
    <xf numFmtId="167" fontId="10" fillId="0" borderId="0" xfId="1" quotePrefix="1" applyNumberFormat="1" applyFont="1" applyAlignment="1" applyProtection="1">
      <alignment horizontal="right"/>
      <protection hidden="1"/>
    </xf>
    <xf numFmtId="167" fontId="10" fillId="0" borderId="0" xfId="1" applyNumberFormat="1" applyFont="1" applyAlignment="1" applyProtection="1">
      <alignment horizontal="right"/>
      <protection hidden="1"/>
    </xf>
    <xf numFmtId="0" fontId="123" fillId="36" borderId="0" xfId="0" applyFont="1" applyFill="1"/>
    <xf numFmtId="1" fontId="48" fillId="0" borderId="0" xfId="2" applyNumberFormat="1" applyAlignment="1" applyProtection="1">
      <alignment wrapText="1"/>
    </xf>
    <xf numFmtId="0" fontId="122" fillId="14" borderId="12" xfId="1" applyFont="1" applyFill="1" applyBorder="1" applyAlignment="1" applyProtection="1">
      <alignment horizontal="left" vertical="center"/>
      <protection locked="0"/>
    </xf>
    <xf numFmtId="0" fontId="122" fillId="14" borderId="0" xfId="1" applyFont="1" applyFill="1" applyAlignment="1" applyProtection="1">
      <alignment horizontal="left" vertical="center"/>
      <protection locked="0"/>
    </xf>
    <xf numFmtId="0" fontId="122" fillId="14" borderId="11" xfId="1" applyFont="1" applyFill="1" applyBorder="1" applyAlignment="1" applyProtection="1">
      <alignment horizontal="left" vertical="center"/>
      <protection locked="0"/>
    </xf>
    <xf numFmtId="0" fontId="202" fillId="14" borderId="10" xfId="2" applyFont="1" applyFill="1" applyBorder="1" applyAlignment="1" applyProtection="1">
      <alignment horizontal="center" vertical="center"/>
      <protection locked="0"/>
    </xf>
    <xf numFmtId="0" fontId="88" fillId="0" borderId="0" xfId="1" applyFont="1" applyProtection="1">
      <protection locked="0"/>
    </xf>
    <xf numFmtId="0" fontId="78" fillId="0" borderId="0" xfId="5" applyFont="1" applyProtection="1">
      <protection locked="0"/>
    </xf>
    <xf numFmtId="14" fontId="123" fillId="11" borderId="0" xfId="0" applyNumberFormat="1" applyFont="1" applyFill="1"/>
    <xf numFmtId="0" fontId="173" fillId="14" borderId="13" xfId="2" applyFont="1" applyFill="1" applyBorder="1" applyAlignment="1" applyProtection="1">
      <alignment horizontal="center" vertical="center"/>
      <protection locked="0"/>
    </xf>
    <xf numFmtId="170" fontId="125" fillId="0" borderId="0" xfId="31" applyNumberFormat="1" applyFont="1"/>
    <xf numFmtId="1" fontId="125" fillId="18" borderId="0" xfId="17" applyNumberFormat="1" applyFont="1" applyFill="1"/>
    <xf numFmtId="0" fontId="125" fillId="0" borderId="0" xfId="15" quotePrefix="1" applyFont="1" applyAlignment="1">
      <alignment wrapText="1"/>
    </xf>
    <xf numFmtId="0" fontId="125" fillId="0" borderId="0" xfId="15" applyFont="1" applyAlignment="1">
      <alignment horizontal="right" wrapText="1"/>
    </xf>
    <xf numFmtId="0" fontId="125" fillId="0" borderId="0" xfId="15" applyFont="1" applyAlignment="1">
      <alignment horizontal="left" wrapText="1"/>
    </xf>
    <xf numFmtId="0" fontId="99" fillId="0" borderId="0" xfId="0" applyFont="1" applyAlignment="1">
      <alignment wrapText="1"/>
    </xf>
    <xf numFmtId="0" fontId="201" fillId="0" borderId="0" xfId="2" applyFont="1" applyFill="1" applyBorder="1" applyAlignment="1" applyProtection="1">
      <alignment wrapText="1"/>
    </xf>
    <xf numFmtId="0" fontId="190" fillId="0" borderId="0" xfId="0" quotePrefix="1" applyFont="1" applyAlignment="1" applyProtection="1">
      <alignment vertical="top" wrapText="1"/>
      <protection hidden="1"/>
    </xf>
    <xf numFmtId="0" fontId="129" fillId="0" borderId="0" xfId="2" applyFont="1" applyFill="1" applyAlignment="1" applyProtection="1">
      <alignment horizontal="center" vertical="center" wrapText="1"/>
      <protection locked="0" hidden="1"/>
    </xf>
    <xf numFmtId="168" fontId="166" fillId="0" borderId="53" xfId="1" applyNumberFormat="1" applyFont="1" applyBorder="1" applyAlignment="1" applyProtection="1">
      <alignment vertical="center"/>
      <protection locked="0"/>
    </xf>
    <xf numFmtId="0" fontId="25" fillId="22" borderId="0" xfId="0" applyFont="1" applyFill="1" applyAlignment="1">
      <alignment horizontal="left" vertical="top" wrapText="1"/>
    </xf>
    <xf numFmtId="0" fontId="25" fillId="22" borderId="0" xfId="0" applyFont="1" applyFill="1" applyAlignment="1">
      <alignment horizontal="left" vertical="top" indent="1"/>
    </xf>
    <xf numFmtId="0" fontId="203" fillId="0" borderId="0" xfId="0" applyFont="1"/>
    <xf numFmtId="0" fontId="139" fillId="2" borderId="0" xfId="5" applyFont="1" applyFill="1" applyAlignment="1" applyProtection="1">
      <alignment horizontal="left" vertical="center" indent="1"/>
      <protection hidden="1"/>
    </xf>
    <xf numFmtId="0" fontId="25" fillId="0" borderId="0" xfId="1" applyFont="1" applyAlignment="1" applyProtection="1">
      <alignment horizontal="right"/>
      <protection hidden="1"/>
    </xf>
    <xf numFmtId="0" fontId="97" fillId="2" borderId="0" xfId="1" quotePrefix="1" applyFont="1" applyFill="1" applyAlignment="1" applyProtection="1">
      <alignment horizontal="left"/>
      <protection hidden="1"/>
    </xf>
    <xf numFmtId="167" fontId="97" fillId="0" borderId="0" xfId="5" applyNumberFormat="1" applyFont="1" applyProtection="1">
      <protection hidden="1"/>
    </xf>
    <xf numFmtId="0" fontId="10" fillId="12" borderId="53" xfId="0" applyFont="1" applyFill="1" applyBorder="1"/>
    <xf numFmtId="0" fontId="10" fillId="17" borderId="53" xfId="0" applyFont="1" applyFill="1" applyBorder="1"/>
    <xf numFmtId="0" fontId="0" fillId="17" borderId="53" xfId="0" applyFill="1" applyBorder="1"/>
    <xf numFmtId="0" fontId="0" fillId="12" borderId="53" xfId="0" applyFill="1" applyBorder="1"/>
    <xf numFmtId="168" fontId="85" fillId="0" borderId="53" xfId="1" applyNumberFormat="1" applyFont="1" applyBorder="1" applyAlignment="1" applyProtection="1">
      <alignment vertical="center"/>
      <protection hidden="1"/>
    </xf>
    <xf numFmtId="0" fontId="20" fillId="0" borderId="53" xfId="0" applyFont="1" applyBorder="1" applyProtection="1">
      <protection locked="0" hidden="1"/>
    </xf>
    <xf numFmtId="167" fontId="20" fillId="25" borderId="53" xfId="1" applyNumberFormat="1" applyFont="1" applyFill="1" applyBorder="1" applyProtection="1">
      <protection hidden="1"/>
    </xf>
    <xf numFmtId="167" fontId="147" fillId="12" borderId="47" xfId="5" applyNumberFormat="1" applyFont="1" applyFill="1" applyBorder="1" applyProtection="1">
      <protection locked="0" hidden="1"/>
    </xf>
    <xf numFmtId="0" fontId="142" fillId="0" borderId="0" xfId="0" applyFont="1" applyAlignment="1" applyProtection="1">
      <alignment horizontal="right" wrapText="1"/>
      <protection locked="0"/>
    </xf>
    <xf numFmtId="0" fontId="0" fillId="12" borderId="16" xfId="0" applyFill="1" applyBorder="1" applyProtection="1">
      <protection locked="0"/>
    </xf>
    <xf numFmtId="0" fontId="0" fillId="12" borderId="52" xfId="0" applyFill="1" applyBorder="1" applyProtection="1">
      <protection locked="0"/>
    </xf>
    <xf numFmtId="0" fontId="20" fillId="0" borderId="0" xfId="0" applyFont="1" applyAlignment="1" applyProtection="1">
      <alignment horizontal="center" vertical="center"/>
      <protection locked="0" hidden="1"/>
    </xf>
    <xf numFmtId="167" fontId="96" fillId="0" borderId="0" xfId="5" applyNumberFormat="1" applyFont="1" applyProtection="1">
      <protection locked="0" hidden="1"/>
    </xf>
    <xf numFmtId="0" fontId="113" fillId="0" borderId="0" xfId="5" applyFont="1" applyAlignment="1" applyProtection="1">
      <alignment horizontal="center" vertical="center"/>
      <protection locked="0" hidden="1"/>
    </xf>
    <xf numFmtId="0" fontId="22" fillId="0" borderId="0" xfId="0" applyFont="1" applyProtection="1">
      <protection locked="0" hidden="1"/>
    </xf>
    <xf numFmtId="167" fontId="20" fillId="0" borderId="53" xfId="1" applyNumberFormat="1" applyFont="1" applyBorder="1"/>
    <xf numFmtId="167" fontId="20" fillId="0" borderId="60" xfId="1" applyNumberFormat="1" applyFont="1" applyBorder="1" applyAlignment="1" applyProtection="1">
      <alignment horizontal="right" wrapText="1"/>
      <protection hidden="1"/>
    </xf>
    <xf numFmtId="167" fontId="32" fillId="17" borderId="61" xfId="1" applyNumberFormat="1" applyFont="1" applyFill="1" applyBorder="1" applyProtection="1">
      <protection hidden="1"/>
    </xf>
    <xf numFmtId="167" fontId="21" fillId="17" borderId="62" xfId="1" applyNumberFormat="1" applyFont="1" applyFill="1" applyBorder="1" applyProtection="1">
      <protection hidden="1"/>
    </xf>
    <xf numFmtId="0" fontId="25" fillId="0" borderId="66" xfId="0" applyFont="1" applyBorder="1" applyAlignment="1">
      <alignment vertical="top"/>
    </xf>
    <xf numFmtId="0" fontId="25" fillId="0" borderId="66" xfId="0" applyFont="1" applyBorder="1"/>
    <xf numFmtId="0" fontId="57" fillId="0" borderId="66" xfId="0" applyFont="1" applyBorder="1" applyAlignment="1" applyProtection="1">
      <alignment vertical="top"/>
      <protection locked="0"/>
    </xf>
    <xf numFmtId="0" fontId="57" fillId="0" borderId="66" xfId="0" applyFont="1" applyBorder="1" applyAlignment="1" applyProtection="1">
      <alignment wrapText="1"/>
      <protection locked="0"/>
    </xf>
    <xf numFmtId="14" fontId="57" fillId="0" borderId="66" xfId="0" applyNumberFormat="1" applyFont="1" applyBorder="1" applyProtection="1">
      <protection locked="0"/>
    </xf>
    <xf numFmtId="0" fontId="34" fillId="0" borderId="66" xfId="1" quotePrefix="1" applyFont="1" applyBorder="1" applyAlignment="1" applyProtection="1">
      <alignment horizontal="left"/>
      <protection hidden="1"/>
    </xf>
    <xf numFmtId="0" fontId="123" fillId="0" borderId="66" xfId="5" applyFont="1" applyBorder="1"/>
    <xf numFmtId="0" fontId="145" fillId="0" borderId="66" xfId="0" applyFont="1" applyBorder="1"/>
    <xf numFmtId="0" fontId="0" fillId="0" borderId="66" xfId="0" applyBorder="1"/>
    <xf numFmtId="167" fontId="78" fillId="0" borderId="66" xfId="5" applyNumberFormat="1" applyFont="1" applyBorder="1" applyProtection="1">
      <protection locked="0" hidden="1"/>
    </xf>
    <xf numFmtId="167" fontId="78" fillId="0" borderId="66" xfId="5" applyNumberFormat="1" applyFont="1" applyBorder="1" applyAlignment="1" applyProtection="1">
      <alignment horizontal="left"/>
      <protection locked="0" hidden="1"/>
    </xf>
    <xf numFmtId="167" fontId="78" fillId="10" borderId="66" xfId="5" applyNumberFormat="1" applyFont="1" applyFill="1" applyBorder="1" applyProtection="1">
      <protection locked="0" hidden="1"/>
    </xf>
    <xf numFmtId="167" fontId="78" fillId="0" borderId="66" xfId="5" applyNumberFormat="1" applyFont="1" applyBorder="1" applyProtection="1">
      <protection hidden="1"/>
    </xf>
    <xf numFmtId="167" fontId="78" fillId="0" borderId="66" xfId="5" applyNumberFormat="1" applyFont="1" applyBorder="1" applyAlignment="1" applyProtection="1">
      <alignment horizontal="left"/>
      <protection hidden="1"/>
    </xf>
    <xf numFmtId="167" fontId="79" fillId="10" borderId="66" xfId="5" applyNumberFormat="1" applyFont="1" applyFill="1" applyBorder="1" applyProtection="1">
      <protection locked="0" hidden="1"/>
    </xf>
    <xf numFmtId="0" fontId="78" fillId="0" borderId="66" xfId="5" applyFont="1" applyBorder="1"/>
    <xf numFmtId="167" fontId="75" fillId="0" borderId="66" xfId="5" applyNumberFormat="1" applyFont="1" applyBorder="1" applyAlignment="1" applyProtection="1">
      <alignment horizontal="left"/>
      <protection locked="0" hidden="1"/>
    </xf>
    <xf numFmtId="167" fontId="78" fillId="10" borderId="66" xfId="5" applyNumberFormat="1" applyFont="1" applyFill="1" applyBorder="1" applyProtection="1">
      <protection hidden="1"/>
    </xf>
    <xf numFmtId="167" fontId="78" fillId="0" borderId="66" xfId="5" quotePrefix="1" applyNumberFormat="1" applyFont="1" applyBorder="1" applyAlignment="1" applyProtection="1">
      <alignment horizontal="left"/>
      <protection hidden="1"/>
    </xf>
    <xf numFmtId="167" fontId="79" fillId="10" borderId="66" xfId="5" applyNumberFormat="1" applyFont="1" applyFill="1" applyBorder="1" applyProtection="1">
      <protection hidden="1"/>
    </xf>
    <xf numFmtId="167" fontId="80" fillId="10" borderId="66" xfId="5" applyNumberFormat="1" applyFont="1" applyFill="1" applyBorder="1" applyProtection="1">
      <protection hidden="1"/>
    </xf>
    <xf numFmtId="167" fontId="78" fillId="0" borderId="66" xfId="5" quotePrefix="1" applyNumberFormat="1" applyFont="1" applyBorder="1" applyAlignment="1" applyProtection="1">
      <alignment horizontal="left"/>
      <protection locked="0" hidden="1"/>
    </xf>
    <xf numFmtId="167" fontId="80" fillId="10" borderId="66" xfId="5" applyNumberFormat="1" applyFont="1" applyFill="1" applyBorder="1" applyProtection="1">
      <protection locked="0" hidden="1"/>
    </xf>
    <xf numFmtId="167" fontId="75" fillId="0" borderId="66" xfId="5" applyNumberFormat="1" applyFont="1" applyBorder="1" applyAlignment="1" applyProtection="1">
      <alignment horizontal="left"/>
      <protection hidden="1"/>
    </xf>
    <xf numFmtId="0" fontId="145" fillId="13" borderId="66" xfId="0" applyFont="1" applyFill="1" applyBorder="1"/>
    <xf numFmtId="0" fontId="0" fillId="13" borderId="66" xfId="0" applyFill="1" applyBorder="1"/>
    <xf numFmtId="167" fontId="75" fillId="0" borderId="66" xfId="5" quotePrefix="1" applyNumberFormat="1" applyFont="1" applyBorder="1" applyAlignment="1" applyProtection="1">
      <alignment horizontal="left"/>
      <protection locked="0" hidden="1"/>
    </xf>
    <xf numFmtId="168" fontId="21" fillId="17" borderId="66" xfId="1" applyNumberFormat="1" applyFont="1" applyFill="1" applyBorder="1" applyProtection="1">
      <protection hidden="1"/>
    </xf>
    <xf numFmtId="168" fontId="41" fillId="17" borderId="66" xfId="1" applyNumberFormat="1" applyFont="1" applyFill="1" applyBorder="1" applyProtection="1">
      <protection hidden="1"/>
    </xf>
    <xf numFmtId="168" fontId="20" fillId="0" borderId="66" xfId="1" applyNumberFormat="1" applyFont="1" applyBorder="1" applyProtection="1">
      <protection locked="0"/>
    </xf>
    <xf numFmtId="168" fontId="85" fillId="17" borderId="66" xfId="1" applyNumberFormat="1" applyFont="1" applyFill="1" applyBorder="1" applyProtection="1">
      <protection locked="0" hidden="1"/>
    </xf>
    <xf numFmtId="168" fontId="20" fillId="25" borderId="66" xfId="1" applyNumberFormat="1" applyFont="1" applyFill="1" applyBorder="1" applyProtection="1">
      <protection locked="0"/>
    </xf>
    <xf numFmtId="168" fontId="32" fillId="17" borderId="66" xfId="1" applyNumberFormat="1" applyFont="1" applyFill="1" applyBorder="1" applyProtection="1">
      <protection hidden="1"/>
    </xf>
    <xf numFmtId="168" fontId="20" fillId="17" borderId="66" xfId="1" applyNumberFormat="1" applyFont="1" applyFill="1" applyBorder="1"/>
    <xf numFmtId="168" fontId="8" fillId="0" borderId="66" xfId="1" applyNumberFormat="1" applyFont="1" applyBorder="1" applyProtection="1">
      <protection locked="0"/>
    </xf>
    <xf numFmtId="168" fontId="41" fillId="17" borderId="66" xfId="1" applyNumberFormat="1" applyFont="1" applyFill="1" applyBorder="1"/>
    <xf numFmtId="0" fontId="10" fillId="11" borderId="66" xfId="0" applyFont="1" applyFill="1" applyBorder="1"/>
    <xf numFmtId="0" fontId="82" fillId="11" borderId="66" xfId="0" applyFont="1" applyFill="1" applyBorder="1" applyAlignment="1">
      <alignment horizontal="right"/>
    </xf>
    <xf numFmtId="0" fontId="82" fillId="11" borderId="66" xfId="0" applyFont="1" applyFill="1" applyBorder="1"/>
    <xf numFmtId="0" fontId="82" fillId="11" borderId="66" xfId="0" applyFont="1" applyFill="1" applyBorder="1" applyAlignment="1">
      <alignment horizontal="left"/>
    </xf>
    <xf numFmtId="168" fontId="85" fillId="0" borderId="66" xfId="1" applyNumberFormat="1" applyFont="1" applyBorder="1" applyProtection="1">
      <protection locked="0" hidden="1"/>
    </xf>
    <xf numFmtId="1" fontId="31" fillId="11" borderId="66" xfId="1" applyNumberFormat="1" applyFont="1" applyFill="1" applyBorder="1" applyAlignment="1" applyProtection="1">
      <alignment horizontal="center"/>
      <protection hidden="1"/>
    </xf>
    <xf numFmtId="0" fontId="81" fillId="11" borderId="66" xfId="0" applyFont="1" applyFill="1" applyBorder="1"/>
    <xf numFmtId="169" fontId="81" fillId="11" borderId="66" xfId="0" applyNumberFormat="1" applyFont="1" applyFill="1" applyBorder="1"/>
    <xf numFmtId="168" fontId="126" fillId="14" borderId="66" xfId="1" applyNumberFormat="1" applyFont="1" applyFill="1" applyBorder="1" applyProtection="1">
      <protection locked="0" hidden="1"/>
    </xf>
    <xf numFmtId="168" fontId="86" fillId="17" borderId="66" xfId="1" applyNumberFormat="1" applyFont="1" applyFill="1" applyBorder="1" applyProtection="1">
      <protection locked="0" hidden="1"/>
    </xf>
    <xf numFmtId="167" fontId="20" fillId="13" borderId="66" xfId="1" applyNumberFormat="1" applyFont="1" applyFill="1" applyBorder="1" applyProtection="1">
      <protection locked="0"/>
    </xf>
    <xf numFmtId="167" fontId="21" fillId="17" borderId="66" xfId="1" applyNumberFormat="1" applyFont="1" applyFill="1" applyBorder="1" applyProtection="1">
      <protection hidden="1"/>
    </xf>
    <xf numFmtId="167" fontId="20" fillId="0" borderId="66" xfId="1" applyNumberFormat="1" applyFont="1" applyBorder="1" applyProtection="1">
      <protection locked="0"/>
    </xf>
    <xf numFmtId="167" fontId="20" fillId="17" borderId="66" xfId="1" applyNumberFormat="1" applyFont="1" applyFill="1" applyBorder="1" applyProtection="1">
      <protection hidden="1"/>
    </xf>
    <xf numFmtId="167" fontId="20" fillId="14" borderId="66" xfId="1" applyNumberFormat="1" applyFont="1" applyFill="1" applyBorder="1" applyProtection="1">
      <protection locked="0"/>
    </xf>
    <xf numFmtId="167" fontId="21" fillId="25" borderId="66" xfId="1" applyNumberFormat="1" applyFont="1" applyFill="1" applyBorder="1" applyAlignment="1" applyProtection="1">
      <alignment vertical="top"/>
      <protection locked="0" hidden="1"/>
    </xf>
    <xf numFmtId="167" fontId="21" fillId="0" borderId="66" xfId="1" applyNumberFormat="1" applyFont="1" applyBorder="1" applyAlignment="1" applyProtection="1">
      <alignment vertical="top"/>
      <protection locked="0" hidden="1"/>
    </xf>
    <xf numFmtId="167" fontId="178" fillId="0" borderId="66" xfId="1" quotePrefix="1" applyNumberFormat="1" applyFont="1" applyBorder="1" applyAlignment="1" applyProtection="1">
      <alignment horizontal="left"/>
      <protection locked="0"/>
    </xf>
    <xf numFmtId="167" fontId="20" fillId="17" borderId="66" xfId="1" applyNumberFormat="1" applyFont="1" applyFill="1" applyBorder="1" applyProtection="1">
      <protection locked="0"/>
    </xf>
    <xf numFmtId="167" fontId="32" fillId="17" borderId="66" xfId="1" applyNumberFormat="1" applyFont="1" applyFill="1" applyBorder="1" applyProtection="1">
      <protection hidden="1"/>
    </xf>
    <xf numFmtId="167" fontId="11" fillId="13" borderId="67" xfId="1" applyNumberFormat="1" applyFont="1" applyFill="1" applyBorder="1" applyProtection="1">
      <protection hidden="1"/>
    </xf>
    <xf numFmtId="0" fontId="12" fillId="0" borderId="68" xfId="1" applyFont="1" applyBorder="1"/>
    <xf numFmtId="167" fontId="11" fillId="0" borderId="69" xfId="1" applyNumberFormat="1" applyFont="1" applyBorder="1" applyProtection="1">
      <protection hidden="1"/>
    </xf>
    <xf numFmtId="167" fontId="11" fillId="0" borderId="67" xfId="1" applyNumberFormat="1" applyFont="1" applyBorder="1" applyProtection="1">
      <protection hidden="1"/>
    </xf>
    <xf numFmtId="167" fontId="16" fillId="8" borderId="70" xfId="1" quotePrefix="1" applyNumberFormat="1" applyFont="1" applyFill="1" applyBorder="1" applyAlignment="1" applyProtection="1">
      <alignment horizontal="left"/>
      <protection hidden="1"/>
    </xf>
    <xf numFmtId="167" fontId="11" fillId="0" borderId="71" xfId="1" applyNumberFormat="1" applyFont="1" applyBorder="1" applyProtection="1">
      <protection hidden="1"/>
    </xf>
    <xf numFmtId="167" fontId="16" fillId="0" borderId="67" xfId="1" applyNumberFormat="1" applyFont="1" applyBorder="1" applyProtection="1">
      <protection hidden="1"/>
    </xf>
    <xf numFmtId="167" fontId="16" fillId="8" borderId="67" xfId="1" quotePrefix="1" applyNumberFormat="1" applyFont="1" applyFill="1" applyBorder="1" applyAlignment="1" applyProtection="1">
      <alignment horizontal="left"/>
      <protection hidden="1"/>
    </xf>
    <xf numFmtId="167" fontId="11" fillId="0" borderId="70" xfId="1" applyNumberFormat="1" applyFont="1" applyBorder="1" applyProtection="1">
      <protection hidden="1"/>
    </xf>
    <xf numFmtId="167" fontId="11" fillId="13" borderId="71" xfId="1" applyNumberFormat="1" applyFont="1" applyFill="1" applyBorder="1" applyProtection="1">
      <protection hidden="1"/>
    </xf>
    <xf numFmtId="167" fontId="11" fillId="14" borderId="67" xfId="1" applyNumberFormat="1" applyFont="1" applyFill="1" applyBorder="1" applyProtection="1">
      <protection hidden="1"/>
    </xf>
    <xf numFmtId="167" fontId="46" fillId="13" borderId="67" xfId="1" applyNumberFormat="1" applyFont="1" applyFill="1" applyBorder="1" applyProtection="1">
      <protection hidden="1"/>
    </xf>
    <xf numFmtId="167" fontId="46" fillId="13" borderId="72" xfId="1" applyNumberFormat="1" applyFont="1" applyFill="1" applyBorder="1" applyProtection="1">
      <protection hidden="1"/>
    </xf>
    <xf numFmtId="167" fontId="16" fillId="0" borderId="69" xfId="1" applyNumberFormat="1" applyFont="1" applyBorder="1" applyProtection="1">
      <protection hidden="1"/>
    </xf>
    <xf numFmtId="167" fontId="16" fillId="0" borderId="71" xfId="1" applyNumberFormat="1" applyFont="1" applyBorder="1" applyProtection="1">
      <protection hidden="1"/>
    </xf>
    <xf numFmtId="167" fontId="16" fillId="13" borderId="71" xfId="1" applyNumberFormat="1" applyFont="1" applyFill="1" applyBorder="1" applyProtection="1">
      <protection hidden="1"/>
    </xf>
    <xf numFmtId="167" fontId="16" fillId="13" borderId="71" xfId="1" quotePrefix="1" applyNumberFormat="1" applyFont="1" applyFill="1" applyBorder="1" applyProtection="1">
      <protection hidden="1"/>
    </xf>
    <xf numFmtId="167" fontId="16" fillId="14" borderId="67" xfId="1" applyNumberFormat="1" applyFont="1" applyFill="1" applyBorder="1" applyProtection="1">
      <protection hidden="1"/>
    </xf>
    <xf numFmtId="167" fontId="16" fillId="13" borderId="67" xfId="1" applyNumberFormat="1" applyFont="1" applyFill="1" applyBorder="1" applyProtection="1">
      <protection hidden="1"/>
    </xf>
    <xf numFmtId="167" fontId="16" fillId="13" borderId="72" xfId="1" applyNumberFormat="1" applyFont="1" applyFill="1" applyBorder="1" applyProtection="1">
      <protection hidden="1"/>
    </xf>
    <xf numFmtId="0" fontId="12" fillId="0" borderId="68" xfId="1" quotePrefix="1" applyFont="1" applyBorder="1" applyAlignment="1">
      <alignment horizontal="left"/>
    </xf>
    <xf numFmtId="167" fontId="16" fillId="0" borderId="70" xfId="1" applyNumberFormat="1" applyFont="1" applyBorder="1" applyProtection="1">
      <protection hidden="1"/>
    </xf>
    <xf numFmtId="167" fontId="16" fillId="8" borderId="69" xfId="1" quotePrefix="1" applyNumberFormat="1" applyFont="1" applyFill="1" applyBorder="1" applyAlignment="1" applyProtection="1">
      <alignment horizontal="left"/>
      <protection hidden="1"/>
    </xf>
    <xf numFmtId="167" fontId="16" fillId="8" borderId="71" xfId="1" quotePrefix="1" applyNumberFormat="1" applyFont="1" applyFill="1" applyBorder="1" applyAlignment="1" applyProtection="1">
      <alignment horizontal="left"/>
      <protection hidden="1"/>
    </xf>
    <xf numFmtId="167" fontId="16" fillId="13" borderId="71" xfId="1" quotePrefix="1" applyNumberFormat="1" applyFont="1" applyFill="1" applyBorder="1" applyAlignment="1" applyProtection="1">
      <alignment horizontal="left"/>
      <protection hidden="1"/>
    </xf>
    <xf numFmtId="167" fontId="16" fillId="14" borderId="67" xfId="1" quotePrefix="1" applyNumberFormat="1" applyFont="1" applyFill="1" applyBorder="1" applyAlignment="1" applyProtection="1">
      <alignment horizontal="left"/>
      <protection hidden="1"/>
    </xf>
    <xf numFmtId="167" fontId="16" fillId="13" borderId="67" xfId="1" quotePrefix="1" applyNumberFormat="1" applyFont="1" applyFill="1" applyBorder="1" applyAlignment="1" applyProtection="1">
      <alignment horizontal="left"/>
      <protection hidden="1"/>
    </xf>
    <xf numFmtId="167" fontId="16" fillId="13" borderId="72" xfId="1" quotePrefix="1" applyNumberFormat="1" applyFont="1" applyFill="1" applyBorder="1" applyAlignment="1" applyProtection="1">
      <alignment horizontal="left"/>
      <protection hidden="1"/>
    </xf>
    <xf numFmtId="167" fontId="46" fillId="0" borderId="70" xfId="1" applyNumberFormat="1" applyFont="1" applyBorder="1" applyProtection="1">
      <protection hidden="1"/>
    </xf>
    <xf numFmtId="167" fontId="45" fillId="0" borderId="67" xfId="1" applyNumberFormat="1" applyFont="1" applyBorder="1" applyProtection="1">
      <protection hidden="1"/>
    </xf>
    <xf numFmtId="0" fontId="12" fillId="0" borderId="73" xfId="1" applyFont="1" applyBorder="1"/>
    <xf numFmtId="167" fontId="11" fillId="0" borderId="74" xfId="1" applyNumberFormat="1" applyFont="1" applyBorder="1" applyProtection="1">
      <protection hidden="1"/>
    </xf>
    <xf numFmtId="167" fontId="11" fillId="0" borderId="75" xfId="1" applyNumberFormat="1" applyFont="1" applyBorder="1" applyProtection="1">
      <protection hidden="1"/>
    </xf>
    <xf numFmtId="167" fontId="16" fillId="0" borderId="76" xfId="1" applyNumberFormat="1" applyFont="1" applyBorder="1" applyProtection="1">
      <protection hidden="1"/>
    </xf>
    <xf numFmtId="167" fontId="11" fillId="0" borderId="77" xfId="1" applyNumberFormat="1" applyFont="1" applyBorder="1" applyProtection="1">
      <protection hidden="1"/>
    </xf>
    <xf numFmtId="167" fontId="16" fillId="8" borderId="75" xfId="1" quotePrefix="1" applyNumberFormat="1" applyFont="1" applyFill="1" applyBorder="1" applyAlignment="1" applyProtection="1">
      <alignment horizontal="left"/>
      <protection hidden="1"/>
    </xf>
    <xf numFmtId="167" fontId="45" fillId="0" borderId="75" xfId="1" applyNumberFormat="1" applyFont="1" applyBorder="1" applyProtection="1">
      <protection hidden="1"/>
    </xf>
    <xf numFmtId="167" fontId="11" fillId="0" borderId="76" xfId="1" applyNumberFormat="1" applyFont="1" applyBorder="1" applyProtection="1">
      <protection hidden="1"/>
    </xf>
    <xf numFmtId="167" fontId="11" fillId="13" borderId="77" xfId="1" applyNumberFormat="1" applyFont="1" applyFill="1" applyBorder="1" applyProtection="1">
      <protection hidden="1"/>
    </xf>
    <xf numFmtId="167" fontId="11" fillId="13" borderId="75" xfId="1" applyNumberFormat="1" applyFont="1" applyFill="1" applyBorder="1" applyProtection="1">
      <protection hidden="1"/>
    </xf>
    <xf numFmtId="167" fontId="11" fillId="14" borderId="75" xfId="1" applyNumberFormat="1" applyFont="1" applyFill="1" applyBorder="1" applyProtection="1">
      <protection hidden="1"/>
    </xf>
    <xf numFmtId="167" fontId="46" fillId="13" borderId="75" xfId="1" applyNumberFormat="1" applyFont="1" applyFill="1" applyBorder="1" applyProtection="1">
      <protection hidden="1"/>
    </xf>
    <xf numFmtId="167" fontId="46" fillId="13" borderId="78" xfId="1" applyNumberFormat="1" applyFont="1" applyFill="1" applyBorder="1" applyProtection="1">
      <protection hidden="1"/>
    </xf>
    <xf numFmtId="168" fontId="85" fillId="0" borderId="79" xfId="1" applyNumberFormat="1" applyFont="1" applyBorder="1" applyAlignment="1">
      <alignment vertical="center"/>
    </xf>
    <xf numFmtId="168" fontId="90" fillId="17" borderId="79" xfId="1" applyNumberFormat="1" applyFont="1" applyFill="1" applyBorder="1" applyAlignment="1" applyProtection="1">
      <alignment vertical="center"/>
      <protection hidden="1"/>
    </xf>
    <xf numFmtId="168" fontId="32" fillId="17" borderId="80" xfId="1" applyNumberFormat="1" applyFont="1" applyFill="1" applyBorder="1" applyAlignment="1" applyProtection="1">
      <alignment vertical="center"/>
      <protection hidden="1"/>
    </xf>
    <xf numFmtId="167" fontId="32" fillId="17" borderId="79" xfId="1" applyNumberFormat="1" applyFont="1" applyFill="1" applyBorder="1" applyProtection="1">
      <protection hidden="1"/>
    </xf>
    <xf numFmtId="167" fontId="32" fillId="17" borderId="80" xfId="1" applyNumberFormat="1" applyFont="1" applyFill="1" applyBorder="1" applyProtection="1">
      <protection hidden="1"/>
    </xf>
    <xf numFmtId="167" fontId="32" fillId="17" borderId="81" xfId="1" applyNumberFormat="1" applyFont="1" applyFill="1" applyBorder="1" applyProtection="1">
      <protection hidden="1"/>
    </xf>
    <xf numFmtId="167" fontId="20" fillId="0" borderId="82" xfId="1" applyNumberFormat="1" applyFont="1" applyBorder="1" applyAlignment="1" applyProtection="1">
      <alignment horizontal="right" wrapText="1"/>
      <protection hidden="1"/>
    </xf>
    <xf numFmtId="167" fontId="20" fillId="0" borderId="83" xfId="1" applyNumberFormat="1" applyFont="1" applyBorder="1" applyProtection="1">
      <protection locked="0"/>
    </xf>
    <xf numFmtId="167" fontId="180" fillId="0" borderId="82" xfId="1" applyNumberFormat="1" applyFont="1" applyBorder="1" applyProtection="1">
      <protection hidden="1"/>
    </xf>
    <xf numFmtId="167" fontId="20" fillId="0" borderId="82" xfId="1" applyNumberFormat="1" applyFont="1" applyBorder="1" applyProtection="1">
      <protection hidden="1"/>
    </xf>
    <xf numFmtId="167" fontId="32" fillId="0" borderId="82" xfId="1" applyNumberFormat="1" applyFont="1" applyBorder="1" applyProtection="1">
      <protection hidden="1"/>
    </xf>
    <xf numFmtId="3" fontId="32" fillId="17" borderId="84" xfId="1" applyNumberFormat="1" applyFont="1" applyFill="1" applyBorder="1" applyProtection="1">
      <protection hidden="1"/>
    </xf>
    <xf numFmtId="167" fontId="20" fillId="0" borderId="82" xfId="1" applyNumberFormat="1" applyFont="1" applyBorder="1" applyAlignment="1" applyProtection="1">
      <alignment horizontal="left"/>
      <protection hidden="1"/>
    </xf>
    <xf numFmtId="167" fontId="147" fillId="12" borderId="85" xfId="5" applyNumberFormat="1" applyFont="1" applyFill="1" applyBorder="1" applyProtection="1">
      <protection locked="0" hidden="1"/>
    </xf>
    <xf numFmtId="0" fontId="0" fillId="12" borderId="82" xfId="0" applyFill="1" applyBorder="1" applyProtection="1">
      <protection locked="0"/>
    </xf>
    <xf numFmtId="0" fontId="0" fillId="12" borderId="86" xfId="0" applyFill="1" applyBorder="1" applyProtection="1">
      <protection locked="0"/>
    </xf>
    <xf numFmtId="167" fontId="20" fillId="0" borderId="82" xfId="5" applyNumberFormat="1" applyFont="1" applyBorder="1" applyAlignment="1" applyProtection="1">
      <alignment horizontal="left"/>
      <protection hidden="1"/>
    </xf>
    <xf numFmtId="167" fontId="32" fillId="17" borderId="84" xfId="1" applyNumberFormat="1" applyFont="1" applyFill="1" applyBorder="1" applyProtection="1">
      <protection hidden="1"/>
    </xf>
    <xf numFmtId="167" fontId="32" fillId="17" borderId="87" xfId="1" applyNumberFormat="1" applyFont="1" applyFill="1" applyBorder="1" applyProtection="1">
      <protection hidden="1"/>
    </xf>
    <xf numFmtId="167" fontId="20" fillId="0" borderId="88" xfId="1" applyNumberFormat="1" applyFont="1" applyBorder="1" applyAlignment="1" applyProtection="1">
      <alignment horizontal="right" wrapText="1"/>
      <protection hidden="1"/>
    </xf>
    <xf numFmtId="167" fontId="20" fillId="0" borderId="89" xfId="1" applyNumberFormat="1" applyFont="1" applyBorder="1" applyAlignment="1" applyProtection="1">
      <alignment vertical="center"/>
      <protection locked="0"/>
    </xf>
    <xf numFmtId="167" fontId="32" fillId="17" borderId="90" xfId="1" applyNumberFormat="1" applyFont="1" applyFill="1" applyBorder="1" applyAlignment="1" applyProtection="1">
      <alignment vertical="center"/>
      <protection hidden="1"/>
    </xf>
    <xf numFmtId="167" fontId="20" fillId="17" borderId="90" xfId="1" applyNumberFormat="1" applyFont="1" applyFill="1" applyBorder="1" applyProtection="1">
      <protection locked="0" hidden="1"/>
    </xf>
    <xf numFmtId="167" fontId="21" fillId="17" borderId="90" xfId="1" applyNumberFormat="1" applyFont="1" applyFill="1" applyBorder="1" applyProtection="1">
      <protection hidden="1"/>
    </xf>
    <xf numFmtId="167" fontId="32" fillId="17" borderId="89" xfId="1" applyNumberFormat="1" applyFont="1" applyFill="1" applyBorder="1" applyProtection="1">
      <protection hidden="1"/>
    </xf>
    <xf numFmtId="167" fontId="32" fillId="17" borderId="90" xfId="1" applyNumberFormat="1" applyFont="1" applyFill="1" applyBorder="1" applyProtection="1">
      <protection hidden="1"/>
    </xf>
    <xf numFmtId="167" fontId="20" fillId="0" borderId="91" xfId="1" applyNumberFormat="1" applyFont="1" applyBorder="1" applyAlignment="1" applyProtection="1">
      <alignment horizontal="right" wrapText="1"/>
      <protection hidden="1"/>
    </xf>
    <xf numFmtId="167" fontId="32" fillId="17" borderId="92" xfId="1" applyNumberFormat="1" applyFont="1" applyFill="1" applyBorder="1" applyProtection="1">
      <protection hidden="1"/>
    </xf>
    <xf numFmtId="167" fontId="32" fillId="17" borderId="93" xfId="1" applyNumberFormat="1" applyFont="1" applyFill="1" applyBorder="1" applyProtection="1">
      <protection hidden="1"/>
    </xf>
    <xf numFmtId="167" fontId="111" fillId="2" borderId="91" xfId="1" quotePrefix="1" applyNumberFormat="1" applyFont="1" applyFill="1" applyBorder="1" applyAlignment="1" applyProtection="1">
      <alignment horizontal="right"/>
      <protection hidden="1"/>
    </xf>
    <xf numFmtId="167" fontId="21" fillId="17" borderId="94" xfId="1" applyNumberFormat="1" applyFont="1" applyFill="1" applyBorder="1" applyProtection="1">
      <protection hidden="1"/>
    </xf>
    <xf numFmtId="167" fontId="20" fillId="0" borderId="94" xfId="1" applyNumberFormat="1" applyFont="1" applyBorder="1" applyProtection="1">
      <protection locked="0"/>
    </xf>
    <xf numFmtId="167" fontId="32" fillId="17" borderId="89" xfId="1" applyNumberFormat="1" applyFont="1" applyFill="1" applyBorder="1" applyAlignment="1" applyProtection="1">
      <alignment vertical="center"/>
      <protection hidden="1"/>
    </xf>
    <xf numFmtId="49" fontId="21" fillId="14" borderId="95" xfId="5" applyNumberFormat="1" applyFont="1" applyFill="1" applyBorder="1" applyAlignment="1" applyProtection="1">
      <alignment horizontal="left" vertical="center"/>
      <protection locked="0"/>
    </xf>
    <xf numFmtId="3" fontId="20" fillId="14" borderId="96" xfId="5" applyNumberFormat="1" applyFont="1" applyFill="1" applyBorder="1" applyAlignment="1" applyProtection="1">
      <alignment vertical="center"/>
      <protection locked="0"/>
    </xf>
    <xf numFmtId="49" fontId="21" fillId="14" borderId="97" xfId="5" applyNumberFormat="1" applyFont="1" applyFill="1" applyBorder="1" applyAlignment="1" applyProtection="1">
      <alignment horizontal="left" vertical="center"/>
      <protection locked="0"/>
    </xf>
    <xf numFmtId="3" fontId="20" fillId="14" borderId="98" xfId="5" applyNumberFormat="1" applyFont="1" applyFill="1" applyBorder="1" applyAlignment="1" applyProtection="1">
      <alignment vertical="center"/>
      <protection locked="0"/>
    </xf>
    <xf numFmtId="3" fontId="20" fillId="14" borderId="96" xfId="5" applyNumberFormat="1" applyFont="1" applyFill="1" applyBorder="1" applyAlignment="1" applyProtection="1">
      <alignment vertical="top"/>
      <protection locked="0"/>
    </xf>
    <xf numFmtId="3" fontId="20" fillId="14" borderId="98" xfId="5" applyNumberFormat="1" applyFont="1" applyFill="1" applyBorder="1" applyAlignment="1" applyProtection="1">
      <alignment vertical="top"/>
      <protection locked="0"/>
    </xf>
    <xf numFmtId="0" fontId="20" fillId="0" borderId="84" xfId="0" applyFont="1" applyBorder="1" applyAlignment="1" applyProtection="1">
      <alignment horizontal="left"/>
      <protection hidden="1"/>
    </xf>
    <xf numFmtId="0" fontId="20" fillId="0" borderId="84" xfId="0" applyFont="1" applyBorder="1" applyProtection="1">
      <protection hidden="1"/>
    </xf>
    <xf numFmtId="0" fontId="131" fillId="16" borderId="84" xfId="0" applyFont="1" applyFill="1" applyBorder="1" applyAlignment="1">
      <alignment horizontal="center" vertical="center"/>
    </xf>
    <xf numFmtId="167" fontId="78" fillId="0" borderId="99" xfId="5" applyNumberFormat="1" applyFont="1" applyBorder="1" applyProtection="1">
      <protection locked="0" hidden="1"/>
    </xf>
    <xf numFmtId="0" fontId="78" fillId="0" borderId="53" xfId="0" applyFont="1" applyBorder="1"/>
    <xf numFmtId="0" fontId="94" fillId="21" borderId="50" xfId="14" quotePrefix="1" applyFont="1" applyAlignment="1" applyProtection="1">
      <alignment horizontal="left" vertical="center" wrapText="1"/>
      <protection hidden="1"/>
    </xf>
    <xf numFmtId="0" fontId="95" fillId="21" borderId="50" xfId="14" applyFont="1" applyAlignment="1" applyProtection="1">
      <alignment vertical="center" wrapText="1"/>
      <protection hidden="1"/>
    </xf>
    <xf numFmtId="0" fontId="105" fillId="0" borderId="0" xfId="1" quotePrefix="1" applyFont="1" applyAlignment="1" applyProtection="1">
      <alignment horizontal="center" vertical="center" wrapText="1"/>
      <protection hidden="1"/>
    </xf>
    <xf numFmtId="0" fontId="101" fillId="14" borderId="20" xfId="1" quotePrefix="1" applyFont="1" applyFill="1" applyBorder="1" applyAlignment="1" applyProtection="1">
      <alignment horizontal="left" vertical="center" wrapText="1"/>
      <protection locked="0"/>
    </xf>
    <xf numFmtId="0" fontId="102" fillId="14" borderId="32" xfId="1" applyFont="1" applyFill="1" applyBorder="1" applyAlignment="1" applyProtection="1">
      <alignment horizontal="left" vertical="center" wrapText="1"/>
      <protection locked="0"/>
    </xf>
    <xf numFmtId="0" fontId="0" fillId="0" borderId="32" xfId="0" applyBorder="1" applyAlignment="1" applyProtection="1">
      <alignment wrapText="1"/>
      <protection locked="0"/>
    </xf>
    <xf numFmtId="0" fontId="0" fillId="0" borderId="33" xfId="0" applyBorder="1" applyAlignment="1" applyProtection="1">
      <alignment wrapText="1"/>
      <protection locked="0"/>
    </xf>
    <xf numFmtId="49" fontId="25" fillId="0" borderId="63" xfId="1" quotePrefix="1" applyNumberFormat="1" applyFont="1" applyBorder="1" applyAlignment="1" applyProtection="1">
      <protection locked="0"/>
    </xf>
    <xf numFmtId="49" fontId="0" fillId="0" borderId="64" xfId="1" applyNumberFormat="1" applyFont="1" applyBorder="1" applyAlignment="1" applyProtection="1">
      <protection locked="0"/>
    </xf>
    <xf numFmtId="49" fontId="0" fillId="0" borderId="65" xfId="1" applyNumberFormat="1" applyFont="1" applyBorder="1" applyAlignment="1" applyProtection="1">
      <protection locked="0"/>
    </xf>
    <xf numFmtId="49" fontId="25" fillId="0" borderId="63" xfId="1" applyNumberFormat="1" applyFont="1" applyBorder="1" applyAlignment="1" applyProtection="1">
      <protection locked="0"/>
    </xf>
    <xf numFmtId="167" fontId="24" fillId="0" borderId="0" xfId="1" quotePrefix="1" applyNumberFormat="1" applyFont="1" applyAlignment="1" applyProtection="1">
      <alignment horizontal="center" vertical="center"/>
      <protection hidden="1"/>
    </xf>
    <xf numFmtId="0" fontId="98" fillId="2" borderId="0" xfId="1" quotePrefix="1" applyFont="1" applyFill="1" applyAlignment="1" applyProtection="1">
      <alignment horizontal="center"/>
      <protection hidden="1"/>
    </xf>
    <xf numFmtId="0" fontId="108" fillId="13" borderId="0" xfId="1" applyFont="1" applyFill="1" applyAlignment="1" applyProtection="1">
      <alignment horizontal="center" vertical="center" wrapText="1"/>
      <protection hidden="1"/>
    </xf>
    <xf numFmtId="0" fontId="97" fillId="0" borderId="0" xfId="1" quotePrefix="1" applyFont="1" applyAlignment="1" applyProtection="1">
      <alignment horizontal="center" vertical="center" wrapText="1"/>
      <protection hidden="1"/>
    </xf>
    <xf numFmtId="167" fontId="109" fillId="0" borderId="0" xfId="1" quotePrefix="1" applyNumberFormat="1" applyFont="1" applyAlignment="1" applyProtection="1">
      <alignment horizontal="center" vertical="center" wrapText="1"/>
      <protection hidden="1"/>
    </xf>
    <xf numFmtId="0" fontId="158" fillId="0" borderId="0" xfId="2" applyFont="1" applyBorder="1" applyAlignment="1" applyProtection="1">
      <alignment horizontal="left" vertical="center" wrapText="1"/>
      <protection locked="0" hidden="1"/>
    </xf>
    <xf numFmtId="0" fontId="158" fillId="0" borderId="0" xfId="2" applyFont="1" applyAlignment="1" applyProtection="1">
      <alignment wrapText="1"/>
    </xf>
    <xf numFmtId="0" fontId="25" fillId="22" borderId="66" xfId="0" applyFont="1" applyFill="1" applyBorder="1" applyAlignment="1" applyProtection="1">
      <alignment horizontal="left"/>
      <protection locked="0" hidden="1"/>
    </xf>
    <xf numFmtId="0" fontId="65" fillId="22" borderId="0" xfId="1" applyFont="1" applyFill="1" applyAlignment="1" applyProtection="1">
      <alignment horizontal="left" vertical="center" wrapText="1"/>
      <protection hidden="1"/>
    </xf>
    <xf numFmtId="0" fontId="87" fillId="22" borderId="0" xfId="1" applyFont="1" applyFill="1" applyAlignment="1" applyProtection="1">
      <alignment horizontal="left" wrapText="1"/>
      <protection hidden="1"/>
    </xf>
    <xf numFmtId="0" fontId="87" fillId="22" borderId="0" xfId="1" applyFont="1" applyFill="1" applyAlignment="1" applyProtection="1">
      <alignment horizontal="left"/>
      <protection hidden="1"/>
    </xf>
    <xf numFmtId="0" fontId="87" fillId="22" borderId="0" xfId="1" applyFont="1" applyFill="1" applyAlignment="1" applyProtection="1">
      <alignment horizontal="left" vertical="top" wrapText="1"/>
      <protection hidden="1"/>
    </xf>
    <xf numFmtId="0" fontId="25" fillId="0" borderId="63" xfId="0" applyFont="1" applyBorder="1" applyAlignment="1" applyProtection="1">
      <protection locked="0" hidden="1"/>
    </xf>
    <xf numFmtId="0" fontId="25" fillId="0" borderId="64" xfId="0" applyFont="1" applyBorder="1" applyAlignment="1" applyProtection="1">
      <protection locked="0"/>
    </xf>
    <xf numFmtId="0" fontId="25" fillId="0" borderId="65" xfId="0" applyFont="1" applyBorder="1" applyAlignment="1" applyProtection="1">
      <protection locked="0"/>
    </xf>
    <xf numFmtId="0" fontId="25" fillId="0" borderId="63" xfId="0" applyFont="1" applyBorder="1" applyAlignment="1" applyProtection="1">
      <alignment horizontal="left"/>
      <protection locked="0" hidden="1"/>
    </xf>
    <xf numFmtId="0" fontId="25" fillId="0" borderId="64" xfId="0" applyFont="1" applyBorder="1" applyAlignment="1" applyProtection="1">
      <alignment horizontal="left"/>
      <protection locked="0"/>
    </xf>
    <xf numFmtId="0" fontId="25" fillId="0" borderId="65" xfId="0" applyFont="1" applyBorder="1" applyAlignment="1" applyProtection="1">
      <alignment horizontal="left"/>
      <protection locked="0"/>
    </xf>
    <xf numFmtId="0" fontId="118" fillId="0" borderId="63" xfId="2" applyFont="1" applyBorder="1" applyAlignment="1" applyProtection="1">
      <protection locked="0" hidden="1"/>
    </xf>
    <xf numFmtId="0" fontId="118" fillId="0" borderId="64" xfId="0" applyFont="1" applyBorder="1" applyAlignment="1" applyProtection="1">
      <protection locked="0"/>
    </xf>
    <xf numFmtId="0" fontId="118" fillId="0" borderId="65" xfId="0" applyFont="1" applyBorder="1" applyAlignment="1" applyProtection="1">
      <protection locked="0"/>
    </xf>
    <xf numFmtId="14" fontId="25" fillId="22" borderId="66" xfId="0" applyNumberFormat="1" applyFont="1" applyFill="1" applyBorder="1" applyAlignment="1" applyProtection="1">
      <alignment horizontal="left"/>
      <protection locked="0" hidden="1"/>
    </xf>
    <xf numFmtId="167" fontId="22" fillId="2" borderId="18" xfId="1" applyNumberFormat="1" applyFont="1" applyFill="1" applyBorder="1" applyAlignment="1" applyProtection="1">
      <alignment horizontal="right" wrapText="1"/>
      <protection hidden="1"/>
    </xf>
    <xf numFmtId="167" fontId="22" fillId="2" borderId="0" xfId="1" applyNumberFormat="1" applyFont="1" applyFill="1" applyAlignment="1" applyProtection="1">
      <alignment horizontal="right" wrapText="1"/>
      <protection hidden="1"/>
    </xf>
    <xf numFmtId="167" fontId="22" fillId="0" borderId="18" xfId="1" applyNumberFormat="1" applyFont="1" applyBorder="1" applyAlignment="1" applyProtection="1">
      <alignment horizontal="right" wrapText="1"/>
      <protection hidden="1"/>
    </xf>
    <xf numFmtId="167" fontId="22" fillId="0" borderId="0" xfId="1" applyNumberFormat="1" applyFont="1" applyAlignment="1" applyProtection="1">
      <alignment horizontal="right" wrapText="1"/>
      <protection hidden="1"/>
    </xf>
    <xf numFmtId="0" fontId="10" fillId="0" borderId="0" xfId="1" applyFont="1" applyAlignment="1" applyProtection="1">
      <alignment wrapText="1"/>
      <protection hidden="1"/>
    </xf>
    <xf numFmtId="167" fontId="87" fillId="0" borderId="11" xfId="1" applyNumberFormat="1" applyFont="1" applyBorder="1" applyAlignment="1" applyProtection="1">
      <alignment horizontal="left"/>
      <protection hidden="1"/>
    </xf>
    <xf numFmtId="0" fontId="69" fillId="14" borderId="50" xfId="14" quotePrefix="1" applyFont="1" applyFill="1" applyAlignment="1" applyProtection="1">
      <alignment horizontal="center" vertical="center" wrapText="1"/>
      <protection hidden="1"/>
    </xf>
    <xf numFmtId="0" fontId="182" fillId="14" borderId="50" xfId="14" applyFont="1" applyFill="1" applyAlignment="1" applyProtection="1">
      <alignment horizontal="center" vertical="center" wrapText="1"/>
      <protection hidden="1"/>
    </xf>
    <xf numFmtId="167" fontId="22" fillId="2" borderId="0" xfId="1" quotePrefix="1" applyNumberFormat="1" applyFont="1" applyFill="1" applyAlignment="1" applyProtection="1">
      <alignment horizontal="right" vertical="center" wrapText="1"/>
      <protection hidden="1"/>
    </xf>
    <xf numFmtId="167" fontId="24" fillId="0" borderId="0" xfId="1" quotePrefix="1" applyNumberFormat="1" applyFont="1" applyAlignment="1" applyProtection="1">
      <alignment horizontal="center" vertical="center" wrapText="1"/>
      <protection hidden="1"/>
    </xf>
    <xf numFmtId="0" fontId="0" fillId="0" borderId="0" xfId="0" applyAlignment="1">
      <alignment horizontal="center" vertical="center" wrapText="1"/>
    </xf>
    <xf numFmtId="0" fontId="98" fillId="2" borderId="0" xfId="1" quotePrefix="1" applyFont="1" applyFill="1" applyAlignment="1" applyProtection="1">
      <alignment horizontal="center" wrapText="1"/>
      <protection hidden="1"/>
    </xf>
    <xf numFmtId="0" fontId="0" fillId="0" borderId="0" xfId="0" applyAlignment="1">
      <alignment horizontal="center" wrapText="1"/>
    </xf>
    <xf numFmtId="0" fontId="96" fillId="2" borderId="0" xfId="1" applyFont="1" applyFill="1" applyAlignment="1" applyProtection="1">
      <alignment horizontal="center" vertical="center" wrapText="1"/>
      <protection hidden="1"/>
    </xf>
    <xf numFmtId="0" fontId="96" fillId="0" borderId="0" xfId="1" applyFont="1" applyAlignment="1" applyProtection="1">
      <alignment horizontal="center" vertical="center" wrapText="1"/>
      <protection hidden="1"/>
    </xf>
    <xf numFmtId="0" fontId="0" fillId="0" borderId="0" xfId="0" applyAlignment="1"/>
    <xf numFmtId="0" fontId="10" fillId="0" borderId="0" xfId="0" applyFont="1" applyAlignment="1"/>
    <xf numFmtId="0" fontId="0" fillId="35" borderId="20" xfId="0" applyFill="1" applyBorder="1" applyAlignment="1" applyProtection="1">
      <alignment horizontal="left"/>
      <protection locked="0"/>
    </xf>
    <xf numFmtId="0" fontId="0" fillId="35" borderId="32" xfId="0" applyFill="1" applyBorder="1" applyAlignment="1" applyProtection="1">
      <alignment horizontal="left"/>
      <protection locked="0"/>
    </xf>
    <xf numFmtId="0" fontId="0" fillId="35" borderId="33" xfId="0" applyFill="1" applyBorder="1" applyAlignment="1" applyProtection="1">
      <alignment horizontal="left"/>
      <protection locked="0"/>
    </xf>
    <xf numFmtId="0" fontId="136" fillId="21" borderId="50" xfId="14" quotePrefix="1" applyFont="1" applyAlignment="1" applyProtection="1">
      <alignment horizontal="center" vertical="center" wrapText="1"/>
      <protection hidden="1"/>
    </xf>
    <xf numFmtId="0" fontId="137" fillId="21" borderId="50" xfId="14" applyFont="1" applyAlignment="1" applyProtection="1">
      <alignment horizontal="center" vertical="center" wrapText="1"/>
      <protection hidden="1"/>
    </xf>
    <xf numFmtId="167" fontId="24" fillId="0" borderId="0" xfId="1" applyNumberFormat="1" applyFont="1" applyAlignment="1" applyProtection="1">
      <alignment horizontal="center" vertical="center" wrapText="1"/>
      <protection hidden="1"/>
    </xf>
    <xf numFmtId="0" fontId="83" fillId="0" borderId="0" xfId="0" applyFont="1" applyAlignment="1"/>
    <xf numFmtId="0" fontId="78" fillId="28" borderId="0" xfId="0" applyFont="1" applyFill="1" applyAlignment="1" applyProtection="1">
      <alignment horizontal="left" vertical="center" wrapText="1"/>
      <protection locked="0"/>
    </xf>
    <xf numFmtId="0" fontId="10" fillId="0" borderId="0" xfId="0" applyFont="1" applyAlignment="1">
      <alignment horizontal="left"/>
    </xf>
    <xf numFmtId="0" fontId="78" fillId="31" borderId="0" xfId="0" applyFont="1" applyFill="1" applyAlignment="1" applyProtection="1">
      <alignment horizontal="left" vertical="center" wrapText="1"/>
      <protection locked="0"/>
    </xf>
    <xf numFmtId="0" fontId="96" fillId="0" borderId="0" xfId="1" applyFont="1" applyAlignment="1" applyProtection="1">
      <alignment horizontal="center" vertical="center"/>
      <protection hidden="1"/>
    </xf>
    <xf numFmtId="167" fontId="24" fillId="2" borderId="0" xfId="1" quotePrefix="1" applyNumberFormat="1" applyFont="1" applyFill="1" applyAlignment="1" applyProtection="1">
      <alignment horizontal="center" vertical="center"/>
      <protection hidden="1"/>
    </xf>
    <xf numFmtId="0" fontId="96" fillId="2" borderId="0" xfId="1" applyFont="1" applyFill="1" applyAlignment="1" applyProtection="1">
      <alignment horizontal="center" vertical="center"/>
      <protection hidden="1"/>
    </xf>
    <xf numFmtId="0" fontId="22" fillId="2" borderId="0" xfId="1" quotePrefix="1" applyFont="1" applyFill="1" applyAlignment="1" applyProtection="1">
      <alignment horizontal="left" vertical="center"/>
      <protection hidden="1"/>
    </xf>
    <xf numFmtId="0" fontId="0" fillId="2" borderId="0" xfId="1" applyFont="1" applyFill="1" applyAlignment="1" applyProtection="1">
      <alignment vertical="center"/>
      <protection hidden="1"/>
    </xf>
    <xf numFmtId="0" fontId="20" fillId="0" borderId="0" xfId="1" applyFont="1" applyAlignment="1" applyProtection="1">
      <alignment vertical="center"/>
      <protection hidden="1"/>
    </xf>
    <xf numFmtId="0" fontId="0" fillId="0" borderId="0" xfId="1" applyFont="1" applyAlignment="1" applyProtection="1">
      <alignment vertical="center"/>
      <protection hidden="1"/>
    </xf>
    <xf numFmtId="0" fontId="10" fillId="0" borderId="0" xfId="1" applyFont="1" applyAlignment="1" applyProtection="1">
      <alignment vertical="center"/>
      <protection hidden="1"/>
    </xf>
    <xf numFmtId="0" fontId="81" fillId="0" borderId="82" xfId="0" applyFont="1" applyBorder="1" applyAlignment="1">
      <alignment horizontal="center"/>
    </xf>
    <xf numFmtId="0" fontId="10" fillId="0" borderId="0" xfId="0" applyFont="1" applyAlignment="1">
      <alignment horizontal="center" wrapText="1"/>
    </xf>
    <xf numFmtId="167" fontId="28" fillId="0" borderId="0" xfId="1" quotePrefix="1" applyNumberFormat="1" applyFont="1" applyAlignment="1" applyProtection="1">
      <alignment horizontal="center" vertical="center"/>
      <protection hidden="1"/>
    </xf>
    <xf numFmtId="0" fontId="0" fillId="0" borderId="0" xfId="0" applyAlignment="1">
      <alignment horizontal="center" vertical="center"/>
    </xf>
    <xf numFmtId="0" fontId="0" fillId="0" borderId="0" xfId="0" applyAlignment="1">
      <alignment horizontal="center"/>
    </xf>
    <xf numFmtId="0" fontId="0" fillId="0" borderId="7" xfId="1" applyFont="1" applyBorder="1" applyAlignment="1" applyProtection="1">
      <alignment horizontal="center" wrapText="1"/>
      <protection hidden="1"/>
    </xf>
    <xf numFmtId="0" fontId="10" fillId="2" borderId="0" xfId="1" applyFont="1" applyFill="1" applyAlignment="1" applyProtection="1">
      <alignment horizontal="center" wrapText="1"/>
      <protection hidden="1"/>
    </xf>
    <xf numFmtId="0" fontId="94" fillId="14" borderId="0" xfId="1" quotePrefix="1" applyFont="1" applyFill="1" applyAlignment="1" applyProtection="1">
      <alignment horizontal="left" vertical="center" wrapText="1"/>
      <protection hidden="1"/>
    </xf>
    <xf numFmtId="0" fontId="95" fillId="14" borderId="0" xfId="1" applyFont="1" applyFill="1" applyAlignment="1" applyProtection="1">
      <alignment vertical="center" wrapText="1"/>
      <protection hidden="1"/>
    </xf>
    <xf numFmtId="0" fontId="122" fillId="14" borderId="12" xfId="1" applyFont="1" applyFill="1" applyBorder="1" applyAlignment="1" applyProtection="1">
      <alignment horizontal="left" vertical="center"/>
      <protection locked="0"/>
    </xf>
    <xf numFmtId="0" fontId="122" fillId="14" borderId="0" xfId="1" applyFont="1" applyFill="1" applyAlignment="1" applyProtection="1">
      <alignment horizontal="left" vertical="center"/>
      <protection locked="0"/>
    </xf>
    <xf numFmtId="0" fontId="122" fillId="14" borderId="11" xfId="1" applyFont="1" applyFill="1" applyBorder="1" applyAlignment="1" applyProtection="1">
      <alignment horizontal="left" vertical="center"/>
      <protection locked="0"/>
    </xf>
    <xf numFmtId="0" fontId="20" fillId="0" borderId="0" xfId="0" applyFont="1" applyAlignment="1">
      <alignment horizontal="left" vertical="center"/>
    </xf>
    <xf numFmtId="0" fontId="20" fillId="0" borderId="11" xfId="0" applyFont="1" applyBorder="1" applyAlignment="1">
      <alignment horizontal="left" vertical="center"/>
    </xf>
    <xf numFmtId="0" fontId="94" fillId="0" borderId="0" xfId="1" quotePrefix="1" applyFont="1" applyAlignment="1">
      <alignment horizontal="left" vertical="center" wrapText="1"/>
    </xf>
    <xf numFmtId="0" fontId="95" fillId="0" borderId="0" xfId="1" applyFont="1" applyAlignment="1">
      <alignment vertical="center" wrapText="1"/>
    </xf>
    <xf numFmtId="167" fontId="24" fillId="0" borderId="0" xfId="1" quotePrefix="1" applyNumberFormat="1" applyFont="1" applyAlignment="1">
      <alignment horizontal="center" vertical="center"/>
    </xf>
    <xf numFmtId="0" fontId="22" fillId="0" borderId="54" xfId="0" applyFont="1" applyBorder="1" applyAlignment="1">
      <alignment horizontal="center" vertical="center" wrapText="1"/>
    </xf>
    <xf numFmtId="0" fontId="22" fillId="0" borderId="59" xfId="0" applyFont="1" applyBorder="1" applyAlignment="1">
      <alignment horizontal="center" vertical="center" wrapText="1"/>
    </xf>
    <xf numFmtId="0" fontId="22" fillId="0" borderId="56" xfId="0" applyFont="1" applyBorder="1" applyAlignment="1">
      <alignment horizontal="center" vertical="center" wrapText="1"/>
    </xf>
    <xf numFmtId="0" fontId="25" fillId="0" borderId="0" xfId="1" quotePrefix="1" applyFont="1" applyAlignment="1" applyProtection="1">
      <alignment horizontal="left" wrapText="1"/>
      <protection locked="0"/>
    </xf>
    <xf numFmtId="0" fontId="0" fillId="0" borderId="0" xfId="0" applyAlignment="1">
      <alignment wrapText="1"/>
    </xf>
    <xf numFmtId="0" fontId="122" fillId="14" borderId="47" xfId="1" applyFont="1" applyFill="1" applyBorder="1" applyAlignment="1" applyProtection="1">
      <alignment horizontal="left" vertical="center"/>
      <protection locked="0"/>
    </xf>
    <xf numFmtId="0" fontId="122" fillId="14" borderId="16" xfId="1" applyFont="1" applyFill="1" applyBorder="1" applyAlignment="1" applyProtection="1">
      <alignment horizontal="left" vertical="center"/>
      <protection locked="0"/>
    </xf>
    <xf numFmtId="0" fontId="122" fillId="14" borderId="52" xfId="1" applyFont="1" applyFill="1" applyBorder="1" applyAlignment="1" applyProtection="1">
      <alignment horizontal="left" vertical="center"/>
      <protection locked="0"/>
    </xf>
  </cellXfs>
  <cellStyles count="70">
    <cellStyle name="%" xfId="1" xr:uid="{00000000-0005-0000-0000-000000000000}"/>
    <cellStyle name="% 2" xfId="5" xr:uid="{00000000-0005-0000-0000-000001000000}"/>
    <cellStyle name="% 3" xfId="68" xr:uid="{5ECA5667-F59D-4DDE-B980-C2F61291954E}"/>
    <cellStyle name="20% - Accent1 2" xfId="55" xr:uid="{A4277222-D668-412F-8603-4BA0FBCCACAA}"/>
    <cellStyle name="20% - Accent6 2" xfId="57" xr:uid="{0E7A4D59-45F8-4432-A7B3-38F2A31FF113}"/>
    <cellStyle name="Comma" xfId="31" builtinId="3"/>
    <cellStyle name="Comma 2" xfId="7" xr:uid="{00000000-0005-0000-0000-000003000000}"/>
    <cellStyle name="Comma 2 2" xfId="18" xr:uid="{047D7F2F-4DB7-4E54-A862-56CED0075331}"/>
    <cellStyle name="Comma 2 2 2" xfId="28" xr:uid="{171A2CB0-78B1-411E-8B1E-450713C62C7E}"/>
    <cellStyle name="Comma 2 2 2 2" xfId="44" xr:uid="{E6FD0987-EC84-4917-B518-C7AFB525CB3D}"/>
    <cellStyle name="Comma 2 2 3" xfId="38" xr:uid="{5D43A0E3-E555-44A0-BD81-5E8E328D75DD}"/>
    <cellStyle name="Comma 2 3" xfId="24" xr:uid="{079B71CB-ED21-4D6D-9027-F7E4E8A04A96}"/>
    <cellStyle name="Comma 2 3 2" xfId="41" xr:uid="{82593A84-1F23-4055-9063-34368125BF61}"/>
    <cellStyle name="Comma 2 4" xfId="34" xr:uid="{DD659D70-71A4-4E8A-A9DE-EA37A42B8E56}"/>
    <cellStyle name="Comma 2 5" xfId="54" xr:uid="{6D4D6CB4-5526-447F-AF6A-E3ECE13F8C56}"/>
    <cellStyle name="Comma 3" xfId="47" xr:uid="{8AC90152-B6A8-44BE-BD88-73E6BF95742B}"/>
    <cellStyle name="Comma 4" xfId="52" xr:uid="{44AB098E-F0F3-4657-B9A4-252AE197FB6E}"/>
    <cellStyle name="Comma 5" xfId="67" xr:uid="{E2F09588-1F56-4B6A-AB92-54262ACBEB91}"/>
    <cellStyle name="Currency 2" xfId="8" xr:uid="{00000000-0005-0000-0000-000004000000}"/>
    <cellStyle name="Currency 2 2" xfId="19" xr:uid="{DEF25D9D-3D8B-46AB-8490-2E6899BDE3C2}"/>
    <cellStyle name="Currency 2 2 2" xfId="29" xr:uid="{B35D41E7-66DB-42C5-B3C3-D39509101B1B}"/>
    <cellStyle name="Currency 2 2 2 2" xfId="45" xr:uid="{DCBD0DB2-8A2E-466C-A9EC-478F92505353}"/>
    <cellStyle name="Currency 2 2 3" xfId="39" xr:uid="{AEAD19C3-803A-4DE8-9820-A898819D21CF}"/>
    <cellStyle name="Currency 2 3" xfId="25" xr:uid="{214744C1-D0C1-459E-B954-434C2484B3BA}"/>
    <cellStyle name="Currency 2 3 2" xfId="42" xr:uid="{9680BCAD-7FEE-44D6-B22E-AE0D5FCA93DE}"/>
    <cellStyle name="Currency 2 4" xfId="35" xr:uid="{8802F45A-D511-43B3-B076-42318FDE8B32}"/>
    <cellStyle name="Hyperlink" xfId="2" builtinId="8"/>
    <cellStyle name="Hyperlink 2" xfId="16" xr:uid="{5249D6A6-D759-4843-B250-375BCD87889F}"/>
    <cellStyle name="Hyperlink 3" xfId="61" xr:uid="{C17E8B0D-FBCD-466D-BA9B-C014C097AB67}"/>
    <cellStyle name="Hyperlink 4" xfId="63" xr:uid="{DEB41090-0A7F-4D05-90B7-6C811E5A0175}"/>
    <cellStyle name="Hyperlink 5" xfId="66" xr:uid="{C3005F0B-336B-48DC-B903-F5657E1C2329}"/>
    <cellStyle name="Hyperlink 7" xfId="65" xr:uid="{E289D7B7-81F0-42A5-B0FC-49869D2E9649}"/>
    <cellStyle name="Normal" xfId="0" builtinId="0"/>
    <cellStyle name="Normal 10" xfId="32" xr:uid="{F94CA7B9-2CB1-45C1-92B7-F1C85B79EC89}"/>
    <cellStyle name="Normal 11" xfId="48" xr:uid="{47BE99BF-094C-4F2F-A7D0-DB299D4119CC}"/>
    <cellStyle name="Normal 11 2" xfId="59" xr:uid="{7E166A0F-27F5-43D4-B33D-127D55D65374}"/>
    <cellStyle name="Normal 12" xfId="50" xr:uid="{3D3CA44F-55A8-4298-896E-E231A48DA977}"/>
    <cellStyle name="Normal 13" xfId="51" xr:uid="{F53136A6-88CC-4801-A693-F70B18685D36}"/>
    <cellStyle name="Normal 14" xfId="56" xr:uid="{B0E991CC-BE32-4E77-9295-444E9652479C}"/>
    <cellStyle name="Normal 15" xfId="60" xr:uid="{237AD11C-D054-43C0-9EE3-10F4D88A92F6}"/>
    <cellStyle name="Normal 16" xfId="64" xr:uid="{C7869CFE-A6A7-42E5-B10E-9285AEB66DC2}"/>
    <cellStyle name="Normal 17" xfId="69" xr:uid="{85581DE8-81B2-44F5-8915-9C79B39CCC42}"/>
    <cellStyle name="Normal 2" xfId="6" xr:uid="{00000000-0005-0000-0000-000007000000}"/>
    <cellStyle name="Normal 2 2 2" xfId="53" xr:uid="{CE22176E-E357-4F55-80CC-778B32D06EE4}"/>
    <cellStyle name="Normal 3" xfId="9" xr:uid="{00000000-0005-0000-0000-000008000000}"/>
    <cellStyle name="Normal 3 2" xfId="58" xr:uid="{B35B058D-7EB3-4775-AD49-C917582F440F}"/>
    <cellStyle name="Normal 3 3" xfId="10" xr:uid="{00000000-0005-0000-0000-000009000000}"/>
    <cellStyle name="Normal 3 3 2" xfId="20" xr:uid="{A58CB82E-5BD0-4254-A357-9A0EFC83D464}"/>
    <cellStyle name="Normal 4" xfId="15" xr:uid="{5B39A5FB-A9E0-4878-9536-B08087AD3B39}"/>
    <cellStyle name="Normal 4 2" xfId="27" xr:uid="{05A47457-4BA7-46F1-A52C-22049087CDAE}"/>
    <cellStyle name="Normal 4 2 2" xfId="43" xr:uid="{B98A6477-88FD-4260-919D-1825D259B5F9}"/>
    <cellStyle name="Normal 4 3" xfId="37" xr:uid="{91950074-F720-4C60-9995-37D3335F59B3}"/>
    <cellStyle name="Normal 5" xfId="23" xr:uid="{ACAA594F-8FFE-4C59-9E1A-A65A97B01ACD}"/>
    <cellStyle name="Normal 56" xfId="17" xr:uid="{9BA400DA-2FD8-4F48-9D4C-B6A6AF9AC6D7}"/>
    <cellStyle name="Normal 56 10" xfId="49" xr:uid="{62E9A58B-EECE-4D70-A328-382FE6B0A7E0}"/>
    <cellStyle name="Normal 6" xfId="30" xr:uid="{88D7E2C4-DD52-4FFE-A891-81582EC4C1DE}"/>
    <cellStyle name="Normal 6 2" xfId="46" xr:uid="{1481B83A-4F8D-48E8-87DF-8E4A4308CDBD}"/>
    <cellStyle name="Normal 7" xfId="22" xr:uid="{AF69B3C1-1193-49F6-9BB2-4D905C5E0092}"/>
    <cellStyle name="Normal 7 2" xfId="40" xr:uid="{280C465C-F767-4150-A2D2-34C161B25329}"/>
    <cellStyle name="Normal 8" xfId="11" xr:uid="{00000000-0005-0000-0000-00000A000000}"/>
    <cellStyle name="Normal 8 3" xfId="12" xr:uid="{00000000-0005-0000-0000-00000B000000}"/>
    <cellStyle name="Normal 9" xfId="33" xr:uid="{7D452064-54EE-4FED-A4C5-9033B6E97C7D}"/>
    <cellStyle name="Normal_TableA2_0304" xfId="3" xr:uid="{00000000-0005-0000-0000-00000C000000}"/>
    <cellStyle name="Normal_TableA4_0304" xfId="4" xr:uid="{00000000-0005-0000-0000-00000D000000}"/>
    <cellStyle name="Note" xfId="14" builtinId="10"/>
    <cellStyle name="Note 2" xfId="21" xr:uid="{7B6326AB-C16E-409B-A227-6B566B39A0A1}"/>
    <cellStyle name="Note 3" xfId="26" xr:uid="{66225596-761B-4820-8930-E6690250EC99}"/>
    <cellStyle name="Note 4" xfId="36" xr:uid="{BC3AC183-F6D5-45CF-91C7-DD96001310A3}"/>
    <cellStyle name="Percent" xfId="62" builtinId="5"/>
    <cellStyle name="Percent 2" xfId="13" xr:uid="{00000000-0005-0000-0000-00000E000000}"/>
  </cellStyles>
  <dxfs count="207">
    <dxf>
      <font>
        <color theme="5"/>
      </font>
    </dxf>
    <dxf>
      <fill>
        <patternFill>
          <bgColor rgb="FFFFFFCC"/>
        </patternFill>
      </fill>
    </dxf>
    <dxf>
      <fill>
        <patternFill>
          <bgColor rgb="FFFFFFCC"/>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color theme="5"/>
      </font>
      <fill>
        <patternFill>
          <bgColor rgb="FFFFFFCC"/>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color theme="5"/>
      </font>
      <fill>
        <patternFill>
          <bgColor rgb="FFFFFFCC"/>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color theme="5"/>
      </font>
      <fill>
        <patternFill>
          <bgColor rgb="FFFFFFCC"/>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color theme="5"/>
      </font>
      <fill>
        <patternFill>
          <bgColor rgb="FFFFFFCC"/>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ont>
        <b/>
        <i val="0"/>
        <color theme="0"/>
      </font>
      <fill>
        <patternFill>
          <bgColor theme="9"/>
        </patternFill>
      </fill>
    </dxf>
    <dxf>
      <font>
        <b/>
        <i val="0"/>
        <color theme="0"/>
      </font>
      <fill>
        <patternFill>
          <bgColor theme="5"/>
        </patternFill>
      </fill>
    </dxf>
    <dxf>
      <font>
        <b/>
        <i val="0"/>
        <color theme="0"/>
      </font>
      <fill>
        <patternFill>
          <bgColor theme="4"/>
        </patternFill>
      </fill>
    </dxf>
    <dxf>
      <font>
        <b/>
        <i val="0"/>
        <color theme="0"/>
      </font>
      <fill>
        <patternFill>
          <bgColor theme="4"/>
        </patternFill>
      </fill>
    </dxf>
    <dxf>
      <font>
        <b/>
        <i val="0"/>
        <color theme="0"/>
      </font>
      <fill>
        <patternFill>
          <bgColor theme="9"/>
        </patternFill>
      </fill>
    </dxf>
    <dxf>
      <font>
        <b/>
        <i val="0"/>
        <color theme="0"/>
      </font>
      <fill>
        <patternFill>
          <bgColor theme="5"/>
        </patternFill>
      </fill>
    </dxf>
    <dxf>
      <font>
        <b/>
        <i val="0"/>
        <color theme="0"/>
      </font>
      <fill>
        <patternFill>
          <bgColor theme="4"/>
        </patternFill>
      </fill>
    </dxf>
    <dxf>
      <font>
        <b/>
        <i val="0"/>
        <color theme="0"/>
      </font>
      <fill>
        <patternFill>
          <bgColor theme="9"/>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ont>
        <b/>
        <i val="0"/>
        <color theme="0"/>
      </font>
      <fill>
        <patternFill>
          <bgColor theme="5"/>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FFCC"/>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FFCC"/>
        </patternFill>
      </fill>
    </dxf>
    <dxf>
      <fill>
        <patternFill>
          <bgColor rgb="FFFFFFCC"/>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FFCC"/>
        </patternFill>
      </fill>
    </dxf>
    <dxf>
      <fill>
        <patternFill>
          <bgColor rgb="FFFFFFCC"/>
        </patternFill>
      </fill>
    </dxf>
    <dxf>
      <font>
        <b/>
        <i val="0"/>
        <color theme="5"/>
      </font>
      <fill>
        <patternFill>
          <bgColor rgb="FFFFFFCC"/>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color theme="5"/>
      </font>
      <fill>
        <patternFill>
          <bgColor rgb="FFFFFFCC"/>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color theme="5"/>
      </font>
      <fill>
        <patternFill>
          <bgColor rgb="FFFFFFCC"/>
        </patternFill>
      </fill>
    </dxf>
    <dxf>
      <font>
        <b/>
        <i val="0"/>
        <color theme="1"/>
      </font>
    </dxf>
    <dxf>
      <fill>
        <patternFill>
          <bgColor rgb="FFFFFFCC"/>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color theme="5"/>
      </font>
      <fill>
        <patternFill>
          <bgColor rgb="FFFFFFCC"/>
        </patternFill>
      </fill>
    </dxf>
    <dxf>
      <font>
        <b/>
        <i val="0"/>
        <color theme="0"/>
      </font>
      <fill>
        <patternFill>
          <bgColor theme="5"/>
        </patternFill>
      </fill>
    </dxf>
    <dxf>
      <font>
        <b/>
        <i val="0"/>
        <color theme="0"/>
      </font>
      <fill>
        <patternFill>
          <bgColor theme="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color theme="5"/>
      </font>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color theme="5"/>
      </font>
      <fill>
        <patternFill>
          <bgColor rgb="FFFFFFCC"/>
        </patternFill>
      </fill>
    </dxf>
    <dxf>
      <fill>
        <patternFill>
          <bgColor rgb="FFFFFFCC"/>
        </patternFill>
      </fill>
    </dxf>
    <dxf>
      <font>
        <b/>
        <i val="0"/>
        <color theme="1"/>
      </font>
    </dxf>
    <dxf>
      <fill>
        <patternFill>
          <bgColor rgb="FFFFFFCC"/>
        </patternFill>
      </fill>
    </dxf>
    <dxf>
      <font>
        <b/>
        <i val="0"/>
        <color theme="0"/>
      </font>
      <fill>
        <patternFill>
          <bgColor theme="9"/>
        </patternFill>
      </fill>
    </dxf>
    <dxf>
      <font>
        <b/>
        <i val="0"/>
        <color theme="0"/>
      </font>
      <fill>
        <patternFill>
          <bgColor theme="5"/>
        </patternFill>
      </fill>
    </dxf>
    <dxf>
      <font>
        <b/>
        <i val="0"/>
        <color theme="0"/>
      </font>
      <fill>
        <patternFill>
          <bgColor theme="4"/>
        </patternFill>
      </fill>
    </dxf>
    <dxf>
      <font>
        <b/>
        <i val="0"/>
        <color theme="1"/>
      </font>
    </dxf>
    <dxf>
      <font>
        <b/>
        <i val="0"/>
        <color theme="1"/>
      </font>
    </dxf>
    <dxf>
      <font>
        <b/>
        <i val="0"/>
        <color theme="1"/>
      </font>
    </dxf>
    <dxf>
      <font>
        <b/>
        <i val="0"/>
        <color theme="1"/>
      </font>
    </dxf>
    <dxf>
      <fill>
        <patternFill patternType="none">
          <bgColor auto="1"/>
        </patternFill>
      </fill>
      <border>
        <left style="thin">
          <color theme="9"/>
        </left>
        <right style="thin">
          <color theme="9"/>
        </right>
        <top style="thin">
          <color theme="9"/>
        </top>
        <bottom style="thin">
          <color theme="9"/>
        </bottom>
      </border>
    </dxf>
    <dxf>
      <fill>
        <patternFill>
          <bgColor rgb="FFFFFFCC"/>
        </patternFill>
      </fill>
    </dxf>
    <dxf>
      <font>
        <b/>
        <i val="0"/>
        <color theme="0"/>
      </font>
      <fill>
        <patternFill>
          <bgColor theme="4"/>
        </patternFill>
      </fill>
    </dxf>
    <dxf>
      <font>
        <b/>
        <i val="0"/>
        <color theme="0"/>
      </font>
      <fill>
        <patternFill>
          <bgColor theme="9"/>
        </patternFill>
      </fill>
    </dxf>
    <dxf>
      <font>
        <b/>
        <i val="0"/>
        <color theme="0"/>
      </font>
      <fill>
        <patternFill>
          <bgColor theme="5"/>
        </patternFill>
      </fill>
    </dxf>
    <dxf>
      <font>
        <b/>
        <i val="0"/>
        <color theme="0"/>
      </font>
      <fill>
        <patternFill>
          <bgColor theme="4"/>
        </patternFill>
      </fill>
    </dxf>
    <dxf>
      <font>
        <b/>
        <i val="0"/>
        <color theme="0"/>
      </font>
      <fill>
        <patternFill>
          <bgColor theme="9"/>
        </patternFill>
      </fill>
    </dxf>
    <dxf>
      <font>
        <b/>
        <i val="0"/>
        <color theme="0"/>
      </font>
      <fill>
        <patternFill>
          <bgColor theme="5"/>
        </patternFill>
      </fill>
    </dxf>
    <dxf>
      <font>
        <b/>
        <i val="0"/>
        <color theme="0"/>
      </font>
      <fill>
        <patternFill>
          <bgColor theme="9"/>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ill>
        <patternFill>
          <bgColor rgb="FFFFFFCC"/>
        </patternFill>
      </fill>
    </dxf>
    <dxf>
      <fill>
        <patternFill>
          <bgColor rgb="FFFFFFCC"/>
        </patternFill>
      </fill>
    </dxf>
    <dxf>
      <font>
        <b/>
        <i val="0"/>
        <color theme="6" tint="-0.24994659260841701"/>
      </font>
      <fill>
        <patternFill>
          <bgColor theme="6" tint="0.79998168889431442"/>
        </patternFill>
      </fill>
    </dxf>
    <dxf>
      <font>
        <b/>
        <i val="0"/>
        <color theme="6" tint="-0.24994659260841701"/>
      </font>
      <fill>
        <patternFill>
          <bgColor theme="6" tint="0.59996337778862885"/>
        </patternFill>
      </fill>
    </dxf>
    <dxf>
      <fill>
        <patternFill>
          <bgColor rgb="FFFFFFCC"/>
        </patternFill>
      </fill>
    </dxf>
    <dxf>
      <font>
        <b/>
        <i val="0"/>
        <color theme="0"/>
      </font>
      <fill>
        <patternFill>
          <bgColor theme="4"/>
        </patternFill>
      </fill>
    </dxf>
    <dxf>
      <font>
        <b/>
        <i val="0"/>
        <color theme="0"/>
      </font>
      <fill>
        <patternFill>
          <bgColor theme="9"/>
        </patternFill>
      </fill>
    </dxf>
    <dxf>
      <font>
        <b/>
        <i val="0"/>
        <color theme="0"/>
      </font>
      <fill>
        <patternFill>
          <bgColor theme="5"/>
        </patternFill>
      </fill>
    </dxf>
    <dxf>
      <fill>
        <patternFill>
          <bgColor rgb="FFFFFFCC"/>
        </patternFill>
      </fill>
    </dxf>
    <dxf>
      <fill>
        <patternFill>
          <bgColor rgb="FFFFFFCC"/>
        </patternFill>
      </fill>
    </dxf>
    <dxf>
      <fill>
        <patternFill>
          <bgColor rgb="FFFFFFCC"/>
        </patternFill>
      </fill>
    </dxf>
    <dxf>
      <font>
        <b/>
        <i val="0"/>
        <color rgb="FFFF0000"/>
      </font>
      <fill>
        <patternFill>
          <bgColor rgb="FFFFFFCC"/>
        </patternFill>
      </fill>
    </dxf>
  </dxfs>
  <tableStyles count="0" defaultTableStyle="TableStyleMedium2" defaultPivotStyle="PivotStyleLight16"/>
  <colors>
    <mruColors>
      <color rgb="FFB8CCE4"/>
      <color rgb="FF0000FF"/>
      <color rgb="FFFFFFCC"/>
      <color rgb="FFF020EB"/>
      <color rgb="FFF23AD8"/>
      <color rgb="FFFF7C80"/>
      <color rgb="FF4F81BD"/>
      <color rgb="FF002060"/>
      <color rgb="FFC0504D"/>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12.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externalLink" Target="externalLinks/externalLink11.xml"/><Relationship Id="rId38" Type="http://schemas.openxmlformats.org/officeDocument/2006/relationships/theme" Target="theme/theme1.xml"/><Relationship Id="rId46"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7.xml"/><Relationship Id="rId41"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externalLink" Target="externalLinks/externalLink10.xml"/><Relationship Id="rId37" Type="http://schemas.openxmlformats.org/officeDocument/2006/relationships/externalLink" Target="externalLinks/externalLink15.xml"/><Relationship Id="rId40" Type="http://schemas.openxmlformats.org/officeDocument/2006/relationships/sharedStrings" Target="sharedString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36" Type="http://schemas.openxmlformats.org/officeDocument/2006/relationships/externalLink" Target="externalLinks/externalLink1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9.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externalLink" Target="externalLinks/externalLink8.xml"/><Relationship Id="rId35" Type="http://schemas.openxmlformats.org/officeDocument/2006/relationships/externalLink" Target="externalLinks/externalLink13.xml"/><Relationship Id="rId43"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75788</xdr:rowOff>
    </xdr:from>
    <xdr:to>
      <xdr:col>1</xdr:col>
      <xdr:colOff>2534740</xdr:colOff>
      <xdr:row>7</xdr:row>
      <xdr:rowOff>24206</xdr:rowOff>
    </xdr:to>
    <xdr:pic>
      <xdr:nvPicPr>
        <xdr:cNvPr id="4" name="Picture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0" y="681924"/>
          <a:ext cx="3111038" cy="9286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2</xdr:row>
      <xdr:rowOff>90098</xdr:rowOff>
    </xdr:from>
    <xdr:to>
      <xdr:col>1</xdr:col>
      <xdr:colOff>2590800</xdr:colOff>
      <xdr:row>7</xdr:row>
      <xdr:rowOff>60310</xdr:rowOff>
    </xdr:to>
    <xdr:pic>
      <xdr:nvPicPr>
        <xdr:cNvPr id="3" name="Picture 2">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0" y="1014658"/>
          <a:ext cx="3281680" cy="9720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2</xdr:row>
      <xdr:rowOff>87525</xdr:rowOff>
    </xdr:from>
    <xdr:to>
      <xdr:col>1</xdr:col>
      <xdr:colOff>3070644</xdr:colOff>
      <xdr:row>8</xdr:row>
      <xdr:rowOff>21225</xdr:rowOff>
    </xdr:to>
    <xdr:pic>
      <xdr:nvPicPr>
        <xdr:cNvPr id="3" name="Picture 2">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0" y="1012811"/>
          <a:ext cx="3673532" cy="10881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2</xdr:row>
      <xdr:rowOff>90819</xdr:rowOff>
    </xdr:from>
    <xdr:to>
      <xdr:col>2</xdr:col>
      <xdr:colOff>2118864</xdr:colOff>
      <xdr:row>7</xdr:row>
      <xdr:rowOff>21590</xdr:rowOff>
    </xdr:to>
    <xdr:pic>
      <xdr:nvPicPr>
        <xdr:cNvPr id="3" name="Picture 2">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0" y="1015379"/>
          <a:ext cx="3192014" cy="9455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2</xdr:row>
      <xdr:rowOff>90066</xdr:rowOff>
    </xdr:from>
    <xdr:to>
      <xdr:col>1</xdr:col>
      <xdr:colOff>2610908</xdr:colOff>
      <xdr:row>7</xdr:row>
      <xdr:rowOff>40639</xdr:rowOff>
    </xdr:to>
    <xdr:pic>
      <xdr:nvPicPr>
        <xdr:cNvPr id="5" name="Picture 4">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0" y="1014626"/>
          <a:ext cx="3228852" cy="9564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2</xdr:row>
      <xdr:rowOff>63500</xdr:rowOff>
    </xdr:from>
    <xdr:to>
      <xdr:col>3</xdr:col>
      <xdr:colOff>1664000</xdr:colOff>
      <xdr:row>7</xdr:row>
      <xdr:rowOff>25503</xdr:rowOff>
    </xdr:to>
    <xdr:pic>
      <xdr:nvPicPr>
        <xdr:cNvPr id="4" name="Picture 3">
          <a:extLst>
            <a:ext uri="{FF2B5EF4-FFF2-40B4-BE49-F238E27FC236}">
              <a16:creationId xmlns:a16="http://schemas.microsoft.com/office/drawing/2014/main" id="{A28CC688-4322-475F-952E-3BC7A922A1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0" y="685800"/>
          <a:ext cx="3203452" cy="9665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93564</xdr:rowOff>
    </xdr:from>
    <xdr:to>
      <xdr:col>1</xdr:col>
      <xdr:colOff>2664433</xdr:colOff>
      <xdr:row>8</xdr:row>
      <xdr:rowOff>73568</xdr:rowOff>
    </xdr:to>
    <xdr:pic>
      <xdr:nvPicPr>
        <xdr:cNvPr id="3" name="Picture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0" y="1018850"/>
          <a:ext cx="3252354" cy="962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xdr:row>
      <xdr:rowOff>93564</xdr:rowOff>
    </xdr:from>
    <xdr:to>
      <xdr:col>1</xdr:col>
      <xdr:colOff>2664433</xdr:colOff>
      <xdr:row>7</xdr:row>
      <xdr:rowOff>73568</xdr:rowOff>
    </xdr:to>
    <xdr:pic>
      <xdr:nvPicPr>
        <xdr:cNvPr id="2" name="Picture 1">
          <a:extLst>
            <a:ext uri="{FF2B5EF4-FFF2-40B4-BE49-F238E27FC236}">
              <a16:creationId xmlns:a16="http://schemas.microsoft.com/office/drawing/2014/main" id="{40975FF3-BFB7-4FB2-B9E9-BDF35F6624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0" y="1014314"/>
          <a:ext cx="3274033" cy="9642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xdr:row>
      <xdr:rowOff>97917</xdr:rowOff>
    </xdr:from>
    <xdr:to>
      <xdr:col>1</xdr:col>
      <xdr:colOff>2954973</xdr:colOff>
      <xdr:row>7</xdr:row>
      <xdr:rowOff>97413</xdr:rowOff>
    </xdr:to>
    <xdr:pic>
      <xdr:nvPicPr>
        <xdr:cNvPr id="3" name="Picture 2">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0" y="1018667"/>
          <a:ext cx="3407833" cy="9790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2</xdr:row>
      <xdr:rowOff>92994</xdr:rowOff>
    </xdr:from>
    <xdr:to>
      <xdr:col>1</xdr:col>
      <xdr:colOff>2437870</xdr:colOff>
      <xdr:row>7</xdr:row>
      <xdr:rowOff>0</xdr:rowOff>
    </xdr:to>
    <xdr:pic>
      <xdr:nvPicPr>
        <xdr:cNvPr id="3" name="Picture 2">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0" y="1017554"/>
          <a:ext cx="3047470" cy="9026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2</xdr:row>
      <xdr:rowOff>90066</xdr:rowOff>
    </xdr:from>
    <xdr:to>
      <xdr:col>1</xdr:col>
      <xdr:colOff>2692037</xdr:colOff>
      <xdr:row>7</xdr:row>
      <xdr:rowOff>62851</xdr:rowOff>
    </xdr:to>
    <xdr:pic>
      <xdr:nvPicPr>
        <xdr:cNvPr id="3" name="Picture 2">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0" y="1014626"/>
          <a:ext cx="3302000" cy="978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2</xdr:row>
      <xdr:rowOff>95396</xdr:rowOff>
    </xdr:from>
    <xdr:to>
      <xdr:col>1</xdr:col>
      <xdr:colOff>2054888</xdr:colOff>
      <xdr:row>6</xdr:row>
      <xdr:rowOff>111760</xdr:rowOff>
    </xdr:to>
    <xdr:pic>
      <xdr:nvPicPr>
        <xdr:cNvPr id="3" name="Picture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0" y="1019956"/>
          <a:ext cx="2902162" cy="8596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2</xdr:row>
      <xdr:rowOff>96594</xdr:rowOff>
    </xdr:from>
    <xdr:to>
      <xdr:col>1</xdr:col>
      <xdr:colOff>2840518</xdr:colOff>
      <xdr:row>7</xdr:row>
      <xdr:rowOff>97594</xdr:rowOff>
    </xdr:to>
    <xdr:pic>
      <xdr:nvPicPr>
        <xdr:cNvPr id="3" name="Picture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0" y="1019580"/>
          <a:ext cx="3445099" cy="10028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31750</xdr:colOff>
      <xdr:row>3</xdr:row>
      <xdr:rowOff>86820</xdr:rowOff>
    </xdr:from>
    <xdr:to>
      <xdr:col>1</xdr:col>
      <xdr:colOff>2687234</xdr:colOff>
      <xdr:row>8</xdr:row>
      <xdr:rowOff>254363</xdr:rowOff>
    </xdr:to>
    <xdr:pic>
      <xdr:nvPicPr>
        <xdr:cNvPr id="2" name="Picture 2">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31750" y="1356820"/>
          <a:ext cx="3263271" cy="9612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COMMON\99I2K\Group3\forecast\Pre%20Budget%20Reports\PBR%202006\Summer%20changes\CTPBR06L_origin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oasisdata7\homedirs\Program%20Files\FileNET\IDM\Cache\2003012410152300001\all%20the%20chart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lgf1live.virago.internal.dtlr.gov.uk\flgr\COMMON\99I2K\Group3\forecast\Pre%20Budget%20Reports\PBR%202006\Summer%20changes\CTPBR06L_origina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windows\temp\PROF99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P:\rkyv\CheckOut\Long-term%20model%202009%7bdb5-doc3966101-ma1-mi14%7d.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glndsv02\OBR\WINDOWS\TEMP\PD\PD109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windows\temp\PROF99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senevij\Local%20Settings\Temporary%20Internet%20Files\OLK6D\FertAssChar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cdn.budgetresponsibility.independent.gov.uk/forecast/hist20/CHSPD1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onnetapp01\ASDDATA\MP\SWAUP2\Demography\BWRM5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U:\BM\Forecast\Bud05\PostBudget05_reconciled.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cdn.budgetresponsibility.independent.gov.uk/forecast/hist20/HIS19FI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budgetresponsibility.org.uk/WINDOWS/TEMP/PD/PD109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Research-camb\mresearch\RPW\Winter%2004-05\Margins\MRGWinter04-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Chart 3.11"/>
      <sheetName val="Exec Summary"/>
      <sheetName val="Sheet2"/>
      <sheetName val="Model_inputs"/>
      <sheetName val="Determinant_analysis"/>
      <sheetName val="Model_output"/>
      <sheetName val="CTA_output"/>
      <sheetName val="Model_growth_rates"/>
      <sheetName val="HIC_Total"/>
      <sheetName val="FIN_Total"/>
      <sheetName val="Main_calcs"/>
      <sheetName val="CT_on_gains"/>
      <sheetName val="A9_summary"/>
      <sheetName val="GR_regressions"/>
      <sheetName val="L-P_regressions"/>
      <sheetName val="Chart_3_11"/>
      <sheetName val="Exec_Summary"/>
      <sheetName val="Model_inputs1"/>
      <sheetName val="Determinant_analysis1"/>
      <sheetName val="Model_output1"/>
      <sheetName val="CTA_output1"/>
      <sheetName val="Model_growth_rates1"/>
      <sheetName val="HIC_Total1"/>
      <sheetName val="FIN_Total1"/>
      <sheetName val="Main_calcs1"/>
      <sheetName val="CT_on_gains1"/>
      <sheetName val="A9_summary1"/>
      <sheetName val="GR_regressions1"/>
      <sheetName val="L-P_regressions1"/>
      <sheetName val="Chart_3_111"/>
      <sheetName val="Exec_Summary1"/>
      <sheetName val="Model_inputs2"/>
      <sheetName val="Determinant_analysis2"/>
      <sheetName val="Model_output2"/>
      <sheetName val="CTA_output2"/>
      <sheetName val="Model_growth_rates2"/>
      <sheetName val="HIC_Total2"/>
      <sheetName val="FIN_Total2"/>
      <sheetName val="Main_calcs2"/>
      <sheetName val="CT_on_gains2"/>
      <sheetName val="A9_summary2"/>
      <sheetName val="GR_regressions2"/>
      <sheetName val="L-P_regressions2"/>
      <sheetName val="Chart_3_112"/>
      <sheetName val="Exec_Summary2"/>
      <sheetName val="BigChart"/>
      <sheetName val="Buget Reconciliation page"/>
      <sheetName val="Model_inputs3"/>
      <sheetName val="Determinant_analysis3"/>
      <sheetName val="Model_output3"/>
      <sheetName val="CTA_output3"/>
      <sheetName val="Model_growth_rates3"/>
      <sheetName val="HIC_Total3"/>
      <sheetName val="FIN_Total3"/>
      <sheetName val="Main_calcs3"/>
      <sheetName val="CT_on_gains3"/>
      <sheetName val="A9_summary3"/>
      <sheetName val="GR_regressions3"/>
      <sheetName val="L-P_regressions3"/>
      <sheetName val="Chart_3_113"/>
      <sheetName val="Exec_Summary3"/>
      <sheetName val="Buget_Reconciliation_page"/>
      <sheetName val="Model_inputs4"/>
      <sheetName val="Determinant_analysis4"/>
      <sheetName val="Model_output4"/>
      <sheetName val="CTA_output4"/>
      <sheetName val="Model_growth_rates4"/>
      <sheetName val="HIC_Total4"/>
      <sheetName val="FIN_Total4"/>
      <sheetName val="Main_calcs4"/>
      <sheetName val="CT_on_gains4"/>
      <sheetName val="A9_summary4"/>
      <sheetName val="GR_regressions4"/>
      <sheetName val="L-P_regressions4"/>
      <sheetName val="Chart_3_114"/>
      <sheetName val="Exec_Summary4"/>
      <sheetName val="Buget_Reconciliation_page1"/>
      <sheetName val="Data Variables"/>
      <sheetName val="Savings Uplifts"/>
      <sheetName val="Lookup"/>
      <sheetName val="Model_inputs5"/>
      <sheetName val="Determinant_analysis5"/>
      <sheetName val="Model_output5"/>
      <sheetName val="CTA_output5"/>
      <sheetName val="Model_growth_rates5"/>
      <sheetName val="HIC_Total5"/>
      <sheetName val="FIN_Total5"/>
      <sheetName val="Main_calcs5"/>
      <sheetName val="CT_on_gains5"/>
      <sheetName val="A9_summary5"/>
      <sheetName val="GR_regressions5"/>
      <sheetName val="L-P_regressions5"/>
      <sheetName val="Chart_3_115"/>
      <sheetName val="Exec_Summary5"/>
      <sheetName val="Buget_Reconciliation_page2"/>
      <sheetName val="Data_Variables"/>
      <sheetName val="Savings_Uplifts"/>
      <sheetName val="GDP forecast"/>
      <sheetName val="CTPBR06L_original"/>
      <sheetName val="Model_inputs6"/>
      <sheetName val="Determinant_analysis6"/>
      <sheetName val="Model_output6"/>
      <sheetName val="CTA_output6"/>
      <sheetName val="Model_growth_rates6"/>
      <sheetName val="HIC_Total6"/>
      <sheetName val="FIN_Total6"/>
      <sheetName val="Main_calcs6"/>
      <sheetName val="CT_on_gains6"/>
      <sheetName val="A9_summary6"/>
      <sheetName val="GR_regressions6"/>
      <sheetName val="L-P_regressions6"/>
      <sheetName val="Chart_3_116"/>
      <sheetName val="Exec_Summary6"/>
      <sheetName val="Buget_Reconciliation_page3"/>
      <sheetName val="Data_Variables1"/>
      <sheetName val="Savings_Uplift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refreshError="1"/>
      <sheetData sheetId="112" refreshError="1"/>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 val="Figure_1_1"/>
      <sheetName val="Frameworks_comparison_2_1_2_2"/>
      <sheetName val="Figures_3_1_3_2"/>
      <sheetName val="Table_3_1"/>
      <sheetName val="3_1_Inflation_expectations"/>
      <sheetName val="3_2_Taylor_rules"/>
      <sheetName val="3_3_UK_Taylor_rule"/>
      <sheetName val="Chart_3_4"/>
      <sheetName val="3_5_10_years_ahead"/>
      <sheetName val="3_6_M3_growth"/>
      <sheetName val="Box_D_Red_triangle"/>
      <sheetName val="Figure_4_1_UK_fiscal_fwork"/>
      <sheetName val="Table_4_1"/>
      <sheetName val="Box_D_table"/>
      <sheetName val="4_1_UK"/>
      <sheetName val="4_3_and_4_4"/>
      <sheetName val="4_5_deficit_and_interest_rate"/>
      <sheetName val="4_6_ten_year_bonds"/>
      <sheetName val="5_1_share_of_gdp"/>
      <sheetName val="Figure_6_1"/>
      <sheetName val="Table_6_1_Bank_Supervisors"/>
      <sheetName val="Figure_1_11"/>
      <sheetName val="Frameworks_comparison_2_1_2_21"/>
      <sheetName val="Figures_3_1_3_21"/>
      <sheetName val="Table_3_11"/>
      <sheetName val="3_1_Inflation_expectations1"/>
      <sheetName val="3_2_Taylor_rules1"/>
      <sheetName val="3_3_UK_Taylor_rule1"/>
      <sheetName val="Chart_3_41"/>
      <sheetName val="3_5_10_years_ahead1"/>
      <sheetName val="3_6_M3_growth1"/>
      <sheetName val="Box_D_Red_triangle1"/>
      <sheetName val="Figure_4_1_UK_fiscal_fwork1"/>
      <sheetName val="Table_4_11"/>
      <sheetName val="Box_D_table1"/>
      <sheetName val="4_1_UK1"/>
      <sheetName val="4_3_and_4_41"/>
      <sheetName val="4_5_deficit_and_interest_rate1"/>
      <sheetName val="4_6_ten_year_bonds1"/>
      <sheetName val="5_1_share_of_gdp1"/>
      <sheetName val="Figure_6_11"/>
      <sheetName val="Table_6_1_Bank_Supervisors1"/>
      <sheetName val="Figure_1_12"/>
      <sheetName val="Frameworks_comparison_2_1_2_22"/>
      <sheetName val="Figures_3_1_3_22"/>
      <sheetName val="Table_3_12"/>
      <sheetName val="3_1_Inflation_expectations2"/>
      <sheetName val="3_2_Taylor_rules2"/>
      <sheetName val="3_3_UK_Taylor_rule2"/>
      <sheetName val="Chart_3_42"/>
      <sheetName val="3_5_10_years_ahead2"/>
      <sheetName val="3_6_M3_growth2"/>
      <sheetName val="Box_D_Red_triangle2"/>
      <sheetName val="Figure_4_1_UK_fiscal_fwork2"/>
      <sheetName val="Table_4_12"/>
      <sheetName val="Box_D_table2"/>
      <sheetName val="4_1_UK2"/>
      <sheetName val="4_3_and_4_42"/>
      <sheetName val="4_5_deficit_and_interest_rate2"/>
      <sheetName val="4_6_ten_year_bonds2"/>
      <sheetName val="5_1_share_of_gdp2"/>
      <sheetName val="Figure_6_12"/>
      <sheetName val="Table_6_1_Bank_Supervisors2"/>
      <sheetName val="USGC"/>
      <sheetName val="Carbon Price Floor"/>
      <sheetName val="Baseline results"/>
      <sheetName val="DECC Summary"/>
      <sheetName val="Figure_1_13"/>
      <sheetName val="Frameworks_comparison_2_1_2_23"/>
      <sheetName val="Figures_3_1_3_23"/>
      <sheetName val="Table_3_13"/>
      <sheetName val="3_1_Inflation_expectations3"/>
      <sheetName val="3_2_Taylor_rules3"/>
      <sheetName val="3_3_UK_Taylor_rule3"/>
      <sheetName val="Chart_3_43"/>
      <sheetName val="3_5_10_years_ahead3"/>
      <sheetName val="3_6_M3_growth3"/>
      <sheetName val="Box_D_Red_triangle3"/>
      <sheetName val="Figure_4_1_UK_fiscal_fwork3"/>
      <sheetName val="Table_4_13"/>
      <sheetName val="Box_D_table3"/>
      <sheetName val="4_1_UK3"/>
      <sheetName val="4_3_and_4_43"/>
      <sheetName val="4_5_deficit_and_interest_rate3"/>
      <sheetName val="4_6_ten_year_bonds3"/>
      <sheetName val="5_1_share_of_gdp3"/>
      <sheetName val="Figure_6_13"/>
      <sheetName val="Table_6_1_Bank_Supervisors3"/>
      <sheetName val="Carbon_Price_Floor"/>
      <sheetName val="Baseline_results"/>
      <sheetName val="DECC_Summary"/>
      <sheetName val="Figure_1_14"/>
      <sheetName val="Frameworks_comparison_2_1_2_24"/>
      <sheetName val="Figures_3_1_3_24"/>
      <sheetName val="Table_3_14"/>
      <sheetName val="3_1_Inflation_expectations4"/>
      <sheetName val="3_2_Taylor_rules4"/>
      <sheetName val="3_3_UK_Taylor_rule4"/>
      <sheetName val="Chart_3_44"/>
      <sheetName val="3_5_10_years_ahead4"/>
      <sheetName val="3_6_M3_growth4"/>
      <sheetName val="Box_D_Red_triangle4"/>
      <sheetName val="Figure_4_1_UK_fiscal_fwork4"/>
      <sheetName val="Table_4_14"/>
      <sheetName val="Box_D_table4"/>
      <sheetName val="4_1_UK4"/>
      <sheetName val="4_3_and_4_44"/>
      <sheetName val="4_5_deficit_and_interest_rate4"/>
      <sheetName val="4_6_ten_year_bonds4"/>
      <sheetName val="5_1_share_of_gdp4"/>
      <sheetName val="Figure_6_14"/>
      <sheetName val="Table_6_1_Bank_Supervisors4"/>
      <sheetName val="Carbon_Price_Floor1"/>
      <sheetName val="Baseline_results1"/>
      <sheetName val="DECC_Summary1"/>
      <sheetName val="CASHFLOW Gen Income"/>
      <sheetName val="model inputs"/>
      <sheetName val="Forecast data"/>
      <sheetName val="Figure_1_15"/>
      <sheetName val="Frameworks_comparison_2_1_2_25"/>
      <sheetName val="Figures_3_1_3_25"/>
      <sheetName val="Table_3_15"/>
      <sheetName val="3_1_Inflation_expectations5"/>
      <sheetName val="3_2_Taylor_rules5"/>
      <sheetName val="3_3_UK_Taylor_rule5"/>
      <sheetName val="Chart_3_45"/>
      <sheetName val="3_5_10_years_ahead5"/>
      <sheetName val="3_6_M3_growth5"/>
      <sheetName val="Box_D_Red_triangle5"/>
      <sheetName val="Figure_4_1_UK_fiscal_fwork5"/>
      <sheetName val="Table_4_15"/>
      <sheetName val="Box_D_table5"/>
      <sheetName val="4_1_UK5"/>
      <sheetName val="4_3_and_4_45"/>
      <sheetName val="4_5_deficit_and_interest_rate5"/>
      <sheetName val="4_6_ten_year_bonds5"/>
      <sheetName val="5_1_share_of_gdp5"/>
      <sheetName val="Figure_6_15"/>
      <sheetName val="Table_6_1_Bank_Supervisors5"/>
      <sheetName val="Carbon_Price_Floor2"/>
      <sheetName val="Baseline_results2"/>
      <sheetName val="DECC_Summary2"/>
      <sheetName val="CASHFLOW_Gen_Income"/>
      <sheetName val="model_inputs"/>
      <sheetName val="Figure_1_16"/>
      <sheetName val="Frameworks_comparison_2_1_2_26"/>
      <sheetName val="Figures_3_1_3_26"/>
      <sheetName val="Table_3_16"/>
      <sheetName val="3_1_Inflation_expectations6"/>
      <sheetName val="3_2_Taylor_rules6"/>
      <sheetName val="3_3_UK_Taylor_rule6"/>
      <sheetName val="Chart_3_46"/>
      <sheetName val="3_5_10_years_ahead6"/>
      <sheetName val="3_6_M3_growth6"/>
      <sheetName val="Box_D_Red_triangle6"/>
      <sheetName val="Figure_4_1_UK_fiscal_fwork6"/>
      <sheetName val="Table_4_16"/>
      <sheetName val="Box_D_table6"/>
      <sheetName val="4_1_UK6"/>
      <sheetName val="4_3_and_4_46"/>
      <sheetName val="4_5_deficit_and_interest_rate6"/>
      <sheetName val="4_6_ten_year_bonds6"/>
      <sheetName val="5_1_share_of_gdp6"/>
      <sheetName val="Figure_6_16"/>
      <sheetName val="Table_6_1_Bank_Supervisors6"/>
      <sheetName val="Carbon_Price_Floor3"/>
      <sheetName val="Baseline_results3"/>
      <sheetName val="DECC_Summary3"/>
      <sheetName val="CASHFLOW_Gen_Income1"/>
      <sheetName val="model_input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refreshError="1"/>
      <sheetData sheetId="138" refreshError="1"/>
      <sheetData sheetId="139" refreshError="1"/>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Model_inputs"/>
      <sheetName val="Determinant_analysis"/>
      <sheetName val="Model_output"/>
      <sheetName val="CTA_output"/>
      <sheetName val="Model_growth_rates"/>
      <sheetName val="HIC_Total"/>
      <sheetName val="FIN_Total"/>
      <sheetName val="Main_calcs"/>
      <sheetName val="CT_on_gains"/>
      <sheetName val="A9_summary"/>
      <sheetName val="GR_regressions"/>
      <sheetName val="L-P_regressions"/>
      <sheetName val="4.6 ten year bonds"/>
      <sheetName val="Model_inputs1"/>
      <sheetName val="Determinant_analysis1"/>
      <sheetName val="Model_output1"/>
      <sheetName val="CTA_output1"/>
      <sheetName val="Model_growth_rates1"/>
      <sheetName val="HIC_Total1"/>
      <sheetName val="FIN_Total1"/>
      <sheetName val="Main_calcs1"/>
      <sheetName val="CT_on_gains1"/>
      <sheetName val="A9_summary1"/>
      <sheetName val="GR_regressions1"/>
      <sheetName val="L-P_regressions1"/>
      <sheetName val="Model_inputs2"/>
      <sheetName val="Determinant_analysis2"/>
      <sheetName val="Model_output2"/>
      <sheetName val="CTA_output2"/>
      <sheetName val="Model_growth_rates2"/>
      <sheetName val="HIC_Total2"/>
      <sheetName val="FIN_Total2"/>
      <sheetName val="Main_calcs2"/>
      <sheetName val="CT_on_gains2"/>
      <sheetName val="A9_summary2"/>
      <sheetName val="GR_regressions2"/>
      <sheetName val="L-P_regressions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April"/>
      <sheetName val="Daily (2)"/>
      <sheetName val="Proportions"/>
      <sheetName val="Comparison"/>
      <sheetName val="CGBR table"/>
      <sheetName val="BIS table"/>
      <sheetName val="Tob accs"/>
      <sheetName val="Accruals"/>
      <sheetName val="Acc adj"/>
      <sheetName val="Forecast_data"/>
      <sheetName val="Intro_-_read_first"/>
      <sheetName val="Imp_VAT"/>
      <sheetName val="Home_VAT"/>
      <sheetName val="Reb_oils"/>
      <sheetName val="Tables_1_&amp;_2"/>
      <sheetName val="Daily_(2)"/>
      <sheetName val="CGBR_table"/>
      <sheetName val="BIS_table"/>
      <sheetName val="Tob_accs"/>
      <sheetName val="Acc_adj"/>
      <sheetName val="Model inputs"/>
      <sheetName val="Forecast_data1"/>
      <sheetName val="Intro_-_read_first1"/>
      <sheetName val="Imp_VAT1"/>
      <sheetName val="Home_VAT1"/>
      <sheetName val="Reb_oils1"/>
      <sheetName val="Tables_1_&amp;_21"/>
      <sheetName val="Daily_(2)1"/>
      <sheetName val="CGBR_table1"/>
      <sheetName val="BIS_table1"/>
      <sheetName val="Tob_accs1"/>
      <sheetName val="Acc_adj1"/>
      <sheetName val="Forecast_data2"/>
      <sheetName val="Intro_-_read_first2"/>
      <sheetName val="Imp_VAT2"/>
      <sheetName val="Home_VAT2"/>
      <sheetName val="Reb_oils2"/>
      <sheetName val="Tables_1_&amp;_22"/>
      <sheetName val="Daily_(2)2"/>
      <sheetName val="CGBR_table2"/>
      <sheetName val="BIS_table2"/>
      <sheetName val="Tob_accs2"/>
      <sheetName val="Acc_adj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 val="Determinants"/>
      <sheetName val="AYLs re-forecast benefits +CPS "/>
      <sheetName val="Re-forecast benefits"/>
      <sheetName val="4.6 ten year bonds"/>
      <sheetName val="RESULT_09"/>
      <sheetName val="Latest_check"/>
      <sheetName val="Nom__Input"/>
      <sheetName val="Social_sec_&amp;_TC"/>
      <sheetName val="Pub_sec_pensions"/>
      <sheetName val="RESULT_10"/>
      <sheetName val="AYLs_re-forecast_benefits_+CPS_"/>
      <sheetName val="Re-forecast_benefits"/>
      <sheetName val="4_6_ten_year_bonds"/>
      <sheetName val="RESULT_091"/>
      <sheetName val="Latest_check1"/>
      <sheetName val="Nom__Input1"/>
      <sheetName val="Social_sec_&amp;_TC1"/>
      <sheetName val="Pub_sec_pensions1"/>
      <sheetName val="RESULT_101"/>
      <sheetName val="AYLs_re-forecast_benefits_+CPS1"/>
      <sheetName val="Re-forecast_benefits1"/>
      <sheetName val="4_6_ten_year_bonds1"/>
      <sheetName val="RESULT_092"/>
      <sheetName val="Latest_check2"/>
      <sheetName val="Nom__Input2"/>
      <sheetName val="Social_sec_&amp;_TC2"/>
      <sheetName val="Pub_sec_pensions2"/>
      <sheetName val="RESULT_102"/>
      <sheetName val="AYLs_re-forecast_benefits_+CPS2"/>
      <sheetName val="Re-forecast_benefits2"/>
      <sheetName val="4_6_ten_year_bonds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99"/>
      <sheetName val="PSF"/>
      <sheetName val="QsYs"/>
      <sheetName val="Dis master"/>
      <sheetName val="Ranges"/>
      <sheetName val="Dis_master1"/>
      <sheetName val="Population"/>
      <sheetName val="A2_Log"/>
      <sheetName val="headroom"/>
      <sheetName val="Price x Volume Calcs"/>
      <sheetName val="C_TOC Capex"/>
      <sheetName val="C_Working Cap"/>
      <sheetName val="C_Funding"/>
      <sheetName val="I_Calcs"/>
      <sheetName val="Financial Calcs"/>
      <sheetName val="Indices &amp; Rates"/>
      <sheetName val="D8_Lockup_calc"/>
      <sheetName val="A5_User Manual &amp; Ass"/>
      <sheetName val="Template Control"/>
      <sheetName val="B3 _Ass Yr-Yr"/>
      <sheetName val="Price &amp; Volume Tables"/>
      <sheetName val="CASHFLOW Gen Income"/>
      <sheetName val="Dis_master"/>
      <sheetName val="Price_x_Volume_Calcs"/>
      <sheetName val="C_TOC_Capex"/>
      <sheetName val="C_Working_Cap"/>
      <sheetName val="Financial_Calcs"/>
      <sheetName val="Indices_&amp;_Rates"/>
      <sheetName val="A5_User_Manual_&amp;_Ass"/>
      <sheetName val="Template_Control"/>
      <sheetName val="B3__Ass_Yr-Yr"/>
      <sheetName val="Price_&amp;_Volume_T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ET TABLE"/>
      <sheetName val="HMT"/>
      <sheetName val="SUMMARY_TABLE"/>
      <sheetName val="ET_TABLE"/>
      <sheetName val="UK99"/>
      <sheetName val="Annex B T37 Providers"/>
      <sheetName val="SUMMARY_TABLE1"/>
      <sheetName val="ET_TABLE1"/>
    </sheetNames>
    <sheetDataSet>
      <sheetData sheetId="0" refreshError="1"/>
      <sheetData sheetId="1" refreshError="1"/>
      <sheetData sheetId="2" refreshError="1"/>
      <sheetData sheetId="3"/>
      <sheetData sheetId="4"/>
      <sheetData sheetId="5" refreshError="1"/>
      <sheetData sheetId="6" refreshError="1"/>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April"/>
      <sheetName val="Daily (2)"/>
      <sheetName val="Proportions"/>
      <sheetName val="Comparison"/>
      <sheetName val="CGBR table"/>
      <sheetName val="BIS table"/>
      <sheetName val="Tob accs"/>
      <sheetName val="Accruals"/>
      <sheetName val="Acc adj"/>
      <sheetName val="Data validation"/>
      <sheetName val="Forecast_data"/>
      <sheetName val="Intro_-_read_first"/>
      <sheetName val="Imp_VAT"/>
      <sheetName val="Home_VAT"/>
      <sheetName val="Reb_oils"/>
      <sheetName val="Tables_1_&amp;_2"/>
      <sheetName val="Daily_(2)"/>
      <sheetName val="CGBR_table"/>
      <sheetName val="BIS_table"/>
      <sheetName val="Tob_accs"/>
      <sheetName val="Acc_adj"/>
      <sheetName val="Forecast_data1"/>
      <sheetName val="Intro_-_read_first1"/>
      <sheetName val="Imp_VAT1"/>
      <sheetName val="Home_VAT1"/>
      <sheetName val="Reb_oils1"/>
      <sheetName val="Tables_1_&amp;_21"/>
      <sheetName val="Daily_(2)1"/>
      <sheetName val="CGBR_table1"/>
      <sheetName val="BIS_table1"/>
      <sheetName val="Tob_accs1"/>
      <sheetName val="Acc_adj1"/>
      <sheetName val="Data_validation"/>
      <sheetName val="Master Development Programme"/>
      <sheetName val="Commercial - Projects"/>
      <sheetName val="Project timeline"/>
      <sheetName val="Calendar"/>
      <sheetName val="About"/>
      <sheetName val="Team contact details"/>
      <sheetName val="Land Ownership"/>
      <sheetName val="Plot-level breakdowns"/>
      <sheetName val="Corporate Plan"/>
      <sheetName val="calcs"/>
      <sheetName val="Model inputs"/>
      <sheetName val="Forecast_data2"/>
      <sheetName val="Intro_-_read_first2"/>
      <sheetName val="Imp_VAT2"/>
      <sheetName val="Home_VAT2"/>
      <sheetName val="Reb_oils2"/>
      <sheetName val="Tables_1_&amp;_22"/>
      <sheetName val="Daily_(2)2"/>
      <sheetName val="CGBR_table2"/>
      <sheetName val="BIS_table2"/>
      <sheetName val="Tob_accs2"/>
      <sheetName val="Acc_adj2"/>
      <sheetName val="Data_validation1"/>
      <sheetName val="Forecast_data3"/>
      <sheetName val="Intro_-_read_first3"/>
      <sheetName val="Imp_VAT3"/>
      <sheetName val="Home_VAT3"/>
      <sheetName val="Reb_oils3"/>
      <sheetName val="Tables_1_&amp;_23"/>
      <sheetName val="Daily_(2)3"/>
      <sheetName val="CGBR_table3"/>
      <sheetName val="BIS_table3"/>
      <sheetName val="Tob_accs3"/>
      <sheetName val="Acc_adj3"/>
      <sheetName val="Data_validation2"/>
      <sheetName val="Master_Development_Programme"/>
      <sheetName val="Commercial_-_Projects"/>
      <sheetName val="Project_timeline"/>
      <sheetName val="Team_contact_details"/>
      <sheetName val="Land_Ownership"/>
      <sheetName val="Plot-level_breakdowns"/>
      <sheetName val="Corporate_Pl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EngChart"/>
      <sheetName val="WalChart"/>
      <sheetName val="ScoChart"/>
      <sheetName val="NIChart"/>
      <sheetName val="UKChart"/>
      <sheetName val="FertAssChart"/>
      <sheetName val="Forecast da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SPD19.FIN"/>
      <sheetName val="CHGSPD19_FIN"/>
      <sheetName val="Data"/>
      <sheetName val="CHGSPD19_FIN1"/>
      <sheetName val="CHGSPD19_FIN2"/>
      <sheetName val="CHGSPD19_FIN3"/>
    </sheetNames>
    <sheetDataSet>
      <sheetData sheetId="0" refreshError="1"/>
      <sheetData sheetId="1"/>
      <sheetData sheetId="2"/>
      <sheetData sheetId="3"/>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ommentary"/>
      <sheetName val="Diary"/>
      <sheetName val="weekly"/>
      <sheetName val="monthly"/>
      <sheetName val="extremes"/>
      <sheetName val="correction"/>
      <sheetName val="Chart1"/>
      <sheetName val="estimates_versus_actuals"/>
      <sheetName val="quarterly"/>
      <sheetName val="estimation"/>
      <sheetName val="quarterly_accuracy"/>
      <sheetName val="annually"/>
      <sheetName val="occurrences_-long_term+feathers"/>
      <sheetName val="occurrences_-_long_term_A4"/>
      <sheetName val="occurrences-_recent_&amp;_projected"/>
      <sheetName val="Comparison-Pop_Trends"/>
      <sheetName val="estimates versus actuals"/>
      <sheetName val="quarterly accuracy"/>
      <sheetName val="occurrences -long term+feathers"/>
      <sheetName val="occurrences - long term A4"/>
      <sheetName val="occurrences- recent &amp; projected"/>
      <sheetName val="Comparison-Pop Trends"/>
      <sheetName val="estimates_versus_actuals1"/>
      <sheetName val="quarterly_accuracy1"/>
      <sheetName val="occurrences_-long_term+feather1"/>
      <sheetName val="occurrences_-_long_term_A41"/>
      <sheetName val="occurrences-_recent_&amp;_projecte1"/>
      <sheetName val="Comparison-Pop_Trends1"/>
      <sheetName val="CHGSPD19.FIN"/>
      <sheetName val="estimates_versus_actuals2"/>
      <sheetName val="quarterly_accuracy2"/>
      <sheetName val="occurrences_-long_term+feather2"/>
      <sheetName val="occurrences_-_long_term_A42"/>
      <sheetName val="occurrences-_recent_&amp;_projecte2"/>
      <sheetName val="Comparison-Pop_Trends2"/>
      <sheetName val="estimates_versus_actuals3"/>
      <sheetName val="quarterly_accuracy3"/>
      <sheetName val="occurrences_-long_term+feather3"/>
      <sheetName val="occurrences_-_long_term_A43"/>
      <sheetName val="occurrences-_recent_&amp;_projecte3"/>
      <sheetName val="Comparison-Pop_Trends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sheetData sheetId="12" refreshError="1"/>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FC Page 1"/>
      <sheetName val="T3 Page 1"/>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 val="External_Inputs"/>
      <sheetName val="FAS_Page_1"/>
      <sheetName val="FIN_L-P_regression"/>
      <sheetName val="HIC_L-P_regression"/>
      <sheetName val="FIN_Rates"/>
      <sheetName val="Building_Societies"/>
      <sheetName val="Rest_of_FIN"/>
      <sheetName val="FIN_Total"/>
      <sheetName val="HIC_Rates"/>
      <sheetName val="HIC_Total"/>
      <sheetName val="FC_Page_1"/>
      <sheetName val="T3_Page_1"/>
      <sheetName val="diff_with_last"/>
      <sheetName val="Budget_2005_measures"/>
      <sheetName val="PBR_2004_measures"/>
      <sheetName val="Previous_Measures"/>
      <sheetName val="NG_DATA"/>
      <sheetName val="NG_HIC_R7_3"/>
      <sheetName val="NG_HIC_R9_3"/>
      <sheetName val="NG_FIN_RA_3"/>
      <sheetName val="NG_FIN_RC_3"/>
      <sheetName val="CHGSPD19.FIN"/>
      <sheetName val="External_Inputs1"/>
      <sheetName val="FAS_Page_11"/>
      <sheetName val="FIN_L-P_regression1"/>
      <sheetName val="HIC_L-P_regression1"/>
      <sheetName val="FIN_Rates1"/>
      <sheetName val="Building_Societies1"/>
      <sheetName val="Rest_of_FIN1"/>
      <sheetName val="FIN_Total1"/>
      <sheetName val="HIC_Rates1"/>
      <sheetName val="HIC_Total1"/>
      <sheetName val="FC_Page_11"/>
      <sheetName val="T3_Page_11"/>
      <sheetName val="diff_with_last1"/>
      <sheetName val="Budget_2005_measures1"/>
      <sheetName val="PBR_2004_measures1"/>
      <sheetName val="Previous_Measures1"/>
      <sheetName val="NG_DATA1"/>
      <sheetName val="NG_HIC_R7_31"/>
      <sheetName val="NG_HIC_R9_31"/>
      <sheetName val="NG_FIN_RA_31"/>
      <sheetName val="NG_FIN_RC_31"/>
      <sheetName val="External_Inputs2"/>
      <sheetName val="FAS_Page_12"/>
      <sheetName val="FIN_L-P_regression2"/>
      <sheetName val="HIC_L-P_regression2"/>
      <sheetName val="FIN_Rates2"/>
      <sheetName val="Building_Societies2"/>
      <sheetName val="Rest_of_FIN2"/>
      <sheetName val="FIN_Total2"/>
      <sheetName val="HIC_Rates2"/>
      <sheetName val="HIC_Total2"/>
      <sheetName val="FC_Page_12"/>
      <sheetName val="T3_Page_12"/>
      <sheetName val="diff_with_last2"/>
      <sheetName val="Budget_2005_measures2"/>
      <sheetName val="PBR_2004_measures2"/>
      <sheetName val="Previous_Measures2"/>
      <sheetName val="NG_DATA2"/>
      <sheetName val="NG_HIC_R7_32"/>
      <sheetName val="NG_HIC_R9_32"/>
      <sheetName val="NG_FIN_RA_32"/>
      <sheetName val="NG_FIN_RC_32"/>
      <sheetName val="CHGSPD19_FIN"/>
      <sheetName val="External_Inputs3"/>
      <sheetName val="FAS_Page_13"/>
      <sheetName val="FIN_L-P_regression3"/>
      <sheetName val="HIC_L-P_regression3"/>
      <sheetName val="FIN_Rates3"/>
      <sheetName val="Building_Societies3"/>
      <sheetName val="Rest_of_FIN3"/>
      <sheetName val="FIN_Total3"/>
      <sheetName val="HIC_Rates3"/>
      <sheetName val="HIC_Total3"/>
      <sheetName val="FC_Page_13"/>
      <sheetName val="T3_Page_13"/>
      <sheetName val="diff_with_last3"/>
      <sheetName val="Budget_2005_measures3"/>
      <sheetName val="PBR_2004_measures3"/>
      <sheetName val="Previous_Measures3"/>
      <sheetName val="NG_DATA3"/>
      <sheetName val="NG_HIC_R7_33"/>
      <sheetName val="NG_HIC_R9_33"/>
      <sheetName val="NG_FIN_RA_33"/>
      <sheetName val="NG_FIN_RC_33"/>
      <sheetName val="CHGSPD19_FIN1"/>
      <sheetName val="External_Inputs4"/>
      <sheetName val="FAS_Page_14"/>
      <sheetName val="FIN_L-P_regression4"/>
      <sheetName val="HIC_L-P_regression4"/>
      <sheetName val="FIN_Rates4"/>
      <sheetName val="Building_Societies4"/>
      <sheetName val="Rest_of_FIN4"/>
      <sheetName val="FIN_Total4"/>
      <sheetName val="HIC_Rates4"/>
      <sheetName val="HIC_Total4"/>
      <sheetName val="FC_Page_14"/>
      <sheetName val="T3_Page_14"/>
      <sheetName val="diff_with_last4"/>
      <sheetName val="Budget_2005_measures4"/>
      <sheetName val="PBR_2004_measures4"/>
      <sheetName val="Previous_Measures4"/>
      <sheetName val="NG_DATA4"/>
      <sheetName val="NG_HIC_R7_34"/>
      <sheetName val="NG_HIC_R9_34"/>
      <sheetName val="NG_FIN_RA_34"/>
      <sheetName val="NG_FIN_RC_34"/>
      <sheetName val="CHGSPD19_FIN2"/>
      <sheetName val="weekly"/>
      <sheetName val="External_Inputs5"/>
      <sheetName val="FAS_Page_15"/>
      <sheetName val="FIN_L-P_regression5"/>
      <sheetName val="HIC_L-P_regression5"/>
      <sheetName val="FIN_Rates5"/>
      <sheetName val="Building_Societies5"/>
      <sheetName val="Rest_of_FIN5"/>
      <sheetName val="FIN_Total5"/>
      <sheetName val="HIC_Rates5"/>
      <sheetName val="HIC_Total5"/>
      <sheetName val="FC_Page_15"/>
      <sheetName val="T3_Page_15"/>
      <sheetName val="diff_with_last5"/>
      <sheetName val="Budget_2005_measures5"/>
      <sheetName val="PBR_2004_measures5"/>
      <sheetName val="Previous_Measures5"/>
      <sheetName val="NG_DATA5"/>
      <sheetName val="NG_HIC_R7_35"/>
      <sheetName val="NG_HIC_R9_35"/>
      <sheetName val="NG_FIN_RA_35"/>
      <sheetName val="NG_FIN_RC_35"/>
      <sheetName val="CHGSPD19_FIN3"/>
      <sheetName val="External_Inputs6"/>
      <sheetName val="FAS_Page_16"/>
      <sheetName val="FIN_L-P_regression6"/>
      <sheetName val="HIC_L-P_regression6"/>
      <sheetName val="FIN_Rates6"/>
      <sheetName val="Building_Societies6"/>
      <sheetName val="Rest_of_FIN6"/>
      <sheetName val="FIN_Total6"/>
      <sheetName val="HIC_Rates6"/>
      <sheetName val="HIC_Total6"/>
      <sheetName val="FC_Page_16"/>
      <sheetName val="T3_Page_16"/>
      <sheetName val="diff_with_last6"/>
      <sheetName val="Budget_2005_measures6"/>
      <sheetName val="PBR_2004_measures6"/>
      <sheetName val="Previous_Measures6"/>
      <sheetName val="NG_DATA6"/>
      <sheetName val="NG_HIC_R7_36"/>
      <sheetName val="NG_HIC_R9_36"/>
      <sheetName val="NG_FIN_RA_36"/>
      <sheetName val="NG_FIN_RC_36"/>
      <sheetName val="CHGSPD19_FIN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efreshError="1"/>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19FIN(A)"/>
    </sheetNames>
    <sheetDataSet>
      <sheetData sheetId="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ET TABLE"/>
      <sheetName val="HMT"/>
      <sheetName val="HIS19FIN(A)"/>
      <sheetName val="SUMMARY_TABLE"/>
      <sheetName val="ET_TABLE"/>
      <sheetName val="SUMMARY_TABLE1"/>
      <sheetName val="ET_TABLE1"/>
      <sheetName val="SUMMARY_TABLE2"/>
      <sheetName val="ET_TABLE2"/>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Differences"/>
      <sheetName val="margus"/>
      <sheetName val="margasia"/>
      <sheetName val="margeur"/>
      <sheetName val="Graphics"/>
      <sheetName val="RPW Graphics"/>
      <sheetName val="USGC Chart 2"/>
      <sheetName val="USGC Chart 3"/>
      <sheetName val="USGC Chart"/>
      <sheetName val="Singapore Chart"/>
      <sheetName val="Rott - ARA Chart"/>
      <sheetName val="NYHB Resid vs Gas"/>
      <sheetName val="USGC Resid vs Gas"/>
      <sheetName val="Notional Cracking Margins Chart"/>
      <sheetName val="Comparison Graphs"/>
      <sheetName val="RPW Annual"/>
      <sheetName val="Chart3"/>
      <sheetName val="USGC"/>
      <sheetName val="NYHB"/>
      <sheetName val="Singapore"/>
      <sheetName val="Rotterdam - ARA Barges"/>
      <sheetName val="Prices in 3 Markets "/>
      <sheetName val="Price Comparison Charts"/>
      <sheetName val="Inter-Product in 3 Markets"/>
      <sheetName val="Crude Forecast"/>
      <sheetName val="FOB Med"/>
      <sheetName val="Chart1"/>
      <sheetName val="Y-T-D"/>
      <sheetName val="Y-T-D Daily"/>
      <sheetName val="Prices"/>
      <sheetName val="Mogas-Dist Margins"/>
      <sheetName val="NGLs"/>
      <sheetName val="Maya2"/>
      <sheetName val="Q5"/>
      <sheetName val="SUMMARY TABLE"/>
      <sheetName val="RPW_Graphics"/>
      <sheetName val="USGC_Chart_2"/>
      <sheetName val="USGC_Chart_3"/>
      <sheetName val="USGC_Chart"/>
      <sheetName val="Singapore_Chart"/>
      <sheetName val="Rott_-_ARA_Chart"/>
      <sheetName val="NYHB_Resid_vs_Gas"/>
      <sheetName val="USGC_Resid_vs_Gas"/>
      <sheetName val="Notional_Cracking_Margins_Chart"/>
      <sheetName val="Comparison_Graphs"/>
      <sheetName val="RPW_Annual"/>
      <sheetName val="Rotterdam_-_ARA_Barges"/>
      <sheetName val="Prices_in_3_Markets_"/>
      <sheetName val="Price_Comparison_Charts"/>
      <sheetName val="Inter-Product_in_3_Markets"/>
      <sheetName val="Crude_Forecast"/>
      <sheetName val="FOB_Med"/>
      <sheetName val="Y-T-D_Daily"/>
      <sheetName val="Mogas-Dist_Margins"/>
      <sheetName val="RPW_Graphics1"/>
      <sheetName val="USGC_Chart_21"/>
      <sheetName val="USGC_Chart_31"/>
      <sheetName val="USGC_Chart1"/>
      <sheetName val="Singapore_Chart1"/>
      <sheetName val="Rott_-_ARA_Chart1"/>
      <sheetName val="NYHB_Resid_vs_Gas1"/>
      <sheetName val="USGC_Resid_vs_Gas1"/>
      <sheetName val="Notional_Cracking_Margins_Char1"/>
      <sheetName val="Comparison_Graphs1"/>
      <sheetName val="RPW_Annual1"/>
      <sheetName val="Rotterdam_-_ARA_Barges1"/>
      <sheetName val="Prices_in_3_Markets_1"/>
      <sheetName val="Price_Comparison_Charts1"/>
      <sheetName val="Inter-Product_in_3_Markets1"/>
      <sheetName val="Crude_Forecast1"/>
      <sheetName val="FOB_Med1"/>
      <sheetName val="Y-T-D_Daily1"/>
      <sheetName val="Mogas-Dist_Margins1"/>
      <sheetName val="RPW_Graphics2"/>
      <sheetName val="USGC_Chart_22"/>
      <sheetName val="USGC_Chart_32"/>
      <sheetName val="USGC_Chart2"/>
      <sheetName val="Singapore_Chart2"/>
      <sheetName val="Rott_-_ARA_Chart2"/>
      <sheetName val="NYHB_Resid_vs_Gas2"/>
      <sheetName val="USGC_Resid_vs_Gas2"/>
      <sheetName val="Notional_Cracking_Margins_Char2"/>
      <sheetName val="Comparison_Graphs2"/>
      <sheetName val="RPW_Annual2"/>
      <sheetName val="Rotterdam_-_ARA_Barges2"/>
      <sheetName val="Prices_in_3_Markets_2"/>
      <sheetName val="Price_Comparison_Charts2"/>
      <sheetName val="Inter-Product_in_3_Markets2"/>
      <sheetName val="Crude_Forecast2"/>
      <sheetName val="FOB_Med2"/>
      <sheetName val="Y-T-D_Daily2"/>
      <sheetName val="Mogas-Dist_Margins2"/>
      <sheetName val="RPW_Graphics3"/>
      <sheetName val="USGC_Chart_23"/>
      <sheetName val="USGC_Chart_33"/>
      <sheetName val="USGC_Chart3"/>
      <sheetName val="Singapore_Chart3"/>
      <sheetName val="Rott_-_ARA_Chart3"/>
      <sheetName val="NYHB_Resid_vs_Gas3"/>
      <sheetName val="USGC_Resid_vs_Gas3"/>
      <sheetName val="Notional_Cracking_Margins_Char3"/>
      <sheetName val="Comparison_Graphs3"/>
      <sheetName val="RPW_Annual3"/>
      <sheetName val="Rotterdam_-_ARA_Barges3"/>
      <sheetName val="Prices_in_3_Markets_3"/>
      <sheetName val="Price_Comparison_Charts3"/>
      <sheetName val="Inter-Product_in_3_Markets3"/>
      <sheetName val="Crude_Forecast3"/>
      <sheetName val="FOB_Med3"/>
      <sheetName val="Y-T-D_Daily3"/>
      <sheetName val="Mogas-Dist_Margins3"/>
      <sheetName val="RPW_Graphics4"/>
      <sheetName val="USGC_Chart_24"/>
      <sheetName val="USGC_Chart_34"/>
      <sheetName val="USGC_Chart4"/>
      <sheetName val="Singapore_Chart4"/>
      <sheetName val="Rott_-_ARA_Chart4"/>
      <sheetName val="NYHB_Resid_vs_Gas4"/>
      <sheetName val="USGC_Resid_vs_Gas4"/>
      <sheetName val="Notional_Cracking_Margins_Char4"/>
      <sheetName val="Comparison_Graphs4"/>
      <sheetName val="RPW_Annual4"/>
      <sheetName val="Rotterdam_-_ARA_Barges4"/>
      <sheetName val="Prices_in_3_Markets_4"/>
      <sheetName val="Price_Comparison_Charts4"/>
      <sheetName val="Inter-Product_in_3_Markets4"/>
      <sheetName val="Crude_Forecast4"/>
      <sheetName val="FOB_Med4"/>
      <sheetName val="Y-T-D_Daily4"/>
      <sheetName val="Mogas-Dist_Margins4"/>
      <sheetName val="SUMMARY_TABLE"/>
      <sheetName val="Accuracy Calc"/>
      <sheetName val="Accuracy_Calc"/>
      <sheetName val="RPW_Graphics5"/>
      <sheetName val="USGC_Chart_25"/>
      <sheetName val="USGC_Chart_35"/>
      <sheetName val="USGC_Chart5"/>
      <sheetName val="Singapore_Chart5"/>
      <sheetName val="Rott_-_ARA_Chart5"/>
      <sheetName val="NYHB_Resid_vs_Gas5"/>
      <sheetName val="USGC_Resid_vs_Gas5"/>
      <sheetName val="Notional_Cracking_Margins_Char5"/>
      <sheetName val="Comparison_Graphs5"/>
      <sheetName val="RPW_Annual5"/>
      <sheetName val="Rotterdam_-_ARA_Barges5"/>
      <sheetName val="Prices_in_3_Markets_5"/>
      <sheetName val="Price_Comparison_Charts5"/>
      <sheetName val="Inter-Product_in_3_Markets5"/>
      <sheetName val="Crude_Forecast5"/>
      <sheetName val="FOB_Med5"/>
      <sheetName val="Y-T-D_Daily5"/>
      <sheetName val="Mogas-Dist_Margins5"/>
      <sheetName val="SUMMARY_TABLE1"/>
      <sheetName val="Accuracy_Calc1"/>
      <sheetName val="RPW_Graphics6"/>
      <sheetName val="USGC_Chart_26"/>
      <sheetName val="USGC_Chart_36"/>
      <sheetName val="USGC_Chart6"/>
      <sheetName val="Singapore_Chart6"/>
      <sheetName val="Rott_-_ARA_Chart6"/>
      <sheetName val="NYHB_Resid_vs_Gas6"/>
      <sheetName val="USGC_Resid_vs_Gas6"/>
      <sheetName val="Notional_Cracking_Margins_Char6"/>
      <sheetName val="Comparison_Graphs6"/>
      <sheetName val="RPW_Annual6"/>
      <sheetName val="Rotterdam_-_ARA_Barges6"/>
      <sheetName val="Prices_in_3_Markets_6"/>
      <sheetName val="Price_Comparison_Charts6"/>
      <sheetName val="Inter-Product_in_3_Markets6"/>
      <sheetName val="Crude_Forecast6"/>
      <sheetName val="FOB_Med6"/>
      <sheetName val="Y-T-D_Daily6"/>
      <sheetName val="Mogas-Dist_Margins6"/>
      <sheetName val="SUMMARY_TABLE2"/>
      <sheetName val="Accuracy_Calc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LGF1.REVENUE@levellingup.gov.uk" TargetMode="External"/><Relationship Id="rId1" Type="http://schemas.openxmlformats.org/officeDocument/2006/relationships/hyperlink" Target="mailto:LGF1.REVENUE@communities.gsi.gov.u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gov.uk/government/publications/key-information-for-local-authorities-final-local-government-finance-settlement-2022-to-2023" TargetMode="External"/><Relationship Id="rId7" Type="http://schemas.openxmlformats.org/officeDocument/2006/relationships/comments" Target="../comments1.xml"/><Relationship Id="rId2" Type="http://schemas.openxmlformats.org/officeDocument/2006/relationships/hyperlink" Target="https://www.gov.uk/government/publications/police-grants-in-england-and-wales-2022-to-2023/police-grant-report-2022-to-2023-england-and-wales-accessible-version" TargetMode="External"/><Relationship Id="rId1" Type="http://schemas.openxmlformats.org/officeDocument/2006/relationships/hyperlink" Target="https://www.gov.uk/government/publications/council-tax-requirement-return" TargetMode="External"/><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s://www.gov.uk/government/publications/core-spending-power-final-local-government-finance-settlement-2022-to-2023"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8" tint="-0.249977111117893"/>
  </sheetPr>
  <dimension ref="A1:BB751"/>
  <sheetViews>
    <sheetView showGridLines="0" tabSelected="1" zoomScaleNormal="100" workbookViewId="0">
      <selection sqref="A1:N1"/>
    </sheetView>
  </sheetViews>
  <sheetFormatPr defaultColWidth="0" defaultRowHeight="12.5" zeroHeight="1" x14ac:dyDescent="0.25"/>
  <cols>
    <col min="1" max="1" width="12.1796875" customWidth="1"/>
    <col min="2" max="2" width="91.7265625" customWidth="1"/>
    <col min="3" max="3" width="13" customWidth="1"/>
    <col min="4" max="7" width="16.7265625" customWidth="1"/>
    <col min="8" max="8" width="4.54296875" customWidth="1"/>
    <col min="9" max="10" width="16.7265625" customWidth="1"/>
    <col min="11" max="11" width="2.7265625" customWidth="1"/>
    <col min="12" max="13" width="16.7265625" customWidth="1"/>
    <col min="14" max="14" width="2.7265625" customWidth="1"/>
    <col min="15" max="17" width="8.7265625" customWidth="1"/>
    <col min="18" max="28" width="8.7265625" hidden="1" customWidth="1"/>
    <col min="29" max="29" width="57.26953125" hidden="1" customWidth="1"/>
    <col min="30" max="30" width="42.26953125" hidden="1" customWidth="1"/>
    <col min="31" max="31" width="29.26953125" hidden="1" customWidth="1"/>
    <col min="32" max="32" width="21.7265625" hidden="1" customWidth="1"/>
    <col min="33" max="33" width="9.26953125" hidden="1" customWidth="1"/>
    <col min="34" max="34" width="16.7265625" hidden="1" customWidth="1"/>
    <col min="35" max="35" width="0.7265625" hidden="1" customWidth="1"/>
    <col min="36" max="36" width="9.26953125" hidden="1" customWidth="1"/>
    <col min="37" max="37" width="60.26953125" hidden="1" customWidth="1"/>
    <col min="38" max="38" width="8.453125" hidden="1" customWidth="1"/>
    <col min="39" max="43" width="9.54296875" hidden="1" customWidth="1"/>
    <col min="44" max="44" width="8.7265625" hidden="1" customWidth="1"/>
    <col min="45" max="45" width="8.54296875" hidden="1" customWidth="1"/>
    <col min="46" max="46" width="5.26953125" hidden="1" customWidth="1"/>
    <col min="47" max="47" width="4.54296875" hidden="1" customWidth="1"/>
    <col min="48" max="48" width="6.26953125" hidden="1" customWidth="1"/>
    <col min="49" max="50" width="8.7265625" hidden="1" customWidth="1"/>
    <col min="51" max="51" width="32.26953125" hidden="1" customWidth="1"/>
    <col min="52" max="52" width="36.26953125" hidden="1" customWidth="1"/>
    <col min="53" max="53" width="26.7265625" hidden="1" customWidth="1"/>
    <col min="54" max="54" width="41.26953125" hidden="1" customWidth="1"/>
    <col min="55" max="16384" width="8.7265625" hidden="1"/>
  </cols>
  <sheetData>
    <row r="1" spans="1:14" ht="36" customHeight="1" x14ac:dyDescent="0.25">
      <c r="A1" s="1153" t="str">
        <f>ContactDetails!A36</f>
        <v>IMPORTANT: Please DO NOT alter this spreadsheet by inserting/deleting, merging any cells, or even using cut &amp; paste, as the data from this spreadsheet are directly transferred into the DLUHC database by a macro and these could break the references in the form.</v>
      </c>
      <c r="B1" s="1153"/>
      <c r="C1" s="1153"/>
      <c r="D1" s="1154"/>
      <c r="E1" s="1154"/>
      <c r="F1" s="1154"/>
      <c r="G1" s="1154"/>
      <c r="H1" s="1154"/>
      <c r="I1" s="1154"/>
      <c r="J1" s="1154"/>
      <c r="K1" s="1154"/>
      <c r="L1" s="1154"/>
      <c r="M1" s="1154"/>
      <c r="N1" s="1154"/>
    </row>
    <row r="2" spans="1:14" ht="12.75" customHeight="1" x14ac:dyDescent="0.3">
      <c r="A2" s="164" t="s">
        <v>0</v>
      </c>
      <c r="B2" s="112"/>
      <c r="C2" s="112"/>
      <c r="D2" s="596"/>
      <c r="E2" s="588"/>
      <c r="F2" s="112"/>
      <c r="G2" s="112"/>
      <c r="H2" s="112"/>
      <c r="I2" s="112"/>
      <c r="J2" s="112"/>
      <c r="K2" s="112"/>
      <c r="L2" s="112"/>
      <c r="M2" s="112"/>
      <c r="N2" s="112"/>
    </row>
    <row r="3" spans="1:14" ht="27.75" customHeight="1" x14ac:dyDescent="0.6">
      <c r="B3" s="112"/>
      <c r="C3" s="112"/>
      <c r="D3" s="589"/>
      <c r="E3" s="589" t="s">
        <v>1</v>
      </c>
      <c r="F3" s="589"/>
      <c r="G3" s="112"/>
      <c r="H3" s="112"/>
      <c r="I3" s="112"/>
      <c r="J3" s="112"/>
      <c r="K3" s="112"/>
      <c r="L3" s="112"/>
      <c r="M3" s="165" t="str">
        <f>"Revenue Outturn "&amp;fyear</f>
        <v>Revenue Outturn 2022-23</v>
      </c>
      <c r="N3" s="112"/>
    </row>
    <row r="4" spans="1:14" ht="12.75" customHeight="1" x14ac:dyDescent="0.3">
      <c r="A4" s="112"/>
      <c r="B4" s="112"/>
      <c r="C4" s="112"/>
      <c r="D4" s="596"/>
      <c r="F4" s="112"/>
      <c r="G4" s="112"/>
      <c r="H4" s="112"/>
      <c r="I4" s="112"/>
      <c r="J4" s="112"/>
      <c r="K4" s="112"/>
      <c r="L4" s="112"/>
      <c r="M4" s="112"/>
      <c r="N4" s="112"/>
    </row>
    <row r="5" spans="1:14" ht="12.75" customHeight="1" x14ac:dyDescent="0.25">
      <c r="A5" s="112"/>
      <c r="B5" s="112"/>
      <c r="C5" s="112"/>
      <c r="D5" s="112"/>
      <c r="E5" s="112"/>
      <c r="F5" s="112"/>
      <c r="G5" s="112"/>
      <c r="H5" s="112"/>
      <c r="I5" s="112"/>
      <c r="J5" s="112"/>
      <c r="K5" s="112"/>
      <c r="L5" s="112"/>
      <c r="M5" s="112"/>
      <c r="N5" s="112"/>
    </row>
    <row r="6" spans="1:14" ht="12.75" customHeight="1" x14ac:dyDescent="0.25">
      <c r="A6" s="112"/>
      <c r="B6" s="112"/>
      <c r="C6" s="112"/>
      <c r="D6" s="112"/>
      <c r="E6" s="112"/>
      <c r="F6" s="112"/>
      <c r="G6" s="112"/>
      <c r="H6" s="112"/>
      <c r="I6" s="112"/>
      <c r="J6" s="112"/>
      <c r="K6" s="112"/>
      <c r="L6" s="112"/>
      <c r="M6" s="112"/>
      <c r="N6" s="112"/>
    </row>
    <row r="7" spans="1:14" ht="12.75" customHeight="1" x14ac:dyDescent="0.25">
      <c r="A7" s="112"/>
      <c r="B7" s="112"/>
      <c r="C7" s="112"/>
      <c r="D7" s="112"/>
      <c r="E7" s="112"/>
      <c r="F7" s="112"/>
      <c r="G7" s="112"/>
      <c r="H7" s="112"/>
      <c r="I7" s="112"/>
      <c r="J7" s="112"/>
      <c r="K7" s="112"/>
      <c r="L7" s="112"/>
      <c r="M7" s="112"/>
      <c r="N7" s="112"/>
    </row>
    <row r="8" spans="1:14" ht="12.75" customHeight="1" x14ac:dyDescent="0.25">
      <c r="A8" s="112"/>
      <c r="B8" s="112"/>
      <c r="C8" s="112"/>
      <c r="D8" s="112"/>
      <c r="E8" s="112"/>
      <c r="F8" s="112"/>
      <c r="G8" s="112"/>
      <c r="H8" s="112"/>
      <c r="I8" s="112"/>
      <c r="J8" s="112"/>
      <c r="K8" s="112"/>
      <c r="L8" s="112"/>
      <c r="M8" s="112"/>
      <c r="N8" s="112"/>
    </row>
    <row r="9" spans="1:14" ht="33" customHeight="1" x14ac:dyDescent="0.25">
      <c r="A9" s="1164" t="str">
        <f>"General Fund Revenue Account "&amp;fyear</f>
        <v>General Fund Revenue Account 2022-23</v>
      </c>
      <c r="B9" s="1164"/>
      <c r="C9" s="1164"/>
      <c r="D9" s="1164"/>
      <c r="E9" s="1164"/>
      <c r="F9" s="1164"/>
      <c r="G9" s="1164"/>
      <c r="H9" s="1164"/>
      <c r="I9" s="1164"/>
      <c r="J9" s="1164"/>
      <c r="K9" s="1164"/>
      <c r="L9" s="1164"/>
      <c r="M9" s="1164"/>
      <c r="N9" s="112"/>
    </row>
    <row r="10" spans="1:14" ht="33" customHeight="1" x14ac:dyDescent="0.25">
      <c r="A10" s="1164" t="s">
        <v>2</v>
      </c>
      <c r="B10" s="1164"/>
      <c r="C10" s="1164"/>
      <c r="D10" s="1164"/>
      <c r="E10" s="1164"/>
      <c r="F10" s="1164"/>
      <c r="G10" s="1164"/>
      <c r="H10" s="1164"/>
      <c r="I10" s="1164"/>
      <c r="J10" s="1164"/>
      <c r="K10" s="1164"/>
      <c r="L10" s="1164"/>
      <c r="M10" s="1164"/>
      <c r="N10" s="112"/>
    </row>
    <row r="11" spans="1:14" ht="15.65" customHeight="1" x14ac:dyDescent="0.25">
      <c r="A11" s="112"/>
      <c r="B11" s="166"/>
      <c r="C11" s="166"/>
      <c r="D11" s="166"/>
      <c r="E11" s="166"/>
      <c r="F11" s="166"/>
      <c r="G11" s="166"/>
      <c r="H11" s="112"/>
      <c r="I11" s="112"/>
      <c r="J11" s="112"/>
      <c r="K11" s="112"/>
      <c r="L11" s="112"/>
      <c r="M11" s="112"/>
      <c r="N11" s="112"/>
    </row>
    <row r="12" spans="1:14" ht="18.75" customHeight="1" x14ac:dyDescent="0.4">
      <c r="A12" s="1165" t="s">
        <v>3</v>
      </c>
      <c r="B12" s="1165"/>
      <c r="C12" s="1165"/>
      <c r="D12" s="1165"/>
      <c r="E12" s="1165"/>
      <c r="F12" s="1165"/>
      <c r="G12" s="1165"/>
      <c r="H12" s="1165"/>
      <c r="I12" s="1165"/>
      <c r="J12" s="1165"/>
      <c r="K12" s="1165"/>
      <c r="L12" s="1165"/>
      <c r="M12" s="1165"/>
      <c r="N12" s="112"/>
    </row>
    <row r="13" spans="1:14" ht="19" customHeight="1" x14ac:dyDescent="0.4">
      <c r="A13" s="112"/>
      <c r="B13" s="166"/>
      <c r="C13" s="166"/>
      <c r="D13" s="988" t="s">
        <v>4</v>
      </c>
      <c r="E13" s="989" t="s">
        <v>5</v>
      </c>
      <c r="F13" s="166"/>
      <c r="G13" s="166"/>
      <c r="H13" s="112"/>
      <c r="I13" s="112"/>
      <c r="J13" s="112"/>
      <c r="K13" s="112"/>
      <c r="L13" s="112"/>
      <c r="M13" s="112"/>
      <c r="N13" s="112"/>
    </row>
    <row r="14" spans="1:14" ht="18" x14ac:dyDescent="0.4">
      <c r="A14" s="112"/>
      <c r="B14" s="4"/>
      <c r="C14" s="4"/>
      <c r="D14" s="988" t="s">
        <v>6</v>
      </c>
      <c r="E14" s="989" t="s">
        <v>7</v>
      </c>
      <c r="F14" s="4"/>
      <c r="G14" s="4"/>
      <c r="H14" s="112"/>
      <c r="I14" s="112"/>
      <c r="J14" s="112"/>
      <c r="K14" s="112"/>
      <c r="L14" s="112"/>
      <c r="M14" s="112"/>
      <c r="N14" s="112"/>
    </row>
    <row r="15" spans="1:14" x14ac:dyDescent="0.25">
      <c r="A15" s="112"/>
      <c r="B15" s="4"/>
      <c r="C15" s="4"/>
      <c r="D15" s="4"/>
      <c r="E15" s="4"/>
      <c r="F15" s="4"/>
      <c r="G15" s="166"/>
      <c r="H15" s="112"/>
      <c r="I15" s="112"/>
      <c r="J15" s="112"/>
      <c r="K15" s="112"/>
      <c r="L15" s="112"/>
      <c r="M15" s="112"/>
      <c r="N15" s="112"/>
    </row>
    <row r="16" spans="1:14" ht="60.75" customHeight="1" x14ac:dyDescent="0.25">
      <c r="A16" s="1155" t="s">
        <v>8</v>
      </c>
      <c r="B16" s="1155"/>
      <c r="C16" s="1155"/>
      <c r="D16" s="1155"/>
      <c r="E16" s="1155"/>
      <c r="F16" s="1155"/>
      <c r="G16" s="1155"/>
      <c r="H16" s="1155"/>
      <c r="I16" s="1155"/>
      <c r="J16" s="1155"/>
      <c r="K16" s="1155"/>
      <c r="L16" s="1155"/>
      <c r="M16" s="1155"/>
      <c r="N16" s="112"/>
    </row>
    <row r="17" spans="1:15" x14ac:dyDescent="0.25">
      <c r="A17" s="112"/>
      <c r="B17" s="112"/>
      <c r="C17" s="112"/>
      <c r="D17" s="112"/>
      <c r="E17" s="112"/>
      <c r="F17" s="112"/>
      <c r="G17" s="166"/>
      <c r="H17" s="112"/>
      <c r="I17" s="112"/>
      <c r="J17" s="112"/>
      <c r="K17" s="112"/>
      <c r="L17" s="112"/>
      <c r="M17" s="112"/>
      <c r="N17" s="112"/>
    </row>
    <row r="18" spans="1:15" x14ac:dyDescent="0.25">
      <c r="A18" s="112"/>
      <c r="B18" s="112"/>
      <c r="C18" s="112"/>
      <c r="D18" s="112"/>
      <c r="E18" s="112"/>
      <c r="F18" s="112"/>
      <c r="G18" s="166"/>
      <c r="H18" s="112"/>
      <c r="I18" s="112"/>
      <c r="J18" s="112"/>
      <c r="K18" s="112"/>
      <c r="L18" s="112"/>
      <c r="M18" s="112"/>
      <c r="N18" s="112"/>
    </row>
    <row r="19" spans="1:15" x14ac:dyDescent="0.25">
      <c r="A19" s="112"/>
      <c r="B19" s="4"/>
      <c r="C19" s="4"/>
      <c r="D19" s="4"/>
      <c r="E19" s="4"/>
      <c r="F19" s="4"/>
      <c r="G19" s="4"/>
      <c r="H19" s="4"/>
      <c r="I19" s="4"/>
      <c r="J19" s="112"/>
      <c r="K19" s="112"/>
      <c r="L19" s="112"/>
      <c r="M19" s="112"/>
      <c r="N19" s="112"/>
    </row>
    <row r="20" spans="1:15" ht="16" thickBot="1" x14ac:dyDescent="0.3">
      <c r="A20" s="112"/>
      <c r="B20" s="127"/>
      <c r="C20" s="167" t="s">
        <v>9</v>
      </c>
      <c r="D20" s="112"/>
      <c r="E20" s="112"/>
      <c r="F20" s="112"/>
      <c r="G20" s="112"/>
      <c r="H20" s="127"/>
      <c r="I20" s="127"/>
      <c r="J20" s="127"/>
      <c r="K20" s="4"/>
      <c r="L20" s="4"/>
      <c r="M20" s="4"/>
      <c r="N20" s="4"/>
      <c r="O20" s="3"/>
    </row>
    <row r="21" spans="1:15" ht="47.25" customHeight="1" x14ac:dyDescent="0.25">
      <c r="A21" s="168" t="s">
        <v>10</v>
      </c>
      <c r="B21" s="112"/>
      <c r="C21" s="1156" t="s">
        <v>11</v>
      </c>
      <c r="D21" s="1157"/>
      <c r="E21" s="1157"/>
      <c r="F21" s="1157"/>
      <c r="G21" s="1157"/>
      <c r="H21" s="1158"/>
      <c r="I21" s="1159"/>
      <c r="J21" s="127"/>
      <c r="K21" s="4"/>
      <c r="L21" s="4"/>
      <c r="M21" s="4"/>
      <c r="N21" s="4"/>
      <c r="O21" s="3"/>
    </row>
    <row r="22" spans="1:15" ht="13" x14ac:dyDescent="0.3">
      <c r="A22" s="112"/>
      <c r="B22" s="127"/>
      <c r="C22" s="127"/>
      <c r="D22" s="127"/>
      <c r="E22" s="127"/>
      <c r="F22" s="127"/>
      <c r="G22" s="169"/>
      <c r="H22" s="127"/>
      <c r="I22" s="127"/>
      <c r="J22" s="127"/>
      <c r="K22" s="4"/>
      <c r="L22" s="4"/>
      <c r="M22" s="4"/>
      <c r="N22" s="4"/>
      <c r="O22" s="3"/>
    </row>
    <row r="23" spans="1:15" x14ac:dyDescent="0.25">
      <c r="A23" s="112"/>
      <c r="B23" s="127"/>
      <c r="C23" s="127"/>
      <c r="D23" s="127"/>
      <c r="E23" s="127"/>
      <c r="F23" s="127"/>
      <c r="G23" s="127"/>
      <c r="H23" s="127"/>
      <c r="I23" s="127"/>
      <c r="J23" s="127"/>
      <c r="K23" s="4"/>
      <c r="L23" s="4"/>
      <c r="M23" s="4"/>
      <c r="N23" s="4"/>
      <c r="O23" s="3"/>
    </row>
    <row r="24" spans="1:15" ht="15.5" x14ac:dyDescent="0.35">
      <c r="A24" s="112"/>
      <c r="B24" s="127"/>
      <c r="C24" s="429" t="s">
        <v>12</v>
      </c>
      <c r="D24" s="112"/>
      <c r="E24" s="429" t="s">
        <v>13</v>
      </c>
      <c r="F24" s="112"/>
      <c r="G24" s="112"/>
      <c r="H24" s="127"/>
      <c r="I24" s="127"/>
      <c r="J24" s="127"/>
      <c r="K24" s="4"/>
      <c r="L24" s="4"/>
      <c r="M24" s="4"/>
      <c r="N24" s="4"/>
      <c r="O24" s="3"/>
    </row>
    <row r="25" spans="1:15" ht="18" x14ac:dyDescent="0.4">
      <c r="A25" s="112"/>
      <c r="B25" s="127"/>
      <c r="C25" s="140" t="str">
        <f>VLOOKUP(C21,LA_list,3,FALSE)</f>
        <v>E-code</v>
      </c>
      <c r="D25" s="112"/>
      <c r="E25" s="140" t="str">
        <f>VLOOKUP(C21,LA_list,4,FALSE)</f>
        <v>Your Authority ONS Code will appear here !</v>
      </c>
      <c r="F25" s="112"/>
      <c r="G25" s="112"/>
      <c r="H25" s="127"/>
      <c r="I25" s="127"/>
      <c r="J25" s="127"/>
      <c r="K25" s="4"/>
      <c r="L25" s="4"/>
      <c r="M25" s="4"/>
      <c r="N25" s="4"/>
      <c r="O25" s="3"/>
    </row>
    <row r="26" spans="1:15" x14ac:dyDescent="0.25">
      <c r="A26" s="112"/>
      <c r="B26" s="127"/>
      <c r="C26" s="127"/>
      <c r="D26" s="127"/>
      <c r="E26" s="127"/>
      <c r="F26" s="127"/>
      <c r="G26" s="170"/>
      <c r="H26" s="127"/>
      <c r="I26" s="127"/>
      <c r="J26" s="127"/>
      <c r="K26" s="4"/>
      <c r="L26" s="4"/>
      <c r="M26" s="4"/>
      <c r="N26" s="4"/>
      <c r="O26" s="3"/>
    </row>
    <row r="27" spans="1:15" x14ac:dyDescent="0.25">
      <c r="A27" s="112"/>
      <c r="B27" s="127"/>
      <c r="C27" s="127"/>
      <c r="D27" s="127"/>
      <c r="E27" s="127"/>
      <c r="F27" s="127"/>
      <c r="G27" s="170"/>
      <c r="H27" s="127"/>
      <c r="I27" s="127"/>
      <c r="J27" s="127"/>
      <c r="K27" s="4"/>
      <c r="L27" s="4"/>
      <c r="M27" s="4"/>
      <c r="N27" s="4"/>
      <c r="O27" s="3"/>
    </row>
    <row r="28" spans="1:15" ht="18" x14ac:dyDescent="0.4">
      <c r="A28" s="171" t="s">
        <v>14</v>
      </c>
      <c r="B28" s="112"/>
      <c r="C28" s="171"/>
      <c r="D28" s="171"/>
      <c r="E28" s="171"/>
      <c r="F28" s="171"/>
      <c r="G28" s="127"/>
      <c r="H28" s="127"/>
      <c r="I28" s="127"/>
      <c r="J28" s="127"/>
      <c r="K28" s="112"/>
      <c r="L28" s="112"/>
      <c r="M28" s="112"/>
      <c r="N28" s="112"/>
    </row>
    <row r="29" spans="1:15" x14ac:dyDescent="0.25">
      <c r="A29" s="112"/>
      <c r="B29" s="127"/>
      <c r="C29" s="127"/>
      <c r="D29" s="127"/>
      <c r="E29" s="127"/>
      <c r="F29" s="127"/>
      <c r="G29" s="127"/>
      <c r="H29" s="127"/>
      <c r="I29" s="127"/>
      <c r="J29" s="127"/>
      <c r="K29" s="112"/>
      <c r="L29" s="112"/>
      <c r="M29" s="112"/>
      <c r="N29" s="112"/>
    </row>
    <row r="30" spans="1:15" x14ac:dyDescent="0.25">
      <c r="A30" s="112"/>
      <c r="B30" s="127"/>
      <c r="C30" s="127"/>
      <c r="D30" s="127"/>
      <c r="E30" s="127"/>
      <c r="F30" s="127"/>
      <c r="G30" s="127"/>
      <c r="H30" s="127"/>
      <c r="I30" s="127"/>
      <c r="J30" s="127"/>
      <c r="K30" s="112"/>
      <c r="L30" s="112"/>
      <c r="M30" s="112"/>
      <c r="N30" s="112"/>
    </row>
    <row r="31" spans="1:15" ht="18" x14ac:dyDescent="0.4">
      <c r="A31" s="171" t="s">
        <v>15</v>
      </c>
      <c r="B31" s="112"/>
      <c r="C31" s="195"/>
      <c r="D31" s="195"/>
      <c r="E31" s="195"/>
      <c r="F31" s="195"/>
      <c r="G31" s="112"/>
      <c r="H31" s="127"/>
      <c r="I31" s="127"/>
      <c r="J31" s="127"/>
      <c r="K31" s="112"/>
      <c r="L31" s="112"/>
      <c r="M31" s="112"/>
      <c r="N31" s="112"/>
    </row>
    <row r="32" spans="1:15" ht="30" customHeight="1" x14ac:dyDescent="0.5">
      <c r="A32" s="112"/>
      <c r="B32" s="177" t="str">
        <f>VLOOKUP(LA_name,LA_list,9,0)</f>
        <v>Forms to be completed will appear here !</v>
      </c>
      <c r="C32" s="112"/>
      <c r="D32" s="112"/>
      <c r="E32" s="112"/>
      <c r="F32" s="112"/>
      <c r="G32" s="112"/>
      <c r="H32" s="127"/>
      <c r="I32" s="127"/>
      <c r="J32" s="127"/>
      <c r="K32" s="112"/>
      <c r="L32" s="112"/>
      <c r="M32" s="112"/>
      <c r="N32" s="112"/>
    </row>
    <row r="33" spans="1:14" x14ac:dyDescent="0.25">
      <c r="A33" s="112"/>
      <c r="B33" s="127"/>
      <c r="C33" s="127"/>
      <c r="D33" s="127"/>
      <c r="E33" s="127"/>
      <c r="F33" s="127"/>
      <c r="G33" s="170"/>
      <c r="H33" s="127"/>
      <c r="I33" s="127"/>
      <c r="J33" s="127"/>
      <c r="K33" s="112"/>
      <c r="L33" s="112"/>
      <c r="M33" s="112"/>
      <c r="N33" s="112"/>
    </row>
    <row r="34" spans="1:14" ht="40.4" customHeight="1" x14ac:dyDescent="0.25">
      <c r="A34" s="1166" t="s">
        <v>16</v>
      </c>
      <c r="B34" s="1166"/>
      <c r="C34" s="1166"/>
      <c r="D34" s="1166"/>
      <c r="E34" s="1166"/>
      <c r="F34" s="1166"/>
      <c r="G34" s="1166"/>
      <c r="H34" s="1166"/>
      <c r="I34" s="1166"/>
      <c r="J34" s="1166"/>
      <c r="K34" s="1166"/>
      <c r="L34" s="1166"/>
      <c r="M34" s="1166"/>
      <c r="N34" s="112"/>
    </row>
    <row r="35" spans="1:14" x14ac:dyDescent="0.25">
      <c r="A35" s="112"/>
      <c r="B35" s="4"/>
      <c r="C35" s="4"/>
      <c r="D35" s="4"/>
      <c r="E35" s="4"/>
      <c r="F35" s="4"/>
      <c r="G35" s="4"/>
      <c r="H35" s="4"/>
      <c r="I35" s="4"/>
      <c r="J35" s="112"/>
      <c r="K35" s="112"/>
      <c r="L35" s="112"/>
      <c r="M35" s="112"/>
      <c r="N35" s="112"/>
    </row>
    <row r="36" spans="1:14" ht="40.4" customHeight="1" x14ac:dyDescent="0.25">
      <c r="A36" s="1167" t="s">
        <v>17</v>
      </c>
      <c r="B36" s="1167"/>
      <c r="C36" s="1167"/>
      <c r="D36" s="1167"/>
      <c r="E36" s="1167"/>
      <c r="F36" s="1167"/>
      <c r="G36" s="1167"/>
      <c r="H36" s="1167"/>
      <c r="I36" s="1167"/>
      <c r="J36" s="1167"/>
      <c r="K36" s="1167"/>
      <c r="L36" s="1167"/>
      <c r="M36" s="1167"/>
      <c r="N36" s="112"/>
    </row>
    <row r="37" spans="1:14" x14ac:dyDescent="0.25">
      <c r="A37" s="112"/>
      <c r="B37" s="4"/>
      <c r="C37" s="4"/>
      <c r="D37" s="4"/>
      <c r="E37" s="4"/>
      <c r="F37" s="4"/>
      <c r="G37" s="4"/>
      <c r="H37" s="4"/>
      <c r="I37" s="4"/>
      <c r="J37" s="112"/>
      <c r="K37" s="112"/>
      <c r="L37" s="112"/>
      <c r="M37" s="112"/>
      <c r="N37" s="112"/>
    </row>
    <row r="38" spans="1:14" ht="18" x14ac:dyDescent="0.4">
      <c r="A38" s="112"/>
      <c r="B38" s="172" t="s">
        <v>18</v>
      </c>
      <c r="C38" s="1169" t="s">
        <v>19</v>
      </c>
      <c r="D38" s="1170"/>
      <c r="E38" s="1170"/>
      <c r="F38" s="1170"/>
      <c r="G38" s="112"/>
      <c r="H38" s="173"/>
      <c r="I38" s="4"/>
      <c r="J38" s="112"/>
      <c r="K38" s="112"/>
      <c r="L38" s="112"/>
      <c r="M38" s="112"/>
      <c r="N38" s="112"/>
    </row>
    <row r="39" spans="1:14" ht="15.5" x14ac:dyDescent="0.35">
      <c r="A39" s="112"/>
      <c r="B39" s="174"/>
      <c r="C39" s="195"/>
      <c r="D39" s="195"/>
      <c r="E39" s="195"/>
      <c r="F39" s="195"/>
      <c r="G39" s="175"/>
      <c r="H39" s="4"/>
      <c r="I39" s="4"/>
      <c r="J39" s="112"/>
      <c r="K39" s="112"/>
      <c r="L39" s="112"/>
      <c r="M39" s="112"/>
      <c r="N39" s="112"/>
    </row>
    <row r="40" spans="1:14" ht="15.5" x14ac:dyDescent="0.35">
      <c r="A40" s="195"/>
      <c r="B40" s="112"/>
      <c r="C40" s="195"/>
      <c r="D40" s="195"/>
      <c r="E40" s="195"/>
      <c r="F40" s="195"/>
      <c r="G40" s="175"/>
      <c r="H40" s="4"/>
      <c r="I40" s="4"/>
      <c r="J40" s="112"/>
      <c r="K40" s="112"/>
      <c r="L40" s="112"/>
      <c r="M40" s="112"/>
      <c r="N40" s="112"/>
    </row>
    <row r="41" spans="1:14" ht="40.4" customHeight="1" x14ac:dyDescent="0.25">
      <c r="A41" s="1168" t="s">
        <v>20</v>
      </c>
      <c r="B41" s="1168"/>
      <c r="C41" s="1168"/>
      <c r="D41" s="1168"/>
      <c r="E41" s="1168"/>
      <c r="F41" s="1168"/>
      <c r="G41" s="1168"/>
      <c r="H41" s="1168"/>
      <c r="I41" s="1168"/>
      <c r="J41" s="1168"/>
      <c r="K41" s="1168"/>
      <c r="L41" s="1168"/>
      <c r="M41" s="1168"/>
      <c r="N41" s="112"/>
    </row>
    <row r="42" spans="1:14" ht="6" customHeight="1" x14ac:dyDescent="0.25">
      <c r="A42" s="112"/>
      <c r="B42" s="4"/>
      <c r="C42" s="4"/>
      <c r="D42" s="4"/>
      <c r="E42" s="4"/>
      <c r="F42" s="4"/>
      <c r="G42" s="4"/>
      <c r="H42" s="4"/>
      <c r="I42" s="4"/>
      <c r="J42" s="112"/>
      <c r="K42" s="112"/>
      <c r="L42" s="112"/>
      <c r="M42" s="112"/>
      <c r="N42" s="112"/>
    </row>
    <row r="43" spans="1:14" ht="18" x14ac:dyDescent="0.4">
      <c r="A43" s="171" t="s">
        <v>21</v>
      </c>
      <c r="B43" s="112"/>
      <c r="C43" s="112"/>
      <c r="D43" s="4"/>
      <c r="E43" s="4"/>
      <c r="F43" s="4"/>
      <c r="G43" s="502"/>
      <c r="H43" s="4"/>
      <c r="I43" s="4"/>
      <c r="J43" s="112"/>
      <c r="K43" s="112"/>
      <c r="L43" s="112"/>
      <c r="M43" s="112"/>
      <c r="N43" s="112"/>
    </row>
    <row r="44" spans="1:14" ht="6" customHeight="1" x14ac:dyDescent="0.35">
      <c r="A44" s="112"/>
      <c r="B44" s="4"/>
      <c r="C44" s="4"/>
      <c r="D44" s="4"/>
      <c r="E44" s="4"/>
      <c r="F44" s="4"/>
      <c r="G44" s="503"/>
      <c r="H44" s="4"/>
      <c r="I44" s="4"/>
      <c r="J44" s="112"/>
      <c r="K44" s="112"/>
      <c r="L44" s="112"/>
      <c r="M44" s="112"/>
      <c r="N44" s="112"/>
    </row>
    <row r="45" spans="1:14" ht="18" x14ac:dyDescent="0.4">
      <c r="A45" s="39" t="s">
        <v>22</v>
      </c>
      <c r="B45" s="112"/>
      <c r="C45" s="1163"/>
      <c r="D45" s="1161"/>
      <c r="E45" s="1161"/>
      <c r="F45" s="1161"/>
      <c r="G45" s="1162"/>
      <c r="H45" s="4"/>
      <c r="I45" s="4"/>
      <c r="J45" s="112"/>
      <c r="K45" s="112"/>
      <c r="L45" s="112"/>
      <c r="M45" s="112"/>
      <c r="N45" s="112"/>
    </row>
    <row r="46" spans="1:14" ht="6" customHeight="1" x14ac:dyDescent="0.4">
      <c r="A46" s="112"/>
      <c r="B46" s="39"/>
      <c r="C46" s="39"/>
      <c r="D46" s="86"/>
      <c r="E46" s="86"/>
      <c r="F46" s="86"/>
      <c r="G46" s="176"/>
      <c r="H46" s="4"/>
      <c r="I46" s="4"/>
      <c r="J46" s="112"/>
      <c r="K46" s="112"/>
      <c r="L46" s="112"/>
      <c r="M46" s="112"/>
      <c r="N46" s="112"/>
    </row>
    <row r="47" spans="1:14" ht="18" x14ac:dyDescent="0.4">
      <c r="A47" s="39" t="s">
        <v>23</v>
      </c>
      <c r="B47" s="112"/>
      <c r="C47" s="1160"/>
      <c r="D47" s="1161"/>
      <c r="E47" s="1161"/>
      <c r="F47" s="1161"/>
      <c r="G47" s="1162"/>
      <c r="H47" s="4"/>
      <c r="I47" s="4"/>
      <c r="J47" s="112"/>
      <c r="K47" s="112"/>
      <c r="L47" s="112"/>
      <c r="M47" s="112"/>
      <c r="N47" s="112"/>
    </row>
    <row r="48" spans="1:14" ht="6" customHeight="1" x14ac:dyDescent="0.4">
      <c r="A48" s="112"/>
      <c r="B48" s="39"/>
      <c r="C48" s="39"/>
      <c r="D48" s="4"/>
      <c r="E48" s="4"/>
      <c r="F48" s="4"/>
      <c r="G48" s="4"/>
      <c r="H48" s="4"/>
      <c r="I48" s="4"/>
      <c r="J48" s="112"/>
      <c r="K48" s="112"/>
      <c r="L48" s="112"/>
      <c r="M48" s="112"/>
      <c r="N48" s="112"/>
    </row>
    <row r="49" spans="1:14" ht="18" x14ac:dyDescent="0.4">
      <c r="A49" s="39" t="s">
        <v>24</v>
      </c>
      <c r="B49" s="112"/>
      <c r="C49" s="1163"/>
      <c r="D49" s="1161"/>
      <c r="E49" s="1161"/>
      <c r="F49" s="1161"/>
      <c r="G49" s="1162"/>
      <c r="H49" s="4"/>
      <c r="I49" s="4"/>
      <c r="J49" s="112"/>
      <c r="K49" s="112"/>
      <c r="L49" s="112"/>
      <c r="M49" s="112"/>
      <c r="N49" s="112"/>
    </row>
    <row r="50" spans="1:14" ht="18" customHeight="1" x14ac:dyDescent="0.25">
      <c r="A50" s="112"/>
      <c r="B50" s="112"/>
      <c r="C50" s="112"/>
      <c r="D50" s="112"/>
      <c r="E50" s="112"/>
      <c r="F50" s="112"/>
      <c r="G50" s="112"/>
      <c r="H50" s="112"/>
      <c r="I50" s="112"/>
      <c r="J50" s="112"/>
      <c r="K50" s="112"/>
      <c r="L50" s="112"/>
      <c r="M50" s="112"/>
      <c r="N50" s="112"/>
    </row>
    <row r="51" spans="1:14" ht="18" x14ac:dyDescent="0.4">
      <c r="A51" s="171" t="s">
        <v>25</v>
      </c>
      <c r="B51" s="112"/>
      <c r="C51" s="112"/>
      <c r="D51" s="4"/>
      <c r="E51" s="4"/>
      <c r="F51" s="4"/>
      <c r="G51" s="502"/>
      <c r="H51" s="4"/>
      <c r="I51" s="4"/>
      <c r="J51" s="112"/>
      <c r="K51" s="112"/>
      <c r="L51" s="112"/>
      <c r="M51" s="112"/>
      <c r="N51" s="112"/>
    </row>
    <row r="52" spans="1:14" ht="6" customHeight="1" x14ac:dyDescent="0.35">
      <c r="A52" s="112"/>
      <c r="B52" s="4"/>
      <c r="C52" s="4"/>
      <c r="D52" s="4"/>
      <c r="E52" s="4"/>
      <c r="F52" s="4"/>
      <c r="G52" s="503"/>
      <c r="H52" s="4"/>
      <c r="I52" s="4"/>
      <c r="J52" s="112"/>
      <c r="K52" s="112"/>
      <c r="L52" s="112"/>
      <c r="M52" s="112"/>
      <c r="N52" s="112"/>
    </row>
    <row r="53" spans="1:14" ht="18" x14ac:dyDescent="0.4">
      <c r="A53" s="39" t="s">
        <v>22</v>
      </c>
      <c r="B53" s="112"/>
      <c r="C53" s="1163"/>
      <c r="D53" s="1161"/>
      <c r="E53" s="1161"/>
      <c r="F53" s="1161"/>
      <c r="G53" s="1162"/>
      <c r="H53" s="4"/>
      <c r="I53" s="4"/>
      <c r="J53" s="112"/>
      <c r="K53" s="112"/>
      <c r="L53" s="112"/>
      <c r="M53" s="112"/>
      <c r="N53" s="112"/>
    </row>
    <row r="54" spans="1:14" ht="6" customHeight="1" x14ac:dyDescent="0.4">
      <c r="A54" s="112"/>
      <c r="B54" s="39"/>
      <c r="C54" s="39"/>
      <c r="D54" s="86"/>
      <c r="E54" s="86"/>
      <c r="F54" s="86"/>
      <c r="G54" s="176"/>
      <c r="H54" s="4"/>
      <c r="I54" s="4"/>
      <c r="J54" s="112"/>
      <c r="K54" s="112"/>
      <c r="L54" s="112"/>
      <c r="M54" s="112"/>
      <c r="N54" s="112"/>
    </row>
    <row r="55" spans="1:14" ht="18" x14ac:dyDescent="0.4">
      <c r="A55" s="39" t="s">
        <v>23</v>
      </c>
      <c r="B55" s="112"/>
      <c r="C55" s="1163"/>
      <c r="D55" s="1161"/>
      <c r="E55" s="1161"/>
      <c r="F55" s="1161"/>
      <c r="G55" s="1162"/>
      <c r="H55" s="4"/>
      <c r="I55" s="4"/>
      <c r="J55" s="112"/>
      <c r="K55" s="112"/>
      <c r="L55" s="112"/>
      <c r="M55" s="112"/>
      <c r="N55" s="112"/>
    </row>
    <row r="56" spans="1:14" ht="6" customHeight="1" x14ac:dyDescent="0.4">
      <c r="A56" s="112"/>
      <c r="B56" s="39"/>
      <c r="C56" s="39"/>
      <c r="D56" s="4"/>
      <c r="E56" s="4"/>
      <c r="F56" s="4"/>
      <c r="G56" s="4"/>
      <c r="H56" s="4"/>
      <c r="I56" s="4"/>
      <c r="J56" s="112"/>
      <c r="K56" s="112"/>
      <c r="L56" s="112"/>
      <c r="M56" s="112"/>
      <c r="N56" s="112"/>
    </row>
    <row r="57" spans="1:14" ht="18" x14ac:dyDescent="0.4">
      <c r="A57" s="39" t="s">
        <v>24</v>
      </c>
      <c r="B57" s="112"/>
      <c r="C57" s="1163"/>
      <c r="D57" s="1161"/>
      <c r="E57" s="1161"/>
      <c r="F57" s="1161"/>
      <c r="G57" s="1162"/>
      <c r="H57" s="4"/>
      <c r="I57" s="4"/>
      <c r="J57" s="112"/>
      <c r="K57" s="112"/>
      <c r="L57" s="112"/>
      <c r="M57" s="112"/>
      <c r="N57" s="112"/>
    </row>
    <row r="58" spans="1:14" ht="6" customHeight="1" x14ac:dyDescent="0.25">
      <c r="A58" s="112"/>
      <c r="B58" s="112"/>
      <c r="C58" s="112"/>
      <c r="D58" s="112"/>
      <c r="E58" s="112"/>
      <c r="F58" s="112"/>
      <c r="G58" s="112"/>
      <c r="H58" s="112"/>
      <c r="I58" s="112"/>
      <c r="J58" s="112"/>
      <c r="K58" s="112"/>
      <c r="L58" s="112"/>
      <c r="M58" s="112"/>
      <c r="N58" s="112"/>
    </row>
    <row r="59" spans="1:14" x14ac:dyDescent="0.25">
      <c r="A59" s="112"/>
      <c r="B59" s="112"/>
      <c r="C59" s="112"/>
      <c r="D59" s="112"/>
      <c r="E59" s="112"/>
      <c r="F59" s="112"/>
      <c r="G59" s="112"/>
      <c r="H59" s="112"/>
      <c r="I59" s="112"/>
      <c r="J59" s="112"/>
      <c r="K59" s="112"/>
      <c r="L59" s="112"/>
      <c r="M59" s="112"/>
      <c r="N59" s="112"/>
    </row>
    <row r="60" spans="1:14" ht="15.5" x14ac:dyDescent="0.35">
      <c r="A60" s="583" t="s">
        <v>26</v>
      </c>
      <c r="B60" s="112"/>
      <c r="C60" s="112"/>
      <c r="D60" s="112"/>
      <c r="E60" s="112"/>
      <c r="F60" s="112"/>
      <c r="G60" s="112"/>
      <c r="H60" s="112"/>
      <c r="I60" s="112"/>
      <c r="J60" s="112"/>
      <c r="K60" s="112"/>
      <c r="L60" s="112"/>
      <c r="M60" s="112"/>
      <c r="N60" s="112"/>
    </row>
    <row r="61" spans="1:14" ht="18" customHeight="1" x14ac:dyDescent="0.4">
      <c r="A61" s="742"/>
      <c r="B61" s="112"/>
      <c r="C61" s="1176" t="s">
        <v>27</v>
      </c>
      <c r="D61" s="1177"/>
      <c r="E61" s="1177"/>
      <c r="F61" s="1177"/>
      <c r="G61" s="1178"/>
      <c r="H61" s="425"/>
      <c r="I61" s="112"/>
      <c r="J61" s="112"/>
      <c r="K61" s="112"/>
      <c r="L61" s="112"/>
      <c r="M61" s="112"/>
      <c r="N61" s="112"/>
    </row>
    <row r="62" spans="1:14" x14ac:dyDescent="0.25">
      <c r="A62" s="112"/>
      <c r="B62" s="112"/>
      <c r="C62" s="112"/>
      <c r="D62" s="112"/>
      <c r="E62" s="112"/>
      <c r="F62" s="112"/>
      <c r="G62" s="112"/>
      <c r="H62" s="112"/>
      <c r="I62" s="112"/>
      <c r="J62" s="112"/>
      <c r="K62" s="112"/>
      <c r="L62" s="112"/>
      <c r="M62" s="112"/>
      <c r="N62" s="112"/>
    </row>
    <row r="63" spans="1:14" ht="18" x14ac:dyDescent="0.4">
      <c r="A63" s="743" t="s">
        <v>28</v>
      </c>
      <c r="B63" s="742"/>
      <c r="C63" s="112"/>
      <c r="D63" s="112"/>
      <c r="E63" s="112"/>
      <c r="F63" s="112"/>
      <c r="G63" s="112"/>
      <c r="H63" s="112"/>
      <c r="I63" s="112"/>
      <c r="J63" s="112"/>
      <c r="K63" s="112"/>
      <c r="L63" s="112"/>
      <c r="M63" s="112"/>
      <c r="N63" s="112"/>
    </row>
    <row r="64" spans="1:14" x14ac:dyDescent="0.25">
      <c r="A64" s="112"/>
      <c r="B64" s="112"/>
      <c r="C64" s="112"/>
      <c r="D64" s="112"/>
      <c r="E64" s="112"/>
      <c r="F64" s="112"/>
      <c r="G64" s="112"/>
      <c r="H64" s="112"/>
      <c r="I64" s="112"/>
      <c r="J64" s="112"/>
      <c r="K64" s="112"/>
      <c r="L64" s="112"/>
      <c r="M64" s="112"/>
      <c r="N64" s="112"/>
    </row>
    <row r="65" spans="1:14" ht="18" x14ac:dyDescent="0.4">
      <c r="A65" s="39" t="s">
        <v>22</v>
      </c>
      <c r="B65" s="112"/>
      <c r="C65" s="1176"/>
      <c r="D65" s="1177"/>
      <c r="E65" s="1177"/>
      <c r="F65" s="1177"/>
      <c r="G65" s="1178"/>
      <c r="H65" s="4"/>
      <c r="I65" s="112"/>
      <c r="J65" s="112"/>
      <c r="K65" s="112"/>
      <c r="L65" s="112"/>
      <c r="M65" s="112"/>
      <c r="N65" s="112"/>
    </row>
    <row r="66" spans="1:14" ht="6" customHeight="1" x14ac:dyDescent="0.4">
      <c r="A66" s="112"/>
      <c r="B66" s="112"/>
      <c r="C66" s="742"/>
      <c r="D66" s="742"/>
      <c r="E66" s="742"/>
      <c r="F66" s="742"/>
      <c r="G66" s="742"/>
      <c r="H66" s="112"/>
      <c r="I66" s="112"/>
      <c r="J66" s="112"/>
      <c r="K66" s="112"/>
      <c r="L66" s="112"/>
      <c r="M66" s="112"/>
      <c r="N66" s="112"/>
    </row>
    <row r="67" spans="1:14" ht="18" x14ac:dyDescent="0.4">
      <c r="A67" s="39" t="s">
        <v>23</v>
      </c>
      <c r="B67" s="112"/>
      <c r="C67" s="1179"/>
      <c r="D67" s="1180"/>
      <c r="E67" s="1180"/>
      <c r="F67" s="1180"/>
      <c r="G67" s="1181"/>
      <c r="H67" s="4"/>
      <c r="I67" s="112"/>
      <c r="J67" s="112"/>
      <c r="K67" s="112"/>
      <c r="L67" s="112"/>
      <c r="M67" s="112"/>
      <c r="N67" s="112"/>
    </row>
    <row r="68" spans="1:14" ht="6" customHeight="1" x14ac:dyDescent="0.4">
      <c r="A68" s="112"/>
      <c r="B68" s="112"/>
      <c r="C68" s="742"/>
      <c r="D68" s="742"/>
      <c r="E68" s="742"/>
      <c r="F68" s="742"/>
      <c r="G68" s="742"/>
      <c r="H68" s="112"/>
      <c r="I68" s="112"/>
      <c r="J68" s="112"/>
      <c r="K68" s="112"/>
      <c r="L68" s="112"/>
      <c r="M68" s="112"/>
      <c r="N68" s="112"/>
    </row>
    <row r="69" spans="1:14" ht="18" x14ac:dyDescent="0.4">
      <c r="A69" s="39" t="s">
        <v>24</v>
      </c>
      <c r="B69" s="112"/>
      <c r="C69" s="1182"/>
      <c r="D69" s="1183"/>
      <c r="E69" s="1183"/>
      <c r="F69" s="1183"/>
      <c r="G69" s="1184"/>
      <c r="H69" s="4"/>
      <c r="I69" s="112"/>
      <c r="J69" s="112"/>
      <c r="K69" s="112"/>
      <c r="L69" s="112"/>
      <c r="M69" s="112"/>
      <c r="N69" s="112"/>
    </row>
    <row r="70" spans="1:14" ht="18" x14ac:dyDescent="0.4">
      <c r="A70" s="39"/>
      <c r="B70" s="112"/>
      <c r="C70" s="112"/>
      <c r="D70" s="112"/>
      <c r="E70" s="112"/>
      <c r="F70" s="112"/>
      <c r="G70" s="112"/>
      <c r="H70" s="112"/>
      <c r="I70" s="112"/>
      <c r="J70" s="112"/>
      <c r="K70" s="112"/>
      <c r="L70" s="112"/>
      <c r="M70" s="112"/>
      <c r="N70" s="112"/>
    </row>
    <row r="71" spans="1:14" ht="18" x14ac:dyDescent="0.25">
      <c r="A71" s="828" t="str">
        <f>"CERTIFICATION  - Required by: " &amp;E14&amp;". (Certification not required for initial submission deadline of " &amp;E13&amp;".)"</f>
        <v>CERTIFICATION  - Required by: Friday 13 October 2023. (Certification not required for initial submission deadline of Friday 28 July 2023.)</v>
      </c>
      <c r="B71" s="829"/>
      <c r="C71" s="829"/>
      <c r="D71" s="829"/>
      <c r="E71" s="829"/>
      <c r="F71" s="829"/>
      <c r="G71" s="829"/>
      <c r="H71" s="829"/>
      <c r="I71" s="112"/>
      <c r="J71" s="112"/>
      <c r="K71" s="112"/>
      <c r="L71" s="112"/>
      <c r="M71" s="112"/>
      <c r="N71" s="112"/>
    </row>
    <row r="72" spans="1:14" ht="60.65" customHeight="1" x14ac:dyDescent="0.4">
      <c r="A72" s="1173" t="s">
        <v>29</v>
      </c>
      <c r="B72" s="1174"/>
      <c r="C72" s="1174"/>
      <c r="D72" s="1174"/>
      <c r="E72" s="1174"/>
      <c r="F72" s="1174"/>
      <c r="G72" s="1174"/>
      <c r="H72" s="829"/>
      <c r="I72" s="112"/>
      <c r="J72" s="112"/>
      <c r="K72" s="112"/>
      <c r="L72" s="112"/>
      <c r="M72" s="112"/>
      <c r="N72" s="112"/>
    </row>
    <row r="73" spans="1:14" ht="39.65" customHeight="1" x14ac:dyDescent="0.25">
      <c r="A73" s="1175" t="s">
        <v>30</v>
      </c>
      <c r="B73" s="1175"/>
      <c r="C73" s="1175"/>
      <c r="D73" s="1175"/>
      <c r="E73" s="1175"/>
      <c r="F73" s="1175"/>
      <c r="G73" s="1175"/>
      <c r="H73" s="829"/>
      <c r="I73" s="112"/>
      <c r="J73" s="112"/>
      <c r="K73" s="112"/>
      <c r="L73" s="112"/>
      <c r="M73" s="112"/>
      <c r="N73" s="112"/>
    </row>
    <row r="74" spans="1:14" ht="51.65" customHeight="1" x14ac:dyDescent="0.25">
      <c r="A74" s="1172" t="s">
        <v>31</v>
      </c>
      <c r="B74" s="1172"/>
      <c r="C74" s="1172"/>
      <c r="D74" s="1172"/>
      <c r="E74" s="1172"/>
      <c r="F74" s="1172"/>
      <c r="G74" s="1172"/>
      <c r="H74" s="829"/>
      <c r="I74" s="112"/>
      <c r="J74" s="112"/>
      <c r="K74" s="112"/>
      <c r="L74" s="112"/>
      <c r="M74" s="112"/>
      <c r="N74" s="112"/>
    </row>
    <row r="75" spans="1:14" ht="18" x14ac:dyDescent="0.4">
      <c r="A75" s="984" t="s">
        <v>32</v>
      </c>
      <c r="B75" s="829"/>
      <c r="C75" s="1171"/>
      <c r="D75" s="1171"/>
      <c r="E75" s="1171"/>
      <c r="F75" s="1171"/>
      <c r="G75" s="1171"/>
      <c r="H75" s="830" t="s">
        <v>33</v>
      </c>
      <c r="I75" s="112"/>
      <c r="J75" s="112"/>
      <c r="K75" s="112"/>
      <c r="L75" s="112"/>
      <c r="M75" s="112"/>
      <c r="N75" s="112"/>
    </row>
    <row r="76" spans="1:14" ht="18" x14ac:dyDescent="0.4">
      <c r="A76" s="828" t="s">
        <v>34</v>
      </c>
      <c r="B76" s="829"/>
      <c r="C76" s="1171"/>
      <c r="D76" s="1171"/>
      <c r="E76" s="1171"/>
      <c r="F76" s="1171"/>
      <c r="G76" s="1171"/>
      <c r="H76" s="830" t="s">
        <v>33</v>
      </c>
      <c r="I76" s="112"/>
      <c r="J76" s="112"/>
      <c r="K76" s="112"/>
      <c r="L76" s="112"/>
      <c r="M76" s="112"/>
      <c r="N76" s="112"/>
    </row>
    <row r="77" spans="1:14" ht="18" x14ac:dyDescent="0.4">
      <c r="A77" s="828" t="s">
        <v>35</v>
      </c>
      <c r="B77" s="829"/>
      <c r="C77" s="1171" t="s">
        <v>27</v>
      </c>
      <c r="D77" s="1171"/>
      <c r="E77" s="1171"/>
      <c r="F77" s="1171"/>
      <c r="G77" s="1171"/>
      <c r="H77" s="830" t="s">
        <v>33</v>
      </c>
      <c r="I77" s="112"/>
      <c r="J77" s="112"/>
      <c r="K77" s="112"/>
      <c r="L77" s="112"/>
      <c r="M77" s="112"/>
      <c r="N77" s="112"/>
    </row>
    <row r="78" spans="1:14" ht="18" x14ac:dyDescent="0.4">
      <c r="A78" s="985" t="s">
        <v>36</v>
      </c>
      <c r="B78" s="829"/>
      <c r="C78" s="1171"/>
      <c r="D78" s="1171"/>
      <c r="E78" s="1171"/>
      <c r="F78" s="1171"/>
      <c r="G78" s="1171"/>
      <c r="H78" s="830" t="s">
        <v>33</v>
      </c>
      <c r="I78" s="112"/>
      <c r="J78" s="112"/>
      <c r="K78" s="112"/>
      <c r="L78" s="112"/>
      <c r="M78" s="112"/>
      <c r="N78" s="112"/>
    </row>
    <row r="79" spans="1:14" ht="18" x14ac:dyDescent="0.4">
      <c r="A79" s="828" t="s">
        <v>37</v>
      </c>
      <c r="B79" s="829"/>
      <c r="C79" s="1185"/>
      <c r="D79" s="1171"/>
      <c r="E79" s="1171"/>
      <c r="F79" s="1171"/>
      <c r="G79" s="1171"/>
      <c r="H79" s="830" t="s">
        <v>33</v>
      </c>
      <c r="I79" s="112"/>
      <c r="J79" s="112"/>
      <c r="K79" s="112"/>
      <c r="L79" s="112"/>
      <c r="M79" s="112"/>
      <c r="N79" s="112"/>
    </row>
    <row r="80" spans="1:14" ht="18" x14ac:dyDescent="0.4">
      <c r="A80" s="831"/>
      <c r="B80" s="829"/>
      <c r="C80" s="829"/>
      <c r="D80" s="829"/>
      <c r="E80" s="829"/>
      <c r="F80" s="829"/>
      <c r="G80" s="829"/>
      <c r="H80" s="832" t="s">
        <v>38</v>
      </c>
      <c r="I80" s="112"/>
      <c r="J80" s="112"/>
      <c r="K80" s="112"/>
      <c r="L80" s="112"/>
      <c r="M80" s="112"/>
      <c r="N80" s="112"/>
    </row>
    <row r="81" spans="1:14" ht="18" x14ac:dyDescent="0.4">
      <c r="A81" s="39"/>
      <c r="B81" s="112"/>
      <c r="C81" s="112"/>
      <c r="D81" s="112"/>
      <c r="E81" s="112"/>
      <c r="F81" s="112"/>
      <c r="G81" s="112"/>
      <c r="H81" s="112"/>
      <c r="I81" s="112"/>
      <c r="J81" s="112"/>
      <c r="K81" s="112"/>
      <c r="L81" s="112"/>
      <c r="M81" s="112"/>
      <c r="N81" s="112"/>
    </row>
    <row r="82" spans="1:14" ht="18" x14ac:dyDescent="0.4">
      <c r="A82" s="986" t="s">
        <v>39</v>
      </c>
    </row>
    <row r="83" spans="1:14" x14ac:dyDescent="0.25"/>
    <row r="84" spans="1:14" ht="18" x14ac:dyDescent="0.4">
      <c r="A84" s="1010" t="s">
        <v>40</v>
      </c>
      <c r="B84" s="1011" t="s">
        <v>41</v>
      </c>
      <c r="C84" s="1011" t="s">
        <v>37</v>
      </c>
    </row>
    <row r="85" spans="1:14" ht="17.5" x14ac:dyDescent="0.35">
      <c r="A85" s="1012"/>
      <c r="B85" s="1013"/>
      <c r="C85" s="1014"/>
    </row>
    <row r="86" spans="1:14" ht="17.5" x14ac:dyDescent="0.35">
      <c r="A86" s="1012"/>
      <c r="B86" s="1013"/>
      <c r="C86" s="1014"/>
    </row>
    <row r="87" spans="1:14" s="867" customFormat="1" ht="14.5" customHeight="1" x14ac:dyDescent="0.35">
      <c r="A87" s="1012"/>
      <c r="B87" s="1013"/>
      <c r="C87" s="1014"/>
    </row>
    <row r="88" spans="1:14" s="867" customFormat="1" ht="17.5" x14ac:dyDescent="0.35">
      <c r="A88" s="1012"/>
      <c r="B88" s="1013"/>
      <c r="C88" s="1014"/>
    </row>
    <row r="89" spans="1:14" ht="17.5" x14ac:dyDescent="0.35">
      <c r="A89" s="1012"/>
      <c r="B89" s="1013"/>
      <c r="C89" s="1014"/>
    </row>
    <row r="90" spans="1:14" x14ac:dyDescent="0.25"/>
    <row r="91" spans="1:14" x14ac:dyDescent="0.25"/>
    <row r="92" spans="1:14" x14ac:dyDescent="0.25"/>
    <row r="93" spans="1:14" x14ac:dyDescent="0.25"/>
    <row r="94" spans="1:14" x14ac:dyDescent="0.25"/>
    <row r="95" spans="1:14" x14ac:dyDescent="0.25"/>
    <row r="96" spans="1:14" x14ac:dyDescent="0.25"/>
    <row r="97" x14ac:dyDescent="0.25"/>
    <row r="98" x14ac:dyDescent="0.25"/>
    <row r="99" x14ac:dyDescent="0.25"/>
    <row r="100" x14ac:dyDescent="0.25"/>
    <row r="308" spans="24:51" ht="13" hidden="1" thickBot="1" x14ac:dyDescent="0.3">
      <c r="AB308" t="s">
        <v>33</v>
      </c>
    </row>
    <row r="309" spans="24:51" ht="13.5" hidden="1" thickBot="1" x14ac:dyDescent="0.35">
      <c r="AC309" s="49" t="s">
        <v>42</v>
      </c>
      <c r="AD309" s="57"/>
      <c r="AE309" s="57"/>
      <c r="AF309" s="50" t="s">
        <v>43</v>
      </c>
      <c r="AG309" s="51" t="s">
        <v>44</v>
      </c>
      <c r="AH309" s="51" t="s">
        <v>45</v>
      </c>
      <c r="AI309" s="96"/>
      <c r="AJ309" s="90" t="s">
        <v>46</v>
      </c>
      <c r="AK309" s="49" t="s">
        <v>47</v>
      </c>
      <c r="AL309" t="s">
        <v>48</v>
      </c>
      <c r="AM309" s="623" t="s">
        <v>49</v>
      </c>
      <c r="AN309" s="624" t="s">
        <v>50</v>
      </c>
      <c r="AO309" s="641"/>
      <c r="AP309" s="625"/>
      <c r="AQ309" s="626"/>
      <c r="AS309" s="623"/>
      <c r="AT309" s="624"/>
      <c r="AU309" s="641" t="s">
        <v>51</v>
      </c>
      <c r="AV309" s="625"/>
      <c r="AW309" s="626"/>
    </row>
    <row r="310" spans="24:51" ht="13" hidden="1" thickBot="1" x14ac:dyDescent="0.3">
      <c r="AB310" s="70"/>
      <c r="AC310" s="404" t="s">
        <v>11</v>
      </c>
      <c r="AD310" s="1015" t="s">
        <v>52</v>
      </c>
      <c r="AE310" s="1015" t="s">
        <v>53</v>
      </c>
      <c r="AF310" s="1015" t="s">
        <v>54</v>
      </c>
      <c r="AG310" s="51" t="s">
        <v>44</v>
      </c>
      <c r="AH310" s="51" t="s">
        <v>45</v>
      </c>
      <c r="AI310" s="96"/>
      <c r="AJ310" s="90" t="s">
        <v>46</v>
      </c>
      <c r="AK310" s="405" t="s">
        <v>55</v>
      </c>
      <c r="AL310" t="s">
        <v>56</v>
      </c>
      <c r="AM310" s="627"/>
      <c r="AN310" s="1016"/>
      <c r="AO310" s="1016"/>
      <c r="AP310" s="1016"/>
      <c r="AQ310" s="628"/>
      <c r="AS310" s="627"/>
      <c r="AT310" s="1016"/>
      <c r="AU310" s="1016"/>
      <c r="AV310" s="1016"/>
      <c r="AW310" s="628"/>
      <c r="AY310" t="s">
        <v>57</v>
      </c>
    </row>
    <row r="311" spans="24:51" ht="15.5" hidden="1" x14ac:dyDescent="0.35">
      <c r="X311" s="597"/>
      <c r="Y311" s="597"/>
      <c r="Z311" s="642"/>
      <c r="AA311" s="642"/>
      <c r="AB311" s="642"/>
      <c r="AC311" s="604" t="s">
        <v>58</v>
      </c>
      <c r="AD311" s="605" t="s">
        <v>58</v>
      </c>
      <c r="AE311" s="606" t="s">
        <v>59</v>
      </c>
      <c r="AF311" s="606" t="s">
        <v>60</v>
      </c>
      <c r="AG311" s="605" t="s">
        <v>61</v>
      </c>
      <c r="AH311" s="605">
        <v>2</v>
      </c>
      <c r="AI311" s="616"/>
      <c r="AJ311" s="617">
        <v>0</v>
      </c>
      <c r="AK311" s="620" t="s">
        <v>62</v>
      </c>
      <c r="AL311">
        <f t="shared" ref="AL311:AL374" si="0">IF(AG311="UA",1,IF(AG311="MD",1,IF(AG311="OLB",1,IF(AG311="ILB",1,IF(AG311="CC",1,IF(AG311="SCILLY",1,0))))))</f>
        <v>0</v>
      </c>
      <c r="AM311" s="1017">
        <v>1</v>
      </c>
      <c r="AN311" s="1018"/>
      <c r="AO311" s="1018"/>
      <c r="AP311" s="630"/>
      <c r="AQ311" s="631"/>
      <c r="AS311" s="629"/>
      <c r="AT311" s="630"/>
      <c r="AU311" s="630"/>
      <c r="AV311" s="630"/>
      <c r="AW311" s="631"/>
      <c r="AY311" t="s">
        <v>63</v>
      </c>
    </row>
    <row r="312" spans="24:51" ht="15.5" hidden="1" x14ac:dyDescent="0.35">
      <c r="X312" s="597"/>
      <c r="Y312" s="597"/>
      <c r="Z312" s="642"/>
      <c r="AA312" s="642"/>
      <c r="AB312" s="642"/>
      <c r="AC312" s="607" t="s">
        <v>64</v>
      </c>
      <c r="AD312" s="1019" t="s">
        <v>64</v>
      </c>
      <c r="AE312" s="1020" t="s">
        <v>65</v>
      </c>
      <c r="AF312" s="1020" t="s">
        <v>66</v>
      </c>
      <c r="AG312" s="1019" t="s">
        <v>61</v>
      </c>
      <c r="AH312" s="1019">
        <v>2</v>
      </c>
      <c r="AI312" s="1021"/>
      <c r="AJ312" s="617">
        <v>0</v>
      </c>
      <c r="AK312" s="621" t="s">
        <v>62</v>
      </c>
      <c r="AL312">
        <f t="shared" si="0"/>
        <v>0</v>
      </c>
      <c r="AM312" s="1017">
        <v>1</v>
      </c>
      <c r="AN312" s="1018"/>
      <c r="AO312" s="1018"/>
      <c r="AP312" s="1016"/>
      <c r="AQ312" s="628"/>
      <c r="AS312" s="627"/>
      <c r="AT312" s="1016"/>
      <c r="AU312" s="1016"/>
      <c r="AV312" s="1016"/>
      <c r="AW312" s="628"/>
      <c r="AY312" t="s">
        <v>67</v>
      </c>
    </row>
    <row r="313" spans="24:51" ht="15.5" hidden="1" x14ac:dyDescent="0.35">
      <c r="X313" s="597"/>
      <c r="Y313" s="597"/>
      <c r="Z313" s="642"/>
      <c r="AA313" s="642"/>
      <c r="AB313" s="642"/>
      <c r="AC313" s="607" t="s">
        <v>68</v>
      </c>
      <c r="AD313" s="1019" t="s">
        <v>68</v>
      </c>
      <c r="AE313" s="1020" t="s">
        <v>69</v>
      </c>
      <c r="AF313" s="1020" t="s">
        <v>70</v>
      </c>
      <c r="AG313" s="1019" t="s">
        <v>61</v>
      </c>
      <c r="AH313" s="1019">
        <v>2</v>
      </c>
      <c r="AI313" s="1021"/>
      <c r="AJ313" s="617">
        <v>0</v>
      </c>
      <c r="AK313" s="621" t="s">
        <v>62</v>
      </c>
      <c r="AL313">
        <f t="shared" si="0"/>
        <v>0</v>
      </c>
      <c r="AM313" s="1017">
        <v>1</v>
      </c>
      <c r="AN313" s="1018"/>
      <c r="AO313" s="1018"/>
      <c r="AP313" s="1016"/>
      <c r="AQ313" s="628"/>
      <c r="AS313" s="627"/>
      <c r="AT313" s="1016"/>
      <c r="AU313" s="1016"/>
      <c r="AV313" s="1016"/>
      <c r="AW313" s="628"/>
      <c r="AY313" t="s">
        <v>71</v>
      </c>
    </row>
    <row r="314" spans="24:51" ht="15.5" hidden="1" x14ac:dyDescent="0.35">
      <c r="X314" s="597"/>
      <c r="Y314" s="597"/>
      <c r="Z314" s="642"/>
      <c r="AA314" s="642"/>
      <c r="AB314" s="642"/>
      <c r="AC314" s="607" t="s">
        <v>72</v>
      </c>
      <c r="AD314" s="1019" t="s">
        <v>72</v>
      </c>
      <c r="AE314" s="1020" t="s">
        <v>73</v>
      </c>
      <c r="AF314" s="1020" t="s">
        <v>74</v>
      </c>
      <c r="AG314" s="1019" t="s">
        <v>61</v>
      </c>
      <c r="AH314" s="1019">
        <v>2</v>
      </c>
      <c r="AI314" s="1021"/>
      <c r="AJ314" s="617">
        <v>0</v>
      </c>
      <c r="AK314" s="621" t="s">
        <v>62</v>
      </c>
      <c r="AL314">
        <f t="shared" si="0"/>
        <v>0</v>
      </c>
      <c r="AM314" s="1017">
        <v>1</v>
      </c>
      <c r="AN314" s="1018">
        <v>1</v>
      </c>
      <c r="AO314" s="1018"/>
      <c r="AP314" s="1016"/>
      <c r="AQ314" s="628"/>
      <c r="AS314" s="627"/>
      <c r="AT314" s="1016"/>
      <c r="AU314" s="1016"/>
      <c r="AV314" s="1016"/>
      <c r="AW314" s="628"/>
      <c r="AY314" t="s">
        <v>75</v>
      </c>
    </row>
    <row r="315" spans="24:51" ht="15.5" hidden="1" x14ac:dyDescent="0.35">
      <c r="X315" s="597"/>
      <c r="Y315" s="597"/>
      <c r="Z315" s="642"/>
      <c r="AA315" s="642"/>
      <c r="AB315" s="642"/>
      <c r="AC315" s="607" t="s">
        <v>76</v>
      </c>
      <c r="AD315" s="1019" t="s">
        <v>76</v>
      </c>
      <c r="AE315" s="1020" t="s">
        <v>77</v>
      </c>
      <c r="AF315" s="1020" t="s">
        <v>78</v>
      </c>
      <c r="AG315" s="1019" t="s">
        <v>61</v>
      </c>
      <c r="AH315" s="1019">
        <v>2</v>
      </c>
      <c r="AI315" s="1021"/>
      <c r="AJ315" s="617">
        <v>0</v>
      </c>
      <c r="AK315" s="621" t="s">
        <v>62</v>
      </c>
      <c r="AL315">
        <f t="shared" si="0"/>
        <v>0</v>
      </c>
      <c r="AM315" s="1017">
        <v>1</v>
      </c>
      <c r="AN315" s="1018"/>
      <c r="AO315" s="1018"/>
      <c r="AP315" s="1016"/>
      <c r="AQ315" s="628"/>
      <c r="AS315" s="627"/>
      <c r="AT315" s="1016"/>
      <c r="AU315" s="1016"/>
      <c r="AV315" s="1016"/>
      <c r="AW315" s="628"/>
      <c r="AY315" t="s">
        <v>79</v>
      </c>
    </row>
    <row r="316" spans="24:51" ht="15.5" hidden="1" x14ac:dyDescent="0.35">
      <c r="X316" s="597"/>
      <c r="Y316" s="597"/>
      <c r="Z316" s="642"/>
      <c r="AA316" s="642"/>
      <c r="AB316" s="642"/>
      <c r="AC316" s="608" t="s">
        <v>80</v>
      </c>
      <c r="AD316" s="1022" t="s">
        <v>80</v>
      </c>
      <c r="AE316" s="1023" t="s">
        <v>81</v>
      </c>
      <c r="AF316" s="1023" t="s">
        <v>82</v>
      </c>
      <c r="AG316" s="1022" t="s">
        <v>61</v>
      </c>
      <c r="AH316" s="1019">
        <v>2</v>
      </c>
      <c r="AI316" s="1024"/>
      <c r="AJ316" s="617">
        <v>1</v>
      </c>
      <c r="AK316" s="621" t="s">
        <v>83</v>
      </c>
      <c r="AL316">
        <f t="shared" si="0"/>
        <v>0</v>
      </c>
      <c r="AM316" s="1017">
        <v>1</v>
      </c>
      <c r="AN316" s="1018"/>
      <c r="AO316" s="1018"/>
      <c r="AP316" s="1016"/>
      <c r="AQ316" s="628"/>
      <c r="AS316" s="627"/>
      <c r="AT316" s="1016"/>
      <c r="AU316" s="1016"/>
      <c r="AV316" s="1016"/>
      <c r="AW316" s="628"/>
      <c r="AY316" t="s">
        <v>84</v>
      </c>
    </row>
    <row r="317" spans="24:51" ht="15.5" hidden="1" x14ac:dyDescent="0.35">
      <c r="X317" s="597"/>
      <c r="Y317" s="597"/>
      <c r="Z317" s="642"/>
      <c r="AA317" s="642"/>
      <c r="AB317" s="642"/>
      <c r="AC317" s="609" t="s">
        <v>85</v>
      </c>
      <c r="AD317" s="1025" t="s">
        <v>85</v>
      </c>
      <c r="AE317" s="1025" t="s">
        <v>86</v>
      </c>
      <c r="AF317" s="1025" t="s">
        <v>87</v>
      </c>
      <c r="AG317" s="1025" t="s">
        <v>71</v>
      </c>
      <c r="AH317" s="1019">
        <v>4</v>
      </c>
      <c r="AI317" s="1024"/>
      <c r="AJ317" s="617">
        <v>1</v>
      </c>
      <c r="AK317" s="621" t="s">
        <v>88</v>
      </c>
      <c r="AL317">
        <f t="shared" si="0"/>
        <v>0</v>
      </c>
      <c r="AM317" s="1017" t="s">
        <v>84</v>
      </c>
      <c r="AN317" s="1018"/>
      <c r="AO317" s="1018"/>
      <c r="AP317" s="1026"/>
      <c r="AQ317" s="633"/>
      <c r="AS317" s="632"/>
      <c r="AT317" s="1026"/>
      <c r="AU317" s="1026"/>
      <c r="AV317" s="1026"/>
      <c r="AW317" s="633"/>
      <c r="AY317" t="s">
        <v>89</v>
      </c>
    </row>
    <row r="318" spans="24:51" ht="15.5" hidden="1" x14ac:dyDescent="0.35">
      <c r="X318" s="597"/>
      <c r="Y318" s="597"/>
      <c r="Z318" s="642"/>
      <c r="AA318" s="642"/>
      <c r="AB318" s="642"/>
      <c r="AC318" s="609" t="s">
        <v>90</v>
      </c>
      <c r="AD318" s="1025" t="s">
        <v>90</v>
      </c>
      <c r="AE318" s="1025" t="s">
        <v>91</v>
      </c>
      <c r="AF318" s="1025" t="s">
        <v>92</v>
      </c>
      <c r="AG318" s="1019" t="s">
        <v>63</v>
      </c>
      <c r="AH318" s="1019">
        <v>4</v>
      </c>
      <c r="AI318" s="1021"/>
      <c r="AJ318" s="617">
        <v>0</v>
      </c>
      <c r="AK318" s="621" t="s">
        <v>93</v>
      </c>
      <c r="AL318">
        <f t="shared" si="0"/>
        <v>0</v>
      </c>
      <c r="AM318" s="1017" t="s">
        <v>84</v>
      </c>
      <c r="AN318" s="1018"/>
      <c r="AO318" s="1018"/>
      <c r="AP318" s="1016"/>
      <c r="AQ318" s="628"/>
      <c r="AS318" s="627"/>
      <c r="AT318" s="1016"/>
      <c r="AU318" s="1016"/>
      <c r="AV318" s="1016"/>
      <c r="AW318" s="628"/>
      <c r="AY318" t="s">
        <v>84</v>
      </c>
    </row>
    <row r="319" spans="24:51" ht="15.5" hidden="1" x14ac:dyDescent="0.35">
      <c r="X319" s="597"/>
      <c r="Y319" s="597"/>
      <c r="Z319" s="642"/>
      <c r="AA319" s="642"/>
      <c r="AB319" s="642"/>
      <c r="AC319" s="608" t="s">
        <v>94</v>
      </c>
      <c r="AD319" s="1022" t="s">
        <v>94</v>
      </c>
      <c r="AE319" s="1023" t="s">
        <v>95</v>
      </c>
      <c r="AF319" s="1023" t="s">
        <v>96</v>
      </c>
      <c r="AG319" s="1022" t="s">
        <v>61</v>
      </c>
      <c r="AH319" s="1019">
        <v>2</v>
      </c>
      <c r="AI319" s="1021"/>
      <c r="AJ319" s="617">
        <v>0</v>
      </c>
      <c r="AK319" s="621" t="s">
        <v>62</v>
      </c>
      <c r="AL319">
        <f t="shared" si="0"/>
        <v>0</v>
      </c>
      <c r="AM319" s="1017">
        <v>1</v>
      </c>
      <c r="AN319" s="1018">
        <v>1</v>
      </c>
      <c r="AO319" s="1018"/>
      <c r="AP319" s="1016"/>
      <c r="AQ319" s="628"/>
      <c r="AS319" s="627"/>
      <c r="AT319" s="1016"/>
      <c r="AU319" s="1016"/>
      <c r="AV319" s="1016"/>
      <c r="AW319" s="628"/>
      <c r="AY319" t="s">
        <v>97</v>
      </c>
    </row>
    <row r="320" spans="24:51" ht="15.5" hidden="1" x14ac:dyDescent="0.35">
      <c r="X320" s="597"/>
      <c r="Y320" s="597"/>
      <c r="Z320" s="642"/>
      <c r="AA320" s="642"/>
      <c r="AB320" s="642"/>
      <c r="AC320" s="608" t="s">
        <v>98</v>
      </c>
      <c r="AD320" s="1022" t="s">
        <v>98</v>
      </c>
      <c r="AE320" s="1023" t="s">
        <v>99</v>
      </c>
      <c r="AF320" s="1023" t="s">
        <v>100</v>
      </c>
      <c r="AG320" s="1022" t="s">
        <v>101</v>
      </c>
      <c r="AH320" s="1022">
        <v>1</v>
      </c>
      <c r="AI320" s="1027"/>
      <c r="AJ320" s="617">
        <v>0</v>
      </c>
      <c r="AK320" s="621" t="s">
        <v>102</v>
      </c>
      <c r="AL320">
        <f t="shared" si="0"/>
        <v>1</v>
      </c>
      <c r="AM320" s="1017">
        <v>1</v>
      </c>
      <c r="AN320" s="1018">
        <v>1</v>
      </c>
      <c r="AO320" s="1018"/>
      <c r="AP320" s="1016"/>
      <c r="AQ320" s="628"/>
      <c r="AS320" s="627"/>
      <c r="AT320" s="1016"/>
      <c r="AU320" s="1016"/>
      <c r="AV320" s="1016"/>
      <c r="AW320" s="628"/>
      <c r="AY320" t="s">
        <v>84</v>
      </c>
    </row>
    <row r="321" spans="24:51" ht="15.5" hidden="1" x14ac:dyDescent="0.35">
      <c r="X321" s="597"/>
      <c r="Y321" s="597"/>
      <c r="Z321" s="642"/>
      <c r="AA321" s="642"/>
      <c r="AB321" s="642"/>
      <c r="AC321" s="607" t="s">
        <v>103</v>
      </c>
      <c r="AD321" s="1019" t="s">
        <v>103</v>
      </c>
      <c r="AE321" s="1020" t="s">
        <v>104</v>
      </c>
      <c r="AF321" s="1020" t="s">
        <v>105</v>
      </c>
      <c r="AG321" s="1019" t="s">
        <v>101</v>
      </c>
      <c r="AH321" s="1019">
        <v>1</v>
      </c>
      <c r="AI321" s="1027"/>
      <c r="AJ321" s="617">
        <v>0</v>
      </c>
      <c r="AK321" s="621" t="s">
        <v>102</v>
      </c>
      <c r="AL321">
        <f t="shared" si="0"/>
        <v>1</v>
      </c>
      <c r="AM321" s="1017">
        <v>1</v>
      </c>
      <c r="AN321" s="1018">
        <v>1</v>
      </c>
      <c r="AO321" s="1018"/>
      <c r="AP321" s="1016"/>
      <c r="AQ321" s="628"/>
      <c r="AS321" s="627"/>
      <c r="AT321" s="1016"/>
      <c r="AU321" s="1016"/>
      <c r="AV321" s="1016"/>
      <c r="AW321" s="628"/>
      <c r="AY321" t="s">
        <v>101</v>
      </c>
    </row>
    <row r="322" spans="24:51" ht="15.5" hidden="1" x14ac:dyDescent="0.35">
      <c r="X322" s="597"/>
      <c r="Y322" s="597"/>
      <c r="Z322" s="642"/>
      <c r="AA322" s="642"/>
      <c r="AB322" s="642"/>
      <c r="AC322" s="607" t="s">
        <v>106</v>
      </c>
      <c r="AD322" s="1019" t="s">
        <v>106</v>
      </c>
      <c r="AE322" s="1020" t="s">
        <v>107</v>
      </c>
      <c r="AF322" s="1020" t="s">
        <v>108</v>
      </c>
      <c r="AG322" s="1019" t="s">
        <v>97</v>
      </c>
      <c r="AH322" s="1019">
        <v>1</v>
      </c>
      <c r="AI322" s="1024"/>
      <c r="AJ322" s="617">
        <v>1</v>
      </c>
      <c r="AK322" s="621" t="s">
        <v>109</v>
      </c>
      <c r="AL322">
        <f t="shared" si="0"/>
        <v>1</v>
      </c>
      <c r="AM322" s="1017">
        <v>1</v>
      </c>
      <c r="AN322" s="1018"/>
      <c r="AO322" s="1018"/>
      <c r="AP322" s="1016"/>
      <c r="AQ322" s="628"/>
      <c r="AS322" s="627"/>
      <c r="AT322" s="1016"/>
      <c r="AU322" s="1016"/>
      <c r="AV322" s="1016"/>
      <c r="AW322" s="628"/>
      <c r="AY322" t="s">
        <v>110</v>
      </c>
    </row>
    <row r="323" spans="24:51" ht="15.5" hidden="1" x14ac:dyDescent="0.35">
      <c r="X323" s="597"/>
      <c r="Y323" s="597"/>
      <c r="Z323" s="642"/>
      <c r="AA323" s="642"/>
      <c r="AB323" s="642"/>
      <c r="AC323" s="608" t="s">
        <v>111</v>
      </c>
      <c r="AD323" s="1022" t="s">
        <v>111</v>
      </c>
      <c r="AE323" s="1023" t="s">
        <v>112</v>
      </c>
      <c r="AF323" s="1023" t="s">
        <v>113</v>
      </c>
      <c r="AG323" s="1022" t="s">
        <v>61</v>
      </c>
      <c r="AH323" s="1019">
        <v>2</v>
      </c>
      <c r="AI323" s="1021"/>
      <c r="AJ323" s="617">
        <v>0</v>
      </c>
      <c r="AK323" s="621" t="s">
        <v>62</v>
      </c>
      <c r="AL323">
        <f t="shared" si="0"/>
        <v>0</v>
      </c>
      <c r="AM323" s="1017">
        <v>1</v>
      </c>
      <c r="AN323" s="1018"/>
      <c r="AO323" s="1018"/>
      <c r="AP323" s="1016"/>
      <c r="AQ323" s="628"/>
      <c r="AS323" s="627"/>
      <c r="AT323" s="1016"/>
      <c r="AU323" s="1016"/>
      <c r="AV323" s="1016"/>
      <c r="AW323" s="628"/>
      <c r="AY323" t="s">
        <v>114</v>
      </c>
    </row>
    <row r="324" spans="24:51" ht="15.5" hidden="1" x14ac:dyDescent="0.35">
      <c r="X324" s="597"/>
      <c r="Y324" s="597"/>
      <c r="Z324" s="642"/>
      <c r="AA324" s="642"/>
      <c r="AB324" s="642"/>
      <c r="AC324" s="608" t="s">
        <v>115</v>
      </c>
      <c r="AD324" s="1022" t="s">
        <v>115</v>
      </c>
      <c r="AE324" s="1023" t="s">
        <v>116</v>
      </c>
      <c r="AF324" s="1023" t="s">
        <v>117</v>
      </c>
      <c r="AG324" s="1022" t="s">
        <v>61</v>
      </c>
      <c r="AH324" s="1022">
        <v>2</v>
      </c>
      <c r="AI324" s="1021"/>
      <c r="AJ324" s="617">
        <v>0</v>
      </c>
      <c r="AK324" s="621" t="s">
        <v>62</v>
      </c>
      <c r="AL324">
        <f t="shared" si="0"/>
        <v>0</v>
      </c>
      <c r="AM324" s="1017">
        <v>1</v>
      </c>
      <c r="AN324" s="1018"/>
      <c r="AO324" s="1018"/>
      <c r="AP324" s="1016"/>
      <c r="AQ324" s="628"/>
      <c r="AS324" s="627"/>
      <c r="AT324" s="1016"/>
      <c r="AU324" s="1016"/>
      <c r="AV324" s="1016"/>
      <c r="AW324" s="628"/>
      <c r="AY324" t="s">
        <v>118</v>
      </c>
    </row>
    <row r="325" spans="24:51" ht="15.5" hidden="1" x14ac:dyDescent="0.35">
      <c r="X325" s="597"/>
      <c r="Y325" s="597"/>
      <c r="Z325" s="642"/>
      <c r="AA325" s="642"/>
      <c r="AB325" s="642"/>
      <c r="AC325" s="607" t="s">
        <v>119</v>
      </c>
      <c r="AD325" s="1019" t="s">
        <v>119</v>
      </c>
      <c r="AE325" s="1020" t="s">
        <v>120</v>
      </c>
      <c r="AF325" s="1020" t="s">
        <v>121</v>
      </c>
      <c r="AG325" s="1019" t="s">
        <v>61</v>
      </c>
      <c r="AH325" s="1019">
        <v>2</v>
      </c>
      <c r="AI325" s="1021"/>
      <c r="AJ325" s="617">
        <v>1</v>
      </c>
      <c r="AK325" s="621" t="s">
        <v>83</v>
      </c>
      <c r="AL325">
        <f t="shared" si="0"/>
        <v>0</v>
      </c>
      <c r="AM325" s="1017">
        <v>1</v>
      </c>
      <c r="AN325" s="1018">
        <v>1</v>
      </c>
      <c r="AO325" s="1018"/>
      <c r="AP325" s="1016"/>
      <c r="AQ325" s="628"/>
      <c r="AS325" s="627"/>
      <c r="AT325" s="1016"/>
      <c r="AU325" s="1016"/>
      <c r="AV325" s="1016"/>
      <c r="AW325" s="628"/>
      <c r="AY325" t="s">
        <v>61</v>
      </c>
    </row>
    <row r="326" spans="24:51" ht="15.5" hidden="1" x14ac:dyDescent="0.35">
      <c r="X326" s="597"/>
      <c r="Y326" s="597"/>
      <c r="Z326" s="642"/>
      <c r="AA326" s="642"/>
      <c r="AB326" s="642"/>
      <c r="AC326" s="608" t="s">
        <v>122</v>
      </c>
      <c r="AD326" s="1022" t="s">
        <v>122</v>
      </c>
      <c r="AE326" s="1023" t="s">
        <v>123</v>
      </c>
      <c r="AF326" s="1023" t="s">
        <v>124</v>
      </c>
      <c r="AG326" s="1022" t="s">
        <v>61</v>
      </c>
      <c r="AH326" s="1019">
        <v>2</v>
      </c>
      <c r="AI326" s="1021"/>
      <c r="AJ326" s="617">
        <v>1</v>
      </c>
      <c r="AK326" s="621" t="s">
        <v>83</v>
      </c>
      <c r="AL326">
        <f t="shared" si="0"/>
        <v>0</v>
      </c>
      <c r="AM326" s="1017">
        <v>1</v>
      </c>
      <c r="AN326" s="1018">
        <v>1</v>
      </c>
      <c r="AO326" s="1018"/>
      <c r="AP326" s="1016"/>
      <c r="AQ326" s="628"/>
      <c r="AS326" s="627"/>
      <c r="AT326" s="1016"/>
      <c r="AU326" s="1016"/>
      <c r="AV326" s="1016"/>
      <c r="AW326" s="628"/>
      <c r="AY326" t="s">
        <v>125</v>
      </c>
    </row>
    <row r="327" spans="24:51" ht="15.5" hidden="1" x14ac:dyDescent="0.35">
      <c r="X327" s="597"/>
      <c r="Y327" s="597"/>
      <c r="Z327" s="642"/>
      <c r="AA327" s="642"/>
      <c r="AB327" s="642"/>
      <c r="AC327" s="610" t="s">
        <v>126</v>
      </c>
      <c r="AD327" s="1028" t="s">
        <v>126</v>
      </c>
      <c r="AE327" s="1023" t="s">
        <v>127</v>
      </c>
      <c r="AF327" s="1023" t="s">
        <v>128</v>
      </c>
      <c r="AG327" s="1022" t="s">
        <v>125</v>
      </c>
      <c r="AH327" s="1022">
        <v>1</v>
      </c>
      <c r="AI327" s="1027"/>
      <c r="AJ327" s="617">
        <v>1</v>
      </c>
      <c r="AK327" s="621" t="s">
        <v>109</v>
      </c>
      <c r="AL327">
        <f t="shared" si="0"/>
        <v>1</v>
      </c>
      <c r="AM327" s="1017">
        <v>1</v>
      </c>
      <c r="AN327" s="1018">
        <v>1</v>
      </c>
      <c r="AO327" s="1018"/>
      <c r="AP327" s="1016"/>
      <c r="AQ327" s="628"/>
      <c r="AS327" s="627"/>
      <c r="AT327" s="1016"/>
      <c r="AU327" s="1016"/>
      <c r="AV327" s="1016"/>
      <c r="AW327" s="628"/>
      <c r="AY327" t="s">
        <v>129</v>
      </c>
    </row>
    <row r="328" spans="24:51" ht="15.5" hidden="1" x14ac:dyDescent="0.35">
      <c r="X328" s="597"/>
      <c r="Y328" s="597"/>
      <c r="Z328" s="642"/>
      <c r="AA328" s="642"/>
      <c r="AB328" s="642"/>
      <c r="AC328" s="609" t="s">
        <v>130</v>
      </c>
      <c r="AD328" s="1025" t="s">
        <v>130</v>
      </c>
      <c r="AE328" s="1025" t="s">
        <v>131</v>
      </c>
      <c r="AF328" s="1025" t="s">
        <v>132</v>
      </c>
      <c r="AG328" s="1019" t="s">
        <v>125</v>
      </c>
      <c r="AH328" s="1019">
        <v>1</v>
      </c>
      <c r="AI328" s="1029"/>
      <c r="AJ328" s="617">
        <v>0</v>
      </c>
      <c r="AK328" s="621" t="s">
        <v>102</v>
      </c>
      <c r="AL328">
        <f t="shared" si="0"/>
        <v>1</v>
      </c>
      <c r="AM328" s="1017">
        <v>1</v>
      </c>
      <c r="AN328" s="1018">
        <v>1</v>
      </c>
      <c r="AO328" s="1018"/>
      <c r="AP328" s="1016"/>
      <c r="AQ328" s="628"/>
      <c r="AS328" s="627"/>
      <c r="AT328" s="1016"/>
      <c r="AU328" s="1016"/>
      <c r="AV328" s="1016"/>
      <c r="AW328" s="628"/>
    </row>
    <row r="329" spans="24:51" ht="15.5" hidden="1" x14ac:dyDescent="0.35">
      <c r="X329" s="597"/>
      <c r="Y329" s="597"/>
      <c r="Z329" s="642"/>
      <c r="AA329" s="642"/>
      <c r="AB329" s="642"/>
      <c r="AC329" s="609" t="s">
        <v>6037</v>
      </c>
      <c r="AD329" s="1025" t="s">
        <v>6037</v>
      </c>
      <c r="AE329" s="1025" t="s">
        <v>134</v>
      </c>
      <c r="AF329" s="1025" t="s">
        <v>135</v>
      </c>
      <c r="AG329" s="1019" t="s">
        <v>63</v>
      </c>
      <c r="AH329" s="1019">
        <v>4</v>
      </c>
      <c r="AI329" s="1021"/>
      <c r="AJ329" s="617">
        <v>1</v>
      </c>
      <c r="AK329" s="621" t="s">
        <v>88</v>
      </c>
      <c r="AL329">
        <f t="shared" si="0"/>
        <v>0</v>
      </c>
      <c r="AM329" s="1017" t="s">
        <v>84</v>
      </c>
      <c r="AN329" s="1018"/>
      <c r="AO329" s="1018"/>
      <c r="AP329" s="1016"/>
      <c r="AQ329" s="628"/>
      <c r="AS329" s="627"/>
      <c r="AT329" s="1016"/>
      <c r="AU329" s="1016"/>
      <c r="AV329" s="1016"/>
      <c r="AW329" s="628"/>
    </row>
    <row r="330" spans="24:51" ht="15.5" hidden="1" x14ac:dyDescent="0.35">
      <c r="X330" s="597"/>
      <c r="Y330" s="597"/>
      <c r="Z330" s="642"/>
      <c r="AA330" s="642"/>
      <c r="AB330" s="642"/>
      <c r="AC330" s="609" t="s">
        <v>136</v>
      </c>
      <c r="AD330" s="1025" t="s">
        <v>136</v>
      </c>
      <c r="AE330" s="1025" t="s">
        <v>137</v>
      </c>
      <c r="AF330" s="1025" t="s">
        <v>138</v>
      </c>
      <c r="AG330" s="1025" t="s">
        <v>71</v>
      </c>
      <c r="AH330" s="1019">
        <v>4</v>
      </c>
      <c r="AI330" s="1024"/>
      <c r="AJ330" s="617">
        <v>0</v>
      </c>
      <c r="AK330" s="621" t="s">
        <v>93</v>
      </c>
      <c r="AL330">
        <f t="shared" si="0"/>
        <v>0</v>
      </c>
      <c r="AM330" s="1017" t="s">
        <v>84</v>
      </c>
      <c r="AN330" s="1018"/>
      <c r="AO330" s="1018"/>
      <c r="AP330" s="1026"/>
      <c r="AQ330" s="633"/>
      <c r="AS330" s="634"/>
      <c r="AT330" s="1026"/>
      <c r="AU330" s="1026"/>
      <c r="AV330" s="1026"/>
      <c r="AW330" s="633"/>
    </row>
    <row r="331" spans="24:51" ht="15.5" hidden="1" x14ac:dyDescent="0.35">
      <c r="X331" s="597"/>
      <c r="Y331" s="597"/>
      <c r="Z331" s="642"/>
      <c r="AA331" s="642"/>
      <c r="AB331" s="642"/>
      <c r="AC331" s="609" t="s">
        <v>6038</v>
      </c>
      <c r="AD331" s="1025" t="s">
        <v>6038</v>
      </c>
      <c r="AE331" s="1025" t="s">
        <v>140</v>
      </c>
      <c r="AF331" s="1025" t="s">
        <v>141</v>
      </c>
      <c r="AG331" s="1019" t="s">
        <v>63</v>
      </c>
      <c r="AH331" s="1019">
        <v>4</v>
      </c>
      <c r="AI331" s="1021"/>
      <c r="AJ331" s="617">
        <v>0</v>
      </c>
      <c r="AK331" s="621" t="s">
        <v>93</v>
      </c>
      <c r="AL331">
        <f t="shared" si="0"/>
        <v>0</v>
      </c>
      <c r="AM331" s="1017" t="s">
        <v>84</v>
      </c>
      <c r="AN331" s="1018"/>
      <c r="AO331" s="1018"/>
      <c r="AP331" s="1016"/>
      <c r="AQ331" s="628"/>
      <c r="AS331" s="627"/>
      <c r="AT331" s="1016"/>
      <c r="AU331" s="1016"/>
      <c r="AV331" s="1016"/>
      <c r="AW331" s="628"/>
    </row>
    <row r="332" spans="24:51" ht="15.5" hidden="1" x14ac:dyDescent="0.35">
      <c r="X332" s="597"/>
      <c r="Y332" s="597"/>
      <c r="Z332" s="642"/>
      <c r="AA332" s="642"/>
      <c r="AB332" s="642"/>
      <c r="AC332" s="607" t="s">
        <v>142</v>
      </c>
      <c r="AD332" s="1019" t="s">
        <v>142</v>
      </c>
      <c r="AE332" s="1020" t="s">
        <v>143</v>
      </c>
      <c r="AF332" s="1020" t="s">
        <v>144</v>
      </c>
      <c r="AG332" s="1019" t="s">
        <v>101</v>
      </c>
      <c r="AH332" s="1019">
        <v>1</v>
      </c>
      <c r="AI332" s="1027"/>
      <c r="AJ332" s="617">
        <v>1</v>
      </c>
      <c r="AK332" s="621" t="s">
        <v>109</v>
      </c>
      <c r="AL332">
        <f t="shared" si="0"/>
        <v>1</v>
      </c>
      <c r="AM332" s="1017">
        <v>1</v>
      </c>
      <c r="AN332" s="1018">
        <v>1</v>
      </c>
      <c r="AO332" s="1018"/>
      <c r="AP332" s="1016"/>
      <c r="AQ332" s="628"/>
      <c r="AS332" s="627"/>
      <c r="AT332" s="1016"/>
      <c r="AU332" s="1016"/>
      <c r="AV332" s="1016"/>
      <c r="AW332" s="628"/>
    </row>
    <row r="333" spans="24:51" ht="15.5" hidden="1" x14ac:dyDescent="0.35">
      <c r="X333" s="597"/>
      <c r="Y333" s="597"/>
      <c r="Z333" s="642"/>
      <c r="AA333" s="642"/>
      <c r="AB333" s="642"/>
      <c r="AC333" s="608" t="s">
        <v>145</v>
      </c>
      <c r="AD333" s="1022" t="s">
        <v>145</v>
      </c>
      <c r="AE333" s="1023" t="s">
        <v>146</v>
      </c>
      <c r="AF333" s="1023" t="s">
        <v>147</v>
      </c>
      <c r="AG333" s="1022" t="s">
        <v>97</v>
      </c>
      <c r="AH333" s="1022">
        <v>1</v>
      </c>
      <c r="AI333" s="1024"/>
      <c r="AJ333" s="617">
        <v>1</v>
      </c>
      <c r="AK333" s="621" t="s">
        <v>109</v>
      </c>
      <c r="AL333">
        <f t="shared" si="0"/>
        <v>1</v>
      </c>
      <c r="AM333" s="1017">
        <v>1</v>
      </c>
      <c r="AN333" s="1018">
        <v>1</v>
      </c>
      <c r="AO333" s="1018"/>
      <c r="AP333" s="1016"/>
      <c r="AQ333" s="628"/>
      <c r="AS333" s="627"/>
      <c r="AT333" s="1016"/>
      <c r="AU333" s="1016"/>
      <c r="AV333" s="1016"/>
      <c r="AW333" s="628"/>
    </row>
    <row r="334" spans="24:51" ht="15.5" hidden="1" x14ac:dyDescent="0.35">
      <c r="X334" s="597"/>
      <c r="Y334" s="597"/>
      <c r="Z334" s="642"/>
      <c r="AA334" s="642"/>
      <c r="AB334" s="642"/>
      <c r="AC334" s="608" t="s">
        <v>148</v>
      </c>
      <c r="AD334" s="1022" t="s">
        <v>148</v>
      </c>
      <c r="AE334" s="1023" t="s">
        <v>149</v>
      </c>
      <c r="AF334" s="1023" t="s">
        <v>150</v>
      </c>
      <c r="AG334" s="1022" t="s">
        <v>61</v>
      </c>
      <c r="AH334" s="1019">
        <v>2</v>
      </c>
      <c r="AI334" s="1021"/>
      <c r="AJ334" s="617">
        <v>0</v>
      </c>
      <c r="AK334" s="621" t="s">
        <v>62</v>
      </c>
      <c r="AL334">
        <f t="shared" si="0"/>
        <v>0</v>
      </c>
      <c r="AM334" s="1017">
        <v>1</v>
      </c>
      <c r="AN334" s="1018"/>
      <c r="AO334" s="1018"/>
      <c r="AP334" s="1016"/>
      <c r="AQ334" s="628"/>
      <c r="AS334" s="627"/>
      <c r="AT334" s="1016"/>
      <c r="AU334" s="1016"/>
      <c r="AV334" s="1016"/>
      <c r="AW334" s="628"/>
    </row>
    <row r="335" spans="24:51" ht="15.5" hidden="1" x14ac:dyDescent="0.35">
      <c r="X335" s="597"/>
      <c r="Y335" s="597"/>
      <c r="Z335" s="642"/>
      <c r="AA335" s="642"/>
      <c r="AB335" s="642"/>
      <c r="AC335" s="607" t="s">
        <v>151</v>
      </c>
      <c r="AD335" s="1019" t="s">
        <v>151</v>
      </c>
      <c r="AE335" s="1020" t="s">
        <v>152</v>
      </c>
      <c r="AF335" s="1020" t="s">
        <v>153</v>
      </c>
      <c r="AG335" s="1019" t="s">
        <v>125</v>
      </c>
      <c r="AH335" s="1019">
        <v>1</v>
      </c>
      <c r="AI335" s="1027"/>
      <c r="AJ335" s="617">
        <v>0</v>
      </c>
      <c r="AK335" s="621" t="s">
        <v>102</v>
      </c>
      <c r="AL335">
        <f t="shared" si="0"/>
        <v>1</v>
      </c>
      <c r="AM335" s="1017">
        <v>1</v>
      </c>
      <c r="AN335" s="1018"/>
      <c r="AO335" s="1018"/>
      <c r="AP335" s="1016"/>
      <c r="AQ335" s="628"/>
      <c r="AS335" s="627"/>
      <c r="AT335" s="1016"/>
      <c r="AU335" s="1016"/>
      <c r="AV335" s="1016"/>
      <c r="AW335" s="628"/>
    </row>
    <row r="336" spans="24:51" ht="15.5" hidden="1" x14ac:dyDescent="0.35">
      <c r="X336" s="597"/>
      <c r="Y336" s="597"/>
      <c r="Z336" s="642"/>
      <c r="AA336" s="642"/>
      <c r="AB336" s="642"/>
      <c r="AC336" s="607" t="s">
        <v>154</v>
      </c>
      <c r="AD336" s="1019" t="s">
        <v>154</v>
      </c>
      <c r="AE336" s="1020" t="s">
        <v>155</v>
      </c>
      <c r="AF336" s="1020" t="s">
        <v>156</v>
      </c>
      <c r="AG336" s="1019" t="s">
        <v>125</v>
      </c>
      <c r="AH336" s="1019">
        <v>1</v>
      </c>
      <c r="AI336" s="1030"/>
      <c r="AJ336" s="617">
        <v>0</v>
      </c>
      <c r="AK336" s="621" t="s">
        <v>102</v>
      </c>
      <c r="AL336">
        <f t="shared" si="0"/>
        <v>1</v>
      </c>
      <c r="AM336" s="1017">
        <v>1</v>
      </c>
      <c r="AN336" s="1018"/>
      <c r="AO336" s="1018"/>
      <c r="AP336" s="1016"/>
      <c r="AQ336" s="628"/>
      <c r="AS336" s="627"/>
      <c r="AT336" s="1016"/>
      <c r="AU336" s="1016"/>
      <c r="AV336" s="1016"/>
      <c r="AW336" s="628"/>
    </row>
    <row r="337" spans="24:49" ht="15.5" hidden="1" x14ac:dyDescent="0.35">
      <c r="X337" s="597"/>
      <c r="Y337" s="597"/>
      <c r="Z337" s="642"/>
      <c r="AA337" s="642"/>
      <c r="AB337" s="642"/>
      <c r="AC337" s="607" t="s">
        <v>157</v>
      </c>
      <c r="AD337" s="1019" t="s">
        <v>157</v>
      </c>
      <c r="AE337" s="1020" t="s">
        <v>158</v>
      </c>
      <c r="AF337" s="1020" t="s">
        <v>159</v>
      </c>
      <c r="AG337" s="1019" t="s">
        <v>61</v>
      </c>
      <c r="AH337" s="1019">
        <v>2</v>
      </c>
      <c r="AI337" s="1024"/>
      <c r="AJ337" s="617">
        <v>0</v>
      </c>
      <c r="AK337" s="621" t="s">
        <v>62</v>
      </c>
      <c r="AL337">
        <f t="shared" si="0"/>
        <v>0</v>
      </c>
      <c r="AM337" s="1017">
        <v>1</v>
      </c>
      <c r="AN337" s="1018"/>
      <c r="AO337" s="1018"/>
      <c r="AP337" s="1016"/>
      <c r="AQ337" s="628"/>
      <c r="AS337" s="627"/>
      <c r="AT337" s="1016"/>
      <c r="AU337" s="1016"/>
      <c r="AV337" s="1016"/>
      <c r="AW337" s="628"/>
    </row>
    <row r="338" spans="24:49" ht="15.5" hidden="1" x14ac:dyDescent="0.35">
      <c r="X338" s="597"/>
      <c r="Y338" s="597"/>
      <c r="Z338" s="642"/>
      <c r="AA338" s="642"/>
      <c r="AB338" s="642"/>
      <c r="AC338" s="608" t="s">
        <v>160</v>
      </c>
      <c r="AD338" s="1022" t="s">
        <v>160</v>
      </c>
      <c r="AE338" s="1023" t="s">
        <v>161</v>
      </c>
      <c r="AF338" s="1023" t="s">
        <v>162</v>
      </c>
      <c r="AG338" s="1022" t="s">
        <v>97</v>
      </c>
      <c r="AH338" s="1022">
        <v>1</v>
      </c>
      <c r="AI338" s="1021"/>
      <c r="AJ338" s="617">
        <v>0</v>
      </c>
      <c r="AK338" s="621" t="s">
        <v>102</v>
      </c>
      <c r="AL338">
        <f t="shared" si="0"/>
        <v>1</v>
      </c>
      <c r="AM338" s="1017">
        <v>1</v>
      </c>
      <c r="AN338" s="1018"/>
      <c r="AO338" s="1018"/>
      <c r="AP338" s="1016"/>
      <c r="AQ338" s="628"/>
      <c r="AS338" s="627"/>
      <c r="AT338" s="1016"/>
      <c r="AU338" s="1016"/>
      <c r="AV338" s="1016"/>
      <c r="AW338" s="628"/>
    </row>
    <row r="339" spans="24:49" ht="15.5" hidden="1" x14ac:dyDescent="0.35">
      <c r="X339" s="597"/>
      <c r="Y339" s="597"/>
      <c r="Z339" s="642"/>
      <c r="AA339" s="642"/>
      <c r="AB339" s="642"/>
      <c r="AC339" s="608" t="s">
        <v>163</v>
      </c>
      <c r="AD339" s="1022" t="s">
        <v>163</v>
      </c>
      <c r="AE339" s="1023" t="s">
        <v>164</v>
      </c>
      <c r="AF339" s="1023" t="s">
        <v>165</v>
      </c>
      <c r="AG339" s="1022" t="s">
        <v>61</v>
      </c>
      <c r="AH339" s="1019">
        <v>2</v>
      </c>
      <c r="AI339" s="1021"/>
      <c r="AJ339" s="617">
        <v>0</v>
      </c>
      <c r="AK339" s="621" t="s">
        <v>62</v>
      </c>
      <c r="AL339">
        <f t="shared" si="0"/>
        <v>0</v>
      </c>
      <c r="AM339" s="1017">
        <v>1</v>
      </c>
      <c r="AN339" s="1018"/>
      <c r="AO339" s="1018"/>
      <c r="AP339" s="1016"/>
      <c r="AQ339" s="628"/>
      <c r="AS339" s="627"/>
      <c r="AT339" s="1016"/>
      <c r="AU339" s="1016"/>
      <c r="AV339" s="1016"/>
      <c r="AW339" s="628"/>
    </row>
    <row r="340" spans="24:49" ht="15.5" hidden="1" x14ac:dyDescent="0.35">
      <c r="X340" s="597"/>
      <c r="Y340" s="597"/>
      <c r="Z340" s="642"/>
      <c r="AA340" s="642"/>
      <c r="AB340" s="642"/>
      <c r="AC340" s="611" t="s">
        <v>166</v>
      </c>
      <c r="AD340" s="1031" t="s">
        <v>166</v>
      </c>
      <c r="AE340" s="1020" t="s">
        <v>167</v>
      </c>
      <c r="AF340" s="1020" t="s">
        <v>168</v>
      </c>
      <c r="AG340" s="1019" t="s">
        <v>125</v>
      </c>
      <c r="AH340" s="1019">
        <v>1</v>
      </c>
      <c r="AI340" s="1022"/>
      <c r="AJ340" s="617">
        <v>0</v>
      </c>
      <c r="AK340" s="621" t="s">
        <v>102</v>
      </c>
      <c r="AL340">
        <f t="shared" si="0"/>
        <v>1</v>
      </c>
      <c r="AM340" s="1017">
        <v>1</v>
      </c>
      <c r="AN340" s="1018">
        <v>1</v>
      </c>
      <c r="AO340" s="1018"/>
      <c r="AP340" s="1016"/>
      <c r="AQ340" s="628"/>
      <c r="AS340" s="627" t="s">
        <v>169</v>
      </c>
      <c r="AT340" s="1016" t="s">
        <v>170</v>
      </c>
      <c r="AU340" s="1016" t="s">
        <v>171</v>
      </c>
      <c r="AV340" s="1016"/>
      <c r="AW340" s="628"/>
    </row>
    <row r="341" spans="24:49" ht="15.5" hidden="1" x14ac:dyDescent="0.35">
      <c r="X341" s="597"/>
      <c r="Y341" s="597"/>
      <c r="Z341" s="642"/>
      <c r="AA341" s="642"/>
      <c r="AB341" s="642"/>
      <c r="AC341" s="611" t="s">
        <v>172</v>
      </c>
      <c r="AD341" s="1031" t="s">
        <v>172</v>
      </c>
      <c r="AE341" s="1020" t="s">
        <v>173</v>
      </c>
      <c r="AF341" s="1020" t="s">
        <v>174</v>
      </c>
      <c r="AG341" s="1019" t="s">
        <v>125</v>
      </c>
      <c r="AH341" s="1019">
        <v>1</v>
      </c>
      <c r="AI341" s="1029"/>
      <c r="AJ341" s="617">
        <v>1</v>
      </c>
      <c r="AK341" s="621" t="s">
        <v>109</v>
      </c>
      <c r="AL341">
        <f t="shared" si="0"/>
        <v>1</v>
      </c>
      <c r="AM341" s="1017">
        <v>1</v>
      </c>
      <c r="AN341" s="1018">
        <v>1</v>
      </c>
      <c r="AO341" s="1018"/>
      <c r="AP341" s="1016"/>
      <c r="AQ341" s="628"/>
      <c r="AS341" s="627"/>
      <c r="AT341" s="1016"/>
      <c r="AU341" s="1016"/>
      <c r="AV341" s="1016"/>
      <c r="AW341" s="628"/>
    </row>
    <row r="342" spans="24:49" ht="15.5" hidden="1" x14ac:dyDescent="0.35">
      <c r="X342" s="597"/>
      <c r="Y342" s="597"/>
      <c r="Z342" s="642"/>
      <c r="AA342" s="642"/>
      <c r="AB342" s="642"/>
      <c r="AC342" s="607" t="s">
        <v>175</v>
      </c>
      <c r="AD342" s="1019" t="s">
        <v>175</v>
      </c>
      <c r="AE342" s="1020" t="s">
        <v>176</v>
      </c>
      <c r="AF342" s="1020" t="s">
        <v>177</v>
      </c>
      <c r="AG342" s="1019" t="s">
        <v>97</v>
      </c>
      <c r="AH342" s="1019">
        <v>1</v>
      </c>
      <c r="AI342" s="1024"/>
      <c r="AJ342" s="617">
        <v>0</v>
      </c>
      <c r="AK342" s="621" t="s">
        <v>102</v>
      </c>
      <c r="AL342">
        <f t="shared" si="0"/>
        <v>1</v>
      </c>
      <c r="AM342" s="1017">
        <v>1</v>
      </c>
      <c r="AN342" s="1018">
        <v>1</v>
      </c>
      <c r="AO342" s="1018"/>
      <c r="AP342" s="1016"/>
      <c r="AQ342" s="628"/>
      <c r="AS342" s="627"/>
      <c r="AT342" s="1016"/>
      <c r="AU342" s="1016"/>
      <c r="AV342" s="1016"/>
      <c r="AW342" s="628"/>
    </row>
    <row r="343" spans="24:49" ht="15.5" hidden="1" x14ac:dyDescent="0.35">
      <c r="X343" s="597"/>
      <c r="Y343" s="597"/>
      <c r="Z343" s="642"/>
      <c r="AA343" s="642"/>
      <c r="AB343" s="642"/>
      <c r="AC343" s="607" t="s">
        <v>178</v>
      </c>
      <c r="AD343" s="1019" t="s">
        <v>178</v>
      </c>
      <c r="AE343" s="1020" t="s">
        <v>179</v>
      </c>
      <c r="AF343" s="1020" t="s">
        <v>180</v>
      </c>
      <c r="AG343" s="1019" t="s">
        <v>61</v>
      </c>
      <c r="AH343" s="1019">
        <v>2</v>
      </c>
      <c r="AI343" s="1021"/>
      <c r="AJ343" s="617">
        <v>1</v>
      </c>
      <c r="AK343" s="621" t="s">
        <v>83</v>
      </c>
      <c r="AL343">
        <f t="shared" si="0"/>
        <v>0</v>
      </c>
      <c r="AM343" s="1017">
        <v>1</v>
      </c>
      <c r="AN343" s="1018"/>
      <c r="AO343" s="1018"/>
      <c r="AP343" s="1016"/>
      <c r="AQ343" s="628"/>
      <c r="AS343" s="627"/>
      <c r="AT343" s="1016"/>
      <c r="AU343" s="1016"/>
      <c r="AV343" s="1016"/>
      <c r="AW343" s="628"/>
    </row>
    <row r="344" spans="24:49" ht="15.5" hidden="1" x14ac:dyDescent="0.35">
      <c r="X344" s="597"/>
      <c r="Y344" s="597"/>
      <c r="Z344" s="642"/>
      <c r="AA344" s="642"/>
      <c r="AB344" s="642"/>
      <c r="AC344" s="607" t="s">
        <v>181</v>
      </c>
      <c r="AD344" s="1019" t="s">
        <v>181</v>
      </c>
      <c r="AE344" s="1020" t="s">
        <v>182</v>
      </c>
      <c r="AF344" s="1020" t="s">
        <v>183</v>
      </c>
      <c r="AG344" s="1019" t="s">
        <v>61</v>
      </c>
      <c r="AH344" s="1019">
        <v>2</v>
      </c>
      <c r="AI344" s="1021"/>
      <c r="AJ344" s="617">
        <v>0</v>
      </c>
      <c r="AK344" s="621" t="s">
        <v>62</v>
      </c>
      <c r="AL344">
        <f t="shared" si="0"/>
        <v>0</v>
      </c>
      <c r="AM344" s="1017">
        <v>1</v>
      </c>
      <c r="AN344" s="1018"/>
      <c r="AO344" s="1018"/>
      <c r="AP344" s="1016"/>
      <c r="AQ344" s="628"/>
      <c r="AS344" s="627"/>
      <c r="AT344" s="1016"/>
      <c r="AU344" s="1016"/>
      <c r="AV344" s="1016"/>
      <c r="AW344" s="628"/>
    </row>
    <row r="345" spans="24:49" ht="15.5" hidden="1" x14ac:dyDescent="0.35">
      <c r="X345" s="597"/>
      <c r="Y345" s="597"/>
      <c r="Z345" s="642"/>
      <c r="AA345" s="642"/>
      <c r="AB345" s="642"/>
      <c r="AC345" s="608" t="s">
        <v>184</v>
      </c>
      <c r="AD345" s="1022" t="s">
        <v>184</v>
      </c>
      <c r="AE345" s="1023" t="s">
        <v>185</v>
      </c>
      <c r="AF345" s="1023" t="s">
        <v>186</v>
      </c>
      <c r="AG345" s="1022" t="s">
        <v>101</v>
      </c>
      <c r="AH345" s="1022">
        <v>1</v>
      </c>
      <c r="AI345" s="1027"/>
      <c r="AJ345" s="617">
        <v>0</v>
      </c>
      <c r="AK345" s="621" t="s">
        <v>102</v>
      </c>
      <c r="AL345">
        <f t="shared" si="0"/>
        <v>1</v>
      </c>
      <c r="AM345" s="1017">
        <v>1</v>
      </c>
      <c r="AN345" s="1018">
        <v>1</v>
      </c>
      <c r="AO345" s="1018"/>
      <c r="AP345" s="1016"/>
      <c r="AQ345" s="628"/>
      <c r="AS345" s="627"/>
      <c r="AT345" s="1016"/>
      <c r="AU345" s="1016"/>
      <c r="AV345" s="1016"/>
      <c r="AW345" s="628"/>
    </row>
    <row r="346" spans="24:49" ht="15.5" hidden="1" x14ac:dyDescent="0.35">
      <c r="X346" s="597"/>
      <c r="Y346" s="597"/>
      <c r="Z346" s="642"/>
      <c r="AA346" s="642"/>
      <c r="AB346" s="642"/>
      <c r="AC346" s="607" t="s">
        <v>187</v>
      </c>
      <c r="AD346" s="1019" t="s">
        <v>187</v>
      </c>
      <c r="AE346" s="1020" t="s">
        <v>188</v>
      </c>
      <c r="AF346" s="1020" t="s">
        <v>189</v>
      </c>
      <c r="AG346" s="1019" t="s">
        <v>61</v>
      </c>
      <c r="AH346" s="1019">
        <v>2</v>
      </c>
      <c r="AI346" s="1024"/>
      <c r="AJ346" s="617">
        <v>1</v>
      </c>
      <c r="AK346" s="621" t="s">
        <v>83</v>
      </c>
      <c r="AL346">
        <f t="shared" si="0"/>
        <v>0</v>
      </c>
      <c r="AM346" s="1017">
        <v>1</v>
      </c>
      <c r="AN346" s="1018"/>
      <c r="AO346" s="1018"/>
      <c r="AP346" s="1016"/>
      <c r="AQ346" s="628"/>
      <c r="AS346" s="627"/>
      <c r="AT346" s="1016"/>
      <c r="AU346" s="1016"/>
      <c r="AV346" s="1016"/>
      <c r="AW346" s="628"/>
    </row>
    <row r="347" spans="24:49" ht="15.5" hidden="1" x14ac:dyDescent="0.35">
      <c r="X347" s="597"/>
      <c r="Y347" s="597"/>
      <c r="Z347" s="642"/>
      <c r="AA347" s="642"/>
      <c r="AB347" s="642"/>
      <c r="AC347" s="607" t="s">
        <v>190</v>
      </c>
      <c r="AD347" s="1019" t="s">
        <v>190</v>
      </c>
      <c r="AE347" s="1020" t="s">
        <v>191</v>
      </c>
      <c r="AF347" s="1020" t="s">
        <v>192</v>
      </c>
      <c r="AG347" s="1019" t="s">
        <v>125</v>
      </c>
      <c r="AH347" s="1019">
        <v>1</v>
      </c>
      <c r="AI347" s="1027"/>
      <c r="AJ347" s="617">
        <v>1</v>
      </c>
      <c r="AK347" s="621" t="s">
        <v>109</v>
      </c>
      <c r="AL347">
        <f t="shared" si="0"/>
        <v>1</v>
      </c>
      <c r="AM347" s="1017">
        <v>1</v>
      </c>
      <c r="AN347" s="1018">
        <v>1</v>
      </c>
      <c r="AO347" s="1018"/>
      <c r="AP347" s="1016"/>
      <c r="AQ347" s="628"/>
      <c r="AS347" s="627"/>
      <c r="AT347" s="1016"/>
      <c r="AU347" s="1016"/>
      <c r="AV347" s="1016"/>
      <c r="AW347" s="628"/>
    </row>
    <row r="348" spans="24:49" ht="15.5" hidden="1" x14ac:dyDescent="0.35">
      <c r="X348" s="597"/>
      <c r="Y348" s="597"/>
      <c r="Z348" s="642"/>
      <c r="AA348" s="642"/>
      <c r="AB348" s="642"/>
      <c r="AC348" s="607" t="s">
        <v>193</v>
      </c>
      <c r="AD348" s="1019" t="s">
        <v>193</v>
      </c>
      <c r="AE348" s="1020" t="s">
        <v>194</v>
      </c>
      <c r="AF348" s="1020" t="s">
        <v>195</v>
      </c>
      <c r="AG348" s="1019" t="s">
        <v>125</v>
      </c>
      <c r="AH348" s="1019">
        <v>1</v>
      </c>
      <c r="AI348" s="1029"/>
      <c r="AJ348" s="617">
        <v>0</v>
      </c>
      <c r="AK348" s="621" t="s">
        <v>102</v>
      </c>
      <c r="AL348">
        <f t="shared" si="0"/>
        <v>1</v>
      </c>
      <c r="AM348" s="1017">
        <v>1</v>
      </c>
      <c r="AN348" s="1018">
        <v>1</v>
      </c>
      <c r="AO348" s="1018"/>
      <c r="AP348" s="1016"/>
      <c r="AQ348" s="628"/>
      <c r="AS348" s="627"/>
      <c r="AT348" s="1016"/>
      <c r="AU348" s="1016"/>
      <c r="AV348" s="1016"/>
      <c r="AW348" s="628"/>
    </row>
    <row r="349" spans="24:49" ht="15.5" hidden="1" x14ac:dyDescent="0.35">
      <c r="X349" s="597"/>
      <c r="Y349" s="597"/>
      <c r="Z349" s="642"/>
      <c r="AA349" s="642"/>
      <c r="AB349" s="642"/>
      <c r="AC349" s="607" t="s">
        <v>196</v>
      </c>
      <c r="AD349" s="1019" t="s">
        <v>196</v>
      </c>
      <c r="AE349" s="1020" t="s">
        <v>197</v>
      </c>
      <c r="AF349" s="1020" t="s">
        <v>198</v>
      </c>
      <c r="AG349" s="1019" t="s">
        <v>61</v>
      </c>
      <c r="AH349" s="1019">
        <v>2</v>
      </c>
      <c r="AI349" s="1021"/>
      <c r="AJ349" s="617">
        <v>0</v>
      </c>
      <c r="AK349" s="621" t="s">
        <v>62</v>
      </c>
      <c r="AL349">
        <f t="shared" si="0"/>
        <v>0</v>
      </c>
      <c r="AM349" s="1017">
        <v>1</v>
      </c>
      <c r="AN349" s="1018">
        <v>1</v>
      </c>
      <c r="AO349" s="1018"/>
      <c r="AP349" s="1016"/>
      <c r="AQ349" s="628"/>
      <c r="AS349" s="627"/>
      <c r="AT349" s="1016"/>
      <c r="AU349" s="1016"/>
      <c r="AV349" s="1016"/>
      <c r="AW349" s="628"/>
    </row>
    <row r="350" spans="24:49" ht="15.5" hidden="1" x14ac:dyDescent="0.35">
      <c r="X350" s="597"/>
      <c r="Y350" s="597"/>
      <c r="Z350" s="642"/>
      <c r="AA350" s="642"/>
      <c r="AB350" s="642"/>
      <c r="AC350" s="607" t="s">
        <v>199</v>
      </c>
      <c r="AD350" s="1019" t="s">
        <v>199</v>
      </c>
      <c r="AE350" s="1020" t="s">
        <v>200</v>
      </c>
      <c r="AF350" s="1020" t="s">
        <v>201</v>
      </c>
      <c r="AG350" s="1019" t="s">
        <v>101</v>
      </c>
      <c r="AH350" s="1019">
        <v>1</v>
      </c>
      <c r="AI350" s="1021"/>
      <c r="AJ350" s="617">
        <v>0</v>
      </c>
      <c r="AK350" s="621" t="s">
        <v>102</v>
      </c>
      <c r="AL350">
        <f t="shared" si="0"/>
        <v>1</v>
      </c>
      <c r="AM350" s="1017">
        <v>1</v>
      </c>
      <c r="AN350" s="1018">
        <v>1</v>
      </c>
      <c r="AO350" s="1018"/>
      <c r="AP350" s="1016"/>
      <c r="AQ350" s="628"/>
      <c r="AS350" s="627"/>
      <c r="AT350" s="1016"/>
      <c r="AU350" s="1016"/>
      <c r="AV350" s="1016"/>
      <c r="AW350" s="628"/>
    </row>
    <row r="351" spans="24:49" ht="15.5" hidden="1" x14ac:dyDescent="0.35">
      <c r="X351" s="597"/>
      <c r="Y351" s="597"/>
      <c r="Z351" s="642"/>
      <c r="AA351" s="642"/>
      <c r="AB351" s="642"/>
      <c r="AC351" s="607" t="s">
        <v>202</v>
      </c>
      <c r="AD351" s="1019" t="s">
        <v>202</v>
      </c>
      <c r="AE351" s="1020" t="s">
        <v>203</v>
      </c>
      <c r="AF351" s="1020" t="s">
        <v>204</v>
      </c>
      <c r="AG351" s="1019" t="s">
        <v>61</v>
      </c>
      <c r="AH351" s="1019">
        <v>2</v>
      </c>
      <c r="AI351" s="1030"/>
      <c r="AJ351" s="617">
        <v>0</v>
      </c>
      <c r="AK351" s="621" t="s">
        <v>62</v>
      </c>
      <c r="AL351">
        <f t="shared" si="0"/>
        <v>0</v>
      </c>
      <c r="AM351" s="1017">
        <v>1</v>
      </c>
      <c r="AN351" s="1018"/>
      <c r="AO351" s="1018"/>
      <c r="AP351" s="1016"/>
      <c r="AQ351" s="628"/>
      <c r="AS351" s="627"/>
      <c r="AT351" s="1016"/>
      <c r="AU351" s="1016"/>
      <c r="AV351" s="1016"/>
      <c r="AW351" s="628"/>
    </row>
    <row r="352" spans="24:49" ht="15.5" hidden="1" x14ac:dyDescent="0.35">
      <c r="X352" s="597"/>
      <c r="Y352" s="597"/>
      <c r="Z352" s="642"/>
      <c r="AA352" s="642"/>
      <c r="AB352" s="642"/>
      <c r="AC352" s="607" t="s">
        <v>205</v>
      </c>
      <c r="AD352" s="1019" t="s">
        <v>205</v>
      </c>
      <c r="AE352" s="1020" t="s">
        <v>206</v>
      </c>
      <c r="AF352" s="1020" t="s">
        <v>207</v>
      </c>
      <c r="AG352" s="1019" t="s">
        <v>61</v>
      </c>
      <c r="AH352" s="1019">
        <v>2</v>
      </c>
      <c r="AI352" s="1021"/>
      <c r="AJ352" s="617">
        <v>0</v>
      </c>
      <c r="AK352" s="621" t="s">
        <v>62</v>
      </c>
      <c r="AL352">
        <f t="shared" si="0"/>
        <v>0</v>
      </c>
      <c r="AM352" s="1017">
        <v>1</v>
      </c>
      <c r="AN352" s="1018"/>
      <c r="AO352" s="1018"/>
      <c r="AP352" s="1016"/>
      <c r="AQ352" s="628"/>
      <c r="AS352" s="627"/>
      <c r="AT352" s="1016"/>
      <c r="AU352" s="1016"/>
      <c r="AV352" s="1016"/>
      <c r="AW352" s="628"/>
    </row>
    <row r="353" spans="24:49" ht="15.5" hidden="1" x14ac:dyDescent="0.35">
      <c r="X353" s="597"/>
      <c r="Y353" s="597"/>
      <c r="Z353" s="642"/>
      <c r="AA353" s="642"/>
      <c r="AB353" s="642"/>
      <c r="AC353" s="607" t="s">
        <v>208</v>
      </c>
      <c r="AD353" s="1019" t="s">
        <v>208</v>
      </c>
      <c r="AE353" s="1020" t="s">
        <v>209</v>
      </c>
      <c r="AF353" s="1020" t="s">
        <v>210</v>
      </c>
      <c r="AG353" s="1019" t="s">
        <v>61</v>
      </c>
      <c r="AH353" s="1019">
        <v>2</v>
      </c>
      <c r="AI353" s="1021"/>
      <c r="AJ353" s="617">
        <v>0</v>
      </c>
      <c r="AK353" s="621" t="s">
        <v>62</v>
      </c>
      <c r="AL353">
        <f t="shared" si="0"/>
        <v>0</v>
      </c>
      <c r="AM353" s="1017">
        <v>1</v>
      </c>
      <c r="AN353" s="1018"/>
      <c r="AO353" s="1018"/>
      <c r="AP353" s="1016"/>
      <c r="AQ353" s="628"/>
      <c r="AS353" s="627"/>
      <c r="AT353" s="1016"/>
      <c r="AU353" s="1016"/>
      <c r="AV353" s="1016"/>
      <c r="AW353" s="628"/>
    </row>
    <row r="354" spans="24:49" ht="15.5" hidden="1" x14ac:dyDescent="0.35">
      <c r="X354" s="597"/>
      <c r="Y354" s="597"/>
      <c r="AB354" s="728"/>
      <c r="AC354" s="607" t="s">
        <v>5482</v>
      </c>
      <c r="AD354" s="1019" t="s">
        <v>5482</v>
      </c>
      <c r="AE354" s="1020" t="s">
        <v>212</v>
      </c>
      <c r="AF354" s="1020" t="s">
        <v>213</v>
      </c>
      <c r="AG354" s="1019" t="s">
        <v>125</v>
      </c>
      <c r="AH354" s="1019">
        <v>1</v>
      </c>
      <c r="AI354" s="1021"/>
      <c r="AJ354" s="617">
        <v>0</v>
      </c>
      <c r="AK354" s="621" t="s">
        <v>102</v>
      </c>
      <c r="AL354">
        <f t="shared" si="0"/>
        <v>1</v>
      </c>
      <c r="AM354" s="1017">
        <v>1</v>
      </c>
      <c r="AN354" s="1018">
        <v>1</v>
      </c>
      <c r="AO354" s="1018"/>
      <c r="AP354" s="1016"/>
      <c r="AQ354" s="628"/>
      <c r="AS354" s="627"/>
      <c r="AT354" s="1016"/>
      <c r="AU354" s="1016"/>
      <c r="AV354" s="1016"/>
      <c r="AW354" s="628"/>
    </row>
    <row r="355" spans="24:49" ht="15.5" hidden="1" x14ac:dyDescent="0.35">
      <c r="X355" s="597"/>
      <c r="Y355" s="597"/>
      <c r="Z355" s="642"/>
      <c r="AA355" s="642"/>
      <c r="AB355" s="642"/>
      <c r="AC355" s="611" t="s">
        <v>6039</v>
      </c>
      <c r="AD355" s="1031" t="s">
        <v>6039</v>
      </c>
      <c r="AE355" s="1020" t="s">
        <v>215</v>
      </c>
      <c r="AF355" s="1020" t="s">
        <v>216</v>
      </c>
      <c r="AG355" s="1019" t="s">
        <v>63</v>
      </c>
      <c r="AH355" s="1019">
        <v>4</v>
      </c>
      <c r="AI355" s="1021"/>
      <c r="AJ355" s="617">
        <v>0</v>
      </c>
      <c r="AK355" s="621" t="s">
        <v>93</v>
      </c>
      <c r="AL355">
        <f t="shared" si="0"/>
        <v>0</v>
      </c>
      <c r="AM355" s="1017" t="s">
        <v>84</v>
      </c>
      <c r="AN355" s="1018"/>
      <c r="AO355" s="1018"/>
      <c r="AP355" s="1016"/>
      <c r="AQ355" s="628"/>
      <c r="AS355" s="627"/>
      <c r="AT355" s="1016"/>
      <c r="AU355" s="1016"/>
      <c r="AV355" s="1016"/>
      <c r="AW355" s="628"/>
    </row>
    <row r="356" spans="24:49" ht="15.5" hidden="1" x14ac:dyDescent="0.35">
      <c r="X356" s="597"/>
      <c r="Y356" s="597"/>
      <c r="Z356" s="642"/>
      <c r="AA356" s="642"/>
      <c r="AB356" s="642"/>
      <c r="AC356" s="609" t="s">
        <v>217</v>
      </c>
      <c r="AD356" s="1025" t="s">
        <v>217</v>
      </c>
      <c r="AE356" s="1025" t="s">
        <v>218</v>
      </c>
      <c r="AF356" s="1025" t="s">
        <v>219</v>
      </c>
      <c r="AG356" s="1019" t="s">
        <v>61</v>
      </c>
      <c r="AH356" s="1019">
        <v>2</v>
      </c>
      <c r="AI356" s="1021"/>
      <c r="AJ356" s="617">
        <v>0</v>
      </c>
      <c r="AK356" s="621" t="s">
        <v>62</v>
      </c>
      <c r="AL356">
        <f t="shared" si="0"/>
        <v>0</v>
      </c>
      <c r="AM356" s="1017">
        <v>1</v>
      </c>
      <c r="AN356" s="1018"/>
      <c r="AO356" s="1018"/>
      <c r="AP356" s="1016"/>
      <c r="AQ356" s="628"/>
      <c r="AS356" s="627"/>
      <c r="AT356" s="1016"/>
      <c r="AU356" s="1016"/>
      <c r="AV356" s="1016"/>
      <c r="AW356" s="628"/>
    </row>
    <row r="357" spans="24:49" ht="15.5" hidden="1" x14ac:dyDescent="0.35">
      <c r="X357" s="597"/>
      <c r="Y357" s="597"/>
      <c r="Z357" s="642"/>
      <c r="AA357" s="642"/>
      <c r="AB357" s="642"/>
      <c r="AC357" s="607" t="s">
        <v>220</v>
      </c>
      <c r="AD357" s="1019" t="s">
        <v>220</v>
      </c>
      <c r="AE357" s="1020" t="s">
        <v>221</v>
      </c>
      <c r="AF357" s="1020" t="s">
        <v>222</v>
      </c>
      <c r="AG357" s="1019" t="s">
        <v>97</v>
      </c>
      <c r="AH357" s="1019">
        <v>1</v>
      </c>
      <c r="AI357" s="1021"/>
      <c r="AJ357" s="617">
        <v>0</v>
      </c>
      <c r="AK357" s="621" t="s">
        <v>102</v>
      </c>
      <c r="AL357">
        <f t="shared" si="0"/>
        <v>1</v>
      </c>
      <c r="AM357" s="1017">
        <v>1</v>
      </c>
      <c r="AN357" s="1018"/>
      <c r="AO357" s="1018"/>
      <c r="AP357" s="1016"/>
      <c r="AQ357" s="628"/>
      <c r="AS357" s="627"/>
      <c r="AT357" s="1016"/>
      <c r="AU357" s="1016"/>
      <c r="AV357" s="1016"/>
      <c r="AW357" s="628"/>
    </row>
    <row r="358" spans="24:49" ht="15.5" hidden="1" x14ac:dyDescent="0.35">
      <c r="X358" s="597"/>
      <c r="Y358" s="597"/>
      <c r="Z358" s="642"/>
      <c r="AA358" s="642"/>
      <c r="AB358" s="642"/>
      <c r="AC358" s="608" t="s">
        <v>223</v>
      </c>
      <c r="AD358" s="1022" t="s">
        <v>223</v>
      </c>
      <c r="AE358" s="1023" t="s">
        <v>224</v>
      </c>
      <c r="AF358" s="1023" t="s">
        <v>225</v>
      </c>
      <c r="AG358" s="1022" t="s">
        <v>97</v>
      </c>
      <c r="AH358" s="1022">
        <v>1</v>
      </c>
      <c r="AI358" s="1032"/>
      <c r="AJ358" s="617">
        <v>0</v>
      </c>
      <c r="AK358" s="621" t="s">
        <v>102</v>
      </c>
      <c r="AL358">
        <f t="shared" si="0"/>
        <v>1</v>
      </c>
      <c r="AM358" s="1017">
        <v>1</v>
      </c>
      <c r="AN358" s="1018"/>
      <c r="AO358" s="1018"/>
      <c r="AP358" s="1016"/>
      <c r="AQ358" s="628"/>
      <c r="AS358" s="627"/>
      <c r="AT358" s="1016"/>
      <c r="AU358" s="1016"/>
      <c r="AV358" s="1016"/>
      <c r="AW358" s="628"/>
    </row>
    <row r="359" spans="24:49" ht="15.5" hidden="1" x14ac:dyDescent="0.35">
      <c r="X359" s="597"/>
      <c r="Y359" s="597"/>
      <c r="Z359" s="642"/>
      <c r="AA359" s="642"/>
      <c r="AB359" s="642"/>
      <c r="AC359" s="607" t="s">
        <v>226</v>
      </c>
      <c r="AD359" s="1019" t="s">
        <v>226</v>
      </c>
      <c r="AE359" s="1020" t="s">
        <v>227</v>
      </c>
      <c r="AF359" s="1020" t="s">
        <v>228</v>
      </c>
      <c r="AG359" s="1019" t="s">
        <v>61</v>
      </c>
      <c r="AH359" s="1019">
        <v>2</v>
      </c>
      <c r="AI359" s="1024"/>
      <c r="AJ359" s="617">
        <v>0</v>
      </c>
      <c r="AK359" s="621" t="s">
        <v>62</v>
      </c>
      <c r="AL359">
        <f t="shared" si="0"/>
        <v>0</v>
      </c>
      <c r="AM359" s="1017">
        <v>1</v>
      </c>
      <c r="AN359" s="1018"/>
      <c r="AO359" s="1018"/>
      <c r="AP359" s="1016"/>
      <c r="AQ359" s="628"/>
      <c r="AS359" s="627"/>
      <c r="AT359" s="1016"/>
      <c r="AU359" s="1016"/>
      <c r="AV359" s="1016"/>
      <c r="AW359" s="628"/>
    </row>
    <row r="360" spans="24:49" ht="15.5" hidden="1" x14ac:dyDescent="0.35">
      <c r="X360" s="597"/>
      <c r="Y360" s="597"/>
      <c r="Z360" s="642"/>
      <c r="AA360" s="642"/>
      <c r="AB360" s="642"/>
      <c r="AC360" s="607" t="s">
        <v>229</v>
      </c>
      <c r="AD360" s="1019" t="s">
        <v>229</v>
      </c>
      <c r="AE360" s="1020" t="s">
        <v>230</v>
      </c>
      <c r="AF360" s="1020" t="s">
        <v>231</v>
      </c>
      <c r="AG360" s="1019" t="s">
        <v>57</v>
      </c>
      <c r="AH360" s="1019">
        <v>1</v>
      </c>
      <c r="AI360" s="1024"/>
      <c r="AJ360" s="617">
        <v>0</v>
      </c>
      <c r="AK360" s="621" t="s">
        <v>102</v>
      </c>
      <c r="AL360">
        <f t="shared" si="0"/>
        <v>1</v>
      </c>
      <c r="AM360" s="1017" t="s">
        <v>84</v>
      </c>
      <c r="AN360" s="1018"/>
      <c r="AO360" s="1018"/>
      <c r="AP360" s="1016"/>
      <c r="AQ360" s="628"/>
      <c r="AS360" s="627"/>
      <c r="AT360" s="1016"/>
      <c r="AU360" s="1016"/>
      <c r="AV360" s="1016"/>
      <c r="AW360" s="628"/>
    </row>
    <row r="361" spans="24:49" ht="15.5" hidden="1" x14ac:dyDescent="0.35">
      <c r="X361" s="597"/>
      <c r="Y361" s="597"/>
      <c r="Z361" s="642"/>
      <c r="AA361" s="642"/>
      <c r="AB361" s="642"/>
      <c r="AC361" s="607" t="s">
        <v>232</v>
      </c>
      <c r="AD361" s="1019" t="s">
        <v>232</v>
      </c>
      <c r="AE361" s="1020" t="s">
        <v>233</v>
      </c>
      <c r="AF361" s="1020" t="s">
        <v>234</v>
      </c>
      <c r="AG361" s="1019" t="s">
        <v>114</v>
      </c>
      <c r="AH361" s="1019">
        <v>5</v>
      </c>
      <c r="AI361" s="1021"/>
      <c r="AJ361" s="617">
        <v>0</v>
      </c>
      <c r="AK361" s="621" t="s">
        <v>235</v>
      </c>
      <c r="AL361">
        <f t="shared" si="0"/>
        <v>0</v>
      </c>
      <c r="AM361" s="1017" t="s">
        <v>84</v>
      </c>
      <c r="AN361" s="1018"/>
      <c r="AO361" s="1018"/>
      <c r="AP361" s="1016"/>
      <c r="AQ361" s="628"/>
      <c r="AR361" s="52"/>
      <c r="AS361" s="627"/>
      <c r="AT361" s="1016"/>
      <c r="AU361" s="1016"/>
      <c r="AV361" s="1016"/>
      <c r="AW361" s="628"/>
    </row>
    <row r="362" spans="24:49" ht="15.5" hidden="1" x14ac:dyDescent="0.35">
      <c r="X362" s="597"/>
      <c r="Y362" s="597"/>
      <c r="Z362" s="642"/>
      <c r="AA362" s="642"/>
      <c r="AB362" s="642"/>
      <c r="AC362" s="611" t="s">
        <v>6040</v>
      </c>
      <c r="AD362" s="1031" t="s">
        <v>6040</v>
      </c>
      <c r="AE362" s="1020" t="s">
        <v>237</v>
      </c>
      <c r="AF362" s="1020" t="s">
        <v>238</v>
      </c>
      <c r="AG362" s="1019" t="s">
        <v>63</v>
      </c>
      <c r="AH362" s="1019">
        <v>4</v>
      </c>
      <c r="AI362" s="1024"/>
      <c r="AJ362" s="617">
        <v>1</v>
      </c>
      <c r="AK362" s="621" t="s">
        <v>88</v>
      </c>
      <c r="AL362">
        <f t="shared" si="0"/>
        <v>0</v>
      </c>
      <c r="AM362" s="1017" t="s">
        <v>84</v>
      </c>
      <c r="AN362" s="1018"/>
      <c r="AO362" s="1018"/>
      <c r="AP362" s="1016"/>
      <c r="AQ362" s="628"/>
      <c r="AS362" s="627"/>
      <c r="AT362" s="1016"/>
      <c r="AU362" s="1016"/>
      <c r="AV362" s="1016"/>
      <c r="AW362" s="628"/>
    </row>
    <row r="363" spans="24:49" ht="15.5" hidden="1" x14ac:dyDescent="0.35">
      <c r="X363" s="597"/>
      <c r="Y363" s="597"/>
      <c r="Z363" s="642"/>
      <c r="AA363" s="642"/>
      <c r="AB363" s="642"/>
      <c r="AC363" s="609" t="s">
        <v>239</v>
      </c>
      <c r="AD363" s="1025" t="s">
        <v>239</v>
      </c>
      <c r="AE363" s="1025" t="s">
        <v>240</v>
      </c>
      <c r="AF363" s="1025" t="s">
        <v>241</v>
      </c>
      <c r="AG363" s="1019" t="s">
        <v>71</v>
      </c>
      <c r="AH363" s="1019">
        <v>4</v>
      </c>
      <c r="AI363" s="1024"/>
      <c r="AJ363" s="617">
        <v>1</v>
      </c>
      <c r="AK363" s="621" t="s">
        <v>88</v>
      </c>
      <c r="AL363">
        <f t="shared" si="0"/>
        <v>0</v>
      </c>
      <c r="AM363" s="1017" t="s">
        <v>84</v>
      </c>
      <c r="AN363" s="1018"/>
      <c r="AO363" s="1018"/>
      <c r="AP363" s="1016"/>
      <c r="AQ363" s="628"/>
      <c r="AS363" s="627"/>
      <c r="AT363" s="1016"/>
      <c r="AU363" s="1016"/>
      <c r="AV363" s="1016"/>
      <c r="AW363" s="628"/>
    </row>
    <row r="364" spans="24:49" ht="15.5" hidden="1" x14ac:dyDescent="0.35">
      <c r="X364" s="597"/>
      <c r="Y364" s="597"/>
      <c r="Z364" s="642"/>
      <c r="AA364" s="642"/>
      <c r="AB364" s="642"/>
      <c r="AC364" s="609" t="s">
        <v>242</v>
      </c>
      <c r="AD364" s="1025" t="s">
        <v>242</v>
      </c>
      <c r="AE364" s="1025" t="s">
        <v>243</v>
      </c>
      <c r="AF364" s="1025" t="s">
        <v>244</v>
      </c>
      <c r="AG364" s="1025" t="s">
        <v>89</v>
      </c>
      <c r="AH364" s="1022">
        <v>1</v>
      </c>
      <c r="AI364" s="1021"/>
      <c r="AJ364" s="617">
        <v>0</v>
      </c>
      <c r="AK364" s="621" t="s">
        <v>102</v>
      </c>
      <c r="AL364">
        <f t="shared" si="0"/>
        <v>1</v>
      </c>
      <c r="AM364" s="1017">
        <v>1</v>
      </c>
      <c r="AN364" s="1018">
        <v>1</v>
      </c>
      <c r="AO364" s="1018"/>
      <c r="AP364" s="1033"/>
      <c r="AQ364" s="636"/>
      <c r="AS364" s="635"/>
      <c r="AT364" s="1033"/>
      <c r="AU364" s="1033"/>
      <c r="AV364" s="1033"/>
      <c r="AW364" s="636"/>
    </row>
    <row r="365" spans="24:49" ht="15.5" hidden="1" x14ac:dyDescent="0.35">
      <c r="X365" s="597"/>
      <c r="Y365" s="597"/>
      <c r="Z365" s="642"/>
      <c r="AA365" s="642"/>
      <c r="AB365" s="642"/>
      <c r="AC365" s="607" t="s">
        <v>245</v>
      </c>
      <c r="AD365" s="1019" t="s">
        <v>245</v>
      </c>
      <c r="AE365" s="1020" t="s">
        <v>246</v>
      </c>
      <c r="AF365" s="1020" t="s">
        <v>247</v>
      </c>
      <c r="AG365" s="1019" t="s">
        <v>61</v>
      </c>
      <c r="AH365" s="1019">
        <v>2</v>
      </c>
      <c r="AI365" s="1024"/>
      <c r="AJ365" s="617">
        <v>0</v>
      </c>
      <c r="AK365" s="621" t="s">
        <v>62</v>
      </c>
      <c r="AL365">
        <f t="shared" si="0"/>
        <v>0</v>
      </c>
      <c r="AM365" s="1017">
        <v>1</v>
      </c>
      <c r="AN365" s="1018">
        <v>1</v>
      </c>
      <c r="AO365" s="1018"/>
      <c r="AP365" s="1016"/>
      <c r="AQ365" s="628"/>
      <c r="AS365" s="627"/>
      <c r="AT365" s="1016"/>
      <c r="AU365" s="1016"/>
      <c r="AV365" s="1016"/>
      <c r="AW365" s="628"/>
    </row>
    <row r="366" spans="24:49" ht="15.5" hidden="1" x14ac:dyDescent="0.35">
      <c r="X366" s="597"/>
      <c r="Y366" s="597"/>
      <c r="Z366" s="642"/>
      <c r="AA366" s="642"/>
      <c r="AB366" s="642"/>
      <c r="AC366" s="607" t="s">
        <v>248</v>
      </c>
      <c r="AD366" s="1019" t="s">
        <v>248</v>
      </c>
      <c r="AE366" s="1020" t="s">
        <v>249</v>
      </c>
      <c r="AF366" s="1020" t="s">
        <v>250</v>
      </c>
      <c r="AG366" s="1019" t="s">
        <v>61</v>
      </c>
      <c r="AH366" s="1019">
        <v>2</v>
      </c>
      <c r="AI366" s="1024"/>
      <c r="AJ366" s="617">
        <v>0</v>
      </c>
      <c r="AK366" s="621" t="s">
        <v>62</v>
      </c>
      <c r="AL366">
        <f t="shared" si="0"/>
        <v>0</v>
      </c>
      <c r="AM366" s="1017">
        <v>1</v>
      </c>
      <c r="AN366" s="1018">
        <v>1</v>
      </c>
      <c r="AO366" s="1018"/>
      <c r="AP366" s="1016"/>
      <c r="AQ366" s="628"/>
      <c r="AS366" s="627"/>
      <c r="AT366" s="1016"/>
      <c r="AU366" s="1016"/>
      <c r="AV366" s="1016"/>
      <c r="AW366" s="628"/>
    </row>
    <row r="367" spans="24:49" ht="15.5" hidden="1" x14ac:dyDescent="0.35">
      <c r="X367" s="597"/>
      <c r="Y367" s="597"/>
      <c r="Z367" s="642"/>
      <c r="AA367" s="642"/>
      <c r="AB367" s="642"/>
      <c r="AC367" s="607" t="s">
        <v>251</v>
      </c>
      <c r="AD367" s="1019" t="s">
        <v>251</v>
      </c>
      <c r="AE367" s="1020" t="s">
        <v>252</v>
      </c>
      <c r="AF367" s="1020" t="s">
        <v>253</v>
      </c>
      <c r="AG367" s="1019" t="s">
        <v>61</v>
      </c>
      <c r="AH367" s="1019">
        <v>2</v>
      </c>
      <c r="AI367" s="1032"/>
      <c r="AJ367" s="617">
        <v>0</v>
      </c>
      <c r="AK367" s="621" t="s">
        <v>62</v>
      </c>
      <c r="AL367">
        <f t="shared" si="0"/>
        <v>0</v>
      </c>
      <c r="AM367" s="1017">
        <v>1</v>
      </c>
      <c r="AN367" s="1018"/>
      <c r="AO367" s="1018"/>
      <c r="AP367" s="1016"/>
      <c r="AQ367" s="628"/>
      <c r="AS367" s="627"/>
      <c r="AT367" s="1016"/>
      <c r="AU367" s="1016"/>
      <c r="AV367" s="1016"/>
      <c r="AW367" s="628"/>
    </row>
    <row r="368" spans="24:49" ht="15.5" hidden="1" x14ac:dyDescent="0.35">
      <c r="X368" s="597"/>
      <c r="Y368" s="597"/>
      <c r="Z368" s="642"/>
      <c r="AA368" s="642"/>
      <c r="AB368" s="642"/>
      <c r="AC368" s="607" t="s">
        <v>254</v>
      </c>
      <c r="AD368" s="1019" t="s">
        <v>254</v>
      </c>
      <c r="AE368" s="1020" t="s">
        <v>255</v>
      </c>
      <c r="AF368" s="1020" t="s">
        <v>256</v>
      </c>
      <c r="AG368" s="1019" t="s">
        <v>61</v>
      </c>
      <c r="AH368" s="1019">
        <v>2</v>
      </c>
      <c r="AI368" s="1021"/>
      <c r="AJ368" s="617">
        <v>1</v>
      </c>
      <c r="AK368" s="621" t="s">
        <v>83</v>
      </c>
      <c r="AL368">
        <f t="shared" si="0"/>
        <v>0</v>
      </c>
      <c r="AM368" s="1017">
        <v>1</v>
      </c>
      <c r="AN368" s="1018"/>
      <c r="AO368" s="1018"/>
      <c r="AP368" s="1016"/>
      <c r="AQ368" s="628"/>
      <c r="AS368" s="627"/>
      <c r="AT368" s="1016"/>
      <c r="AU368" s="1016"/>
      <c r="AV368" s="1016"/>
      <c r="AW368" s="628"/>
    </row>
    <row r="369" spans="24:49" ht="15.5" hidden="1" x14ac:dyDescent="0.35">
      <c r="X369" s="597"/>
      <c r="Y369" s="597"/>
      <c r="Z369" s="642"/>
      <c r="AA369" s="642"/>
      <c r="AB369" s="642"/>
      <c r="AC369" s="607" t="s">
        <v>257</v>
      </c>
      <c r="AD369" s="1019" t="s">
        <v>257</v>
      </c>
      <c r="AE369" s="1020" t="s">
        <v>258</v>
      </c>
      <c r="AF369" s="1020" t="s">
        <v>259</v>
      </c>
      <c r="AG369" s="1019" t="s">
        <v>125</v>
      </c>
      <c r="AH369" s="1019">
        <v>1</v>
      </c>
      <c r="AI369" s="1021"/>
      <c r="AJ369" s="617">
        <v>0</v>
      </c>
      <c r="AK369" s="621" t="s">
        <v>102</v>
      </c>
      <c r="AL369">
        <f t="shared" si="0"/>
        <v>1</v>
      </c>
      <c r="AM369" s="1017">
        <v>1</v>
      </c>
      <c r="AN369" s="1018"/>
      <c r="AO369" s="1018"/>
      <c r="AP369" s="1016"/>
      <c r="AQ369" s="628"/>
      <c r="AS369" s="627"/>
      <c r="AT369" s="1016"/>
      <c r="AU369" s="1016"/>
      <c r="AV369" s="1016"/>
      <c r="AW369" s="628"/>
    </row>
    <row r="370" spans="24:49" ht="15.5" hidden="1" x14ac:dyDescent="0.35">
      <c r="X370" s="597"/>
      <c r="Y370" s="597"/>
      <c r="Z370" s="642"/>
      <c r="AA370" s="642"/>
      <c r="AB370" s="642"/>
      <c r="AC370" s="609" t="s">
        <v>260</v>
      </c>
      <c r="AD370" s="1025" t="s">
        <v>260</v>
      </c>
      <c r="AE370" s="1025" t="s">
        <v>261</v>
      </c>
      <c r="AF370" s="1025" t="s">
        <v>262</v>
      </c>
      <c r="AG370" s="1019" t="s">
        <v>61</v>
      </c>
      <c r="AH370" s="1019">
        <v>2</v>
      </c>
      <c r="AI370" s="1029"/>
      <c r="AJ370" s="617">
        <v>0</v>
      </c>
      <c r="AK370" s="621" t="s">
        <v>62</v>
      </c>
      <c r="AL370">
        <f t="shared" si="0"/>
        <v>0</v>
      </c>
      <c r="AM370" s="1017">
        <v>1</v>
      </c>
      <c r="AN370" s="1018"/>
      <c r="AO370" s="1018"/>
      <c r="AP370" s="1016"/>
      <c r="AQ370" s="628"/>
      <c r="AS370" s="627"/>
      <c r="AT370" s="1016"/>
      <c r="AU370" s="1016"/>
      <c r="AV370" s="1016"/>
      <c r="AW370" s="628"/>
    </row>
    <row r="371" spans="24:49" ht="15.5" hidden="1" x14ac:dyDescent="0.35">
      <c r="X371" s="597"/>
      <c r="Y371" s="597"/>
      <c r="Z371" s="642"/>
      <c r="AA371" s="642"/>
      <c r="AB371" s="642"/>
      <c r="AC371" s="607" t="s">
        <v>263</v>
      </c>
      <c r="AD371" s="1019" t="s">
        <v>263</v>
      </c>
      <c r="AE371" s="1020" t="s">
        <v>264</v>
      </c>
      <c r="AF371" s="1020" t="s">
        <v>265</v>
      </c>
      <c r="AG371" s="1019" t="s">
        <v>61</v>
      </c>
      <c r="AH371" s="1019">
        <v>2</v>
      </c>
      <c r="AI371" s="1021"/>
      <c r="AJ371" s="617">
        <v>0</v>
      </c>
      <c r="AK371" s="621" t="s">
        <v>62</v>
      </c>
      <c r="AL371">
        <f t="shared" si="0"/>
        <v>0</v>
      </c>
      <c r="AM371" s="1017">
        <v>1</v>
      </c>
      <c r="AN371" s="1018">
        <v>1</v>
      </c>
      <c r="AO371" s="1018"/>
      <c r="AP371" s="1016"/>
      <c r="AQ371" s="628"/>
      <c r="AS371" s="627"/>
      <c r="AT371" s="1016"/>
      <c r="AU371" s="1016"/>
      <c r="AV371" s="1016"/>
      <c r="AW371" s="628"/>
    </row>
    <row r="372" spans="24:49" ht="15.5" hidden="1" x14ac:dyDescent="0.35">
      <c r="X372" s="597"/>
      <c r="Y372" s="597"/>
      <c r="Z372" s="642"/>
      <c r="AA372" s="642"/>
      <c r="AB372" s="642"/>
      <c r="AC372" s="607" t="s">
        <v>266</v>
      </c>
      <c r="AD372" s="1019" t="s">
        <v>266</v>
      </c>
      <c r="AE372" s="1020" t="s">
        <v>267</v>
      </c>
      <c r="AF372" s="1020" t="s">
        <v>268</v>
      </c>
      <c r="AG372" s="1019" t="s">
        <v>61</v>
      </c>
      <c r="AH372" s="1019">
        <v>2</v>
      </c>
      <c r="AI372" s="1021"/>
      <c r="AJ372" s="617">
        <v>0</v>
      </c>
      <c r="AK372" s="621" t="s">
        <v>62</v>
      </c>
      <c r="AL372">
        <f t="shared" si="0"/>
        <v>0</v>
      </c>
      <c r="AM372" s="1017">
        <v>1</v>
      </c>
      <c r="AN372" s="1018">
        <v>1</v>
      </c>
      <c r="AO372" s="1018"/>
      <c r="AP372" s="1016"/>
      <c r="AQ372" s="628"/>
      <c r="AS372" s="627"/>
      <c r="AT372" s="1016"/>
      <c r="AU372" s="1016"/>
      <c r="AV372" s="1016"/>
      <c r="AW372" s="628"/>
    </row>
    <row r="373" spans="24:49" ht="15.5" hidden="1" x14ac:dyDescent="0.35">
      <c r="X373" s="597"/>
      <c r="Y373" s="597"/>
      <c r="Z373" s="642"/>
      <c r="AA373" s="642"/>
      <c r="AB373" s="642"/>
      <c r="AC373" s="607" t="s">
        <v>269</v>
      </c>
      <c r="AD373" s="1019" t="s">
        <v>269</v>
      </c>
      <c r="AE373" s="1020" t="s">
        <v>270</v>
      </c>
      <c r="AF373" s="1020" t="s">
        <v>271</v>
      </c>
      <c r="AG373" s="1019" t="s">
        <v>61</v>
      </c>
      <c r="AH373" s="1019">
        <v>2</v>
      </c>
      <c r="AI373" s="1021"/>
      <c r="AJ373" s="617">
        <v>0</v>
      </c>
      <c r="AK373" s="621" t="s">
        <v>62</v>
      </c>
      <c r="AL373">
        <f t="shared" si="0"/>
        <v>0</v>
      </c>
      <c r="AM373" s="1017">
        <v>1</v>
      </c>
      <c r="AN373" s="1018"/>
      <c r="AO373" s="1018"/>
      <c r="AP373" s="1016"/>
      <c r="AQ373" s="628"/>
      <c r="AS373" s="627"/>
      <c r="AT373" s="1016"/>
      <c r="AU373" s="1016"/>
      <c r="AV373" s="1016"/>
      <c r="AW373" s="628"/>
    </row>
    <row r="374" spans="24:49" ht="15.5" hidden="1" x14ac:dyDescent="0.35">
      <c r="X374" s="597"/>
      <c r="Y374" s="597"/>
      <c r="Z374" s="642"/>
      <c r="AA374" s="642"/>
      <c r="AB374" s="642"/>
      <c r="AC374" s="608" t="s">
        <v>6041</v>
      </c>
      <c r="AD374" s="1022" t="s">
        <v>6041</v>
      </c>
      <c r="AE374" s="1023" t="s">
        <v>273</v>
      </c>
      <c r="AF374" s="1023" t="s">
        <v>274</v>
      </c>
      <c r="AG374" s="1022" t="s">
        <v>63</v>
      </c>
      <c r="AH374" s="1019">
        <v>4</v>
      </c>
      <c r="AI374" s="1024"/>
      <c r="AJ374" s="617">
        <v>0</v>
      </c>
      <c r="AK374" s="621" t="s">
        <v>93</v>
      </c>
      <c r="AL374">
        <f t="shared" si="0"/>
        <v>0</v>
      </c>
      <c r="AM374" s="1017" t="s">
        <v>84</v>
      </c>
      <c r="AN374" s="1018"/>
      <c r="AO374" s="1018"/>
      <c r="AP374" s="1016"/>
      <c r="AQ374" s="628"/>
      <c r="AS374" s="627"/>
      <c r="AT374" s="1016"/>
      <c r="AU374" s="1016"/>
      <c r="AV374" s="1016"/>
      <c r="AW374" s="628"/>
    </row>
    <row r="375" spans="24:49" ht="15.5" hidden="1" x14ac:dyDescent="0.35">
      <c r="X375" s="597"/>
      <c r="Y375" s="597"/>
      <c r="Z375" s="642"/>
      <c r="AA375" s="642"/>
      <c r="AB375" s="642"/>
      <c r="AC375" s="609" t="s">
        <v>275</v>
      </c>
      <c r="AD375" s="1025" t="s">
        <v>275</v>
      </c>
      <c r="AE375" s="1025" t="s">
        <v>276</v>
      </c>
      <c r="AF375" s="1025" t="s">
        <v>277</v>
      </c>
      <c r="AG375" s="1019" t="s">
        <v>125</v>
      </c>
      <c r="AH375" s="1019">
        <v>1</v>
      </c>
      <c r="AI375" s="1021"/>
      <c r="AJ375" s="617">
        <v>1</v>
      </c>
      <c r="AK375" s="621" t="s">
        <v>109</v>
      </c>
      <c r="AL375">
        <f t="shared" ref="AL375:AL438" si="1">IF(AG375="UA",1,IF(AG375="MD",1,IF(AG375="OLB",1,IF(AG375="ILB",1,IF(AG375="CC",1,IF(AG375="SCILLY",1,0))))))</f>
        <v>1</v>
      </c>
      <c r="AM375" s="1017">
        <v>1</v>
      </c>
      <c r="AN375" s="1018">
        <v>1</v>
      </c>
      <c r="AO375" s="1018"/>
      <c r="AP375" s="1016"/>
      <c r="AQ375" s="628"/>
      <c r="AS375" s="627"/>
      <c r="AT375" s="1016"/>
      <c r="AU375" s="1016"/>
      <c r="AV375" s="1016"/>
      <c r="AW375" s="628"/>
    </row>
    <row r="376" spans="24:49" ht="15.5" hidden="1" x14ac:dyDescent="0.35">
      <c r="X376" s="597"/>
      <c r="Y376" s="597"/>
      <c r="Z376" s="642"/>
      <c r="AA376" s="642"/>
      <c r="AB376" s="642"/>
      <c r="AC376" s="609" t="s">
        <v>278</v>
      </c>
      <c r="AD376" s="1025" t="s">
        <v>278</v>
      </c>
      <c r="AE376" s="1025" t="s">
        <v>279</v>
      </c>
      <c r="AF376" s="1025" t="s">
        <v>280</v>
      </c>
      <c r="AG376" s="1019" t="s">
        <v>71</v>
      </c>
      <c r="AH376" s="1019">
        <v>4</v>
      </c>
      <c r="AI376" s="1029"/>
      <c r="AJ376" s="617">
        <v>0</v>
      </c>
      <c r="AK376" s="621" t="s">
        <v>93</v>
      </c>
      <c r="AL376">
        <f t="shared" si="1"/>
        <v>0</v>
      </c>
      <c r="AM376" s="1017" t="s">
        <v>84</v>
      </c>
      <c r="AN376" s="1018"/>
      <c r="AO376" s="1018"/>
      <c r="AP376" s="1016"/>
      <c r="AQ376" s="628"/>
      <c r="AS376" s="627"/>
      <c r="AT376" s="1016"/>
      <c r="AU376" s="1016"/>
      <c r="AV376" s="1016"/>
      <c r="AW376" s="628"/>
    </row>
    <row r="377" spans="24:49" ht="15.5" hidden="1" x14ac:dyDescent="0.35">
      <c r="X377" s="597"/>
      <c r="Y377" s="597"/>
      <c r="Z377" s="642"/>
      <c r="AA377" s="642"/>
      <c r="AB377" s="642"/>
      <c r="AC377" s="609" t="s">
        <v>281</v>
      </c>
      <c r="AD377" s="1025" t="s">
        <v>281</v>
      </c>
      <c r="AE377" s="1025" t="s">
        <v>282</v>
      </c>
      <c r="AF377" s="1025" t="s">
        <v>283</v>
      </c>
      <c r="AG377" s="1025" t="s">
        <v>125</v>
      </c>
      <c r="AH377" s="1019">
        <v>1</v>
      </c>
      <c r="AI377" s="1021"/>
      <c r="AJ377" s="617">
        <v>0</v>
      </c>
      <c r="AK377" s="621" t="s">
        <v>102</v>
      </c>
      <c r="AL377">
        <f t="shared" si="1"/>
        <v>1</v>
      </c>
      <c r="AM377" s="1017">
        <v>1</v>
      </c>
      <c r="AN377" s="1018">
        <v>1</v>
      </c>
      <c r="AO377" s="1018"/>
      <c r="AP377" s="1026"/>
      <c r="AQ377" s="633"/>
      <c r="AS377" s="634"/>
      <c r="AT377" s="1026"/>
      <c r="AU377" s="1026"/>
      <c r="AV377" s="1026"/>
      <c r="AW377" s="633"/>
    </row>
    <row r="378" spans="24:49" ht="15.5" hidden="1" x14ac:dyDescent="0.35">
      <c r="X378" s="597"/>
      <c r="Y378" s="597"/>
      <c r="Z378" s="642"/>
      <c r="AA378" s="642"/>
      <c r="AB378" s="642"/>
      <c r="AC378" s="609" t="s">
        <v>284</v>
      </c>
      <c r="AD378" s="1025" t="s">
        <v>284</v>
      </c>
      <c r="AE378" s="1025" t="s">
        <v>285</v>
      </c>
      <c r="AF378" s="1025" t="s">
        <v>286</v>
      </c>
      <c r="AG378" s="1019" t="s">
        <v>61</v>
      </c>
      <c r="AH378" s="1019">
        <v>2</v>
      </c>
      <c r="AI378" s="1029"/>
      <c r="AJ378" s="617">
        <v>0</v>
      </c>
      <c r="AK378" s="621" t="s">
        <v>62</v>
      </c>
      <c r="AL378">
        <f t="shared" si="1"/>
        <v>0</v>
      </c>
      <c r="AM378" s="1017">
        <v>1</v>
      </c>
      <c r="AN378" s="1018">
        <v>1</v>
      </c>
      <c r="AO378" s="1018"/>
      <c r="AP378" s="1016"/>
      <c r="AQ378" s="628"/>
      <c r="AS378" s="627"/>
      <c r="AT378" s="1016"/>
      <c r="AU378" s="1016"/>
      <c r="AV378" s="1016"/>
      <c r="AW378" s="628"/>
    </row>
    <row r="379" spans="24:49" ht="15.5" hidden="1" x14ac:dyDescent="0.35">
      <c r="X379" s="597"/>
      <c r="Y379" s="597"/>
      <c r="Z379" s="642"/>
      <c r="AA379" s="642"/>
      <c r="AB379" s="642"/>
      <c r="AC379" s="607" t="s">
        <v>287</v>
      </c>
      <c r="AD379" s="1019" t="s">
        <v>287</v>
      </c>
      <c r="AE379" s="1020" t="s">
        <v>288</v>
      </c>
      <c r="AF379" s="1020" t="s">
        <v>289</v>
      </c>
      <c r="AG379" s="1022" t="s">
        <v>61</v>
      </c>
      <c r="AH379" s="1019">
        <v>2</v>
      </c>
      <c r="AI379" s="1021"/>
      <c r="AJ379" s="617">
        <v>0</v>
      </c>
      <c r="AK379" s="621" t="s">
        <v>62</v>
      </c>
      <c r="AL379">
        <f t="shared" si="1"/>
        <v>0</v>
      </c>
      <c r="AM379" s="1017">
        <v>1</v>
      </c>
      <c r="AN379" s="1018">
        <v>1</v>
      </c>
      <c r="AO379" s="1018"/>
      <c r="AP379" s="1016"/>
      <c r="AQ379" s="628"/>
      <c r="AS379" s="627"/>
      <c r="AT379" s="1016"/>
      <c r="AU379" s="1016"/>
      <c r="AV379" s="1016"/>
      <c r="AW379" s="628"/>
    </row>
    <row r="380" spans="24:49" ht="15.5" hidden="1" x14ac:dyDescent="0.35">
      <c r="X380" s="597"/>
      <c r="Y380" s="597"/>
      <c r="Z380" s="642"/>
      <c r="AA380" s="642"/>
      <c r="AB380" s="642"/>
      <c r="AC380" s="607" t="s">
        <v>290</v>
      </c>
      <c r="AD380" s="1019" t="s">
        <v>290</v>
      </c>
      <c r="AE380" s="1020" t="s">
        <v>291</v>
      </c>
      <c r="AF380" s="1020" t="s">
        <v>292</v>
      </c>
      <c r="AG380" s="1019" t="s">
        <v>61</v>
      </c>
      <c r="AH380" s="1019">
        <v>2</v>
      </c>
      <c r="AI380" s="1021"/>
      <c r="AJ380" s="617">
        <v>1</v>
      </c>
      <c r="AK380" s="621" t="s">
        <v>83</v>
      </c>
      <c r="AL380">
        <f t="shared" si="1"/>
        <v>0</v>
      </c>
      <c r="AM380" s="1017">
        <v>1</v>
      </c>
      <c r="AN380" s="1018">
        <v>1</v>
      </c>
      <c r="AO380" s="1018"/>
      <c r="AP380" s="1016"/>
      <c r="AQ380" s="628"/>
      <c r="AS380" s="627"/>
      <c r="AT380" s="1016"/>
      <c r="AU380" s="1016"/>
      <c r="AV380" s="1016"/>
      <c r="AW380" s="628"/>
    </row>
    <row r="381" spans="24:49" ht="15.5" hidden="1" x14ac:dyDescent="0.35">
      <c r="X381" s="597"/>
      <c r="Y381" s="597"/>
      <c r="Z381" s="642"/>
      <c r="AA381" s="642"/>
      <c r="AB381" s="642"/>
      <c r="AC381" s="608" t="s">
        <v>293</v>
      </c>
      <c r="AD381" s="1022" t="s">
        <v>293</v>
      </c>
      <c r="AE381" s="1023" t="s">
        <v>294</v>
      </c>
      <c r="AF381" s="1023" t="s">
        <v>295</v>
      </c>
      <c r="AG381" s="1022" t="s">
        <v>67</v>
      </c>
      <c r="AH381" s="1019">
        <v>1</v>
      </c>
      <c r="AI381" s="1021"/>
      <c r="AJ381" s="617">
        <v>0</v>
      </c>
      <c r="AK381" s="621" t="s">
        <v>102</v>
      </c>
      <c r="AL381">
        <f t="shared" si="1"/>
        <v>0</v>
      </c>
      <c r="AM381" s="1017">
        <v>1</v>
      </c>
      <c r="AN381" s="1018">
        <v>1</v>
      </c>
      <c r="AO381" s="1018"/>
      <c r="AP381" s="1016"/>
      <c r="AQ381" s="628"/>
      <c r="AS381" s="627"/>
      <c r="AT381" s="1016"/>
      <c r="AU381" s="1016"/>
      <c r="AV381" s="1016"/>
      <c r="AW381" s="628"/>
    </row>
    <row r="382" spans="24:49" ht="15.5" hidden="1" x14ac:dyDescent="0.35">
      <c r="X382" s="597"/>
      <c r="Y382" s="597"/>
      <c r="Z382" s="642"/>
      <c r="AA382" s="642"/>
      <c r="AB382" s="642"/>
      <c r="AC382" s="608" t="s">
        <v>6042</v>
      </c>
      <c r="AD382" s="1022" t="s">
        <v>6042</v>
      </c>
      <c r="AE382" s="1023" t="s">
        <v>297</v>
      </c>
      <c r="AF382" s="1023" t="s">
        <v>298</v>
      </c>
      <c r="AG382" s="1022" t="s">
        <v>63</v>
      </c>
      <c r="AH382" s="1019">
        <v>4</v>
      </c>
      <c r="AI382" s="1021"/>
      <c r="AJ382" s="617">
        <v>1</v>
      </c>
      <c r="AK382" s="621" t="s">
        <v>88</v>
      </c>
      <c r="AL382">
        <f t="shared" si="1"/>
        <v>0</v>
      </c>
      <c r="AM382" s="1017" t="s">
        <v>84</v>
      </c>
      <c r="AN382" s="1018"/>
      <c r="AO382" s="1018"/>
      <c r="AP382" s="1016"/>
      <c r="AQ382" s="628"/>
      <c r="AS382" s="627"/>
      <c r="AT382" s="1016"/>
      <c r="AU382" s="1016"/>
      <c r="AV382" s="1016"/>
      <c r="AW382" s="628"/>
    </row>
    <row r="383" spans="24:49" ht="15.5" hidden="1" x14ac:dyDescent="0.35">
      <c r="X383" s="597"/>
      <c r="Y383" s="597"/>
      <c r="Z383" s="642"/>
      <c r="AA383" s="642"/>
      <c r="AB383" s="642"/>
      <c r="AC383" s="607" t="s">
        <v>299</v>
      </c>
      <c r="AD383" s="1019" t="s">
        <v>299</v>
      </c>
      <c r="AE383" s="1020" t="s">
        <v>300</v>
      </c>
      <c r="AF383" s="1020" t="s">
        <v>301</v>
      </c>
      <c r="AG383" s="1019" t="s">
        <v>71</v>
      </c>
      <c r="AH383" s="1019">
        <v>4</v>
      </c>
      <c r="AI383" s="1032"/>
      <c r="AJ383" s="617">
        <v>0</v>
      </c>
      <c r="AK383" s="621" t="s">
        <v>93</v>
      </c>
      <c r="AL383">
        <f t="shared" si="1"/>
        <v>0</v>
      </c>
      <c r="AM383" s="1017" t="s">
        <v>84</v>
      </c>
      <c r="AN383" s="1018"/>
      <c r="AO383" s="1018"/>
      <c r="AP383" s="1016"/>
      <c r="AQ383" s="628"/>
      <c r="AS383" s="627"/>
      <c r="AT383" s="1016"/>
      <c r="AU383" s="1016"/>
      <c r="AV383" s="1016"/>
      <c r="AW383" s="628"/>
    </row>
    <row r="384" spans="24:49" ht="15.5" hidden="1" x14ac:dyDescent="0.35">
      <c r="X384" s="597"/>
      <c r="Y384" s="597"/>
      <c r="Z384" s="642"/>
      <c r="AA384" s="642"/>
      <c r="AB384" s="642"/>
      <c r="AC384" s="609" t="s">
        <v>302</v>
      </c>
      <c r="AD384" s="1025" t="s">
        <v>302</v>
      </c>
      <c r="AE384" s="1025" t="s">
        <v>303</v>
      </c>
      <c r="AF384" s="1025" t="s">
        <v>304</v>
      </c>
      <c r="AG384" s="1019" t="s">
        <v>61</v>
      </c>
      <c r="AH384" s="1019">
        <v>2</v>
      </c>
      <c r="AI384" s="1024"/>
      <c r="AJ384" s="617">
        <v>0</v>
      </c>
      <c r="AK384" s="621" t="s">
        <v>62</v>
      </c>
      <c r="AL384">
        <f t="shared" si="1"/>
        <v>0</v>
      </c>
      <c r="AM384" s="1017">
        <v>1</v>
      </c>
      <c r="AN384" s="1018"/>
      <c r="AO384" s="1018"/>
      <c r="AP384" s="1016"/>
      <c r="AQ384" s="628"/>
      <c r="AS384" s="627"/>
      <c r="AT384" s="1016"/>
      <c r="AU384" s="1016"/>
      <c r="AV384" s="1016"/>
      <c r="AW384" s="628"/>
    </row>
    <row r="385" spans="24:49" ht="15.5" hidden="1" x14ac:dyDescent="0.35">
      <c r="X385" s="597"/>
      <c r="Y385" s="597"/>
      <c r="Z385" s="642"/>
      <c r="AA385" s="642"/>
      <c r="AB385" s="642"/>
      <c r="AC385" s="609" t="s">
        <v>305</v>
      </c>
      <c r="AD385" s="1025" t="s">
        <v>305</v>
      </c>
      <c r="AE385" s="1025" t="s">
        <v>306</v>
      </c>
      <c r="AF385" s="1025" t="s">
        <v>307</v>
      </c>
      <c r="AG385" s="1025" t="s">
        <v>61</v>
      </c>
      <c r="AH385" s="1019">
        <v>2</v>
      </c>
      <c r="AI385" s="1021"/>
      <c r="AJ385" s="617">
        <v>0</v>
      </c>
      <c r="AK385" s="621" t="s">
        <v>62</v>
      </c>
      <c r="AL385">
        <f t="shared" si="1"/>
        <v>0</v>
      </c>
      <c r="AM385" s="1017">
        <v>1</v>
      </c>
      <c r="AN385" s="1018"/>
      <c r="AO385" s="1018"/>
      <c r="AP385" s="1026"/>
      <c r="AQ385" s="633"/>
      <c r="AS385" s="634"/>
      <c r="AT385" s="1026"/>
      <c r="AU385" s="1026"/>
      <c r="AV385" s="1026"/>
      <c r="AW385" s="633"/>
    </row>
    <row r="386" spans="24:49" ht="15.5" hidden="1" x14ac:dyDescent="0.35">
      <c r="X386" s="597"/>
      <c r="Y386" s="597"/>
      <c r="Z386" s="642"/>
      <c r="AA386" s="642"/>
      <c r="AB386" s="642"/>
      <c r="AC386" s="607" t="s">
        <v>308</v>
      </c>
      <c r="AD386" s="1019" t="s">
        <v>308</v>
      </c>
      <c r="AE386" s="1020" t="s">
        <v>309</v>
      </c>
      <c r="AF386" s="1020" t="s">
        <v>310</v>
      </c>
      <c r="AG386" s="1019" t="s">
        <v>125</v>
      </c>
      <c r="AH386" s="1019">
        <v>1</v>
      </c>
      <c r="AI386" s="1021"/>
      <c r="AJ386" s="617">
        <v>0</v>
      </c>
      <c r="AK386" s="621" t="s">
        <v>102</v>
      </c>
      <c r="AL386">
        <f t="shared" si="1"/>
        <v>1</v>
      </c>
      <c r="AM386" s="1017">
        <v>1</v>
      </c>
      <c r="AN386" s="1018">
        <v>1</v>
      </c>
      <c r="AO386" s="1018"/>
      <c r="AP386" s="1016"/>
      <c r="AQ386" s="628"/>
      <c r="AS386" s="627"/>
      <c r="AT386" s="1016"/>
      <c r="AU386" s="1016"/>
      <c r="AV386" s="1016"/>
      <c r="AW386" s="628"/>
    </row>
    <row r="387" spans="24:49" ht="15.5" hidden="1" x14ac:dyDescent="0.35">
      <c r="X387" s="597"/>
      <c r="Y387" s="597"/>
      <c r="Z387" s="642"/>
      <c r="AA387" s="642"/>
      <c r="AB387" s="642"/>
      <c r="AC387" s="607" t="s">
        <v>311</v>
      </c>
      <c r="AD387" s="1019" t="s">
        <v>311</v>
      </c>
      <c r="AE387" s="1020" t="s">
        <v>312</v>
      </c>
      <c r="AF387" s="1020" t="s">
        <v>313</v>
      </c>
      <c r="AG387" s="1019" t="s">
        <v>61</v>
      </c>
      <c r="AH387" s="1019">
        <v>2</v>
      </c>
      <c r="AI387" s="1021"/>
      <c r="AJ387" s="617">
        <v>1</v>
      </c>
      <c r="AK387" s="621" t="s">
        <v>83</v>
      </c>
      <c r="AL387">
        <f t="shared" si="1"/>
        <v>0</v>
      </c>
      <c r="AM387" s="1017">
        <v>1</v>
      </c>
      <c r="AN387" s="1018">
        <v>1</v>
      </c>
      <c r="AO387" s="1018"/>
      <c r="AP387" s="1016"/>
      <c r="AQ387" s="628"/>
      <c r="AS387" s="627"/>
      <c r="AT387" s="1016"/>
      <c r="AU387" s="1016"/>
      <c r="AV387" s="1016"/>
      <c r="AW387" s="628"/>
    </row>
    <row r="388" spans="24:49" ht="15.5" hidden="1" x14ac:dyDescent="0.35">
      <c r="X388" s="597"/>
      <c r="Y388" s="597"/>
      <c r="Z388" s="642"/>
      <c r="AA388" s="642"/>
      <c r="AB388" s="642"/>
      <c r="AC388" s="609" t="s">
        <v>314</v>
      </c>
      <c r="AD388" s="1025" t="s">
        <v>314</v>
      </c>
      <c r="AE388" s="1025" t="s">
        <v>315</v>
      </c>
      <c r="AF388" s="1025" t="s">
        <v>316</v>
      </c>
      <c r="AG388" s="1019" t="s">
        <v>97</v>
      </c>
      <c r="AH388" s="1019">
        <v>1</v>
      </c>
      <c r="AI388" s="1030"/>
      <c r="AJ388" s="617">
        <v>0</v>
      </c>
      <c r="AK388" s="621" t="s">
        <v>102</v>
      </c>
      <c r="AL388">
        <f t="shared" si="1"/>
        <v>1</v>
      </c>
      <c r="AM388" s="1017">
        <v>1</v>
      </c>
      <c r="AN388" s="1018"/>
      <c r="AO388" s="1018"/>
      <c r="AP388" s="1016"/>
      <c r="AQ388" s="628"/>
      <c r="AS388" s="627"/>
      <c r="AT388" s="1016"/>
      <c r="AU388" s="1016"/>
      <c r="AV388" s="1016"/>
      <c r="AW388" s="628"/>
    </row>
    <row r="389" spans="24:49" ht="15.5" hidden="1" x14ac:dyDescent="0.35">
      <c r="X389" s="597"/>
      <c r="Y389" s="597"/>
      <c r="Z389" s="642"/>
      <c r="AA389" s="642"/>
      <c r="AB389" s="642"/>
      <c r="AC389" s="607" t="s">
        <v>317</v>
      </c>
      <c r="AD389" s="1019" t="s">
        <v>317</v>
      </c>
      <c r="AE389" s="1020" t="s">
        <v>318</v>
      </c>
      <c r="AF389" s="1020" t="s">
        <v>319</v>
      </c>
      <c r="AG389" s="1019" t="s">
        <v>61</v>
      </c>
      <c r="AH389" s="1019">
        <v>2</v>
      </c>
      <c r="AI389" s="1021"/>
      <c r="AJ389" s="617">
        <v>1</v>
      </c>
      <c r="AK389" s="621" t="s">
        <v>83</v>
      </c>
      <c r="AL389">
        <f t="shared" si="1"/>
        <v>0</v>
      </c>
      <c r="AM389" s="1017">
        <v>1</v>
      </c>
      <c r="AN389" s="1018"/>
      <c r="AO389" s="1018"/>
      <c r="AP389" s="1016"/>
      <c r="AQ389" s="628"/>
      <c r="AS389" s="627"/>
      <c r="AT389" s="1016"/>
      <c r="AU389" s="1016"/>
      <c r="AV389" s="1016"/>
      <c r="AW389" s="628"/>
    </row>
    <row r="390" spans="24:49" ht="15.5" hidden="1" x14ac:dyDescent="0.35">
      <c r="X390" s="597"/>
      <c r="Y390" s="597"/>
      <c r="Z390" s="642"/>
      <c r="AA390" s="642"/>
      <c r="AB390" s="642"/>
      <c r="AC390" s="607" t="s">
        <v>320</v>
      </c>
      <c r="AD390" s="1019" t="s">
        <v>320</v>
      </c>
      <c r="AE390" s="1020" t="s">
        <v>321</v>
      </c>
      <c r="AF390" s="1020" t="s">
        <v>322</v>
      </c>
      <c r="AG390" s="1019" t="s">
        <v>61</v>
      </c>
      <c r="AH390" s="1019">
        <v>2</v>
      </c>
      <c r="AI390" s="1021"/>
      <c r="AJ390" s="617">
        <v>0</v>
      </c>
      <c r="AK390" s="621" t="s">
        <v>62</v>
      </c>
      <c r="AL390">
        <f t="shared" si="1"/>
        <v>0</v>
      </c>
      <c r="AM390" s="1017">
        <v>1</v>
      </c>
      <c r="AN390" s="1018">
        <v>1</v>
      </c>
      <c r="AO390" s="1018"/>
      <c r="AP390" s="1016"/>
      <c r="AQ390" s="628"/>
      <c r="AS390" s="627"/>
      <c r="AT390" s="1016"/>
      <c r="AU390" s="1016"/>
      <c r="AV390" s="1016"/>
      <c r="AW390" s="628"/>
    </row>
    <row r="391" spans="24:49" ht="15.5" hidden="1" x14ac:dyDescent="0.35">
      <c r="X391" s="597"/>
      <c r="Y391" s="597"/>
      <c r="Z391" s="642"/>
      <c r="AA391" s="642"/>
      <c r="AB391" s="642"/>
      <c r="AC391" s="607" t="s">
        <v>323</v>
      </c>
      <c r="AD391" s="1019" t="s">
        <v>323</v>
      </c>
      <c r="AE391" s="1020" t="s">
        <v>324</v>
      </c>
      <c r="AF391" s="1020" t="s">
        <v>325</v>
      </c>
      <c r="AG391" s="1019" t="s">
        <v>101</v>
      </c>
      <c r="AH391" s="1019">
        <v>1</v>
      </c>
      <c r="AI391" s="1021"/>
      <c r="AJ391" s="617">
        <v>0</v>
      </c>
      <c r="AK391" s="621" t="s">
        <v>102</v>
      </c>
      <c r="AL391">
        <f t="shared" si="1"/>
        <v>1</v>
      </c>
      <c r="AM391" s="1017">
        <v>1</v>
      </c>
      <c r="AN391" s="1018">
        <v>1</v>
      </c>
      <c r="AO391" s="1018"/>
      <c r="AP391" s="1016"/>
      <c r="AQ391" s="628"/>
      <c r="AS391" s="627"/>
      <c r="AT391" s="1016"/>
      <c r="AU391" s="1016"/>
      <c r="AV391" s="1016"/>
      <c r="AW391" s="628"/>
    </row>
    <row r="392" spans="24:49" ht="15.5" hidden="1" x14ac:dyDescent="0.35">
      <c r="X392" s="597"/>
      <c r="Y392" s="597"/>
      <c r="Z392" s="642"/>
      <c r="AA392" s="642"/>
      <c r="AB392" s="642"/>
      <c r="AC392" s="607" t="s">
        <v>326</v>
      </c>
      <c r="AD392" s="1019" t="s">
        <v>326</v>
      </c>
      <c r="AE392" s="1020" t="s">
        <v>327</v>
      </c>
      <c r="AF392" s="1020" t="s">
        <v>328</v>
      </c>
      <c r="AG392" s="1019" t="s">
        <v>57</v>
      </c>
      <c r="AH392" s="1019">
        <v>1</v>
      </c>
      <c r="AI392" s="1021"/>
      <c r="AJ392" s="617">
        <v>0</v>
      </c>
      <c r="AK392" s="621" t="s">
        <v>102</v>
      </c>
      <c r="AL392">
        <f t="shared" si="1"/>
        <v>1</v>
      </c>
      <c r="AM392" s="1017" t="s">
        <v>84</v>
      </c>
      <c r="AN392" s="1018"/>
      <c r="AO392" s="1018"/>
      <c r="AP392" s="1016"/>
      <c r="AQ392" s="628"/>
      <c r="AS392" s="627"/>
      <c r="AT392" s="1016"/>
      <c r="AU392" s="1016"/>
      <c r="AV392" s="1016"/>
      <c r="AW392" s="628"/>
    </row>
    <row r="393" spans="24:49" ht="15.5" hidden="1" x14ac:dyDescent="0.35">
      <c r="X393" s="597"/>
      <c r="Y393" s="597"/>
      <c r="Z393" s="642"/>
      <c r="AA393" s="642"/>
      <c r="AB393" s="642"/>
      <c r="AC393" s="608" t="s">
        <v>329</v>
      </c>
      <c r="AD393" s="1022" t="s">
        <v>329</v>
      </c>
      <c r="AE393" s="1023" t="s">
        <v>330</v>
      </c>
      <c r="AF393" s="1023" t="s">
        <v>331</v>
      </c>
      <c r="AG393" s="1022" t="s">
        <v>71</v>
      </c>
      <c r="AH393" s="1022">
        <v>4</v>
      </c>
      <c r="AI393" s="1029"/>
      <c r="AJ393" s="617">
        <v>0</v>
      </c>
      <c r="AK393" s="621" t="s">
        <v>93</v>
      </c>
      <c r="AL393">
        <f t="shared" si="1"/>
        <v>0</v>
      </c>
      <c r="AM393" s="1017" t="s">
        <v>84</v>
      </c>
      <c r="AN393" s="1018"/>
      <c r="AO393" s="1018"/>
      <c r="AP393" s="1016"/>
      <c r="AQ393" s="628"/>
      <c r="AS393" s="627"/>
      <c r="AT393" s="1016"/>
      <c r="AU393" s="1016"/>
      <c r="AV393" s="1016"/>
      <c r="AW393" s="628"/>
    </row>
    <row r="394" spans="24:49" ht="15.5" hidden="1" x14ac:dyDescent="0.35">
      <c r="X394" s="597"/>
      <c r="Y394" s="597"/>
      <c r="Z394" s="642"/>
      <c r="AA394" s="642"/>
      <c r="AB394" s="642"/>
      <c r="AC394" s="611" t="s">
        <v>332</v>
      </c>
      <c r="AD394" s="1031" t="s">
        <v>332</v>
      </c>
      <c r="AE394" s="1020" t="s">
        <v>333</v>
      </c>
      <c r="AF394" s="1020" t="s">
        <v>334</v>
      </c>
      <c r="AG394" s="1019" t="s">
        <v>61</v>
      </c>
      <c r="AH394" s="1019">
        <v>2</v>
      </c>
      <c r="AI394" s="1021"/>
      <c r="AJ394" s="617">
        <v>1</v>
      </c>
      <c r="AK394" s="621" t="s">
        <v>83</v>
      </c>
      <c r="AL394">
        <f t="shared" si="1"/>
        <v>0</v>
      </c>
      <c r="AM394" s="1017">
        <v>1</v>
      </c>
      <c r="AN394" s="1018">
        <v>1</v>
      </c>
      <c r="AO394" s="1018"/>
      <c r="AP394" s="1016"/>
      <c r="AQ394" s="628"/>
      <c r="AS394" s="627"/>
      <c r="AT394" s="1016"/>
      <c r="AU394" s="1016"/>
      <c r="AV394" s="1016"/>
      <c r="AW394" s="628"/>
    </row>
    <row r="395" spans="24:49" ht="15.5" hidden="1" x14ac:dyDescent="0.35">
      <c r="X395" s="597"/>
      <c r="Y395" s="597"/>
      <c r="Z395" s="642"/>
      <c r="AA395" s="642"/>
      <c r="AB395" s="642"/>
      <c r="AC395" s="609" t="s">
        <v>335</v>
      </c>
      <c r="AD395" s="1025" t="s">
        <v>335</v>
      </c>
      <c r="AE395" s="1025" t="s">
        <v>336</v>
      </c>
      <c r="AF395" s="1025" t="s">
        <v>337</v>
      </c>
      <c r="AG395" s="1025" t="s">
        <v>125</v>
      </c>
      <c r="AH395" s="1019">
        <v>1</v>
      </c>
      <c r="AI395" s="1021"/>
      <c r="AJ395" s="617">
        <v>0</v>
      </c>
      <c r="AK395" s="621" t="s">
        <v>102</v>
      </c>
      <c r="AL395">
        <f t="shared" si="1"/>
        <v>1</v>
      </c>
      <c r="AM395" s="1017">
        <v>1</v>
      </c>
      <c r="AN395" s="1018"/>
      <c r="AO395" s="1018"/>
      <c r="AP395" s="1026"/>
      <c r="AQ395" s="633"/>
      <c r="AS395" s="634"/>
      <c r="AT395" s="1026"/>
      <c r="AU395" s="1026"/>
      <c r="AV395" s="1026"/>
      <c r="AW395" s="633"/>
    </row>
    <row r="396" spans="24:49" ht="15.5" hidden="1" x14ac:dyDescent="0.35">
      <c r="X396" s="597"/>
      <c r="Y396" s="597"/>
      <c r="Z396" s="642"/>
      <c r="AA396" s="642"/>
      <c r="AB396" s="642"/>
      <c r="AC396" s="607" t="s">
        <v>338</v>
      </c>
      <c r="AD396" s="1019" t="s">
        <v>338</v>
      </c>
      <c r="AE396" s="1020" t="s">
        <v>339</v>
      </c>
      <c r="AF396" s="1020" t="s">
        <v>340</v>
      </c>
      <c r="AG396" s="1019" t="s">
        <v>61</v>
      </c>
      <c r="AH396" s="1019">
        <v>2</v>
      </c>
      <c r="AI396" s="1021"/>
      <c r="AJ396" s="617">
        <v>0</v>
      </c>
      <c r="AK396" s="621" t="s">
        <v>62</v>
      </c>
      <c r="AL396">
        <f t="shared" si="1"/>
        <v>0</v>
      </c>
      <c r="AM396" s="1017">
        <v>1</v>
      </c>
      <c r="AN396" s="1018">
        <v>1</v>
      </c>
      <c r="AO396" s="1018"/>
      <c r="AP396" s="1016"/>
      <c r="AQ396" s="628"/>
      <c r="AS396" s="627"/>
      <c r="AT396" s="1016"/>
      <c r="AU396" s="1016"/>
      <c r="AV396" s="1016"/>
      <c r="AW396" s="628"/>
    </row>
    <row r="397" spans="24:49" ht="15.5" hidden="1" x14ac:dyDescent="0.35">
      <c r="X397" s="597"/>
      <c r="Y397" s="597"/>
      <c r="Z397" s="642"/>
      <c r="AA397" s="642"/>
      <c r="AB397" s="642"/>
      <c r="AC397" s="610" t="s">
        <v>341</v>
      </c>
      <c r="AD397" s="1028" t="s">
        <v>341</v>
      </c>
      <c r="AE397" s="1023" t="s">
        <v>342</v>
      </c>
      <c r="AF397" s="1023" t="s">
        <v>343</v>
      </c>
      <c r="AG397" s="1022" t="s">
        <v>110</v>
      </c>
      <c r="AH397" s="1022">
        <v>8</v>
      </c>
      <c r="AI397" s="1027"/>
      <c r="AJ397" s="617">
        <v>0</v>
      </c>
      <c r="AK397" s="621" t="s">
        <v>344</v>
      </c>
      <c r="AL397">
        <f t="shared" si="1"/>
        <v>0</v>
      </c>
      <c r="AM397" s="1017" t="s">
        <v>84</v>
      </c>
      <c r="AN397" s="1018"/>
      <c r="AO397" s="1018"/>
      <c r="AP397" s="1016"/>
      <c r="AQ397" s="628"/>
      <c r="AS397" s="627"/>
      <c r="AT397" s="1016"/>
      <c r="AU397" s="1016"/>
      <c r="AV397" s="1016"/>
      <c r="AW397" s="628"/>
    </row>
    <row r="398" spans="24:49" ht="15.5" hidden="1" x14ac:dyDescent="0.35">
      <c r="X398" s="597"/>
      <c r="Y398" s="597"/>
      <c r="Z398" s="642"/>
      <c r="AA398" s="642"/>
      <c r="AB398" s="642"/>
      <c r="AC398" s="609" t="s">
        <v>345</v>
      </c>
      <c r="AD398" s="1025" t="s">
        <v>345</v>
      </c>
      <c r="AE398" s="1020" t="s">
        <v>346</v>
      </c>
      <c r="AF398" s="1020" t="s">
        <v>347</v>
      </c>
      <c r="AG398" s="1019" t="s">
        <v>125</v>
      </c>
      <c r="AH398" s="1019">
        <v>1</v>
      </c>
      <c r="AI398" s="1032"/>
      <c r="AJ398" s="617">
        <v>0</v>
      </c>
      <c r="AK398" s="621" t="s">
        <v>102</v>
      </c>
      <c r="AL398">
        <f t="shared" si="1"/>
        <v>1</v>
      </c>
      <c r="AM398" s="1017">
        <v>1</v>
      </c>
      <c r="AN398" s="1018"/>
      <c r="AO398" s="1018"/>
      <c r="AP398" s="1016"/>
      <c r="AQ398" s="628"/>
      <c r="AS398" s="627"/>
      <c r="AT398" s="1016"/>
      <c r="AU398" s="1016"/>
      <c r="AV398" s="1016"/>
      <c r="AW398" s="628"/>
    </row>
    <row r="399" spans="24:49" ht="15.5" hidden="1" x14ac:dyDescent="0.35">
      <c r="X399" s="597"/>
      <c r="Y399" s="597"/>
      <c r="Z399" s="642"/>
      <c r="AA399" s="642"/>
      <c r="AB399" s="642"/>
      <c r="AC399" s="607" t="s">
        <v>348</v>
      </c>
      <c r="AD399" s="1019" t="s">
        <v>348</v>
      </c>
      <c r="AE399" s="1020" t="s">
        <v>349</v>
      </c>
      <c r="AF399" s="1020" t="s">
        <v>350</v>
      </c>
      <c r="AG399" s="1019" t="s">
        <v>57</v>
      </c>
      <c r="AH399" s="1019">
        <v>1</v>
      </c>
      <c r="AI399" s="1021"/>
      <c r="AJ399" s="617">
        <v>0</v>
      </c>
      <c r="AK399" s="621" t="s">
        <v>102</v>
      </c>
      <c r="AL399">
        <f t="shared" si="1"/>
        <v>1</v>
      </c>
      <c r="AM399" s="1017" t="s">
        <v>84</v>
      </c>
      <c r="AN399" s="1018"/>
      <c r="AO399" s="1018"/>
      <c r="AP399" s="1016"/>
      <c r="AQ399" s="628"/>
      <c r="AS399" s="627"/>
      <c r="AT399" s="1016"/>
      <c r="AU399" s="1016"/>
      <c r="AV399" s="1016"/>
      <c r="AW399" s="628"/>
    </row>
    <row r="400" spans="24:49" ht="15.5" hidden="1" x14ac:dyDescent="0.35">
      <c r="X400" s="597"/>
      <c r="Y400" s="597"/>
      <c r="Z400" s="642"/>
      <c r="AA400" s="642"/>
      <c r="AB400" s="642"/>
      <c r="AC400" s="607" t="s">
        <v>6043</v>
      </c>
      <c r="AD400" s="612" t="s">
        <v>6043</v>
      </c>
      <c r="AE400" s="1020" t="s">
        <v>352</v>
      </c>
      <c r="AF400" s="1020" t="s">
        <v>353</v>
      </c>
      <c r="AG400" s="1019" t="s">
        <v>63</v>
      </c>
      <c r="AH400" s="1019">
        <v>4</v>
      </c>
      <c r="AI400" s="1027"/>
      <c r="AJ400" s="617">
        <v>0</v>
      </c>
      <c r="AK400" s="621" t="s">
        <v>93</v>
      </c>
      <c r="AL400">
        <f t="shared" si="1"/>
        <v>0</v>
      </c>
      <c r="AM400" s="1017" t="s">
        <v>84</v>
      </c>
      <c r="AN400" s="1018"/>
      <c r="AO400" s="1018"/>
      <c r="AP400" s="1016"/>
      <c r="AQ400" s="628"/>
      <c r="AS400" s="627"/>
      <c r="AT400" s="1016"/>
      <c r="AU400" s="1016"/>
      <c r="AV400" s="1016"/>
      <c r="AW400" s="628"/>
    </row>
    <row r="401" spans="24:49" ht="15.5" hidden="1" x14ac:dyDescent="0.35">
      <c r="X401" s="597"/>
      <c r="Y401" s="597"/>
      <c r="Z401" s="642"/>
      <c r="AA401" s="642"/>
      <c r="AB401" s="642"/>
      <c r="AC401" s="610" t="s">
        <v>354</v>
      </c>
      <c r="AD401" s="1028" t="s">
        <v>354</v>
      </c>
      <c r="AE401" s="1023" t="s">
        <v>355</v>
      </c>
      <c r="AF401" s="1023" t="s">
        <v>356</v>
      </c>
      <c r="AG401" s="1022" t="s">
        <v>61</v>
      </c>
      <c r="AH401" s="1019">
        <v>2</v>
      </c>
      <c r="AI401" s="1021"/>
      <c r="AJ401" s="617">
        <v>1</v>
      </c>
      <c r="AK401" s="621" t="s">
        <v>83</v>
      </c>
      <c r="AL401">
        <f t="shared" si="1"/>
        <v>0</v>
      </c>
      <c r="AM401" s="1017">
        <v>1</v>
      </c>
      <c r="AN401" s="1018"/>
      <c r="AO401" s="1018"/>
      <c r="AP401" s="1016"/>
      <c r="AQ401" s="628"/>
      <c r="AS401" s="627"/>
      <c r="AT401" s="1016"/>
      <c r="AU401" s="1016"/>
      <c r="AV401" s="1016"/>
      <c r="AW401" s="628"/>
    </row>
    <row r="402" spans="24:49" ht="15.5" hidden="1" x14ac:dyDescent="0.35">
      <c r="X402" s="597"/>
      <c r="Y402" s="597"/>
      <c r="Z402" s="642"/>
      <c r="AA402" s="642"/>
      <c r="AB402" s="642"/>
      <c r="AC402" s="609" t="s">
        <v>357</v>
      </c>
      <c r="AD402" s="1025" t="s">
        <v>357</v>
      </c>
      <c r="AE402" s="1025" t="s">
        <v>358</v>
      </c>
      <c r="AF402" s="1025" t="s">
        <v>359</v>
      </c>
      <c r="AG402" s="1022" t="s">
        <v>71</v>
      </c>
      <c r="AH402" s="1022">
        <v>4</v>
      </c>
      <c r="AI402" s="1032"/>
      <c r="AJ402" s="617">
        <v>1</v>
      </c>
      <c r="AK402" s="621" t="s">
        <v>88</v>
      </c>
      <c r="AL402">
        <f t="shared" si="1"/>
        <v>0</v>
      </c>
      <c r="AM402" s="1017" t="s">
        <v>84</v>
      </c>
      <c r="AN402" s="1018"/>
      <c r="AO402" s="1018"/>
      <c r="AP402" s="1016"/>
      <c r="AQ402" s="628"/>
      <c r="AS402" s="627"/>
      <c r="AT402" s="1016"/>
      <c r="AU402" s="1016"/>
      <c r="AV402" s="1016"/>
      <c r="AW402" s="628"/>
    </row>
    <row r="403" spans="24:49" ht="15.5" hidden="1" x14ac:dyDescent="0.35">
      <c r="X403" s="597"/>
      <c r="Y403" s="597"/>
      <c r="Z403" s="642"/>
      <c r="AA403" s="642"/>
      <c r="AB403" s="642"/>
      <c r="AC403" s="607" t="s">
        <v>360</v>
      </c>
      <c r="AD403" s="1019" t="s">
        <v>360</v>
      </c>
      <c r="AE403" s="1020" t="s">
        <v>361</v>
      </c>
      <c r="AF403" s="1020" t="s">
        <v>362</v>
      </c>
      <c r="AG403" s="1022" t="s">
        <v>57</v>
      </c>
      <c r="AH403" s="1019">
        <v>1</v>
      </c>
      <c r="AI403" s="1021"/>
      <c r="AJ403" s="617">
        <v>0</v>
      </c>
      <c r="AK403" s="621" t="s">
        <v>102</v>
      </c>
      <c r="AL403">
        <f t="shared" si="1"/>
        <v>1</v>
      </c>
      <c r="AM403" s="1017" t="s">
        <v>84</v>
      </c>
      <c r="AN403" s="1018"/>
      <c r="AO403" s="1018"/>
      <c r="AP403" s="1016"/>
      <c r="AQ403" s="628"/>
      <c r="AS403" s="627"/>
      <c r="AT403" s="1016"/>
      <c r="AU403" s="1016"/>
      <c r="AV403" s="1016"/>
      <c r="AW403" s="628"/>
    </row>
    <row r="404" spans="24:49" ht="15.5" hidden="1" x14ac:dyDescent="0.35">
      <c r="X404" s="597"/>
      <c r="Y404" s="597"/>
      <c r="Z404" s="642"/>
      <c r="AA404" s="642"/>
      <c r="AB404" s="642"/>
      <c r="AC404" s="609" t="s">
        <v>363</v>
      </c>
      <c r="AD404" s="1025" t="s">
        <v>363</v>
      </c>
      <c r="AE404" s="1025" t="s">
        <v>364</v>
      </c>
      <c r="AF404" s="1025" t="s">
        <v>365</v>
      </c>
      <c r="AG404" s="1025" t="s">
        <v>71</v>
      </c>
      <c r="AH404" s="1022">
        <v>4</v>
      </c>
      <c r="AI404" s="1021"/>
      <c r="AJ404" s="617">
        <v>0</v>
      </c>
      <c r="AK404" s="621" t="s">
        <v>93</v>
      </c>
      <c r="AL404">
        <f t="shared" si="1"/>
        <v>0</v>
      </c>
      <c r="AM404" s="1017" t="s">
        <v>84</v>
      </c>
      <c r="AN404" s="1018"/>
      <c r="AO404" s="1018"/>
      <c r="AP404" s="1033"/>
      <c r="AQ404" s="636"/>
      <c r="AS404" s="635"/>
      <c r="AT404" s="1033"/>
      <c r="AU404" s="1033"/>
      <c r="AV404" s="1033"/>
      <c r="AW404" s="636"/>
    </row>
    <row r="405" spans="24:49" ht="15.5" hidden="1" x14ac:dyDescent="0.35">
      <c r="X405" s="597"/>
      <c r="Y405" s="597"/>
      <c r="Z405" s="642"/>
      <c r="AA405" s="642"/>
      <c r="AB405" s="642"/>
      <c r="AC405" s="609" t="s">
        <v>6044</v>
      </c>
      <c r="AD405" s="1025" t="s">
        <v>6044</v>
      </c>
      <c r="AE405" s="1025" t="s">
        <v>367</v>
      </c>
      <c r="AF405" s="1025" t="s">
        <v>368</v>
      </c>
      <c r="AG405" s="1025" t="s">
        <v>63</v>
      </c>
      <c r="AH405" s="1019">
        <v>4</v>
      </c>
      <c r="AI405" s="1032"/>
      <c r="AJ405" s="617">
        <v>0</v>
      </c>
      <c r="AK405" s="621" t="s">
        <v>93</v>
      </c>
      <c r="AL405">
        <f t="shared" si="1"/>
        <v>0</v>
      </c>
      <c r="AM405" s="1017" t="s">
        <v>84</v>
      </c>
      <c r="AN405" s="1018"/>
      <c r="AO405" s="1018"/>
      <c r="AP405" s="1026"/>
      <c r="AQ405" s="633"/>
      <c r="AS405" s="632"/>
      <c r="AT405" s="1026"/>
      <c r="AU405" s="1026"/>
      <c r="AV405" s="1026"/>
      <c r="AW405" s="633"/>
    </row>
    <row r="406" spans="24:49" ht="15.5" hidden="1" x14ac:dyDescent="0.35">
      <c r="X406" s="597"/>
      <c r="Y406" s="597"/>
      <c r="Z406" s="642"/>
      <c r="AA406" s="642"/>
      <c r="AB406" s="642"/>
      <c r="AC406" s="609" t="s">
        <v>369</v>
      </c>
      <c r="AD406" s="1025" t="s">
        <v>369</v>
      </c>
      <c r="AE406" s="1025" t="s">
        <v>370</v>
      </c>
      <c r="AF406" s="1025" t="s">
        <v>371</v>
      </c>
      <c r="AG406" s="1019" t="s">
        <v>97</v>
      </c>
      <c r="AH406" s="1019">
        <v>1</v>
      </c>
      <c r="AI406" s="1021"/>
      <c r="AJ406" s="617">
        <v>0</v>
      </c>
      <c r="AK406" s="621" t="s">
        <v>102</v>
      </c>
      <c r="AL406">
        <f t="shared" si="1"/>
        <v>1</v>
      </c>
      <c r="AM406" s="1017">
        <v>1</v>
      </c>
      <c r="AN406" s="1018"/>
      <c r="AO406" s="1018"/>
      <c r="AP406" s="1016"/>
      <c r="AQ406" s="628"/>
      <c r="AS406" s="627"/>
      <c r="AT406" s="1016"/>
      <c r="AU406" s="1016"/>
      <c r="AV406" s="1016"/>
      <c r="AW406" s="628"/>
    </row>
    <row r="407" spans="24:49" ht="15.5" hidden="1" x14ac:dyDescent="0.35">
      <c r="X407" s="597"/>
      <c r="Y407" s="597"/>
      <c r="Z407" s="642"/>
      <c r="AA407" s="642"/>
      <c r="AB407" s="642"/>
      <c r="AC407" s="608" t="s">
        <v>372</v>
      </c>
      <c r="AD407" s="1022" t="s">
        <v>372</v>
      </c>
      <c r="AE407" s="1023" t="s">
        <v>373</v>
      </c>
      <c r="AF407" s="1023" t="s">
        <v>374</v>
      </c>
      <c r="AG407" s="1022" t="s">
        <v>125</v>
      </c>
      <c r="AH407" s="1019">
        <v>1</v>
      </c>
      <c r="AI407" s="1024"/>
      <c r="AJ407" s="617"/>
      <c r="AK407" s="621" t="s">
        <v>102</v>
      </c>
      <c r="AL407">
        <f t="shared" si="1"/>
        <v>1</v>
      </c>
      <c r="AM407" s="1017">
        <v>1</v>
      </c>
      <c r="AN407" s="1018">
        <v>1</v>
      </c>
      <c r="AO407" s="1018"/>
      <c r="AP407" s="1016"/>
      <c r="AQ407" s="628"/>
      <c r="AS407" s="627"/>
      <c r="AT407" s="1016"/>
      <c r="AU407" s="1016"/>
      <c r="AV407" s="1016"/>
      <c r="AW407" s="628"/>
    </row>
    <row r="408" spans="24:49" ht="15.5" hidden="1" x14ac:dyDescent="0.35">
      <c r="X408" s="597"/>
      <c r="Y408" s="597"/>
      <c r="Z408" s="642"/>
      <c r="AA408" s="642"/>
      <c r="AB408" s="642"/>
      <c r="AC408" s="607" t="s">
        <v>5422</v>
      </c>
      <c r="AD408" s="1019" t="s">
        <v>5422</v>
      </c>
      <c r="AE408" s="1020" t="s">
        <v>376</v>
      </c>
      <c r="AF408" s="1020" t="s">
        <v>377</v>
      </c>
      <c r="AG408" s="1019" t="s">
        <v>75</v>
      </c>
      <c r="AH408" s="1019">
        <v>4</v>
      </c>
      <c r="AI408" s="1032"/>
      <c r="AJ408" s="617">
        <v>0</v>
      </c>
      <c r="AK408" s="621" t="s">
        <v>93</v>
      </c>
      <c r="AL408">
        <f t="shared" si="1"/>
        <v>0</v>
      </c>
      <c r="AM408" s="1017" t="s">
        <v>84</v>
      </c>
      <c r="AN408" s="1018"/>
      <c r="AO408" s="1018"/>
      <c r="AP408" s="1016"/>
      <c r="AQ408" s="628"/>
      <c r="AS408" s="627"/>
      <c r="AT408" s="1016"/>
      <c r="AU408" s="1016"/>
      <c r="AV408" s="1016"/>
      <c r="AW408" s="628"/>
    </row>
    <row r="409" spans="24:49" ht="15.5" hidden="1" x14ac:dyDescent="0.35">
      <c r="X409" s="597"/>
      <c r="Y409" s="597"/>
      <c r="Z409" s="642"/>
      <c r="AA409" s="642"/>
      <c r="AB409" s="642"/>
      <c r="AC409" s="609" t="s">
        <v>378</v>
      </c>
      <c r="AD409" s="1025" t="s">
        <v>378</v>
      </c>
      <c r="AE409" s="1025" t="s">
        <v>379</v>
      </c>
      <c r="AF409" s="1025" t="s">
        <v>380</v>
      </c>
      <c r="AG409" s="1019" t="s">
        <v>71</v>
      </c>
      <c r="AH409" s="1019">
        <v>4</v>
      </c>
      <c r="AI409" s="1021"/>
      <c r="AJ409" s="617">
        <v>1</v>
      </c>
      <c r="AK409" s="621" t="s">
        <v>88</v>
      </c>
      <c r="AL409">
        <f t="shared" si="1"/>
        <v>0</v>
      </c>
      <c r="AM409" s="1017" t="s">
        <v>84</v>
      </c>
      <c r="AN409" s="1018"/>
      <c r="AO409" s="1018"/>
      <c r="AP409" s="1016"/>
      <c r="AQ409" s="628"/>
      <c r="AS409" s="627"/>
      <c r="AT409" s="1016"/>
      <c r="AU409" s="1016"/>
      <c r="AV409" s="1016"/>
      <c r="AW409" s="628"/>
    </row>
    <row r="410" spans="24:49" ht="15.5" hidden="1" x14ac:dyDescent="0.35">
      <c r="X410" s="597"/>
      <c r="Y410" s="597"/>
      <c r="Z410" s="642"/>
      <c r="AA410" s="642"/>
      <c r="AB410" s="642"/>
      <c r="AC410" s="607" t="s">
        <v>381</v>
      </c>
      <c r="AD410" s="1019" t="s">
        <v>381</v>
      </c>
      <c r="AE410" s="1020" t="s">
        <v>382</v>
      </c>
      <c r="AF410" s="1020" t="s">
        <v>383</v>
      </c>
      <c r="AG410" s="1019" t="s">
        <v>61</v>
      </c>
      <c r="AH410" s="1019">
        <v>2</v>
      </c>
      <c r="AI410" s="1032"/>
      <c r="AJ410" s="617">
        <v>0</v>
      </c>
      <c r="AK410" s="621" t="s">
        <v>62</v>
      </c>
      <c r="AL410">
        <f t="shared" si="1"/>
        <v>0</v>
      </c>
      <c r="AM410" s="1017">
        <v>1</v>
      </c>
      <c r="AN410" s="1018"/>
      <c r="AO410" s="1018"/>
      <c r="AP410" s="1016"/>
      <c r="AQ410" s="628"/>
      <c r="AS410" s="627"/>
      <c r="AT410" s="1016"/>
      <c r="AU410" s="1016"/>
      <c r="AV410" s="1016"/>
      <c r="AW410" s="628"/>
    </row>
    <row r="411" spans="24:49" ht="15.5" hidden="1" x14ac:dyDescent="0.35">
      <c r="X411" s="597"/>
      <c r="Y411" s="597"/>
      <c r="Z411" s="642"/>
      <c r="AA411" s="642"/>
      <c r="AB411" s="642"/>
      <c r="AC411" s="609" t="s">
        <v>384</v>
      </c>
      <c r="AD411" s="1025" t="s">
        <v>384</v>
      </c>
      <c r="AE411" s="1025" t="s">
        <v>385</v>
      </c>
      <c r="AF411" s="1025" t="s">
        <v>386</v>
      </c>
      <c r="AG411" s="1025" t="s">
        <v>97</v>
      </c>
      <c r="AH411" s="1019">
        <v>1</v>
      </c>
      <c r="AI411" s="1021"/>
      <c r="AJ411" s="617">
        <v>0</v>
      </c>
      <c r="AK411" s="621" t="s">
        <v>102</v>
      </c>
      <c r="AL411">
        <f t="shared" si="1"/>
        <v>1</v>
      </c>
      <c r="AM411" s="1017">
        <v>1</v>
      </c>
      <c r="AN411" s="1018">
        <v>1</v>
      </c>
      <c r="AO411" s="1018"/>
      <c r="AP411" s="1026"/>
      <c r="AQ411" s="633"/>
      <c r="AS411" s="634"/>
      <c r="AT411" s="1026"/>
      <c r="AU411" s="1026"/>
      <c r="AV411" s="1026"/>
      <c r="AW411" s="633"/>
    </row>
    <row r="412" spans="24:49" ht="15.5" hidden="1" x14ac:dyDescent="0.35">
      <c r="X412" s="597"/>
      <c r="Y412" s="597"/>
      <c r="Z412" s="642"/>
      <c r="AA412" s="642"/>
      <c r="AB412" s="642"/>
      <c r="AC412" s="608" t="s">
        <v>387</v>
      </c>
      <c r="AD412" s="1022" t="s">
        <v>387</v>
      </c>
      <c r="AE412" s="1023" t="s">
        <v>388</v>
      </c>
      <c r="AF412" s="1023" t="s">
        <v>389</v>
      </c>
      <c r="AG412" s="1022" t="s">
        <v>125</v>
      </c>
      <c r="AH412" s="1019">
        <v>1</v>
      </c>
      <c r="AI412" s="1021"/>
      <c r="AJ412" s="617">
        <v>0</v>
      </c>
      <c r="AK412" s="621" t="s">
        <v>102</v>
      </c>
      <c r="AL412">
        <f t="shared" si="1"/>
        <v>1</v>
      </c>
      <c r="AM412" s="1017">
        <v>1</v>
      </c>
      <c r="AN412" s="1018"/>
      <c r="AO412" s="1018"/>
      <c r="AP412" s="1016"/>
      <c r="AQ412" s="628"/>
      <c r="AS412" s="627"/>
      <c r="AT412" s="1016"/>
      <c r="AU412" s="1016"/>
      <c r="AV412" s="1016"/>
      <c r="AW412" s="628"/>
    </row>
    <row r="413" spans="24:49" ht="15.5" hidden="1" x14ac:dyDescent="0.35">
      <c r="X413" s="597"/>
      <c r="Y413" s="597"/>
      <c r="Z413" s="642"/>
      <c r="AA413" s="642"/>
      <c r="AB413" s="642"/>
      <c r="AC413" s="607" t="s">
        <v>6045</v>
      </c>
      <c r="AD413" s="1019" t="s">
        <v>6045</v>
      </c>
      <c r="AE413" s="1020" t="s">
        <v>391</v>
      </c>
      <c r="AF413" s="1020" t="s">
        <v>392</v>
      </c>
      <c r="AG413" s="1019" t="s">
        <v>63</v>
      </c>
      <c r="AH413" s="1019">
        <v>4</v>
      </c>
      <c r="AI413" s="1032"/>
      <c r="AJ413" s="617">
        <v>0</v>
      </c>
      <c r="AK413" s="621" t="s">
        <v>93</v>
      </c>
      <c r="AL413">
        <f t="shared" si="1"/>
        <v>0</v>
      </c>
      <c r="AM413" s="1017" t="s">
        <v>84</v>
      </c>
      <c r="AN413" s="1018"/>
      <c r="AO413" s="1018"/>
      <c r="AP413" s="1016"/>
      <c r="AQ413" s="628"/>
      <c r="AS413" s="627"/>
      <c r="AT413" s="1016"/>
      <c r="AU413" s="1016"/>
      <c r="AV413" s="1016"/>
      <c r="AW413" s="628"/>
    </row>
    <row r="414" spans="24:49" ht="15.5" hidden="1" x14ac:dyDescent="0.35">
      <c r="X414" s="597"/>
      <c r="Y414" s="597"/>
      <c r="Z414" s="642"/>
      <c r="AA414" s="642"/>
      <c r="AB414" s="642"/>
      <c r="AC414" s="609" t="s">
        <v>393</v>
      </c>
      <c r="AD414" s="1025" t="s">
        <v>393</v>
      </c>
      <c r="AE414" s="1025" t="s">
        <v>394</v>
      </c>
      <c r="AF414" s="1025" t="s">
        <v>395</v>
      </c>
      <c r="AG414" s="1019" t="s">
        <v>71</v>
      </c>
      <c r="AH414" s="1019">
        <v>4</v>
      </c>
      <c r="AI414" s="1032"/>
      <c r="AJ414" s="617">
        <v>0</v>
      </c>
      <c r="AK414" s="621" t="s">
        <v>93</v>
      </c>
      <c r="AL414">
        <f t="shared" si="1"/>
        <v>0</v>
      </c>
      <c r="AM414" s="1017" t="s">
        <v>84</v>
      </c>
      <c r="AN414" s="1018"/>
      <c r="AO414" s="1018"/>
      <c r="AP414" s="1016"/>
      <c r="AQ414" s="628"/>
      <c r="AS414" s="627"/>
      <c r="AT414" s="1016"/>
      <c r="AU414" s="1016"/>
      <c r="AV414" s="1016"/>
      <c r="AW414" s="628"/>
    </row>
    <row r="415" spans="24:49" ht="15.5" hidden="1" x14ac:dyDescent="0.35">
      <c r="X415" s="597"/>
      <c r="Y415" s="597"/>
      <c r="Z415" s="642"/>
      <c r="AA415" s="642"/>
      <c r="AB415" s="642"/>
      <c r="AC415" s="609" t="s">
        <v>396</v>
      </c>
      <c r="AD415" s="1025" t="s">
        <v>396</v>
      </c>
      <c r="AE415" s="1025" t="s">
        <v>397</v>
      </c>
      <c r="AF415" s="1025" t="s">
        <v>398</v>
      </c>
      <c r="AG415" s="1025" t="s">
        <v>101</v>
      </c>
      <c r="AH415" s="1022">
        <v>1</v>
      </c>
      <c r="AI415" s="1032"/>
      <c r="AJ415" s="617">
        <v>0</v>
      </c>
      <c r="AK415" s="621" t="s">
        <v>102</v>
      </c>
      <c r="AL415">
        <f t="shared" si="1"/>
        <v>1</v>
      </c>
      <c r="AM415" s="1017">
        <v>1</v>
      </c>
      <c r="AN415" s="1018"/>
      <c r="AO415" s="1018"/>
      <c r="AP415" s="1033"/>
      <c r="AQ415" s="636"/>
      <c r="AS415" s="635"/>
      <c r="AT415" s="1033"/>
      <c r="AU415" s="1033"/>
      <c r="AV415" s="1033"/>
      <c r="AW415" s="636"/>
    </row>
    <row r="416" spans="24:49" ht="15.5" hidden="1" x14ac:dyDescent="0.35">
      <c r="X416" s="597"/>
      <c r="Y416" s="597"/>
      <c r="Z416" s="642"/>
      <c r="AA416" s="642"/>
      <c r="AB416" s="642"/>
      <c r="AC416" s="609" t="s">
        <v>399</v>
      </c>
      <c r="AD416" s="1025" t="s">
        <v>399</v>
      </c>
      <c r="AE416" s="1025" t="s">
        <v>400</v>
      </c>
      <c r="AF416" s="1025" t="s">
        <v>401</v>
      </c>
      <c r="AG416" s="1019" t="s">
        <v>61</v>
      </c>
      <c r="AH416" s="1019">
        <v>2</v>
      </c>
      <c r="AI416" s="1030"/>
      <c r="AJ416" s="617">
        <v>0</v>
      </c>
      <c r="AK416" s="621" t="s">
        <v>62</v>
      </c>
      <c r="AL416">
        <f t="shared" si="1"/>
        <v>0</v>
      </c>
      <c r="AM416" s="1017">
        <v>1</v>
      </c>
      <c r="AN416" s="1018">
        <v>1</v>
      </c>
      <c r="AO416" s="1018"/>
      <c r="AP416" s="1016"/>
      <c r="AQ416" s="628"/>
      <c r="AS416" s="627"/>
      <c r="AT416" s="1016"/>
      <c r="AU416" s="1016"/>
      <c r="AV416" s="1016"/>
      <c r="AW416" s="628"/>
    </row>
    <row r="417" spans="24:49" ht="15.5" hidden="1" x14ac:dyDescent="0.35">
      <c r="X417" s="597"/>
      <c r="Y417" s="597"/>
      <c r="Z417" s="642"/>
      <c r="AA417" s="642"/>
      <c r="AB417" s="642"/>
      <c r="AC417" s="607" t="s">
        <v>402</v>
      </c>
      <c r="AD417" s="1019" t="s">
        <v>402</v>
      </c>
      <c r="AE417" s="1020" t="s">
        <v>403</v>
      </c>
      <c r="AF417" s="1020" t="s">
        <v>404</v>
      </c>
      <c r="AG417" s="1019" t="s">
        <v>61</v>
      </c>
      <c r="AH417" s="1019">
        <v>2</v>
      </c>
      <c r="AI417" s="1027"/>
      <c r="AJ417" s="617">
        <v>1</v>
      </c>
      <c r="AK417" s="621" t="s">
        <v>83</v>
      </c>
      <c r="AL417">
        <f t="shared" si="1"/>
        <v>0</v>
      </c>
      <c r="AM417" s="1017">
        <v>1</v>
      </c>
      <c r="AN417" s="1018">
        <v>1</v>
      </c>
      <c r="AO417" s="1018"/>
      <c r="AP417" s="1016"/>
      <c r="AQ417" s="628"/>
      <c r="AS417" s="627"/>
      <c r="AT417" s="1016"/>
      <c r="AU417" s="1016"/>
      <c r="AV417" s="1016"/>
      <c r="AW417" s="628"/>
    </row>
    <row r="418" spans="24:49" ht="15.5" hidden="1" x14ac:dyDescent="0.35">
      <c r="X418" s="597"/>
      <c r="Y418" s="597"/>
      <c r="Z418" s="642"/>
      <c r="AA418" s="642"/>
      <c r="AB418" s="642"/>
      <c r="AC418" s="607" t="s">
        <v>405</v>
      </c>
      <c r="AD418" s="1019" t="s">
        <v>405</v>
      </c>
      <c r="AE418" s="1020" t="s">
        <v>406</v>
      </c>
      <c r="AF418" s="1020" t="s">
        <v>407</v>
      </c>
      <c r="AG418" s="1019" t="s">
        <v>61</v>
      </c>
      <c r="AH418" s="1019">
        <v>2</v>
      </c>
      <c r="AI418" s="1021"/>
      <c r="AJ418" s="617">
        <v>0</v>
      </c>
      <c r="AK418" s="621" t="s">
        <v>62</v>
      </c>
      <c r="AL418">
        <f t="shared" si="1"/>
        <v>0</v>
      </c>
      <c r="AM418" s="1017">
        <v>1</v>
      </c>
      <c r="AN418" s="1018">
        <v>1</v>
      </c>
      <c r="AO418" s="1018"/>
      <c r="AP418" s="1016"/>
      <c r="AQ418" s="628"/>
      <c r="AS418" s="627"/>
      <c r="AT418" s="1016"/>
      <c r="AU418" s="1016"/>
      <c r="AV418" s="1016"/>
      <c r="AW418" s="628"/>
    </row>
    <row r="419" spans="24:49" ht="15.5" hidden="1" x14ac:dyDescent="0.35">
      <c r="X419" s="597"/>
      <c r="Y419" s="597"/>
      <c r="Z419" s="642"/>
      <c r="AA419" s="642"/>
      <c r="AB419" s="642"/>
      <c r="AC419" s="607" t="s">
        <v>408</v>
      </c>
      <c r="AD419" s="1019" t="s">
        <v>408</v>
      </c>
      <c r="AE419" s="1020" t="s">
        <v>409</v>
      </c>
      <c r="AF419" s="1020" t="s">
        <v>410</v>
      </c>
      <c r="AG419" s="1019" t="s">
        <v>61</v>
      </c>
      <c r="AH419" s="1019">
        <v>2</v>
      </c>
      <c r="AI419" s="1024"/>
      <c r="AJ419" s="617">
        <v>1</v>
      </c>
      <c r="AK419" s="621" t="s">
        <v>83</v>
      </c>
      <c r="AL419">
        <f t="shared" si="1"/>
        <v>0</v>
      </c>
      <c r="AM419" s="1017">
        <v>1</v>
      </c>
      <c r="AN419" s="1018"/>
      <c r="AO419" s="1018"/>
      <c r="AP419" s="1016"/>
      <c r="AQ419" s="628"/>
      <c r="AS419" s="627"/>
      <c r="AT419" s="1016"/>
      <c r="AU419" s="1016"/>
      <c r="AV419" s="1016"/>
      <c r="AW419" s="628"/>
    </row>
    <row r="420" spans="24:49" ht="15.5" hidden="1" x14ac:dyDescent="0.35">
      <c r="X420" s="597"/>
      <c r="Y420" s="597"/>
      <c r="Z420" s="642"/>
      <c r="AA420" s="642"/>
      <c r="AB420" s="642"/>
      <c r="AC420" s="607" t="s">
        <v>411</v>
      </c>
      <c r="AD420" s="1019" t="s">
        <v>411</v>
      </c>
      <c r="AE420" s="1020" t="s">
        <v>412</v>
      </c>
      <c r="AF420" s="1020" t="s">
        <v>413</v>
      </c>
      <c r="AG420" s="1019" t="s">
        <v>61</v>
      </c>
      <c r="AH420" s="1019">
        <v>2</v>
      </c>
      <c r="AI420" s="1021"/>
      <c r="AJ420" s="617">
        <v>0</v>
      </c>
      <c r="AK420" s="621" t="s">
        <v>62</v>
      </c>
      <c r="AL420">
        <f t="shared" si="1"/>
        <v>0</v>
      </c>
      <c r="AM420" s="1017">
        <v>1</v>
      </c>
      <c r="AN420" s="1018"/>
      <c r="AO420" s="1018"/>
      <c r="AP420" s="1016"/>
      <c r="AQ420" s="628"/>
      <c r="AS420" s="627"/>
      <c r="AT420" s="1016"/>
      <c r="AU420" s="1016"/>
      <c r="AV420" s="1016"/>
      <c r="AW420" s="628"/>
    </row>
    <row r="421" spans="24:49" ht="15.5" hidden="1" x14ac:dyDescent="0.35">
      <c r="X421" s="597"/>
      <c r="Y421" s="597"/>
      <c r="Z421" s="642"/>
      <c r="AA421" s="642"/>
      <c r="AB421" s="642"/>
      <c r="AC421" s="607" t="s">
        <v>414</v>
      </c>
      <c r="AD421" s="1019" t="s">
        <v>414</v>
      </c>
      <c r="AE421" s="1020" t="s">
        <v>415</v>
      </c>
      <c r="AF421" s="1020" t="s">
        <v>416</v>
      </c>
      <c r="AG421" s="1019" t="s">
        <v>129</v>
      </c>
      <c r="AH421" s="1019">
        <v>7</v>
      </c>
      <c r="AI421" s="1021"/>
      <c r="AJ421" s="617">
        <v>0</v>
      </c>
      <c r="AK421" s="621" t="s">
        <v>93</v>
      </c>
      <c r="AL421">
        <f t="shared" si="1"/>
        <v>0</v>
      </c>
      <c r="AM421" s="1017" t="s">
        <v>84</v>
      </c>
      <c r="AN421" s="1018"/>
      <c r="AO421" s="1018"/>
      <c r="AP421" s="1016"/>
      <c r="AQ421" s="628"/>
      <c r="AS421" s="627"/>
      <c r="AT421" s="1016"/>
      <c r="AU421" s="1016"/>
      <c r="AV421" s="1016"/>
      <c r="AW421" s="628"/>
    </row>
    <row r="422" spans="24:49" ht="15.5" hidden="1" x14ac:dyDescent="0.35">
      <c r="X422" s="597"/>
      <c r="Y422" s="597"/>
      <c r="Z422" s="642"/>
      <c r="AA422" s="642"/>
      <c r="AB422" s="642"/>
      <c r="AC422" s="607" t="s">
        <v>417</v>
      </c>
      <c r="AD422" s="1019" t="s">
        <v>417</v>
      </c>
      <c r="AE422" s="1020" t="s">
        <v>418</v>
      </c>
      <c r="AF422" s="1020" t="s">
        <v>419</v>
      </c>
      <c r="AG422" s="1019" t="s">
        <v>125</v>
      </c>
      <c r="AH422" s="1019">
        <v>1</v>
      </c>
      <c r="AI422" s="1021"/>
      <c r="AJ422" s="617">
        <v>0</v>
      </c>
      <c r="AK422" s="621" t="s">
        <v>102</v>
      </c>
      <c r="AL422">
        <f t="shared" si="1"/>
        <v>1</v>
      </c>
      <c r="AM422" s="1017">
        <v>1</v>
      </c>
      <c r="AN422" s="1018"/>
      <c r="AO422" s="1018"/>
      <c r="AP422" s="1016"/>
      <c r="AQ422" s="628"/>
      <c r="AS422" s="627"/>
      <c r="AT422" s="1016"/>
      <c r="AU422" s="1016"/>
      <c r="AV422" s="1016"/>
      <c r="AW422" s="628"/>
    </row>
    <row r="423" spans="24:49" ht="15.5" hidden="1" x14ac:dyDescent="0.35">
      <c r="X423" s="597"/>
      <c r="Y423" s="597"/>
      <c r="Z423" s="642"/>
      <c r="AA423" s="642"/>
      <c r="AB423" s="642"/>
      <c r="AC423" s="607" t="s">
        <v>420</v>
      </c>
      <c r="AD423" s="1019" t="s">
        <v>420</v>
      </c>
      <c r="AE423" s="1020" t="s">
        <v>421</v>
      </c>
      <c r="AF423" s="1020" t="s">
        <v>422</v>
      </c>
      <c r="AG423" s="1019" t="s">
        <v>61</v>
      </c>
      <c r="AH423" s="1019">
        <v>2</v>
      </c>
      <c r="AI423" s="1032"/>
      <c r="AJ423" s="617">
        <v>0</v>
      </c>
      <c r="AK423" s="621" t="s">
        <v>62</v>
      </c>
      <c r="AL423">
        <f t="shared" si="1"/>
        <v>0</v>
      </c>
      <c r="AM423" s="1017">
        <v>1</v>
      </c>
      <c r="AN423" s="1018"/>
      <c r="AO423" s="1018"/>
      <c r="AP423" s="1016"/>
      <c r="AQ423" s="628"/>
      <c r="AS423" s="627"/>
      <c r="AT423" s="1016"/>
      <c r="AU423" s="1016"/>
      <c r="AV423" s="1016"/>
      <c r="AW423" s="628"/>
    </row>
    <row r="424" spans="24:49" ht="15.5" hidden="1" x14ac:dyDescent="0.35">
      <c r="X424" s="597"/>
      <c r="Y424" s="597"/>
      <c r="Z424" s="642"/>
      <c r="AA424" s="642"/>
      <c r="AB424" s="642"/>
      <c r="AC424" s="607" t="s">
        <v>423</v>
      </c>
      <c r="AD424" s="1019" t="s">
        <v>423</v>
      </c>
      <c r="AE424" s="1020" t="s">
        <v>424</v>
      </c>
      <c r="AF424" s="1020" t="s">
        <v>425</v>
      </c>
      <c r="AG424" s="1019" t="s">
        <v>61</v>
      </c>
      <c r="AH424" s="1019">
        <v>2</v>
      </c>
      <c r="AI424" s="1021"/>
      <c r="AJ424" s="617">
        <v>0</v>
      </c>
      <c r="AK424" s="621" t="s">
        <v>62</v>
      </c>
      <c r="AL424">
        <f t="shared" si="1"/>
        <v>0</v>
      </c>
      <c r="AM424" s="1017">
        <v>1</v>
      </c>
      <c r="AN424" s="1018">
        <v>1</v>
      </c>
      <c r="AO424" s="1018"/>
      <c r="AP424" s="1016"/>
      <c r="AQ424" s="628"/>
      <c r="AS424" s="627"/>
      <c r="AT424" s="1016"/>
      <c r="AU424" s="1016"/>
      <c r="AV424" s="1016"/>
      <c r="AW424" s="628"/>
    </row>
    <row r="425" spans="24:49" ht="15.5" hidden="1" x14ac:dyDescent="0.35">
      <c r="X425" s="597"/>
      <c r="Y425" s="597"/>
      <c r="Z425" s="642"/>
      <c r="AA425" s="642"/>
      <c r="AB425" s="642"/>
      <c r="AC425" s="611" t="s">
        <v>426</v>
      </c>
      <c r="AD425" s="1031" t="s">
        <v>426</v>
      </c>
      <c r="AE425" s="1020" t="s">
        <v>427</v>
      </c>
      <c r="AF425" s="1020" t="s">
        <v>428</v>
      </c>
      <c r="AG425" s="1019" t="s">
        <v>57</v>
      </c>
      <c r="AH425" s="1019">
        <v>1</v>
      </c>
      <c r="AI425" s="1029"/>
      <c r="AJ425" s="617">
        <v>0</v>
      </c>
      <c r="AK425" s="621" t="s">
        <v>102</v>
      </c>
      <c r="AL425">
        <f t="shared" si="1"/>
        <v>1</v>
      </c>
      <c r="AM425" s="1017" t="s">
        <v>84</v>
      </c>
      <c r="AN425" s="1018"/>
      <c r="AO425" s="1018"/>
      <c r="AP425" s="1016"/>
      <c r="AQ425" s="628"/>
      <c r="AS425" s="627"/>
      <c r="AT425" s="1016"/>
      <c r="AU425" s="1016"/>
      <c r="AV425" s="1016"/>
      <c r="AW425" s="628"/>
    </row>
    <row r="426" spans="24:49" ht="15.5" hidden="1" x14ac:dyDescent="0.35">
      <c r="X426" s="597"/>
      <c r="Y426" s="597"/>
      <c r="Z426" s="642"/>
      <c r="AA426" s="642"/>
      <c r="AB426" s="642"/>
      <c r="AC426" s="607" t="s">
        <v>6046</v>
      </c>
      <c r="AD426" s="1019" t="s">
        <v>6046</v>
      </c>
      <c r="AE426" s="1020" t="s">
        <v>430</v>
      </c>
      <c r="AF426" s="1020" t="s">
        <v>431</v>
      </c>
      <c r="AG426" s="1019" t="s">
        <v>63</v>
      </c>
      <c r="AH426" s="1019">
        <v>4</v>
      </c>
      <c r="AI426" s="1021"/>
      <c r="AJ426" s="617">
        <v>1</v>
      </c>
      <c r="AK426" s="621" t="s">
        <v>88</v>
      </c>
      <c r="AL426">
        <f t="shared" si="1"/>
        <v>0</v>
      </c>
      <c r="AM426" s="1017" t="s">
        <v>84</v>
      </c>
      <c r="AN426" s="1018"/>
      <c r="AO426" s="1018"/>
      <c r="AP426" s="1016"/>
      <c r="AQ426" s="628"/>
      <c r="AS426" s="627"/>
      <c r="AT426" s="1016"/>
      <c r="AU426" s="1016"/>
      <c r="AV426" s="1016"/>
      <c r="AW426" s="628"/>
    </row>
    <row r="427" spans="24:49" ht="15.5" hidden="1" x14ac:dyDescent="0.35">
      <c r="X427" s="597"/>
      <c r="Y427" s="597"/>
      <c r="Z427" s="642"/>
      <c r="AA427" s="642"/>
      <c r="AB427" s="642"/>
      <c r="AC427" s="608" t="s">
        <v>432</v>
      </c>
      <c r="AD427" s="1022" t="s">
        <v>432</v>
      </c>
      <c r="AE427" s="1023" t="s">
        <v>433</v>
      </c>
      <c r="AF427" s="1023" t="s">
        <v>434</v>
      </c>
      <c r="AG427" s="1022" t="s">
        <v>61</v>
      </c>
      <c r="AH427" s="1019">
        <v>2</v>
      </c>
      <c r="AI427" s="1032"/>
      <c r="AJ427" s="617">
        <v>0</v>
      </c>
      <c r="AK427" s="621" t="s">
        <v>62</v>
      </c>
      <c r="AL427">
        <f t="shared" si="1"/>
        <v>0</v>
      </c>
      <c r="AM427" s="1017">
        <v>1</v>
      </c>
      <c r="AN427" s="1018">
        <v>1</v>
      </c>
      <c r="AO427" s="1018"/>
      <c r="AP427" s="1016"/>
      <c r="AQ427" s="628"/>
      <c r="AS427" s="627"/>
      <c r="AT427" s="1016"/>
      <c r="AU427" s="1016"/>
      <c r="AV427" s="1016"/>
      <c r="AW427" s="628"/>
    </row>
    <row r="428" spans="24:49" ht="15.5" hidden="1" x14ac:dyDescent="0.35">
      <c r="X428" s="597"/>
      <c r="Y428" s="597"/>
      <c r="Z428" s="642"/>
      <c r="AA428" s="642"/>
      <c r="AB428" s="642"/>
      <c r="AC428" s="609" t="s">
        <v>435</v>
      </c>
      <c r="AD428" s="1025" t="s">
        <v>435</v>
      </c>
      <c r="AE428" s="1025" t="s">
        <v>436</v>
      </c>
      <c r="AF428" s="1025" t="s">
        <v>437</v>
      </c>
      <c r="AG428" s="1019" t="s">
        <v>61</v>
      </c>
      <c r="AH428" s="1019">
        <v>2</v>
      </c>
      <c r="AI428" s="1021"/>
      <c r="AJ428" s="617">
        <v>1</v>
      </c>
      <c r="AK428" s="621" t="s">
        <v>83</v>
      </c>
      <c r="AL428">
        <f t="shared" si="1"/>
        <v>0</v>
      </c>
      <c r="AM428" s="1017">
        <v>1</v>
      </c>
      <c r="AN428" s="1018"/>
      <c r="AO428" s="1018"/>
      <c r="AP428" s="1016"/>
      <c r="AQ428" s="628"/>
      <c r="AS428" s="627"/>
      <c r="AT428" s="1016"/>
      <c r="AU428" s="1016"/>
      <c r="AV428" s="1016"/>
      <c r="AW428" s="628"/>
    </row>
    <row r="429" spans="24:49" ht="15.5" hidden="1" x14ac:dyDescent="0.35">
      <c r="X429" s="597"/>
      <c r="Y429" s="597"/>
      <c r="Z429" s="642"/>
      <c r="AA429" s="642"/>
      <c r="AB429" s="642"/>
      <c r="AC429" s="607" t="s">
        <v>438</v>
      </c>
      <c r="AD429" s="1019" t="s">
        <v>438</v>
      </c>
      <c r="AE429" s="1020" t="s">
        <v>439</v>
      </c>
      <c r="AF429" s="1020" t="s">
        <v>440</v>
      </c>
      <c r="AG429" s="1019" t="s">
        <v>61</v>
      </c>
      <c r="AH429" s="1019">
        <v>2</v>
      </c>
      <c r="AI429" s="1021"/>
      <c r="AJ429" s="617">
        <v>0</v>
      </c>
      <c r="AK429" s="621" t="s">
        <v>62</v>
      </c>
      <c r="AL429">
        <f t="shared" si="1"/>
        <v>0</v>
      </c>
      <c r="AM429" s="1017">
        <v>1</v>
      </c>
      <c r="AN429" s="1018"/>
      <c r="AO429" s="1018"/>
      <c r="AP429" s="1016"/>
      <c r="AQ429" s="628"/>
      <c r="AS429" s="627"/>
      <c r="AT429" s="1016"/>
      <c r="AU429" s="1016"/>
      <c r="AV429" s="1016"/>
      <c r="AW429" s="628"/>
    </row>
    <row r="430" spans="24:49" ht="15.5" hidden="1" x14ac:dyDescent="0.35">
      <c r="X430" s="597"/>
      <c r="Y430" s="597"/>
      <c r="Z430" s="642"/>
      <c r="AA430" s="642"/>
      <c r="AB430" s="642"/>
      <c r="AC430" s="607" t="s">
        <v>441</v>
      </c>
      <c r="AD430" s="1019" t="s">
        <v>441</v>
      </c>
      <c r="AE430" s="1019" t="s">
        <v>442</v>
      </c>
      <c r="AF430" s="1019" t="s">
        <v>443</v>
      </c>
      <c r="AG430" s="1019" t="s">
        <v>61</v>
      </c>
      <c r="AH430" s="1019">
        <v>2</v>
      </c>
      <c r="AI430" s="1021"/>
      <c r="AJ430" s="617">
        <v>0</v>
      </c>
      <c r="AK430" s="621" t="s">
        <v>62</v>
      </c>
      <c r="AL430">
        <f t="shared" si="1"/>
        <v>0</v>
      </c>
      <c r="AM430" s="1017">
        <v>1</v>
      </c>
      <c r="AN430" s="1018">
        <v>1</v>
      </c>
      <c r="AO430" s="1018"/>
      <c r="AP430" s="1016"/>
      <c r="AQ430" s="628"/>
      <c r="AS430" s="627"/>
      <c r="AT430" s="1016"/>
      <c r="AU430" s="1016"/>
      <c r="AV430" s="1016"/>
      <c r="AW430" s="628"/>
    </row>
    <row r="431" spans="24:49" ht="15.5" hidden="1" x14ac:dyDescent="0.35">
      <c r="X431" s="597"/>
      <c r="Y431" s="597"/>
      <c r="Z431" s="642"/>
      <c r="AA431" s="642"/>
      <c r="AB431" s="642"/>
      <c r="AC431" s="607" t="s">
        <v>444</v>
      </c>
      <c r="AD431" s="1019" t="s">
        <v>444</v>
      </c>
      <c r="AE431" s="1020" t="s">
        <v>445</v>
      </c>
      <c r="AF431" s="1020" t="s">
        <v>446</v>
      </c>
      <c r="AG431" s="1019" t="s">
        <v>101</v>
      </c>
      <c r="AH431" s="1019">
        <v>1</v>
      </c>
      <c r="AI431" s="1024"/>
      <c r="AJ431" s="617">
        <v>0</v>
      </c>
      <c r="AK431" s="621" t="s">
        <v>102</v>
      </c>
      <c r="AL431">
        <f t="shared" si="1"/>
        <v>1</v>
      </c>
      <c r="AM431" s="1017">
        <v>1</v>
      </c>
      <c r="AN431" s="1018">
        <v>1</v>
      </c>
      <c r="AO431" s="1018"/>
      <c r="AP431" s="1016"/>
      <c r="AQ431" s="628"/>
      <c r="AS431" s="627"/>
      <c r="AT431" s="1016"/>
      <c r="AU431" s="1016"/>
      <c r="AV431" s="1016"/>
      <c r="AW431" s="628"/>
    </row>
    <row r="432" spans="24:49" ht="15.5" hidden="1" x14ac:dyDescent="0.35">
      <c r="X432" s="597"/>
      <c r="Y432" s="597"/>
      <c r="Z432" s="642"/>
      <c r="AA432" s="642"/>
      <c r="AB432" s="642"/>
      <c r="AC432" s="607" t="s">
        <v>447</v>
      </c>
      <c r="AD432" s="1019" t="s">
        <v>447</v>
      </c>
      <c r="AE432" s="1020" t="s">
        <v>448</v>
      </c>
      <c r="AF432" s="1020" t="s">
        <v>449</v>
      </c>
      <c r="AG432" s="1019" t="s">
        <v>61</v>
      </c>
      <c r="AH432" s="1019">
        <v>2</v>
      </c>
      <c r="AI432" s="1021"/>
      <c r="AJ432" s="617">
        <v>1</v>
      </c>
      <c r="AK432" s="621" t="s">
        <v>83</v>
      </c>
      <c r="AL432">
        <f t="shared" si="1"/>
        <v>0</v>
      </c>
      <c r="AM432" s="1017">
        <v>1</v>
      </c>
      <c r="AN432" s="1018"/>
      <c r="AO432" s="1018"/>
      <c r="AP432" s="1016"/>
      <c r="AQ432" s="628"/>
      <c r="AS432" s="627"/>
      <c r="AT432" s="1016"/>
      <c r="AU432" s="1016"/>
      <c r="AV432" s="1016"/>
      <c r="AW432" s="628"/>
    </row>
    <row r="433" spans="24:49" ht="15.5" hidden="1" x14ac:dyDescent="0.35">
      <c r="X433" s="597"/>
      <c r="Y433" s="597"/>
      <c r="Z433" s="642"/>
      <c r="AA433" s="642"/>
      <c r="AB433" s="642"/>
      <c r="AC433" s="607" t="s">
        <v>450</v>
      </c>
      <c r="AD433" s="1019" t="s">
        <v>450</v>
      </c>
      <c r="AE433" s="1020" t="s">
        <v>451</v>
      </c>
      <c r="AF433" s="1020" t="s">
        <v>452</v>
      </c>
      <c r="AG433" s="1019" t="s">
        <v>61</v>
      </c>
      <c r="AH433" s="1019">
        <v>2</v>
      </c>
      <c r="AI433" s="1027"/>
      <c r="AJ433" s="617">
        <v>1</v>
      </c>
      <c r="AK433" s="621" t="s">
        <v>83</v>
      </c>
      <c r="AL433">
        <f t="shared" si="1"/>
        <v>0</v>
      </c>
      <c r="AM433" s="1017">
        <v>1</v>
      </c>
      <c r="AN433" s="1018">
        <v>1</v>
      </c>
      <c r="AO433" s="1018"/>
      <c r="AP433" s="1016"/>
      <c r="AQ433" s="628"/>
      <c r="AS433" s="627"/>
      <c r="AT433" s="1016"/>
      <c r="AU433" s="1016"/>
      <c r="AV433" s="1016"/>
      <c r="AW433" s="628"/>
    </row>
    <row r="434" spans="24:49" ht="15.5" hidden="1" x14ac:dyDescent="0.35">
      <c r="X434" s="597"/>
      <c r="Y434" s="597"/>
      <c r="Z434" s="642"/>
      <c r="AA434" s="642"/>
      <c r="AB434" s="642"/>
      <c r="AC434" s="607" t="s">
        <v>453</v>
      </c>
      <c r="AD434" s="1019" t="s">
        <v>453</v>
      </c>
      <c r="AE434" s="1020" t="s">
        <v>454</v>
      </c>
      <c r="AF434" s="1020" t="s">
        <v>455</v>
      </c>
      <c r="AG434" s="1019" t="s">
        <v>61</v>
      </c>
      <c r="AH434" s="1019">
        <v>2</v>
      </c>
      <c r="AI434" s="1024"/>
      <c r="AJ434" s="617">
        <v>0</v>
      </c>
      <c r="AK434" s="621" t="s">
        <v>62</v>
      </c>
      <c r="AL434">
        <f t="shared" si="1"/>
        <v>0</v>
      </c>
      <c r="AM434" s="1017">
        <v>1</v>
      </c>
      <c r="AN434" s="1018"/>
      <c r="AO434" s="1018"/>
      <c r="AP434" s="1016"/>
      <c r="AQ434" s="628"/>
      <c r="AS434" s="627"/>
      <c r="AT434" s="1016"/>
      <c r="AU434" s="1016"/>
      <c r="AV434" s="1016"/>
      <c r="AW434" s="628"/>
    </row>
    <row r="435" spans="24:49" ht="15.5" hidden="1" x14ac:dyDescent="0.35">
      <c r="X435" s="597"/>
      <c r="Y435" s="597"/>
      <c r="Z435" s="642"/>
      <c r="AA435" s="642"/>
      <c r="AB435" s="642"/>
      <c r="AC435" s="607" t="s">
        <v>456</v>
      </c>
      <c r="AD435" s="1019" t="s">
        <v>456</v>
      </c>
      <c r="AE435" s="1020" t="s">
        <v>457</v>
      </c>
      <c r="AF435" s="1020" t="s">
        <v>458</v>
      </c>
      <c r="AG435" s="1019" t="s">
        <v>57</v>
      </c>
      <c r="AH435" s="1019">
        <v>1</v>
      </c>
      <c r="AI435" s="1021"/>
      <c r="AJ435" s="617">
        <v>1</v>
      </c>
      <c r="AK435" s="621" t="s">
        <v>109</v>
      </c>
      <c r="AL435">
        <f t="shared" si="1"/>
        <v>1</v>
      </c>
      <c r="AM435" s="1017" t="s">
        <v>84</v>
      </c>
      <c r="AN435" s="1018"/>
      <c r="AO435" s="1018"/>
      <c r="AP435" s="1016"/>
      <c r="AQ435" s="628"/>
      <c r="AS435" s="627"/>
      <c r="AT435" s="1016"/>
      <c r="AU435" s="1016"/>
      <c r="AV435" s="1016"/>
      <c r="AW435" s="628"/>
    </row>
    <row r="436" spans="24:49" ht="15.5" hidden="1" x14ac:dyDescent="0.35">
      <c r="X436" s="597"/>
      <c r="Y436" s="597"/>
      <c r="Z436" s="642"/>
      <c r="AA436" s="642"/>
      <c r="AB436" s="642"/>
      <c r="AC436" s="607" t="s">
        <v>6033</v>
      </c>
      <c r="AD436" s="1019" t="s">
        <v>6033</v>
      </c>
      <c r="AE436" s="1020" t="s">
        <v>460</v>
      </c>
      <c r="AF436" s="1020" t="s">
        <v>461</v>
      </c>
      <c r="AG436" s="1019" t="s">
        <v>63</v>
      </c>
      <c r="AH436" s="1019">
        <v>4</v>
      </c>
      <c r="AI436" s="1032"/>
      <c r="AJ436" s="617">
        <v>0</v>
      </c>
      <c r="AK436" s="621" t="s">
        <v>93</v>
      </c>
      <c r="AL436">
        <f t="shared" si="1"/>
        <v>0</v>
      </c>
      <c r="AM436" s="1017" t="s">
        <v>84</v>
      </c>
      <c r="AN436" s="1018"/>
      <c r="AO436" s="1018"/>
      <c r="AP436" s="1016"/>
      <c r="AQ436" s="628"/>
      <c r="AS436" s="627"/>
      <c r="AT436" s="1016"/>
      <c r="AU436" s="1016"/>
      <c r="AV436" s="1016"/>
      <c r="AW436" s="628"/>
    </row>
    <row r="437" spans="24:49" ht="15.5" hidden="1" x14ac:dyDescent="0.35">
      <c r="X437" s="597"/>
      <c r="Y437" s="597"/>
      <c r="Z437" s="642"/>
      <c r="AA437" s="642"/>
      <c r="AB437" s="642"/>
      <c r="AC437" s="611" t="s">
        <v>6034</v>
      </c>
      <c r="AD437" s="1031" t="s">
        <v>6034</v>
      </c>
      <c r="AE437" s="1020" t="s">
        <v>463</v>
      </c>
      <c r="AF437" s="1020" t="s">
        <v>464</v>
      </c>
      <c r="AG437" s="1019" t="s">
        <v>71</v>
      </c>
      <c r="AH437" s="1019">
        <v>4</v>
      </c>
      <c r="AI437" s="1024"/>
      <c r="AJ437" s="617">
        <v>0</v>
      </c>
      <c r="AK437" s="621" t="s">
        <v>93</v>
      </c>
      <c r="AL437">
        <f t="shared" si="1"/>
        <v>0</v>
      </c>
      <c r="AM437" s="1017" t="s">
        <v>84</v>
      </c>
      <c r="AN437" s="1018"/>
      <c r="AO437" s="1018"/>
      <c r="AP437" s="1016"/>
      <c r="AQ437" s="628"/>
      <c r="AS437" s="627"/>
      <c r="AT437" s="1016"/>
      <c r="AU437" s="1016"/>
      <c r="AV437" s="1016"/>
      <c r="AW437" s="628"/>
    </row>
    <row r="438" spans="24:49" ht="15.5" hidden="1" x14ac:dyDescent="0.35">
      <c r="X438" s="597"/>
      <c r="Y438" s="597"/>
      <c r="Z438" s="642"/>
      <c r="AA438" s="642"/>
      <c r="AB438" s="642"/>
      <c r="AC438" s="609" t="s">
        <v>465</v>
      </c>
      <c r="AD438" s="1025" t="s">
        <v>465</v>
      </c>
      <c r="AE438" s="1025" t="s">
        <v>466</v>
      </c>
      <c r="AF438" s="1025" t="s">
        <v>467</v>
      </c>
      <c r="AG438" s="1019" t="s">
        <v>61</v>
      </c>
      <c r="AH438" s="1019">
        <v>2</v>
      </c>
      <c r="AI438" s="1021"/>
      <c r="AJ438" s="617">
        <v>0</v>
      </c>
      <c r="AK438" s="621" t="s">
        <v>62</v>
      </c>
      <c r="AL438">
        <f t="shared" si="1"/>
        <v>0</v>
      </c>
      <c r="AM438" s="1017">
        <v>1</v>
      </c>
      <c r="AN438" s="1018">
        <v>1</v>
      </c>
      <c r="AO438" s="1018"/>
      <c r="AP438" s="1016"/>
      <c r="AQ438" s="628"/>
      <c r="AS438" s="627"/>
      <c r="AT438" s="1016"/>
      <c r="AU438" s="1016"/>
      <c r="AV438" s="1016"/>
      <c r="AW438" s="628"/>
    </row>
    <row r="439" spans="24:49" ht="15.5" hidden="1" x14ac:dyDescent="0.35">
      <c r="X439" s="597"/>
      <c r="Y439" s="597"/>
      <c r="Z439" s="642"/>
      <c r="AA439" s="642"/>
      <c r="AB439" s="642"/>
      <c r="AC439" s="609" t="s">
        <v>468</v>
      </c>
      <c r="AD439" s="1025" t="s">
        <v>468</v>
      </c>
      <c r="AE439" s="1025" t="s">
        <v>469</v>
      </c>
      <c r="AF439" s="1025" t="s">
        <v>470</v>
      </c>
      <c r="AG439" s="1025" t="s">
        <v>110</v>
      </c>
      <c r="AH439" s="1019">
        <v>8</v>
      </c>
      <c r="AI439" s="1021"/>
      <c r="AJ439" s="617">
        <v>0</v>
      </c>
      <c r="AK439" s="621" t="s">
        <v>344</v>
      </c>
      <c r="AL439">
        <f t="shared" ref="AL439:AL502" si="2">IF(AG439="UA",1,IF(AG439="MD",1,IF(AG439="OLB",1,IF(AG439="ILB",1,IF(AG439="CC",1,IF(AG439="SCILLY",1,0))))))</f>
        <v>0</v>
      </c>
      <c r="AM439" s="1017" t="s">
        <v>84</v>
      </c>
      <c r="AN439" s="1018"/>
      <c r="AO439" s="1018"/>
      <c r="AP439" s="1026"/>
      <c r="AQ439" s="633"/>
      <c r="AS439" s="634"/>
      <c r="AT439" s="1026"/>
      <c r="AU439" s="1026"/>
      <c r="AV439" s="1026"/>
      <c r="AW439" s="633"/>
    </row>
    <row r="440" spans="24:49" ht="15.5" hidden="1" x14ac:dyDescent="0.35">
      <c r="X440" s="597"/>
      <c r="Y440" s="597"/>
      <c r="Z440" s="642"/>
      <c r="AA440" s="642"/>
      <c r="AB440" s="642"/>
      <c r="AC440" s="607" t="s">
        <v>471</v>
      </c>
      <c r="AD440" s="1019" t="s">
        <v>471</v>
      </c>
      <c r="AE440" s="1020" t="s">
        <v>472</v>
      </c>
      <c r="AF440" s="1020" t="s">
        <v>473</v>
      </c>
      <c r="AG440" s="1019" t="s">
        <v>61</v>
      </c>
      <c r="AH440" s="1019">
        <v>2</v>
      </c>
      <c r="AI440" s="1021"/>
      <c r="AJ440" s="617">
        <v>0</v>
      </c>
      <c r="AK440" s="621" t="s">
        <v>62</v>
      </c>
      <c r="AL440">
        <f t="shared" si="2"/>
        <v>0</v>
      </c>
      <c r="AM440" s="1017">
        <v>1</v>
      </c>
      <c r="AN440" s="1018">
        <v>1</v>
      </c>
      <c r="AO440" s="1018"/>
      <c r="AP440" s="1016"/>
      <c r="AQ440" s="628"/>
      <c r="AS440" s="627"/>
      <c r="AT440" s="1016"/>
      <c r="AU440" s="1016"/>
      <c r="AV440" s="1016"/>
      <c r="AW440" s="628"/>
    </row>
    <row r="441" spans="24:49" ht="15.5" hidden="1" x14ac:dyDescent="0.35">
      <c r="X441" s="597"/>
      <c r="Y441" s="597"/>
      <c r="Z441" s="642"/>
      <c r="AA441" s="642"/>
      <c r="AB441" s="642"/>
      <c r="AC441" s="607" t="s">
        <v>474</v>
      </c>
      <c r="AD441" s="1019" t="s">
        <v>474</v>
      </c>
      <c r="AE441" s="1020" t="s">
        <v>475</v>
      </c>
      <c r="AF441" s="1020" t="s">
        <v>476</v>
      </c>
      <c r="AG441" s="1019" t="s">
        <v>61</v>
      </c>
      <c r="AH441" s="1019">
        <v>2</v>
      </c>
      <c r="AI441" s="1024"/>
      <c r="AJ441" s="617">
        <v>1</v>
      </c>
      <c r="AK441" s="621" t="s">
        <v>83</v>
      </c>
      <c r="AL441">
        <f t="shared" si="2"/>
        <v>0</v>
      </c>
      <c r="AM441" s="1017">
        <v>1</v>
      </c>
      <c r="AN441" s="1018"/>
      <c r="AO441" s="1018"/>
      <c r="AP441" s="1016"/>
      <c r="AQ441" s="628"/>
      <c r="AS441" s="627"/>
      <c r="AT441" s="1016"/>
      <c r="AU441" s="1016"/>
      <c r="AV441" s="1016"/>
      <c r="AW441" s="628"/>
    </row>
    <row r="442" spans="24:49" ht="15.5" hidden="1" x14ac:dyDescent="0.35">
      <c r="X442" s="597"/>
      <c r="Z442" s="642"/>
      <c r="AA442" s="642"/>
      <c r="AB442" s="642"/>
      <c r="AC442" s="608" t="s">
        <v>477</v>
      </c>
      <c r="AD442" s="1022" t="s">
        <v>477</v>
      </c>
      <c r="AE442" s="1023" t="s">
        <v>478</v>
      </c>
      <c r="AF442" s="1023" t="s">
        <v>479</v>
      </c>
      <c r="AG442" s="1022" t="s">
        <v>61</v>
      </c>
      <c r="AH442" s="1019">
        <v>2</v>
      </c>
      <c r="AI442" s="1019"/>
      <c r="AJ442" s="617">
        <v>0</v>
      </c>
      <c r="AK442" s="621" t="s">
        <v>62</v>
      </c>
      <c r="AL442">
        <f t="shared" si="2"/>
        <v>0</v>
      </c>
      <c r="AM442" s="1017">
        <v>1</v>
      </c>
      <c r="AN442" s="1018">
        <v>1</v>
      </c>
      <c r="AO442" s="1018"/>
      <c r="AP442" s="1016"/>
      <c r="AQ442" s="628"/>
      <c r="AS442" s="627"/>
      <c r="AT442" s="1016"/>
      <c r="AU442" s="1016"/>
      <c r="AV442" s="1016"/>
      <c r="AW442" s="628"/>
    </row>
    <row r="443" spans="24:49" ht="15.5" hidden="1" x14ac:dyDescent="0.35">
      <c r="X443" s="597"/>
      <c r="Z443" s="642"/>
      <c r="AA443" s="642"/>
      <c r="AB443" s="642"/>
      <c r="AC443" s="608" t="s">
        <v>480</v>
      </c>
      <c r="AD443" s="1022" t="s">
        <v>480</v>
      </c>
      <c r="AE443" s="1023" t="s">
        <v>481</v>
      </c>
      <c r="AF443" s="1023" t="s">
        <v>482</v>
      </c>
      <c r="AG443" s="1022" t="s">
        <v>61</v>
      </c>
      <c r="AH443" s="1019">
        <v>2</v>
      </c>
      <c r="AI443" s="1021"/>
      <c r="AJ443" s="617">
        <v>0</v>
      </c>
      <c r="AK443" s="621" t="s">
        <v>62</v>
      </c>
      <c r="AL443">
        <f t="shared" si="2"/>
        <v>0</v>
      </c>
      <c r="AM443" s="1017">
        <v>1</v>
      </c>
      <c r="AN443" s="1018"/>
      <c r="AO443" s="1018"/>
      <c r="AP443" s="1016"/>
      <c r="AQ443" s="628"/>
      <c r="AS443" s="627"/>
      <c r="AT443" s="1016"/>
      <c r="AU443" s="1016"/>
      <c r="AV443" s="1016"/>
      <c r="AW443" s="628"/>
    </row>
    <row r="444" spans="24:49" ht="15.5" hidden="1" x14ac:dyDescent="0.35">
      <c r="X444" s="597"/>
      <c r="Z444" s="642"/>
      <c r="AA444" s="642"/>
      <c r="AB444" s="642"/>
      <c r="AC444" s="607" t="s">
        <v>483</v>
      </c>
      <c r="AD444" s="1019" t="s">
        <v>483</v>
      </c>
      <c r="AE444" s="1020" t="s">
        <v>484</v>
      </c>
      <c r="AF444" s="1020" t="s">
        <v>485</v>
      </c>
      <c r="AG444" s="1019" t="s">
        <v>61</v>
      </c>
      <c r="AH444" s="1019">
        <v>2</v>
      </c>
      <c r="AI444" s="1021"/>
      <c r="AJ444" s="617">
        <v>0</v>
      </c>
      <c r="AK444" s="621" t="s">
        <v>62</v>
      </c>
      <c r="AL444">
        <f t="shared" si="2"/>
        <v>0</v>
      </c>
      <c r="AM444" s="1017">
        <v>1</v>
      </c>
      <c r="AN444" s="1018"/>
      <c r="AO444" s="1018"/>
      <c r="AP444" s="1016"/>
      <c r="AQ444" s="628"/>
      <c r="AS444" s="627"/>
      <c r="AT444" s="1016"/>
      <c r="AU444" s="1016"/>
      <c r="AV444" s="1016"/>
      <c r="AW444" s="628"/>
    </row>
    <row r="445" spans="24:49" ht="14.5" hidden="1" x14ac:dyDescent="0.35">
      <c r="Z445" s="642"/>
      <c r="AA445" s="642"/>
      <c r="AB445" s="642"/>
      <c r="AC445" s="607" t="s">
        <v>486</v>
      </c>
      <c r="AD445" s="1019" t="s">
        <v>486</v>
      </c>
      <c r="AE445" s="1020" t="s">
        <v>487</v>
      </c>
      <c r="AF445" s="1020" t="s">
        <v>488</v>
      </c>
      <c r="AG445" s="1019" t="s">
        <v>97</v>
      </c>
      <c r="AH445" s="1019">
        <v>1</v>
      </c>
      <c r="AI445" s="1021"/>
      <c r="AJ445" s="617">
        <v>0</v>
      </c>
      <c r="AK445" s="621" t="s">
        <v>102</v>
      </c>
      <c r="AL445">
        <f t="shared" si="2"/>
        <v>1</v>
      </c>
      <c r="AM445" s="1017">
        <v>1</v>
      </c>
      <c r="AN445" s="1018">
        <v>1</v>
      </c>
      <c r="AO445" s="1018"/>
      <c r="AP445" s="1016"/>
      <c r="AQ445" s="628"/>
      <c r="AS445" s="627"/>
      <c r="AT445" s="1016"/>
      <c r="AU445" s="1016"/>
      <c r="AV445" s="1016"/>
      <c r="AW445" s="628"/>
    </row>
    <row r="446" spans="24:49" ht="14.5" hidden="1" x14ac:dyDescent="0.35">
      <c r="Z446" s="642"/>
      <c r="AA446" s="642"/>
      <c r="AB446" s="642"/>
      <c r="AC446" s="607" t="s">
        <v>489</v>
      </c>
      <c r="AD446" s="1019" t="s">
        <v>489</v>
      </c>
      <c r="AE446" s="1020" t="s">
        <v>490</v>
      </c>
      <c r="AF446" s="1020" t="s">
        <v>491</v>
      </c>
      <c r="AG446" s="1019" t="s">
        <v>61</v>
      </c>
      <c r="AH446" s="1019">
        <v>2</v>
      </c>
      <c r="AI446" s="1021"/>
      <c r="AJ446" s="617">
        <v>0</v>
      </c>
      <c r="AK446" s="621" t="s">
        <v>62</v>
      </c>
      <c r="AL446">
        <f t="shared" si="2"/>
        <v>0</v>
      </c>
      <c r="AM446" s="1017">
        <v>1</v>
      </c>
      <c r="AN446" s="1018">
        <v>1</v>
      </c>
      <c r="AO446" s="1018"/>
      <c r="AP446" s="1016"/>
      <c r="AQ446" s="628"/>
      <c r="AS446" s="627"/>
      <c r="AT446" s="1016"/>
      <c r="AU446" s="1016"/>
      <c r="AV446" s="1016"/>
      <c r="AW446" s="628"/>
    </row>
    <row r="447" spans="24:49" ht="14.5" hidden="1" x14ac:dyDescent="0.35">
      <c r="Z447" s="642"/>
      <c r="AA447" s="642"/>
      <c r="AB447" s="642"/>
      <c r="AC447" s="607" t="s">
        <v>492</v>
      </c>
      <c r="AD447" s="1019" t="s">
        <v>492</v>
      </c>
      <c r="AE447" s="1020" t="s">
        <v>493</v>
      </c>
      <c r="AF447" s="1020" t="s">
        <v>494</v>
      </c>
      <c r="AG447" s="1019" t="s">
        <v>61</v>
      </c>
      <c r="AH447" s="1019">
        <v>2</v>
      </c>
      <c r="AI447" s="1021"/>
      <c r="AJ447" s="617">
        <v>0</v>
      </c>
      <c r="AK447" s="621" t="s">
        <v>62</v>
      </c>
      <c r="AL447">
        <f t="shared" si="2"/>
        <v>0</v>
      </c>
      <c r="AM447" s="1017">
        <v>1</v>
      </c>
      <c r="AN447" s="1018">
        <v>1</v>
      </c>
      <c r="AO447" s="1018"/>
      <c r="AP447" s="1016"/>
      <c r="AQ447" s="628"/>
      <c r="AS447" s="627"/>
      <c r="AT447" s="1016"/>
      <c r="AU447" s="1016"/>
      <c r="AV447" s="1016"/>
      <c r="AW447" s="628"/>
    </row>
    <row r="448" spans="24:49" ht="14.5" hidden="1" x14ac:dyDescent="0.35">
      <c r="Z448" s="642"/>
      <c r="AA448" s="642"/>
      <c r="AB448" s="642"/>
      <c r="AC448" s="607" t="s">
        <v>495</v>
      </c>
      <c r="AD448" s="1019" t="s">
        <v>495</v>
      </c>
      <c r="AE448" s="1020" t="s">
        <v>496</v>
      </c>
      <c r="AF448" s="1020" t="s">
        <v>497</v>
      </c>
      <c r="AG448" s="1019" t="s">
        <v>57</v>
      </c>
      <c r="AH448" s="1019">
        <v>1</v>
      </c>
      <c r="AI448" s="1021"/>
      <c r="AJ448" s="617">
        <v>0</v>
      </c>
      <c r="AK448" s="621" t="s">
        <v>102</v>
      </c>
      <c r="AL448">
        <f t="shared" si="2"/>
        <v>1</v>
      </c>
      <c r="AM448" s="1017" t="s">
        <v>84</v>
      </c>
      <c r="AN448" s="1018"/>
      <c r="AO448" s="1018"/>
      <c r="AP448" s="1016"/>
      <c r="AQ448" s="628"/>
      <c r="AS448" s="627"/>
      <c r="AT448" s="1016"/>
      <c r="AU448" s="1016"/>
      <c r="AV448" s="1016"/>
      <c r="AW448" s="628"/>
    </row>
    <row r="449" spans="26:49" ht="14.5" hidden="1" x14ac:dyDescent="0.35">
      <c r="Z449" s="642"/>
      <c r="AA449" s="642"/>
      <c r="AB449" s="642"/>
      <c r="AC449" s="607" t="s">
        <v>498</v>
      </c>
      <c r="AD449" s="1019" t="s">
        <v>498</v>
      </c>
      <c r="AE449" s="1020" t="s">
        <v>499</v>
      </c>
      <c r="AF449" s="1020" t="s">
        <v>500</v>
      </c>
      <c r="AG449" s="1019" t="s">
        <v>71</v>
      </c>
      <c r="AH449" s="1019">
        <v>4</v>
      </c>
      <c r="AI449" s="1021"/>
      <c r="AJ449" s="617">
        <v>0</v>
      </c>
      <c r="AK449" s="621" t="s">
        <v>93</v>
      </c>
      <c r="AL449">
        <f t="shared" si="2"/>
        <v>0</v>
      </c>
      <c r="AM449" s="1017" t="s">
        <v>84</v>
      </c>
      <c r="AN449" s="1018"/>
      <c r="AO449" s="1018"/>
      <c r="AP449" s="1016"/>
      <c r="AQ449" s="628"/>
      <c r="AS449" s="627"/>
      <c r="AT449" s="1016"/>
      <c r="AU449" s="1016"/>
      <c r="AV449" s="1016"/>
      <c r="AW449" s="628"/>
    </row>
    <row r="450" spans="26:49" ht="14.5" hidden="1" x14ac:dyDescent="0.35">
      <c r="Z450" s="642"/>
      <c r="AA450" s="642"/>
      <c r="AB450" s="642"/>
      <c r="AC450" s="611" t="s">
        <v>501</v>
      </c>
      <c r="AD450" s="1031" t="s">
        <v>501</v>
      </c>
      <c r="AE450" s="1020" t="s">
        <v>502</v>
      </c>
      <c r="AF450" s="1020" t="s">
        <v>503</v>
      </c>
      <c r="AG450" s="1019" t="s">
        <v>61</v>
      </c>
      <c r="AH450" s="1019">
        <v>2</v>
      </c>
      <c r="AI450" s="1024"/>
      <c r="AJ450" s="617">
        <v>0</v>
      </c>
      <c r="AK450" s="621" t="s">
        <v>62</v>
      </c>
      <c r="AL450">
        <f t="shared" si="2"/>
        <v>0</v>
      </c>
      <c r="AM450" s="1017">
        <v>1</v>
      </c>
      <c r="AN450" s="1018">
        <v>1</v>
      </c>
      <c r="AO450" s="1018"/>
      <c r="AP450" s="1016"/>
      <c r="AQ450" s="628"/>
      <c r="AS450" s="627"/>
      <c r="AT450" s="1016"/>
      <c r="AU450" s="1016"/>
      <c r="AV450" s="1016"/>
      <c r="AW450" s="628"/>
    </row>
    <row r="451" spans="26:49" ht="14.5" hidden="1" x14ac:dyDescent="0.35">
      <c r="Z451" s="642"/>
      <c r="AA451" s="642"/>
      <c r="AB451" s="642"/>
      <c r="AC451" s="609" t="s">
        <v>504</v>
      </c>
      <c r="AD451" s="1025" t="s">
        <v>504</v>
      </c>
      <c r="AE451" s="1025" t="s">
        <v>505</v>
      </c>
      <c r="AF451" s="1025" t="s">
        <v>506</v>
      </c>
      <c r="AG451" s="1025" t="s">
        <v>61</v>
      </c>
      <c r="AH451" s="1019">
        <v>2</v>
      </c>
      <c r="AI451" s="1021"/>
      <c r="AJ451" s="617">
        <v>1</v>
      </c>
      <c r="AK451" s="621" t="s">
        <v>83</v>
      </c>
      <c r="AL451">
        <f t="shared" si="2"/>
        <v>0</v>
      </c>
      <c r="AM451" s="1017">
        <v>1</v>
      </c>
      <c r="AN451" s="1018"/>
      <c r="AO451" s="1018"/>
      <c r="AP451" s="1026"/>
      <c r="AQ451" s="633"/>
      <c r="AS451" s="634"/>
      <c r="AT451" s="1026"/>
      <c r="AU451" s="1026"/>
      <c r="AV451" s="1026"/>
      <c r="AW451" s="633"/>
    </row>
    <row r="452" spans="26:49" ht="14.5" hidden="1" x14ac:dyDescent="0.35">
      <c r="Z452" s="642"/>
      <c r="AA452" s="642"/>
      <c r="AB452" s="642"/>
      <c r="AC452" s="607" t="s">
        <v>507</v>
      </c>
      <c r="AD452" s="1019" t="s">
        <v>507</v>
      </c>
      <c r="AE452" s="1020" t="s">
        <v>508</v>
      </c>
      <c r="AF452" s="1020" t="s">
        <v>509</v>
      </c>
      <c r="AG452" s="1019" t="s">
        <v>61</v>
      </c>
      <c r="AH452" s="1019">
        <v>2</v>
      </c>
      <c r="AI452" s="1021"/>
      <c r="AJ452" s="617">
        <v>0</v>
      </c>
      <c r="AK452" s="621" t="s">
        <v>62</v>
      </c>
      <c r="AL452">
        <f t="shared" si="2"/>
        <v>0</v>
      </c>
      <c r="AM452" s="1017">
        <v>1</v>
      </c>
      <c r="AN452" s="1018"/>
      <c r="AO452" s="1018"/>
      <c r="AP452" s="1016"/>
      <c r="AQ452" s="628"/>
      <c r="AS452" s="627"/>
      <c r="AT452" s="1016"/>
      <c r="AU452" s="1016"/>
      <c r="AV452" s="1016"/>
      <c r="AW452" s="628"/>
    </row>
    <row r="453" spans="26:49" ht="14.5" hidden="1" x14ac:dyDescent="0.35">
      <c r="Z453" s="642"/>
      <c r="AA453" s="642"/>
      <c r="AB453" s="642"/>
      <c r="AC453" s="607" t="s">
        <v>510</v>
      </c>
      <c r="AD453" s="1019" t="s">
        <v>510</v>
      </c>
      <c r="AE453" s="1020" t="s">
        <v>511</v>
      </c>
      <c r="AF453" s="1020" t="s">
        <v>512</v>
      </c>
      <c r="AG453" s="1019" t="s">
        <v>79</v>
      </c>
      <c r="AH453" s="1019">
        <v>6</v>
      </c>
      <c r="AI453" s="1024"/>
      <c r="AJ453" s="617">
        <v>1</v>
      </c>
      <c r="AK453" s="621" t="s">
        <v>109</v>
      </c>
      <c r="AL453">
        <f t="shared" si="2"/>
        <v>0</v>
      </c>
      <c r="AM453" s="1017" t="s">
        <v>84</v>
      </c>
      <c r="AN453" s="1018"/>
      <c r="AO453" s="1018"/>
      <c r="AP453" s="1016"/>
      <c r="AQ453" s="628"/>
      <c r="AS453" s="627"/>
      <c r="AT453" s="1016"/>
      <c r="AU453" s="1016"/>
      <c r="AV453" s="1016"/>
      <c r="AW453" s="628"/>
    </row>
    <row r="454" spans="26:49" ht="14.5" hidden="1" x14ac:dyDescent="0.35">
      <c r="Z454" s="642"/>
      <c r="AA454" s="642"/>
      <c r="AB454" s="642"/>
      <c r="AC454" s="607" t="s">
        <v>513</v>
      </c>
      <c r="AD454" s="1019" t="s">
        <v>513</v>
      </c>
      <c r="AE454" s="1020" t="s">
        <v>514</v>
      </c>
      <c r="AF454" s="1020" t="s">
        <v>515</v>
      </c>
      <c r="AG454" s="1019" t="s">
        <v>114</v>
      </c>
      <c r="AH454" s="1019">
        <v>3</v>
      </c>
      <c r="AI454" s="1021"/>
      <c r="AJ454" s="617">
        <v>0</v>
      </c>
      <c r="AK454" s="621" t="s">
        <v>344</v>
      </c>
      <c r="AL454">
        <f t="shared" si="2"/>
        <v>0</v>
      </c>
      <c r="AM454" s="1017" t="s">
        <v>84</v>
      </c>
      <c r="AN454" s="1018"/>
      <c r="AO454" s="1018"/>
      <c r="AP454" s="1016"/>
      <c r="AQ454" s="628"/>
      <c r="AS454" s="627"/>
      <c r="AT454" s="1016"/>
      <c r="AU454" s="1016"/>
      <c r="AV454" s="1016"/>
      <c r="AW454" s="628"/>
    </row>
    <row r="455" spans="26:49" ht="14.5" hidden="1" x14ac:dyDescent="0.35">
      <c r="Z455" s="642"/>
      <c r="AA455" s="642"/>
      <c r="AB455" s="642"/>
      <c r="AC455" s="607" t="s">
        <v>516</v>
      </c>
      <c r="AD455" s="1019" t="s">
        <v>516</v>
      </c>
      <c r="AE455" s="1020" t="s">
        <v>517</v>
      </c>
      <c r="AF455" s="1020" t="s">
        <v>518</v>
      </c>
      <c r="AG455" s="1022" t="s">
        <v>71</v>
      </c>
      <c r="AH455" s="1022">
        <v>4</v>
      </c>
      <c r="AI455" s="1032"/>
      <c r="AJ455" s="617">
        <v>0</v>
      </c>
      <c r="AK455" s="621" t="s">
        <v>93</v>
      </c>
      <c r="AL455">
        <f t="shared" si="2"/>
        <v>0</v>
      </c>
      <c r="AM455" s="1017" t="s">
        <v>84</v>
      </c>
      <c r="AN455" s="1018"/>
      <c r="AO455" s="1018"/>
      <c r="AP455" s="1016"/>
      <c r="AQ455" s="628"/>
      <c r="AS455" s="627"/>
      <c r="AT455" s="1016"/>
      <c r="AU455" s="1016"/>
      <c r="AV455" s="1016"/>
      <c r="AW455" s="628"/>
    </row>
    <row r="456" spans="26:49" ht="14.5" hidden="1" x14ac:dyDescent="0.35">
      <c r="Z456" s="642"/>
      <c r="AA456" s="642"/>
      <c r="AB456" s="642"/>
      <c r="AC456" s="609" t="s">
        <v>519</v>
      </c>
      <c r="AD456" s="1025" t="s">
        <v>519</v>
      </c>
      <c r="AE456" s="1020" t="s">
        <v>520</v>
      </c>
      <c r="AF456" s="1020" t="s">
        <v>521</v>
      </c>
      <c r="AG456" s="1019" t="s">
        <v>89</v>
      </c>
      <c r="AH456" s="1019">
        <v>1</v>
      </c>
      <c r="AI456" s="1021"/>
      <c r="AJ456" s="617">
        <v>1</v>
      </c>
      <c r="AK456" s="621" t="s">
        <v>522</v>
      </c>
      <c r="AL456">
        <f t="shared" si="2"/>
        <v>1</v>
      </c>
      <c r="AM456" s="1017">
        <v>1</v>
      </c>
      <c r="AN456" s="1018">
        <v>1</v>
      </c>
      <c r="AO456" s="1018"/>
      <c r="AP456" s="1016"/>
      <c r="AQ456" s="628"/>
      <c r="AS456" s="627"/>
      <c r="AT456" s="1016"/>
      <c r="AU456" s="1016"/>
      <c r="AV456" s="1016"/>
      <c r="AW456" s="628"/>
    </row>
    <row r="457" spans="26:49" ht="14.5" hidden="1" x14ac:dyDescent="0.35">
      <c r="Z457" s="642"/>
      <c r="AA457" s="642"/>
      <c r="AB457" s="642"/>
      <c r="AC457" s="609" t="s">
        <v>523</v>
      </c>
      <c r="AD457" s="1025" t="s">
        <v>523</v>
      </c>
      <c r="AE457" s="1025" t="s">
        <v>524</v>
      </c>
      <c r="AF457" s="1025" t="s">
        <v>525</v>
      </c>
      <c r="AG457" s="1019" t="s">
        <v>61</v>
      </c>
      <c r="AH457" s="1019">
        <v>2</v>
      </c>
      <c r="AI457" s="1021"/>
      <c r="AJ457" s="617">
        <v>1</v>
      </c>
      <c r="AK457" s="621" t="s">
        <v>83</v>
      </c>
      <c r="AL457">
        <f t="shared" si="2"/>
        <v>0</v>
      </c>
      <c r="AM457" s="1017">
        <v>1</v>
      </c>
      <c r="AN457" s="1018"/>
      <c r="AO457" s="1018"/>
      <c r="AP457" s="1016"/>
      <c r="AQ457" s="628"/>
      <c r="AS457" s="627"/>
      <c r="AT457" s="1016"/>
      <c r="AU457" s="1016"/>
      <c r="AV457" s="1016"/>
      <c r="AW457" s="628"/>
    </row>
    <row r="458" spans="26:49" ht="14.5" hidden="1" x14ac:dyDescent="0.35">
      <c r="Z458" s="642"/>
      <c r="AA458" s="642"/>
      <c r="AB458" s="642"/>
      <c r="AC458" s="609" t="s">
        <v>526</v>
      </c>
      <c r="AD458" s="1025" t="s">
        <v>526</v>
      </c>
      <c r="AE458" s="1025" t="s">
        <v>527</v>
      </c>
      <c r="AF458" s="1025" t="s">
        <v>528</v>
      </c>
      <c r="AG458" s="1025" t="s">
        <v>89</v>
      </c>
      <c r="AH458" s="1019">
        <v>1</v>
      </c>
      <c r="AI458" s="1021"/>
      <c r="AJ458" s="617">
        <v>1</v>
      </c>
      <c r="AK458" s="621" t="s">
        <v>109</v>
      </c>
      <c r="AL458">
        <f t="shared" si="2"/>
        <v>1</v>
      </c>
      <c r="AM458" s="1017">
        <v>1</v>
      </c>
      <c r="AN458" s="1018">
        <v>1</v>
      </c>
      <c r="AO458" s="1018"/>
      <c r="AP458" s="1026"/>
      <c r="AQ458" s="633"/>
      <c r="AS458" s="632"/>
      <c r="AT458" s="1026"/>
      <c r="AU458" s="1026"/>
      <c r="AV458" s="1026"/>
      <c r="AW458" s="633"/>
    </row>
    <row r="459" spans="26:49" ht="14.5" hidden="1" x14ac:dyDescent="0.35">
      <c r="Z459" s="642"/>
      <c r="AA459" s="642"/>
      <c r="AB459" s="642"/>
      <c r="AC459" s="611" t="s">
        <v>529</v>
      </c>
      <c r="AD459" s="1031" t="s">
        <v>529</v>
      </c>
      <c r="AE459" s="1020" t="s">
        <v>530</v>
      </c>
      <c r="AF459" s="1020" t="s">
        <v>531</v>
      </c>
      <c r="AG459" s="1019" t="s">
        <v>125</v>
      </c>
      <c r="AH459" s="1019">
        <v>1</v>
      </c>
      <c r="AI459" s="1024"/>
      <c r="AJ459" s="617">
        <v>0</v>
      </c>
      <c r="AK459" s="621" t="s">
        <v>102</v>
      </c>
      <c r="AL459">
        <f t="shared" si="2"/>
        <v>1</v>
      </c>
      <c r="AM459" s="1017">
        <v>1</v>
      </c>
      <c r="AN459" s="1018"/>
      <c r="AO459" s="1018"/>
      <c r="AP459" s="1016"/>
      <c r="AQ459" s="628"/>
      <c r="AS459" s="627"/>
      <c r="AT459" s="1016"/>
      <c r="AU459" s="1016"/>
      <c r="AV459" s="1016"/>
      <c r="AW459" s="628"/>
    </row>
    <row r="460" spans="26:49" ht="14.5" hidden="1" x14ac:dyDescent="0.35">
      <c r="Z460" s="642"/>
      <c r="AA460" s="642"/>
      <c r="AB460" s="642"/>
      <c r="AC460" s="608" t="s">
        <v>532</v>
      </c>
      <c r="AD460" s="1022" t="s">
        <v>532</v>
      </c>
      <c r="AE460" s="1023" t="s">
        <v>533</v>
      </c>
      <c r="AF460" s="1023" t="s">
        <v>534</v>
      </c>
      <c r="AG460" s="1022" t="s">
        <v>61</v>
      </c>
      <c r="AH460" s="1022">
        <v>2</v>
      </c>
      <c r="AI460" s="1021"/>
      <c r="AJ460" s="617">
        <v>1</v>
      </c>
      <c r="AK460" s="621" t="s">
        <v>83</v>
      </c>
      <c r="AL460">
        <f t="shared" si="2"/>
        <v>0</v>
      </c>
      <c r="AM460" s="1017">
        <v>1</v>
      </c>
      <c r="AN460" s="1018">
        <v>1</v>
      </c>
      <c r="AO460" s="1018"/>
      <c r="AP460" s="1016"/>
      <c r="AQ460" s="628"/>
      <c r="AS460" s="627"/>
      <c r="AT460" s="1016"/>
      <c r="AU460" s="1016"/>
      <c r="AV460" s="1016"/>
      <c r="AW460" s="628"/>
    </row>
    <row r="461" spans="26:49" ht="14.5" hidden="1" x14ac:dyDescent="0.35">
      <c r="Z461" s="642"/>
      <c r="AA461" s="642"/>
      <c r="AB461" s="642"/>
      <c r="AC461" s="607" t="s">
        <v>535</v>
      </c>
      <c r="AD461" s="1019" t="s">
        <v>535</v>
      </c>
      <c r="AE461" s="1020" t="s">
        <v>536</v>
      </c>
      <c r="AF461" s="1020" t="s">
        <v>537</v>
      </c>
      <c r="AG461" s="1019" t="s">
        <v>89</v>
      </c>
      <c r="AH461" s="1019">
        <v>1</v>
      </c>
      <c r="AI461" s="1021"/>
      <c r="AJ461" s="617">
        <v>0</v>
      </c>
      <c r="AK461" s="621" t="s">
        <v>102</v>
      </c>
      <c r="AL461">
        <f t="shared" si="2"/>
        <v>1</v>
      </c>
      <c r="AM461" s="1017">
        <v>1</v>
      </c>
      <c r="AN461" s="1018">
        <v>1</v>
      </c>
      <c r="AO461" s="1018"/>
      <c r="AP461" s="1016"/>
      <c r="AQ461" s="628"/>
      <c r="AS461" s="627"/>
      <c r="AT461" s="1016"/>
      <c r="AU461" s="1016"/>
      <c r="AV461" s="1016"/>
      <c r="AW461" s="628"/>
    </row>
    <row r="462" spans="26:49" ht="14.5" hidden="1" x14ac:dyDescent="0.35">
      <c r="Z462" s="642"/>
      <c r="AA462" s="642"/>
      <c r="AB462" s="642"/>
      <c r="AC462" s="607" t="s">
        <v>538</v>
      </c>
      <c r="AD462" s="1019" t="s">
        <v>538</v>
      </c>
      <c r="AE462" s="1020" t="s">
        <v>539</v>
      </c>
      <c r="AF462" s="1020" t="s">
        <v>540</v>
      </c>
      <c r="AG462" s="1019" t="s">
        <v>57</v>
      </c>
      <c r="AH462" s="1019">
        <v>1</v>
      </c>
      <c r="AI462" s="1024"/>
      <c r="AJ462" s="617">
        <v>1</v>
      </c>
      <c r="AK462" s="621" t="s">
        <v>109</v>
      </c>
      <c r="AL462">
        <f t="shared" si="2"/>
        <v>1</v>
      </c>
      <c r="AM462" s="1017" t="s">
        <v>84</v>
      </c>
      <c r="AN462" s="1018"/>
      <c r="AO462" s="1018"/>
      <c r="AP462" s="1016"/>
      <c r="AQ462" s="628"/>
      <c r="AS462" s="627"/>
      <c r="AT462" s="1016"/>
      <c r="AU462" s="1016"/>
      <c r="AV462" s="1016"/>
      <c r="AW462" s="628"/>
    </row>
    <row r="463" spans="26:49" ht="14.5" hidden="1" x14ac:dyDescent="0.35">
      <c r="AC463" s="611" t="s">
        <v>541</v>
      </c>
      <c r="AD463" s="1031" t="s">
        <v>541</v>
      </c>
      <c r="AE463" s="1020" t="s">
        <v>542</v>
      </c>
      <c r="AF463" s="1020" t="s">
        <v>543</v>
      </c>
      <c r="AG463" s="1019" t="s">
        <v>63</v>
      </c>
      <c r="AH463" s="1019">
        <v>4</v>
      </c>
      <c r="AI463" s="1029"/>
      <c r="AJ463" s="617">
        <v>1</v>
      </c>
      <c r="AK463" s="621" t="s">
        <v>88</v>
      </c>
      <c r="AL463">
        <f t="shared" si="2"/>
        <v>0</v>
      </c>
      <c r="AM463" s="1017" t="s">
        <v>84</v>
      </c>
      <c r="AN463" s="1018"/>
      <c r="AO463" s="1018"/>
      <c r="AP463" s="1016"/>
      <c r="AQ463" s="628"/>
      <c r="AS463" s="627"/>
      <c r="AT463" s="1016"/>
      <c r="AU463" s="1016"/>
      <c r="AV463" s="1016"/>
      <c r="AW463" s="628"/>
    </row>
    <row r="464" spans="26:49" ht="14.5" hidden="1" x14ac:dyDescent="0.35">
      <c r="Z464" s="642"/>
      <c r="AA464" s="642"/>
      <c r="AB464" s="642"/>
      <c r="AC464" s="607" t="s">
        <v>544</v>
      </c>
      <c r="AD464" s="1019" t="s">
        <v>544</v>
      </c>
      <c r="AE464" s="1020" t="s">
        <v>545</v>
      </c>
      <c r="AF464" s="1020" t="s">
        <v>546</v>
      </c>
      <c r="AG464" s="1019" t="s">
        <v>71</v>
      </c>
      <c r="AH464" s="1019">
        <v>4</v>
      </c>
      <c r="AI464" s="1021"/>
      <c r="AJ464" s="617">
        <v>0</v>
      </c>
      <c r="AK464" s="621" t="s">
        <v>93</v>
      </c>
      <c r="AL464">
        <f t="shared" si="2"/>
        <v>0</v>
      </c>
      <c r="AM464" s="1017" t="s">
        <v>84</v>
      </c>
      <c r="AN464" s="1018"/>
      <c r="AO464" s="1018"/>
      <c r="AP464" s="1016"/>
      <c r="AQ464" s="628"/>
      <c r="AS464" s="627"/>
      <c r="AT464" s="1016"/>
      <c r="AU464" s="1016"/>
      <c r="AV464" s="1016"/>
      <c r="AW464" s="628"/>
    </row>
    <row r="465" spans="26:49" ht="14.5" hidden="1" x14ac:dyDescent="0.35">
      <c r="Z465" s="642"/>
      <c r="AA465" s="642"/>
      <c r="AB465" s="642"/>
      <c r="AC465" s="607" t="s">
        <v>547</v>
      </c>
      <c r="AD465" s="1019" t="s">
        <v>547</v>
      </c>
      <c r="AE465" s="1020" t="s">
        <v>548</v>
      </c>
      <c r="AF465" s="1020" t="s">
        <v>549</v>
      </c>
      <c r="AG465" s="1019" t="s">
        <v>61</v>
      </c>
      <c r="AH465" s="1019">
        <v>2</v>
      </c>
      <c r="AI465" s="1021"/>
      <c r="AJ465" s="617">
        <v>0</v>
      </c>
      <c r="AK465" s="621" t="s">
        <v>62</v>
      </c>
      <c r="AL465">
        <f t="shared" si="2"/>
        <v>0</v>
      </c>
      <c r="AM465" s="1017">
        <v>1</v>
      </c>
      <c r="AN465" s="1018"/>
      <c r="AO465" s="1018"/>
      <c r="AP465" s="1016"/>
      <c r="AQ465" s="628"/>
      <c r="AS465" s="627"/>
      <c r="AT465" s="1016"/>
      <c r="AU465" s="1016"/>
      <c r="AV465" s="1016"/>
      <c r="AW465" s="628"/>
    </row>
    <row r="466" spans="26:49" ht="14.5" hidden="1" x14ac:dyDescent="0.35">
      <c r="Z466" s="642"/>
      <c r="AA466" s="642"/>
      <c r="AB466" s="642"/>
      <c r="AC466" s="608" t="s">
        <v>550</v>
      </c>
      <c r="AD466" s="1022" t="s">
        <v>550</v>
      </c>
      <c r="AE466" s="1023" t="s">
        <v>551</v>
      </c>
      <c r="AF466" s="1023" t="s">
        <v>552</v>
      </c>
      <c r="AG466" s="1022" t="s">
        <v>101</v>
      </c>
      <c r="AH466" s="1019">
        <v>1</v>
      </c>
      <c r="AI466" s="1032"/>
      <c r="AJ466" s="617">
        <v>0</v>
      </c>
      <c r="AK466" s="621" t="s">
        <v>102</v>
      </c>
      <c r="AL466">
        <f t="shared" si="2"/>
        <v>1</v>
      </c>
      <c r="AM466" s="1017">
        <v>1</v>
      </c>
      <c r="AN466" s="1018">
        <v>1</v>
      </c>
      <c r="AO466" s="1018"/>
      <c r="AP466" s="1016"/>
      <c r="AQ466" s="628"/>
      <c r="AS466" s="627"/>
      <c r="AT466" s="1016"/>
      <c r="AU466" s="1016"/>
      <c r="AV466" s="1016"/>
      <c r="AW466" s="628"/>
    </row>
    <row r="467" spans="26:49" ht="14.5" hidden="1" x14ac:dyDescent="0.35">
      <c r="Z467" s="642"/>
      <c r="AA467" s="642"/>
      <c r="AB467" s="642"/>
      <c r="AC467" s="609" t="s">
        <v>553</v>
      </c>
      <c r="AD467" s="1025" t="s">
        <v>553</v>
      </c>
      <c r="AE467" s="1025" t="s">
        <v>554</v>
      </c>
      <c r="AF467" s="1025" t="s">
        <v>555</v>
      </c>
      <c r="AG467" s="1022" t="s">
        <v>61</v>
      </c>
      <c r="AH467" s="1019">
        <v>2</v>
      </c>
      <c r="AI467" s="1021"/>
      <c r="AJ467" s="617">
        <v>0</v>
      </c>
      <c r="AK467" s="621" t="s">
        <v>62</v>
      </c>
      <c r="AL467">
        <f t="shared" si="2"/>
        <v>0</v>
      </c>
      <c r="AM467" s="1017">
        <v>1</v>
      </c>
      <c r="AN467" s="1018"/>
      <c r="AO467" s="1018"/>
      <c r="AP467" s="1016"/>
      <c r="AQ467" s="628"/>
      <c r="AS467" s="627"/>
      <c r="AT467" s="1016"/>
      <c r="AU467" s="1016"/>
      <c r="AV467" s="1016"/>
      <c r="AW467" s="628"/>
    </row>
    <row r="468" spans="26:49" ht="14.5" hidden="1" x14ac:dyDescent="0.35">
      <c r="Z468" s="642"/>
      <c r="AA468" s="642"/>
      <c r="AB468" s="642"/>
      <c r="AC468" s="609" t="s">
        <v>556</v>
      </c>
      <c r="AD468" s="1025" t="s">
        <v>556</v>
      </c>
      <c r="AE468" s="1025" t="s">
        <v>557</v>
      </c>
      <c r="AF468" s="1025" t="s">
        <v>558</v>
      </c>
      <c r="AG468" s="1025" t="s">
        <v>61</v>
      </c>
      <c r="AH468" s="1022">
        <v>2</v>
      </c>
      <c r="AI468" s="1032"/>
      <c r="AJ468" s="617">
        <v>0</v>
      </c>
      <c r="AK468" s="621" t="s">
        <v>62</v>
      </c>
      <c r="AL468">
        <f t="shared" si="2"/>
        <v>0</v>
      </c>
      <c r="AM468" s="1017">
        <v>1</v>
      </c>
      <c r="AN468" s="1018">
        <v>1</v>
      </c>
      <c r="AO468" s="1018"/>
      <c r="AP468" s="1033"/>
      <c r="AQ468" s="636"/>
      <c r="AS468" s="637"/>
      <c r="AT468" s="1033"/>
      <c r="AU468" s="1033"/>
      <c r="AV468" s="1033"/>
      <c r="AW468" s="636"/>
    </row>
    <row r="469" spans="26:49" ht="14.5" hidden="1" x14ac:dyDescent="0.35">
      <c r="Z469" s="642"/>
      <c r="AA469" s="642"/>
      <c r="AB469" s="642"/>
      <c r="AC469" s="608" t="s">
        <v>559</v>
      </c>
      <c r="AD469" s="1022" t="s">
        <v>559</v>
      </c>
      <c r="AE469" s="1023" t="s">
        <v>560</v>
      </c>
      <c r="AF469" s="1023" t="s">
        <v>561</v>
      </c>
      <c r="AG469" s="1022" t="s">
        <v>101</v>
      </c>
      <c r="AH469" s="1019">
        <v>1</v>
      </c>
      <c r="AI469" s="1021"/>
      <c r="AJ469" s="617">
        <v>0</v>
      </c>
      <c r="AK469" s="621" t="s">
        <v>102</v>
      </c>
      <c r="AL469">
        <f t="shared" si="2"/>
        <v>1</v>
      </c>
      <c r="AM469" s="1017">
        <v>1</v>
      </c>
      <c r="AN469" s="1018">
        <v>1</v>
      </c>
      <c r="AO469" s="1018"/>
      <c r="AP469" s="1016"/>
      <c r="AQ469" s="628"/>
      <c r="AS469" s="627"/>
      <c r="AT469" s="1016"/>
      <c r="AU469" s="1016"/>
      <c r="AV469" s="1016"/>
      <c r="AW469" s="628"/>
    </row>
    <row r="470" spans="26:49" ht="14.5" hidden="1" x14ac:dyDescent="0.35">
      <c r="Z470" s="642"/>
      <c r="AA470" s="642"/>
      <c r="AB470" s="642"/>
      <c r="AC470" s="607" t="s">
        <v>562</v>
      </c>
      <c r="AD470" s="1019" t="s">
        <v>562</v>
      </c>
      <c r="AE470" s="1020" t="s">
        <v>563</v>
      </c>
      <c r="AF470" s="1020" t="s">
        <v>564</v>
      </c>
      <c r="AG470" s="1019" t="s">
        <v>61</v>
      </c>
      <c r="AH470" s="1019">
        <v>2</v>
      </c>
      <c r="AI470" s="1029"/>
      <c r="AJ470" s="617">
        <v>0</v>
      </c>
      <c r="AK470" s="621" t="s">
        <v>62</v>
      </c>
      <c r="AL470">
        <f t="shared" si="2"/>
        <v>0</v>
      </c>
      <c r="AM470" s="1017">
        <v>1</v>
      </c>
      <c r="AN470" s="1018"/>
      <c r="AO470" s="1018"/>
      <c r="AP470" s="1016"/>
      <c r="AQ470" s="628"/>
      <c r="AS470" s="627"/>
      <c r="AT470" s="1016"/>
      <c r="AU470" s="1016"/>
      <c r="AV470" s="1016"/>
      <c r="AW470" s="628"/>
    </row>
    <row r="471" spans="26:49" ht="14.5" hidden="1" x14ac:dyDescent="0.35">
      <c r="Z471" s="642"/>
      <c r="AA471" s="642"/>
      <c r="AB471" s="642"/>
      <c r="AC471" s="607" t="s">
        <v>565</v>
      </c>
      <c r="AD471" s="1019" t="s">
        <v>565</v>
      </c>
      <c r="AE471" s="1020" t="s">
        <v>566</v>
      </c>
      <c r="AF471" s="1020" t="s">
        <v>567</v>
      </c>
      <c r="AG471" s="1019" t="s">
        <v>125</v>
      </c>
      <c r="AH471" s="1019">
        <v>1</v>
      </c>
      <c r="AI471" s="1021"/>
      <c r="AJ471" s="617">
        <v>0</v>
      </c>
      <c r="AK471" s="621" t="s">
        <v>102</v>
      </c>
      <c r="AL471">
        <f t="shared" si="2"/>
        <v>1</v>
      </c>
      <c r="AM471" s="1017">
        <v>1</v>
      </c>
      <c r="AN471" s="1018"/>
      <c r="AO471" s="1018"/>
      <c r="AP471" s="1016"/>
      <c r="AQ471" s="628"/>
      <c r="AS471" s="627"/>
      <c r="AT471" s="1016"/>
      <c r="AU471" s="1016"/>
      <c r="AV471" s="1016"/>
      <c r="AW471" s="628"/>
    </row>
    <row r="472" spans="26:49" ht="14.5" hidden="1" x14ac:dyDescent="0.35">
      <c r="Z472" s="642"/>
      <c r="AA472" s="642"/>
      <c r="AB472" s="642"/>
      <c r="AC472" s="607" t="s">
        <v>568</v>
      </c>
      <c r="AD472" s="1019" t="s">
        <v>568</v>
      </c>
      <c r="AE472" s="1020" t="s">
        <v>569</v>
      </c>
      <c r="AF472" s="1020" t="s">
        <v>570</v>
      </c>
      <c r="AG472" s="1019" t="s">
        <v>61</v>
      </c>
      <c r="AH472" s="1019">
        <v>2</v>
      </c>
      <c r="AI472" s="1021"/>
      <c r="AJ472" s="617">
        <v>0</v>
      </c>
      <c r="AK472" s="621" t="s">
        <v>62</v>
      </c>
      <c r="AL472">
        <f t="shared" si="2"/>
        <v>0</v>
      </c>
      <c r="AM472" s="1017">
        <v>1</v>
      </c>
      <c r="AN472" s="1018"/>
      <c r="AO472" s="1018"/>
      <c r="AP472" s="1016"/>
      <c r="AQ472" s="628"/>
      <c r="AS472" s="627"/>
      <c r="AT472" s="1016"/>
      <c r="AU472" s="1016"/>
      <c r="AV472" s="1016"/>
      <c r="AW472" s="628"/>
    </row>
    <row r="473" spans="26:49" ht="14.5" hidden="1" x14ac:dyDescent="0.35">
      <c r="Z473" s="642"/>
      <c r="AA473" s="642"/>
      <c r="AB473" s="642"/>
      <c r="AC473" s="608" t="s">
        <v>571</v>
      </c>
      <c r="AD473" s="1022" t="s">
        <v>571</v>
      </c>
      <c r="AE473" s="1023" t="s">
        <v>572</v>
      </c>
      <c r="AF473" s="1023" t="s">
        <v>573</v>
      </c>
      <c r="AG473" s="1022" t="s">
        <v>61</v>
      </c>
      <c r="AH473" s="1022">
        <v>2</v>
      </c>
      <c r="AI473" s="1030"/>
      <c r="AJ473" s="617">
        <v>1</v>
      </c>
      <c r="AK473" s="621" t="s">
        <v>83</v>
      </c>
      <c r="AL473">
        <f t="shared" si="2"/>
        <v>0</v>
      </c>
      <c r="AM473" s="1017">
        <v>1</v>
      </c>
      <c r="AN473" s="1018">
        <v>1</v>
      </c>
      <c r="AO473" s="1018"/>
      <c r="AP473" s="1016"/>
      <c r="AQ473" s="628"/>
      <c r="AS473" s="627"/>
      <c r="AT473" s="1016"/>
      <c r="AU473" s="1016"/>
      <c r="AV473" s="1016"/>
      <c r="AW473" s="628"/>
    </row>
    <row r="474" spans="26:49" ht="14.5" hidden="1" x14ac:dyDescent="0.35">
      <c r="Z474" s="642"/>
      <c r="AA474" s="642"/>
      <c r="AB474" s="642"/>
      <c r="AC474" s="608" t="s">
        <v>574</v>
      </c>
      <c r="AD474" s="1022" t="s">
        <v>574</v>
      </c>
      <c r="AE474" s="1023" t="s">
        <v>575</v>
      </c>
      <c r="AF474" s="1023" t="s">
        <v>576</v>
      </c>
      <c r="AG474" s="1022" t="s">
        <v>101</v>
      </c>
      <c r="AH474" s="1019">
        <v>1</v>
      </c>
      <c r="AI474" s="1021"/>
      <c r="AJ474" s="617">
        <v>0</v>
      </c>
      <c r="AK474" s="621" t="s">
        <v>102</v>
      </c>
      <c r="AL474">
        <f t="shared" si="2"/>
        <v>1</v>
      </c>
      <c r="AM474" s="1017">
        <v>1</v>
      </c>
      <c r="AN474" s="1018">
        <v>1</v>
      </c>
      <c r="AO474" s="1018"/>
      <c r="AP474" s="1016"/>
      <c r="AQ474" s="628"/>
      <c r="AS474" s="627"/>
      <c r="AT474" s="1016"/>
      <c r="AU474" s="1016"/>
      <c r="AV474" s="1016"/>
      <c r="AW474" s="628"/>
    </row>
    <row r="475" spans="26:49" ht="14.5" hidden="1" x14ac:dyDescent="0.35">
      <c r="Z475" s="642"/>
      <c r="AA475" s="642"/>
      <c r="AB475" s="642"/>
      <c r="AC475" s="610" t="s">
        <v>6047</v>
      </c>
      <c r="AD475" s="1028" t="s">
        <v>6047</v>
      </c>
      <c r="AE475" s="1023" t="s">
        <v>578</v>
      </c>
      <c r="AF475" s="1023" t="s">
        <v>579</v>
      </c>
      <c r="AG475" s="1022" t="s">
        <v>63</v>
      </c>
      <c r="AH475" s="1022">
        <v>4</v>
      </c>
      <c r="AI475" s="1027"/>
      <c r="AJ475" s="617">
        <v>1</v>
      </c>
      <c r="AK475" s="621" t="s">
        <v>88</v>
      </c>
      <c r="AL475">
        <f t="shared" si="2"/>
        <v>0</v>
      </c>
      <c r="AM475" s="1017" t="s">
        <v>84</v>
      </c>
      <c r="AN475" s="1018"/>
      <c r="AO475" s="1018"/>
      <c r="AP475" s="1016"/>
      <c r="AQ475" s="628"/>
      <c r="AS475" s="627"/>
      <c r="AT475" s="1016"/>
      <c r="AU475" s="1016"/>
      <c r="AV475" s="1016"/>
      <c r="AW475" s="628"/>
    </row>
    <row r="476" spans="26:49" ht="14.5" hidden="1" x14ac:dyDescent="0.35">
      <c r="Z476" s="642"/>
      <c r="AA476" s="642"/>
      <c r="AB476" s="642"/>
      <c r="AC476" s="607" t="s">
        <v>580</v>
      </c>
      <c r="AD476" s="1019" t="s">
        <v>580</v>
      </c>
      <c r="AE476" s="1020" t="s">
        <v>581</v>
      </c>
      <c r="AF476" s="1020" t="s">
        <v>582</v>
      </c>
      <c r="AG476" s="1019" t="s">
        <v>125</v>
      </c>
      <c r="AH476" s="1019">
        <v>1</v>
      </c>
      <c r="AI476" s="1024"/>
      <c r="AJ476" s="617">
        <v>0</v>
      </c>
      <c r="AK476" s="621" t="s">
        <v>102</v>
      </c>
      <c r="AL476">
        <f t="shared" si="2"/>
        <v>1</v>
      </c>
      <c r="AM476" s="1017">
        <v>1</v>
      </c>
      <c r="AN476" s="1018"/>
      <c r="AO476" s="1018"/>
      <c r="AP476" s="1016"/>
      <c r="AQ476" s="628"/>
      <c r="AS476" s="627"/>
      <c r="AT476" s="1016"/>
      <c r="AU476" s="1016"/>
      <c r="AV476" s="1016"/>
      <c r="AW476" s="628"/>
    </row>
    <row r="477" spans="26:49" ht="14.5" hidden="1" x14ac:dyDescent="0.35">
      <c r="Z477" s="642"/>
      <c r="AA477" s="642"/>
      <c r="AB477" s="642"/>
      <c r="AC477" s="608" t="s">
        <v>583</v>
      </c>
      <c r="AD477" s="1022" t="s">
        <v>583</v>
      </c>
      <c r="AE477" s="1023" t="s">
        <v>584</v>
      </c>
      <c r="AF477" s="1023" t="s">
        <v>585</v>
      </c>
      <c r="AG477" s="1022" t="s">
        <v>57</v>
      </c>
      <c r="AH477" s="1019">
        <v>1</v>
      </c>
      <c r="AI477" s="1024"/>
      <c r="AJ477" s="617">
        <v>1</v>
      </c>
      <c r="AK477" s="621" t="s">
        <v>109</v>
      </c>
      <c r="AL477">
        <f t="shared" si="2"/>
        <v>1</v>
      </c>
      <c r="AM477" s="1017" t="s">
        <v>84</v>
      </c>
      <c r="AN477" s="1018"/>
      <c r="AO477" s="1018"/>
      <c r="AP477" s="1016"/>
      <c r="AQ477" s="628"/>
      <c r="AS477" s="627"/>
      <c r="AT477" s="1016"/>
      <c r="AU477" s="1016"/>
      <c r="AV477" s="1016"/>
      <c r="AW477" s="628"/>
    </row>
    <row r="478" spans="26:49" ht="14.5" hidden="1" x14ac:dyDescent="0.35">
      <c r="Z478" s="642"/>
      <c r="AA478" s="642"/>
      <c r="AB478" s="642"/>
      <c r="AC478" s="607" t="s">
        <v>586</v>
      </c>
      <c r="AD478" s="1019" t="s">
        <v>586</v>
      </c>
      <c r="AE478" s="1020" t="s">
        <v>587</v>
      </c>
      <c r="AF478" s="1020" t="s">
        <v>588</v>
      </c>
      <c r="AG478" s="1019" t="s">
        <v>71</v>
      </c>
      <c r="AH478" s="1019">
        <v>4</v>
      </c>
      <c r="AI478" s="1029"/>
      <c r="AJ478" s="617">
        <v>0</v>
      </c>
      <c r="AK478" s="621" t="s">
        <v>93</v>
      </c>
      <c r="AL478">
        <f t="shared" si="2"/>
        <v>0</v>
      </c>
      <c r="AM478" s="1017" t="s">
        <v>84</v>
      </c>
      <c r="AN478" s="1018"/>
      <c r="AO478" s="1018"/>
      <c r="AP478" s="1016"/>
      <c r="AQ478" s="628"/>
      <c r="AS478" s="627"/>
      <c r="AT478" s="1016"/>
      <c r="AU478" s="1016"/>
      <c r="AV478" s="1016"/>
      <c r="AW478" s="628"/>
    </row>
    <row r="479" spans="26:49" ht="14.5" hidden="1" x14ac:dyDescent="0.35">
      <c r="Z479" s="642"/>
      <c r="AA479" s="642"/>
      <c r="AB479" s="642"/>
      <c r="AC479" s="609" t="s">
        <v>589</v>
      </c>
      <c r="AD479" s="1025" t="s">
        <v>589</v>
      </c>
      <c r="AE479" s="1025" t="s">
        <v>590</v>
      </c>
      <c r="AF479" s="1025" t="s">
        <v>591</v>
      </c>
      <c r="AG479" s="1019" t="s">
        <v>61</v>
      </c>
      <c r="AH479" s="1019">
        <v>2</v>
      </c>
      <c r="AI479" s="1021"/>
      <c r="AJ479" s="617">
        <v>0</v>
      </c>
      <c r="AK479" s="621" t="s">
        <v>62</v>
      </c>
      <c r="AL479">
        <f t="shared" si="2"/>
        <v>0</v>
      </c>
      <c r="AM479" s="1017">
        <v>1</v>
      </c>
      <c r="AN479" s="1018">
        <v>1</v>
      </c>
      <c r="AO479" s="1018"/>
      <c r="AP479" s="1016"/>
      <c r="AQ479" s="628"/>
      <c r="AS479" s="627"/>
      <c r="AT479" s="1016"/>
      <c r="AU479" s="1016"/>
      <c r="AV479" s="1016"/>
      <c r="AW479" s="628"/>
    </row>
    <row r="480" spans="26:49" ht="14.5" hidden="1" x14ac:dyDescent="0.35">
      <c r="Z480" s="642"/>
      <c r="AA480" s="642"/>
      <c r="AB480" s="642"/>
      <c r="AC480" s="610" t="s">
        <v>592</v>
      </c>
      <c r="AD480" s="1028" t="s">
        <v>592</v>
      </c>
      <c r="AE480" s="1023" t="s">
        <v>593</v>
      </c>
      <c r="AF480" s="1023" t="s">
        <v>594</v>
      </c>
      <c r="AG480" s="1022" t="s">
        <v>61</v>
      </c>
      <c r="AH480" s="1022">
        <v>2</v>
      </c>
      <c r="AI480" s="1029"/>
      <c r="AJ480" s="617">
        <v>0</v>
      </c>
      <c r="AK480" s="621" t="s">
        <v>62</v>
      </c>
      <c r="AL480">
        <f t="shared" si="2"/>
        <v>0</v>
      </c>
      <c r="AM480" s="1017">
        <v>1</v>
      </c>
      <c r="AN480" s="1018"/>
      <c r="AO480" s="1018"/>
      <c r="AP480" s="1016"/>
      <c r="AQ480" s="628"/>
      <c r="AS480" s="627"/>
      <c r="AT480" s="1016"/>
      <c r="AU480" s="1016"/>
      <c r="AV480" s="1016"/>
      <c r="AW480" s="628"/>
    </row>
    <row r="481" spans="26:49" ht="14.5" hidden="1" x14ac:dyDescent="0.35">
      <c r="Z481" s="642"/>
      <c r="AA481" s="642"/>
      <c r="AB481" s="642"/>
      <c r="AC481" s="608" t="s">
        <v>595</v>
      </c>
      <c r="AD481" s="1022" t="s">
        <v>595</v>
      </c>
      <c r="AE481" s="1023" t="s">
        <v>596</v>
      </c>
      <c r="AF481" s="1023" t="s">
        <v>597</v>
      </c>
      <c r="AG481" s="1022" t="s">
        <v>101</v>
      </c>
      <c r="AH481" s="1019">
        <v>1</v>
      </c>
      <c r="AI481" s="1032"/>
      <c r="AJ481" s="617">
        <v>0</v>
      </c>
      <c r="AK481" s="621" t="s">
        <v>102</v>
      </c>
      <c r="AL481">
        <f t="shared" si="2"/>
        <v>1</v>
      </c>
      <c r="AM481" s="1017">
        <v>1</v>
      </c>
      <c r="AN481" s="1018">
        <v>1</v>
      </c>
      <c r="AO481" s="1018"/>
      <c r="AP481" s="1016"/>
      <c r="AQ481" s="628"/>
      <c r="AS481" s="627"/>
      <c r="AT481" s="1016"/>
      <c r="AU481" s="1016"/>
      <c r="AV481" s="1016"/>
      <c r="AW481" s="628"/>
    </row>
    <row r="482" spans="26:49" ht="14.5" hidden="1" x14ac:dyDescent="0.35">
      <c r="Z482" s="642"/>
      <c r="AA482" s="642"/>
      <c r="AB482" s="642"/>
      <c r="AC482" s="609" t="s">
        <v>598</v>
      </c>
      <c r="AD482" s="1025" t="s">
        <v>598</v>
      </c>
      <c r="AE482" s="1025" t="s">
        <v>599</v>
      </c>
      <c r="AF482" s="1025" t="s">
        <v>600</v>
      </c>
      <c r="AG482" s="1025" t="s">
        <v>61</v>
      </c>
      <c r="AH482" s="1019">
        <v>2</v>
      </c>
      <c r="AI482" s="1032"/>
      <c r="AJ482" s="617">
        <v>0</v>
      </c>
      <c r="AK482" s="621" t="s">
        <v>62</v>
      </c>
      <c r="AL482">
        <f t="shared" si="2"/>
        <v>0</v>
      </c>
      <c r="AM482" s="1017">
        <v>1</v>
      </c>
      <c r="AN482" s="1018"/>
      <c r="AO482" s="1018"/>
      <c r="AP482" s="1026"/>
      <c r="AQ482" s="633"/>
      <c r="AS482" s="632"/>
      <c r="AT482" s="1026"/>
      <c r="AU482" s="1026"/>
      <c r="AV482" s="1026"/>
      <c r="AW482" s="633"/>
    </row>
    <row r="483" spans="26:49" ht="14.5" hidden="1" x14ac:dyDescent="0.35">
      <c r="Z483" s="642"/>
      <c r="AA483" s="642"/>
      <c r="AB483" s="642"/>
      <c r="AC483" s="607" t="s">
        <v>601</v>
      </c>
      <c r="AD483" s="1019" t="s">
        <v>601</v>
      </c>
      <c r="AE483" s="1020" t="s">
        <v>602</v>
      </c>
      <c r="AF483" s="1020" t="s">
        <v>603</v>
      </c>
      <c r="AG483" s="1019" t="s">
        <v>61</v>
      </c>
      <c r="AH483" s="1019">
        <v>2</v>
      </c>
      <c r="AI483" s="1021"/>
      <c r="AJ483" s="617">
        <v>0</v>
      </c>
      <c r="AK483" s="621" t="s">
        <v>62</v>
      </c>
      <c r="AL483">
        <f t="shared" si="2"/>
        <v>0</v>
      </c>
      <c r="AM483" s="1017">
        <v>1</v>
      </c>
      <c r="AN483" s="1018">
        <v>1</v>
      </c>
      <c r="AO483" s="1018"/>
      <c r="AP483" s="1016"/>
      <c r="AQ483" s="628"/>
      <c r="AS483" s="627"/>
      <c r="AT483" s="1016"/>
      <c r="AU483" s="1016"/>
      <c r="AV483" s="1016"/>
      <c r="AW483" s="628"/>
    </row>
    <row r="484" spans="26:49" ht="14.5" hidden="1" x14ac:dyDescent="0.35">
      <c r="Z484" s="642"/>
      <c r="AA484" s="642"/>
      <c r="AB484" s="642"/>
      <c r="AC484" s="607" t="s">
        <v>604</v>
      </c>
      <c r="AD484" s="1019" t="s">
        <v>604</v>
      </c>
      <c r="AE484" s="1020" t="s">
        <v>605</v>
      </c>
      <c r="AF484" s="1020" t="s">
        <v>606</v>
      </c>
      <c r="AG484" s="1019" t="s">
        <v>101</v>
      </c>
      <c r="AH484" s="1019">
        <v>1</v>
      </c>
      <c r="AI484" s="1024"/>
      <c r="AJ484" s="617">
        <v>0</v>
      </c>
      <c r="AK484" s="621" t="s">
        <v>102</v>
      </c>
      <c r="AL484">
        <f t="shared" si="2"/>
        <v>1</v>
      </c>
      <c r="AM484" s="1017">
        <v>1</v>
      </c>
      <c r="AN484" s="1018">
        <v>1</v>
      </c>
      <c r="AO484" s="1018"/>
      <c r="AP484" s="1016"/>
      <c r="AQ484" s="628"/>
      <c r="AS484" s="627"/>
      <c r="AT484" s="1016"/>
      <c r="AU484" s="1016"/>
      <c r="AV484" s="1016"/>
      <c r="AW484" s="628"/>
    </row>
    <row r="485" spans="26:49" ht="14.5" hidden="1" x14ac:dyDescent="0.35">
      <c r="Z485" s="642"/>
      <c r="AA485" s="642"/>
      <c r="AB485" s="642"/>
      <c r="AC485" s="607" t="s">
        <v>6048</v>
      </c>
      <c r="AD485" s="1019" t="s">
        <v>6048</v>
      </c>
      <c r="AE485" s="1020" t="s">
        <v>608</v>
      </c>
      <c r="AF485" s="1020" t="s">
        <v>609</v>
      </c>
      <c r="AG485" s="1019" t="s">
        <v>63</v>
      </c>
      <c r="AH485" s="1019">
        <v>4</v>
      </c>
      <c r="AI485" s="1027"/>
      <c r="AJ485" s="617">
        <v>0</v>
      </c>
      <c r="AK485" s="621" t="s">
        <v>93</v>
      </c>
      <c r="AL485">
        <f t="shared" si="2"/>
        <v>0</v>
      </c>
      <c r="AM485" s="1017" t="s">
        <v>84</v>
      </c>
      <c r="AN485" s="1018"/>
      <c r="AO485" s="1018"/>
      <c r="AP485" s="1016"/>
      <c r="AQ485" s="628"/>
      <c r="AS485" s="627"/>
      <c r="AT485" s="1016"/>
      <c r="AU485" s="1016"/>
      <c r="AV485" s="1016"/>
      <c r="AW485" s="628"/>
    </row>
    <row r="486" spans="26:49" ht="14.5" hidden="1" x14ac:dyDescent="0.35">
      <c r="Z486" s="642"/>
      <c r="AA486" s="642"/>
      <c r="AB486" s="642"/>
      <c r="AC486" s="607" t="s">
        <v>610</v>
      </c>
      <c r="AD486" s="1019" t="s">
        <v>610</v>
      </c>
      <c r="AE486" s="1020" t="s">
        <v>611</v>
      </c>
      <c r="AF486" s="1020" t="s">
        <v>612</v>
      </c>
      <c r="AG486" s="1019" t="s">
        <v>71</v>
      </c>
      <c r="AH486" s="1019">
        <v>4</v>
      </c>
      <c r="AI486" s="1021"/>
      <c r="AJ486" s="617">
        <v>1</v>
      </c>
      <c r="AK486" s="621" t="s">
        <v>88</v>
      </c>
      <c r="AL486">
        <f t="shared" si="2"/>
        <v>0</v>
      </c>
      <c r="AM486" s="1017" t="s">
        <v>84</v>
      </c>
      <c r="AN486" s="1018"/>
      <c r="AO486" s="1018"/>
      <c r="AP486" s="1016"/>
      <c r="AQ486" s="628"/>
      <c r="AS486" s="627"/>
      <c r="AT486" s="1016"/>
      <c r="AU486" s="1016"/>
      <c r="AV486" s="1016"/>
      <c r="AW486" s="628"/>
    </row>
    <row r="487" spans="26:49" ht="14.5" hidden="1" x14ac:dyDescent="0.35">
      <c r="Z487" s="642"/>
      <c r="AA487" s="642"/>
      <c r="AB487" s="642"/>
      <c r="AC487" s="607" t="s">
        <v>613</v>
      </c>
      <c r="AD487" s="1019" t="s">
        <v>613</v>
      </c>
      <c r="AE487" s="1020" t="s">
        <v>614</v>
      </c>
      <c r="AF487" s="1020" t="s">
        <v>615</v>
      </c>
      <c r="AG487" s="1019" t="s">
        <v>61</v>
      </c>
      <c r="AH487" s="1019">
        <v>2</v>
      </c>
      <c r="AI487" s="1021"/>
      <c r="AJ487" s="617">
        <v>0</v>
      </c>
      <c r="AK487" s="621" t="s">
        <v>62</v>
      </c>
      <c r="AL487">
        <f t="shared" si="2"/>
        <v>0</v>
      </c>
      <c r="AM487" s="1017">
        <v>1</v>
      </c>
      <c r="AN487" s="1018">
        <v>1</v>
      </c>
      <c r="AO487" s="1018"/>
      <c r="AP487" s="1016"/>
      <c r="AQ487" s="628"/>
      <c r="AS487" s="627"/>
      <c r="AT487" s="1016"/>
      <c r="AU487" s="1016"/>
      <c r="AV487" s="1016"/>
      <c r="AW487" s="628"/>
    </row>
    <row r="488" spans="26:49" ht="14.5" hidden="1" x14ac:dyDescent="0.35">
      <c r="Z488" s="642"/>
      <c r="AA488" s="642"/>
      <c r="AB488" s="642"/>
      <c r="AC488" s="607" t="s">
        <v>616</v>
      </c>
      <c r="AD488" s="1019" t="s">
        <v>616</v>
      </c>
      <c r="AE488" s="1020" t="s">
        <v>617</v>
      </c>
      <c r="AF488" s="1020" t="s">
        <v>618</v>
      </c>
      <c r="AG488" s="1019" t="s">
        <v>61</v>
      </c>
      <c r="AH488" s="1019">
        <v>2</v>
      </c>
      <c r="AI488" s="1030"/>
      <c r="AJ488" s="617">
        <v>0</v>
      </c>
      <c r="AK488" s="621" t="s">
        <v>62</v>
      </c>
      <c r="AL488">
        <f t="shared" si="2"/>
        <v>0</v>
      </c>
      <c r="AM488" s="1017">
        <v>1</v>
      </c>
      <c r="AN488" s="1018"/>
      <c r="AO488" s="1018"/>
      <c r="AP488" s="1016"/>
      <c r="AQ488" s="628"/>
      <c r="AS488" s="627"/>
      <c r="AT488" s="1016"/>
      <c r="AU488" s="1016"/>
      <c r="AV488" s="1016"/>
      <c r="AW488" s="628"/>
    </row>
    <row r="489" spans="26:49" ht="14.5" hidden="1" x14ac:dyDescent="0.35">
      <c r="Z489" s="642"/>
      <c r="AA489" s="642"/>
      <c r="AB489" s="642"/>
      <c r="AC489" s="609" t="s">
        <v>619</v>
      </c>
      <c r="AD489" s="1025" t="s">
        <v>619</v>
      </c>
      <c r="AE489" s="1025" t="s">
        <v>620</v>
      </c>
      <c r="AF489" s="1025" t="s">
        <v>621</v>
      </c>
      <c r="AG489" s="1019" t="s">
        <v>61</v>
      </c>
      <c r="AH489" s="1019">
        <v>2</v>
      </c>
      <c r="AI489" s="1024"/>
      <c r="AJ489" s="617">
        <v>0</v>
      </c>
      <c r="AK489" s="621" t="s">
        <v>62</v>
      </c>
      <c r="AL489">
        <f t="shared" si="2"/>
        <v>0</v>
      </c>
      <c r="AM489" s="1017">
        <v>1</v>
      </c>
      <c r="AN489" s="1018"/>
      <c r="AO489" s="1018"/>
      <c r="AP489" s="1016"/>
      <c r="AQ489" s="628"/>
      <c r="AS489" s="627"/>
      <c r="AT489" s="1016"/>
      <c r="AU489" s="1016"/>
      <c r="AV489" s="1016"/>
      <c r="AW489" s="628"/>
    </row>
    <row r="490" spans="26:49" ht="14.5" hidden="1" x14ac:dyDescent="0.35">
      <c r="Z490" s="642"/>
      <c r="AA490" s="642"/>
      <c r="AB490" s="642"/>
      <c r="AC490" s="609" t="s">
        <v>622</v>
      </c>
      <c r="AD490" s="1025" t="s">
        <v>622</v>
      </c>
      <c r="AE490" s="1025" t="s">
        <v>623</v>
      </c>
      <c r="AF490" s="1025" t="s">
        <v>624</v>
      </c>
      <c r="AG490" s="1025" t="s">
        <v>125</v>
      </c>
      <c r="AH490" s="1019">
        <v>1</v>
      </c>
      <c r="AI490" s="1021"/>
      <c r="AJ490" s="617">
        <v>0</v>
      </c>
      <c r="AK490" s="621" t="s">
        <v>102</v>
      </c>
      <c r="AL490">
        <f t="shared" si="2"/>
        <v>1</v>
      </c>
      <c r="AM490" s="1017">
        <v>1</v>
      </c>
      <c r="AN490" s="1018"/>
      <c r="AO490" s="1018"/>
      <c r="AP490" s="1026"/>
      <c r="AQ490" s="633"/>
      <c r="AS490" s="632"/>
      <c r="AT490" s="1026"/>
      <c r="AU490" s="1026"/>
      <c r="AV490" s="1026"/>
      <c r="AW490" s="633"/>
    </row>
    <row r="491" spans="26:49" ht="14.5" hidden="1" x14ac:dyDescent="0.35">
      <c r="Z491" s="642"/>
      <c r="AA491" s="642"/>
      <c r="AB491" s="642"/>
      <c r="AC491" s="607" t="s">
        <v>625</v>
      </c>
      <c r="AD491" s="1019" t="s">
        <v>625</v>
      </c>
      <c r="AE491" s="1020" t="s">
        <v>626</v>
      </c>
      <c r="AF491" s="1020" t="s">
        <v>627</v>
      </c>
      <c r="AG491" s="1019" t="s">
        <v>118</v>
      </c>
      <c r="AH491" s="1019">
        <v>1</v>
      </c>
      <c r="AI491" s="1021"/>
      <c r="AJ491" s="617">
        <v>0</v>
      </c>
      <c r="AK491" s="621" t="s">
        <v>102</v>
      </c>
      <c r="AL491">
        <f t="shared" si="2"/>
        <v>1</v>
      </c>
      <c r="AM491" s="1017">
        <v>1</v>
      </c>
      <c r="AN491" s="1018"/>
      <c r="AO491" s="1018"/>
      <c r="AP491" s="1016"/>
      <c r="AQ491" s="628"/>
      <c r="AS491" s="627"/>
      <c r="AT491" s="1016"/>
      <c r="AU491" s="1016"/>
      <c r="AV491" s="1016"/>
      <c r="AW491" s="628"/>
    </row>
    <row r="492" spans="26:49" ht="14.5" hidden="1" x14ac:dyDescent="0.35">
      <c r="Z492" s="642"/>
      <c r="AA492" s="642"/>
      <c r="AB492" s="642"/>
      <c r="AC492" s="607" t="s">
        <v>628</v>
      </c>
      <c r="AD492" s="1019" t="s">
        <v>628</v>
      </c>
      <c r="AE492" s="1020" t="s">
        <v>629</v>
      </c>
      <c r="AF492" s="1020" t="s">
        <v>630</v>
      </c>
      <c r="AG492" s="1019" t="s">
        <v>89</v>
      </c>
      <c r="AH492" s="1019">
        <v>1</v>
      </c>
      <c r="AI492" s="1021"/>
      <c r="AJ492" s="617">
        <v>0</v>
      </c>
      <c r="AK492" s="621" t="s">
        <v>102</v>
      </c>
      <c r="AL492">
        <f t="shared" si="2"/>
        <v>1</v>
      </c>
      <c r="AM492" s="1017">
        <v>1</v>
      </c>
      <c r="AN492" s="1018">
        <v>1</v>
      </c>
      <c r="AO492" s="1018"/>
      <c r="AP492" s="1016"/>
      <c r="AQ492" s="628"/>
      <c r="AS492" s="627"/>
      <c r="AT492" s="1016"/>
      <c r="AU492" s="1016"/>
      <c r="AV492" s="1016"/>
      <c r="AW492" s="628"/>
    </row>
    <row r="493" spans="26:49" ht="14.5" hidden="1" x14ac:dyDescent="0.35">
      <c r="Z493" s="642"/>
      <c r="AA493" s="642"/>
      <c r="AB493" s="642"/>
      <c r="AC493" s="607" t="s">
        <v>631</v>
      </c>
      <c r="AD493" s="1019" t="s">
        <v>631</v>
      </c>
      <c r="AE493" s="1020" t="s">
        <v>632</v>
      </c>
      <c r="AF493" s="1020" t="s">
        <v>633</v>
      </c>
      <c r="AG493" s="1019" t="s">
        <v>89</v>
      </c>
      <c r="AH493" s="1019">
        <v>1</v>
      </c>
      <c r="AI493" s="1021"/>
      <c r="AJ493" s="617">
        <v>0</v>
      </c>
      <c r="AK493" s="621" t="s">
        <v>102</v>
      </c>
      <c r="AL493">
        <f t="shared" si="2"/>
        <v>1</v>
      </c>
      <c r="AM493" s="1017">
        <v>1</v>
      </c>
      <c r="AN493" s="1018">
        <v>1</v>
      </c>
      <c r="AO493" s="1018"/>
      <c r="AP493" s="1016"/>
      <c r="AQ493" s="628"/>
      <c r="AS493" s="627"/>
      <c r="AT493" s="1016"/>
      <c r="AU493" s="1016"/>
      <c r="AV493" s="1016"/>
      <c r="AW493" s="628"/>
    </row>
    <row r="494" spans="26:49" ht="14.5" hidden="1" x14ac:dyDescent="0.35">
      <c r="Z494" s="642"/>
      <c r="AA494" s="642"/>
      <c r="AB494" s="642"/>
      <c r="AC494" s="607" t="s">
        <v>634</v>
      </c>
      <c r="AD494" s="1019" t="s">
        <v>634</v>
      </c>
      <c r="AE494" s="1020" t="s">
        <v>635</v>
      </c>
      <c r="AF494" s="1020" t="s">
        <v>636</v>
      </c>
      <c r="AG494" s="1019" t="s">
        <v>57</v>
      </c>
      <c r="AH494" s="1019">
        <v>1</v>
      </c>
      <c r="AI494" s="1027"/>
      <c r="AJ494" s="617">
        <v>1</v>
      </c>
      <c r="AK494" s="621" t="s">
        <v>109</v>
      </c>
      <c r="AL494">
        <f t="shared" si="2"/>
        <v>1</v>
      </c>
      <c r="AM494" s="1017" t="s">
        <v>84</v>
      </c>
      <c r="AN494" s="1018"/>
      <c r="AO494" s="1018"/>
      <c r="AP494" s="1016"/>
      <c r="AQ494" s="628"/>
      <c r="AS494" s="627"/>
      <c r="AT494" s="1016"/>
      <c r="AU494" s="1016"/>
      <c r="AV494" s="1016"/>
      <c r="AW494" s="628"/>
    </row>
    <row r="495" spans="26:49" ht="14.5" hidden="1" x14ac:dyDescent="0.35">
      <c r="Z495" s="642"/>
      <c r="AA495" s="642"/>
      <c r="AB495" s="642"/>
      <c r="AC495" s="607" t="s">
        <v>6049</v>
      </c>
      <c r="AD495" s="1019" t="s">
        <v>6049</v>
      </c>
      <c r="AE495" s="1020" t="s">
        <v>638</v>
      </c>
      <c r="AF495" s="1020" t="s">
        <v>639</v>
      </c>
      <c r="AG495" s="1019" t="s">
        <v>63</v>
      </c>
      <c r="AH495" s="1019">
        <v>4</v>
      </c>
      <c r="AI495" s="1021"/>
      <c r="AJ495" s="617">
        <v>0</v>
      </c>
      <c r="AK495" s="621" t="s">
        <v>93</v>
      </c>
      <c r="AL495">
        <f t="shared" si="2"/>
        <v>0</v>
      </c>
      <c r="AM495" s="1017" t="s">
        <v>84</v>
      </c>
      <c r="AN495" s="1018"/>
      <c r="AO495" s="1018"/>
      <c r="AP495" s="1016"/>
      <c r="AQ495" s="628"/>
      <c r="AS495" s="627"/>
      <c r="AT495" s="1016"/>
      <c r="AU495" s="1016"/>
      <c r="AV495" s="1016"/>
      <c r="AW495" s="628"/>
    </row>
    <row r="496" spans="26:49" ht="14.5" hidden="1" x14ac:dyDescent="0.35">
      <c r="Z496" s="642"/>
      <c r="AA496" s="642"/>
      <c r="AB496" s="642"/>
      <c r="AC496" s="607" t="s">
        <v>640</v>
      </c>
      <c r="AD496" s="1019" t="s">
        <v>640</v>
      </c>
      <c r="AE496" s="1020" t="s">
        <v>641</v>
      </c>
      <c r="AF496" s="1020" t="s">
        <v>642</v>
      </c>
      <c r="AG496" s="1019" t="s">
        <v>71</v>
      </c>
      <c r="AH496" s="1019">
        <v>4</v>
      </c>
      <c r="AI496" s="1021"/>
      <c r="AJ496" s="617">
        <v>0</v>
      </c>
      <c r="AK496" s="621" t="s">
        <v>93</v>
      </c>
      <c r="AL496">
        <f t="shared" si="2"/>
        <v>0</v>
      </c>
      <c r="AM496" s="1017" t="s">
        <v>84</v>
      </c>
      <c r="AN496" s="1018"/>
      <c r="AO496" s="1018"/>
      <c r="AP496" s="1016"/>
      <c r="AQ496" s="628"/>
      <c r="AS496" s="627"/>
      <c r="AT496" s="1016"/>
      <c r="AU496" s="1016"/>
      <c r="AV496" s="1016"/>
      <c r="AW496" s="628"/>
    </row>
    <row r="497" spans="26:49" ht="14.5" hidden="1" x14ac:dyDescent="0.35">
      <c r="Z497" s="642"/>
      <c r="AA497" s="642"/>
      <c r="AB497" s="642"/>
      <c r="AC497" s="611" t="s">
        <v>643</v>
      </c>
      <c r="AD497" s="1031" t="s">
        <v>643</v>
      </c>
      <c r="AE497" s="1020" t="s">
        <v>644</v>
      </c>
      <c r="AF497" s="1020" t="s">
        <v>645</v>
      </c>
      <c r="AG497" s="1019" t="s">
        <v>61</v>
      </c>
      <c r="AH497" s="1019">
        <v>2</v>
      </c>
      <c r="AI497" s="1024"/>
      <c r="AJ497" s="617">
        <v>1</v>
      </c>
      <c r="AK497" s="621" t="s">
        <v>83</v>
      </c>
      <c r="AL497">
        <f t="shared" si="2"/>
        <v>0</v>
      </c>
      <c r="AM497" s="1017">
        <v>1</v>
      </c>
      <c r="AN497" s="1018">
        <v>1</v>
      </c>
      <c r="AO497" s="1018"/>
      <c r="AP497" s="1016"/>
      <c r="AQ497" s="628"/>
      <c r="AS497" s="627"/>
      <c r="AT497" s="1016"/>
      <c r="AU497" s="1016"/>
      <c r="AV497" s="1016"/>
      <c r="AW497" s="628"/>
    </row>
    <row r="498" spans="26:49" ht="14.5" hidden="1" x14ac:dyDescent="0.35">
      <c r="Z498" s="642"/>
      <c r="AA498" s="642"/>
      <c r="AB498" s="642"/>
      <c r="AC498" s="609" t="s">
        <v>646</v>
      </c>
      <c r="AD498" s="1025" t="s">
        <v>646</v>
      </c>
      <c r="AE498" s="1025" t="s">
        <v>647</v>
      </c>
      <c r="AF498" s="1025" t="s">
        <v>648</v>
      </c>
      <c r="AG498" s="1019" t="s">
        <v>125</v>
      </c>
      <c r="AH498" s="1019">
        <v>1</v>
      </c>
      <c r="AI498" s="1021"/>
      <c r="AJ498" s="617">
        <v>0</v>
      </c>
      <c r="AK498" s="621" t="s">
        <v>102</v>
      </c>
      <c r="AL498">
        <f t="shared" si="2"/>
        <v>1</v>
      </c>
      <c r="AM498" s="1017">
        <v>1</v>
      </c>
      <c r="AN498" s="1018">
        <v>1</v>
      </c>
      <c r="AO498" s="1018"/>
      <c r="AP498" s="1016"/>
      <c r="AQ498" s="628"/>
      <c r="AS498" s="627"/>
      <c r="AT498" s="1016"/>
      <c r="AU498" s="1016"/>
      <c r="AV498" s="1016"/>
      <c r="AW498" s="628"/>
    </row>
    <row r="499" spans="26:49" ht="14.5" hidden="1" x14ac:dyDescent="0.35">
      <c r="Z499" s="642"/>
      <c r="AA499" s="642"/>
      <c r="AB499" s="642"/>
      <c r="AC499" s="609" t="s">
        <v>649</v>
      </c>
      <c r="AD499" s="1025" t="s">
        <v>649</v>
      </c>
      <c r="AE499" s="1025" t="s">
        <v>650</v>
      </c>
      <c r="AF499" s="1025" t="s">
        <v>651</v>
      </c>
      <c r="AG499" s="1025" t="s">
        <v>101</v>
      </c>
      <c r="AH499" s="1022">
        <v>1</v>
      </c>
      <c r="AI499" s="1024"/>
      <c r="AJ499" s="617">
        <v>0</v>
      </c>
      <c r="AK499" s="621" t="s">
        <v>102</v>
      </c>
      <c r="AL499">
        <f t="shared" si="2"/>
        <v>1</v>
      </c>
      <c r="AM499" s="1017">
        <v>1</v>
      </c>
      <c r="AN499" s="1018">
        <v>1</v>
      </c>
      <c r="AO499" s="1018"/>
      <c r="AP499" s="1033"/>
      <c r="AQ499" s="636"/>
      <c r="AS499" s="635"/>
      <c r="AT499" s="1033"/>
      <c r="AU499" s="1033"/>
      <c r="AV499" s="1033"/>
      <c r="AW499" s="636"/>
    </row>
    <row r="500" spans="26:49" ht="14.5" hidden="1" x14ac:dyDescent="0.35">
      <c r="Z500" s="642"/>
      <c r="AA500" s="642"/>
      <c r="AB500" s="642"/>
      <c r="AC500" s="607" t="s">
        <v>652</v>
      </c>
      <c r="AD500" s="1019" t="s">
        <v>652</v>
      </c>
      <c r="AE500" s="1020" t="s">
        <v>653</v>
      </c>
      <c r="AF500" s="1020" t="s">
        <v>654</v>
      </c>
      <c r="AG500" s="1019" t="s">
        <v>97</v>
      </c>
      <c r="AH500" s="1019">
        <v>1</v>
      </c>
      <c r="AI500" s="1021"/>
      <c r="AJ500" s="617">
        <v>1</v>
      </c>
      <c r="AK500" s="621" t="s">
        <v>109</v>
      </c>
      <c r="AL500">
        <f t="shared" si="2"/>
        <v>1</v>
      </c>
      <c r="AM500" s="1017">
        <v>1</v>
      </c>
      <c r="AN500" s="1018"/>
      <c r="AO500" s="1018"/>
      <c r="AP500" s="1016"/>
      <c r="AQ500" s="628"/>
      <c r="AS500" s="627"/>
      <c r="AT500" s="1016"/>
      <c r="AU500" s="1016"/>
      <c r="AV500" s="1016"/>
      <c r="AW500" s="628"/>
    </row>
    <row r="501" spans="26:49" ht="14.5" hidden="1" x14ac:dyDescent="0.35">
      <c r="Z501" s="642"/>
      <c r="AA501" s="642"/>
      <c r="AB501" s="642"/>
      <c r="AC501" s="607" t="s">
        <v>655</v>
      </c>
      <c r="AD501" s="1019" t="s">
        <v>655</v>
      </c>
      <c r="AE501" s="1020" t="s">
        <v>656</v>
      </c>
      <c r="AF501" s="1020" t="s">
        <v>657</v>
      </c>
      <c r="AG501" s="1019" t="s">
        <v>97</v>
      </c>
      <c r="AH501" s="1019">
        <v>1</v>
      </c>
      <c r="AI501" s="1021"/>
      <c r="AJ501" s="617">
        <v>1</v>
      </c>
      <c r="AK501" s="621" t="s">
        <v>109</v>
      </c>
      <c r="AL501">
        <f t="shared" si="2"/>
        <v>1</v>
      </c>
      <c r="AM501" s="1017">
        <v>1</v>
      </c>
      <c r="AN501" s="1018"/>
      <c r="AO501" s="1018"/>
      <c r="AP501" s="1016"/>
      <c r="AQ501" s="628"/>
      <c r="AS501" s="627"/>
      <c r="AT501" s="1016"/>
      <c r="AU501" s="1016"/>
      <c r="AV501" s="1016"/>
      <c r="AW501" s="628"/>
    </row>
    <row r="502" spans="26:49" ht="14.5" hidden="1" x14ac:dyDescent="0.35">
      <c r="Z502" s="642"/>
      <c r="AA502" s="642"/>
      <c r="AB502" s="642"/>
      <c r="AC502" s="607" t="s">
        <v>658</v>
      </c>
      <c r="AD502" s="1019" t="s">
        <v>658</v>
      </c>
      <c r="AE502" s="1020" t="s">
        <v>659</v>
      </c>
      <c r="AF502" s="1020" t="s">
        <v>660</v>
      </c>
      <c r="AG502" s="1019" t="s">
        <v>110</v>
      </c>
      <c r="AH502" s="1019">
        <v>8</v>
      </c>
      <c r="AI502" s="1029"/>
      <c r="AJ502" s="617">
        <v>0</v>
      </c>
      <c r="AK502" s="621" t="s">
        <v>661</v>
      </c>
      <c r="AL502">
        <f t="shared" si="2"/>
        <v>0</v>
      </c>
      <c r="AM502" s="1017" t="s">
        <v>84</v>
      </c>
      <c r="AN502" s="1018"/>
      <c r="AO502" s="1018"/>
      <c r="AP502" s="1016"/>
      <c r="AQ502" s="628"/>
      <c r="AS502" s="627"/>
      <c r="AT502" s="1016"/>
      <c r="AU502" s="1016"/>
      <c r="AV502" s="1016"/>
      <c r="AW502" s="628"/>
    </row>
    <row r="503" spans="26:49" ht="14.5" hidden="1" x14ac:dyDescent="0.35">
      <c r="Z503" s="642"/>
      <c r="AA503" s="642"/>
      <c r="AB503" s="642"/>
      <c r="AC503" s="610" t="s">
        <v>662</v>
      </c>
      <c r="AD503" s="1028" t="s">
        <v>662</v>
      </c>
      <c r="AE503" s="1023" t="s">
        <v>663</v>
      </c>
      <c r="AF503" s="1023" t="s">
        <v>664</v>
      </c>
      <c r="AG503" s="1022" t="s">
        <v>89</v>
      </c>
      <c r="AH503" s="1022">
        <v>1</v>
      </c>
      <c r="AI503" s="1029"/>
      <c r="AJ503" s="617">
        <v>0</v>
      </c>
      <c r="AK503" s="621" t="s">
        <v>102</v>
      </c>
      <c r="AL503">
        <f t="shared" ref="AL503:AL566" si="3">IF(AG503="UA",1,IF(AG503="MD",1,IF(AG503="OLB",1,IF(AG503="ILB",1,IF(AG503="CC",1,IF(AG503="SCILLY",1,0))))))</f>
        <v>1</v>
      </c>
      <c r="AM503" s="1017">
        <v>1</v>
      </c>
      <c r="AN503" s="1018">
        <v>1</v>
      </c>
      <c r="AO503" s="1018"/>
      <c r="AP503" s="1016"/>
      <c r="AQ503" s="628"/>
      <c r="AS503" s="627"/>
      <c r="AT503" s="1016"/>
      <c r="AU503" s="1016"/>
      <c r="AV503" s="1016"/>
      <c r="AW503" s="628"/>
    </row>
    <row r="504" spans="26:49" ht="14.5" hidden="1" x14ac:dyDescent="0.35">
      <c r="Z504" s="642"/>
      <c r="AA504" s="642"/>
      <c r="AB504" s="642"/>
      <c r="AC504" s="607" t="s">
        <v>665</v>
      </c>
      <c r="AD504" s="1019" t="s">
        <v>665</v>
      </c>
      <c r="AE504" s="1020" t="s">
        <v>666</v>
      </c>
      <c r="AF504" s="1020" t="s">
        <v>667</v>
      </c>
      <c r="AG504" s="1019" t="s">
        <v>57</v>
      </c>
      <c r="AH504" s="1019">
        <v>1</v>
      </c>
      <c r="AI504" s="1021"/>
      <c r="AJ504" s="617">
        <v>1</v>
      </c>
      <c r="AK504" s="621" t="s">
        <v>109</v>
      </c>
      <c r="AL504">
        <f t="shared" si="3"/>
        <v>1</v>
      </c>
      <c r="AM504" s="1017" t="s">
        <v>84</v>
      </c>
      <c r="AN504" s="1018"/>
      <c r="AO504" s="1018"/>
      <c r="AP504" s="1016"/>
      <c r="AQ504" s="628"/>
      <c r="AS504" s="627"/>
      <c r="AT504" s="1016"/>
      <c r="AU504" s="1016"/>
      <c r="AV504" s="1016"/>
      <c r="AW504" s="628"/>
    </row>
    <row r="505" spans="26:49" ht="14.5" hidden="1" x14ac:dyDescent="0.35">
      <c r="Z505" s="642"/>
      <c r="AA505" s="642"/>
      <c r="AB505" s="642"/>
      <c r="AC505" s="607" t="s">
        <v>6050</v>
      </c>
      <c r="AD505" s="1019" t="s">
        <v>6050</v>
      </c>
      <c r="AE505" s="1020" t="s">
        <v>669</v>
      </c>
      <c r="AF505" s="1020" t="s">
        <v>670</v>
      </c>
      <c r="AG505" s="1019" t="s">
        <v>63</v>
      </c>
      <c r="AH505" s="1019">
        <v>4</v>
      </c>
      <c r="AI505" s="1021"/>
      <c r="AJ505" s="617">
        <v>1</v>
      </c>
      <c r="AK505" s="621" t="s">
        <v>88</v>
      </c>
      <c r="AL505">
        <f t="shared" si="3"/>
        <v>0</v>
      </c>
      <c r="AM505" s="1017" t="s">
        <v>84</v>
      </c>
      <c r="AN505" s="1018"/>
      <c r="AO505" s="1018"/>
      <c r="AP505" s="1016"/>
      <c r="AQ505" s="628"/>
      <c r="AS505" s="627"/>
      <c r="AT505" s="1016"/>
      <c r="AU505" s="1016"/>
      <c r="AV505" s="1016"/>
      <c r="AW505" s="628"/>
    </row>
    <row r="506" spans="26:49" ht="14.5" hidden="1" x14ac:dyDescent="0.35">
      <c r="Z506" s="642"/>
      <c r="AA506" s="642"/>
      <c r="AB506" s="642"/>
      <c r="AC506" s="607" t="s">
        <v>671</v>
      </c>
      <c r="AD506" s="1019" t="s">
        <v>671</v>
      </c>
      <c r="AE506" s="1020" t="s">
        <v>672</v>
      </c>
      <c r="AF506" s="1020" t="s">
        <v>673</v>
      </c>
      <c r="AG506" s="1019" t="s">
        <v>71</v>
      </c>
      <c r="AH506" s="1019">
        <v>4</v>
      </c>
      <c r="AI506" s="1021"/>
      <c r="AJ506" s="617">
        <v>1</v>
      </c>
      <c r="AK506" s="621" t="s">
        <v>88</v>
      </c>
      <c r="AL506">
        <f t="shared" si="3"/>
        <v>0</v>
      </c>
      <c r="AM506" s="1017" t="s">
        <v>84</v>
      </c>
      <c r="AN506" s="1018"/>
      <c r="AO506" s="1018"/>
      <c r="AP506" s="1016"/>
      <c r="AQ506" s="628"/>
      <c r="AS506" s="627"/>
      <c r="AT506" s="1016"/>
      <c r="AU506" s="1016"/>
      <c r="AV506" s="1016"/>
      <c r="AW506" s="628"/>
    </row>
    <row r="507" spans="26:49" ht="14.5" hidden="1" x14ac:dyDescent="0.35">
      <c r="Z507" s="642"/>
      <c r="AA507" s="642"/>
      <c r="AB507" s="642"/>
      <c r="AC507" s="608" t="s">
        <v>674</v>
      </c>
      <c r="AD507" s="1022" t="s">
        <v>674</v>
      </c>
      <c r="AE507" s="1023" t="s">
        <v>675</v>
      </c>
      <c r="AF507" s="1023" t="s">
        <v>676</v>
      </c>
      <c r="AG507" s="1022" t="s">
        <v>61</v>
      </c>
      <c r="AH507" s="1022">
        <v>2</v>
      </c>
      <c r="AI507" s="1021"/>
      <c r="AJ507" s="617">
        <v>1</v>
      </c>
      <c r="AK507" s="621" t="s">
        <v>83</v>
      </c>
      <c r="AL507">
        <f t="shared" si="3"/>
        <v>0</v>
      </c>
      <c r="AM507" s="1017">
        <v>1</v>
      </c>
      <c r="AN507" s="1018"/>
      <c r="AO507" s="1018"/>
      <c r="AP507" s="1016"/>
      <c r="AQ507" s="628"/>
      <c r="AS507" s="627"/>
      <c r="AT507" s="1016"/>
      <c r="AU507" s="1016"/>
      <c r="AV507" s="1016"/>
      <c r="AW507" s="628"/>
    </row>
    <row r="508" spans="26:49" ht="14.5" hidden="1" x14ac:dyDescent="0.35">
      <c r="Z508" s="642"/>
      <c r="AA508" s="642"/>
      <c r="AB508" s="642"/>
      <c r="AC508" s="607" t="s">
        <v>677</v>
      </c>
      <c r="AD508" s="1019" t="s">
        <v>677</v>
      </c>
      <c r="AE508" s="1020" t="s">
        <v>678</v>
      </c>
      <c r="AF508" s="1020" t="s">
        <v>678</v>
      </c>
      <c r="AG508" s="1019" t="s">
        <v>110</v>
      </c>
      <c r="AH508" s="1019">
        <v>8</v>
      </c>
      <c r="AI508" s="1032"/>
      <c r="AJ508" s="617">
        <v>0</v>
      </c>
      <c r="AK508" s="621" t="s">
        <v>661</v>
      </c>
      <c r="AL508">
        <f t="shared" si="3"/>
        <v>0</v>
      </c>
      <c r="AM508" s="1017" t="s">
        <v>84</v>
      </c>
      <c r="AN508" s="1018"/>
      <c r="AO508" s="1018"/>
      <c r="AP508" s="1016"/>
      <c r="AQ508" s="628"/>
      <c r="AS508" s="627"/>
      <c r="AT508" s="1016"/>
      <c r="AU508" s="1016"/>
      <c r="AV508" s="1016"/>
      <c r="AW508" s="628"/>
    </row>
    <row r="509" spans="26:49" ht="14.5" hidden="1" x14ac:dyDescent="0.35">
      <c r="Z509" s="642"/>
      <c r="AA509" s="642"/>
      <c r="AB509" s="642"/>
      <c r="AC509" s="609" t="s">
        <v>679</v>
      </c>
      <c r="AD509" s="1025" t="s">
        <v>679</v>
      </c>
      <c r="AE509" s="1025" t="s">
        <v>680</v>
      </c>
      <c r="AF509" s="1025" t="s">
        <v>681</v>
      </c>
      <c r="AG509" s="1019" t="s">
        <v>97</v>
      </c>
      <c r="AH509" s="1019">
        <v>1</v>
      </c>
      <c r="AI509" s="1024"/>
      <c r="AJ509" s="617">
        <v>1</v>
      </c>
      <c r="AK509" s="621" t="s">
        <v>109</v>
      </c>
      <c r="AL509">
        <f t="shared" si="3"/>
        <v>1</v>
      </c>
      <c r="AM509" s="1017">
        <v>1</v>
      </c>
      <c r="AN509" s="1018">
        <v>1</v>
      </c>
      <c r="AO509" s="1018"/>
      <c r="AP509" s="1016"/>
      <c r="AQ509" s="628"/>
      <c r="AS509" s="627"/>
      <c r="AT509" s="1016"/>
      <c r="AU509" s="1016"/>
      <c r="AV509" s="1016"/>
      <c r="AW509" s="628"/>
    </row>
    <row r="510" spans="26:49" ht="14.5" hidden="1" x14ac:dyDescent="0.35">
      <c r="Z510" s="642"/>
      <c r="AA510" s="642"/>
      <c r="AB510" s="642"/>
      <c r="AC510" s="609" t="s">
        <v>682</v>
      </c>
      <c r="AD510" s="1025" t="s">
        <v>682</v>
      </c>
      <c r="AE510" s="1025" t="s">
        <v>683</v>
      </c>
      <c r="AF510" s="1025" t="s">
        <v>684</v>
      </c>
      <c r="AG510" s="1025" t="s">
        <v>125</v>
      </c>
      <c r="AH510" s="1019">
        <v>1</v>
      </c>
      <c r="AI510" s="1021"/>
      <c r="AJ510" s="617">
        <v>0</v>
      </c>
      <c r="AK510" s="621" t="s">
        <v>102</v>
      </c>
      <c r="AL510">
        <f t="shared" si="3"/>
        <v>1</v>
      </c>
      <c r="AM510" s="1017">
        <v>1</v>
      </c>
      <c r="AN510" s="1018"/>
      <c r="AO510" s="1018"/>
      <c r="AP510" s="1026"/>
      <c r="AQ510" s="633"/>
      <c r="AS510" s="634"/>
      <c r="AT510" s="1026"/>
      <c r="AU510" s="1026"/>
      <c r="AV510" s="1026"/>
      <c r="AW510" s="633"/>
    </row>
    <row r="511" spans="26:49" ht="14.5" hidden="1" x14ac:dyDescent="0.35">
      <c r="Z511" s="642"/>
      <c r="AA511" s="642"/>
      <c r="AB511" s="642"/>
      <c r="AC511" s="607" t="s">
        <v>685</v>
      </c>
      <c r="AD511" s="1019" t="s">
        <v>685</v>
      </c>
      <c r="AE511" s="1020" t="s">
        <v>686</v>
      </c>
      <c r="AF511" s="1020" t="s">
        <v>687</v>
      </c>
      <c r="AG511" s="1019" t="s">
        <v>57</v>
      </c>
      <c r="AH511" s="1019">
        <v>1</v>
      </c>
      <c r="AI511" s="1021"/>
      <c r="AJ511" s="617">
        <v>0</v>
      </c>
      <c r="AK511" s="621" t="s">
        <v>102</v>
      </c>
      <c r="AL511">
        <f t="shared" si="3"/>
        <v>1</v>
      </c>
      <c r="AM511" s="1017" t="s">
        <v>84</v>
      </c>
      <c r="AN511" s="1018"/>
      <c r="AO511" s="1018"/>
      <c r="AP511" s="1016"/>
      <c r="AQ511" s="628"/>
      <c r="AS511" s="627"/>
      <c r="AT511" s="1016"/>
      <c r="AU511" s="1016"/>
      <c r="AV511" s="1016"/>
      <c r="AW511" s="628"/>
    </row>
    <row r="512" spans="26:49" ht="14.5" hidden="1" x14ac:dyDescent="0.35">
      <c r="Z512" s="642"/>
      <c r="AA512" s="642"/>
      <c r="AB512" s="642"/>
      <c r="AC512" s="607" t="s">
        <v>6051</v>
      </c>
      <c r="AD512" s="1019" t="s">
        <v>6051</v>
      </c>
      <c r="AE512" s="1020" t="s">
        <v>689</v>
      </c>
      <c r="AF512" s="1020" t="s">
        <v>690</v>
      </c>
      <c r="AG512" s="1019" t="s">
        <v>63</v>
      </c>
      <c r="AH512" s="1019">
        <v>4</v>
      </c>
      <c r="AI512" s="1021"/>
      <c r="AJ512" s="617">
        <v>0</v>
      </c>
      <c r="AK512" s="621" t="s">
        <v>93</v>
      </c>
      <c r="AL512">
        <f t="shared" si="3"/>
        <v>0</v>
      </c>
      <c r="AM512" s="1017" t="s">
        <v>84</v>
      </c>
      <c r="AN512" s="1018"/>
      <c r="AO512" s="1018"/>
      <c r="AP512" s="1016"/>
      <c r="AQ512" s="628"/>
      <c r="AS512" s="627"/>
      <c r="AT512" s="1016"/>
      <c r="AU512" s="1016"/>
      <c r="AV512" s="1016"/>
      <c r="AW512" s="628"/>
    </row>
    <row r="513" spans="26:49" ht="14.5" hidden="1" x14ac:dyDescent="0.35">
      <c r="Z513" s="642"/>
      <c r="AA513" s="642"/>
      <c r="AB513" s="642"/>
      <c r="AC513" s="607" t="s">
        <v>691</v>
      </c>
      <c r="AD513" s="1019" t="s">
        <v>691</v>
      </c>
      <c r="AE513" s="1020" t="s">
        <v>692</v>
      </c>
      <c r="AF513" s="1020" t="s">
        <v>693</v>
      </c>
      <c r="AG513" s="1019" t="s">
        <v>71</v>
      </c>
      <c r="AH513" s="1019">
        <v>4</v>
      </c>
      <c r="AI513" s="1032"/>
      <c r="AJ513" s="617">
        <v>0</v>
      </c>
      <c r="AK513" s="621" t="s">
        <v>93</v>
      </c>
      <c r="AL513">
        <f t="shared" si="3"/>
        <v>0</v>
      </c>
      <c r="AM513" s="1017" t="s">
        <v>84</v>
      </c>
      <c r="AN513" s="1018"/>
      <c r="AO513" s="1018"/>
      <c r="AP513" s="1016"/>
      <c r="AQ513" s="628"/>
      <c r="AS513" s="627"/>
      <c r="AT513" s="1016"/>
      <c r="AU513" s="1016"/>
      <c r="AV513" s="1016"/>
      <c r="AW513" s="628"/>
    </row>
    <row r="514" spans="26:49" ht="14.5" hidden="1" x14ac:dyDescent="0.35">
      <c r="Z514" s="642"/>
      <c r="AA514" s="642"/>
      <c r="AB514" s="642"/>
      <c r="AC514" s="610" t="s">
        <v>694</v>
      </c>
      <c r="AD514" s="1028" t="s">
        <v>694</v>
      </c>
      <c r="AE514" s="1023" t="s">
        <v>695</v>
      </c>
      <c r="AF514" s="1023" t="s">
        <v>696</v>
      </c>
      <c r="AG514" s="1022" t="s">
        <v>61</v>
      </c>
      <c r="AH514" s="1022">
        <v>2</v>
      </c>
      <c r="AI514" s="1027"/>
      <c r="AJ514" s="617">
        <v>0</v>
      </c>
      <c r="AK514" s="621" t="s">
        <v>62</v>
      </c>
      <c r="AL514">
        <f t="shared" si="3"/>
        <v>0</v>
      </c>
      <c r="AM514" s="1017">
        <v>1</v>
      </c>
      <c r="AN514" s="1018">
        <v>1</v>
      </c>
      <c r="AO514" s="1018"/>
      <c r="AP514" s="1016"/>
      <c r="AQ514" s="628"/>
      <c r="AS514" s="627"/>
      <c r="AT514" s="1016"/>
      <c r="AU514" s="1016"/>
      <c r="AV514" s="1016"/>
      <c r="AW514" s="628"/>
    </row>
    <row r="515" spans="26:49" ht="14.5" hidden="1" x14ac:dyDescent="0.35">
      <c r="Z515" s="642"/>
      <c r="AA515" s="642"/>
      <c r="AB515" s="642"/>
      <c r="AC515" s="611" t="s">
        <v>697</v>
      </c>
      <c r="AD515" s="1031" t="s">
        <v>697</v>
      </c>
      <c r="AE515" s="1020" t="s">
        <v>698</v>
      </c>
      <c r="AF515" s="1020" t="s">
        <v>699</v>
      </c>
      <c r="AG515" s="1019" t="s">
        <v>89</v>
      </c>
      <c r="AH515" s="1019">
        <v>1</v>
      </c>
      <c r="AI515" s="1021"/>
      <c r="AJ515" s="617">
        <v>1</v>
      </c>
      <c r="AK515" s="621" t="s">
        <v>109</v>
      </c>
      <c r="AL515">
        <f t="shared" si="3"/>
        <v>1</v>
      </c>
      <c r="AM515" s="1017">
        <v>1</v>
      </c>
      <c r="AN515" s="1018">
        <v>1</v>
      </c>
      <c r="AO515" s="1018"/>
      <c r="AP515" s="1016"/>
      <c r="AQ515" s="628"/>
      <c r="AS515" s="627"/>
      <c r="AT515" s="1016"/>
      <c r="AU515" s="1016"/>
      <c r="AV515" s="1016"/>
      <c r="AW515" s="628"/>
    </row>
    <row r="516" spans="26:49" ht="14.5" hidden="1" x14ac:dyDescent="0.35">
      <c r="Z516" s="642"/>
      <c r="AA516" s="642"/>
      <c r="AB516" s="642"/>
      <c r="AC516" s="609" t="s">
        <v>700</v>
      </c>
      <c r="AD516" s="1025" t="s">
        <v>700</v>
      </c>
      <c r="AE516" s="1025" t="s">
        <v>701</v>
      </c>
      <c r="AF516" s="1025" t="s">
        <v>702</v>
      </c>
      <c r="AG516" s="1019" t="s">
        <v>61</v>
      </c>
      <c r="AH516" s="1019">
        <v>2</v>
      </c>
      <c r="AI516" s="1021"/>
      <c r="AJ516" s="617">
        <v>0</v>
      </c>
      <c r="AK516" s="621" t="s">
        <v>62</v>
      </c>
      <c r="AL516">
        <f t="shared" si="3"/>
        <v>0</v>
      </c>
      <c r="AM516" s="1017">
        <v>1</v>
      </c>
      <c r="AN516" s="1018">
        <v>1</v>
      </c>
      <c r="AO516" s="1018"/>
      <c r="AP516" s="1016"/>
      <c r="AQ516" s="628"/>
      <c r="AS516" s="627"/>
      <c r="AT516" s="1016"/>
      <c r="AU516" s="1016"/>
      <c r="AV516" s="1016"/>
      <c r="AW516" s="628"/>
    </row>
    <row r="517" spans="26:49" ht="14.5" hidden="1" x14ac:dyDescent="0.35">
      <c r="Z517" s="642"/>
      <c r="AA517" s="642"/>
      <c r="AB517" s="642"/>
      <c r="AC517" s="609" t="s">
        <v>703</v>
      </c>
      <c r="AD517" s="1025" t="s">
        <v>703</v>
      </c>
      <c r="AE517" s="1025" t="s">
        <v>704</v>
      </c>
      <c r="AF517" s="1025" t="s">
        <v>705</v>
      </c>
      <c r="AG517" s="1025" t="s">
        <v>61</v>
      </c>
      <c r="AH517" s="1019">
        <v>2</v>
      </c>
      <c r="AI517" s="1021"/>
      <c r="AJ517" s="617">
        <v>1</v>
      </c>
      <c r="AK517" s="621" t="s">
        <v>83</v>
      </c>
      <c r="AL517">
        <f t="shared" si="3"/>
        <v>0</v>
      </c>
      <c r="AM517" s="1017">
        <v>1</v>
      </c>
      <c r="AN517" s="1018">
        <v>1</v>
      </c>
      <c r="AO517" s="1018"/>
      <c r="AP517" s="1026"/>
      <c r="AQ517" s="633"/>
      <c r="AS517" s="634"/>
      <c r="AT517" s="1026"/>
      <c r="AU517" s="1026"/>
      <c r="AV517" s="1026"/>
      <c r="AW517" s="633"/>
    </row>
    <row r="518" spans="26:49" ht="14.5" hidden="1" x14ac:dyDescent="0.35">
      <c r="Z518" s="642"/>
      <c r="AA518" s="642"/>
      <c r="AB518" s="642"/>
      <c r="AC518" s="607" t="s">
        <v>706</v>
      </c>
      <c r="AD518" s="1019" t="s">
        <v>706</v>
      </c>
      <c r="AE518" s="1020" t="s">
        <v>707</v>
      </c>
      <c r="AF518" s="1020" t="s">
        <v>708</v>
      </c>
      <c r="AG518" s="1019" t="s">
        <v>57</v>
      </c>
      <c r="AH518" s="1019">
        <v>1</v>
      </c>
      <c r="AI518" s="1021"/>
      <c r="AJ518" s="617">
        <v>1</v>
      </c>
      <c r="AK518" s="621" t="s">
        <v>109</v>
      </c>
      <c r="AL518">
        <f t="shared" si="3"/>
        <v>1</v>
      </c>
      <c r="AM518" s="1017" t="s">
        <v>84</v>
      </c>
      <c r="AN518" s="1018"/>
      <c r="AO518" s="1018"/>
      <c r="AP518" s="1016"/>
      <c r="AQ518" s="628"/>
      <c r="AS518" s="627"/>
      <c r="AT518" s="1016"/>
      <c r="AU518" s="1016"/>
      <c r="AV518" s="1016"/>
      <c r="AW518" s="628"/>
    </row>
    <row r="519" spans="26:49" ht="14.5" hidden="1" x14ac:dyDescent="0.35">
      <c r="Z519" s="642"/>
      <c r="AA519" s="642"/>
      <c r="AB519" s="642"/>
      <c r="AC519" s="607" t="s">
        <v>709</v>
      </c>
      <c r="AD519" s="1019" t="s">
        <v>709</v>
      </c>
      <c r="AE519" s="1020" t="s">
        <v>710</v>
      </c>
      <c r="AF519" s="1020" t="s">
        <v>711</v>
      </c>
      <c r="AG519" s="1019" t="s">
        <v>71</v>
      </c>
      <c r="AH519" s="1019">
        <v>4</v>
      </c>
      <c r="AI519" s="1024"/>
      <c r="AJ519" s="617">
        <v>1</v>
      </c>
      <c r="AK519" s="621" t="s">
        <v>88</v>
      </c>
      <c r="AL519">
        <f t="shared" si="3"/>
        <v>0</v>
      </c>
      <c r="AM519" s="1017" t="s">
        <v>84</v>
      </c>
      <c r="AN519" s="1018"/>
      <c r="AO519" s="1018"/>
      <c r="AP519" s="1016"/>
      <c r="AQ519" s="628"/>
      <c r="AS519" s="627"/>
      <c r="AT519" s="1016"/>
      <c r="AU519" s="1016"/>
      <c r="AV519" s="1016"/>
      <c r="AW519" s="628"/>
    </row>
    <row r="520" spans="26:49" ht="14.5" hidden="1" x14ac:dyDescent="0.35">
      <c r="Z520" s="642"/>
      <c r="AA520" s="642"/>
      <c r="AB520" s="642"/>
      <c r="AC520" s="607" t="s">
        <v>712</v>
      </c>
      <c r="AD520" s="1019" t="s">
        <v>712</v>
      </c>
      <c r="AE520" s="1020" t="s">
        <v>713</v>
      </c>
      <c r="AF520" s="1020" t="s">
        <v>714</v>
      </c>
      <c r="AG520" s="1019" t="s">
        <v>97</v>
      </c>
      <c r="AH520" s="1019">
        <v>1</v>
      </c>
      <c r="AI520" s="1021"/>
      <c r="AJ520" s="617">
        <v>1</v>
      </c>
      <c r="AK520" s="621" t="s">
        <v>109</v>
      </c>
      <c r="AL520">
        <f t="shared" si="3"/>
        <v>1</v>
      </c>
      <c r="AM520" s="1017">
        <v>1</v>
      </c>
      <c r="AN520" s="1018"/>
      <c r="AO520" s="1018"/>
      <c r="AP520" s="1016"/>
      <c r="AQ520" s="628"/>
      <c r="AS520" s="627"/>
      <c r="AT520" s="1016"/>
      <c r="AU520" s="1016"/>
      <c r="AV520" s="1016"/>
      <c r="AW520" s="628"/>
    </row>
    <row r="521" spans="26:49" ht="14.5" hidden="1" x14ac:dyDescent="0.35">
      <c r="Z521" s="642"/>
      <c r="AA521" s="642"/>
      <c r="AB521" s="642"/>
      <c r="AC521" s="607" t="s">
        <v>715</v>
      </c>
      <c r="AD521" s="1019" t="s">
        <v>715</v>
      </c>
      <c r="AE521" s="1020" t="s">
        <v>716</v>
      </c>
      <c r="AF521" s="1020" t="s">
        <v>717</v>
      </c>
      <c r="AG521" s="1019" t="s">
        <v>114</v>
      </c>
      <c r="AH521" s="1019">
        <v>3</v>
      </c>
      <c r="AI521" s="1021"/>
      <c r="AJ521" s="617">
        <v>0</v>
      </c>
      <c r="AK521" s="621" t="s">
        <v>661</v>
      </c>
      <c r="AL521">
        <f t="shared" si="3"/>
        <v>0</v>
      </c>
      <c r="AM521" s="1017" t="s">
        <v>84</v>
      </c>
      <c r="AN521" s="1018"/>
      <c r="AO521" s="1018"/>
      <c r="AP521" s="1016"/>
      <c r="AQ521" s="628"/>
      <c r="AS521" s="627"/>
      <c r="AT521" s="1016"/>
      <c r="AU521" s="1016"/>
      <c r="AV521" s="1016"/>
      <c r="AW521" s="628"/>
    </row>
    <row r="522" spans="26:49" ht="14.5" hidden="1" x14ac:dyDescent="0.35">
      <c r="Z522" s="642"/>
      <c r="AA522" s="642"/>
      <c r="AB522" s="642"/>
      <c r="AC522" s="607" t="s">
        <v>718</v>
      </c>
      <c r="AD522" s="1019" t="s">
        <v>718</v>
      </c>
      <c r="AE522" s="1020" t="s">
        <v>719</v>
      </c>
      <c r="AF522" s="1020" t="s">
        <v>720</v>
      </c>
      <c r="AG522" s="1019" t="s">
        <v>125</v>
      </c>
      <c r="AH522" s="1019">
        <v>1</v>
      </c>
      <c r="AI522" s="1021"/>
      <c r="AJ522" s="617">
        <v>1</v>
      </c>
      <c r="AK522" s="621" t="s">
        <v>109</v>
      </c>
      <c r="AL522">
        <f t="shared" si="3"/>
        <v>1</v>
      </c>
      <c r="AM522" s="1017">
        <v>1</v>
      </c>
      <c r="AN522" s="1018"/>
      <c r="AO522" s="1018"/>
      <c r="AP522" s="1016"/>
      <c r="AQ522" s="628"/>
      <c r="AS522" s="627"/>
      <c r="AT522" s="1016"/>
      <c r="AU522" s="1016"/>
      <c r="AV522" s="1016"/>
      <c r="AW522" s="628"/>
    </row>
    <row r="523" spans="26:49" ht="14.5" hidden="1" x14ac:dyDescent="0.35">
      <c r="Z523" s="642"/>
      <c r="AA523" s="642"/>
      <c r="AB523" s="642"/>
      <c r="AC523" s="607" t="s">
        <v>721</v>
      </c>
      <c r="AD523" s="1019" t="s">
        <v>721</v>
      </c>
      <c r="AE523" s="1020" t="s">
        <v>722</v>
      </c>
      <c r="AF523" s="1020" t="s">
        <v>723</v>
      </c>
      <c r="AG523" s="1019" t="s">
        <v>61</v>
      </c>
      <c r="AH523" s="1019">
        <v>2</v>
      </c>
      <c r="AI523" s="1021"/>
      <c r="AJ523" s="617">
        <v>1</v>
      </c>
      <c r="AK523" s="621" t="s">
        <v>83</v>
      </c>
      <c r="AL523">
        <f t="shared" si="3"/>
        <v>0</v>
      </c>
      <c r="AM523" s="1017">
        <v>1</v>
      </c>
      <c r="AN523" s="1018">
        <v>1</v>
      </c>
      <c r="AO523" s="1018"/>
      <c r="AP523" s="1016"/>
      <c r="AQ523" s="628"/>
      <c r="AS523" s="627"/>
      <c r="AT523" s="1016"/>
      <c r="AU523" s="1016"/>
      <c r="AV523" s="1016"/>
      <c r="AW523" s="628"/>
    </row>
    <row r="524" spans="26:49" ht="14.5" hidden="1" x14ac:dyDescent="0.35">
      <c r="Z524" s="642"/>
      <c r="AA524" s="642"/>
      <c r="AB524" s="642"/>
      <c r="AC524" s="609" t="s">
        <v>724</v>
      </c>
      <c r="AD524" s="1025" t="s">
        <v>724</v>
      </c>
      <c r="AE524" s="1025" t="s">
        <v>725</v>
      </c>
      <c r="AF524" s="1025" t="s">
        <v>726</v>
      </c>
      <c r="AG524" s="1025" t="s">
        <v>61</v>
      </c>
      <c r="AH524" s="1019">
        <v>2</v>
      </c>
      <c r="AI524" s="1021"/>
      <c r="AJ524" s="617">
        <v>0</v>
      </c>
      <c r="AK524" s="621" t="s">
        <v>62</v>
      </c>
      <c r="AL524">
        <f t="shared" si="3"/>
        <v>0</v>
      </c>
      <c r="AM524" s="1017">
        <v>1</v>
      </c>
      <c r="AN524" s="1018"/>
      <c r="AO524" s="1018"/>
      <c r="AP524" s="1026"/>
      <c r="AQ524" s="633"/>
      <c r="AS524" s="634"/>
      <c r="AT524" s="1026"/>
      <c r="AU524" s="1026"/>
      <c r="AV524" s="1026"/>
      <c r="AW524" s="633"/>
    </row>
    <row r="525" spans="26:49" ht="14.5" hidden="1" x14ac:dyDescent="0.35">
      <c r="Z525" s="642"/>
      <c r="AA525" s="642"/>
      <c r="AB525" s="642"/>
      <c r="AC525" s="607" t="s">
        <v>727</v>
      </c>
      <c r="AD525" s="1019" t="s">
        <v>727</v>
      </c>
      <c r="AE525" s="1020" t="s">
        <v>728</v>
      </c>
      <c r="AF525" s="1020" t="s">
        <v>729</v>
      </c>
      <c r="AG525" s="1019" t="s">
        <v>61</v>
      </c>
      <c r="AH525" s="1019">
        <v>2</v>
      </c>
      <c r="AI525" s="1024"/>
      <c r="AJ525" s="617">
        <v>1</v>
      </c>
      <c r="AK525" s="621" t="s">
        <v>83</v>
      </c>
      <c r="AL525">
        <f t="shared" si="3"/>
        <v>0</v>
      </c>
      <c r="AM525" s="1017">
        <v>1</v>
      </c>
      <c r="AN525" s="1018">
        <v>1</v>
      </c>
      <c r="AO525" s="1018"/>
      <c r="AP525" s="1016"/>
      <c r="AQ525" s="628"/>
      <c r="AS525" s="627"/>
      <c r="AT525" s="1016"/>
      <c r="AU525" s="1016"/>
      <c r="AV525" s="1016"/>
      <c r="AW525" s="628"/>
    </row>
    <row r="526" spans="26:49" ht="14.5" hidden="1" x14ac:dyDescent="0.35">
      <c r="Z526" s="642"/>
      <c r="AA526" s="642"/>
      <c r="AB526" s="642"/>
      <c r="AC526" s="607" t="s">
        <v>730</v>
      </c>
      <c r="AD526" s="1019" t="s">
        <v>730</v>
      </c>
      <c r="AE526" s="1020" t="s">
        <v>731</v>
      </c>
      <c r="AF526" s="1020" t="s">
        <v>732</v>
      </c>
      <c r="AG526" s="1019" t="s">
        <v>97</v>
      </c>
      <c r="AH526" s="1019">
        <v>1</v>
      </c>
      <c r="AI526" s="1027"/>
      <c r="AJ526" s="617">
        <v>0</v>
      </c>
      <c r="AK526" s="621" t="s">
        <v>102</v>
      </c>
      <c r="AL526">
        <f t="shared" si="3"/>
        <v>1</v>
      </c>
      <c r="AM526" s="1017">
        <v>1</v>
      </c>
      <c r="AN526" s="1018"/>
      <c r="AO526" s="1018"/>
      <c r="AP526" s="1016"/>
      <c r="AQ526" s="628"/>
      <c r="AS526" s="627"/>
      <c r="AT526" s="1016"/>
      <c r="AU526" s="1016"/>
      <c r="AV526" s="1016"/>
      <c r="AW526" s="628"/>
    </row>
    <row r="527" spans="26:49" ht="14.5" hidden="1" x14ac:dyDescent="0.35">
      <c r="Z527" s="642"/>
      <c r="AA527" s="642"/>
      <c r="AB527" s="642"/>
      <c r="AC527" s="607" t="s">
        <v>733</v>
      </c>
      <c r="AD527" s="1019" t="s">
        <v>733</v>
      </c>
      <c r="AE527" s="1020" t="s">
        <v>734</v>
      </c>
      <c r="AF527" s="1020" t="s">
        <v>735</v>
      </c>
      <c r="AG527" s="1019" t="s">
        <v>61</v>
      </c>
      <c r="AH527" s="1019">
        <v>2</v>
      </c>
      <c r="AI527" s="1021"/>
      <c r="AJ527" s="617">
        <v>0</v>
      </c>
      <c r="AK527" s="621" t="s">
        <v>62</v>
      </c>
      <c r="AL527">
        <f t="shared" si="3"/>
        <v>0</v>
      </c>
      <c r="AM527" s="1017">
        <v>1</v>
      </c>
      <c r="AN527" s="1018"/>
      <c r="AO527" s="1018"/>
      <c r="AP527" s="1016"/>
      <c r="AQ527" s="628"/>
      <c r="AS527" s="627"/>
      <c r="AT527" s="1016"/>
      <c r="AU527" s="1016"/>
      <c r="AV527" s="1016"/>
      <c r="AW527" s="628"/>
    </row>
    <row r="528" spans="26:49" ht="14.5" hidden="1" x14ac:dyDescent="0.35">
      <c r="Z528" s="642"/>
      <c r="AA528" s="642"/>
      <c r="AB528" s="642"/>
      <c r="AC528" s="607" t="s">
        <v>736</v>
      </c>
      <c r="AD528" s="1019" t="s">
        <v>736</v>
      </c>
      <c r="AE528" s="1020" t="s">
        <v>737</v>
      </c>
      <c r="AF528" s="1020" t="s">
        <v>738</v>
      </c>
      <c r="AG528" s="1019" t="s">
        <v>125</v>
      </c>
      <c r="AH528" s="1019">
        <v>1</v>
      </c>
      <c r="AI528" s="1021"/>
      <c r="AJ528" s="617">
        <v>0</v>
      </c>
      <c r="AK528" s="621" t="s">
        <v>102</v>
      </c>
      <c r="AL528">
        <f t="shared" si="3"/>
        <v>1</v>
      </c>
      <c r="AM528" s="1017">
        <v>1</v>
      </c>
      <c r="AN528" s="1018"/>
      <c r="AO528" s="1018"/>
      <c r="AP528" s="1016"/>
      <c r="AQ528" s="628"/>
      <c r="AS528" s="627"/>
      <c r="AT528" s="1016"/>
      <c r="AU528" s="1016"/>
      <c r="AV528" s="1016"/>
      <c r="AW528" s="628"/>
    </row>
    <row r="529" spans="26:49" ht="14.5" hidden="1" x14ac:dyDescent="0.35">
      <c r="Z529" s="642"/>
      <c r="AA529" s="642"/>
      <c r="AB529" s="642"/>
      <c r="AC529" s="607" t="s">
        <v>739</v>
      </c>
      <c r="AD529" s="1019" t="s">
        <v>739</v>
      </c>
      <c r="AE529" s="1020" t="s">
        <v>740</v>
      </c>
      <c r="AF529" s="1020" t="s">
        <v>741</v>
      </c>
      <c r="AG529" s="1019" t="s">
        <v>61</v>
      </c>
      <c r="AH529" s="1019">
        <v>2</v>
      </c>
      <c r="AI529" s="1021"/>
      <c r="AJ529" s="617">
        <v>0</v>
      </c>
      <c r="AK529" s="621" t="s">
        <v>62</v>
      </c>
      <c r="AL529">
        <f t="shared" si="3"/>
        <v>0</v>
      </c>
      <c r="AM529" s="1017">
        <v>1</v>
      </c>
      <c r="AN529" s="1018"/>
      <c r="AO529" s="1018"/>
      <c r="AP529" s="1016"/>
      <c r="AQ529" s="628"/>
      <c r="AS529" s="627"/>
      <c r="AT529" s="1016"/>
      <c r="AU529" s="1016"/>
      <c r="AV529" s="1016"/>
      <c r="AW529" s="628"/>
    </row>
    <row r="530" spans="26:49" ht="14.5" hidden="1" x14ac:dyDescent="0.35">
      <c r="Z530" s="642"/>
      <c r="AA530" s="642"/>
      <c r="AB530" s="642"/>
      <c r="AC530" s="608" t="s">
        <v>742</v>
      </c>
      <c r="AD530" s="1022" t="s">
        <v>742</v>
      </c>
      <c r="AE530" s="1023" t="s">
        <v>743</v>
      </c>
      <c r="AF530" s="1023" t="s">
        <v>744</v>
      </c>
      <c r="AG530" s="1022" t="s">
        <v>61</v>
      </c>
      <c r="AH530" s="1022">
        <v>2</v>
      </c>
      <c r="AI530" s="1021"/>
      <c r="AJ530" s="617">
        <v>1</v>
      </c>
      <c r="AK530" s="621" t="s">
        <v>83</v>
      </c>
      <c r="AL530">
        <f t="shared" si="3"/>
        <v>0</v>
      </c>
      <c r="AM530" s="1017">
        <v>1</v>
      </c>
      <c r="AN530" s="1018"/>
      <c r="AO530" s="1018"/>
      <c r="AP530" s="1016"/>
      <c r="AQ530" s="628"/>
      <c r="AS530" s="627"/>
      <c r="AT530" s="1016"/>
      <c r="AU530" s="1016"/>
      <c r="AV530" s="1016"/>
      <c r="AW530" s="628"/>
    </row>
    <row r="531" spans="26:49" ht="14.5" hidden="1" x14ac:dyDescent="0.35">
      <c r="Z531" s="642"/>
      <c r="AA531" s="642"/>
      <c r="AB531" s="642"/>
      <c r="AC531" s="607" t="s">
        <v>6025</v>
      </c>
      <c r="AD531" s="1019" t="s">
        <v>6025</v>
      </c>
      <c r="AE531" s="1020" t="s">
        <v>746</v>
      </c>
      <c r="AF531" s="1020" t="s">
        <v>747</v>
      </c>
      <c r="AG531" s="1019" t="s">
        <v>75</v>
      </c>
      <c r="AH531" s="1019">
        <v>4</v>
      </c>
      <c r="AI531" s="1021"/>
      <c r="AJ531" s="617">
        <v>0</v>
      </c>
      <c r="AK531" s="621" t="s">
        <v>93</v>
      </c>
      <c r="AL531">
        <f t="shared" si="3"/>
        <v>0</v>
      </c>
      <c r="AM531" s="1017" t="s">
        <v>84</v>
      </c>
      <c r="AN531" s="1018"/>
      <c r="AO531" s="1018"/>
      <c r="AP531" s="1016"/>
      <c r="AQ531" s="628"/>
      <c r="AS531" s="627"/>
      <c r="AT531" s="1016"/>
      <c r="AU531" s="1016"/>
      <c r="AV531" s="1016"/>
      <c r="AW531" s="628"/>
    </row>
    <row r="532" spans="26:49" ht="14.5" hidden="1" x14ac:dyDescent="0.35">
      <c r="Z532" s="642"/>
      <c r="AA532" s="642"/>
      <c r="AB532" s="642"/>
      <c r="AC532" s="607" t="s">
        <v>748</v>
      </c>
      <c r="AD532" s="1019" t="s">
        <v>748</v>
      </c>
      <c r="AE532" s="1020" t="s">
        <v>749</v>
      </c>
      <c r="AF532" s="1020" t="s">
        <v>750</v>
      </c>
      <c r="AG532" s="1019" t="s">
        <v>71</v>
      </c>
      <c r="AH532" s="1019">
        <v>4</v>
      </c>
      <c r="AI532" s="1027"/>
      <c r="AJ532" s="617">
        <v>1</v>
      </c>
      <c r="AK532" s="621" t="s">
        <v>88</v>
      </c>
      <c r="AL532">
        <f t="shared" si="3"/>
        <v>0</v>
      </c>
      <c r="AM532" s="1017" t="s">
        <v>84</v>
      </c>
      <c r="AN532" s="1018"/>
      <c r="AO532" s="1018"/>
      <c r="AP532" s="1016"/>
      <c r="AQ532" s="628"/>
      <c r="AS532" s="627"/>
      <c r="AT532" s="1016"/>
      <c r="AU532" s="1016"/>
      <c r="AV532" s="1016"/>
      <c r="AW532" s="628"/>
    </row>
    <row r="533" spans="26:49" ht="14.5" hidden="1" x14ac:dyDescent="0.35">
      <c r="Z533" s="642"/>
      <c r="AA533" s="642"/>
      <c r="AB533" s="642"/>
      <c r="AC533" s="608" t="s">
        <v>751</v>
      </c>
      <c r="AD533" s="1022" t="s">
        <v>751</v>
      </c>
      <c r="AE533" s="1023" t="s">
        <v>752</v>
      </c>
      <c r="AF533" s="1023" t="s">
        <v>753</v>
      </c>
      <c r="AG533" s="1022" t="s">
        <v>129</v>
      </c>
      <c r="AH533" s="1019">
        <v>7</v>
      </c>
      <c r="AI533" s="1024"/>
      <c r="AJ533" s="617">
        <v>0</v>
      </c>
      <c r="AK533" s="621" t="s">
        <v>93</v>
      </c>
      <c r="AL533">
        <f t="shared" si="3"/>
        <v>0</v>
      </c>
      <c r="AM533" s="1017" t="s">
        <v>84</v>
      </c>
      <c r="AN533" s="1018"/>
      <c r="AO533" s="1018"/>
      <c r="AP533" s="1016"/>
      <c r="AQ533" s="628"/>
      <c r="AS533" s="627"/>
      <c r="AT533" s="1016"/>
      <c r="AU533" s="1016"/>
      <c r="AV533" s="1016"/>
      <c r="AW533" s="628"/>
    </row>
    <row r="534" spans="26:49" ht="14.5" hidden="1" x14ac:dyDescent="0.35">
      <c r="Z534" s="642"/>
      <c r="AA534" s="642"/>
      <c r="AB534" s="642"/>
      <c r="AC534" s="607" t="s">
        <v>754</v>
      </c>
      <c r="AD534" s="1019" t="s">
        <v>754</v>
      </c>
      <c r="AE534" s="1020" t="s">
        <v>755</v>
      </c>
      <c r="AF534" s="1020" t="s">
        <v>756</v>
      </c>
      <c r="AG534" s="1019" t="s">
        <v>101</v>
      </c>
      <c r="AH534" s="1019">
        <v>1</v>
      </c>
      <c r="AI534" s="1021"/>
      <c r="AJ534" s="617">
        <v>1</v>
      </c>
      <c r="AK534" s="621" t="s">
        <v>109</v>
      </c>
      <c r="AL534">
        <f t="shared" si="3"/>
        <v>1</v>
      </c>
      <c r="AM534" s="1017">
        <v>1</v>
      </c>
      <c r="AN534" s="1018">
        <v>1</v>
      </c>
      <c r="AO534" s="1018"/>
      <c r="AP534" s="1016"/>
      <c r="AQ534" s="628"/>
      <c r="AS534" s="627"/>
      <c r="AT534" s="1016"/>
      <c r="AU534" s="1016"/>
      <c r="AV534" s="1016"/>
      <c r="AW534" s="628"/>
    </row>
    <row r="535" spans="26:49" ht="14.5" hidden="1" x14ac:dyDescent="0.35">
      <c r="Z535" s="642"/>
      <c r="AA535" s="642"/>
      <c r="AB535" s="642"/>
      <c r="AC535" s="609" t="s">
        <v>757</v>
      </c>
      <c r="AD535" s="1025" t="s">
        <v>757</v>
      </c>
      <c r="AE535" s="1025" t="s">
        <v>758</v>
      </c>
      <c r="AF535" s="1025" t="s">
        <v>759</v>
      </c>
      <c r="AG535" s="1019" t="s">
        <v>61</v>
      </c>
      <c r="AH535" s="1019">
        <v>2</v>
      </c>
      <c r="AI535" s="1021"/>
      <c r="AJ535" s="617">
        <v>0</v>
      </c>
      <c r="AK535" s="621" t="s">
        <v>62</v>
      </c>
      <c r="AL535">
        <f t="shared" si="3"/>
        <v>0</v>
      </c>
      <c r="AM535" s="1017">
        <v>1</v>
      </c>
      <c r="AN535" s="1018"/>
      <c r="AO535" s="1018"/>
      <c r="AP535" s="1016"/>
      <c r="AQ535" s="628"/>
      <c r="AS535" s="627"/>
      <c r="AT535" s="1016"/>
      <c r="AU535" s="1016"/>
      <c r="AV535" s="1016"/>
      <c r="AW535" s="628"/>
    </row>
    <row r="536" spans="26:49" ht="14.5" hidden="1" x14ac:dyDescent="0.35">
      <c r="Z536" s="642"/>
      <c r="AA536" s="642"/>
      <c r="AB536" s="642"/>
      <c r="AC536" s="609" t="s">
        <v>760</v>
      </c>
      <c r="AD536" s="1025" t="s">
        <v>760</v>
      </c>
      <c r="AE536" s="1025" t="s">
        <v>761</v>
      </c>
      <c r="AF536" s="1025" t="s">
        <v>762</v>
      </c>
      <c r="AG536" s="1025" t="s">
        <v>61</v>
      </c>
      <c r="AH536" s="1019">
        <v>2</v>
      </c>
      <c r="AI536" s="1021"/>
      <c r="AJ536" s="617">
        <v>1</v>
      </c>
      <c r="AK536" s="621" t="s">
        <v>83</v>
      </c>
      <c r="AL536">
        <f t="shared" si="3"/>
        <v>0</v>
      </c>
      <c r="AM536" s="1017">
        <v>1</v>
      </c>
      <c r="AN536" s="1018">
        <v>1</v>
      </c>
      <c r="AO536" s="1018"/>
      <c r="AP536" s="1016"/>
      <c r="AQ536" s="628"/>
      <c r="AS536" s="627"/>
      <c r="AT536" s="1016"/>
      <c r="AU536" s="1016"/>
      <c r="AV536" s="1016"/>
      <c r="AW536" s="628"/>
    </row>
    <row r="537" spans="26:49" ht="14.5" hidden="1" x14ac:dyDescent="0.35">
      <c r="Z537" s="642"/>
      <c r="AA537" s="642"/>
      <c r="AB537" s="642"/>
      <c r="AC537" s="607" t="s">
        <v>763</v>
      </c>
      <c r="AD537" s="1019" t="s">
        <v>763</v>
      </c>
      <c r="AE537" s="1020" t="s">
        <v>764</v>
      </c>
      <c r="AF537" s="1020" t="s">
        <v>765</v>
      </c>
      <c r="AG537" s="1019" t="s">
        <v>61</v>
      </c>
      <c r="AH537" s="1019">
        <v>2</v>
      </c>
      <c r="AI537" s="1021"/>
      <c r="AJ537" s="617">
        <v>0</v>
      </c>
      <c r="AK537" s="621" t="s">
        <v>62</v>
      </c>
      <c r="AL537">
        <f t="shared" si="3"/>
        <v>0</v>
      </c>
      <c r="AM537" s="1017">
        <v>1</v>
      </c>
      <c r="AN537" s="1018"/>
      <c r="AO537" s="1018"/>
      <c r="AP537" s="1026"/>
      <c r="AQ537" s="633"/>
      <c r="AS537" s="634"/>
      <c r="AT537" s="1026"/>
      <c r="AU537" s="1026"/>
      <c r="AV537" s="1026"/>
      <c r="AW537" s="633"/>
    </row>
    <row r="538" spans="26:49" ht="14.5" hidden="1" x14ac:dyDescent="0.35">
      <c r="Z538" s="642"/>
      <c r="AA538" s="642"/>
      <c r="AB538" s="642"/>
      <c r="AC538" s="608" t="s">
        <v>766</v>
      </c>
      <c r="AD538" s="1022" t="s">
        <v>766</v>
      </c>
      <c r="AE538" s="1023" t="s">
        <v>767</v>
      </c>
      <c r="AF538" s="1023" t="s">
        <v>768</v>
      </c>
      <c r="AG538" s="1022" t="s">
        <v>125</v>
      </c>
      <c r="AH538" s="1022">
        <v>1</v>
      </c>
      <c r="AI538" s="1029"/>
      <c r="AJ538" s="617">
        <v>1</v>
      </c>
      <c r="AK538" s="621" t="s">
        <v>109</v>
      </c>
      <c r="AL538">
        <f t="shared" si="3"/>
        <v>1</v>
      </c>
      <c r="AM538" s="1017">
        <v>1</v>
      </c>
      <c r="AN538" s="1018"/>
      <c r="AO538" s="1018"/>
      <c r="AP538" s="1016"/>
      <c r="AQ538" s="628"/>
      <c r="AS538" s="627"/>
      <c r="AT538" s="1016"/>
      <c r="AU538" s="1016"/>
      <c r="AV538" s="1016"/>
      <c r="AW538" s="628"/>
    </row>
    <row r="539" spans="26:49" ht="14.5" hidden="1" x14ac:dyDescent="0.35">
      <c r="Z539" s="642"/>
      <c r="AA539" s="642"/>
      <c r="AB539" s="642"/>
      <c r="AC539" s="608" t="s">
        <v>769</v>
      </c>
      <c r="AD539" s="1022" t="s">
        <v>769</v>
      </c>
      <c r="AE539" s="1023" t="s">
        <v>770</v>
      </c>
      <c r="AF539" s="1023" t="s">
        <v>771</v>
      </c>
      <c r="AG539" s="1019" t="s">
        <v>125</v>
      </c>
      <c r="AH539" s="1019">
        <v>1</v>
      </c>
      <c r="AI539" s="1021"/>
      <c r="AJ539" s="617">
        <v>0</v>
      </c>
      <c r="AK539" s="621" t="s">
        <v>102</v>
      </c>
      <c r="AL539">
        <f t="shared" si="3"/>
        <v>1</v>
      </c>
      <c r="AM539" s="1017">
        <v>1</v>
      </c>
      <c r="AN539" s="1018"/>
      <c r="AO539" s="1018"/>
      <c r="AP539" s="1016"/>
      <c r="AQ539" s="628"/>
      <c r="AS539" s="627"/>
      <c r="AT539" s="1016"/>
      <c r="AU539" s="1016"/>
      <c r="AV539" s="1016"/>
      <c r="AW539" s="628"/>
    </row>
    <row r="540" spans="26:49" ht="14.5" hidden="1" x14ac:dyDescent="0.35">
      <c r="Z540" s="642"/>
      <c r="AA540" s="642"/>
      <c r="AB540" s="642"/>
      <c r="AC540" s="607" t="s">
        <v>772</v>
      </c>
      <c r="AD540" s="1019" t="s">
        <v>772</v>
      </c>
      <c r="AE540" s="1020" t="s">
        <v>773</v>
      </c>
      <c r="AF540" s="1020" t="s">
        <v>774</v>
      </c>
      <c r="AG540" s="1019" t="s">
        <v>61</v>
      </c>
      <c r="AH540" s="1019">
        <v>2</v>
      </c>
      <c r="AI540" s="1021"/>
      <c r="AJ540" s="617">
        <v>1</v>
      </c>
      <c r="AK540" s="621" t="s">
        <v>83</v>
      </c>
      <c r="AL540">
        <f t="shared" si="3"/>
        <v>0</v>
      </c>
      <c r="AM540" s="1017">
        <v>1</v>
      </c>
      <c r="AN540" s="1018">
        <v>1</v>
      </c>
      <c r="AO540" s="1018"/>
      <c r="AP540" s="1016"/>
      <c r="AQ540" s="628"/>
      <c r="AS540" s="627"/>
      <c r="AT540" s="1016"/>
      <c r="AU540" s="1016"/>
      <c r="AV540" s="1016"/>
      <c r="AW540" s="628"/>
    </row>
    <row r="541" spans="26:49" ht="14.5" hidden="1" x14ac:dyDescent="0.35">
      <c r="Z541" s="642"/>
      <c r="AA541" s="642"/>
      <c r="AB541" s="642"/>
      <c r="AC541" s="607" t="s">
        <v>775</v>
      </c>
      <c r="AD541" s="1019" t="s">
        <v>775</v>
      </c>
      <c r="AE541" s="1020" t="s">
        <v>776</v>
      </c>
      <c r="AF541" s="1020" t="s">
        <v>777</v>
      </c>
      <c r="AG541" s="1019" t="s">
        <v>61</v>
      </c>
      <c r="AH541" s="1019">
        <v>2</v>
      </c>
      <c r="AI541" s="1021"/>
      <c r="AJ541" s="617">
        <v>0</v>
      </c>
      <c r="AK541" s="621" t="s">
        <v>62</v>
      </c>
      <c r="AL541">
        <f t="shared" si="3"/>
        <v>0</v>
      </c>
      <c r="AM541" s="1017">
        <v>1</v>
      </c>
      <c r="AN541" s="1018">
        <v>1</v>
      </c>
      <c r="AO541" s="1018"/>
      <c r="AP541" s="1016"/>
      <c r="AQ541" s="628"/>
      <c r="AS541" s="627"/>
      <c r="AT541" s="1016"/>
      <c r="AU541" s="1016"/>
      <c r="AV541" s="1016"/>
      <c r="AW541" s="628"/>
    </row>
    <row r="542" spans="26:49" ht="14.5" hidden="1" x14ac:dyDescent="0.35">
      <c r="Z542" s="642"/>
      <c r="AA542" s="642"/>
      <c r="AB542" s="642"/>
      <c r="AC542" s="610" t="s">
        <v>778</v>
      </c>
      <c r="AD542" s="1028" t="s">
        <v>778</v>
      </c>
      <c r="AE542" s="1023" t="s">
        <v>779</v>
      </c>
      <c r="AF542" s="1023" t="s">
        <v>780</v>
      </c>
      <c r="AG542" s="1022" t="s">
        <v>110</v>
      </c>
      <c r="AH542" s="1022">
        <v>8</v>
      </c>
      <c r="AI542" s="1027"/>
      <c r="AJ542" s="617">
        <v>0</v>
      </c>
      <c r="AK542" s="621" t="s">
        <v>661</v>
      </c>
      <c r="AL542">
        <f t="shared" si="3"/>
        <v>0</v>
      </c>
      <c r="AM542" s="1017" t="s">
        <v>84</v>
      </c>
      <c r="AN542" s="1018"/>
      <c r="AO542" s="1018"/>
      <c r="AP542" s="1016"/>
      <c r="AQ542" s="628"/>
      <c r="AS542" s="627"/>
      <c r="AT542" s="1016"/>
      <c r="AU542" s="1016"/>
      <c r="AV542" s="1016"/>
      <c r="AW542" s="628"/>
    </row>
    <row r="543" spans="26:49" ht="14.5" hidden="1" x14ac:dyDescent="0.35">
      <c r="Z543" s="642"/>
      <c r="AA543" s="642"/>
      <c r="AB543" s="642"/>
      <c r="AC543" s="611" t="s">
        <v>781</v>
      </c>
      <c r="AD543" s="1031" t="s">
        <v>781</v>
      </c>
      <c r="AE543" s="1020" t="s">
        <v>782</v>
      </c>
      <c r="AF543" s="1020" t="s">
        <v>783</v>
      </c>
      <c r="AG543" s="1019" t="s">
        <v>61</v>
      </c>
      <c r="AH543" s="1019">
        <v>2</v>
      </c>
      <c r="AI543" s="1029"/>
      <c r="AJ543" s="617">
        <v>0</v>
      </c>
      <c r="AK543" s="621" t="s">
        <v>62</v>
      </c>
      <c r="AL543">
        <f t="shared" si="3"/>
        <v>0</v>
      </c>
      <c r="AM543" s="1017">
        <v>1</v>
      </c>
      <c r="AN543" s="1018">
        <v>1</v>
      </c>
      <c r="AO543" s="1018"/>
      <c r="AP543" s="1016"/>
      <c r="AQ543" s="628"/>
      <c r="AS543" s="627"/>
      <c r="AT543" s="1016"/>
      <c r="AU543" s="1016"/>
      <c r="AV543" s="1016"/>
      <c r="AW543" s="628"/>
    </row>
    <row r="544" spans="26:49" ht="14.5" hidden="1" x14ac:dyDescent="0.35">
      <c r="Z544" s="642"/>
      <c r="AA544" s="642"/>
      <c r="AB544" s="642"/>
      <c r="AC544" s="607" t="s">
        <v>784</v>
      </c>
      <c r="AD544" s="1019" t="s">
        <v>784</v>
      </c>
      <c r="AE544" s="1020" t="s">
        <v>785</v>
      </c>
      <c r="AF544" s="1020" t="s">
        <v>786</v>
      </c>
      <c r="AG544" s="1019" t="s">
        <v>97</v>
      </c>
      <c r="AH544" s="1019">
        <v>1</v>
      </c>
      <c r="AI544" s="1021"/>
      <c r="AJ544" s="617">
        <v>0</v>
      </c>
      <c r="AK544" s="621" t="s">
        <v>102</v>
      </c>
      <c r="AL544">
        <f t="shared" si="3"/>
        <v>1</v>
      </c>
      <c r="AM544" s="1017">
        <v>1</v>
      </c>
      <c r="AN544" s="1018">
        <v>1</v>
      </c>
      <c r="AO544" s="1018"/>
      <c r="AP544" s="1016"/>
      <c r="AQ544" s="628"/>
      <c r="AS544" s="627"/>
      <c r="AT544" s="1016"/>
      <c r="AU544" s="1016"/>
      <c r="AV544" s="1016"/>
      <c r="AW544" s="628"/>
    </row>
    <row r="545" spans="26:49" ht="14.5" hidden="1" x14ac:dyDescent="0.35">
      <c r="Z545" s="642"/>
      <c r="AA545" s="642"/>
      <c r="AB545" s="642"/>
      <c r="AC545" s="607" t="s">
        <v>787</v>
      </c>
      <c r="AD545" s="1019" t="s">
        <v>787</v>
      </c>
      <c r="AE545" s="1020" t="s">
        <v>788</v>
      </c>
      <c r="AF545" s="1020" t="s">
        <v>789</v>
      </c>
      <c r="AG545" s="1022" t="s">
        <v>61</v>
      </c>
      <c r="AH545" s="1019">
        <v>2</v>
      </c>
      <c r="AI545" s="1021"/>
      <c r="AJ545" s="617">
        <v>1</v>
      </c>
      <c r="AK545" s="621" t="s">
        <v>83</v>
      </c>
      <c r="AL545">
        <f t="shared" si="3"/>
        <v>0</v>
      </c>
      <c r="AM545" s="1017">
        <v>1</v>
      </c>
      <c r="AN545" s="1018"/>
      <c r="AO545" s="1018"/>
      <c r="AP545" s="1016"/>
      <c r="AQ545" s="628"/>
      <c r="AS545" s="627"/>
      <c r="AT545" s="1016"/>
      <c r="AU545" s="1016"/>
      <c r="AV545" s="1016"/>
      <c r="AW545" s="628"/>
    </row>
    <row r="546" spans="26:49" ht="14.5" hidden="1" x14ac:dyDescent="0.35">
      <c r="Z546" s="642"/>
      <c r="AA546" s="642"/>
      <c r="AB546" s="642"/>
      <c r="AC546" s="607" t="s">
        <v>790</v>
      </c>
      <c r="AD546" s="1019" t="s">
        <v>790</v>
      </c>
      <c r="AE546" s="1019" t="s">
        <v>791</v>
      </c>
      <c r="AF546" s="1019" t="s">
        <v>792</v>
      </c>
      <c r="AG546" s="1019" t="s">
        <v>101</v>
      </c>
      <c r="AH546" s="1019">
        <v>1</v>
      </c>
      <c r="AI546" s="1021"/>
      <c r="AJ546" s="617">
        <v>0</v>
      </c>
      <c r="AK546" s="621" t="s">
        <v>102</v>
      </c>
      <c r="AL546">
        <f t="shared" si="3"/>
        <v>1</v>
      </c>
      <c r="AM546" s="1017">
        <v>1</v>
      </c>
      <c r="AN546" s="1018">
        <v>1</v>
      </c>
      <c r="AO546" s="1018"/>
      <c r="AP546" s="1016"/>
      <c r="AQ546" s="628"/>
      <c r="AS546" s="627"/>
      <c r="AT546" s="1016"/>
      <c r="AU546" s="1016"/>
      <c r="AV546" s="1016"/>
      <c r="AW546" s="628"/>
    </row>
    <row r="547" spans="26:49" ht="14.5" hidden="1" x14ac:dyDescent="0.35">
      <c r="Z547" s="642"/>
      <c r="AA547" s="642"/>
      <c r="AB547" s="642"/>
      <c r="AC547" s="607" t="s">
        <v>793</v>
      </c>
      <c r="AD547" s="1019" t="s">
        <v>793</v>
      </c>
      <c r="AE547" s="1020" t="s">
        <v>794</v>
      </c>
      <c r="AF547" s="1020" t="s">
        <v>795</v>
      </c>
      <c r="AG547" s="1019" t="s">
        <v>57</v>
      </c>
      <c r="AH547" s="1019">
        <v>1</v>
      </c>
      <c r="AI547" s="1021"/>
      <c r="AJ547" s="617">
        <v>1</v>
      </c>
      <c r="AK547" s="621" t="s">
        <v>109</v>
      </c>
      <c r="AL547">
        <f t="shared" si="3"/>
        <v>1</v>
      </c>
      <c r="AM547" s="1017" t="s">
        <v>84</v>
      </c>
      <c r="AN547" s="1018"/>
      <c r="AO547" s="1018"/>
      <c r="AP547" s="1016"/>
      <c r="AQ547" s="628"/>
      <c r="AS547" s="627"/>
      <c r="AT547" s="1016"/>
      <c r="AU547" s="1016"/>
      <c r="AV547" s="1016"/>
      <c r="AW547" s="628"/>
    </row>
    <row r="548" spans="26:49" ht="14.5" hidden="1" x14ac:dyDescent="0.35">
      <c r="Z548" s="642"/>
      <c r="AA548" s="642"/>
      <c r="AB548" s="642"/>
      <c r="AC548" s="608" t="s">
        <v>796</v>
      </c>
      <c r="AD548" s="1022" t="s">
        <v>796</v>
      </c>
      <c r="AE548" s="1023" t="s">
        <v>797</v>
      </c>
      <c r="AF548" s="1023" t="s">
        <v>798</v>
      </c>
      <c r="AG548" s="1022" t="s">
        <v>71</v>
      </c>
      <c r="AH548" s="1022">
        <v>4</v>
      </c>
      <c r="AI548" s="1024"/>
      <c r="AJ548" s="617">
        <v>0</v>
      </c>
      <c r="AK548" s="621" t="s">
        <v>93</v>
      </c>
      <c r="AL548">
        <f t="shared" si="3"/>
        <v>0</v>
      </c>
      <c r="AM548" s="1017" t="s">
        <v>84</v>
      </c>
      <c r="AN548" s="1018"/>
      <c r="AO548" s="1018"/>
      <c r="AP548" s="1016"/>
      <c r="AQ548" s="628"/>
      <c r="AS548" s="627"/>
      <c r="AT548" s="1016"/>
      <c r="AU548" s="1016"/>
      <c r="AV548" s="1016"/>
      <c r="AW548" s="628"/>
    </row>
    <row r="549" spans="26:49" ht="14.5" hidden="1" x14ac:dyDescent="0.35">
      <c r="Z549" s="642"/>
      <c r="AA549" s="642"/>
      <c r="AB549" s="642"/>
      <c r="AC549" s="607" t="s">
        <v>799</v>
      </c>
      <c r="AD549" s="1019" t="s">
        <v>799</v>
      </c>
      <c r="AE549" s="1020" t="s">
        <v>800</v>
      </c>
      <c r="AF549" s="1020" t="s">
        <v>801</v>
      </c>
      <c r="AG549" s="1019" t="s">
        <v>61</v>
      </c>
      <c r="AH549" s="1019">
        <v>2</v>
      </c>
      <c r="AI549" s="1021"/>
      <c r="AJ549" s="617">
        <v>0</v>
      </c>
      <c r="AK549" s="621" t="s">
        <v>62</v>
      </c>
      <c r="AL549">
        <f t="shared" si="3"/>
        <v>0</v>
      </c>
      <c r="AM549" s="1017">
        <v>1</v>
      </c>
      <c r="AN549" s="1018"/>
      <c r="AO549" s="1018"/>
      <c r="AP549" s="1016"/>
      <c r="AQ549" s="628"/>
      <c r="AS549" s="627"/>
      <c r="AT549" s="1016"/>
      <c r="AU549" s="1016"/>
      <c r="AV549" s="1016"/>
      <c r="AW549" s="628"/>
    </row>
    <row r="550" spans="26:49" ht="14.5" hidden="1" x14ac:dyDescent="0.35">
      <c r="Z550" s="642"/>
      <c r="AA550" s="642"/>
      <c r="AB550" s="642"/>
      <c r="AC550" s="610" t="s">
        <v>802</v>
      </c>
      <c r="AD550" s="1028" t="s">
        <v>802</v>
      </c>
      <c r="AE550" s="1023" t="s">
        <v>803</v>
      </c>
      <c r="AF550" s="1023" t="s">
        <v>804</v>
      </c>
      <c r="AG550" s="1022" t="s">
        <v>114</v>
      </c>
      <c r="AH550" s="1022">
        <v>3</v>
      </c>
      <c r="AI550" s="1027"/>
      <c r="AJ550" s="617">
        <v>0</v>
      </c>
      <c r="AK550" s="621" t="s">
        <v>344</v>
      </c>
      <c r="AL550">
        <f t="shared" si="3"/>
        <v>0</v>
      </c>
      <c r="AM550" s="1017" t="s">
        <v>84</v>
      </c>
      <c r="AN550" s="1018"/>
      <c r="AO550" s="1018"/>
      <c r="AP550" s="1016"/>
      <c r="AQ550" s="628"/>
      <c r="AS550" s="627"/>
      <c r="AT550" s="1016"/>
      <c r="AU550" s="1016"/>
      <c r="AV550" s="1016"/>
      <c r="AW550" s="628"/>
    </row>
    <row r="551" spans="26:49" ht="14.5" hidden="1" x14ac:dyDescent="0.35">
      <c r="Z551" s="642"/>
      <c r="AA551" s="642"/>
      <c r="AB551" s="642"/>
      <c r="AC551" s="607" t="s">
        <v>805</v>
      </c>
      <c r="AD551" s="1019" t="s">
        <v>805</v>
      </c>
      <c r="AE551" s="1020" t="s">
        <v>806</v>
      </c>
      <c r="AF551" s="1020" t="s">
        <v>807</v>
      </c>
      <c r="AG551" s="1019" t="s">
        <v>61</v>
      </c>
      <c r="AH551" s="1019">
        <v>2</v>
      </c>
      <c r="AI551" s="1027"/>
      <c r="AJ551" s="617">
        <v>1</v>
      </c>
      <c r="AK551" s="621" t="s">
        <v>83</v>
      </c>
      <c r="AL551">
        <f t="shared" si="3"/>
        <v>0</v>
      </c>
      <c r="AM551" s="1017">
        <v>1</v>
      </c>
      <c r="AN551" s="1018"/>
      <c r="AO551" s="1018"/>
      <c r="AP551" s="1016"/>
      <c r="AQ551" s="628"/>
      <c r="AS551" s="627"/>
      <c r="AT551" s="1016"/>
      <c r="AU551" s="1016"/>
      <c r="AV551" s="1016"/>
      <c r="AW551" s="628"/>
    </row>
    <row r="552" spans="26:49" ht="14.5" hidden="1" x14ac:dyDescent="0.35">
      <c r="Z552" s="642"/>
      <c r="AA552" s="642"/>
      <c r="AB552" s="642"/>
      <c r="AC552" s="610" t="s">
        <v>808</v>
      </c>
      <c r="AD552" s="1028" t="s">
        <v>808</v>
      </c>
      <c r="AE552" s="1023" t="s">
        <v>809</v>
      </c>
      <c r="AF552" s="1023" t="s">
        <v>810</v>
      </c>
      <c r="AG552" s="1022" t="s">
        <v>125</v>
      </c>
      <c r="AH552" s="1019">
        <v>1</v>
      </c>
      <c r="AI552" s="1024"/>
      <c r="AJ552" s="617">
        <v>0</v>
      </c>
      <c r="AK552" s="621" t="s">
        <v>102</v>
      </c>
      <c r="AL552">
        <f t="shared" si="3"/>
        <v>1</v>
      </c>
      <c r="AM552" s="1017">
        <v>1</v>
      </c>
      <c r="AN552" s="1018"/>
      <c r="AO552" s="1018"/>
      <c r="AP552" s="1016"/>
      <c r="AQ552" s="628"/>
      <c r="AS552" s="627"/>
      <c r="AT552" s="1016"/>
      <c r="AU552" s="1016"/>
      <c r="AV552" s="1016"/>
      <c r="AW552" s="628"/>
    </row>
    <row r="553" spans="26:49" ht="14.5" hidden="1" x14ac:dyDescent="0.35">
      <c r="Z553" s="642"/>
      <c r="AA553" s="642"/>
      <c r="AB553" s="642"/>
      <c r="AC553" s="609" t="s">
        <v>811</v>
      </c>
      <c r="AD553" s="1025" t="s">
        <v>811</v>
      </c>
      <c r="AE553" s="1025" t="s">
        <v>812</v>
      </c>
      <c r="AF553" s="1025" t="s">
        <v>813</v>
      </c>
      <c r="AG553" s="1025" t="s">
        <v>61</v>
      </c>
      <c r="AH553" s="1019">
        <v>2</v>
      </c>
      <c r="AI553" s="1024"/>
      <c r="AJ553" s="617">
        <v>0</v>
      </c>
      <c r="AK553" s="621" t="s">
        <v>62</v>
      </c>
      <c r="AL553">
        <f t="shared" si="3"/>
        <v>0</v>
      </c>
      <c r="AM553" s="1017">
        <v>1</v>
      </c>
      <c r="AN553" s="1018"/>
      <c r="AO553" s="1018"/>
      <c r="AP553" s="1016"/>
      <c r="AQ553" s="628"/>
      <c r="AS553" s="627"/>
      <c r="AT553" s="1016"/>
      <c r="AU553" s="1016"/>
      <c r="AV553" s="1016"/>
      <c r="AW553" s="628"/>
    </row>
    <row r="554" spans="26:49" ht="14.5" hidden="1" x14ac:dyDescent="0.35">
      <c r="Z554" s="642"/>
      <c r="AA554" s="642"/>
      <c r="AB554" s="642"/>
      <c r="AC554" s="607" t="s">
        <v>814</v>
      </c>
      <c r="AD554" s="1019" t="s">
        <v>814</v>
      </c>
      <c r="AE554" s="1020" t="s">
        <v>815</v>
      </c>
      <c r="AF554" s="1020" t="s">
        <v>816</v>
      </c>
      <c r="AG554" s="1019" t="s">
        <v>61</v>
      </c>
      <c r="AH554" s="1019">
        <v>2</v>
      </c>
      <c r="AI554" s="1021"/>
      <c r="AJ554" s="617">
        <v>0</v>
      </c>
      <c r="AK554" s="621" t="s">
        <v>62</v>
      </c>
      <c r="AL554">
        <f t="shared" si="3"/>
        <v>0</v>
      </c>
      <c r="AM554" s="1017">
        <v>1</v>
      </c>
      <c r="AN554" s="1018">
        <v>1</v>
      </c>
      <c r="AO554" s="1018"/>
      <c r="AP554" s="1026"/>
      <c r="AQ554" s="633"/>
      <c r="AS554" s="634"/>
      <c r="AT554" s="1026"/>
      <c r="AU554" s="1026"/>
      <c r="AV554" s="1026"/>
      <c r="AW554" s="633"/>
    </row>
    <row r="555" spans="26:49" ht="14.5" hidden="1" x14ac:dyDescent="0.35">
      <c r="Z555" s="642"/>
      <c r="AA555" s="642"/>
      <c r="AB555" s="642"/>
      <c r="AC555" s="607" t="s">
        <v>817</v>
      </c>
      <c r="AD555" s="1019" t="s">
        <v>817</v>
      </c>
      <c r="AE555" s="1020" t="s">
        <v>818</v>
      </c>
      <c r="AF555" s="1020" t="s">
        <v>819</v>
      </c>
      <c r="AG555" s="1019" t="s">
        <v>125</v>
      </c>
      <c r="AH555" s="1019">
        <v>1</v>
      </c>
      <c r="AI555" s="1021"/>
      <c r="AJ555" s="617">
        <v>0</v>
      </c>
      <c r="AK555" s="621" t="s">
        <v>102</v>
      </c>
      <c r="AL555">
        <f t="shared" si="3"/>
        <v>1</v>
      </c>
      <c r="AM555" s="1017">
        <v>1</v>
      </c>
      <c r="AN555" s="1018"/>
      <c r="AO555" s="1018"/>
      <c r="AP555" s="1016"/>
      <c r="AQ555" s="628"/>
      <c r="AS555" s="627"/>
      <c r="AT555" s="1016"/>
      <c r="AU555" s="1016"/>
      <c r="AV555" s="1016"/>
      <c r="AW555" s="628"/>
    </row>
    <row r="556" spans="26:49" ht="14.5" hidden="1" x14ac:dyDescent="0.35">
      <c r="Z556" s="642"/>
      <c r="AA556" s="642"/>
      <c r="AB556" s="642"/>
      <c r="AC556" s="607" t="s">
        <v>820</v>
      </c>
      <c r="AD556" s="1019" t="s">
        <v>820</v>
      </c>
      <c r="AE556" s="1020" t="s">
        <v>821</v>
      </c>
      <c r="AF556" s="1020" t="s">
        <v>822</v>
      </c>
      <c r="AG556" s="1019" t="s">
        <v>129</v>
      </c>
      <c r="AH556" s="1019">
        <v>7</v>
      </c>
      <c r="AI556" s="1024"/>
      <c r="AJ556" s="617">
        <v>1</v>
      </c>
      <c r="AK556" s="621" t="s">
        <v>88</v>
      </c>
      <c r="AL556">
        <f t="shared" si="3"/>
        <v>0</v>
      </c>
      <c r="AM556" s="1017" t="s">
        <v>84</v>
      </c>
      <c r="AN556" s="1018"/>
      <c r="AO556" s="1018"/>
      <c r="AP556" s="1016"/>
      <c r="AQ556" s="628"/>
      <c r="AS556" s="627"/>
      <c r="AT556" s="1016"/>
      <c r="AU556" s="1016"/>
      <c r="AV556" s="1016"/>
      <c r="AW556" s="628"/>
    </row>
    <row r="557" spans="26:49" ht="14.5" hidden="1" x14ac:dyDescent="0.35">
      <c r="Z557" s="642"/>
      <c r="AA557" s="642"/>
      <c r="AB557" s="642"/>
      <c r="AC557" s="607" t="s">
        <v>823</v>
      </c>
      <c r="AD557" s="1019" t="s">
        <v>823</v>
      </c>
      <c r="AE557" s="1020" t="s">
        <v>824</v>
      </c>
      <c r="AF557" s="1020" t="s">
        <v>825</v>
      </c>
      <c r="AG557" s="1019" t="s">
        <v>61</v>
      </c>
      <c r="AH557" s="1019">
        <v>2</v>
      </c>
      <c r="AI557" s="1027"/>
      <c r="AJ557" s="617">
        <v>0</v>
      </c>
      <c r="AK557" s="621" t="s">
        <v>62</v>
      </c>
      <c r="AL557">
        <f t="shared" si="3"/>
        <v>0</v>
      </c>
      <c r="AM557" s="1017">
        <v>1</v>
      </c>
      <c r="AN557" s="1018"/>
      <c r="AO557" s="1018"/>
      <c r="AP557" s="1016"/>
      <c r="AQ557" s="628"/>
      <c r="AS557" s="627"/>
      <c r="AT557" s="1016"/>
      <c r="AU557" s="1016"/>
      <c r="AV557" s="1016"/>
      <c r="AW557" s="628"/>
    </row>
    <row r="558" spans="26:49" ht="14.5" hidden="1" x14ac:dyDescent="0.35">
      <c r="AC558" s="607" t="s">
        <v>826</v>
      </c>
      <c r="AD558" s="1019" t="s">
        <v>826</v>
      </c>
      <c r="AE558" s="1020" t="s">
        <v>827</v>
      </c>
      <c r="AF558" s="1020" t="s">
        <v>828</v>
      </c>
      <c r="AG558" s="1019" t="s">
        <v>125</v>
      </c>
      <c r="AH558" s="1019">
        <v>1</v>
      </c>
      <c r="AI558" s="1027"/>
      <c r="AJ558" s="729"/>
      <c r="AK558" s="621" t="s">
        <v>102</v>
      </c>
      <c r="AL558">
        <f t="shared" si="3"/>
        <v>1</v>
      </c>
      <c r="AM558" s="1034">
        <v>1</v>
      </c>
      <c r="AN558" s="1035"/>
      <c r="AO558" s="1018"/>
      <c r="AP558" s="1016"/>
      <c r="AQ558" s="628"/>
      <c r="AS558" s="627"/>
      <c r="AT558" s="1016"/>
      <c r="AU558" s="1016"/>
      <c r="AV558" s="1016"/>
      <c r="AW558" s="628"/>
    </row>
    <row r="559" spans="26:49" ht="14.5" hidden="1" x14ac:dyDescent="0.35">
      <c r="Z559" s="642"/>
      <c r="AA559" s="642"/>
      <c r="AB559" s="642"/>
      <c r="AC559" s="607" t="s">
        <v>829</v>
      </c>
      <c r="AD559" s="1019" t="s">
        <v>829</v>
      </c>
      <c r="AE559" s="1020" t="s">
        <v>830</v>
      </c>
      <c r="AF559" s="1020" t="s">
        <v>831</v>
      </c>
      <c r="AG559" s="1019" t="s">
        <v>114</v>
      </c>
      <c r="AH559" s="1019">
        <v>3</v>
      </c>
      <c r="AI559" s="1021"/>
      <c r="AJ559" s="617"/>
      <c r="AK559" s="621" t="s">
        <v>661</v>
      </c>
      <c r="AL559">
        <f t="shared" si="3"/>
        <v>0</v>
      </c>
      <c r="AM559" s="1017" t="s">
        <v>84</v>
      </c>
      <c r="AN559" s="1018"/>
      <c r="AO559" s="1018"/>
      <c r="AP559" s="1016"/>
      <c r="AQ559" s="628"/>
      <c r="AS559" s="627"/>
      <c r="AT559" s="1016"/>
      <c r="AU559" s="1016"/>
      <c r="AV559" s="1016"/>
      <c r="AW559" s="628"/>
    </row>
    <row r="560" spans="26:49" ht="14.5" hidden="1" x14ac:dyDescent="0.35">
      <c r="Z560" s="642"/>
      <c r="AA560" s="642"/>
      <c r="AB560" s="642"/>
      <c r="AC560" s="608" t="s">
        <v>832</v>
      </c>
      <c r="AD560" s="1022" t="s">
        <v>832</v>
      </c>
      <c r="AE560" s="1023" t="s">
        <v>833</v>
      </c>
      <c r="AF560" s="1023" t="s">
        <v>834</v>
      </c>
      <c r="AG560" s="1022" t="s">
        <v>125</v>
      </c>
      <c r="AH560" s="1019">
        <v>1</v>
      </c>
      <c r="AI560" s="1021"/>
      <c r="AJ560" s="617">
        <v>0</v>
      </c>
      <c r="AK560" s="621" t="s">
        <v>102</v>
      </c>
      <c r="AL560">
        <f t="shared" si="3"/>
        <v>1</v>
      </c>
      <c r="AM560" s="1017">
        <v>1</v>
      </c>
      <c r="AN560" s="1018">
        <v>1</v>
      </c>
      <c r="AO560" s="1018"/>
      <c r="AP560" s="1016"/>
      <c r="AQ560" s="628"/>
      <c r="AS560" s="627"/>
      <c r="AT560" s="1016"/>
      <c r="AU560" s="1016"/>
      <c r="AV560" s="1016"/>
      <c r="AW560" s="628"/>
    </row>
    <row r="561" spans="26:49" ht="14.5" hidden="1" x14ac:dyDescent="0.35">
      <c r="Z561" s="642"/>
      <c r="AA561" s="642"/>
      <c r="AB561" s="642"/>
      <c r="AC561" s="611" t="s">
        <v>835</v>
      </c>
      <c r="AD561" s="1031" t="s">
        <v>835</v>
      </c>
      <c r="AE561" s="1020" t="s">
        <v>836</v>
      </c>
      <c r="AF561" s="1020" t="s">
        <v>837</v>
      </c>
      <c r="AG561" s="1019" t="s">
        <v>97</v>
      </c>
      <c r="AH561" s="1019">
        <v>1</v>
      </c>
      <c r="AI561" s="1029"/>
      <c r="AJ561" s="617">
        <v>0</v>
      </c>
      <c r="AK561" s="621" t="s">
        <v>102</v>
      </c>
      <c r="AL561">
        <f t="shared" si="3"/>
        <v>1</v>
      </c>
      <c r="AM561" s="1017">
        <v>1</v>
      </c>
      <c r="AN561" s="1018">
        <v>1</v>
      </c>
      <c r="AO561" s="1018"/>
      <c r="AP561" s="1016"/>
      <c r="AQ561" s="628"/>
      <c r="AS561" s="627"/>
      <c r="AT561" s="1016"/>
      <c r="AU561" s="1016"/>
      <c r="AV561" s="1016"/>
      <c r="AW561" s="628"/>
    </row>
    <row r="562" spans="26:49" ht="14.5" hidden="1" x14ac:dyDescent="0.35">
      <c r="Z562" s="642"/>
      <c r="AA562" s="642"/>
      <c r="AB562" s="642"/>
      <c r="AC562" s="611" t="s">
        <v>838</v>
      </c>
      <c r="AD562" s="1031" t="s">
        <v>838</v>
      </c>
      <c r="AE562" s="1020" t="s">
        <v>839</v>
      </c>
      <c r="AF562" s="1020" t="s">
        <v>840</v>
      </c>
      <c r="AG562" s="1019" t="s">
        <v>61</v>
      </c>
      <c r="AH562" s="1019">
        <v>2</v>
      </c>
      <c r="AI562" s="1021"/>
      <c r="AJ562" s="617">
        <v>1</v>
      </c>
      <c r="AK562" s="621" t="s">
        <v>83</v>
      </c>
      <c r="AL562">
        <f t="shared" si="3"/>
        <v>0</v>
      </c>
      <c r="AM562" s="1017">
        <v>1</v>
      </c>
      <c r="AN562" s="1018"/>
      <c r="AO562" s="1018"/>
      <c r="AP562" s="1016"/>
      <c r="AQ562" s="628"/>
      <c r="AS562" s="627"/>
      <c r="AT562" s="1016"/>
      <c r="AU562" s="1016"/>
      <c r="AV562" s="1016"/>
      <c r="AW562" s="628"/>
    </row>
    <row r="563" spans="26:49" ht="14.5" hidden="1" x14ac:dyDescent="0.35">
      <c r="Z563" s="642"/>
      <c r="AA563" s="642"/>
      <c r="AB563" s="642"/>
      <c r="AC563" s="607" t="s">
        <v>841</v>
      </c>
      <c r="AD563" s="1019" t="s">
        <v>841</v>
      </c>
      <c r="AE563" s="1020" t="s">
        <v>842</v>
      </c>
      <c r="AF563" s="1020" t="s">
        <v>843</v>
      </c>
      <c r="AG563" s="1019" t="s">
        <v>61</v>
      </c>
      <c r="AH563" s="1019">
        <v>2</v>
      </c>
      <c r="AI563" s="1021"/>
      <c r="AJ563" s="617">
        <v>0</v>
      </c>
      <c r="AK563" s="621" t="s">
        <v>62</v>
      </c>
      <c r="AL563">
        <f t="shared" si="3"/>
        <v>0</v>
      </c>
      <c r="AM563" s="1017">
        <v>1</v>
      </c>
      <c r="AN563" s="1018"/>
      <c r="AO563" s="1018"/>
      <c r="AP563" s="1016"/>
      <c r="AQ563" s="628"/>
      <c r="AS563" s="627"/>
      <c r="AT563" s="1016"/>
      <c r="AU563" s="1016"/>
      <c r="AV563" s="1016"/>
      <c r="AW563" s="628"/>
    </row>
    <row r="564" spans="26:49" ht="14.5" hidden="1" x14ac:dyDescent="0.35">
      <c r="Z564" s="642"/>
      <c r="AA564" s="642"/>
      <c r="AB564" s="642"/>
      <c r="AC564" s="607" t="s">
        <v>844</v>
      </c>
      <c r="AD564" s="1019" t="s">
        <v>844</v>
      </c>
      <c r="AE564" s="1020" t="s">
        <v>845</v>
      </c>
      <c r="AF564" s="1020" t="s">
        <v>846</v>
      </c>
      <c r="AG564" s="1019" t="s">
        <v>110</v>
      </c>
      <c r="AH564" s="1019">
        <v>8</v>
      </c>
      <c r="AI564" s="1029"/>
      <c r="AJ564" s="617">
        <v>0</v>
      </c>
      <c r="AK564" s="621" t="s">
        <v>661</v>
      </c>
      <c r="AL564">
        <f t="shared" si="3"/>
        <v>0</v>
      </c>
      <c r="AM564" s="1017" t="s">
        <v>84</v>
      </c>
      <c r="AN564" s="1018"/>
      <c r="AO564" s="1018"/>
      <c r="AP564" s="1016"/>
      <c r="AQ564" s="628"/>
      <c r="AS564" s="627"/>
      <c r="AT564" s="1016"/>
      <c r="AU564" s="1016"/>
      <c r="AV564" s="1016"/>
      <c r="AW564" s="628"/>
    </row>
    <row r="565" spans="26:49" ht="14.5" hidden="1" x14ac:dyDescent="0.35">
      <c r="Z565" s="642"/>
      <c r="AA565" s="642"/>
      <c r="AB565" s="642"/>
      <c r="AC565" s="607" t="s">
        <v>847</v>
      </c>
      <c r="AD565" s="1019" t="s">
        <v>847</v>
      </c>
      <c r="AE565" s="1020" t="s">
        <v>848</v>
      </c>
      <c r="AF565" s="1020" t="s">
        <v>849</v>
      </c>
      <c r="AG565" s="1019" t="s">
        <v>57</v>
      </c>
      <c r="AH565" s="1019">
        <v>1</v>
      </c>
      <c r="AI565" s="1021"/>
      <c r="AJ565" s="617">
        <v>0</v>
      </c>
      <c r="AK565" s="621" t="s">
        <v>102</v>
      </c>
      <c r="AL565">
        <f t="shared" si="3"/>
        <v>1</v>
      </c>
      <c r="AM565" s="1017" t="s">
        <v>84</v>
      </c>
      <c r="AN565" s="1018"/>
      <c r="AO565" s="1018"/>
      <c r="AP565" s="1016"/>
      <c r="AQ565" s="628"/>
      <c r="AS565" s="627"/>
      <c r="AT565" s="1016"/>
      <c r="AU565" s="1016"/>
      <c r="AV565" s="1016"/>
      <c r="AW565" s="628"/>
    </row>
    <row r="566" spans="26:49" ht="14.5" hidden="1" x14ac:dyDescent="0.35">
      <c r="Z566" s="642"/>
      <c r="AA566" s="642"/>
      <c r="AB566" s="642"/>
      <c r="AC566" s="1151" t="s">
        <v>6029</v>
      </c>
      <c r="AD566" s="125" t="s">
        <v>6029</v>
      </c>
      <c r="AE566" s="1020" t="s">
        <v>851</v>
      </c>
      <c r="AF566" s="1020" t="s">
        <v>852</v>
      </c>
      <c r="AG566" s="1019" t="s">
        <v>63</v>
      </c>
      <c r="AH566" s="1019">
        <v>4</v>
      </c>
      <c r="AI566" s="1021"/>
      <c r="AJ566" s="617">
        <v>1</v>
      </c>
      <c r="AK566" s="621" t="s">
        <v>88</v>
      </c>
      <c r="AL566">
        <f t="shared" si="3"/>
        <v>0</v>
      </c>
      <c r="AM566" s="1017" t="s">
        <v>84</v>
      </c>
      <c r="AN566" s="1018"/>
      <c r="AO566" s="1018"/>
      <c r="AP566" s="1016"/>
      <c r="AQ566" s="628"/>
      <c r="AS566" s="627"/>
      <c r="AT566" s="1016"/>
      <c r="AU566" s="1016"/>
      <c r="AV566" s="1016"/>
      <c r="AW566" s="628"/>
    </row>
    <row r="567" spans="26:49" ht="14.5" hidden="1" x14ac:dyDescent="0.35">
      <c r="Z567" s="642"/>
      <c r="AA567" s="642"/>
      <c r="AB567" s="642"/>
      <c r="AC567" s="1152" t="s">
        <v>6030</v>
      </c>
      <c r="AD567" s="1152" t="s">
        <v>6030</v>
      </c>
      <c r="AE567" s="1023" t="s">
        <v>854</v>
      </c>
      <c r="AF567" s="1023" t="s">
        <v>855</v>
      </c>
      <c r="AG567" s="1022" t="s">
        <v>71</v>
      </c>
      <c r="AH567" s="1019">
        <v>4</v>
      </c>
      <c r="AI567" s="1021"/>
      <c r="AJ567" s="617">
        <v>0</v>
      </c>
      <c r="AK567" s="621" t="s">
        <v>93</v>
      </c>
      <c r="AL567">
        <f t="shared" ref="AL567:AL630" si="4">IF(AG567="UA",1,IF(AG567="MD",1,IF(AG567="OLB",1,IF(AG567="ILB",1,IF(AG567="CC",1,IF(AG567="SCILLY",1,0))))))</f>
        <v>0</v>
      </c>
      <c r="AM567" s="1017" t="s">
        <v>84</v>
      </c>
      <c r="AN567" s="1018"/>
      <c r="AO567" s="1018"/>
      <c r="AP567" s="1016"/>
      <c r="AQ567" s="628"/>
      <c r="AS567" s="627"/>
      <c r="AT567" s="1016"/>
      <c r="AU567" s="1016"/>
      <c r="AV567" s="1016"/>
      <c r="AW567" s="628"/>
    </row>
    <row r="568" spans="26:49" ht="14.5" hidden="1" x14ac:dyDescent="0.35">
      <c r="Z568" s="642"/>
      <c r="AA568" s="642"/>
      <c r="AB568" s="642"/>
      <c r="AC568" s="609" t="s">
        <v>6036</v>
      </c>
      <c r="AD568" s="1025" t="s">
        <v>6036</v>
      </c>
      <c r="AE568" s="1025" t="s">
        <v>857</v>
      </c>
      <c r="AF568" s="1025" t="s">
        <v>858</v>
      </c>
      <c r="AG568" s="1019" t="s">
        <v>71</v>
      </c>
      <c r="AH568" s="1019">
        <v>4</v>
      </c>
      <c r="AI568" s="1021"/>
      <c r="AJ568" s="617">
        <v>0</v>
      </c>
      <c r="AK568" s="621" t="s">
        <v>93</v>
      </c>
      <c r="AL568">
        <f t="shared" si="4"/>
        <v>0</v>
      </c>
      <c r="AM568" s="1017" t="s">
        <v>84</v>
      </c>
      <c r="AN568" s="1018"/>
      <c r="AO568" s="1018"/>
      <c r="AP568" s="1016"/>
      <c r="AQ568" s="628"/>
      <c r="AS568" s="627"/>
      <c r="AT568" s="1016"/>
      <c r="AU568" s="1016"/>
      <c r="AV568" s="1016"/>
      <c r="AW568" s="628"/>
    </row>
    <row r="569" spans="26:49" ht="14.5" hidden="1" x14ac:dyDescent="0.35">
      <c r="Z569" s="642"/>
      <c r="AA569" s="642"/>
      <c r="AB569" s="642"/>
      <c r="AC569" s="609" t="s">
        <v>6035</v>
      </c>
      <c r="AD569" s="1025" t="s">
        <v>6035</v>
      </c>
      <c r="AE569" s="1025" t="s">
        <v>859</v>
      </c>
      <c r="AF569" s="1025" t="s">
        <v>860</v>
      </c>
      <c r="AG569" s="1025" t="s">
        <v>63</v>
      </c>
      <c r="AH569" s="1019">
        <v>4</v>
      </c>
      <c r="AI569" s="1024"/>
      <c r="AJ569" s="617">
        <v>0</v>
      </c>
      <c r="AK569" s="621" t="s">
        <v>93</v>
      </c>
      <c r="AL569">
        <f t="shared" si="4"/>
        <v>0</v>
      </c>
      <c r="AM569" s="1017" t="s">
        <v>84</v>
      </c>
      <c r="AN569" s="1018"/>
      <c r="AO569" s="1018"/>
      <c r="AP569" s="1016"/>
      <c r="AQ569" s="628"/>
      <c r="AS569" s="627"/>
      <c r="AT569" s="1016"/>
      <c r="AU569" s="1016"/>
      <c r="AV569" s="1016"/>
      <c r="AW569" s="628"/>
    </row>
    <row r="570" spans="26:49" ht="14.5" hidden="1" x14ac:dyDescent="0.35">
      <c r="Z570" s="642"/>
      <c r="AA570" s="642"/>
      <c r="AB570" s="642"/>
      <c r="AC570" s="607" t="s">
        <v>861</v>
      </c>
      <c r="AD570" s="1019" t="s">
        <v>861</v>
      </c>
      <c r="AE570" s="1020" t="s">
        <v>862</v>
      </c>
      <c r="AF570" s="1020" t="s">
        <v>863</v>
      </c>
      <c r="AG570" s="1019" t="s">
        <v>125</v>
      </c>
      <c r="AH570" s="1019">
        <v>1</v>
      </c>
      <c r="AI570" s="1021"/>
      <c r="AJ570" s="617">
        <v>1</v>
      </c>
      <c r="AK570" s="621" t="s">
        <v>109</v>
      </c>
      <c r="AL570">
        <f t="shared" si="4"/>
        <v>1</v>
      </c>
      <c r="AM570" s="1017">
        <v>1</v>
      </c>
      <c r="AN570" s="1018"/>
      <c r="AO570" s="1018"/>
      <c r="AP570" s="1026"/>
      <c r="AQ570" s="633"/>
      <c r="AS570" s="634"/>
      <c r="AT570" s="1026"/>
      <c r="AU570" s="1026"/>
      <c r="AV570" s="1026"/>
      <c r="AW570" s="633"/>
    </row>
    <row r="571" spans="26:49" ht="14.5" hidden="1" x14ac:dyDescent="0.35">
      <c r="Z571" s="642"/>
      <c r="AA571" s="642"/>
      <c r="AB571" s="642"/>
      <c r="AC571" s="611" t="s">
        <v>864</v>
      </c>
      <c r="AD571" s="1031" t="s">
        <v>864</v>
      </c>
      <c r="AE571" s="1020" t="s">
        <v>865</v>
      </c>
      <c r="AF571" s="1020" t="s">
        <v>866</v>
      </c>
      <c r="AG571" s="1019" t="s">
        <v>110</v>
      </c>
      <c r="AH571" s="1019">
        <v>8</v>
      </c>
      <c r="AI571" s="1021"/>
      <c r="AJ571" s="617">
        <v>0</v>
      </c>
      <c r="AK571" s="621" t="s">
        <v>661</v>
      </c>
      <c r="AL571">
        <f t="shared" si="4"/>
        <v>0</v>
      </c>
      <c r="AM571" s="1017" t="s">
        <v>84</v>
      </c>
      <c r="AN571" s="1018"/>
      <c r="AO571" s="1018"/>
      <c r="AP571" s="1016"/>
      <c r="AQ571" s="628"/>
      <c r="AS571" s="627"/>
      <c r="AT571" s="1016"/>
      <c r="AU571" s="1016"/>
      <c r="AV571" s="1016"/>
      <c r="AW571" s="628"/>
    </row>
    <row r="572" spans="26:49" ht="14.5" hidden="1" x14ac:dyDescent="0.35">
      <c r="Z572" s="642"/>
      <c r="AA572" s="642"/>
      <c r="AB572" s="642"/>
      <c r="AC572" s="609" t="s">
        <v>867</v>
      </c>
      <c r="AD572" s="1025" t="s">
        <v>867</v>
      </c>
      <c r="AE572" s="1025" t="s">
        <v>868</v>
      </c>
      <c r="AF572" s="1025" t="s">
        <v>869</v>
      </c>
      <c r="AG572" s="1025" t="s">
        <v>71</v>
      </c>
      <c r="AH572" s="1019">
        <v>4</v>
      </c>
      <c r="AI572" s="1021"/>
      <c r="AJ572" s="617">
        <v>0</v>
      </c>
      <c r="AK572" s="621" t="s">
        <v>93</v>
      </c>
      <c r="AL572">
        <f t="shared" si="4"/>
        <v>0</v>
      </c>
      <c r="AM572" s="1017" t="s">
        <v>84</v>
      </c>
      <c r="AN572" s="1018"/>
      <c r="AO572" s="1018"/>
      <c r="AP572" s="1016"/>
      <c r="AQ572" s="628"/>
      <c r="AS572" s="627"/>
      <c r="AT572" s="1016"/>
      <c r="AU572" s="1016"/>
      <c r="AV572" s="1016"/>
      <c r="AW572" s="628"/>
    </row>
    <row r="573" spans="26:49" ht="14.5" hidden="1" x14ac:dyDescent="0.35">
      <c r="Z573" s="642"/>
      <c r="AA573" s="642"/>
      <c r="AB573" s="642"/>
      <c r="AC573" s="609" t="s">
        <v>870</v>
      </c>
      <c r="AD573" s="1025" t="s">
        <v>870</v>
      </c>
      <c r="AE573" s="1020" t="s">
        <v>871</v>
      </c>
      <c r="AF573" s="1020" t="s">
        <v>872</v>
      </c>
      <c r="AG573" s="1019" t="s">
        <v>61</v>
      </c>
      <c r="AH573" s="1019">
        <v>2</v>
      </c>
      <c r="AI573" s="1021"/>
      <c r="AJ573" s="617">
        <v>0</v>
      </c>
      <c r="AK573" s="621" t="s">
        <v>62</v>
      </c>
      <c r="AL573">
        <f t="shared" si="4"/>
        <v>0</v>
      </c>
      <c r="AM573" s="1017">
        <v>1</v>
      </c>
      <c r="AN573" s="1018">
        <v>1</v>
      </c>
      <c r="AO573" s="1018"/>
      <c r="AP573" s="1026"/>
      <c r="AQ573" s="633"/>
      <c r="AS573" s="634"/>
      <c r="AT573" s="1026"/>
      <c r="AU573" s="1026"/>
      <c r="AV573" s="1026"/>
      <c r="AW573" s="633"/>
    </row>
    <row r="574" spans="26:49" ht="14.5" hidden="1" x14ac:dyDescent="0.35">
      <c r="Z574" s="642"/>
      <c r="AA574" s="642"/>
      <c r="AB574" s="642"/>
      <c r="AC574" s="609" t="s">
        <v>873</v>
      </c>
      <c r="AD574" s="1025" t="s">
        <v>873</v>
      </c>
      <c r="AE574" s="1025" t="s">
        <v>874</v>
      </c>
      <c r="AF574" s="1025" t="s">
        <v>875</v>
      </c>
      <c r="AG574" s="1019" t="s">
        <v>125</v>
      </c>
      <c r="AH574" s="1019">
        <v>1</v>
      </c>
      <c r="AI574" s="1027"/>
      <c r="AJ574" s="617">
        <v>1</v>
      </c>
      <c r="AK574" s="621" t="s">
        <v>109</v>
      </c>
      <c r="AL574">
        <f t="shared" si="4"/>
        <v>1</v>
      </c>
      <c r="AM574" s="1017">
        <v>1</v>
      </c>
      <c r="AN574" s="1018"/>
      <c r="AO574" s="1018"/>
      <c r="AP574" s="1016"/>
      <c r="AQ574" s="628"/>
      <c r="AS574" s="627"/>
      <c r="AT574" s="1016"/>
      <c r="AU574" s="1016"/>
      <c r="AV574" s="1016"/>
      <c r="AW574" s="628"/>
    </row>
    <row r="575" spans="26:49" ht="14.5" hidden="1" x14ac:dyDescent="0.35">
      <c r="Z575" s="642"/>
      <c r="AA575" s="642"/>
      <c r="AB575" s="642"/>
      <c r="AC575" s="609" t="s">
        <v>876</v>
      </c>
      <c r="AD575" s="1025" t="s">
        <v>876</v>
      </c>
      <c r="AE575" s="1025" t="s">
        <v>877</v>
      </c>
      <c r="AF575" s="1025" t="s">
        <v>878</v>
      </c>
      <c r="AG575" s="1025" t="s">
        <v>57</v>
      </c>
      <c r="AH575" s="1019">
        <v>1</v>
      </c>
      <c r="AI575" s="1021"/>
      <c r="AJ575" s="617">
        <v>1</v>
      </c>
      <c r="AK575" s="621" t="s">
        <v>109</v>
      </c>
      <c r="AL575">
        <f t="shared" si="4"/>
        <v>1</v>
      </c>
      <c r="AM575" s="1017" t="s">
        <v>84</v>
      </c>
      <c r="AN575" s="1018"/>
      <c r="AO575" s="1018"/>
      <c r="AP575" s="1016"/>
      <c r="AQ575" s="628"/>
      <c r="AS575" s="627"/>
      <c r="AT575" s="1016"/>
      <c r="AU575" s="1016"/>
      <c r="AV575" s="1016"/>
      <c r="AW575" s="628"/>
    </row>
    <row r="576" spans="26:49" ht="14.5" hidden="1" x14ac:dyDescent="0.35">
      <c r="Z576" s="642"/>
      <c r="AA576" s="642"/>
      <c r="AB576" s="642"/>
      <c r="AC576" s="607" t="s">
        <v>6028</v>
      </c>
      <c r="AD576" s="1019" t="s">
        <v>6028</v>
      </c>
      <c r="AE576" s="1020" t="s">
        <v>880</v>
      </c>
      <c r="AF576" s="1020" t="s">
        <v>881</v>
      </c>
      <c r="AG576" s="1019" t="s">
        <v>63</v>
      </c>
      <c r="AH576" s="1019">
        <v>4</v>
      </c>
      <c r="AI576" s="1021"/>
      <c r="AJ576" s="617">
        <v>1</v>
      </c>
      <c r="AK576" s="621" t="s">
        <v>88</v>
      </c>
      <c r="AL576">
        <f t="shared" si="4"/>
        <v>0</v>
      </c>
      <c r="AM576" s="1017" t="s">
        <v>84</v>
      </c>
      <c r="AN576" s="1018"/>
      <c r="AO576" s="1018"/>
      <c r="AP576" s="1026"/>
      <c r="AQ576" s="633"/>
      <c r="AS576" s="634"/>
      <c r="AT576" s="1026"/>
      <c r="AU576" s="1026"/>
      <c r="AV576" s="1026"/>
      <c r="AW576" s="633"/>
    </row>
    <row r="577" spans="26:49" ht="14.5" hidden="1" x14ac:dyDescent="0.35">
      <c r="Z577" s="642"/>
      <c r="AA577" s="642"/>
      <c r="AB577" s="642"/>
      <c r="AC577" s="610" t="s">
        <v>882</v>
      </c>
      <c r="AD577" s="1028" t="s">
        <v>882</v>
      </c>
      <c r="AE577" s="1023" t="s">
        <v>883</v>
      </c>
      <c r="AF577" s="1023" t="s">
        <v>884</v>
      </c>
      <c r="AG577" s="1022" t="s">
        <v>71</v>
      </c>
      <c r="AH577" s="1022">
        <v>4</v>
      </c>
      <c r="AI577" s="1029"/>
      <c r="AJ577" s="617">
        <v>0</v>
      </c>
      <c r="AK577" s="621" t="s">
        <v>93</v>
      </c>
      <c r="AL577">
        <f t="shared" si="4"/>
        <v>0</v>
      </c>
      <c r="AM577" s="1017" t="s">
        <v>84</v>
      </c>
      <c r="AN577" s="1018"/>
      <c r="AO577" s="1018"/>
      <c r="AP577" s="1016"/>
      <c r="AQ577" s="628"/>
      <c r="AS577" s="627"/>
      <c r="AT577" s="1016"/>
      <c r="AU577" s="1016"/>
      <c r="AV577" s="1016"/>
      <c r="AW577" s="628"/>
    </row>
    <row r="578" spans="26:49" ht="14.5" hidden="1" x14ac:dyDescent="0.35">
      <c r="Z578" s="642"/>
      <c r="AA578" s="642"/>
      <c r="AB578" s="642"/>
      <c r="AC578" s="610" t="s">
        <v>885</v>
      </c>
      <c r="AD578" s="1028" t="s">
        <v>885</v>
      </c>
      <c r="AE578" s="1023" t="s">
        <v>886</v>
      </c>
      <c r="AF578" s="1023" t="s">
        <v>887</v>
      </c>
      <c r="AG578" s="1022" t="s">
        <v>61</v>
      </c>
      <c r="AH578" s="1019">
        <v>2</v>
      </c>
      <c r="AI578" s="1021"/>
      <c r="AJ578" s="617">
        <v>0</v>
      </c>
      <c r="AK578" s="621" t="s">
        <v>62</v>
      </c>
      <c r="AL578">
        <f t="shared" si="4"/>
        <v>0</v>
      </c>
      <c r="AM578" s="1017">
        <v>1</v>
      </c>
      <c r="AN578" s="1018"/>
      <c r="AO578" s="1018"/>
      <c r="AP578" s="1016"/>
      <c r="AQ578" s="628"/>
      <c r="AS578" s="627"/>
      <c r="AT578" s="1016"/>
      <c r="AU578" s="1016"/>
      <c r="AV578" s="1016"/>
      <c r="AW578" s="628"/>
    </row>
    <row r="579" spans="26:49" ht="14.5" hidden="1" x14ac:dyDescent="0.35">
      <c r="Z579" s="642"/>
      <c r="AA579" s="642"/>
      <c r="AB579" s="642"/>
      <c r="AC579" s="609" t="s">
        <v>888</v>
      </c>
      <c r="AD579" s="1025" t="s">
        <v>888</v>
      </c>
      <c r="AE579" s="1025" t="s">
        <v>889</v>
      </c>
      <c r="AF579" s="1025" t="s">
        <v>890</v>
      </c>
      <c r="AG579" s="1019" t="s">
        <v>61</v>
      </c>
      <c r="AH579" s="1019">
        <v>2</v>
      </c>
      <c r="AI579" s="1021"/>
      <c r="AJ579" s="617">
        <v>0</v>
      </c>
      <c r="AK579" s="621" t="s">
        <v>62</v>
      </c>
      <c r="AL579">
        <f t="shared" si="4"/>
        <v>0</v>
      </c>
      <c r="AM579" s="1017">
        <v>1</v>
      </c>
      <c r="AN579" s="1018"/>
      <c r="AO579" s="1018"/>
      <c r="AP579" s="1016"/>
      <c r="AQ579" s="628"/>
      <c r="AS579" s="627"/>
      <c r="AT579" s="1016"/>
      <c r="AU579" s="1016"/>
      <c r="AV579" s="1016"/>
      <c r="AW579" s="628"/>
    </row>
    <row r="580" spans="26:49" ht="14.5" hidden="1" x14ac:dyDescent="0.35">
      <c r="Z580" s="642"/>
      <c r="AA580" s="642"/>
      <c r="AB580" s="642"/>
      <c r="AC580" s="609" t="s">
        <v>891</v>
      </c>
      <c r="AD580" s="1025" t="s">
        <v>891</v>
      </c>
      <c r="AE580" s="1025" t="s">
        <v>892</v>
      </c>
      <c r="AF580" s="1025" t="s">
        <v>893</v>
      </c>
      <c r="AG580" s="1025" t="s">
        <v>97</v>
      </c>
      <c r="AH580" s="1019">
        <v>1</v>
      </c>
      <c r="AI580" s="1021"/>
      <c r="AJ580" s="617">
        <v>0</v>
      </c>
      <c r="AK580" s="621" t="s">
        <v>102</v>
      </c>
      <c r="AL580">
        <f t="shared" si="4"/>
        <v>1</v>
      </c>
      <c r="AM580" s="1017">
        <v>1</v>
      </c>
      <c r="AN580" s="1018"/>
      <c r="AO580" s="1018"/>
      <c r="AP580" s="1016"/>
      <c r="AQ580" s="628"/>
      <c r="AS580" s="627"/>
      <c r="AT580" s="1016"/>
      <c r="AU580" s="1016"/>
      <c r="AV580" s="1016"/>
      <c r="AW580" s="628"/>
    </row>
    <row r="581" spans="26:49" ht="14.5" hidden="1" x14ac:dyDescent="0.35">
      <c r="Z581" s="642"/>
      <c r="AA581" s="642"/>
      <c r="AB581" s="642"/>
      <c r="AC581" s="607" t="s">
        <v>894</v>
      </c>
      <c r="AD581" s="1019" t="s">
        <v>894</v>
      </c>
      <c r="AE581" s="1020" t="s">
        <v>895</v>
      </c>
      <c r="AF581" s="1020" t="s">
        <v>896</v>
      </c>
      <c r="AG581" s="1019" t="s">
        <v>61</v>
      </c>
      <c r="AH581" s="1019">
        <v>2</v>
      </c>
      <c r="AI581" s="1021"/>
      <c r="AJ581" s="617">
        <v>0</v>
      </c>
      <c r="AK581" s="621" t="s">
        <v>62</v>
      </c>
      <c r="AL581">
        <f t="shared" si="4"/>
        <v>0</v>
      </c>
      <c r="AM581" s="1017">
        <v>1</v>
      </c>
      <c r="AN581" s="1018">
        <v>1</v>
      </c>
      <c r="AO581" s="1018"/>
      <c r="AP581" s="1026"/>
      <c r="AQ581" s="633"/>
      <c r="AS581" s="634"/>
      <c r="AT581" s="1026"/>
      <c r="AU581" s="1026"/>
      <c r="AV581" s="1026"/>
      <c r="AW581" s="633"/>
    </row>
    <row r="582" spans="26:49" ht="14.5" hidden="1" x14ac:dyDescent="0.35">
      <c r="Z582" s="642"/>
      <c r="AA582" s="642"/>
      <c r="AB582" s="642"/>
      <c r="AC582" s="607" t="s">
        <v>897</v>
      </c>
      <c r="AD582" s="1019" t="s">
        <v>897</v>
      </c>
      <c r="AE582" s="1020" t="s">
        <v>898</v>
      </c>
      <c r="AF582" s="1020" t="s">
        <v>899</v>
      </c>
      <c r="AG582" s="1019" t="s">
        <v>57</v>
      </c>
      <c r="AH582" s="1019">
        <v>1</v>
      </c>
      <c r="AI582" s="1021"/>
      <c r="AJ582" s="617">
        <v>0</v>
      </c>
      <c r="AK582" s="621" t="s">
        <v>102</v>
      </c>
      <c r="AL582">
        <f t="shared" si="4"/>
        <v>1</v>
      </c>
      <c r="AM582" s="1017" t="s">
        <v>84</v>
      </c>
      <c r="AN582" s="1018"/>
      <c r="AO582" s="1018"/>
      <c r="AP582" s="1016"/>
      <c r="AQ582" s="628"/>
      <c r="AS582" s="627"/>
      <c r="AT582" s="1016"/>
      <c r="AU582" s="1016"/>
      <c r="AV582" s="1016"/>
      <c r="AW582" s="628"/>
    </row>
    <row r="583" spans="26:49" ht="14.5" hidden="1" x14ac:dyDescent="0.35">
      <c r="Z583" s="642"/>
      <c r="AA583" s="642"/>
      <c r="AB583" s="642"/>
      <c r="AC583" s="608" t="s">
        <v>900</v>
      </c>
      <c r="AD583" s="1022" t="s">
        <v>900</v>
      </c>
      <c r="AE583" s="1023" t="s">
        <v>901</v>
      </c>
      <c r="AF583" s="1023" t="s">
        <v>902</v>
      </c>
      <c r="AG583" s="1022" t="s">
        <v>110</v>
      </c>
      <c r="AH583" s="1022">
        <v>8</v>
      </c>
      <c r="AI583" s="1024"/>
      <c r="AJ583" s="617">
        <v>0</v>
      </c>
      <c r="AK583" s="621" t="s">
        <v>661</v>
      </c>
      <c r="AL583">
        <f t="shared" si="4"/>
        <v>0</v>
      </c>
      <c r="AM583" s="1017" t="s">
        <v>84</v>
      </c>
      <c r="AN583" s="1018"/>
      <c r="AO583" s="1018"/>
      <c r="AP583" s="1016"/>
      <c r="AQ583" s="628"/>
      <c r="AS583" s="627"/>
      <c r="AT583" s="1016"/>
      <c r="AU583" s="1016"/>
      <c r="AV583" s="1016"/>
      <c r="AW583" s="628"/>
    </row>
    <row r="584" spans="26:49" ht="14.5" hidden="1" x14ac:dyDescent="0.35">
      <c r="Z584" s="642"/>
      <c r="AA584" s="642"/>
      <c r="AB584" s="642"/>
      <c r="AC584" s="607" t="s">
        <v>903</v>
      </c>
      <c r="AD584" s="1019" t="s">
        <v>903</v>
      </c>
      <c r="AE584" s="1020" t="s">
        <v>904</v>
      </c>
      <c r="AF584" s="1020" t="s">
        <v>905</v>
      </c>
      <c r="AG584" s="1019" t="s">
        <v>61</v>
      </c>
      <c r="AH584" s="1019">
        <v>2</v>
      </c>
      <c r="AI584" s="1021"/>
      <c r="AJ584" s="617">
        <v>0</v>
      </c>
      <c r="AK584" s="621" t="s">
        <v>62</v>
      </c>
      <c r="AL584">
        <f t="shared" si="4"/>
        <v>0</v>
      </c>
      <c r="AM584" s="1017">
        <v>1</v>
      </c>
      <c r="AN584" s="1018"/>
      <c r="AO584" s="1018"/>
      <c r="AP584" s="1016"/>
      <c r="AQ584" s="628"/>
      <c r="AS584" s="627"/>
      <c r="AT584" s="1016"/>
      <c r="AU584" s="1016"/>
      <c r="AV584" s="1016"/>
      <c r="AW584" s="628"/>
    </row>
    <row r="585" spans="26:49" ht="14.5" hidden="1" x14ac:dyDescent="0.35">
      <c r="Z585" s="642"/>
      <c r="AA585" s="642"/>
      <c r="AB585" s="642"/>
      <c r="AC585" s="611" t="s">
        <v>906</v>
      </c>
      <c r="AD585" s="1031" t="s">
        <v>906</v>
      </c>
      <c r="AE585" s="1020" t="s">
        <v>907</v>
      </c>
      <c r="AF585" s="1020" t="s">
        <v>908</v>
      </c>
      <c r="AG585" s="1019" t="s">
        <v>125</v>
      </c>
      <c r="AH585" s="1019">
        <v>1</v>
      </c>
      <c r="AI585" s="1021"/>
      <c r="AJ585" s="617">
        <v>0</v>
      </c>
      <c r="AK585" s="621" t="s">
        <v>102</v>
      </c>
      <c r="AL585">
        <f t="shared" si="4"/>
        <v>1</v>
      </c>
      <c r="AM585" s="1017">
        <v>1</v>
      </c>
      <c r="AN585" s="1018">
        <v>1</v>
      </c>
      <c r="AO585" s="1018"/>
      <c r="AP585" s="1016"/>
      <c r="AQ585" s="628"/>
      <c r="AS585" s="627"/>
      <c r="AT585" s="1016"/>
      <c r="AU585" s="1016"/>
      <c r="AV585" s="1016"/>
      <c r="AW585" s="628"/>
    </row>
    <row r="586" spans="26:49" ht="14.5" hidden="1" x14ac:dyDescent="0.35">
      <c r="Z586" s="642"/>
      <c r="AA586" s="642"/>
      <c r="AB586" s="642"/>
      <c r="AC586" s="607" t="s">
        <v>909</v>
      </c>
      <c r="AD586" s="1019" t="s">
        <v>909</v>
      </c>
      <c r="AE586" s="1020" t="s">
        <v>910</v>
      </c>
      <c r="AF586" s="1020" t="s">
        <v>911</v>
      </c>
      <c r="AG586" s="1019" t="s">
        <v>125</v>
      </c>
      <c r="AH586" s="1019">
        <v>1</v>
      </c>
      <c r="AI586" s="1021"/>
      <c r="AJ586" s="617">
        <v>0</v>
      </c>
      <c r="AK586" s="621" t="s">
        <v>102</v>
      </c>
      <c r="AL586">
        <f t="shared" si="4"/>
        <v>1</v>
      </c>
      <c r="AM586" s="1017">
        <v>1</v>
      </c>
      <c r="AN586" s="1018">
        <v>1</v>
      </c>
      <c r="AO586" s="1018"/>
      <c r="AP586" s="1016"/>
      <c r="AQ586" s="628"/>
      <c r="AS586" s="627"/>
      <c r="AT586" s="1016"/>
      <c r="AU586" s="1016"/>
      <c r="AV586" s="1016"/>
      <c r="AW586" s="628"/>
    </row>
    <row r="587" spans="26:49" ht="14.5" hidden="1" x14ac:dyDescent="0.35">
      <c r="Z587" s="642"/>
      <c r="AA587" s="642"/>
      <c r="AB587" s="642"/>
      <c r="AC587" s="607" t="s">
        <v>912</v>
      </c>
      <c r="AD587" s="1019" t="s">
        <v>912</v>
      </c>
      <c r="AE587" s="1020" t="s">
        <v>913</v>
      </c>
      <c r="AF587" s="1020" t="s">
        <v>914</v>
      </c>
      <c r="AG587" s="1019" t="s">
        <v>125</v>
      </c>
      <c r="AH587" s="1019">
        <v>1</v>
      </c>
      <c r="AI587" s="1024"/>
      <c r="AJ587" s="617">
        <v>0</v>
      </c>
      <c r="AK587" s="621" t="s">
        <v>102</v>
      </c>
      <c r="AL587">
        <f t="shared" si="4"/>
        <v>1</v>
      </c>
      <c r="AM587" s="1017">
        <v>1</v>
      </c>
      <c r="AN587" s="1018">
        <v>1</v>
      </c>
      <c r="AO587" s="1018"/>
      <c r="AP587" s="1016"/>
      <c r="AQ587" s="628"/>
      <c r="AS587" s="627"/>
      <c r="AT587" s="1016"/>
      <c r="AU587" s="1016"/>
      <c r="AV587" s="1016"/>
      <c r="AW587" s="628"/>
    </row>
    <row r="588" spans="26:49" ht="14.5" hidden="1" x14ac:dyDescent="0.35">
      <c r="Z588" s="642"/>
      <c r="AA588" s="642"/>
      <c r="AB588" s="642"/>
      <c r="AC588" s="611" t="s">
        <v>915</v>
      </c>
      <c r="AD588" s="1031" t="s">
        <v>915</v>
      </c>
      <c r="AE588" s="1020" t="s">
        <v>916</v>
      </c>
      <c r="AF588" s="1020" t="s">
        <v>917</v>
      </c>
      <c r="AG588" s="1019" t="s">
        <v>61</v>
      </c>
      <c r="AH588" s="1019">
        <v>2</v>
      </c>
      <c r="AI588" s="1030"/>
      <c r="AJ588" s="617">
        <v>0</v>
      </c>
      <c r="AK588" s="621" t="s">
        <v>62</v>
      </c>
      <c r="AL588">
        <f t="shared" si="4"/>
        <v>0</v>
      </c>
      <c r="AM588" s="1017">
        <v>1</v>
      </c>
      <c r="AN588" s="1018">
        <v>1</v>
      </c>
      <c r="AO588" s="1018"/>
      <c r="AP588" s="1016"/>
      <c r="AQ588" s="628"/>
      <c r="AS588" s="627"/>
      <c r="AT588" s="1016"/>
      <c r="AU588" s="1016"/>
      <c r="AV588" s="1016"/>
      <c r="AW588" s="628"/>
    </row>
    <row r="589" spans="26:49" ht="14.5" hidden="1" x14ac:dyDescent="0.35">
      <c r="Z589" s="642"/>
      <c r="AA589" s="642"/>
      <c r="AB589" s="642"/>
      <c r="AC589" s="611" t="s">
        <v>918</v>
      </c>
      <c r="AD589" s="1031" t="s">
        <v>918</v>
      </c>
      <c r="AE589" s="1020" t="s">
        <v>919</v>
      </c>
      <c r="AF589" s="1020" t="s">
        <v>920</v>
      </c>
      <c r="AG589" s="1019" t="s">
        <v>125</v>
      </c>
      <c r="AH589" s="1019">
        <v>1</v>
      </c>
      <c r="AI589" s="1030"/>
      <c r="AJ589" s="617">
        <v>1</v>
      </c>
      <c r="AK589" s="621" t="s">
        <v>109</v>
      </c>
      <c r="AL589">
        <f t="shared" si="4"/>
        <v>1</v>
      </c>
      <c r="AM589" s="1017">
        <v>1</v>
      </c>
      <c r="AN589" s="1018">
        <v>1</v>
      </c>
      <c r="AO589" s="1018"/>
      <c r="AP589" s="1016"/>
      <c r="AQ589" s="628"/>
      <c r="AS589" s="627"/>
      <c r="AT589" s="1016"/>
      <c r="AU589" s="1016"/>
      <c r="AV589" s="1016"/>
      <c r="AW589" s="628"/>
    </row>
    <row r="590" spans="26:49" ht="14.5" hidden="1" x14ac:dyDescent="0.35">
      <c r="Z590" s="642"/>
      <c r="AA590" s="642"/>
      <c r="AB590" s="642"/>
      <c r="AC590" s="608" t="s">
        <v>921</v>
      </c>
      <c r="AD590" s="1022" t="s">
        <v>921</v>
      </c>
      <c r="AE590" s="1023" t="s">
        <v>922</v>
      </c>
      <c r="AF590" s="1023" t="s">
        <v>923</v>
      </c>
      <c r="AG590" s="1022" t="s">
        <v>101</v>
      </c>
      <c r="AH590" s="1022">
        <v>1</v>
      </c>
      <c r="AI590" s="1027"/>
      <c r="AJ590" s="617">
        <v>0</v>
      </c>
      <c r="AK590" s="621" t="s">
        <v>102</v>
      </c>
      <c r="AL590">
        <f t="shared" si="4"/>
        <v>1</v>
      </c>
      <c r="AM590" s="1017">
        <v>1</v>
      </c>
      <c r="AN590" s="1018">
        <v>1</v>
      </c>
      <c r="AO590" s="1018"/>
      <c r="AP590" s="1016"/>
      <c r="AQ590" s="628"/>
      <c r="AS590" s="627"/>
      <c r="AT590" s="1016"/>
      <c r="AU590" s="1016"/>
      <c r="AV590" s="1016"/>
      <c r="AW590" s="628"/>
    </row>
    <row r="591" spans="26:49" ht="14.5" hidden="1" x14ac:dyDescent="0.35">
      <c r="Z591" s="642"/>
      <c r="AA591" s="642"/>
      <c r="AB591" s="642"/>
      <c r="AC591" s="608" t="s">
        <v>924</v>
      </c>
      <c r="AD591" s="1022" t="s">
        <v>924</v>
      </c>
      <c r="AE591" s="1023" t="s">
        <v>925</v>
      </c>
      <c r="AF591" s="1023" t="s">
        <v>926</v>
      </c>
      <c r="AG591" s="1022" t="s">
        <v>125</v>
      </c>
      <c r="AH591" s="1022">
        <v>1</v>
      </c>
      <c r="AI591" s="1027"/>
      <c r="AJ591" s="617">
        <v>0</v>
      </c>
      <c r="AK591" s="621" t="s">
        <v>102</v>
      </c>
      <c r="AL591">
        <f t="shared" si="4"/>
        <v>1</v>
      </c>
      <c r="AM591" s="1017">
        <v>1</v>
      </c>
      <c r="AN591" s="1018"/>
      <c r="AO591" s="1018"/>
      <c r="AP591" s="1016"/>
      <c r="AQ591" s="628"/>
      <c r="AS591" s="627"/>
      <c r="AT591" s="1016"/>
      <c r="AU591" s="1016"/>
      <c r="AV591" s="1016"/>
      <c r="AW591" s="628"/>
    </row>
    <row r="592" spans="26:49" ht="14.5" hidden="1" x14ac:dyDescent="0.35">
      <c r="Z592" s="642"/>
      <c r="AA592" s="642"/>
      <c r="AB592" s="642"/>
      <c r="AC592" s="607" t="s">
        <v>927</v>
      </c>
      <c r="AD592" s="1019" t="s">
        <v>927</v>
      </c>
      <c r="AE592" s="1020" t="s">
        <v>928</v>
      </c>
      <c r="AF592" s="1020" t="s">
        <v>929</v>
      </c>
      <c r="AG592" s="1019" t="s">
        <v>61</v>
      </c>
      <c r="AH592" s="1019">
        <v>2</v>
      </c>
      <c r="AI592" s="1021"/>
      <c r="AJ592" s="617">
        <v>0</v>
      </c>
      <c r="AK592" s="621" t="s">
        <v>62</v>
      </c>
      <c r="AL592">
        <f t="shared" si="4"/>
        <v>0</v>
      </c>
      <c r="AM592" s="1017">
        <v>1</v>
      </c>
      <c r="AN592" s="1018"/>
      <c r="AO592" s="1018"/>
      <c r="AP592" s="1016"/>
      <c r="AQ592" s="628"/>
      <c r="AS592" s="627"/>
      <c r="AT592" s="1016"/>
      <c r="AU592" s="1016"/>
      <c r="AV592" s="1016"/>
      <c r="AW592" s="628"/>
    </row>
    <row r="593" spans="26:49" ht="14.5" hidden="1" x14ac:dyDescent="0.35">
      <c r="Z593" s="642"/>
      <c r="AA593" s="642"/>
      <c r="AB593" s="642"/>
      <c r="AC593" s="607" t="s">
        <v>930</v>
      </c>
      <c r="AD593" s="1019" t="s">
        <v>930</v>
      </c>
      <c r="AE593" s="1020" t="s">
        <v>931</v>
      </c>
      <c r="AF593" s="1020" t="s">
        <v>932</v>
      </c>
      <c r="AG593" s="1019" t="s">
        <v>61</v>
      </c>
      <c r="AH593" s="1019">
        <v>2</v>
      </c>
      <c r="AI593" s="1024"/>
      <c r="AJ593" s="617">
        <v>0</v>
      </c>
      <c r="AK593" s="621" t="s">
        <v>62</v>
      </c>
      <c r="AL593">
        <f t="shared" si="4"/>
        <v>0</v>
      </c>
      <c r="AM593" s="1017">
        <v>1</v>
      </c>
      <c r="AN593" s="1018">
        <v>1</v>
      </c>
      <c r="AO593" s="1018"/>
      <c r="AP593" s="1016"/>
      <c r="AQ593" s="628"/>
      <c r="AS593" s="627"/>
      <c r="AT593" s="1016"/>
      <c r="AU593" s="1016"/>
      <c r="AV593" s="1016"/>
      <c r="AW593" s="628"/>
    </row>
    <row r="594" spans="26:49" ht="14.5" hidden="1" x14ac:dyDescent="0.35">
      <c r="Z594" s="642"/>
      <c r="AA594" s="642"/>
      <c r="AB594" s="642"/>
      <c r="AC594" s="610" t="s">
        <v>933</v>
      </c>
      <c r="AD594" s="1028" t="s">
        <v>933</v>
      </c>
      <c r="AE594" s="1023" t="s">
        <v>934</v>
      </c>
      <c r="AF594" s="1023" t="s">
        <v>935</v>
      </c>
      <c r="AG594" s="1022" t="s">
        <v>61</v>
      </c>
      <c r="AH594" s="1022">
        <v>2</v>
      </c>
      <c r="AI594" s="1027"/>
      <c r="AJ594" s="617">
        <v>0</v>
      </c>
      <c r="AK594" s="621" t="s">
        <v>62</v>
      </c>
      <c r="AL594">
        <f t="shared" si="4"/>
        <v>0</v>
      </c>
      <c r="AM594" s="1017">
        <v>1</v>
      </c>
      <c r="AN594" s="1018"/>
      <c r="AO594" s="1018"/>
      <c r="AP594" s="1016"/>
      <c r="AQ594" s="628"/>
      <c r="AS594" s="627"/>
      <c r="AT594" s="1016"/>
      <c r="AU594" s="1016"/>
      <c r="AV594" s="1016"/>
      <c r="AW594" s="628"/>
    </row>
    <row r="595" spans="26:49" ht="14.5" hidden="1" x14ac:dyDescent="0.35">
      <c r="Z595" s="642"/>
      <c r="AA595" s="642"/>
      <c r="AB595" s="642"/>
      <c r="AC595" s="607" t="s">
        <v>936</v>
      </c>
      <c r="AD595" s="1019" t="s">
        <v>936</v>
      </c>
      <c r="AE595" s="1020" t="s">
        <v>937</v>
      </c>
      <c r="AF595" s="1020" t="s">
        <v>938</v>
      </c>
      <c r="AG595" s="1019" t="s">
        <v>101</v>
      </c>
      <c r="AH595" s="1019">
        <v>1</v>
      </c>
      <c r="AI595" s="1030"/>
      <c r="AJ595" s="617">
        <v>0</v>
      </c>
      <c r="AK595" s="621" t="s">
        <v>102</v>
      </c>
      <c r="AL595">
        <f t="shared" si="4"/>
        <v>1</v>
      </c>
      <c r="AM595" s="1017">
        <v>1</v>
      </c>
      <c r="AN595" s="1018">
        <v>1</v>
      </c>
      <c r="AO595" s="1018"/>
      <c r="AP595" s="1016"/>
      <c r="AQ595" s="628"/>
      <c r="AS595" s="627"/>
      <c r="AT595" s="1016"/>
      <c r="AU595" s="1016"/>
      <c r="AV595" s="1016"/>
      <c r="AW595" s="628"/>
    </row>
    <row r="596" spans="26:49" ht="14.5" hidden="1" x14ac:dyDescent="0.35">
      <c r="Z596" s="642"/>
      <c r="AA596" s="642"/>
      <c r="AB596" s="642"/>
      <c r="AC596" s="611" t="s">
        <v>939</v>
      </c>
      <c r="AD596" s="1031" t="s">
        <v>939</v>
      </c>
      <c r="AE596" s="1020" t="s">
        <v>940</v>
      </c>
      <c r="AF596" s="1020" t="s">
        <v>941</v>
      </c>
      <c r="AG596" s="1019" t="s">
        <v>61</v>
      </c>
      <c r="AH596" s="1019">
        <v>2</v>
      </c>
      <c r="AI596" s="1029"/>
      <c r="AJ596" s="617">
        <v>1</v>
      </c>
      <c r="AK596" s="621" t="s">
        <v>83</v>
      </c>
      <c r="AL596">
        <f t="shared" si="4"/>
        <v>0</v>
      </c>
      <c r="AM596" s="1017">
        <v>1</v>
      </c>
      <c r="AN596" s="1018"/>
      <c r="AO596" s="1018"/>
      <c r="AP596" s="1016"/>
      <c r="AQ596" s="628"/>
      <c r="AS596" s="627"/>
      <c r="AT596" s="1016"/>
      <c r="AU596" s="1016"/>
      <c r="AV596" s="1016"/>
      <c r="AW596" s="628"/>
    </row>
    <row r="597" spans="26:49" ht="14.5" hidden="1" x14ac:dyDescent="0.35">
      <c r="Z597" s="642"/>
      <c r="AA597" s="642"/>
      <c r="AB597" s="642"/>
      <c r="AC597" s="607" t="s">
        <v>942</v>
      </c>
      <c r="AD597" s="1019" t="s">
        <v>942</v>
      </c>
      <c r="AE597" s="1020" t="s">
        <v>943</v>
      </c>
      <c r="AF597" s="1020" t="s">
        <v>944</v>
      </c>
      <c r="AG597" s="1019" t="s">
        <v>97</v>
      </c>
      <c r="AH597" s="1019">
        <v>1</v>
      </c>
      <c r="AI597" s="1021"/>
      <c r="AJ597" s="617">
        <v>1</v>
      </c>
      <c r="AK597" s="621" t="s">
        <v>109</v>
      </c>
      <c r="AL597">
        <f t="shared" si="4"/>
        <v>1</v>
      </c>
      <c r="AM597" s="1017">
        <v>1</v>
      </c>
      <c r="AN597" s="1018"/>
      <c r="AO597" s="1018"/>
      <c r="AP597" s="1016"/>
      <c r="AQ597" s="628"/>
      <c r="AS597" s="627"/>
      <c r="AT597" s="1016"/>
      <c r="AU597" s="1016"/>
      <c r="AV597" s="1016"/>
      <c r="AW597" s="628"/>
    </row>
    <row r="598" spans="26:49" ht="14.5" hidden="1" x14ac:dyDescent="0.35">
      <c r="Z598" s="642"/>
      <c r="AA598" s="642"/>
      <c r="AB598" s="642"/>
      <c r="AC598" s="607" t="s">
        <v>945</v>
      </c>
      <c r="AD598" s="1019" t="s">
        <v>945</v>
      </c>
      <c r="AE598" s="1020" t="s">
        <v>946</v>
      </c>
      <c r="AF598" s="1020" t="s">
        <v>947</v>
      </c>
      <c r="AG598" s="1019" t="s">
        <v>61</v>
      </c>
      <c r="AH598" s="1019">
        <v>2</v>
      </c>
      <c r="AI598" s="1021"/>
      <c r="AJ598" s="617">
        <v>0</v>
      </c>
      <c r="AK598" s="621" t="s">
        <v>62</v>
      </c>
      <c r="AL598">
        <f t="shared" si="4"/>
        <v>0</v>
      </c>
      <c r="AM598" s="1017">
        <v>1</v>
      </c>
      <c r="AN598" s="1018"/>
      <c r="AO598" s="1018"/>
      <c r="AP598" s="1016"/>
      <c r="AQ598" s="628"/>
      <c r="AS598" s="627"/>
      <c r="AT598" s="1016"/>
      <c r="AU598" s="1016"/>
      <c r="AV598" s="1016"/>
      <c r="AW598" s="628"/>
    </row>
    <row r="599" spans="26:49" ht="14.5" hidden="1" x14ac:dyDescent="0.35">
      <c r="Z599" s="642"/>
      <c r="AA599" s="642"/>
      <c r="AB599" s="642"/>
      <c r="AC599" s="607" t="s">
        <v>948</v>
      </c>
      <c r="AD599" s="1019" t="s">
        <v>948</v>
      </c>
      <c r="AE599" s="1020" t="s">
        <v>949</v>
      </c>
      <c r="AF599" s="1020" t="s">
        <v>950</v>
      </c>
      <c r="AG599" s="1019" t="s">
        <v>61</v>
      </c>
      <c r="AH599" s="1019">
        <v>2</v>
      </c>
      <c r="AI599" s="1021"/>
      <c r="AJ599" s="617">
        <v>1</v>
      </c>
      <c r="AK599" s="621" t="s">
        <v>83</v>
      </c>
      <c r="AL599">
        <f t="shared" si="4"/>
        <v>0</v>
      </c>
      <c r="AM599" s="1017">
        <v>1</v>
      </c>
      <c r="AN599" s="1018"/>
      <c r="AO599" s="1018"/>
      <c r="AP599" s="1016"/>
      <c r="AQ599" s="628"/>
      <c r="AS599" s="627"/>
      <c r="AT599" s="1016"/>
      <c r="AU599" s="1016"/>
      <c r="AV599" s="1016"/>
      <c r="AW599" s="628"/>
    </row>
    <row r="600" spans="26:49" ht="14.5" hidden="1" x14ac:dyDescent="0.35">
      <c r="Z600" s="642"/>
      <c r="AA600" s="642"/>
      <c r="AB600" s="642"/>
      <c r="AC600" s="607" t="s">
        <v>951</v>
      </c>
      <c r="AD600" s="1019" t="s">
        <v>951</v>
      </c>
      <c r="AE600" s="1020" t="s">
        <v>952</v>
      </c>
      <c r="AF600" s="1020" t="s">
        <v>953</v>
      </c>
      <c r="AG600" s="1019" t="s">
        <v>61</v>
      </c>
      <c r="AH600" s="1019">
        <v>2</v>
      </c>
      <c r="AI600" s="1029"/>
      <c r="AJ600" s="617">
        <v>1</v>
      </c>
      <c r="AK600" s="621" t="s">
        <v>83</v>
      </c>
      <c r="AL600">
        <f t="shared" si="4"/>
        <v>0</v>
      </c>
      <c r="AM600" s="1017">
        <v>1</v>
      </c>
      <c r="AN600" s="1018">
        <v>1</v>
      </c>
      <c r="AO600" s="1018"/>
      <c r="AP600" s="1016"/>
      <c r="AQ600" s="628"/>
      <c r="AS600" s="627"/>
      <c r="AT600" s="1016"/>
      <c r="AU600" s="1016"/>
      <c r="AV600" s="1016"/>
      <c r="AW600" s="628"/>
    </row>
    <row r="601" spans="26:49" ht="14.5" hidden="1" x14ac:dyDescent="0.35">
      <c r="Z601" s="642"/>
      <c r="AA601" s="642"/>
      <c r="AB601" s="642"/>
      <c r="AC601" s="607" t="s">
        <v>954</v>
      </c>
      <c r="AD601" s="1019" t="s">
        <v>954</v>
      </c>
      <c r="AE601" s="1020" t="s">
        <v>955</v>
      </c>
      <c r="AF601" s="1020" t="s">
        <v>956</v>
      </c>
      <c r="AG601" s="1019" t="s">
        <v>97</v>
      </c>
      <c r="AH601" s="1019">
        <v>1</v>
      </c>
      <c r="AI601" s="1021"/>
      <c r="AJ601" s="617">
        <v>0</v>
      </c>
      <c r="AK601" s="621" t="s">
        <v>102</v>
      </c>
      <c r="AL601">
        <f t="shared" si="4"/>
        <v>1</v>
      </c>
      <c r="AM601" s="1017">
        <v>1</v>
      </c>
      <c r="AN601" s="1018">
        <v>1</v>
      </c>
      <c r="AO601" s="1018"/>
      <c r="AP601" s="1016"/>
      <c r="AQ601" s="628"/>
      <c r="AS601" s="627"/>
      <c r="AT601" s="1016"/>
      <c r="AU601" s="1016"/>
      <c r="AV601" s="1016"/>
      <c r="AW601" s="628"/>
    </row>
    <row r="602" spans="26:49" ht="14.5" hidden="1" x14ac:dyDescent="0.35">
      <c r="Z602" s="642"/>
      <c r="AA602" s="642"/>
      <c r="AB602" s="642"/>
      <c r="AC602" s="607" t="s">
        <v>957</v>
      </c>
      <c r="AD602" s="1019" t="s">
        <v>957</v>
      </c>
      <c r="AE602" s="1020" t="s">
        <v>958</v>
      </c>
      <c r="AF602" s="1020" t="s">
        <v>959</v>
      </c>
      <c r="AG602" s="1019" t="s">
        <v>61</v>
      </c>
      <c r="AH602" s="1019">
        <v>2</v>
      </c>
      <c r="AI602" s="1021"/>
      <c r="AJ602" s="617">
        <v>0</v>
      </c>
      <c r="AK602" s="621" t="s">
        <v>62</v>
      </c>
      <c r="AL602">
        <f t="shared" si="4"/>
        <v>0</v>
      </c>
      <c r="AM602" s="1017">
        <v>1</v>
      </c>
      <c r="AN602" s="1018"/>
      <c r="AO602" s="1018"/>
      <c r="AP602" s="1016"/>
      <c r="AQ602" s="628"/>
      <c r="AS602" s="627"/>
      <c r="AT602" s="1016"/>
      <c r="AU602" s="1016"/>
      <c r="AV602" s="1016"/>
      <c r="AW602" s="628"/>
    </row>
    <row r="603" spans="26:49" ht="14.5" hidden="1" x14ac:dyDescent="0.35">
      <c r="Z603" s="642"/>
      <c r="AA603" s="642"/>
      <c r="AB603" s="642"/>
      <c r="AC603" s="607" t="s">
        <v>960</v>
      </c>
      <c r="AD603" s="1019" t="s">
        <v>960</v>
      </c>
      <c r="AE603" s="1020" t="s">
        <v>961</v>
      </c>
      <c r="AF603" s="1020" t="s">
        <v>962</v>
      </c>
      <c r="AG603" s="1019" t="s">
        <v>61</v>
      </c>
      <c r="AH603" s="1019">
        <v>2</v>
      </c>
      <c r="AI603" s="1021"/>
      <c r="AJ603" s="617">
        <v>1</v>
      </c>
      <c r="AK603" s="621" t="s">
        <v>83</v>
      </c>
      <c r="AL603">
        <f t="shared" si="4"/>
        <v>0</v>
      </c>
      <c r="AM603" s="1017">
        <v>1</v>
      </c>
      <c r="AN603" s="1018">
        <v>1</v>
      </c>
      <c r="AO603" s="1018"/>
      <c r="AP603" s="1016"/>
      <c r="AQ603" s="628"/>
      <c r="AS603" s="627"/>
      <c r="AT603" s="1016"/>
      <c r="AU603" s="1016"/>
      <c r="AV603" s="1016"/>
      <c r="AW603" s="628"/>
    </row>
    <row r="604" spans="26:49" ht="14.5" hidden="1" x14ac:dyDescent="0.35">
      <c r="Z604" s="642"/>
      <c r="AA604" s="642"/>
      <c r="AB604" s="642"/>
      <c r="AC604" s="608" t="s">
        <v>963</v>
      </c>
      <c r="AD604" s="1022" t="s">
        <v>963</v>
      </c>
      <c r="AE604" s="1023" t="s">
        <v>964</v>
      </c>
      <c r="AF604" s="1023" t="s">
        <v>965</v>
      </c>
      <c r="AG604" s="1022" t="s">
        <v>61</v>
      </c>
      <c r="AH604" s="1019">
        <v>2</v>
      </c>
      <c r="AI604" s="1021"/>
      <c r="AJ604" s="617">
        <v>0</v>
      </c>
      <c r="AK604" s="621" t="s">
        <v>62</v>
      </c>
      <c r="AL604">
        <f t="shared" si="4"/>
        <v>0</v>
      </c>
      <c r="AM604" s="1017">
        <v>1</v>
      </c>
      <c r="AN604" s="1018">
        <v>1</v>
      </c>
      <c r="AO604" s="1018"/>
      <c r="AP604" s="1016"/>
      <c r="AQ604" s="628"/>
      <c r="AS604" s="627"/>
      <c r="AT604" s="1016"/>
      <c r="AU604" s="1016"/>
      <c r="AV604" s="1016"/>
      <c r="AW604" s="628"/>
    </row>
    <row r="605" spans="26:49" ht="14.5" hidden="1" x14ac:dyDescent="0.35">
      <c r="Z605" s="642"/>
      <c r="AA605" s="642"/>
      <c r="AB605" s="642"/>
      <c r="AC605" s="608" t="s">
        <v>966</v>
      </c>
      <c r="AD605" s="1022" t="s">
        <v>966</v>
      </c>
      <c r="AE605" s="1023" t="s">
        <v>967</v>
      </c>
      <c r="AF605" s="1023" t="s">
        <v>968</v>
      </c>
      <c r="AG605" s="1022" t="s">
        <v>61</v>
      </c>
      <c r="AH605" s="1019">
        <v>2</v>
      </c>
      <c r="AI605" s="1021"/>
      <c r="AJ605" s="617">
        <v>1</v>
      </c>
      <c r="AK605" s="621" t="s">
        <v>83</v>
      </c>
      <c r="AL605">
        <f t="shared" si="4"/>
        <v>0</v>
      </c>
      <c r="AM605" s="1017">
        <v>1</v>
      </c>
      <c r="AN605" s="1018"/>
      <c r="AO605" s="1018"/>
      <c r="AP605" s="1016"/>
      <c r="AQ605" s="628"/>
      <c r="AS605" s="627"/>
      <c r="AT605" s="1016"/>
      <c r="AU605" s="1016"/>
      <c r="AV605" s="1016"/>
      <c r="AW605" s="628"/>
    </row>
    <row r="606" spans="26:49" ht="14.5" hidden="1" x14ac:dyDescent="0.35">
      <c r="Z606" s="642"/>
      <c r="AA606" s="642"/>
      <c r="AB606" s="642"/>
      <c r="AC606" s="607" t="s">
        <v>969</v>
      </c>
      <c r="AD606" s="1019" t="s">
        <v>969</v>
      </c>
      <c r="AE606" s="1020" t="s">
        <v>970</v>
      </c>
      <c r="AF606" s="1020" t="s">
        <v>971</v>
      </c>
      <c r="AG606" s="1019" t="s">
        <v>125</v>
      </c>
      <c r="AH606" s="1019">
        <v>1</v>
      </c>
      <c r="AI606" s="1021"/>
      <c r="AJ606" s="617">
        <v>1</v>
      </c>
      <c r="AK606" s="621" t="s">
        <v>109</v>
      </c>
      <c r="AL606">
        <f t="shared" si="4"/>
        <v>1</v>
      </c>
      <c r="AM606" s="1017">
        <v>1</v>
      </c>
      <c r="AN606" s="1018">
        <v>1</v>
      </c>
      <c r="AO606" s="1018"/>
      <c r="AP606" s="1016"/>
      <c r="AQ606" s="628"/>
      <c r="AS606" s="627"/>
      <c r="AT606" s="1016"/>
      <c r="AU606" s="1016"/>
      <c r="AV606" s="1016"/>
      <c r="AW606" s="628"/>
    </row>
    <row r="607" spans="26:49" ht="14.5" hidden="1" x14ac:dyDescent="0.35">
      <c r="Z607" s="642"/>
      <c r="AA607" s="642"/>
      <c r="AB607" s="642"/>
      <c r="AC607" s="607" t="s">
        <v>972</v>
      </c>
      <c r="AD607" s="1019" t="s">
        <v>972</v>
      </c>
      <c r="AE607" s="1020" t="s">
        <v>973</v>
      </c>
      <c r="AF607" s="1020" t="s">
        <v>974</v>
      </c>
      <c r="AG607" s="1019" t="s">
        <v>61</v>
      </c>
      <c r="AH607" s="1019">
        <v>2</v>
      </c>
      <c r="AI607" s="1021"/>
      <c r="AJ607" s="617">
        <v>0</v>
      </c>
      <c r="AK607" s="621" t="s">
        <v>62</v>
      </c>
      <c r="AL607">
        <f t="shared" si="4"/>
        <v>0</v>
      </c>
      <c r="AM607" s="1017">
        <v>1</v>
      </c>
      <c r="AN607" s="1018">
        <v>1</v>
      </c>
      <c r="AO607" s="1018"/>
      <c r="AP607" s="1016"/>
      <c r="AQ607" s="628"/>
      <c r="AS607" s="627"/>
      <c r="AT607" s="1016"/>
      <c r="AU607" s="1016"/>
      <c r="AV607" s="1016"/>
      <c r="AW607" s="628"/>
    </row>
    <row r="608" spans="26:49" ht="14.5" hidden="1" x14ac:dyDescent="0.35">
      <c r="Z608" s="642"/>
      <c r="AA608" s="642"/>
      <c r="AB608" s="642"/>
      <c r="AC608" s="607" t="s">
        <v>975</v>
      </c>
      <c r="AD608" s="1019" t="s">
        <v>975</v>
      </c>
      <c r="AE608" s="1020" t="s">
        <v>976</v>
      </c>
      <c r="AF608" s="1020" t="s">
        <v>977</v>
      </c>
      <c r="AG608" s="1019" t="s">
        <v>97</v>
      </c>
      <c r="AH608" s="1019">
        <v>1</v>
      </c>
      <c r="AI608" s="1021"/>
      <c r="AJ608" s="617">
        <v>1</v>
      </c>
      <c r="AK608" s="621" t="s">
        <v>109</v>
      </c>
      <c r="AL608">
        <f t="shared" si="4"/>
        <v>1</v>
      </c>
      <c r="AM608" s="1017">
        <v>1</v>
      </c>
      <c r="AN608" s="1018"/>
      <c r="AO608" s="1018"/>
      <c r="AP608" s="1016"/>
      <c r="AQ608" s="628"/>
      <c r="AS608" s="627"/>
      <c r="AT608" s="1016"/>
      <c r="AU608" s="1016"/>
      <c r="AV608" s="1016"/>
      <c r="AW608" s="628"/>
    </row>
    <row r="609" spans="26:49" ht="14.5" hidden="1" x14ac:dyDescent="0.35">
      <c r="Z609" s="642"/>
      <c r="AA609" s="642"/>
      <c r="AB609" s="642"/>
      <c r="AC609" s="608" t="s">
        <v>978</v>
      </c>
      <c r="AD609" s="1022" t="s">
        <v>978</v>
      </c>
      <c r="AE609" s="1023" t="s">
        <v>979</v>
      </c>
      <c r="AF609" s="1023" t="s">
        <v>980</v>
      </c>
      <c r="AG609" s="1019" t="s">
        <v>97</v>
      </c>
      <c r="AH609" s="1019">
        <v>1</v>
      </c>
      <c r="AI609" s="1021"/>
      <c r="AJ609" s="617">
        <v>0</v>
      </c>
      <c r="AK609" s="621" t="s">
        <v>102</v>
      </c>
      <c r="AL609">
        <f t="shared" si="4"/>
        <v>1</v>
      </c>
      <c r="AM609" s="1017">
        <v>1</v>
      </c>
      <c r="AN609" s="1018">
        <v>1</v>
      </c>
      <c r="AO609" s="1018"/>
      <c r="AP609" s="1016"/>
      <c r="AQ609" s="628"/>
      <c r="AS609" s="627"/>
      <c r="AT609" s="1016"/>
      <c r="AU609" s="1016"/>
      <c r="AV609" s="1016"/>
      <c r="AW609" s="628"/>
    </row>
    <row r="610" spans="26:49" ht="14.5" hidden="1" x14ac:dyDescent="0.35">
      <c r="Z610" s="642"/>
      <c r="AA610" s="642"/>
      <c r="AB610" s="642"/>
      <c r="AC610" s="608" t="s">
        <v>981</v>
      </c>
      <c r="AD610" s="1022" t="s">
        <v>981</v>
      </c>
      <c r="AE610" s="1023" t="s">
        <v>982</v>
      </c>
      <c r="AF610" s="1023" t="s">
        <v>983</v>
      </c>
      <c r="AG610" s="1022" t="s">
        <v>61</v>
      </c>
      <c r="AH610" s="1019">
        <v>2</v>
      </c>
      <c r="AI610" s="1021"/>
      <c r="AJ610" s="617">
        <v>0</v>
      </c>
      <c r="AK610" s="621" t="s">
        <v>62</v>
      </c>
      <c r="AL610">
        <f t="shared" si="4"/>
        <v>0</v>
      </c>
      <c r="AM610" s="1017">
        <v>1</v>
      </c>
      <c r="AN610" s="1018"/>
      <c r="AO610" s="1018"/>
      <c r="AP610" s="1016"/>
      <c r="AQ610" s="628"/>
      <c r="AS610" s="627"/>
      <c r="AT610" s="1016"/>
      <c r="AU610" s="1016"/>
      <c r="AV610" s="1016"/>
      <c r="AW610" s="628"/>
    </row>
    <row r="611" spans="26:49" ht="14.5" hidden="1" x14ac:dyDescent="0.35">
      <c r="Z611" s="642"/>
      <c r="AA611" s="642"/>
      <c r="AB611" s="642"/>
      <c r="AC611" s="607" t="s">
        <v>984</v>
      </c>
      <c r="AD611" s="1019" t="s">
        <v>984</v>
      </c>
      <c r="AE611" s="1020" t="s">
        <v>985</v>
      </c>
      <c r="AF611" s="1020" t="s">
        <v>986</v>
      </c>
      <c r="AG611" s="1019" t="s">
        <v>61</v>
      </c>
      <c r="AH611" s="1019">
        <v>2</v>
      </c>
      <c r="AI611" s="1027"/>
      <c r="AJ611" s="617">
        <v>0</v>
      </c>
      <c r="AK611" s="621" t="s">
        <v>62</v>
      </c>
      <c r="AL611">
        <f t="shared" si="4"/>
        <v>0</v>
      </c>
      <c r="AM611" s="1017">
        <v>1</v>
      </c>
      <c r="AN611" s="1018">
        <v>1</v>
      </c>
      <c r="AO611" s="1018"/>
      <c r="AP611" s="1016"/>
      <c r="AQ611" s="628"/>
      <c r="AS611" s="627"/>
      <c r="AT611" s="1016"/>
      <c r="AU611" s="1016"/>
      <c r="AV611" s="1016"/>
      <c r="AW611" s="628"/>
    </row>
    <row r="612" spans="26:49" ht="14.5" hidden="1" x14ac:dyDescent="0.35">
      <c r="Z612" s="642"/>
      <c r="AA612" s="642"/>
      <c r="AB612" s="642"/>
      <c r="AC612" s="607" t="s">
        <v>987</v>
      </c>
      <c r="AD612" s="1019" t="s">
        <v>987</v>
      </c>
      <c r="AE612" s="1020" t="s">
        <v>988</v>
      </c>
      <c r="AF612" s="1020" t="s">
        <v>989</v>
      </c>
      <c r="AG612" s="1019" t="s">
        <v>97</v>
      </c>
      <c r="AH612" s="1019">
        <v>1</v>
      </c>
      <c r="AI612" s="1021"/>
      <c r="AJ612" s="617">
        <v>1</v>
      </c>
      <c r="AK612" s="621" t="s">
        <v>109</v>
      </c>
      <c r="AL612">
        <f t="shared" si="4"/>
        <v>1</v>
      </c>
      <c r="AM612" s="1017">
        <v>1</v>
      </c>
      <c r="AN612" s="1018"/>
      <c r="AO612" s="1018"/>
      <c r="AP612" s="1016"/>
      <c r="AQ612" s="628"/>
      <c r="AS612" s="627"/>
      <c r="AT612" s="1016"/>
      <c r="AU612" s="1016"/>
      <c r="AV612" s="1016"/>
      <c r="AW612" s="628"/>
    </row>
    <row r="613" spans="26:49" ht="14.5" hidden="1" x14ac:dyDescent="0.35">
      <c r="Z613" s="642"/>
      <c r="AA613" s="642"/>
      <c r="AB613" s="642"/>
      <c r="AC613" s="607" t="s">
        <v>990</v>
      </c>
      <c r="AD613" s="1019" t="s">
        <v>990</v>
      </c>
      <c r="AE613" s="1020" t="s">
        <v>991</v>
      </c>
      <c r="AF613" s="1020" t="s">
        <v>992</v>
      </c>
      <c r="AG613" s="1019" t="s">
        <v>61</v>
      </c>
      <c r="AH613" s="1019">
        <v>2</v>
      </c>
      <c r="AI613" s="1021"/>
      <c r="AJ613" s="617">
        <v>0</v>
      </c>
      <c r="AK613" s="621" t="s">
        <v>62</v>
      </c>
      <c r="AL613">
        <f t="shared" si="4"/>
        <v>0</v>
      </c>
      <c r="AM613" s="1017">
        <v>1</v>
      </c>
      <c r="AN613" s="1018">
        <v>1</v>
      </c>
      <c r="AO613" s="1018"/>
      <c r="AP613" s="1016"/>
      <c r="AQ613" s="628"/>
      <c r="AS613" s="627"/>
      <c r="AT613" s="1016"/>
      <c r="AU613" s="1016"/>
      <c r="AV613" s="1016"/>
      <c r="AW613" s="628"/>
    </row>
    <row r="614" spans="26:49" ht="14.5" hidden="1" x14ac:dyDescent="0.35">
      <c r="Z614" s="642"/>
      <c r="AA614" s="642"/>
      <c r="AB614" s="642"/>
      <c r="AC614" s="607" t="s">
        <v>993</v>
      </c>
      <c r="AD614" s="1019" t="s">
        <v>993</v>
      </c>
      <c r="AE614" s="1020" t="s">
        <v>994</v>
      </c>
      <c r="AF614" s="1020" t="s">
        <v>995</v>
      </c>
      <c r="AG614" s="1019" t="s">
        <v>61</v>
      </c>
      <c r="AH614" s="1019">
        <v>2</v>
      </c>
      <c r="AI614" s="1032"/>
      <c r="AJ614" s="617">
        <v>0</v>
      </c>
      <c r="AK614" s="621" t="s">
        <v>62</v>
      </c>
      <c r="AL614">
        <f t="shared" si="4"/>
        <v>0</v>
      </c>
      <c r="AM614" s="1017">
        <v>1</v>
      </c>
      <c r="AN614" s="1018">
        <v>1</v>
      </c>
      <c r="AO614" s="1018"/>
      <c r="AP614" s="1016"/>
      <c r="AQ614" s="628"/>
      <c r="AS614" s="627"/>
      <c r="AT614" s="1016"/>
      <c r="AU614" s="1016"/>
      <c r="AV614" s="1016"/>
      <c r="AW614" s="628"/>
    </row>
    <row r="615" spans="26:49" ht="14.5" hidden="1" x14ac:dyDescent="0.35">
      <c r="Z615" s="642"/>
      <c r="AA615" s="642"/>
      <c r="AB615" s="642"/>
      <c r="AC615" s="608" t="s">
        <v>996</v>
      </c>
      <c r="AD615" s="1022" t="s">
        <v>996</v>
      </c>
      <c r="AE615" s="1023" t="s">
        <v>997</v>
      </c>
      <c r="AF615" s="1023" t="s">
        <v>998</v>
      </c>
      <c r="AG615" s="1022" t="s">
        <v>97</v>
      </c>
      <c r="AH615" s="1019">
        <v>1</v>
      </c>
      <c r="AI615" s="1021"/>
      <c r="AJ615" s="617">
        <v>0</v>
      </c>
      <c r="AK615" s="621" t="s">
        <v>102</v>
      </c>
      <c r="AL615">
        <f t="shared" si="4"/>
        <v>1</v>
      </c>
      <c r="AM615" s="1017">
        <v>1</v>
      </c>
      <c r="AN615" s="1018">
        <v>1</v>
      </c>
      <c r="AO615" s="1018"/>
      <c r="AP615" s="1016"/>
      <c r="AQ615" s="628"/>
      <c r="AS615" s="627"/>
      <c r="AT615" s="1016"/>
      <c r="AU615" s="1016"/>
      <c r="AV615" s="1016"/>
      <c r="AW615" s="628"/>
    </row>
    <row r="616" spans="26:49" ht="14.5" hidden="1" x14ac:dyDescent="0.35">
      <c r="Z616" s="642"/>
      <c r="AA616" s="642"/>
      <c r="AB616" s="642"/>
      <c r="AC616" s="607" t="s">
        <v>999</v>
      </c>
      <c r="AD616" s="1019" t="s">
        <v>999</v>
      </c>
      <c r="AE616" s="1020" t="s">
        <v>1000</v>
      </c>
      <c r="AF616" s="1020" t="s">
        <v>1001</v>
      </c>
      <c r="AG616" s="1019" t="s">
        <v>125</v>
      </c>
      <c r="AH616" s="1019">
        <v>1</v>
      </c>
      <c r="AI616" s="1021"/>
      <c r="AJ616" s="617">
        <v>0</v>
      </c>
      <c r="AK616" s="621" t="s">
        <v>102</v>
      </c>
      <c r="AL616">
        <f t="shared" si="4"/>
        <v>1</v>
      </c>
      <c r="AM616" s="1017">
        <v>1</v>
      </c>
      <c r="AN616" s="1018">
        <v>1</v>
      </c>
      <c r="AO616" s="1018"/>
      <c r="AP616" s="1016"/>
      <c r="AQ616" s="628"/>
      <c r="AS616" s="627"/>
      <c r="AT616" s="1016"/>
      <c r="AU616" s="1016"/>
      <c r="AV616" s="1016"/>
      <c r="AW616" s="628"/>
    </row>
    <row r="617" spans="26:49" ht="14.5" hidden="1" x14ac:dyDescent="0.35">
      <c r="Z617" s="642"/>
      <c r="AA617" s="642"/>
      <c r="AB617" s="642"/>
      <c r="AC617" s="607" t="s">
        <v>6052</v>
      </c>
      <c r="AD617" s="1019" t="s">
        <v>6052</v>
      </c>
      <c r="AE617" s="1020" t="s">
        <v>1003</v>
      </c>
      <c r="AF617" s="1020" t="s">
        <v>1004</v>
      </c>
      <c r="AG617" s="1019" t="s">
        <v>63</v>
      </c>
      <c r="AH617" s="1019">
        <v>4</v>
      </c>
      <c r="AI617" s="1024"/>
      <c r="AJ617" s="617">
        <v>1</v>
      </c>
      <c r="AK617" s="621" t="s">
        <v>88</v>
      </c>
      <c r="AL617">
        <f t="shared" si="4"/>
        <v>0</v>
      </c>
      <c r="AM617" s="1017" t="s">
        <v>84</v>
      </c>
      <c r="AN617" s="1018"/>
      <c r="AO617" s="1018"/>
      <c r="AP617" s="1016"/>
      <c r="AQ617" s="628"/>
      <c r="AS617" s="627"/>
      <c r="AT617" s="1016"/>
      <c r="AU617" s="1016"/>
      <c r="AV617" s="1016"/>
      <c r="AW617" s="628"/>
    </row>
    <row r="618" spans="26:49" ht="14.5" hidden="1" x14ac:dyDescent="0.35">
      <c r="Z618" s="642"/>
      <c r="AA618" s="642"/>
      <c r="AB618" s="642"/>
      <c r="AC618" s="607" t="s">
        <v>1005</v>
      </c>
      <c r="AD618" s="1019" t="s">
        <v>1005</v>
      </c>
      <c r="AE618" s="1020" t="s">
        <v>1006</v>
      </c>
      <c r="AF618" s="1020" t="s">
        <v>1007</v>
      </c>
      <c r="AG618" s="1019" t="s">
        <v>125</v>
      </c>
      <c r="AH618" s="1019">
        <v>1</v>
      </c>
      <c r="AI618" s="1021"/>
      <c r="AJ618" s="617">
        <v>0</v>
      </c>
      <c r="AK618" s="621" t="s">
        <v>102</v>
      </c>
      <c r="AL618">
        <f t="shared" si="4"/>
        <v>1</v>
      </c>
      <c r="AM618" s="1017">
        <v>1</v>
      </c>
      <c r="AN618" s="1018"/>
      <c r="AO618" s="1018"/>
      <c r="AP618" s="1016"/>
      <c r="AQ618" s="628"/>
      <c r="AS618" s="627"/>
      <c r="AT618" s="1016"/>
      <c r="AU618" s="1016"/>
      <c r="AV618" s="1016"/>
      <c r="AW618" s="628"/>
    </row>
    <row r="619" spans="26:49" ht="14.5" hidden="1" x14ac:dyDescent="0.35">
      <c r="Z619" s="642"/>
      <c r="AA619" s="642"/>
      <c r="AB619" s="642"/>
      <c r="AC619" s="607" t="s">
        <v>1008</v>
      </c>
      <c r="AD619" s="1019" t="s">
        <v>1008</v>
      </c>
      <c r="AE619" s="1020" t="s">
        <v>1009</v>
      </c>
      <c r="AF619" s="1020" t="s">
        <v>1010</v>
      </c>
      <c r="AG619" s="1019" t="s">
        <v>97</v>
      </c>
      <c r="AH619" s="1019">
        <v>1</v>
      </c>
      <c r="AI619" s="1021"/>
      <c r="AJ619" s="617">
        <v>0</v>
      </c>
      <c r="AK619" s="621" t="s">
        <v>102</v>
      </c>
      <c r="AL619">
        <f t="shared" si="4"/>
        <v>1</v>
      </c>
      <c r="AM619" s="1017">
        <v>1</v>
      </c>
      <c r="AN619" s="1018">
        <v>1</v>
      </c>
      <c r="AO619" s="1018"/>
      <c r="AP619" s="1016"/>
      <c r="AQ619" s="628"/>
      <c r="AS619" s="627"/>
      <c r="AT619" s="1016"/>
      <c r="AU619" s="1016"/>
      <c r="AV619" s="1016"/>
      <c r="AW619" s="628"/>
    </row>
    <row r="620" spans="26:49" ht="14.5" hidden="1" x14ac:dyDescent="0.35">
      <c r="Z620" s="642"/>
      <c r="AA620" s="642"/>
      <c r="AB620" s="642"/>
      <c r="AC620" s="607" t="s">
        <v>1011</v>
      </c>
      <c r="AD620" s="1019" t="s">
        <v>1011</v>
      </c>
      <c r="AE620" s="1020" t="s">
        <v>1012</v>
      </c>
      <c r="AF620" s="1020" t="s">
        <v>1013</v>
      </c>
      <c r="AG620" s="1019" t="s">
        <v>57</v>
      </c>
      <c r="AH620" s="1019">
        <v>1</v>
      </c>
      <c r="AI620" s="1021"/>
      <c r="AJ620" s="617">
        <v>0</v>
      </c>
      <c r="AK620" s="621" t="s">
        <v>102</v>
      </c>
      <c r="AL620">
        <f t="shared" si="4"/>
        <v>1</v>
      </c>
      <c r="AM620" s="1017" t="s">
        <v>84</v>
      </c>
      <c r="AN620" s="1018"/>
      <c r="AO620" s="1018"/>
      <c r="AP620" s="1016"/>
      <c r="AQ620" s="628"/>
      <c r="AS620" s="627"/>
      <c r="AT620" s="1016"/>
      <c r="AU620" s="1016"/>
      <c r="AV620" s="1016"/>
      <c r="AW620" s="628"/>
    </row>
    <row r="621" spans="26:49" ht="14.5" hidden="1" x14ac:dyDescent="0.35">
      <c r="Z621" s="642"/>
      <c r="AA621" s="642"/>
      <c r="AB621" s="642"/>
      <c r="AC621" s="608" t="s">
        <v>1014</v>
      </c>
      <c r="AD621" s="1022" t="s">
        <v>1014</v>
      </c>
      <c r="AE621" s="1023" t="s">
        <v>1015</v>
      </c>
      <c r="AF621" s="1023" t="s">
        <v>1016</v>
      </c>
      <c r="AG621" s="1022" t="s">
        <v>61</v>
      </c>
      <c r="AH621" s="1019">
        <v>2</v>
      </c>
      <c r="AI621" s="1021"/>
      <c r="AJ621" s="617"/>
      <c r="AK621" s="621" t="s">
        <v>62</v>
      </c>
      <c r="AL621">
        <f t="shared" si="4"/>
        <v>0</v>
      </c>
      <c r="AM621" s="1017">
        <v>1</v>
      </c>
      <c r="AN621" s="1018">
        <v>1</v>
      </c>
      <c r="AO621" s="1018"/>
      <c r="AP621" s="1016"/>
      <c r="AQ621" s="628"/>
      <c r="AS621" s="627"/>
      <c r="AT621" s="1016"/>
      <c r="AU621" s="1016"/>
      <c r="AV621" s="1016"/>
      <c r="AW621" s="628"/>
    </row>
    <row r="622" spans="26:49" ht="14.5" hidden="1" x14ac:dyDescent="0.35">
      <c r="Z622" s="642"/>
      <c r="AA622" s="642"/>
      <c r="AB622" s="642"/>
      <c r="AC622" s="609" t="s">
        <v>1017</v>
      </c>
      <c r="AD622" s="1025" t="s">
        <v>1017</v>
      </c>
      <c r="AE622" s="1025" t="s">
        <v>1018</v>
      </c>
      <c r="AF622" s="1025" t="s">
        <v>1019</v>
      </c>
      <c r="AG622" s="1019" t="s">
        <v>61</v>
      </c>
      <c r="AH622" s="1019">
        <v>2</v>
      </c>
      <c r="AI622" s="1030"/>
      <c r="AJ622" s="617">
        <v>1</v>
      </c>
      <c r="AK622" s="621" t="s">
        <v>83</v>
      </c>
      <c r="AL622">
        <f t="shared" si="4"/>
        <v>0</v>
      </c>
      <c r="AM622" s="1017">
        <v>1</v>
      </c>
      <c r="AN622" s="1018"/>
      <c r="AO622" s="1018"/>
      <c r="AP622" s="1016"/>
      <c r="AQ622" s="628"/>
      <c r="AS622" s="627"/>
      <c r="AT622" s="1016"/>
      <c r="AU622" s="1016"/>
      <c r="AV622" s="1016"/>
      <c r="AW622" s="628"/>
    </row>
    <row r="623" spans="26:49" ht="14.5" hidden="1" x14ac:dyDescent="0.35">
      <c r="Z623" s="642"/>
      <c r="AA623" s="642"/>
      <c r="AB623" s="642"/>
      <c r="AC623" s="610" t="s">
        <v>1020</v>
      </c>
      <c r="AD623" s="1028" t="s">
        <v>1020</v>
      </c>
      <c r="AE623" s="1023" t="s">
        <v>1021</v>
      </c>
      <c r="AF623" s="1023" t="s">
        <v>1022</v>
      </c>
      <c r="AG623" s="1022" t="s">
        <v>61</v>
      </c>
      <c r="AH623" s="1022">
        <v>2</v>
      </c>
      <c r="AI623" s="1029"/>
      <c r="AJ623" s="617">
        <v>0</v>
      </c>
      <c r="AK623" s="621" t="s">
        <v>62</v>
      </c>
      <c r="AL623">
        <f t="shared" si="4"/>
        <v>0</v>
      </c>
      <c r="AM623" s="1017">
        <v>1</v>
      </c>
      <c r="AN623" s="1018"/>
      <c r="AO623" s="1018"/>
      <c r="AP623" s="1016"/>
      <c r="AQ623" s="628"/>
      <c r="AS623" s="627"/>
      <c r="AT623" s="1016"/>
      <c r="AU623" s="1016"/>
      <c r="AV623" s="1016"/>
      <c r="AW623" s="628"/>
    </row>
    <row r="624" spans="26:49" ht="14.5" hidden="1" x14ac:dyDescent="0.35">
      <c r="Z624" s="642"/>
      <c r="AA624" s="642"/>
      <c r="AB624" s="642"/>
      <c r="AC624" s="607" t="s">
        <v>1023</v>
      </c>
      <c r="AD624" s="1019" t="s">
        <v>1023</v>
      </c>
      <c r="AE624" s="1020" t="s">
        <v>1024</v>
      </c>
      <c r="AF624" s="1020" t="s">
        <v>1025</v>
      </c>
      <c r="AG624" s="1019" t="s">
        <v>110</v>
      </c>
      <c r="AH624" s="1019">
        <v>8</v>
      </c>
      <c r="AI624" s="1021"/>
      <c r="AJ624" s="617">
        <v>1</v>
      </c>
      <c r="AK624" s="621" t="s">
        <v>1026</v>
      </c>
      <c r="AL624">
        <f t="shared" si="4"/>
        <v>0</v>
      </c>
      <c r="AM624" s="1017" t="s">
        <v>84</v>
      </c>
      <c r="AN624" s="1018">
        <v>1</v>
      </c>
      <c r="AO624" s="1018"/>
      <c r="AP624" s="1016"/>
      <c r="AQ624" s="628"/>
      <c r="AS624" s="627"/>
      <c r="AT624" s="1016"/>
      <c r="AU624" s="1016"/>
      <c r="AV624" s="1016"/>
      <c r="AW624" s="628"/>
    </row>
    <row r="625" spans="26:49" ht="14.5" hidden="1" x14ac:dyDescent="0.35">
      <c r="Z625" s="642"/>
      <c r="AA625" s="642"/>
      <c r="AB625" s="642"/>
      <c r="AC625" s="611" t="s">
        <v>1027</v>
      </c>
      <c r="AD625" s="1031" t="s">
        <v>1027</v>
      </c>
      <c r="AE625" s="1020" t="s">
        <v>1028</v>
      </c>
      <c r="AF625" s="1020" t="s">
        <v>1029</v>
      </c>
      <c r="AG625" s="1019" t="s">
        <v>125</v>
      </c>
      <c r="AH625" s="1019">
        <v>1</v>
      </c>
      <c r="AI625" s="1021"/>
      <c r="AJ625" s="617">
        <v>0</v>
      </c>
      <c r="AK625" s="621" t="s">
        <v>102</v>
      </c>
      <c r="AL625">
        <f t="shared" si="4"/>
        <v>1</v>
      </c>
      <c r="AM625" s="1017">
        <v>1</v>
      </c>
      <c r="AN625" s="1018">
        <v>1</v>
      </c>
      <c r="AO625" s="1018"/>
      <c r="AP625" s="1016"/>
      <c r="AQ625" s="628"/>
      <c r="AS625" s="627"/>
      <c r="AT625" s="1016"/>
      <c r="AU625" s="1016"/>
      <c r="AV625" s="1016"/>
      <c r="AW625" s="628"/>
    </row>
    <row r="626" spans="26:49" ht="14.5" hidden="1" x14ac:dyDescent="0.35">
      <c r="Z626" s="642"/>
      <c r="AA626" s="642"/>
      <c r="AB626" s="642"/>
      <c r="AC626" s="607" t="s">
        <v>1030</v>
      </c>
      <c r="AD626" s="1019" t="s">
        <v>1030</v>
      </c>
      <c r="AE626" s="1020" t="s">
        <v>1031</v>
      </c>
      <c r="AF626" s="1020" t="s">
        <v>1032</v>
      </c>
      <c r="AG626" s="1019" t="s">
        <v>61</v>
      </c>
      <c r="AH626" s="1019">
        <v>2</v>
      </c>
      <c r="AI626" s="1021"/>
      <c r="AJ626" s="617">
        <v>1</v>
      </c>
      <c r="AK626" s="621" t="s">
        <v>83</v>
      </c>
      <c r="AL626">
        <f t="shared" si="4"/>
        <v>0</v>
      </c>
      <c r="AM626" s="1017">
        <v>1</v>
      </c>
      <c r="AN626" s="1018"/>
      <c r="AO626" s="1018"/>
      <c r="AP626" s="1016"/>
      <c r="AQ626" s="628"/>
      <c r="AS626" s="627"/>
      <c r="AT626" s="1016"/>
      <c r="AU626" s="1016"/>
      <c r="AV626" s="1016"/>
      <c r="AW626" s="628"/>
    </row>
    <row r="627" spans="26:49" ht="14.5" hidden="1" x14ac:dyDescent="0.35">
      <c r="Z627" s="642"/>
      <c r="AA627" s="642"/>
      <c r="AB627" s="642"/>
      <c r="AC627" s="607" t="s">
        <v>1033</v>
      </c>
      <c r="AD627" s="1019" t="s">
        <v>1033</v>
      </c>
      <c r="AE627" s="1020" t="s">
        <v>1034</v>
      </c>
      <c r="AF627" s="1020" t="s">
        <v>1035</v>
      </c>
      <c r="AG627" s="1019" t="s">
        <v>61</v>
      </c>
      <c r="AH627" s="1019">
        <v>2</v>
      </c>
      <c r="AI627" s="1021"/>
      <c r="AJ627" s="617">
        <v>1</v>
      </c>
      <c r="AK627" s="621" t="s">
        <v>83</v>
      </c>
      <c r="AL627">
        <f t="shared" si="4"/>
        <v>0</v>
      </c>
      <c r="AM627" s="1017">
        <v>1</v>
      </c>
      <c r="AN627" s="1018"/>
      <c r="AO627" s="1018"/>
      <c r="AP627" s="1016"/>
      <c r="AQ627" s="628"/>
      <c r="AS627" s="627"/>
      <c r="AT627" s="1016"/>
      <c r="AU627" s="1016"/>
      <c r="AV627" s="1016"/>
      <c r="AW627" s="628"/>
    </row>
    <row r="628" spans="26:49" ht="14.5" hidden="1" x14ac:dyDescent="0.35">
      <c r="Z628" s="642"/>
      <c r="AA628" s="642"/>
      <c r="AB628" s="642"/>
      <c r="AC628" s="607" t="s">
        <v>1036</v>
      </c>
      <c r="AD628" s="612" t="s">
        <v>1036</v>
      </c>
      <c r="AE628" s="1020" t="s">
        <v>1037</v>
      </c>
      <c r="AF628" s="1020" t="s">
        <v>1038</v>
      </c>
      <c r="AG628" s="1019" t="s">
        <v>61</v>
      </c>
      <c r="AH628" s="1019">
        <v>2</v>
      </c>
      <c r="AI628" s="1021"/>
      <c r="AJ628" s="617">
        <v>0</v>
      </c>
      <c r="AK628" s="621" t="s">
        <v>62</v>
      </c>
      <c r="AL628">
        <f t="shared" si="4"/>
        <v>0</v>
      </c>
      <c r="AM628" s="1017">
        <v>1</v>
      </c>
      <c r="AN628" s="1018"/>
      <c r="AO628" s="1018"/>
      <c r="AP628" s="1016"/>
      <c r="AQ628" s="628"/>
      <c r="AS628" s="627"/>
      <c r="AT628" s="1016"/>
      <c r="AU628" s="1016"/>
      <c r="AV628" s="1016"/>
      <c r="AW628" s="628"/>
    </row>
    <row r="629" spans="26:49" ht="14.5" hidden="1" x14ac:dyDescent="0.35">
      <c r="Z629" s="642"/>
      <c r="AA629" s="642"/>
      <c r="AB629" s="642"/>
      <c r="AC629" s="607" t="s">
        <v>1039</v>
      </c>
      <c r="AD629" s="1019" t="s">
        <v>1039</v>
      </c>
      <c r="AE629" s="1020" t="s">
        <v>1040</v>
      </c>
      <c r="AF629" s="1020" t="s">
        <v>1041</v>
      </c>
      <c r="AG629" s="1019" t="s">
        <v>61</v>
      </c>
      <c r="AH629" s="1019">
        <v>2</v>
      </c>
      <c r="AI629" s="1021"/>
      <c r="AJ629" s="617">
        <v>0</v>
      </c>
      <c r="AK629" s="621" t="s">
        <v>62</v>
      </c>
      <c r="AL629">
        <f t="shared" si="4"/>
        <v>0</v>
      </c>
      <c r="AM629" s="1017">
        <v>1</v>
      </c>
      <c r="AN629" s="1018">
        <v>1</v>
      </c>
      <c r="AO629" s="1018"/>
      <c r="AP629" s="1016"/>
      <c r="AQ629" s="628"/>
      <c r="AS629" s="627"/>
      <c r="AT629" s="1016"/>
      <c r="AU629" s="1016"/>
      <c r="AV629" s="1016"/>
      <c r="AW629" s="628"/>
    </row>
    <row r="630" spans="26:49" ht="14.5" hidden="1" x14ac:dyDescent="0.35">
      <c r="Z630" s="642"/>
      <c r="AA630" s="642"/>
      <c r="AB630" s="642"/>
      <c r="AC630" s="607" t="s">
        <v>1042</v>
      </c>
      <c r="AD630" s="1019" t="s">
        <v>1042</v>
      </c>
      <c r="AE630" s="1020" t="s">
        <v>1043</v>
      </c>
      <c r="AF630" s="1020" t="s">
        <v>1044</v>
      </c>
      <c r="AG630" s="1019" t="s">
        <v>61</v>
      </c>
      <c r="AH630" s="1019">
        <v>2</v>
      </c>
      <c r="AI630" s="1030"/>
      <c r="AJ630" s="617">
        <v>0</v>
      </c>
      <c r="AK630" s="621" t="s">
        <v>62</v>
      </c>
      <c r="AL630">
        <f t="shared" si="4"/>
        <v>0</v>
      </c>
      <c r="AM630" s="1017">
        <v>1</v>
      </c>
      <c r="AN630" s="1018">
        <v>1</v>
      </c>
      <c r="AO630" s="1018"/>
      <c r="AP630" s="1016"/>
      <c r="AQ630" s="628"/>
      <c r="AS630" s="627"/>
      <c r="AT630" s="1016"/>
      <c r="AU630" s="1016"/>
      <c r="AV630" s="1016"/>
      <c r="AW630" s="628"/>
    </row>
    <row r="631" spans="26:49" ht="14.5" hidden="1" x14ac:dyDescent="0.35">
      <c r="Z631" s="642"/>
      <c r="AA631" s="642"/>
      <c r="AB631" s="642"/>
      <c r="AC631" s="607" t="s">
        <v>1045</v>
      </c>
      <c r="AD631" s="1019" t="s">
        <v>1045</v>
      </c>
      <c r="AE631" s="1020" t="s">
        <v>1046</v>
      </c>
      <c r="AF631" s="1020" t="s">
        <v>1047</v>
      </c>
      <c r="AG631" s="1019" t="s">
        <v>61</v>
      </c>
      <c r="AH631" s="1019">
        <v>2</v>
      </c>
      <c r="AI631" s="1024"/>
      <c r="AJ631" s="617">
        <v>0</v>
      </c>
      <c r="AK631" s="621" t="s">
        <v>62</v>
      </c>
      <c r="AL631">
        <f t="shared" ref="AL631:AL694" si="5">IF(AG631="UA",1,IF(AG631="MD",1,IF(AG631="OLB",1,IF(AG631="ILB",1,IF(AG631="CC",1,IF(AG631="SCILLY",1,0))))))</f>
        <v>0</v>
      </c>
      <c r="AM631" s="1017">
        <v>1</v>
      </c>
      <c r="AN631" s="1018">
        <v>1</v>
      </c>
      <c r="AO631" s="1018"/>
      <c r="AP631" s="1016"/>
      <c r="AQ631" s="628"/>
      <c r="AS631" s="627"/>
      <c r="AT631" s="1016"/>
      <c r="AU631" s="1016"/>
      <c r="AV631" s="1016"/>
      <c r="AW631" s="628"/>
    </row>
    <row r="632" spans="26:49" ht="14.5" hidden="1" x14ac:dyDescent="0.35">
      <c r="Z632" s="642"/>
      <c r="AA632" s="642"/>
      <c r="AB632" s="642"/>
      <c r="AC632" s="607" t="s">
        <v>1048</v>
      </c>
      <c r="AD632" s="1019" t="s">
        <v>1048</v>
      </c>
      <c r="AE632" s="1020" t="s">
        <v>1049</v>
      </c>
      <c r="AF632" s="1020" t="s">
        <v>1050</v>
      </c>
      <c r="AG632" s="1019" t="s">
        <v>61</v>
      </c>
      <c r="AH632" s="1019">
        <v>2</v>
      </c>
      <c r="AI632" s="1021"/>
      <c r="AJ632" s="617">
        <v>0</v>
      </c>
      <c r="AK632" s="621" t="s">
        <v>62</v>
      </c>
      <c r="AL632">
        <f t="shared" si="5"/>
        <v>0</v>
      </c>
      <c r="AM632" s="1017">
        <v>1</v>
      </c>
      <c r="AN632" s="1018">
        <v>1</v>
      </c>
      <c r="AO632" s="1018"/>
      <c r="AP632" s="1016"/>
      <c r="AQ632" s="628"/>
      <c r="AS632" s="627"/>
      <c r="AT632" s="1016"/>
      <c r="AU632" s="1016"/>
      <c r="AV632" s="1016"/>
      <c r="AW632" s="628"/>
    </row>
    <row r="633" spans="26:49" ht="14.5" hidden="1" x14ac:dyDescent="0.35">
      <c r="Z633" s="642"/>
      <c r="AA633" s="642"/>
      <c r="AB633" s="642"/>
      <c r="AC633" s="607" t="s">
        <v>1051</v>
      </c>
      <c r="AD633" s="1019" t="s">
        <v>1051</v>
      </c>
      <c r="AE633" s="1020" t="s">
        <v>1052</v>
      </c>
      <c r="AF633" s="1020" t="s">
        <v>1053</v>
      </c>
      <c r="AG633" s="1019" t="s">
        <v>61</v>
      </c>
      <c r="AH633" s="1019">
        <v>2</v>
      </c>
      <c r="AI633" s="1021"/>
      <c r="AJ633" s="617">
        <v>0</v>
      </c>
      <c r="AK633" s="621" t="s">
        <v>62</v>
      </c>
      <c r="AL633">
        <f t="shared" si="5"/>
        <v>0</v>
      </c>
      <c r="AM633" s="1017">
        <v>1</v>
      </c>
      <c r="AN633" s="1018">
        <v>1</v>
      </c>
      <c r="AO633" s="1018"/>
      <c r="AP633" s="1016"/>
      <c r="AQ633" s="628"/>
      <c r="AS633" s="627"/>
      <c r="AT633" s="1016"/>
      <c r="AU633" s="1016"/>
      <c r="AV633" s="1016"/>
      <c r="AW633" s="628"/>
    </row>
    <row r="634" spans="26:49" ht="14.5" hidden="1" x14ac:dyDescent="0.35">
      <c r="Z634" s="642"/>
      <c r="AA634" s="642"/>
      <c r="AB634" s="642"/>
      <c r="AC634" s="607" t="s">
        <v>1054</v>
      </c>
      <c r="AD634" s="1019" t="s">
        <v>1054</v>
      </c>
      <c r="AE634" s="1020" t="s">
        <v>1055</v>
      </c>
      <c r="AF634" s="1020" t="s">
        <v>1056</v>
      </c>
      <c r="AG634" s="1019" t="s">
        <v>61</v>
      </c>
      <c r="AH634" s="1019">
        <v>2</v>
      </c>
      <c r="AI634" s="1021"/>
      <c r="AJ634" s="617">
        <v>0</v>
      </c>
      <c r="AK634" s="621" t="s">
        <v>62</v>
      </c>
      <c r="AL634">
        <f t="shared" si="5"/>
        <v>0</v>
      </c>
      <c r="AM634" s="1017">
        <v>1</v>
      </c>
      <c r="AN634" s="1018"/>
      <c r="AO634" s="1018"/>
      <c r="AP634" s="1016"/>
      <c r="AQ634" s="628"/>
      <c r="AS634" s="627"/>
      <c r="AT634" s="1016"/>
      <c r="AU634" s="1016"/>
      <c r="AV634" s="1016"/>
      <c r="AW634" s="628"/>
    </row>
    <row r="635" spans="26:49" ht="14.5" hidden="1" x14ac:dyDescent="0.35">
      <c r="Z635" s="642"/>
      <c r="AA635" s="642"/>
      <c r="AB635" s="642"/>
      <c r="AC635" s="607" t="s">
        <v>1057</v>
      </c>
      <c r="AD635" s="1019" t="s">
        <v>1057</v>
      </c>
      <c r="AE635" s="1020" t="s">
        <v>1058</v>
      </c>
      <c r="AF635" s="1020" t="s">
        <v>1059</v>
      </c>
      <c r="AG635" s="1019" t="s">
        <v>97</v>
      </c>
      <c r="AH635" s="1019">
        <v>1</v>
      </c>
      <c r="AI635" s="1021"/>
      <c r="AJ635" s="617">
        <v>0</v>
      </c>
      <c r="AK635" s="621" t="s">
        <v>102</v>
      </c>
      <c r="AL635">
        <f t="shared" si="5"/>
        <v>1</v>
      </c>
      <c r="AM635" s="1017">
        <v>1</v>
      </c>
      <c r="AN635" s="1018"/>
      <c r="AO635" s="1018"/>
      <c r="AP635" s="1016"/>
      <c r="AQ635" s="628"/>
      <c r="AS635" s="627"/>
      <c r="AT635" s="1016"/>
      <c r="AU635" s="1016"/>
      <c r="AV635" s="1016"/>
      <c r="AW635" s="628"/>
    </row>
    <row r="636" spans="26:49" ht="14.5" hidden="1" x14ac:dyDescent="0.35">
      <c r="Z636" s="642"/>
      <c r="AA636" s="642"/>
      <c r="AB636" s="642"/>
      <c r="AC636" s="607" t="s">
        <v>6026</v>
      </c>
      <c r="AD636" s="1019" t="s">
        <v>6026</v>
      </c>
      <c r="AE636" s="1020" t="s">
        <v>1061</v>
      </c>
      <c r="AF636" s="1020" t="s">
        <v>1062</v>
      </c>
      <c r="AG636" s="1019" t="s">
        <v>75</v>
      </c>
      <c r="AH636" s="1019">
        <v>4</v>
      </c>
      <c r="AI636" s="1021"/>
      <c r="AJ636" s="617">
        <v>0</v>
      </c>
      <c r="AK636" s="621" t="s">
        <v>93</v>
      </c>
      <c r="AL636">
        <f t="shared" si="5"/>
        <v>0</v>
      </c>
      <c r="AM636" s="1017" t="s">
        <v>84</v>
      </c>
      <c r="AN636" s="1018"/>
      <c r="AO636" s="1018"/>
      <c r="AP636" s="1016"/>
      <c r="AQ636" s="628"/>
      <c r="AS636" s="627"/>
      <c r="AT636" s="1016"/>
      <c r="AU636" s="1016"/>
      <c r="AV636" s="1016"/>
      <c r="AW636" s="628"/>
    </row>
    <row r="637" spans="26:49" ht="14.5" hidden="1" x14ac:dyDescent="0.35">
      <c r="Z637" s="642"/>
      <c r="AA637" s="642"/>
      <c r="AB637" s="642"/>
      <c r="AC637" s="608" t="s">
        <v>1063</v>
      </c>
      <c r="AD637" s="1022" t="s">
        <v>1063</v>
      </c>
      <c r="AE637" s="1023" t="s">
        <v>1064</v>
      </c>
      <c r="AF637" s="1023" t="s">
        <v>1065</v>
      </c>
      <c r="AG637" s="1022" t="s">
        <v>114</v>
      </c>
      <c r="AH637" s="1019">
        <v>3</v>
      </c>
      <c r="AI637" s="1021"/>
      <c r="AJ637" s="617">
        <v>0</v>
      </c>
      <c r="AK637" s="621" t="s">
        <v>661</v>
      </c>
      <c r="AL637">
        <f t="shared" si="5"/>
        <v>0</v>
      </c>
      <c r="AM637" s="1017" t="s">
        <v>84</v>
      </c>
      <c r="AN637" s="1018"/>
      <c r="AO637" s="1018"/>
      <c r="AP637" s="1016"/>
      <c r="AQ637" s="628"/>
      <c r="AS637" s="627"/>
      <c r="AT637" s="1016"/>
      <c r="AU637" s="1016"/>
      <c r="AV637" s="1016"/>
      <c r="AW637" s="628"/>
    </row>
    <row r="638" spans="26:49" ht="14.5" hidden="1" x14ac:dyDescent="0.35">
      <c r="Z638" s="642"/>
      <c r="AA638" s="642"/>
      <c r="AB638" s="642"/>
      <c r="AC638" s="607" t="s">
        <v>1066</v>
      </c>
      <c r="AD638" s="1019" t="s">
        <v>1066</v>
      </c>
      <c r="AE638" s="1020" t="s">
        <v>1067</v>
      </c>
      <c r="AF638" s="1020" t="s">
        <v>1068</v>
      </c>
      <c r="AG638" s="1019" t="s">
        <v>71</v>
      </c>
      <c r="AH638" s="1019">
        <v>4</v>
      </c>
      <c r="AI638" s="1024"/>
      <c r="AJ638" s="617">
        <v>0</v>
      </c>
      <c r="AK638" s="621" t="s">
        <v>93</v>
      </c>
      <c r="AL638">
        <f t="shared" si="5"/>
        <v>0</v>
      </c>
      <c r="AM638" s="1017" t="s">
        <v>84</v>
      </c>
      <c r="AN638" s="1018"/>
      <c r="AO638" s="1018"/>
      <c r="AP638" s="1016"/>
      <c r="AQ638" s="628"/>
      <c r="AS638" s="627"/>
      <c r="AT638" s="1016"/>
      <c r="AU638" s="1016"/>
      <c r="AV638" s="1016"/>
      <c r="AW638" s="628"/>
    </row>
    <row r="639" spans="26:49" ht="14.5" hidden="1" x14ac:dyDescent="0.35">
      <c r="Z639" s="642"/>
      <c r="AA639" s="642"/>
      <c r="AB639" s="642"/>
      <c r="AC639" s="607" t="s">
        <v>1069</v>
      </c>
      <c r="AD639" s="1019" t="s">
        <v>1069</v>
      </c>
      <c r="AE639" s="1020" t="s">
        <v>1070</v>
      </c>
      <c r="AF639" s="1020" t="s">
        <v>1071</v>
      </c>
      <c r="AG639" s="1019" t="s">
        <v>125</v>
      </c>
      <c r="AH639" s="1019">
        <v>1</v>
      </c>
      <c r="AI639" s="1021"/>
      <c r="AJ639" s="617">
        <v>1</v>
      </c>
      <c r="AK639" s="621" t="s">
        <v>109</v>
      </c>
      <c r="AL639">
        <f t="shared" si="5"/>
        <v>1</v>
      </c>
      <c r="AM639" s="1017">
        <v>1</v>
      </c>
      <c r="AN639" s="1018">
        <v>1</v>
      </c>
      <c r="AO639" s="1018"/>
      <c r="AP639" s="1016"/>
      <c r="AQ639" s="628"/>
      <c r="AS639" s="627"/>
      <c r="AT639" s="1016"/>
      <c r="AU639" s="1016"/>
      <c r="AV639" s="1016"/>
      <c r="AW639" s="628"/>
    </row>
    <row r="640" spans="26:49" ht="14.5" hidden="1" x14ac:dyDescent="0.35">
      <c r="Z640" s="642"/>
      <c r="AA640" s="642"/>
      <c r="AB640" s="642"/>
      <c r="AC640" s="607" t="s">
        <v>1072</v>
      </c>
      <c r="AD640" s="1019" t="s">
        <v>1072</v>
      </c>
      <c r="AE640" s="1020" t="s">
        <v>1073</v>
      </c>
      <c r="AF640" s="1020" t="s">
        <v>1074</v>
      </c>
      <c r="AG640" s="1019" t="s">
        <v>125</v>
      </c>
      <c r="AH640" s="1019">
        <v>1</v>
      </c>
      <c r="AI640" s="1021"/>
      <c r="AJ640" s="617">
        <v>1</v>
      </c>
      <c r="AK640" s="621" t="s">
        <v>109</v>
      </c>
      <c r="AL640">
        <f t="shared" si="5"/>
        <v>1</v>
      </c>
      <c r="AM640" s="1017">
        <v>1</v>
      </c>
      <c r="AN640" s="1018">
        <v>1</v>
      </c>
      <c r="AO640" s="1018"/>
      <c r="AP640" s="1016"/>
      <c r="AQ640" s="628"/>
      <c r="AS640" s="627"/>
      <c r="AT640" s="1016"/>
      <c r="AU640" s="1016"/>
      <c r="AV640" s="1016"/>
      <c r="AW640" s="628"/>
    </row>
    <row r="641" spans="26:49" ht="14.5" hidden="1" x14ac:dyDescent="0.35">
      <c r="Z641" s="642"/>
      <c r="AA641" s="642"/>
      <c r="AB641" s="642"/>
      <c r="AC641" s="607" t="s">
        <v>1075</v>
      </c>
      <c r="AD641" s="1019" t="s">
        <v>1075</v>
      </c>
      <c r="AE641" s="1020" t="s">
        <v>1076</v>
      </c>
      <c r="AF641" s="1020" t="s">
        <v>1077</v>
      </c>
      <c r="AG641" s="1019" t="s">
        <v>89</v>
      </c>
      <c r="AH641" s="1019">
        <v>1</v>
      </c>
      <c r="AI641" s="1024"/>
      <c r="AJ641" s="617">
        <v>0</v>
      </c>
      <c r="AK641" s="621" t="s">
        <v>102</v>
      </c>
      <c r="AL641">
        <f t="shared" si="5"/>
        <v>1</v>
      </c>
      <c r="AM641" s="1017">
        <v>1</v>
      </c>
      <c r="AN641" s="1018">
        <v>1</v>
      </c>
      <c r="AO641" s="1018"/>
      <c r="AP641" s="1016"/>
      <c r="AQ641" s="628"/>
      <c r="AS641" s="627"/>
      <c r="AT641" s="1016"/>
      <c r="AU641" s="1016"/>
      <c r="AV641" s="1016"/>
      <c r="AW641" s="628"/>
    </row>
    <row r="642" spans="26:49" ht="14.5" hidden="1" x14ac:dyDescent="0.35">
      <c r="Z642" s="642"/>
      <c r="AA642" s="642"/>
      <c r="AB642" s="642"/>
      <c r="AC642" s="609" t="s">
        <v>1078</v>
      </c>
      <c r="AD642" s="1025" t="s">
        <v>1078</v>
      </c>
      <c r="AE642" s="1025" t="s">
        <v>1079</v>
      </c>
      <c r="AF642" s="1025" t="s">
        <v>1080</v>
      </c>
      <c r="AG642" s="1022" t="s">
        <v>61</v>
      </c>
      <c r="AH642" s="1022">
        <v>2</v>
      </c>
      <c r="AI642" s="1024"/>
      <c r="AJ642" s="617">
        <v>0</v>
      </c>
      <c r="AK642" s="621" t="s">
        <v>62</v>
      </c>
      <c r="AL642">
        <f t="shared" si="5"/>
        <v>0</v>
      </c>
      <c r="AM642" s="1017">
        <v>1</v>
      </c>
      <c r="AN642" s="1018">
        <v>1</v>
      </c>
      <c r="AO642" s="1018"/>
      <c r="AP642" s="1016"/>
      <c r="AQ642" s="628"/>
      <c r="AS642" s="627"/>
      <c r="AT642" s="1016"/>
      <c r="AU642" s="1016"/>
      <c r="AV642" s="1016"/>
      <c r="AW642" s="628"/>
    </row>
    <row r="643" spans="26:49" ht="14.5" hidden="1" x14ac:dyDescent="0.35">
      <c r="Z643" s="642"/>
      <c r="AA643" s="642"/>
      <c r="AB643" s="642"/>
      <c r="AC643" s="609" t="s">
        <v>1081</v>
      </c>
      <c r="AD643" s="1025" t="s">
        <v>1081</v>
      </c>
      <c r="AE643" s="1025" t="s">
        <v>1082</v>
      </c>
      <c r="AF643" s="1025" t="s">
        <v>1083</v>
      </c>
      <c r="AG643" s="1025" t="s">
        <v>61</v>
      </c>
      <c r="AH643" s="1022">
        <v>2</v>
      </c>
      <c r="AI643" s="1021"/>
      <c r="AJ643" s="617">
        <v>1</v>
      </c>
      <c r="AK643" s="621" t="s">
        <v>83</v>
      </c>
      <c r="AL643">
        <f t="shared" si="5"/>
        <v>0</v>
      </c>
      <c r="AM643" s="1017">
        <v>1</v>
      </c>
      <c r="AN643" s="1018"/>
      <c r="AO643" s="1018"/>
      <c r="AP643" s="1016"/>
      <c r="AQ643" s="628"/>
      <c r="AS643" s="627"/>
      <c r="AT643" s="1016"/>
      <c r="AU643" s="1016"/>
      <c r="AV643" s="1016"/>
      <c r="AW643" s="628"/>
    </row>
    <row r="644" spans="26:49" ht="14.5" hidden="1" x14ac:dyDescent="0.35">
      <c r="Z644" s="642"/>
      <c r="AA644" s="642"/>
      <c r="AB644" s="642"/>
      <c r="AC644" s="611" t="s">
        <v>1084</v>
      </c>
      <c r="AD644" s="1031" t="s">
        <v>1084</v>
      </c>
      <c r="AE644" s="1020" t="s">
        <v>1085</v>
      </c>
      <c r="AF644" s="1020" t="s">
        <v>1086</v>
      </c>
      <c r="AG644" s="1019" t="s">
        <v>97</v>
      </c>
      <c r="AH644" s="1019">
        <v>1</v>
      </c>
      <c r="AI644" s="1027"/>
      <c r="AJ644" s="617">
        <v>0</v>
      </c>
      <c r="AK644" s="621" t="s">
        <v>102</v>
      </c>
      <c r="AL644">
        <f t="shared" si="5"/>
        <v>1</v>
      </c>
      <c r="AM644" s="1017">
        <v>1</v>
      </c>
      <c r="AN644" s="1018"/>
      <c r="AO644" s="1018"/>
      <c r="AP644" s="1016"/>
      <c r="AQ644" s="628"/>
      <c r="AS644" s="627"/>
      <c r="AT644" s="1016"/>
      <c r="AU644" s="1016"/>
      <c r="AV644" s="1016"/>
      <c r="AW644" s="628"/>
    </row>
    <row r="645" spans="26:49" ht="14.5" hidden="1" x14ac:dyDescent="0.35">
      <c r="Z645" s="642"/>
      <c r="AA645" s="642"/>
      <c r="AB645" s="642"/>
      <c r="AC645" s="607" t="s">
        <v>1087</v>
      </c>
      <c r="AD645" s="1019" t="s">
        <v>1087</v>
      </c>
      <c r="AE645" s="1020" t="s">
        <v>1088</v>
      </c>
      <c r="AF645" s="1020" t="s">
        <v>1089</v>
      </c>
      <c r="AG645" s="1019" t="s">
        <v>61</v>
      </c>
      <c r="AH645" s="1019">
        <v>2</v>
      </c>
      <c r="AI645" s="1027"/>
      <c r="AJ645" s="617">
        <v>0</v>
      </c>
      <c r="AK645" s="621" t="s">
        <v>62</v>
      </c>
      <c r="AL645">
        <f t="shared" si="5"/>
        <v>0</v>
      </c>
      <c r="AM645" s="1017">
        <v>1</v>
      </c>
      <c r="AN645" s="1018"/>
      <c r="AO645" s="1018"/>
      <c r="AP645" s="1033"/>
      <c r="AQ645" s="636"/>
      <c r="AS645" s="635"/>
      <c r="AT645" s="1033"/>
      <c r="AU645" s="1033"/>
      <c r="AV645" s="1033"/>
      <c r="AW645" s="636"/>
    </row>
    <row r="646" spans="26:49" ht="14.5" hidden="1" x14ac:dyDescent="0.35">
      <c r="Z646" s="642"/>
      <c r="AA646" s="642"/>
      <c r="AB646" s="642"/>
      <c r="AC646" s="607" t="s">
        <v>1090</v>
      </c>
      <c r="AD646" s="1019" t="s">
        <v>1090</v>
      </c>
      <c r="AE646" s="1020" t="s">
        <v>1091</v>
      </c>
      <c r="AF646" s="1020" t="s">
        <v>1092</v>
      </c>
      <c r="AG646" s="1019" t="s">
        <v>57</v>
      </c>
      <c r="AH646" s="1019">
        <v>1</v>
      </c>
      <c r="AI646" s="1021"/>
      <c r="AJ646" s="617">
        <v>0</v>
      </c>
      <c r="AK646" s="621" t="s">
        <v>102</v>
      </c>
      <c r="AL646">
        <f t="shared" si="5"/>
        <v>1</v>
      </c>
      <c r="AM646" s="1017" t="s">
        <v>84</v>
      </c>
      <c r="AN646" s="1018"/>
      <c r="AO646" s="1018"/>
      <c r="AP646" s="1016"/>
      <c r="AQ646" s="628"/>
      <c r="AS646" s="627"/>
      <c r="AT646" s="1016"/>
      <c r="AU646" s="1016"/>
      <c r="AV646" s="1016"/>
      <c r="AW646" s="628"/>
    </row>
    <row r="647" spans="26:49" ht="14.5" hidden="1" x14ac:dyDescent="0.35">
      <c r="Z647" s="642"/>
      <c r="AA647" s="642"/>
      <c r="AB647" s="642"/>
      <c r="AC647" s="607" t="s">
        <v>6031</v>
      </c>
      <c r="AD647" s="1019" t="s">
        <v>6031</v>
      </c>
      <c r="AE647" s="1020" t="s">
        <v>1094</v>
      </c>
      <c r="AF647" s="1020" t="s">
        <v>1095</v>
      </c>
      <c r="AG647" s="1019" t="s">
        <v>63</v>
      </c>
      <c r="AH647" s="1019">
        <v>4</v>
      </c>
      <c r="AI647" s="1021"/>
      <c r="AJ647" s="617">
        <v>0</v>
      </c>
      <c r="AK647" s="621" t="s">
        <v>93</v>
      </c>
      <c r="AL647">
        <f t="shared" si="5"/>
        <v>0</v>
      </c>
      <c r="AM647" s="1017" t="s">
        <v>84</v>
      </c>
      <c r="AN647" s="1018"/>
      <c r="AO647" s="1018"/>
      <c r="AP647" s="1016"/>
      <c r="AQ647" s="628"/>
      <c r="AS647" s="627"/>
      <c r="AT647" s="1016"/>
      <c r="AU647" s="1016"/>
      <c r="AV647" s="1016"/>
      <c r="AW647" s="628"/>
    </row>
    <row r="648" spans="26:49" ht="14.5" hidden="1" x14ac:dyDescent="0.35">
      <c r="Z648" s="642"/>
      <c r="AA648" s="642"/>
      <c r="AB648" s="642"/>
      <c r="AC648" s="608" t="s">
        <v>1096</v>
      </c>
      <c r="AD648" s="1022" t="s">
        <v>1096</v>
      </c>
      <c r="AE648" s="1023" t="s">
        <v>1097</v>
      </c>
      <c r="AF648" s="1023" t="s">
        <v>1098</v>
      </c>
      <c r="AG648" s="1022" t="s">
        <v>61</v>
      </c>
      <c r="AH648" s="1019">
        <v>2</v>
      </c>
      <c r="AI648" s="1021"/>
      <c r="AJ648" s="617">
        <v>0</v>
      </c>
      <c r="AK648" s="621" t="s">
        <v>62</v>
      </c>
      <c r="AL648">
        <f t="shared" si="5"/>
        <v>0</v>
      </c>
      <c r="AM648" s="1017">
        <v>1</v>
      </c>
      <c r="AN648" s="1018"/>
      <c r="AO648" s="1018"/>
      <c r="AP648" s="1016"/>
      <c r="AQ648" s="628"/>
      <c r="AS648" s="627"/>
      <c r="AT648" s="1016"/>
      <c r="AU648" s="1016"/>
      <c r="AV648" s="1016"/>
      <c r="AW648" s="628"/>
    </row>
    <row r="649" spans="26:49" ht="14.5" hidden="1" x14ac:dyDescent="0.35">
      <c r="Z649" s="642"/>
      <c r="AA649" s="642"/>
      <c r="AB649" s="642"/>
      <c r="AC649" s="607" t="s">
        <v>6032</v>
      </c>
      <c r="AD649" s="1019" t="s">
        <v>6032</v>
      </c>
      <c r="AE649" s="1020" t="s">
        <v>1100</v>
      </c>
      <c r="AF649" s="1020" t="s">
        <v>1101</v>
      </c>
      <c r="AG649" s="1019" t="s">
        <v>71</v>
      </c>
      <c r="AH649" s="1019">
        <v>4</v>
      </c>
      <c r="AI649" s="1021"/>
      <c r="AJ649" s="617">
        <v>0</v>
      </c>
      <c r="AK649" s="621" t="s">
        <v>93</v>
      </c>
      <c r="AL649">
        <f t="shared" si="5"/>
        <v>0</v>
      </c>
      <c r="AM649" s="1017" t="s">
        <v>84</v>
      </c>
      <c r="AN649" s="1018"/>
      <c r="AO649" s="1018"/>
      <c r="AP649" s="1016"/>
      <c r="AQ649" s="628"/>
      <c r="AS649" s="627"/>
      <c r="AT649" s="1016"/>
      <c r="AU649" s="1016"/>
      <c r="AV649" s="1016"/>
      <c r="AW649" s="628"/>
    </row>
    <row r="650" spans="26:49" ht="14.5" hidden="1" x14ac:dyDescent="0.35">
      <c r="Z650" s="642"/>
      <c r="AA650" s="642"/>
      <c r="AB650" s="642"/>
      <c r="AC650" s="608" t="s">
        <v>1102</v>
      </c>
      <c r="AD650" s="1022" t="s">
        <v>1102</v>
      </c>
      <c r="AE650" s="1023" t="s">
        <v>1103</v>
      </c>
      <c r="AF650" s="1023" t="s">
        <v>1104</v>
      </c>
      <c r="AG650" s="1022" t="s">
        <v>61</v>
      </c>
      <c r="AH650" s="1022">
        <v>2</v>
      </c>
      <c r="AI650" s="1032"/>
      <c r="AJ650" s="617">
        <v>0</v>
      </c>
      <c r="AK650" s="621" t="s">
        <v>62</v>
      </c>
      <c r="AL650">
        <f t="shared" si="5"/>
        <v>0</v>
      </c>
      <c r="AM650" s="1017">
        <v>1</v>
      </c>
      <c r="AN650" s="1018">
        <v>1</v>
      </c>
      <c r="AO650" s="1018"/>
      <c r="AP650" s="1016"/>
      <c r="AQ650" s="628"/>
      <c r="AS650" s="627"/>
      <c r="AT650" s="1016"/>
      <c r="AU650" s="1016"/>
      <c r="AV650" s="1016"/>
      <c r="AW650" s="628"/>
    </row>
    <row r="651" spans="26:49" ht="14.5" hidden="1" x14ac:dyDescent="0.35">
      <c r="Z651" s="642"/>
      <c r="AA651" s="642"/>
      <c r="AB651" s="642"/>
      <c r="AC651" s="607" t="s">
        <v>1105</v>
      </c>
      <c r="AD651" s="1019" t="s">
        <v>1105</v>
      </c>
      <c r="AE651" s="1020" t="s">
        <v>1106</v>
      </c>
      <c r="AF651" s="1020" t="s">
        <v>1107</v>
      </c>
      <c r="AG651" s="1019" t="s">
        <v>97</v>
      </c>
      <c r="AH651" s="1019">
        <v>1</v>
      </c>
      <c r="AI651" s="1021"/>
      <c r="AJ651" s="617">
        <v>1</v>
      </c>
      <c r="AK651" s="621" t="s">
        <v>109</v>
      </c>
      <c r="AL651">
        <f t="shared" si="5"/>
        <v>1</v>
      </c>
      <c r="AM651" s="1017">
        <v>1</v>
      </c>
      <c r="AN651" s="1018"/>
      <c r="AO651" s="1018"/>
      <c r="AP651" s="1016"/>
      <c r="AQ651" s="628"/>
      <c r="AS651" s="627"/>
      <c r="AT651" s="1016"/>
      <c r="AU651" s="1016"/>
      <c r="AV651" s="1016"/>
      <c r="AW651" s="628"/>
    </row>
    <row r="652" spans="26:49" ht="14.5" hidden="1" x14ac:dyDescent="0.35">
      <c r="Z652" s="642"/>
      <c r="AA652" s="642"/>
      <c r="AB652" s="642"/>
      <c r="AC652" s="611" t="s">
        <v>1108</v>
      </c>
      <c r="AD652" s="1031" t="s">
        <v>1108</v>
      </c>
      <c r="AE652" s="1020" t="s">
        <v>1109</v>
      </c>
      <c r="AF652" s="1020" t="s">
        <v>1110</v>
      </c>
      <c r="AG652" s="1019" t="s">
        <v>125</v>
      </c>
      <c r="AH652" s="1019">
        <v>1</v>
      </c>
      <c r="AI652" s="1032"/>
      <c r="AJ652" s="617">
        <v>1</v>
      </c>
      <c r="AK652" s="621" t="s">
        <v>109</v>
      </c>
      <c r="AL652">
        <f t="shared" si="5"/>
        <v>1</v>
      </c>
      <c r="AM652" s="1017">
        <v>1</v>
      </c>
      <c r="AN652" s="1018"/>
      <c r="AO652" s="1018"/>
      <c r="AP652" s="1016"/>
      <c r="AQ652" s="628"/>
      <c r="AS652" s="627"/>
      <c r="AT652" s="1016"/>
      <c r="AU652" s="1016"/>
      <c r="AV652" s="1016"/>
      <c r="AW652" s="628"/>
    </row>
    <row r="653" spans="26:49" ht="14.5" hidden="1" x14ac:dyDescent="0.35">
      <c r="Z653" s="642"/>
      <c r="AA653" s="642"/>
      <c r="AB653" s="642"/>
      <c r="AC653" s="609" t="s">
        <v>1111</v>
      </c>
      <c r="AD653" s="1025" t="s">
        <v>1111</v>
      </c>
      <c r="AE653" s="1025" t="s">
        <v>1112</v>
      </c>
      <c r="AF653" s="1025" t="s">
        <v>1113</v>
      </c>
      <c r="AG653" s="1019" t="s">
        <v>125</v>
      </c>
      <c r="AH653" s="1019">
        <v>1</v>
      </c>
      <c r="AI653" s="1021"/>
      <c r="AJ653" s="617">
        <v>1</v>
      </c>
      <c r="AK653" s="621" t="s">
        <v>109</v>
      </c>
      <c r="AL653">
        <f t="shared" si="5"/>
        <v>1</v>
      </c>
      <c r="AM653" s="1017">
        <v>1</v>
      </c>
      <c r="AN653" s="1018"/>
      <c r="AO653" s="1018"/>
      <c r="AP653" s="1016"/>
      <c r="AQ653" s="628"/>
      <c r="AS653" s="627"/>
      <c r="AT653" s="1016"/>
      <c r="AU653" s="1016"/>
      <c r="AV653" s="1016"/>
      <c r="AW653" s="628"/>
    </row>
    <row r="654" spans="26:49" ht="14.5" hidden="1" x14ac:dyDescent="0.35">
      <c r="Z654" s="642"/>
      <c r="AA654" s="642"/>
      <c r="AB654" s="642"/>
      <c r="AC654" s="607" t="s">
        <v>1114</v>
      </c>
      <c r="AD654" s="1019" t="s">
        <v>1114</v>
      </c>
      <c r="AE654" s="1020" t="s">
        <v>1115</v>
      </c>
      <c r="AF654" s="1020" t="s">
        <v>1116</v>
      </c>
      <c r="AG654" s="1019" t="s">
        <v>61</v>
      </c>
      <c r="AH654" s="1019">
        <v>2</v>
      </c>
      <c r="AI654" s="1021"/>
      <c r="AJ654" s="617">
        <v>0</v>
      </c>
      <c r="AK654" s="621" t="s">
        <v>62</v>
      </c>
      <c r="AL654">
        <f t="shared" si="5"/>
        <v>0</v>
      </c>
      <c r="AM654" s="1017">
        <v>1</v>
      </c>
      <c r="AN654" s="1018">
        <v>1</v>
      </c>
      <c r="AO654" s="1018"/>
      <c r="AP654" s="1016"/>
      <c r="AQ654" s="628"/>
      <c r="AS654" s="627"/>
      <c r="AT654" s="1016"/>
      <c r="AU654" s="1016"/>
      <c r="AV654" s="1016"/>
      <c r="AW654" s="628"/>
    </row>
    <row r="655" spans="26:49" ht="14.5" hidden="1" x14ac:dyDescent="0.35">
      <c r="Z655" s="642"/>
      <c r="AA655" s="642"/>
      <c r="AB655" s="642"/>
      <c r="AC655" s="609" t="s">
        <v>1117</v>
      </c>
      <c r="AD655" s="1025" t="s">
        <v>1117</v>
      </c>
      <c r="AE655" s="1025" t="s">
        <v>1118</v>
      </c>
      <c r="AF655" s="1025" t="s">
        <v>1119</v>
      </c>
      <c r="AG655" s="1025" t="s">
        <v>61</v>
      </c>
      <c r="AH655" s="1019">
        <v>2</v>
      </c>
      <c r="AI655" s="1024"/>
      <c r="AJ655" s="617">
        <v>1</v>
      </c>
      <c r="AK655" s="621" t="s">
        <v>83</v>
      </c>
      <c r="AL655">
        <f t="shared" si="5"/>
        <v>0</v>
      </c>
      <c r="AM655" s="1017">
        <v>1</v>
      </c>
      <c r="AN655" s="1018">
        <v>1</v>
      </c>
      <c r="AO655" s="1018"/>
      <c r="AP655" s="1016"/>
      <c r="AQ655" s="628"/>
      <c r="AS655" s="627"/>
      <c r="AT655" s="1016"/>
      <c r="AU655" s="1016"/>
      <c r="AV655" s="1016"/>
      <c r="AW655" s="628"/>
    </row>
    <row r="656" spans="26:49" ht="14.5" hidden="1" x14ac:dyDescent="0.35">
      <c r="Z656" s="642"/>
      <c r="AA656" s="642"/>
      <c r="AB656" s="642"/>
      <c r="AC656" s="607" t="s">
        <v>1120</v>
      </c>
      <c r="AD656" s="1019" t="s">
        <v>1120</v>
      </c>
      <c r="AE656" s="1020" t="s">
        <v>1121</v>
      </c>
      <c r="AF656" s="1020" t="s">
        <v>1122</v>
      </c>
      <c r="AG656" s="1019" t="s">
        <v>57</v>
      </c>
      <c r="AH656" s="1019">
        <v>1</v>
      </c>
      <c r="AI656" s="1021"/>
      <c r="AJ656" s="617">
        <v>0</v>
      </c>
      <c r="AK656" s="621" t="s">
        <v>102</v>
      </c>
      <c r="AL656">
        <f t="shared" si="5"/>
        <v>1</v>
      </c>
      <c r="AM656" s="1017" t="s">
        <v>84</v>
      </c>
      <c r="AN656" s="1018"/>
      <c r="AO656" s="1018"/>
      <c r="AP656" s="1016"/>
      <c r="AQ656" s="628"/>
      <c r="AS656" s="627"/>
      <c r="AT656" s="1016"/>
      <c r="AU656" s="1016"/>
      <c r="AV656" s="1016"/>
      <c r="AW656" s="628"/>
    </row>
    <row r="657" spans="26:49" ht="14.5" hidden="1" x14ac:dyDescent="0.35">
      <c r="Z657" s="642"/>
      <c r="AA657" s="642"/>
      <c r="AB657" s="642"/>
      <c r="AC657" s="608" t="s">
        <v>1123</v>
      </c>
      <c r="AD657" s="1022" t="s">
        <v>1123</v>
      </c>
      <c r="AE657" s="1023" t="s">
        <v>1124</v>
      </c>
      <c r="AF657" s="1023" t="s">
        <v>1125</v>
      </c>
      <c r="AG657" s="1022" t="s">
        <v>71</v>
      </c>
      <c r="AH657" s="1022">
        <v>4</v>
      </c>
      <c r="AI657" s="1024"/>
      <c r="AJ657" s="617">
        <v>1</v>
      </c>
      <c r="AK657" s="621" t="s">
        <v>88</v>
      </c>
      <c r="AL657">
        <f t="shared" si="5"/>
        <v>0</v>
      </c>
      <c r="AM657" s="1017" t="s">
        <v>84</v>
      </c>
      <c r="AN657" s="1018"/>
      <c r="AO657" s="1018"/>
      <c r="AP657" s="1026"/>
      <c r="AQ657" s="633"/>
      <c r="AS657" s="632"/>
      <c r="AT657" s="1026"/>
      <c r="AU657" s="1026"/>
      <c r="AV657" s="1026"/>
      <c r="AW657" s="633"/>
    </row>
    <row r="658" spans="26:49" ht="14.5" hidden="1" x14ac:dyDescent="0.35">
      <c r="Z658" s="642"/>
      <c r="AA658" s="642"/>
      <c r="AB658" s="642"/>
      <c r="AC658" s="611" t="s">
        <v>1126</v>
      </c>
      <c r="AD658" s="1031" t="s">
        <v>1126</v>
      </c>
      <c r="AE658" s="1020" t="s">
        <v>1127</v>
      </c>
      <c r="AF658" s="1020" t="s">
        <v>1128</v>
      </c>
      <c r="AG658" s="1019" t="s">
        <v>97</v>
      </c>
      <c r="AH658" s="1019">
        <v>1</v>
      </c>
      <c r="AI658" s="1027"/>
      <c r="AJ658" s="617">
        <v>0</v>
      </c>
      <c r="AK658" s="621" t="s">
        <v>102</v>
      </c>
      <c r="AL658">
        <f t="shared" si="5"/>
        <v>1</v>
      </c>
      <c r="AM658" s="1017">
        <v>1</v>
      </c>
      <c r="AN658" s="1018"/>
      <c r="AO658" s="1018"/>
      <c r="AP658" s="1016"/>
      <c r="AQ658" s="628"/>
      <c r="AS658" s="627"/>
      <c r="AT658" s="1016"/>
      <c r="AU658" s="1016"/>
      <c r="AV658" s="1016"/>
      <c r="AW658" s="628"/>
    </row>
    <row r="659" spans="26:49" ht="14.5" hidden="1" x14ac:dyDescent="0.35">
      <c r="Z659" s="642"/>
      <c r="AA659" s="642"/>
      <c r="AB659" s="642"/>
      <c r="AC659" s="607" t="s">
        <v>1129</v>
      </c>
      <c r="AD659" s="1019" t="s">
        <v>1129</v>
      </c>
      <c r="AE659" s="1020" t="s">
        <v>1130</v>
      </c>
      <c r="AF659" s="1020" t="s">
        <v>1131</v>
      </c>
      <c r="AG659" s="1019" t="s">
        <v>57</v>
      </c>
      <c r="AH659" s="1019">
        <v>1</v>
      </c>
      <c r="AI659" s="1029"/>
      <c r="AJ659" s="617">
        <v>1</v>
      </c>
      <c r="AK659" s="621" t="s">
        <v>109</v>
      </c>
      <c r="AL659">
        <f t="shared" si="5"/>
        <v>1</v>
      </c>
      <c r="AM659" s="1017" t="s">
        <v>84</v>
      </c>
      <c r="AN659" s="1018"/>
      <c r="AO659" s="1018"/>
      <c r="AP659" s="1016"/>
      <c r="AQ659" s="628"/>
      <c r="AS659" s="627"/>
      <c r="AT659" s="1016"/>
      <c r="AU659" s="1016"/>
      <c r="AV659" s="1016"/>
      <c r="AW659" s="628"/>
    </row>
    <row r="660" spans="26:49" ht="14.5" hidden="1" x14ac:dyDescent="0.35">
      <c r="Z660" s="642"/>
      <c r="AA660" s="642"/>
      <c r="AB660" s="642"/>
      <c r="AC660" s="607" t="s">
        <v>1132</v>
      </c>
      <c r="AD660" s="1019" t="s">
        <v>1132</v>
      </c>
      <c r="AE660" s="1020" t="s">
        <v>1133</v>
      </c>
      <c r="AF660" s="1020" t="s">
        <v>1134</v>
      </c>
      <c r="AG660" s="1019" t="s">
        <v>61</v>
      </c>
      <c r="AH660" s="1019">
        <v>2</v>
      </c>
      <c r="AI660" s="1021"/>
      <c r="AJ660" s="617">
        <v>1</v>
      </c>
      <c r="AK660" s="621" t="s">
        <v>83</v>
      </c>
      <c r="AL660">
        <f t="shared" si="5"/>
        <v>0</v>
      </c>
      <c r="AM660" s="1017">
        <v>1</v>
      </c>
      <c r="AN660" s="1018">
        <v>1</v>
      </c>
      <c r="AO660" s="1018"/>
      <c r="AP660" s="1016"/>
      <c r="AQ660" s="628"/>
      <c r="AS660" s="627"/>
      <c r="AT660" s="1016"/>
      <c r="AU660" s="1016"/>
      <c r="AV660" s="1016"/>
      <c r="AW660" s="628"/>
    </row>
    <row r="661" spans="26:49" ht="14.5" hidden="1" x14ac:dyDescent="0.35">
      <c r="Z661" s="642"/>
      <c r="AA661" s="642"/>
      <c r="AB661" s="642"/>
      <c r="AC661" s="607" t="s">
        <v>1135</v>
      </c>
      <c r="AD661" s="1019" t="s">
        <v>1135</v>
      </c>
      <c r="AE661" s="1020" t="s">
        <v>1136</v>
      </c>
      <c r="AF661" s="1020" t="s">
        <v>1137</v>
      </c>
      <c r="AG661" s="1019" t="s">
        <v>71</v>
      </c>
      <c r="AH661" s="1019">
        <v>4</v>
      </c>
      <c r="AI661" s="1021"/>
      <c r="AJ661" s="617">
        <v>0</v>
      </c>
      <c r="AK661" s="621" t="s">
        <v>93</v>
      </c>
      <c r="AL661">
        <f t="shared" si="5"/>
        <v>0</v>
      </c>
      <c r="AM661" s="1017" t="s">
        <v>84</v>
      </c>
      <c r="AN661" s="1018"/>
      <c r="AO661" s="1018"/>
      <c r="AP661" s="1016"/>
      <c r="AQ661" s="628"/>
      <c r="AS661" s="627"/>
      <c r="AT661" s="1016"/>
      <c r="AU661" s="1016"/>
      <c r="AV661" s="1016"/>
      <c r="AW661" s="628"/>
    </row>
    <row r="662" spans="26:49" ht="14.5" hidden="1" x14ac:dyDescent="0.35">
      <c r="Z662" s="642"/>
      <c r="AA662" s="642"/>
      <c r="AB662" s="642"/>
      <c r="AC662" s="607" t="s">
        <v>1138</v>
      </c>
      <c r="AD662" s="1019" t="s">
        <v>1138</v>
      </c>
      <c r="AE662" s="1020" t="s">
        <v>1139</v>
      </c>
      <c r="AF662" s="1020" t="s">
        <v>1140</v>
      </c>
      <c r="AG662" s="1019" t="s">
        <v>71</v>
      </c>
      <c r="AH662" s="1019">
        <v>4</v>
      </c>
      <c r="AI662" s="1032"/>
      <c r="AJ662" s="617">
        <v>0</v>
      </c>
      <c r="AK662" s="621" t="s">
        <v>93</v>
      </c>
      <c r="AL662">
        <f t="shared" si="5"/>
        <v>0</v>
      </c>
      <c r="AM662" s="1017" t="s">
        <v>84</v>
      </c>
      <c r="AN662" s="1018"/>
      <c r="AO662" s="1018"/>
      <c r="AP662" s="1016"/>
      <c r="AQ662" s="628"/>
      <c r="AS662" s="627"/>
      <c r="AT662" s="1016"/>
      <c r="AU662" s="1016"/>
      <c r="AV662" s="1016"/>
      <c r="AW662" s="628"/>
    </row>
    <row r="663" spans="26:49" ht="14.5" hidden="1" x14ac:dyDescent="0.35">
      <c r="Z663" s="642"/>
      <c r="AA663" s="642"/>
      <c r="AB663" s="642"/>
      <c r="AC663" s="607" t="s">
        <v>1141</v>
      </c>
      <c r="AD663" s="1019" t="s">
        <v>1141</v>
      </c>
      <c r="AE663" s="1020" t="s">
        <v>1142</v>
      </c>
      <c r="AF663" s="1020" t="s">
        <v>1143</v>
      </c>
      <c r="AG663" s="1019" t="s">
        <v>101</v>
      </c>
      <c r="AH663" s="1019">
        <v>1</v>
      </c>
      <c r="AI663" s="1024"/>
      <c r="AJ663" s="617">
        <v>1</v>
      </c>
      <c r="AK663" s="621" t="s">
        <v>109</v>
      </c>
      <c r="AL663">
        <f t="shared" si="5"/>
        <v>1</v>
      </c>
      <c r="AM663" s="1017">
        <v>1</v>
      </c>
      <c r="AN663" s="1018">
        <v>1</v>
      </c>
      <c r="AO663" s="1018"/>
      <c r="AP663" s="1016"/>
      <c r="AQ663" s="628"/>
      <c r="AS663" s="627"/>
      <c r="AT663" s="1016"/>
      <c r="AU663" s="1016"/>
      <c r="AV663" s="1016"/>
      <c r="AW663" s="628"/>
    </row>
    <row r="664" spans="26:49" ht="14.5" hidden="1" x14ac:dyDescent="0.35">
      <c r="Z664" s="642"/>
      <c r="AA664" s="642"/>
      <c r="AB664" s="642"/>
      <c r="AC664" s="609" t="s">
        <v>1144</v>
      </c>
      <c r="AD664" s="1025" t="s">
        <v>1144</v>
      </c>
      <c r="AE664" s="1025" t="s">
        <v>1145</v>
      </c>
      <c r="AF664" s="1025" t="s">
        <v>1146</v>
      </c>
      <c r="AG664" s="1025" t="s">
        <v>61</v>
      </c>
      <c r="AH664" s="1022">
        <v>2</v>
      </c>
      <c r="AI664" s="1021"/>
      <c r="AJ664" s="617">
        <v>0</v>
      </c>
      <c r="AK664" s="621" t="s">
        <v>62</v>
      </c>
      <c r="AL664">
        <f t="shared" si="5"/>
        <v>0</v>
      </c>
      <c r="AM664" s="1017">
        <v>1</v>
      </c>
      <c r="AN664" s="1018"/>
      <c r="AO664" s="1018"/>
      <c r="AP664" s="1016"/>
      <c r="AQ664" s="628"/>
      <c r="AS664" s="627"/>
      <c r="AT664" s="1016"/>
      <c r="AU664" s="1016"/>
      <c r="AV664" s="1016"/>
      <c r="AW664" s="628"/>
    </row>
    <row r="665" spans="26:49" ht="14.5" hidden="1" x14ac:dyDescent="0.35">
      <c r="Z665" s="642"/>
      <c r="AA665" s="642"/>
      <c r="AB665" s="642"/>
      <c r="AC665" s="607" t="s">
        <v>1147</v>
      </c>
      <c r="AD665" s="1019" t="s">
        <v>1147</v>
      </c>
      <c r="AE665" s="1020" t="s">
        <v>1148</v>
      </c>
      <c r="AF665" s="1020" t="s">
        <v>1149</v>
      </c>
      <c r="AG665" s="1019" t="s">
        <v>125</v>
      </c>
      <c r="AH665" s="1019">
        <v>1</v>
      </c>
      <c r="AI665" s="1021"/>
      <c r="AJ665" s="617">
        <v>0</v>
      </c>
      <c r="AK665" s="621" t="s">
        <v>102</v>
      </c>
      <c r="AL665">
        <f t="shared" si="5"/>
        <v>1</v>
      </c>
      <c r="AM665" s="1017">
        <v>1</v>
      </c>
      <c r="AN665" s="1018">
        <v>1</v>
      </c>
      <c r="AO665" s="1018"/>
      <c r="AP665" s="1016"/>
      <c r="AQ665" s="628"/>
      <c r="AS665" s="627"/>
      <c r="AT665" s="1016"/>
      <c r="AU665" s="1016"/>
      <c r="AV665" s="1016"/>
      <c r="AW665" s="628"/>
    </row>
    <row r="666" spans="26:49" ht="14.5" hidden="1" x14ac:dyDescent="0.35">
      <c r="Z666" s="642"/>
      <c r="AA666" s="642"/>
      <c r="AB666" s="642"/>
      <c r="AC666" s="611" t="s">
        <v>1150</v>
      </c>
      <c r="AD666" s="1031" t="s">
        <v>1150</v>
      </c>
      <c r="AE666" s="1020" t="s">
        <v>1151</v>
      </c>
      <c r="AF666" s="1020" t="s">
        <v>1152</v>
      </c>
      <c r="AG666" s="1019" t="s">
        <v>97</v>
      </c>
      <c r="AH666" s="1019">
        <v>1</v>
      </c>
      <c r="AI666" s="1032"/>
      <c r="AJ666" s="617">
        <v>1</v>
      </c>
      <c r="AK666" s="621" t="s">
        <v>109</v>
      </c>
      <c r="AL666">
        <f t="shared" si="5"/>
        <v>1</v>
      </c>
      <c r="AM666" s="1017">
        <v>1</v>
      </c>
      <c r="AN666" s="1018"/>
      <c r="AO666" s="1018"/>
      <c r="AP666" s="1033"/>
      <c r="AQ666" s="636"/>
      <c r="AS666" s="635"/>
      <c r="AT666" s="1033"/>
      <c r="AU666" s="1033"/>
      <c r="AV666" s="1033"/>
      <c r="AW666" s="636"/>
    </row>
    <row r="667" spans="26:49" ht="14.5" hidden="1" x14ac:dyDescent="0.35">
      <c r="Z667" s="642"/>
      <c r="AA667" s="642"/>
      <c r="AB667" s="642"/>
      <c r="AC667" s="608" t="s">
        <v>1153</v>
      </c>
      <c r="AD667" s="1022" t="s">
        <v>1153</v>
      </c>
      <c r="AE667" s="1023" t="s">
        <v>1154</v>
      </c>
      <c r="AF667" s="1023" t="s">
        <v>1155</v>
      </c>
      <c r="AG667" s="1022" t="s">
        <v>61</v>
      </c>
      <c r="AH667" s="1019">
        <v>2</v>
      </c>
      <c r="AI667" s="1021"/>
      <c r="AJ667" s="617">
        <v>0</v>
      </c>
      <c r="AK667" s="621" t="s">
        <v>62</v>
      </c>
      <c r="AL667">
        <f t="shared" si="5"/>
        <v>0</v>
      </c>
      <c r="AM667" s="1017">
        <v>1</v>
      </c>
      <c r="AN667" s="1018">
        <v>1</v>
      </c>
      <c r="AO667" s="1018"/>
      <c r="AP667" s="1016"/>
      <c r="AQ667" s="628"/>
      <c r="AS667" s="627"/>
      <c r="AT667" s="1016"/>
      <c r="AU667" s="1016"/>
      <c r="AV667" s="1016"/>
      <c r="AW667" s="628"/>
    </row>
    <row r="668" spans="26:49" ht="14.5" hidden="1" x14ac:dyDescent="0.35">
      <c r="Z668" s="642"/>
      <c r="AA668" s="642"/>
      <c r="AB668" s="642"/>
      <c r="AC668" s="609" t="s">
        <v>1156</v>
      </c>
      <c r="AD668" s="1025" t="s">
        <v>1156</v>
      </c>
      <c r="AE668" s="1025" t="s">
        <v>1157</v>
      </c>
      <c r="AF668" s="1025" t="s">
        <v>1158</v>
      </c>
      <c r="AG668" s="1025" t="s">
        <v>61</v>
      </c>
      <c r="AH668" s="1019">
        <v>2</v>
      </c>
      <c r="AI668" s="1024"/>
      <c r="AJ668" s="617">
        <v>0</v>
      </c>
      <c r="AK668" s="621" t="s">
        <v>62</v>
      </c>
      <c r="AL668">
        <f t="shared" si="5"/>
        <v>0</v>
      </c>
      <c r="AM668" s="1017">
        <v>1</v>
      </c>
      <c r="AN668" s="1018">
        <v>1</v>
      </c>
      <c r="AO668" s="1018"/>
      <c r="AP668" s="1016"/>
      <c r="AQ668" s="628"/>
      <c r="AS668" s="627"/>
      <c r="AT668" s="1016"/>
      <c r="AU668" s="1016"/>
      <c r="AV668" s="1016"/>
      <c r="AW668" s="628"/>
    </row>
    <row r="669" spans="26:49" ht="14.5" hidden="1" x14ac:dyDescent="0.35">
      <c r="Z669" s="642"/>
      <c r="AA669" s="642"/>
      <c r="AB669" s="642"/>
      <c r="AC669" s="609" t="s">
        <v>1159</v>
      </c>
      <c r="AD669" s="1025" t="s">
        <v>1159</v>
      </c>
      <c r="AE669" s="1025" t="s">
        <v>1160</v>
      </c>
      <c r="AF669" s="1025" t="s">
        <v>1161</v>
      </c>
      <c r="AG669" s="1025" t="s">
        <v>114</v>
      </c>
      <c r="AH669" s="1022">
        <v>5</v>
      </c>
      <c r="AI669" s="1032"/>
      <c r="AJ669" s="617"/>
      <c r="AK669" s="621" t="s">
        <v>1162</v>
      </c>
      <c r="AL669">
        <f t="shared" si="5"/>
        <v>0</v>
      </c>
      <c r="AM669" s="1017" t="s">
        <v>84</v>
      </c>
      <c r="AN669" s="1018"/>
      <c r="AO669" s="1018"/>
      <c r="AP669" s="1016"/>
      <c r="AQ669" s="628"/>
      <c r="AS669" s="627"/>
      <c r="AT669" s="1016"/>
      <c r="AU669" s="1016"/>
      <c r="AV669" s="1016"/>
      <c r="AW669" s="628"/>
    </row>
    <row r="670" spans="26:49" ht="14.5" hidden="1" x14ac:dyDescent="0.35">
      <c r="Z670" s="642"/>
      <c r="AA670" s="642"/>
      <c r="AB670" s="642"/>
      <c r="AC670" s="607" t="s">
        <v>1163</v>
      </c>
      <c r="AD670" s="1019" t="s">
        <v>1163</v>
      </c>
      <c r="AE670" s="1020" t="s">
        <v>1164</v>
      </c>
      <c r="AF670" s="1020" t="s">
        <v>1165</v>
      </c>
      <c r="AG670" s="1019" t="s">
        <v>61</v>
      </c>
      <c r="AH670" s="1019">
        <v>2</v>
      </c>
      <c r="AI670" s="1027"/>
      <c r="AJ670" s="617">
        <v>0</v>
      </c>
      <c r="AK670" s="621" t="s">
        <v>62</v>
      </c>
      <c r="AL670">
        <f t="shared" si="5"/>
        <v>0</v>
      </c>
      <c r="AM670" s="1017">
        <v>1</v>
      </c>
      <c r="AN670" s="1018">
        <v>1</v>
      </c>
      <c r="AO670" s="1018"/>
      <c r="AP670" s="1036"/>
      <c r="AQ670" s="633"/>
      <c r="AS670" s="634"/>
      <c r="AT670" s="1036"/>
      <c r="AU670" s="1036"/>
      <c r="AV670" s="1036"/>
      <c r="AW670" s="633"/>
    </row>
    <row r="671" spans="26:49" ht="14.5" hidden="1" x14ac:dyDescent="0.35">
      <c r="Z671" s="642"/>
      <c r="AA671" s="642"/>
      <c r="AB671" s="642"/>
      <c r="AC671" s="607" t="s">
        <v>1166</v>
      </c>
      <c r="AD671" s="1019" t="s">
        <v>1166</v>
      </c>
      <c r="AE671" s="1020" t="s">
        <v>1167</v>
      </c>
      <c r="AF671" s="1020" t="s">
        <v>1168</v>
      </c>
      <c r="AG671" s="1019" t="s">
        <v>125</v>
      </c>
      <c r="AH671" s="1019">
        <v>1</v>
      </c>
      <c r="AI671" s="1021"/>
      <c r="AJ671" s="617">
        <v>0</v>
      </c>
      <c r="AK671" s="621" t="s">
        <v>102</v>
      </c>
      <c r="AL671">
        <f t="shared" si="5"/>
        <v>1</v>
      </c>
      <c r="AM671" s="1017">
        <v>1</v>
      </c>
      <c r="AN671" s="1018"/>
      <c r="AO671" s="1018"/>
      <c r="AP671" s="1026"/>
      <c r="AQ671" s="636"/>
      <c r="AS671" s="632"/>
      <c r="AT671" s="1026"/>
      <c r="AU671" s="1026"/>
      <c r="AV671" s="1026"/>
      <c r="AW671" s="636"/>
    </row>
    <row r="672" spans="26:49" ht="14.5" hidden="1" x14ac:dyDescent="0.35">
      <c r="Z672" s="642"/>
      <c r="AA672" s="642"/>
      <c r="AB672" s="642"/>
      <c r="AC672" s="607" t="s">
        <v>1169</v>
      </c>
      <c r="AD672" s="1019" t="s">
        <v>1169</v>
      </c>
      <c r="AE672" s="1020" t="s">
        <v>1170</v>
      </c>
      <c r="AF672" s="1020" t="s">
        <v>1171</v>
      </c>
      <c r="AG672" s="1019" t="s">
        <v>61</v>
      </c>
      <c r="AH672" s="1019">
        <v>2</v>
      </c>
      <c r="AI672" s="1027"/>
      <c r="AJ672" s="617">
        <v>0</v>
      </c>
      <c r="AK672" s="621" t="s">
        <v>62</v>
      </c>
      <c r="AL672">
        <f t="shared" si="5"/>
        <v>0</v>
      </c>
      <c r="AM672" s="1017">
        <v>1</v>
      </c>
      <c r="AN672" s="1018"/>
      <c r="AO672" s="1018"/>
      <c r="AP672" s="1016"/>
      <c r="AQ672" s="628"/>
      <c r="AS672" s="627"/>
      <c r="AT672" s="1016"/>
      <c r="AU672" s="1016"/>
      <c r="AV672" s="1016"/>
      <c r="AW672" s="628"/>
    </row>
    <row r="673" spans="26:49" ht="14.5" hidden="1" x14ac:dyDescent="0.35">
      <c r="Z673" s="642"/>
      <c r="AA673" s="642"/>
      <c r="AB673" s="642"/>
      <c r="AC673" s="608" t="s">
        <v>1172</v>
      </c>
      <c r="AD673" s="1022" t="s">
        <v>1172</v>
      </c>
      <c r="AE673" s="1023" t="s">
        <v>1173</v>
      </c>
      <c r="AF673" s="1023" t="s">
        <v>1174</v>
      </c>
      <c r="AG673" s="1022" t="s">
        <v>61</v>
      </c>
      <c r="AH673" s="1022">
        <v>2</v>
      </c>
      <c r="AI673" s="1021"/>
      <c r="AJ673" s="617">
        <v>1</v>
      </c>
      <c r="AK673" s="621" t="s">
        <v>83</v>
      </c>
      <c r="AL673">
        <f t="shared" si="5"/>
        <v>0</v>
      </c>
      <c r="AM673" s="1017">
        <v>1</v>
      </c>
      <c r="AN673" s="1018">
        <v>1</v>
      </c>
      <c r="AO673" s="1018"/>
      <c r="AP673" s="1016"/>
      <c r="AQ673" s="628"/>
      <c r="AS673" s="627"/>
      <c r="AT673" s="1016"/>
      <c r="AU673" s="1016"/>
      <c r="AV673" s="1016"/>
      <c r="AW673" s="628"/>
    </row>
    <row r="674" spans="26:49" ht="14.5" hidden="1" x14ac:dyDescent="0.35">
      <c r="Z674" s="642"/>
      <c r="AA674" s="642"/>
      <c r="AB674" s="642"/>
      <c r="AC674" s="607" t="s">
        <v>1175</v>
      </c>
      <c r="AD674" s="1019" t="s">
        <v>1175</v>
      </c>
      <c r="AE674" s="1023" t="s">
        <v>1176</v>
      </c>
      <c r="AF674" s="1023" t="s">
        <v>1177</v>
      </c>
      <c r="AG674" s="1019" t="s">
        <v>61</v>
      </c>
      <c r="AH674" s="1019">
        <v>2</v>
      </c>
      <c r="AI674" s="1021"/>
      <c r="AJ674" s="617">
        <v>1</v>
      </c>
      <c r="AK674" s="621" t="s">
        <v>83</v>
      </c>
      <c r="AL674">
        <f t="shared" si="5"/>
        <v>0</v>
      </c>
      <c r="AM674" s="1017">
        <v>1</v>
      </c>
      <c r="AN674" s="1018">
        <v>1</v>
      </c>
      <c r="AO674" s="1018"/>
      <c r="AP674" s="1016"/>
      <c r="AQ674" s="628"/>
      <c r="AS674" s="627"/>
      <c r="AT674" s="1016"/>
      <c r="AU674" s="1016"/>
      <c r="AV674" s="1016"/>
      <c r="AW674" s="628"/>
    </row>
    <row r="675" spans="26:49" ht="14.5" hidden="1" x14ac:dyDescent="0.35">
      <c r="Z675" s="642"/>
      <c r="AA675" s="642"/>
      <c r="AB675" s="642"/>
      <c r="AC675" s="608" t="s">
        <v>1178</v>
      </c>
      <c r="AD675" s="1022" t="s">
        <v>1178</v>
      </c>
      <c r="AE675" s="1023" t="s">
        <v>1179</v>
      </c>
      <c r="AF675" s="1023" t="s">
        <v>1180</v>
      </c>
      <c r="AG675" s="1022" t="s">
        <v>71</v>
      </c>
      <c r="AH675" s="1019">
        <v>4</v>
      </c>
      <c r="AI675" s="1021"/>
      <c r="AJ675" s="617">
        <v>1</v>
      </c>
      <c r="AK675" s="621" t="s">
        <v>88</v>
      </c>
      <c r="AL675">
        <f t="shared" si="5"/>
        <v>0</v>
      </c>
      <c r="AM675" s="1017" t="s">
        <v>84</v>
      </c>
      <c r="AN675" s="1018"/>
      <c r="AO675" s="1018"/>
      <c r="AP675" s="1016"/>
      <c r="AQ675" s="628"/>
      <c r="AS675" s="627"/>
      <c r="AT675" s="1016"/>
      <c r="AU675" s="1016"/>
      <c r="AV675" s="1016"/>
      <c r="AW675" s="628"/>
    </row>
    <row r="676" spans="26:49" ht="14.5" hidden="1" x14ac:dyDescent="0.35">
      <c r="Z676" s="642"/>
      <c r="AA676" s="642"/>
      <c r="AB676" s="642"/>
      <c r="AC676" s="608" t="s">
        <v>1181</v>
      </c>
      <c r="AD676" s="1022" t="s">
        <v>1181</v>
      </c>
      <c r="AE676" s="1023" t="s">
        <v>1182</v>
      </c>
      <c r="AF676" s="1023" t="s">
        <v>1183</v>
      </c>
      <c r="AG676" s="1022" t="s">
        <v>61</v>
      </c>
      <c r="AH676" s="1019">
        <v>2</v>
      </c>
      <c r="AI676" s="1021"/>
      <c r="AJ676" s="617">
        <v>0</v>
      </c>
      <c r="AK676" s="621" t="s">
        <v>62</v>
      </c>
      <c r="AL676">
        <f t="shared" si="5"/>
        <v>0</v>
      </c>
      <c r="AM676" s="1017">
        <v>1</v>
      </c>
      <c r="AN676" s="1018"/>
      <c r="AO676" s="1018"/>
      <c r="AP676" s="1016"/>
      <c r="AQ676" s="628"/>
      <c r="AS676" s="627"/>
      <c r="AT676" s="1016"/>
      <c r="AU676" s="1016"/>
      <c r="AV676" s="1016"/>
      <c r="AW676" s="628"/>
    </row>
    <row r="677" spans="26:49" ht="14.5" hidden="1" x14ac:dyDescent="0.35">
      <c r="Z677" s="642"/>
      <c r="AA677" s="642"/>
      <c r="AB677" s="642"/>
      <c r="AC677" s="608" t="s">
        <v>1184</v>
      </c>
      <c r="AD677" s="1022" t="s">
        <v>1184</v>
      </c>
      <c r="AE677" s="1023" t="s">
        <v>1185</v>
      </c>
      <c r="AF677" s="1023" t="s">
        <v>1186</v>
      </c>
      <c r="AG677" s="1022" t="s">
        <v>110</v>
      </c>
      <c r="AH677" s="1019">
        <v>8</v>
      </c>
      <c r="AI677" s="1021"/>
      <c r="AJ677" s="617">
        <v>0</v>
      </c>
      <c r="AK677" s="621" t="s">
        <v>661</v>
      </c>
      <c r="AL677">
        <f t="shared" si="5"/>
        <v>0</v>
      </c>
      <c r="AM677" s="1017" t="s">
        <v>84</v>
      </c>
      <c r="AN677" s="1018"/>
      <c r="AO677" s="1018"/>
      <c r="AP677" s="1016"/>
      <c r="AQ677" s="628"/>
      <c r="AS677" s="627"/>
      <c r="AT677" s="1016"/>
      <c r="AU677" s="1016"/>
      <c r="AV677" s="1016"/>
      <c r="AW677" s="628"/>
    </row>
    <row r="678" spans="26:49" ht="14.5" hidden="1" x14ac:dyDescent="0.35">
      <c r="Z678" s="642"/>
      <c r="AA678" s="642"/>
      <c r="AB678" s="642"/>
      <c r="AC678" s="607" t="s">
        <v>1187</v>
      </c>
      <c r="AD678" s="1019" t="s">
        <v>1187</v>
      </c>
      <c r="AE678" s="1020" t="s">
        <v>1188</v>
      </c>
      <c r="AF678" s="1020" t="s">
        <v>1189</v>
      </c>
      <c r="AG678" s="1019" t="s">
        <v>61</v>
      </c>
      <c r="AH678" s="1019">
        <v>2</v>
      </c>
      <c r="AI678" s="1024"/>
      <c r="AJ678" s="617">
        <v>1</v>
      </c>
      <c r="AK678" s="621" t="s">
        <v>83</v>
      </c>
      <c r="AL678">
        <f t="shared" si="5"/>
        <v>0</v>
      </c>
      <c r="AM678" s="1017">
        <v>1</v>
      </c>
      <c r="AN678" s="1018">
        <v>1</v>
      </c>
      <c r="AO678" s="1018"/>
      <c r="AP678" s="1016"/>
      <c r="AQ678" s="628"/>
      <c r="AS678" s="627"/>
      <c r="AT678" s="1016"/>
      <c r="AU678" s="1016"/>
      <c r="AV678" s="1016"/>
      <c r="AW678" s="628"/>
    </row>
    <row r="679" spans="26:49" ht="14.5" hidden="1" x14ac:dyDescent="0.35">
      <c r="Z679" s="642"/>
      <c r="AA679" s="642"/>
      <c r="AB679" s="642"/>
      <c r="AC679" s="609" t="s">
        <v>1190</v>
      </c>
      <c r="AD679" s="1025" t="s">
        <v>1190</v>
      </c>
      <c r="AE679" s="1025" t="s">
        <v>1191</v>
      </c>
      <c r="AF679" s="1025" t="s">
        <v>1192</v>
      </c>
      <c r="AG679" s="1025" t="s">
        <v>125</v>
      </c>
      <c r="AH679" s="1019">
        <v>1</v>
      </c>
      <c r="AI679" s="1021"/>
      <c r="AJ679" s="617">
        <v>0</v>
      </c>
      <c r="AK679" s="621" t="s">
        <v>102</v>
      </c>
      <c r="AL679">
        <f t="shared" si="5"/>
        <v>1</v>
      </c>
      <c r="AM679" s="1017">
        <v>1</v>
      </c>
      <c r="AN679" s="1018"/>
      <c r="AO679" s="1018"/>
      <c r="AP679" s="1016"/>
      <c r="AQ679" s="628"/>
      <c r="AS679" s="627"/>
      <c r="AT679" s="1016"/>
      <c r="AU679" s="1016"/>
      <c r="AV679" s="1016"/>
      <c r="AW679" s="628"/>
    </row>
    <row r="680" spans="26:49" ht="14.5" hidden="1" x14ac:dyDescent="0.35">
      <c r="Z680" s="642"/>
      <c r="AA680" s="642"/>
      <c r="AB680" s="642"/>
      <c r="AC680" s="607" t="s">
        <v>1193</v>
      </c>
      <c r="AD680" s="1019" t="s">
        <v>1193</v>
      </c>
      <c r="AE680" s="1020" t="s">
        <v>1194</v>
      </c>
      <c r="AF680" s="1020" t="s">
        <v>1195</v>
      </c>
      <c r="AG680" s="1019" t="s">
        <v>61</v>
      </c>
      <c r="AH680" s="1019">
        <v>2</v>
      </c>
      <c r="AI680" s="1021"/>
      <c r="AJ680" s="617">
        <v>0</v>
      </c>
      <c r="AK680" s="621" t="s">
        <v>62</v>
      </c>
      <c r="AL680">
        <f t="shared" si="5"/>
        <v>0</v>
      </c>
      <c r="AM680" s="1017">
        <v>1</v>
      </c>
      <c r="AN680" s="1018"/>
      <c r="AO680" s="1018"/>
      <c r="AP680" s="1016"/>
      <c r="AQ680" s="628"/>
      <c r="AS680" s="627"/>
      <c r="AT680" s="1016"/>
      <c r="AU680" s="1016"/>
      <c r="AV680" s="1016"/>
      <c r="AW680" s="628"/>
    </row>
    <row r="681" spans="26:49" ht="14.5" hidden="1" x14ac:dyDescent="0.35">
      <c r="Z681" s="642"/>
      <c r="AA681" s="642"/>
      <c r="AB681" s="642"/>
      <c r="AC681" s="609" t="s">
        <v>1196</v>
      </c>
      <c r="AD681" s="1025" t="s">
        <v>1196</v>
      </c>
      <c r="AE681" s="1025" t="s">
        <v>1197</v>
      </c>
      <c r="AF681" s="1025" t="s">
        <v>1198</v>
      </c>
      <c r="AG681" s="1019" t="s">
        <v>125</v>
      </c>
      <c r="AH681" s="1022">
        <v>1</v>
      </c>
      <c r="AI681" s="1024"/>
      <c r="AJ681" s="617">
        <v>1</v>
      </c>
      <c r="AK681" s="621" t="s">
        <v>109</v>
      </c>
      <c r="AL681">
        <f t="shared" si="5"/>
        <v>1</v>
      </c>
      <c r="AM681" s="1017">
        <v>1</v>
      </c>
      <c r="AN681" s="1018">
        <v>1</v>
      </c>
      <c r="AO681" s="1018"/>
      <c r="AP681" s="1026"/>
      <c r="AQ681" s="633"/>
      <c r="AS681" s="632"/>
      <c r="AT681" s="1026"/>
      <c r="AU681" s="1026"/>
      <c r="AV681" s="1026"/>
      <c r="AW681" s="633"/>
    </row>
    <row r="682" spans="26:49" ht="14.5" hidden="1" x14ac:dyDescent="0.35">
      <c r="Z682" s="642"/>
      <c r="AA682" s="642"/>
      <c r="AB682" s="642"/>
      <c r="AC682" s="609" t="s">
        <v>1199</v>
      </c>
      <c r="AD682" s="1025" t="s">
        <v>1199</v>
      </c>
      <c r="AE682" s="1025" t="s">
        <v>1200</v>
      </c>
      <c r="AF682" s="1025" t="s">
        <v>1201</v>
      </c>
      <c r="AG682" s="1019" t="s">
        <v>61</v>
      </c>
      <c r="AH682" s="1022">
        <v>2</v>
      </c>
      <c r="AI682" s="1021"/>
      <c r="AJ682" s="617">
        <v>0</v>
      </c>
      <c r="AK682" s="621" t="s">
        <v>62</v>
      </c>
      <c r="AL682">
        <f t="shared" si="5"/>
        <v>0</v>
      </c>
      <c r="AM682" s="1017">
        <v>1</v>
      </c>
      <c r="AN682" s="1018"/>
      <c r="AO682" s="1018"/>
      <c r="AP682" s="1016"/>
      <c r="AQ682" s="628"/>
      <c r="AS682" s="627"/>
      <c r="AT682" s="1016"/>
      <c r="AU682" s="1016"/>
      <c r="AV682" s="1016"/>
      <c r="AW682" s="628"/>
    </row>
    <row r="683" spans="26:49" ht="14.5" hidden="1" x14ac:dyDescent="0.35">
      <c r="Z683" s="642"/>
      <c r="AA683" s="642"/>
      <c r="AB683" s="642"/>
      <c r="AC683" s="609" t="s">
        <v>1202</v>
      </c>
      <c r="AD683" s="1025" t="s">
        <v>1202</v>
      </c>
      <c r="AE683" s="1025" t="s">
        <v>1203</v>
      </c>
      <c r="AF683" s="1025" t="s">
        <v>1204</v>
      </c>
      <c r="AG683" s="1019" t="s">
        <v>89</v>
      </c>
      <c r="AH683" s="1019">
        <v>1</v>
      </c>
      <c r="AI683" s="1032"/>
      <c r="AJ683" s="617">
        <v>0</v>
      </c>
      <c r="AK683" s="621" t="s">
        <v>102</v>
      </c>
      <c r="AL683">
        <f t="shared" si="5"/>
        <v>1</v>
      </c>
      <c r="AM683" s="1017">
        <v>1</v>
      </c>
      <c r="AN683" s="1018">
        <v>1</v>
      </c>
      <c r="AO683" s="1018"/>
      <c r="AP683" s="1016"/>
      <c r="AQ683" s="628"/>
      <c r="AS683" s="627"/>
      <c r="AT683" s="1016"/>
      <c r="AU683" s="1016"/>
      <c r="AV683" s="1016"/>
      <c r="AW683" s="628"/>
    </row>
    <row r="684" spans="26:49" ht="14.5" hidden="1" x14ac:dyDescent="0.35">
      <c r="Z684" s="642"/>
      <c r="AA684" s="642"/>
      <c r="AB684" s="642"/>
      <c r="AC684" s="609" t="s">
        <v>1205</v>
      </c>
      <c r="AD684" s="1025" t="s">
        <v>1205</v>
      </c>
      <c r="AE684" s="1025" t="s">
        <v>1206</v>
      </c>
      <c r="AF684" s="1025" t="s">
        <v>1207</v>
      </c>
      <c r="AG684" s="1019" t="s">
        <v>97</v>
      </c>
      <c r="AH684" s="1019">
        <v>1</v>
      </c>
      <c r="AI684" s="1021"/>
      <c r="AJ684" s="617">
        <v>0</v>
      </c>
      <c r="AK684" s="621" t="s">
        <v>102</v>
      </c>
      <c r="AL684">
        <f t="shared" si="5"/>
        <v>1</v>
      </c>
      <c r="AM684" s="1017">
        <v>1</v>
      </c>
      <c r="AN684" s="1018">
        <v>1</v>
      </c>
      <c r="AO684" s="1018"/>
      <c r="AP684" s="1016"/>
      <c r="AQ684" s="628"/>
      <c r="AS684" s="627"/>
      <c r="AT684" s="1016"/>
      <c r="AU684" s="1016"/>
      <c r="AV684" s="1016"/>
      <c r="AW684" s="628"/>
    </row>
    <row r="685" spans="26:49" ht="14.5" hidden="1" x14ac:dyDescent="0.35">
      <c r="Z685" s="642"/>
      <c r="AA685" s="642"/>
      <c r="AB685" s="642"/>
      <c r="AC685" s="608" t="s">
        <v>1208</v>
      </c>
      <c r="AD685" s="1022" t="s">
        <v>1208</v>
      </c>
      <c r="AE685" s="1023" t="s">
        <v>1209</v>
      </c>
      <c r="AF685" s="1023" t="s">
        <v>1210</v>
      </c>
      <c r="AG685" s="1022" t="s">
        <v>61</v>
      </c>
      <c r="AH685" s="1019">
        <v>2</v>
      </c>
      <c r="AI685" s="1024"/>
      <c r="AJ685" s="617">
        <v>0</v>
      </c>
      <c r="AK685" s="621" t="s">
        <v>62</v>
      </c>
      <c r="AL685">
        <f t="shared" si="5"/>
        <v>0</v>
      </c>
      <c r="AM685" s="1017">
        <v>1</v>
      </c>
      <c r="AN685" s="1018"/>
      <c r="AO685" s="1018"/>
      <c r="AP685" s="1016"/>
      <c r="AQ685" s="628"/>
      <c r="AS685" s="627"/>
      <c r="AT685" s="1016"/>
      <c r="AU685" s="1016"/>
      <c r="AV685" s="1016"/>
      <c r="AW685" s="628"/>
    </row>
    <row r="686" spans="26:49" ht="14.5" hidden="1" x14ac:dyDescent="0.35">
      <c r="Z686" s="642"/>
      <c r="AA686" s="642"/>
      <c r="AB686" s="642"/>
      <c r="AC686" s="608" t="s">
        <v>1211</v>
      </c>
      <c r="AD686" s="1022" t="s">
        <v>1211</v>
      </c>
      <c r="AE686" s="1023" t="s">
        <v>1212</v>
      </c>
      <c r="AF686" s="1023" t="s">
        <v>1213</v>
      </c>
      <c r="AG686" s="1022" t="s">
        <v>75</v>
      </c>
      <c r="AH686" s="1022">
        <v>4</v>
      </c>
      <c r="AI686" s="1027"/>
      <c r="AJ686" s="617">
        <v>0</v>
      </c>
      <c r="AK686" s="621" t="s">
        <v>93</v>
      </c>
      <c r="AL686">
        <f t="shared" si="5"/>
        <v>0</v>
      </c>
      <c r="AM686" s="1017" t="s">
        <v>84</v>
      </c>
      <c r="AN686" s="1018"/>
      <c r="AO686" s="1018"/>
      <c r="AP686" s="1016"/>
      <c r="AQ686" s="628"/>
      <c r="AS686" s="627"/>
      <c r="AT686" s="1016"/>
      <c r="AU686" s="1016"/>
      <c r="AV686" s="1016"/>
      <c r="AW686" s="628"/>
    </row>
    <row r="687" spans="26:49" ht="14.5" hidden="1" x14ac:dyDescent="0.35">
      <c r="Z687" s="642"/>
      <c r="AA687" s="642"/>
      <c r="AB687" s="642"/>
      <c r="AC687" s="607" t="s">
        <v>1214</v>
      </c>
      <c r="AD687" s="1019" t="s">
        <v>1214</v>
      </c>
      <c r="AE687" s="1020" t="s">
        <v>1215</v>
      </c>
      <c r="AF687" s="1020" t="s">
        <v>1216</v>
      </c>
      <c r="AG687" s="1019" t="s">
        <v>61</v>
      </c>
      <c r="AH687" s="1019">
        <v>2</v>
      </c>
      <c r="AI687" s="1021"/>
      <c r="AJ687" s="617">
        <v>1</v>
      </c>
      <c r="AK687" s="621" t="s">
        <v>83</v>
      </c>
      <c r="AL687">
        <f t="shared" si="5"/>
        <v>0</v>
      </c>
      <c r="AM687" s="1017">
        <v>1</v>
      </c>
      <c r="AN687" s="1018"/>
      <c r="AO687" s="1018"/>
      <c r="AP687" s="1016"/>
      <c r="AQ687" s="628"/>
      <c r="AS687" s="627"/>
      <c r="AT687" s="1016"/>
      <c r="AU687" s="1016"/>
      <c r="AV687" s="1016"/>
      <c r="AW687" s="628"/>
    </row>
    <row r="688" spans="26:49" ht="14.5" hidden="1" x14ac:dyDescent="0.35">
      <c r="Z688" s="642"/>
      <c r="AA688" s="642"/>
      <c r="AB688" s="642"/>
      <c r="AC688" s="608" t="s">
        <v>1217</v>
      </c>
      <c r="AD688" s="1022" t="s">
        <v>1217</v>
      </c>
      <c r="AE688" s="1023" t="s">
        <v>1218</v>
      </c>
      <c r="AF688" s="1023" t="s">
        <v>1219</v>
      </c>
      <c r="AG688" s="1022" t="s">
        <v>61</v>
      </c>
      <c r="AH688" s="1022">
        <v>2</v>
      </c>
      <c r="AI688" s="1027"/>
      <c r="AJ688" s="617">
        <v>0</v>
      </c>
      <c r="AK688" s="621" t="s">
        <v>62</v>
      </c>
      <c r="AL688">
        <f t="shared" si="5"/>
        <v>0</v>
      </c>
      <c r="AM688" s="1017">
        <v>1</v>
      </c>
      <c r="AN688" s="1018">
        <v>1</v>
      </c>
      <c r="AO688" s="1018"/>
      <c r="AP688" s="1016"/>
      <c r="AQ688" s="628"/>
      <c r="AS688" s="627"/>
      <c r="AT688" s="1016"/>
      <c r="AU688" s="1016"/>
      <c r="AV688" s="1016"/>
      <c r="AW688" s="628"/>
    </row>
    <row r="689" spans="26:49" ht="14.5" hidden="1" x14ac:dyDescent="0.35">
      <c r="Z689" s="642"/>
      <c r="AA689" s="642"/>
      <c r="AB689" s="642"/>
      <c r="AC689" s="607" t="s">
        <v>1220</v>
      </c>
      <c r="AD689" s="1019" t="s">
        <v>1220</v>
      </c>
      <c r="AE689" s="1020" t="s">
        <v>1221</v>
      </c>
      <c r="AF689" s="1020" t="s">
        <v>1222</v>
      </c>
      <c r="AG689" s="1022" t="s">
        <v>97</v>
      </c>
      <c r="AH689" s="1019">
        <v>1</v>
      </c>
      <c r="AI689" s="1021"/>
      <c r="AJ689" s="617">
        <v>0</v>
      </c>
      <c r="AK689" s="621" t="s">
        <v>102</v>
      </c>
      <c r="AL689">
        <f t="shared" si="5"/>
        <v>1</v>
      </c>
      <c r="AM689" s="1017">
        <v>1</v>
      </c>
      <c r="AN689" s="1018">
        <v>1</v>
      </c>
      <c r="AO689" s="1018"/>
      <c r="AP689" s="1016"/>
      <c r="AQ689" s="628"/>
      <c r="AS689" s="627"/>
      <c r="AT689" s="1016"/>
      <c r="AU689" s="1016"/>
      <c r="AV689" s="1016"/>
      <c r="AW689" s="628"/>
    </row>
    <row r="690" spans="26:49" ht="14.5" hidden="1" x14ac:dyDescent="0.35">
      <c r="Z690" s="642"/>
      <c r="AA690" s="642"/>
      <c r="AB690" s="642"/>
      <c r="AC690" s="608" t="s">
        <v>1223</v>
      </c>
      <c r="AD690" s="1022" t="s">
        <v>1223</v>
      </c>
      <c r="AE690" s="1023" t="s">
        <v>1224</v>
      </c>
      <c r="AF690" s="1023" t="s">
        <v>1225</v>
      </c>
      <c r="AG690" s="1022" t="s">
        <v>97</v>
      </c>
      <c r="AH690" s="1022">
        <v>1</v>
      </c>
      <c r="AI690" s="1021"/>
      <c r="AJ690" s="617">
        <v>0</v>
      </c>
      <c r="AK690" s="621" t="s">
        <v>102</v>
      </c>
      <c r="AL690">
        <f t="shared" si="5"/>
        <v>1</v>
      </c>
      <c r="AM690" s="1017">
        <v>1</v>
      </c>
      <c r="AN690" s="1018"/>
      <c r="AO690" s="1018"/>
      <c r="AP690" s="1016"/>
      <c r="AQ690" s="628"/>
      <c r="AS690" s="627"/>
      <c r="AT690" s="1016"/>
      <c r="AU690" s="1016"/>
      <c r="AV690" s="1016"/>
      <c r="AW690" s="628"/>
    </row>
    <row r="691" spans="26:49" ht="14.5" hidden="1" x14ac:dyDescent="0.35">
      <c r="Z691" s="642"/>
      <c r="AA691" s="642"/>
      <c r="AB691" s="642"/>
      <c r="AC691" s="607" t="s">
        <v>1226</v>
      </c>
      <c r="AD691" s="1019" t="s">
        <v>1226</v>
      </c>
      <c r="AE691" s="1020" t="s">
        <v>1227</v>
      </c>
      <c r="AF691" s="1020" t="s">
        <v>1228</v>
      </c>
      <c r="AG691" s="1019" t="s">
        <v>101</v>
      </c>
      <c r="AH691" s="1019">
        <v>1</v>
      </c>
      <c r="AI691" s="1021"/>
      <c r="AJ691" s="617">
        <v>0</v>
      </c>
      <c r="AK691" s="621" t="s">
        <v>102</v>
      </c>
      <c r="AL691">
        <f t="shared" si="5"/>
        <v>1</v>
      </c>
      <c r="AM691" s="1017">
        <v>1</v>
      </c>
      <c r="AN691" s="1018">
        <v>1</v>
      </c>
      <c r="AO691" s="1018"/>
      <c r="AP691" s="1016"/>
      <c r="AQ691" s="628"/>
      <c r="AS691" s="627"/>
      <c r="AT691" s="1016"/>
      <c r="AU691" s="1016"/>
      <c r="AV691" s="1016"/>
      <c r="AW691" s="628"/>
    </row>
    <row r="692" spans="26:49" ht="14.5" hidden="1" x14ac:dyDescent="0.35">
      <c r="Z692" s="642"/>
      <c r="AA692" s="642"/>
      <c r="AB692" s="642"/>
      <c r="AC692" s="607" t="s">
        <v>1229</v>
      </c>
      <c r="AD692" s="1019" t="s">
        <v>1229</v>
      </c>
      <c r="AE692" s="1020" t="s">
        <v>1230</v>
      </c>
      <c r="AF692" s="1020" t="s">
        <v>1231</v>
      </c>
      <c r="AG692" s="1019" t="s">
        <v>89</v>
      </c>
      <c r="AH692" s="1019">
        <v>1</v>
      </c>
      <c r="AI692" s="1021"/>
      <c r="AJ692" s="617">
        <v>0</v>
      </c>
      <c r="AK692" s="621" t="s">
        <v>102</v>
      </c>
      <c r="AL692">
        <f t="shared" si="5"/>
        <v>1</v>
      </c>
      <c r="AM692" s="1017">
        <v>1</v>
      </c>
      <c r="AN692" s="1018">
        <v>1</v>
      </c>
      <c r="AO692" s="1018"/>
      <c r="AP692" s="1016"/>
      <c r="AQ692" s="628"/>
      <c r="AS692" s="627"/>
      <c r="AT692" s="1016"/>
      <c r="AU692" s="1016"/>
      <c r="AV692" s="1016"/>
      <c r="AW692" s="628"/>
    </row>
    <row r="693" spans="26:49" ht="14.5" hidden="1" x14ac:dyDescent="0.35">
      <c r="Z693" s="642"/>
      <c r="AA693" s="642"/>
      <c r="AB693" s="642"/>
      <c r="AC693" s="609" t="s">
        <v>1232</v>
      </c>
      <c r="AD693" s="1025" t="s">
        <v>1232</v>
      </c>
      <c r="AE693" s="1025" t="s">
        <v>1233</v>
      </c>
      <c r="AF693" s="1025" t="s">
        <v>1234</v>
      </c>
      <c r="AG693" s="1019" t="s">
        <v>125</v>
      </c>
      <c r="AH693" s="1019">
        <v>1</v>
      </c>
      <c r="AI693" s="1032"/>
      <c r="AJ693" s="617">
        <v>0</v>
      </c>
      <c r="AK693" s="621" t="s">
        <v>102</v>
      </c>
      <c r="AL693">
        <f t="shared" si="5"/>
        <v>1</v>
      </c>
      <c r="AM693" s="1017">
        <v>1</v>
      </c>
      <c r="AN693" s="1018"/>
      <c r="AO693" s="1018"/>
      <c r="AP693" s="1016"/>
      <c r="AQ693" s="628"/>
      <c r="AS693" s="627"/>
      <c r="AT693" s="1016"/>
      <c r="AU693" s="1016"/>
      <c r="AV693" s="1016"/>
      <c r="AW693" s="628"/>
    </row>
    <row r="694" spans="26:49" ht="14.5" hidden="1" x14ac:dyDescent="0.35">
      <c r="Z694" s="642"/>
      <c r="AA694" s="642"/>
      <c r="AB694" s="642"/>
      <c r="AC694" s="607" t="s">
        <v>1235</v>
      </c>
      <c r="AD694" s="1019" t="s">
        <v>1235</v>
      </c>
      <c r="AE694" s="1020" t="s">
        <v>1236</v>
      </c>
      <c r="AF694" s="1020" t="s">
        <v>1237</v>
      </c>
      <c r="AG694" s="1019" t="s">
        <v>61</v>
      </c>
      <c r="AH694" s="1019">
        <v>2</v>
      </c>
      <c r="AI694" s="1021"/>
      <c r="AJ694" s="617">
        <v>0</v>
      </c>
      <c r="AK694" s="621" t="s">
        <v>62</v>
      </c>
      <c r="AL694">
        <f t="shared" si="5"/>
        <v>0</v>
      </c>
      <c r="AM694" s="1017">
        <v>1</v>
      </c>
      <c r="AN694" s="1018">
        <v>1</v>
      </c>
      <c r="AO694" s="1018"/>
      <c r="AP694" s="1016"/>
      <c r="AQ694" s="628"/>
      <c r="AS694" s="627"/>
      <c r="AT694" s="1016"/>
      <c r="AU694" s="1016"/>
      <c r="AV694" s="1016"/>
      <c r="AW694" s="628"/>
    </row>
    <row r="695" spans="26:49" ht="14.5" hidden="1" x14ac:dyDescent="0.35">
      <c r="Z695" s="642"/>
      <c r="AA695" s="642"/>
      <c r="AB695" s="642"/>
      <c r="AC695" s="607" t="s">
        <v>1238</v>
      </c>
      <c r="AD695" s="1019" t="s">
        <v>1238</v>
      </c>
      <c r="AE695" s="1020" t="s">
        <v>1239</v>
      </c>
      <c r="AF695" s="1020" t="s">
        <v>1240</v>
      </c>
      <c r="AG695" s="1019" t="s">
        <v>57</v>
      </c>
      <c r="AH695" s="1019">
        <v>1</v>
      </c>
      <c r="AI695" s="1021"/>
      <c r="AJ695" s="617">
        <v>1</v>
      </c>
      <c r="AK695" s="621" t="s">
        <v>109</v>
      </c>
      <c r="AL695">
        <f t="shared" ref="AL695:AL736" si="6">IF(AG695="UA",1,IF(AG695="MD",1,IF(AG695="OLB",1,IF(AG695="ILB",1,IF(AG695="CC",1,IF(AG695="SCILLY",1,0))))))</f>
        <v>1</v>
      </c>
      <c r="AM695" s="1017" t="s">
        <v>84</v>
      </c>
      <c r="AN695" s="1018"/>
      <c r="AO695" s="1018"/>
      <c r="AP695" s="1016"/>
      <c r="AQ695" s="628"/>
      <c r="AS695" s="627"/>
      <c r="AT695" s="1016"/>
      <c r="AU695" s="1016"/>
      <c r="AV695" s="1016"/>
      <c r="AW695" s="628"/>
    </row>
    <row r="696" spans="26:49" ht="14.5" hidden="1" x14ac:dyDescent="0.35">
      <c r="Z696" s="642"/>
      <c r="AA696" s="642"/>
      <c r="AB696" s="642"/>
      <c r="AC696" s="607" t="s">
        <v>1241</v>
      </c>
      <c r="AD696" s="1019" t="s">
        <v>1241</v>
      </c>
      <c r="AE696" s="1020" t="s">
        <v>1242</v>
      </c>
      <c r="AF696" s="1020" t="s">
        <v>1243</v>
      </c>
      <c r="AG696" s="1019" t="s">
        <v>71</v>
      </c>
      <c r="AH696" s="1019">
        <v>4</v>
      </c>
      <c r="AI696" s="1021"/>
      <c r="AJ696" s="617">
        <v>0</v>
      </c>
      <c r="AK696" s="621" t="s">
        <v>93</v>
      </c>
      <c r="AL696">
        <f t="shared" si="6"/>
        <v>0</v>
      </c>
      <c r="AM696" s="1017" t="s">
        <v>84</v>
      </c>
      <c r="AN696" s="1018"/>
      <c r="AO696" s="1018"/>
      <c r="AP696" s="1016"/>
      <c r="AQ696" s="628"/>
      <c r="AS696" s="627"/>
      <c r="AT696" s="1016"/>
      <c r="AU696" s="1016"/>
      <c r="AV696" s="1016"/>
      <c r="AW696" s="628"/>
    </row>
    <row r="697" spans="26:49" ht="14.5" hidden="1" x14ac:dyDescent="0.35">
      <c r="Z697" s="642"/>
      <c r="AA697" s="642"/>
      <c r="AB697" s="642"/>
      <c r="AC697" s="607" t="s">
        <v>1244</v>
      </c>
      <c r="AD697" s="1019" t="s">
        <v>1244</v>
      </c>
      <c r="AE697" s="1020" t="s">
        <v>1245</v>
      </c>
      <c r="AF697" s="1020" t="s">
        <v>1246</v>
      </c>
      <c r="AG697" s="1019" t="s">
        <v>61</v>
      </c>
      <c r="AH697" s="1019">
        <v>2</v>
      </c>
      <c r="AI697" s="1032"/>
      <c r="AJ697" s="617">
        <v>0</v>
      </c>
      <c r="AK697" s="621" t="s">
        <v>62</v>
      </c>
      <c r="AL697">
        <f t="shared" si="6"/>
        <v>0</v>
      </c>
      <c r="AM697" s="1017">
        <v>1</v>
      </c>
      <c r="AN697" s="1018">
        <v>1</v>
      </c>
      <c r="AO697" s="1018"/>
      <c r="AP697" s="1016"/>
      <c r="AQ697" s="628"/>
      <c r="AS697" s="627"/>
      <c r="AT697" s="1016"/>
      <c r="AU697" s="1016"/>
      <c r="AV697" s="1016"/>
      <c r="AW697" s="628"/>
    </row>
    <row r="698" spans="26:49" ht="14.5" hidden="1" x14ac:dyDescent="0.35">
      <c r="Z698" s="642"/>
      <c r="AA698" s="642"/>
      <c r="AB698" s="642"/>
      <c r="AC698" s="607" t="s">
        <v>1247</v>
      </c>
      <c r="AD698" s="1019" t="s">
        <v>1247</v>
      </c>
      <c r="AE698" s="1020" t="s">
        <v>1248</v>
      </c>
      <c r="AF698" s="1020" t="s">
        <v>1249</v>
      </c>
      <c r="AG698" s="1019" t="s">
        <v>61</v>
      </c>
      <c r="AH698" s="1019">
        <v>2</v>
      </c>
      <c r="AI698" s="1029"/>
      <c r="AJ698" s="617">
        <v>0</v>
      </c>
      <c r="AK698" s="621" t="s">
        <v>62</v>
      </c>
      <c r="AL698">
        <f t="shared" si="6"/>
        <v>0</v>
      </c>
      <c r="AM698" s="1017">
        <v>1</v>
      </c>
      <c r="AN698" s="1018">
        <v>1</v>
      </c>
      <c r="AO698" s="1018"/>
      <c r="AP698" s="1016"/>
      <c r="AQ698" s="628"/>
      <c r="AS698" s="627"/>
      <c r="AT698" s="1016"/>
      <c r="AU698" s="1016"/>
      <c r="AV698" s="1016"/>
      <c r="AW698" s="628"/>
    </row>
    <row r="699" spans="26:49" ht="14.5" hidden="1" x14ac:dyDescent="0.35">
      <c r="Z699" s="642"/>
      <c r="AA699" s="642"/>
      <c r="AB699" s="642"/>
      <c r="AC699" s="607" t="s">
        <v>1250</v>
      </c>
      <c r="AD699" s="1019" t="s">
        <v>1250</v>
      </c>
      <c r="AE699" s="1020" t="s">
        <v>1251</v>
      </c>
      <c r="AF699" s="1020" t="s">
        <v>1252</v>
      </c>
      <c r="AG699" s="1019" t="s">
        <v>61</v>
      </c>
      <c r="AH699" s="1019">
        <v>2</v>
      </c>
      <c r="AI699" s="1032"/>
      <c r="AJ699" s="617">
        <v>1</v>
      </c>
      <c r="AK699" s="621" t="s">
        <v>83</v>
      </c>
      <c r="AL699">
        <f t="shared" si="6"/>
        <v>0</v>
      </c>
      <c r="AM699" s="1017">
        <v>1</v>
      </c>
      <c r="AN699" s="1018">
        <v>1</v>
      </c>
      <c r="AO699" s="1018"/>
      <c r="AP699" s="1016"/>
      <c r="AQ699" s="628"/>
      <c r="AS699" s="627"/>
      <c r="AT699" s="1016"/>
      <c r="AU699" s="1016"/>
      <c r="AV699" s="1016"/>
      <c r="AW699" s="628"/>
    </row>
    <row r="700" spans="26:49" ht="14.5" hidden="1" x14ac:dyDescent="0.35">
      <c r="Z700" s="642"/>
      <c r="AA700" s="642"/>
      <c r="AB700" s="642"/>
      <c r="AC700" s="607" t="s">
        <v>1253</v>
      </c>
      <c r="AD700" s="1019" t="s">
        <v>1253</v>
      </c>
      <c r="AE700" s="1020" t="s">
        <v>1254</v>
      </c>
      <c r="AF700" s="1020" t="s">
        <v>1255</v>
      </c>
      <c r="AG700" s="1019" t="s">
        <v>61</v>
      </c>
      <c r="AH700" s="1019">
        <v>2</v>
      </c>
      <c r="AI700" s="1024"/>
      <c r="AJ700" s="617">
        <v>0</v>
      </c>
      <c r="AK700" s="621" t="s">
        <v>62</v>
      </c>
      <c r="AL700">
        <f t="shared" si="6"/>
        <v>0</v>
      </c>
      <c r="AM700" s="1017">
        <v>1</v>
      </c>
      <c r="AN700" s="1018"/>
      <c r="AO700" s="1018"/>
      <c r="AP700" s="1016"/>
      <c r="AQ700" s="628"/>
      <c r="AS700" s="627"/>
      <c r="AT700" s="1016"/>
      <c r="AU700" s="1016"/>
      <c r="AV700" s="1016"/>
      <c r="AW700" s="628"/>
    </row>
    <row r="701" spans="26:49" ht="14.5" hidden="1" x14ac:dyDescent="0.35">
      <c r="Z701" s="642"/>
      <c r="AA701" s="642"/>
      <c r="AB701" s="642"/>
      <c r="AC701" s="607" t="s">
        <v>1256</v>
      </c>
      <c r="AD701" s="1019" t="s">
        <v>1256</v>
      </c>
      <c r="AE701" s="1020" t="s">
        <v>1257</v>
      </c>
      <c r="AF701" s="1020" t="s">
        <v>1258</v>
      </c>
      <c r="AG701" s="1019" t="s">
        <v>125</v>
      </c>
      <c r="AH701" s="1019">
        <v>1</v>
      </c>
      <c r="AI701" s="1021"/>
      <c r="AJ701" s="617">
        <v>0</v>
      </c>
      <c r="AK701" s="621" t="s">
        <v>102</v>
      </c>
      <c r="AL701">
        <f t="shared" si="6"/>
        <v>1</v>
      </c>
      <c r="AM701" s="1017">
        <v>1</v>
      </c>
      <c r="AN701" s="1018">
        <v>1</v>
      </c>
      <c r="AO701" s="1018"/>
      <c r="AP701" s="1026"/>
      <c r="AQ701" s="633"/>
      <c r="AS701" s="634"/>
      <c r="AT701" s="1026"/>
      <c r="AU701" s="1026"/>
      <c r="AV701" s="1026"/>
      <c r="AW701" s="633"/>
    </row>
    <row r="702" spans="26:49" ht="14.5" hidden="1" x14ac:dyDescent="0.35">
      <c r="Z702" s="642"/>
      <c r="AA702" s="642"/>
      <c r="AB702" s="642"/>
      <c r="AC702" s="609" t="s">
        <v>1259</v>
      </c>
      <c r="AD702" s="1025" t="s">
        <v>1259</v>
      </c>
      <c r="AE702" s="1025" t="s">
        <v>1260</v>
      </c>
      <c r="AF702" s="1025" t="s">
        <v>1261</v>
      </c>
      <c r="AG702" s="1025" t="s">
        <v>61</v>
      </c>
      <c r="AH702" s="1019">
        <v>2</v>
      </c>
      <c r="AI702" s="1021"/>
      <c r="AJ702" s="617">
        <v>0</v>
      </c>
      <c r="AK702" s="621" t="s">
        <v>62</v>
      </c>
      <c r="AL702">
        <f t="shared" si="6"/>
        <v>0</v>
      </c>
      <c r="AM702" s="1017">
        <v>1</v>
      </c>
      <c r="AN702" s="1018"/>
      <c r="AO702" s="1018"/>
      <c r="AP702" s="1016"/>
      <c r="AQ702" s="628"/>
      <c r="AS702" s="627"/>
      <c r="AT702" s="1016"/>
      <c r="AU702" s="1016"/>
      <c r="AV702" s="1016"/>
      <c r="AW702" s="628"/>
    </row>
    <row r="703" spans="26:49" ht="14.5" hidden="1" x14ac:dyDescent="0.35">
      <c r="Z703" s="642"/>
      <c r="AA703" s="642"/>
      <c r="AB703" s="642"/>
      <c r="AC703" s="607" t="s">
        <v>1262</v>
      </c>
      <c r="AD703" s="1019" t="s">
        <v>1262</v>
      </c>
      <c r="AE703" s="1020" t="s">
        <v>1263</v>
      </c>
      <c r="AF703" s="1020" t="s">
        <v>1264</v>
      </c>
      <c r="AG703" s="1019" t="s">
        <v>61</v>
      </c>
      <c r="AH703" s="1019">
        <v>2</v>
      </c>
      <c r="AI703" s="1021"/>
      <c r="AJ703" s="617">
        <v>0</v>
      </c>
      <c r="AK703" s="621" t="s">
        <v>62</v>
      </c>
      <c r="AL703">
        <f t="shared" si="6"/>
        <v>0</v>
      </c>
      <c r="AM703" s="1017">
        <v>1</v>
      </c>
      <c r="AN703" s="1018">
        <v>1</v>
      </c>
      <c r="AO703" s="1018"/>
      <c r="AP703" s="1016"/>
      <c r="AQ703" s="628"/>
      <c r="AS703" s="627"/>
      <c r="AT703" s="1016"/>
      <c r="AU703" s="1016"/>
      <c r="AV703" s="1016"/>
      <c r="AW703" s="628"/>
    </row>
    <row r="704" spans="26:49" ht="14.5" hidden="1" x14ac:dyDescent="0.35">
      <c r="Z704" s="642"/>
      <c r="AA704" s="642"/>
      <c r="AB704" s="642"/>
      <c r="AC704" s="607" t="s">
        <v>1265</v>
      </c>
      <c r="AD704" s="1019" t="s">
        <v>1265</v>
      </c>
      <c r="AE704" s="1020" t="s">
        <v>1266</v>
      </c>
      <c r="AF704" s="1020" t="s">
        <v>1267</v>
      </c>
      <c r="AG704" s="1019" t="s">
        <v>61</v>
      </c>
      <c r="AH704" s="1019">
        <v>2</v>
      </c>
      <c r="AI704" s="1021"/>
      <c r="AJ704" s="617">
        <v>0</v>
      </c>
      <c r="AK704" s="621" t="s">
        <v>62</v>
      </c>
      <c r="AL704">
        <f t="shared" si="6"/>
        <v>0</v>
      </c>
      <c r="AM704" s="1017">
        <v>1</v>
      </c>
      <c r="AN704" s="1018">
        <v>1</v>
      </c>
      <c r="AO704" s="1018"/>
      <c r="AP704" s="1016"/>
      <c r="AQ704" s="628"/>
      <c r="AS704" s="627"/>
      <c r="AT704" s="1016"/>
      <c r="AU704" s="1016"/>
      <c r="AV704" s="1016"/>
      <c r="AW704" s="628"/>
    </row>
    <row r="705" spans="26:49" ht="14.5" hidden="1" x14ac:dyDescent="0.35">
      <c r="Z705" s="642"/>
      <c r="AA705" s="642"/>
      <c r="AB705" s="642"/>
      <c r="AC705" s="607" t="s">
        <v>1268</v>
      </c>
      <c r="AD705" s="1019" t="s">
        <v>1268</v>
      </c>
      <c r="AE705" s="1020" t="s">
        <v>1269</v>
      </c>
      <c r="AF705" s="1020" t="s">
        <v>1270</v>
      </c>
      <c r="AG705" s="1019" t="s">
        <v>129</v>
      </c>
      <c r="AH705" s="1019">
        <v>7</v>
      </c>
      <c r="AI705" s="1021"/>
      <c r="AJ705" s="617">
        <v>0</v>
      </c>
      <c r="AK705" s="621" t="s">
        <v>93</v>
      </c>
      <c r="AL705">
        <f t="shared" si="6"/>
        <v>0</v>
      </c>
      <c r="AM705" s="1017" t="s">
        <v>84</v>
      </c>
      <c r="AN705" s="1018"/>
      <c r="AO705" s="1018"/>
      <c r="AP705" s="1016"/>
      <c r="AQ705" s="628"/>
      <c r="AS705" s="627"/>
      <c r="AT705" s="1016"/>
      <c r="AU705" s="1016"/>
      <c r="AV705" s="1016"/>
      <c r="AW705" s="628"/>
    </row>
    <row r="706" spans="26:49" ht="14.5" hidden="1" x14ac:dyDescent="0.35">
      <c r="Z706" s="642"/>
      <c r="AA706" s="642"/>
      <c r="AB706" s="642"/>
      <c r="AC706" s="607" t="s">
        <v>1271</v>
      </c>
      <c r="AD706" s="1019" t="s">
        <v>1271</v>
      </c>
      <c r="AE706" s="1020" t="s">
        <v>1272</v>
      </c>
      <c r="AF706" s="1020" t="s">
        <v>1273</v>
      </c>
      <c r="AG706" s="1019" t="s">
        <v>71</v>
      </c>
      <c r="AH706" s="1019">
        <v>4</v>
      </c>
      <c r="AI706" s="1021"/>
      <c r="AJ706" s="617">
        <v>0</v>
      </c>
      <c r="AK706" s="621" t="s">
        <v>93</v>
      </c>
      <c r="AL706">
        <f t="shared" si="6"/>
        <v>0</v>
      </c>
      <c r="AM706" s="1017" t="s">
        <v>84</v>
      </c>
      <c r="AN706" s="1018"/>
      <c r="AO706" s="1018"/>
      <c r="AP706" s="1016"/>
      <c r="AQ706" s="628"/>
      <c r="AS706" s="627"/>
      <c r="AT706" s="1016"/>
      <c r="AU706" s="1016"/>
      <c r="AV706" s="1016"/>
      <c r="AW706" s="628"/>
    </row>
    <row r="707" spans="26:49" ht="14.5" hidden="1" x14ac:dyDescent="0.35">
      <c r="Z707" s="642"/>
      <c r="AA707" s="642"/>
      <c r="AB707" s="642"/>
      <c r="AC707" s="607" t="s">
        <v>1274</v>
      </c>
      <c r="AD707" s="1019" t="s">
        <v>1274</v>
      </c>
      <c r="AE707" s="1020" t="s">
        <v>1275</v>
      </c>
      <c r="AF707" s="1020" t="s">
        <v>1276</v>
      </c>
      <c r="AG707" s="1019" t="s">
        <v>114</v>
      </c>
      <c r="AH707" s="1019">
        <v>3</v>
      </c>
      <c r="AI707" s="1021"/>
      <c r="AJ707" s="617">
        <v>0</v>
      </c>
      <c r="AK707" s="621" t="s">
        <v>661</v>
      </c>
      <c r="AL707">
        <f t="shared" si="6"/>
        <v>0</v>
      </c>
      <c r="AM707" s="1017" t="s">
        <v>84</v>
      </c>
      <c r="AN707" s="1018"/>
      <c r="AO707" s="1018"/>
      <c r="AP707" s="1016"/>
      <c r="AQ707" s="628"/>
      <c r="AS707" s="627"/>
      <c r="AT707" s="1016"/>
      <c r="AU707" s="1016"/>
      <c r="AV707" s="1016"/>
      <c r="AW707" s="628"/>
    </row>
    <row r="708" spans="26:49" ht="14.5" hidden="1" x14ac:dyDescent="0.35">
      <c r="Z708" s="642"/>
      <c r="AA708" s="642"/>
      <c r="AB708" s="642"/>
      <c r="AC708" s="608" t="s">
        <v>1277</v>
      </c>
      <c r="AD708" s="1022" t="s">
        <v>1277</v>
      </c>
      <c r="AE708" s="1023" t="s">
        <v>1278</v>
      </c>
      <c r="AF708" s="1023" t="s">
        <v>1279</v>
      </c>
      <c r="AG708" s="1022" t="s">
        <v>75</v>
      </c>
      <c r="AH708" s="1019">
        <v>4</v>
      </c>
      <c r="AI708" s="1021"/>
      <c r="AJ708" s="617">
        <v>1</v>
      </c>
      <c r="AK708" s="621" t="s">
        <v>88</v>
      </c>
      <c r="AL708">
        <f t="shared" si="6"/>
        <v>0</v>
      </c>
      <c r="AM708" s="1017" t="s">
        <v>84</v>
      </c>
      <c r="AN708" s="1018"/>
      <c r="AO708" s="1018"/>
      <c r="AP708" s="1016"/>
      <c r="AQ708" s="628"/>
      <c r="AS708" s="627"/>
      <c r="AT708" s="1016"/>
      <c r="AU708" s="1016"/>
      <c r="AV708" s="1016"/>
      <c r="AW708" s="628"/>
    </row>
    <row r="709" spans="26:49" ht="14.5" hidden="1" x14ac:dyDescent="0.35">
      <c r="Z709" s="642"/>
      <c r="AA709" s="642"/>
      <c r="AB709" s="642"/>
      <c r="AC709" s="607" t="s">
        <v>1280</v>
      </c>
      <c r="AD709" s="1019" t="s">
        <v>1280</v>
      </c>
      <c r="AE709" s="1020" t="s">
        <v>1281</v>
      </c>
      <c r="AF709" s="1020" t="s">
        <v>1282</v>
      </c>
      <c r="AG709" s="1019" t="s">
        <v>71</v>
      </c>
      <c r="AH709" s="1019">
        <v>4</v>
      </c>
      <c r="AI709" s="1027"/>
      <c r="AJ709" s="617">
        <v>1</v>
      </c>
      <c r="AK709" s="621" t="s">
        <v>88</v>
      </c>
      <c r="AL709">
        <f t="shared" si="6"/>
        <v>0</v>
      </c>
      <c r="AM709" s="1017" t="s">
        <v>84</v>
      </c>
      <c r="AN709" s="1018"/>
      <c r="AO709" s="1018"/>
      <c r="AP709" s="1016"/>
      <c r="AQ709" s="628"/>
      <c r="AS709" s="627"/>
      <c r="AT709" s="1016"/>
      <c r="AU709" s="1016"/>
      <c r="AV709" s="1016"/>
      <c r="AW709" s="628"/>
    </row>
    <row r="710" spans="26:49" ht="14.5" hidden="1" x14ac:dyDescent="0.35">
      <c r="AC710" s="607" t="s">
        <v>1283</v>
      </c>
      <c r="AD710" s="1019" t="s">
        <v>1283</v>
      </c>
      <c r="AE710" s="1020" t="s">
        <v>1284</v>
      </c>
      <c r="AF710" s="1020" t="s">
        <v>1285</v>
      </c>
      <c r="AG710" s="1019" t="s">
        <v>125</v>
      </c>
      <c r="AH710" s="1019">
        <v>1</v>
      </c>
      <c r="AI710" s="1027"/>
      <c r="AJ710" s="729"/>
      <c r="AK710" s="621" t="s">
        <v>102</v>
      </c>
      <c r="AL710">
        <f t="shared" si="6"/>
        <v>1</v>
      </c>
      <c r="AM710" s="1034">
        <v>1</v>
      </c>
      <c r="AN710" s="1035">
        <v>1</v>
      </c>
      <c r="AO710" s="1018"/>
      <c r="AP710" s="1016"/>
      <c r="AQ710" s="628"/>
      <c r="AS710" s="627"/>
      <c r="AT710" s="1016"/>
      <c r="AU710" s="1016"/>
      <c r="AV710" s="1016"/>
      <c r="AW710" s="628"/>
    </row>
    <row r="711" spans="26:49" ht="14.5" hidden="1" x14ac:dyDescent="0.35">
      <c r="Z711" s="642"/>
      <c r="AA711" s="642"/>
      <c r="AB711" s="642"/>
      <c r="AC711" s="607" t="s">
        <v>1286</v>
      </c>
      <c r="AD711" s="1019" t="s">
        <v>1286</v>
      </c>
      <c r="AE711" s="1020" t="s">
        <v>1287</v>
      </c>
      <c r="AF711" s="1020" t="s">
        <v>1288</v>
      </c>
      <c r="AG711" s="1019" t="s">
        <v>114</v>
      </c>
      <c r="AH711" s="1019">
        <v>3</v>
      </c>
      <c r="AI711" s="1021"/>
      <c r="AJ711" s="617">
        <v>0</v>
      </c>
      <c r="AK711" s="621" t="s">
        <v>344</v>
      </c>
      <c r="AL711">
        <f t="shared" si="6"/>
        <v>0</v>
      </c>
      <c r="AM711" s="1017" t="s">
        <v>84</v>
      </c>
      <c r="AN711" s="1018"/>
      <c r="AO711" s="1018"/>
      <c r="AP711" s="1016"/>
      <c r="AQ711" s="628"/>
      <c r="AS711" s="627"/>
      <c r="AT711" s="1016"/>
      <c r="AU711" s="1016"/>
      <c r="AV711" s="1016"/>
      <c r="AW711" s="628"/>
    </row>
    <row r="712" spans="26:49" ht="14.5" hidden="1" x14ac:dyDescent="0.35">
      <c r="Z712" s="642"/>
      <c r="AA712" s="642"/>
      <c r="AB712" s="642"/>
      <c r="AC712" s="607" t="s">
        <v>1289</v>
      </c>
      <c r="AD712" s="1019" t="s">
        <v>1289</v>
      </c>
      <c r="AE712" s="1020" t="s">
        <v>1290</v>
      </c>
      <c r="AF712" s="1020" t="s">
        <v>1291</v>
      </c>
      <c r="AG712" s="1019" t="s">
        <v>61</v>
      </c>
      <c r="AH712" s="1019">
        <v>2</v>
      </c>
      <c r="AI712" s="1021"/>
      <c r="AJ712" s="617">
        <v>0</v>
      </c>
      <c r="AK712" s="621" t="s">
        <v>62</v>
      </c>
      <c r="AL712">
        <f t="shared" si="6"/>
        <v>0</v>
      </c>
      <c r="AM712" s="1017">
        <v>1</v>
      </c>
      <c r="AN712" s="1018"/>
      <c r="AO712" s="1018"/>
      <c r="AP712" s="1016"/>
      <c r="AQ712" s="628"/>
      <c r="AS712" s="627"/>
      <c r="AT712" s="1016"/>
      <c r="AU712" s="1016"/>
      <c r="AV712" s="1016"/>
      <c r="AW712" s="628"/>
    </row>
    <row r="713" spans="26:49" ht="14.5" hidden="1" x14ac:dyDescent="0.35">
      <c r="Z713" s="642"/>
      <c r="AA713" s="642"/>
      <c r="AB713" s="642"/>
      <c r="AC713" s="608" t="s">
        <v>1292</v>
      </c>
      <c r="AD713" s="1022" t="s">
        <v>1292</v>
      </c>
      <c r="AE713" s="1023" t="s">
        <v>1293</v>
      </c>
      <c r="AF713" s="1023" t="s">
        <v>1294</v>
      </c>
      <c r="AG713" s="1019" t="s">
        <v>61</v>
      </c>
      <c r="AH713" s="1019">
        <v>2</v>
      </c>
      <c r="AI713" s="1021"/>
      <c r="AJ713" s="617"/>
      <c r="AK713" s="621" t="s">
        <v>62</v>
      </c>
      <c r="AL713">
        <f t="shared" si="6"/>
        <v>0</v>
      </c>
      <c r="AM713" s="1017">
        <v>1</v>
      </c>
      <c r="AN713" s="1018"/>
      <c r="AO713" s="1018"/>
      <c r="AP713" s="1016"/>
      <c r="AQ713" s="628"/>
      <c r="AS713" s="627"/>
      <c r="AT713" s="1016"/>
      <c r="AU713" s="1016"/>
      <c r="AV713" s="1016"/>
      <c r="AW713" s="628"/>
    </row>
    <row r="714" spans="26:49" ht="14.5" hidden="1" x14ac:dyDescent="0.35">
      <c r="Z714" s="642"/>
      <c r="AA714" s="642"/>
      <c r="AB714" s="642"/>
      <c r="AC714" s="607" t="s">
        <v>1295</v>
      </c>
      <c r="AD714" s="1019" t="s">
        <v>1295</v>
      </c>
      <c r="AE714" s="1020" t="s">
        <v>1296</v>
      </c>
      <c r="AF714" s="1020" t="s">
        <v>1297</v>
      </c>
      <c r="AG714" s="1019" t="s">
        <v>57</v>
      </c>
      <c r="AH714" s="1019">
        <v>1</v>
      </c>
      <c r="AI714" s="1021"/>
      <c r="AJ714" s="617">
        <v>1</v>
      </c>
      <c r="AK714" s="621" t="s">
        <v>109</v>
      </c>
      <c r="AL714">
        <f t="shared" si="6"/>
        <v>1</v>
      </c>
      <c r="AM714" s="1017" t="s">
        <v>84</v>
      </c>
      <c r="AN714" s="1018"/>
      <c r="AO714" s="1018"/>
      <c r="AP714" s="1016"/>
      <c r="AQ714" s="628"/>
      <c r="AS714" s="627"/>
      <c r="AT714" s="1016"/>
      <c r="AU714" s="1016"/>
      <c r="AV714" s="1016"/>
      <c r="AW714" s="628"/>
    </row>
    <row r="715" spans="26:49" ht="14.5" hidden="1" x14ac:dyDescent="0.35">
      <c r="Z715" s="642"/>
      <c r="AA715" s="642"/>
      <c r="AB715" s="642"/>
      <c r="AC715" s="607" t="s">
        <v>1298</v>
      </c>
      <c r="AD715" s="1019" t="s">
        <v>1298</v>
      </c>
      <c r="AE715" s="1020" t="s">
        <v>1299</v>
      </c>
      <c r="AF715" s="1020" t="s">
        <v>1300</v>
      </c>
      <c r="AG715" s="1019" t="s">
        <v>114</v>
      </c>
      <c r="AH715" s="1019">
        <v>3</v>
      </c>
      <c r="AI715" s="1021"/>
      <c r="AJ715" s="617">
        <v>0</v>
      </c>
      <c r="AK715" s="621" t="s">
        <v>344</v>
      </c>
      <c r="AL715">
        <f t="shared" si="6"/>
        <v>0</v>
      </c>
      <c r="AM715" s="1017" t="s">
        <v>84</v>
      </c>
      <c r="AN715" s="1018"/>
      <c r="AO715" s="1018"/>
      <c r="AP715" s="1016"/>
      <c r="AQ715" s="628"/>
      <c r="AS715" s="627"/>
      <c r="AT715" s="1016"/>
      <c r="AU715" s="1016"/>
      <c r="AV715" s="1016"/>
      <c r="AW715" s="628"/>
    </row>
    <row r="716" spans="26:49" ht="14.5" hidden="1" x14ac:dyDescent="0.35">
      <c r="Z716" s="642"/>
      <c r="AA716" s="642"/>
      <c r="AB716" s="642"/>
      <c r="AC716" s="611" t="s">
        <v>6027</v>
      </c>
      <c r="AD716" s="1031" t="s">
        <v>6027</v>
      </c>
      <c r="AE716" s="1020" t="s">
        <v>1302</v>
      </c>
      <c r="AF716" s="1020" t="s">
        <v>1303</v>
      </c>
      <c r="AG716" s="1019" t="s">
        <v>75</v>
      </c>
      <c r="AH716" s="1019">
        <v>4</v>
      </c>
      <c r="AI716" s="1021"/>
      <c r="AJ716" s="617">
        <v>0</v>
      </c>
      <c r="AK716" s="621" t="s">
        <v>93</v>
      </c>
      <c r="AL716">
        <f t="shared" si="6"/>
        <v>0</v>
      </c>
      <c r="AM716" s="1017" t="s">
        <v>84</v>
      </c>
      <c r="AN716" s="1018"/>
      <c r="AO716" s="1018"/>
      <c r="AP716" s="1026"/>
      <c r="AQ716" s="633"/>
      <c r="AS716" s="632"/>
      <c r="AT716" s="1026"/>
      <c r="AU716" s="1026"/>
      <c r="AV716" s="1026"/>
      <c r="AW716" s="633"/>
    </row>
    <row r="717" spans="26:49" ht="14.5" hidden="1" x14ac:dyDescent="0.35">
      <c r="Z717" s="642"/>
      <c r="AA717" s="642"/>
      <c r="AB717" s="642"/>
      <c r="AC717" s="609" t="s">
        <v>1304</v>
      </c>
      <c r="AD717" s="1025" t="s">
        <v>1304</v>
      </c>
      <c r="AE717" s="1025" t="s">
        <v>1305</v>
      </c>
      <c r="AF717" s="1025" t="s">
        <v>1306</v>
      </c>
      <c r="AG717" s="1025" t="s">
        <v>71</v>
      </c>
      <c r="AH717" s="1019">
        <v>4</v>
      </c>
      <c r="AI717" s="1021"/>
      <c r="AJ717" s="617">
        <v>0</v>
      </c>
      <c r="AK717" s="621" t="s">
        <v>93</v>
      </c>
      <c r="AL717">
        <f t="shared" si="6"/>
        <v>0</v>
      </c>
      <c r="AM717" s="1017" t="s">
        <v>84</v>
      </c>
      <c r="AN717" s="1018"/>
      <c r="AO717" s="1018"/>
      <c r="AP717" s="1016"/>
      <c r="AQ717" s="628"/>
      <c r="AS717" s="627"/>
      <c r="AT717" s="1016"/>
      <c r="AU717" s="1016"/>
      <c r="AV717" s="1016"/>
      <c r="AW717" s="628"/>
    </row>
    <row r="718" spans="26:49" ht="14.5" hidden="1" x14ac:dyDescent="0.35">
      <c r="Z718" s="642"/>
      <c r="AA718" s="642"/>
      <c r="AB718" s="642"/>
      <c r="AC718" s="609" t="s">
        <v>1307</v>
      </c>
      <c r="AD718" s="1025" t="s">
        <v>1307</v>
      </c>
      <c r="AE718" s="1025" t="s">
        <v>1308</v>
      </c>
      <c r="AF718" s="1025" t="s">
        <v>1309</v>
      </c>
      <c r="AG718" s="1022" t="s">
        <v>129</v>
      </c>
      <c r="AH718" s="1022">
        <v>7</v>
      </c>
      <c r="AI718" s="1021"/>
      <c r="AJ718" s="617">
        <v>0</v>
      </c>
      <c r="AK718" s="621" t="s">
        <v>93</v>
      </c>
      <c r="AL718">
        <f t="shared" si="6"/>
        <v>0</v>
      </c>
      <c r="AM718" s="1017" t="s">
        <v>84</v>
      </c>
      <c r="AN718" s="1018"/>
      <c r="AO718" s="1018"/>
      <c r="AP718" s="1016"/>
      <c r="AQ718" s="628"/>
      <c r="AS718" s="627"/>
      <c r="AT718" s="1016"/>
      <c r="AU718" s="1016"/>
      <c r="AV718" s="1016"/>
      <c r="AW718" s="628"/>
    </row>
    <row r="719" spans="26:49" ht="14.5" hidden="1" x14ac:dyDescent="0.35">
      <c r="Z719" s="642"/>
      <c r="AA719" s="642"/>
      <c r="AB719" s="642"/>
      <c r="AC719" s="609" t="s">
        <v>1310</v>
      </c>
      <c r="AD719" s="1025" t="s">
        <v>1310</v>
      </c>
      <c r="AE719" s="1023" t="s">
        <v>1311</v>
      </c>
      <c r="AF719" s="1023" t="s">
        <v>1312</v>
      </c>
      <c r="AG719" s="1019" t="s">
        <v>89</v>
      </c>
      <c r="AH719" s="1022">
        <v>1</v>
      </c>
      <c r="AI719" s="1021"/>
      <c r="AJ719" s="617">
        <v>1</v>
      </c>
      <c r="AK719" s="621" t="s">
        <v>109</v>
      </c>
      <c r="AL719">
        <f t="shared" si="6"/>
        <v>1</v>
      </c>
      <c r="AM719" s="1017">
        <v>1</v>
      </c>
      <c r="AN719" s="1018">
        <v>1</v>
      </c>
      <c r="AO719" s="1018"/>
      <c r="AP719" s="1026"/>
      <c r="AQ719" s="633"/>
      <c r="AS719" s="632"/>
      <c r="AT719" s="1026"/>
      <c r="AU719" s="1026"/>
      <c r="AV719" s="1026"/>
      <c r="AW719" s="633"/>
    </row>
    <row r="720" spans="26:49" ht="14.5" hidden="1" x14ac:dyDescent="0.35">
      <c r="Z720" s="642"/>
      <c r="AA720" s="642"/>
      <c r="AB720" s="642"/>
      <c r="AC720" s="609" t="s">
        <v>1313</v>
      </c>
      <c r="AD720" s="1025" t="s">
        <v>1313</v>
      </c>
      <c r="AE720" s="1025" t="s">
        <v>1314</v>
      </c>
      <c r="AF720" s="1025" t="s">
        <v>1315</v>
      </c>
      <c r="AG720" s="1025" t="s">
        <v>97</v>
      </c>
      <c r="AH720" s="1019">
        <v>1</v>
      </c>
      <c r="AI720" s="1021"/>
      <c r="AJ720" s="617">
        <v>1</v>
      </c>
      <c r="AK720" s="621" t="s">
        <v>109</v>
      </c>
      <c r="AL720">
        <f t="shared" si="6"/>
        <v>1</v>
      </c>
      <c r="AM720" s="1017">
        <v>1</v>
      </c>
      <c r="AN720" s="1018"/>
      <c r="AO720" s="1018"/>
      <c r="AP720" s="1016"/>
      <c r="AQ720" s="628"/>
      <c r="AS720" s="627"/>
      <c r="AT720" s="1016"/>
      <c r="AU720" s="1016"/>
      <c r="AV720" s="1016"/>
      <c r="AW720" s="628"/>
    </row>
    <row r="721" spans="26:49" ht="14.5" hidden="1" x14ac:dyDescent="0.35">
      <c r="Z721" s="642"/>
      <c r="AA721" s="642"/>
      <c r="AB721" s="642"/>
      <c r="AC721" s="607" t="s">
        <v>1316</v>
      </c>
      <c r="AD721" s="1019" t="s">
        <v>1316</v>
      </c>
      <c r="AE721" s="1020" t="s">
        <v>1317</v>
      </c>
      <c r="AF721" s="1020" t="s">
        <v>1318</v>
      </c>
      <c r="AG721" s="1019" t="s">
        <v>125</v>
      </c>
      <c r="AH721" s="1019">
        <v>1</v>
      </c>
      <c r="AI721" s="1021"/>
      <c r="AJ721" s="617">
        <v>0</v>
      </c>
      <c r="AK721" s="621" t="s">
        <v>102</v>
      </c>
      <c r="AL721">
        <f t="shared" si="6"/>
        <v>1</v>
      </c>
      <c r="AM721" s="1017">
        <v>1</v>
      </c>
      <c r="AN721" s="1018">
        <v>1</v>
      </c>
      <c r="AO721" s="1018"/>
      <c r="AP721" s="1016"/>
      <c r="AQ721" s="628"/>
      <c r="AS721" s="627"/>
      <c r="AT721" s="1016"/>
      <c r="AU721" s="1016"/>
      <c r="AV721" s="1016"/>
      <c r="AW721" s="628"/>
    </row>
    <row r="722" spans="26:49" ht="14.5" hidden="1" x14ac:dyDescent="0.35">
      <c r="Z722" s="642"/>
      <c r="AA722" s="642"/>
      <c r="AB722" s="642"/>
      <c r="AC722" s="607" t="s">
        <v>1319</v>
      </c>
      <c r="AD722" s="1019" t="s">
        <v>1319</v>
      </c>
      <c r="AE722" s="1020" t="s">
        <v>1320</v>
      </c>
      <c r="AF722" s="1020" t="s">
        <v>1321</v>
      </c>
      <c r="AG722" s="1019" t="s">
        <v>71</v>
      </c>
      <c r="AH722" s="1019">
        <v>4</v>
      </c>
      <c r="AI722" s="1021"/>
      <c r="AJ722" s="617">
        <v>0</v>
      </c>
      <c r="AK722" s="621" t="s">
        <v>93</v>
      </c>
      <c r="AL722">
        <f t="shared" si="6"/>
        <v>0</v>
      </c>
      <c r="AM722" s="1017" t="s">
        <v>84</v>
      </c>
      <c r="AN722" s="1018"/>
      <c r="AO722" s="1018"/>
      <c r="AP722" s="1016"/>
      <c r="AQ722" s="628"/>
      <c r="AS722" s="627"/>
      <c r="AT722" s="1016"/>
      <c r="AU722" s="1016"/>
      <c r="AV722" s="1016"/>
      <c r="AW722" s="628"/>
    </row>
    <row r="723" spans="26:49" ht="14.5" hidden="1" x14ac:dyDescent="0.35">
      <c r="Z723" s="642"/>
      <c r="AA723" s="642"/>
      <c r="AB723" s="642"/>
      <c r="AC723" s="608" t="s">
        <v>1322</v>
      </c>
      <c r="AD723" s="1022" t="s">
        <v>1322</v>
      </c>
      <c r="AE723" s="1023" t="s">
        <v>1323</v>
      </c>
      <c r="AF723" s="1023" t="s">
        <v>1324</v>
      </c>
      <c r="AG723" s="1022" t="s">
        <v>61</v>
      </c>
      <c r="AH723" s="1019">
        <v>2</v>
      </c>
      <c r="AI723" s="1021"/>
      <c r="AJ723" s="617">
        <v>1</v>
      </c>
      <c r="AK723" s="621" t="s">
        <v>83</v>
      </c>
      <c r="AL723">
        <f t="shared" si="6"/>
        <v>0</v>
      </c>
      <c r="AM723" s="1017">
        <v>1</v>
      </c>
      <c r="AN723" s="1018">
        <v>1</v>
      </c>
      <c r="AO723" s="1018"/>
      <c r="AP723" s="1016"/>
      <c r="AQ723" s="628"/>
      <c r="AS723" s="627"/>
      <c r="AT723" s="1016"/>
      <c r="AU723" s="1016"/>
      <c r="AV723" s="1016"/>
      <c r="AW723" s="628"/>
    </row>
    <row r="724" spans="26:49" ht="14.5" hidden="1" x14ac:dyDescent="0.35">
      <c r="Z724" s="642"/>
      <c r="AA724" s="642"/>
      <c r="AB724" s="642"/>
      <c r="AC724" s="611" t="s">
        <v>1325</v>
      </c>
      <c r="AD724" s="1031" t="s">
        <v>1325</v>
      </c>
      <c r="AE724" s="1020" t="s">
        <v>1326</v>
      </c>
      <c r="AF724" s="1020" t="s">
        <v>1327</v>
      </c>
      <c r="AG724" s="1019" t="s">
        <v>125</v>
      </c>
      <c r="AH724" s="1019">
        <v>1</v>
      </c>
      <c r="AI724" s="1024"/>
      <c r="AJ724" s="617">
        <v>0</v>
      </c>
      <c r="AK724" s="621" t="s">
        <v>102</v>
      </c>
      <c r="AL724">
        <f t="shared" si="6"/>
        <v>1</v>
      </c>
      <c r="AM724" s="1017">
        <v>1</v>
      </c>
      <c r="AN724" s="1018">
        <v>1</v>
      </c>
      <c r="AO724" s="1018"/>
      <c r="AP724" s="1016"/>
      <c r="AQ724" s="628"/>
      <c r="AS724" s="627"/>
      <c r="AT724" s="1016"/>
      <c r="AU724" s="1016"/>
      <c r="AV724" s="1016"/>
      <c r="AW724" s="628"/>
    </row>
    <row r="725" spans="26:49" ht="14.5" hidden="1" x14ac:dyDescent="0.35">
      <c r="Z725" s="642"/>
      <c r="AA725" s="642"/>
      <c r="AB725" s="642"/>
      <c r="AC725" s="609" t="s">
        <v>1328</v>
      </c>
      <c r="AD725" s="1025" t="s">
        <v>1328</v>
      </c>
      <c r="AE725" s="1025" t="s">
        <v>1329</v>
      </c>
      <c r="AF725" s="1025" t="s">
        <v>1330</v>
      </c>
      <c r="AG725" s="1019" t="s">
        <v>97</v>
      </c>
      <c r="AH725" s="1019">
        <v>1</v>
      </c>
      <c r="AI725" s="1032"/>
      <c r="AJ725" s="617">
        <v>0</v>
      </c>
      <c r="AK725" s="621" t="s">
        <v>102</v>
      </c>
      <c r="AL725">
        <f t="shared" si="6"/>
        <v>1</v>
      </c>
      <c r="AM725" s="1017">
        <v>1</v>
      </c>
      <c r="AN725" s="1018"/>
      <c r="AO725" s="1018"/>
      <c r="AP725" s="1016"/>
      <c r="AQ725" s="628"/>
      <c r="AS725" s="627"/>
      <c r="AT725" s="1016"/>
      <c r="AU725" s="1016"/>
      <c r="AV725" s="1016"/>
      <c r="AW725" s="628"/>
    </row>
    <row r="726" spans="26:49" ht="14.5" hidden="1" x14ac:dyDescent="0.35">
      <c r="Z726" s="642"/>
      <c r="AA726" s="642"/>
      <c r="AB726" s="642"/>
      <c r="AC726" s="609" t="s">
        <v>1331</v>
      </c>
      <c r="AD726" s="1025" t="s">
        <v>1331</v>
      </c>
      <c r="AE726" s="1025" t="s">
        <v>1332</v>
      </c>
      <c r="AF726" s="1025" t="s">
        <v>1333</v>
      </c>
      <c r="AG726" s="1025" t="s">
        <v>61</v>
      </c>
      <c r="AH726" s="1019">
        <v>2</v>
      </c>
      <c r="AI726" s="1021"/>
      <c r="AJ726" s="617">
        <v>1</v>
      </c>
      <c r="AK726" s="621" t="s">
        <v>83</v>
      </c>
      <c r="AL726">
        <f t="shared" si="6"/>
        <v>0</v>
      </c>
      <c r="AM726" s="1017">
        <v>1</v>
      </c>
      <c r="AN726" s="1018">
        <v>1</v>
      </c>
      <c r="AO726" s="1018"/>
      <c r="AP726" s="1026"/>
      <c r="AQ726" s="633"/>
      <c r="AS726" s="632"/>
      <c r="AT726" s="1026"/>
      <c r="AU726" s="1026"/>
      <c r="AV726" s="1026"/>
      <c r="AW726" s="633"/>
    </row>
    <row r="727" spans="26:49" ht="14.5" hidden="1" x14ac:dyDescent="0.35">
      <c r="Z727" s="642"/>
      <c r="AA727" s="642"/>
      <c r="AB727" s="642"/>
      <c r="AC727" s="607" t="s">
        <v>1334</v>
      </c>
      <c r="AD727" s="1019" t="s">
        <v>1334</v>
      </c>
      <c r="AE727" s="1020" t="s">
        <v>1335</v>
      </c>
      <c r="AF727" s="1020" t="s">
        <v>1336</v>
      </c>
      <c r="AG727" s="1019" t="s">
        <v>125</v>
      </c>
      <c r="AH727" s="1019">
        <v>1</v>
      </c>
      <c r="AI727" s="1021"/>
      <c r="AJ727" s="617">
        <v>1</v>
      </c>
      <c r="AK727" s="621" t="s">
        <v>109</v>
      </c>
      <c r="AL727">
        <f t="shared" si="6"/>
        <v>1</v>
      </c>
      <c r="AM727" s="1017">
        <v>1</v>
      </c>
      <c r="AN727" s="1018">
        <v>1</v>
      </c>
      <c r="AO727" s="1018"/>
      <c r="AP727" s="1016"/>
      <c r="AQ727" s="628"/>
      <c r="AS727" s="627"/>
      <c r="AT727" s="1016"/>
      <c r="AU727" s="1016"/>
      <c r="AV727" s="1016"/>
      <c r="AW727" s="628"/>
    </row>
    <row r="728" spans="26:49" ht="14.5" hidden="1" x14ac:dyDescent="0.35">
      <c r="Z728" s="642"/>
      <c r="AA728" s="642"/>
      <c r="AB728" s="642"/>
      <c r="AC728" s="607" t="s">
        <v>1337</v>
      </c>
      <c r="AD728" s="1019" t="s">
        <v>1337</v>
      </c>
      <c r="AE728" s="1020" t="s">
        <v>1338</v>
      </c>
      <c r="AF728" s="1020" t="s">
        <v>1339</v>
      </c>
      <c r="AG728" s="1019" t="s">
        <v>97</v>
      </c>
      <c r="AH728" s="1019">
        <v>1</v>
      </c>
      <c r="AI728" s="1021"/>
      <c r="AJ728" s="617">
        <v>0</v>
      </c>
      <c r="AK728" s="621" t="s">
        <v>102</v>
      </c>
      <c r="AL728">
        <f t="shared" si="6"/>
        <v>1</v>
      </c>
      <c r="AM728" s="1017">
        <v>1</v>
      </c>
      <c r="AN728" s="1018"/>
      <c r="AO728" s="1018"/>
      <c r="AP728" s="1016"/>
      <c r="AQ728" s="628"/>
      <c r="AS728" s="627"/>
      <c r="AT728" s="1016"/>
      <c r="AU728" s="1016"/>
      <c r="AV728" s="1016"/>
      <c r="AW728" s="628"/>
    </row>
    <row r="729" spans="26:49" ht="14.5" hidden="1" x14ac:dyDescent="0.35">
      <c r="Z729" s="642"/>
      <c r="AA729" s="642"/>
      <c r="AB729" s="642"/>
      <c r="AC729" s="608" t="s">
        <v>1340</v>
      </c>
      <c r="AD729" s="1022" t="s">
        <v>1340</v>
      </c>
      <c r="AE729" s="1023" t="s">
        <v>1341</v>
      </c>
      <c r="AF729" s="1023" t="s">
        <v>1342</v>
      </c>
      <c r="AG729" s="1022" t="s">
        <v>61</v>
      </c>
      <c r="AH729" s="1019">
        <v>2</v>
      </c>
      <c r="AI729" s="1021"/>
      <c r="AJ729" s="617">
        <v>0</v>
      </c>
      <c r="AK729" s="621" t="s">
        <v>62</v>
      </c>
      <c r="AL729">
        <f t="shared" si="6"/>
        <v>0</v>
      </c>
      <c r="AM729" s="1017">
        <v>1</v>
      </c>
      <c r="AN729" s="1018">
        <v>1</v>
      </c>
      <c r="AO729" s="1018"/>
      <c r="AP729" s="1016"/>
      <c r="AQ729" s="628"/>
      <c r="AS729" s="627"/>
      <c r="AT729" s="1016"/>
      <c r="AU729" s="1016"/>
      <c r="AV729" s="1016"/>
      <c r="AW729" s="628"/>
    </row>
    <row r="730" spans="26:49" ht="14.5" hidden="1" x14ac:dyDescent="0.35">
      <c r="Z730" s="642"/>
      <c r="AA730" s="642"/>
      <c r="AB730" s="642"/>
      <c r="AC730" s="608" t="s">
        <v>1343</v>
      </c>
      <c r="AD730" s="1022" t="s">
        <v>1343</v>
      </c>
      <c r="AE730" s="1023" t="s">
        <v>1344</v>
      </c>
      <c r="AF730" s="1023" t="s">
        <v>1345</v>
      </c>
      <c r="AG730" s="1022" t="s">
        <v>57</v>
      </c>
      <c r="AH730" s="1022">
        <v>1</v>
      </c>
      <c r="AI730" s="1024"/>
      <c r="AJ730" s="617">
        <v>0</v>
      </c>
      <c r="AK730" s="621" t="s">
        <v>102</v>
      </c>
      <c r="AL730">
        <f t="shared" si="6"/>
        <v>1</v>
      </c>
      <c r="AM730" s="1017" t="s">
        <v>84</v>
      </c>
      <c r="AN730" s="1018"/>
      <c r="AO730" s="1018"/>
      <c r="AP730" s="1016"/>
      <c r="AQ730" s="628"/>
      <c r="AS730" s="627"/>
      <c r="AT730" s="1016"/>
      <c r="AU730" s="1016"/>
      <c r="AV730" s="1016"/>
      <c r="AW730" s="628"/>
    </row>
    <row r="731" spans="26:49" ht="14.5" hidden="1" x14ac:dyDescent="0.35">
      <c r="Z731" s="642"/>
      <c r="AA731" s="642"/>
      <c r="AB731" s="642"/>
      <c r="AC731" s="609" t="s">
        <v>1346</v>
      </c>
      <c r="AD731" s="1025" t="s">
        <v>1346</v>
      </c>
      <c r="AE731" s="1025" t="s">
        <v>1347</v>
      </c>
      <c r="AF731" s="1025" t="s">
        <v>1348</v>
      </c>
      <c r="AG731" s="1025" t="s">
        <v>61</v>
      </c>
      <c r="AH731" s="1019">
        <v>2</v>
      </c>
      <c r="AI731" s="1021"/>
      <c r="AJ731" s="617">
        <v>0</v>
      </c>
      <c r="AK731" s="621" t="s">
        <v>62</v>
      </c>
      <c r="AL731">
        <f t="shared" si="6"/>
        <v>0</v>
      </c>
      <c r="AM731" s="1017">
        <v>1</v>
      </c>
      <c r="AN731" s="1018">
        <v>1</v>
      </c>
      <c r="AO731" s="1018"/>
      <c r="AP731" s="1026"/>
      <c r="AQ731" s="633"/>
      <c r="AS731" s="634"/>
      <c r="AT731" s="1026"/>
      <c r="AU731" s="1026"/>
      <c r="AV731" s="1026"/>
      <c r="AW731" s="633"/>
    </row>
    <row r="732" spans="26:49" ht="14.5" hidden="1" x14ac:dyDescent="0.35">
      <c r="Z732" s="642"/>
      <c r="AA732" s="642"/>
      <c r="AB732" s="642"/>
      <c r="AC732" s="609" t="s">
        <v>1349</v>
      </c>
      <c r="AD732" s="1025" t="s">
        <v>1349</v>
      </c>
      <c r="AE732" s="1025" t="s">
        <v>1350</v>
      </c>
      <c r="AF732" s="1025" t="s">
        <v>1351</v>
      </c>
      <c r="AG732" s="1019" t="s">
        <v>61</v>
      </c>
      <c r="AH732" s="1019">
        <v>2</v>
      </c>
      <c r="AI732" s="1027"/>
      <c r="AJ732" s="617">
        <v>1</v>
      </c>
      <c r="AK732" s="621" t="s">
        <v>83</v>
      </c>
      <c r="AL732">
        <f t="shared" si="6"/>
        <v>0</v>
      </c>
      <c r="AM732" s="1017">
        <v>1</v>
      </c>
      <c r="AN732" s="1018">
        <v>1</v>
      </c>
      <c r="AO732" s="1018"/>
      <c r="AP732" s="1016"/>
      <c r="AQ732" s="628"/>
      <c r="AS732" s="627"/>
      <c r="AT732" s="1016"/>
      <c r="AU732" s="1016"/>
      <c r="AV732" s="1016"/>
      <c r="AW732" s="628"/>
    </row>
    <row r="733" spans="26:49" ht="14.5" hidden="1" x14ac:dyDescent="0.35">
      <c r="Z733" s="642"/>
      <c r="AA733" s="642"/>
      <c r="AB733" s="642"/>
      <c r="AC733" s="611" t="s">
        <v>1352</v>
      </c>
      <c r="AD733" s="1031" t="s">
        <v>1352</v>
      </c>
      <c r="AE733" s="1020" t="s">
        <v>1353</v>
      </c>
      <c r="AF733" s="1020" t="s">
        <v>1354</v>
      </c>
      <c r="AG733" s="1019" t="s">
        <v>61</v>
      </c>
      <c r="AH733" s="1019">
        <v>2</v>
      </c>
      <c r="AI733" s="1030"/>
      <c r="AJ733" s="617">
        <v>1</v>
      </c>
      <c r="AK733" s="621" t="s">
        <v>83</v>
      </c>
      <c r="AL733">
        <f t="shared" si="6"/>
        <v>0</v>
      </c>
      <c r="AM733" s="1017">
        <v>1</v>
      </c>
      <c r="AN733" s="1018"/>
      <c r="AO733" s="1018"/>
      <c r="AP733" s="1016"/>
      <c r="AQ733" s="628"/>
      <c r="AS733" s="627"/>
      <c r="AT733" s="1016"/>
      <c r="AU733" s="1016"/>
      <c r="AV733" s="1016"/>
      <c r="AW733" s="628"/>
    </row>
    <row r="734" spans="26:49" ht="14.5" hidden="1" x14ac:dyDescent="0.35">
      <c r="Z734" s="642"/>
      <c r="AA734" s="642"/>
      <c r="AB734" s="642"/>
      <c r="AC734" s="607" t="s">
        <v>1355</v>
      </c>
      <c r="AD734" s="1019" t="s">
        <v>1355</v>
      </c>
      <c r="AE734" s="1020" t="s">
        <v>1356</v>
      </c>
      <c r="AF734" s="1020" t="s">
        <v>1357</v>
      </c>
      <c r="AG734" s="1019" t="s">
        <v>61</v>
      </c>
      <c r="AH734" s="1019">
        <v>2</v>
      </c>
      <c r="AI734" s="1024"/>
      <c r="AJ734" s="617">
        <v>0</v>
      </c>
      <c r="AK734" s="621" t="s">
        <v>62</v>
      </c>
      <c r="AL734">
        <f t="shared" si="6"/>
        <v>0</v>
      </c>
      <c r="AM734" s="1017">
        <v>1</v>
      </c>
      <c r="AN734" s="1018"/>
      <c r="AO734" s="1018"/>
      <c r="AP734" s="1016"/>
      <c r="AQ734" s="628"/>
      <c r="AS734" s="627"/>
      <c r="AT734" s="1016"/>
      <c r="AU734" s="1016"/>
      <c r="AV734" s="1016"/>
      <c r="AW734" s="628"/>
    </row>
    <row r="735" spans="26:49" ht="14.5" hidden="1" x14ac:dyDescent="0.35">
      <c r="Z735" s="642"/>
      <c r="AA735" s="642"/>
      <c r="AB735" s="642"/>
      <c r="AC735" s="608" t="s">
        <v>1358</v>
      </c>
      <c r="AD735" s="1022" t="s">
        <v>1358</v>
      </c>
      <c r="AE735" s="1023" t="s">
        <v>1359</v>
      </c>
      <c r="AF735" s="1023" t="s">
        <v>1360</v>
      </c>
      <c r="AG735" s="1022" t="s">
        <v>125</v>
      </c>
      <c r="AH735" s="1019">
        <v>1</v>
      </c>
      <c r="AI735" s="1021"/>
      <c r="AJ735" s="617">
        <v>0</v>
      </c>
      <c r="AK735" s="621" t="s">
        <v>102</v>
      </c>
      <c r="AL735">
        <f t="shared" si="6"/>
        <v>1</v>
      </c>
      <c r="AM735" s="1017">
        <v>1</v>
      </c>
      <c r="AN735" s="1018"/>
      <c r="AO735" s="1018"/>
      <c r="AP735" s="1016"/>
      <c r="AQ735" s="628"/>
      <c r="AS735" s="627"/>
      <c r="AT735" s="1016"/>
      <c r="AU735" s="1016"/>
      <c r="AV735" s="1016"/>
      <c r="AW735" s="628"/>
    </row>
    <row r="736" spans="26:49" ht="15" hidden="1" thickBot="1" x14ac:dyDescent="0.4">
      <c r="Z736" s="642"/>
      <c r="AA736" s="642"/>
      <c r="AB736" s="642"/>
      <c r="AC736" s="613" t="s">
        <v>1361</v>
      </c>
      <c r="AD736" s="614" t="s">
        <v>1361</v>
      </c>
      <c r="AE736" s="615" t="s">
        <v>1362</v>
      </c>
      <c r="AF736" s="615" t="s">
        <v>1363</v>
      </c>
      <c r="AG736" s="614" t="s">
        <v>110</v>
      </c>
      <c r="AH736" s="614">
        <v>8</v>
      </c>
      <c r="AI736" s="618"/>
      <c r="AJ736" s="619">
        <v>1</v>
      </c>
      <c r="AK736" s="622" t="s">
        <v>1026</v>
      </c>
      <c r="AL736">
        <f t="shared" si="6"/>
        <v>0</v>
      </c>
      <c r="AM736" s="1017" t="s">
        <v>84</v>
      </c>
      <c r="AN736" s="1018"/>
      <c r="AO736" s="1018"/>
      <c r="AP736" s="639"/>
      <c r="AQ736" s="640"/>
      <c r="AS736" s="638"/>
      <c r="AT736" s="639"/>
      <c r="AU736" s="639"/>
      <c r="AV736" s="639"/>
      <c r="AW736" s="640"/>
    </row>
    <row r="738" spans="29:37" hidden="1" x14ac:dyDescent="0.25">
      <c r="AK738" s="754"/>
    </row>
    <row r="739" spans="29:37" hidden="1" x14ac:dyDescent="0.25">
      <c r="AC739" s="425" t="s">
        <v>27</v>
      </c>
    </row>
    <row r="740" spans="29:37" hidden="1" x14ac:dyDescent="0.25">
      <c r="AC740" s="425" t="s">
        <v>1364</v>
      </c>
    </row>
    <row r="741" spans="29:37" hidden="1" x14ac:dyDescent="0.25">
      <c r="AC741" s="425" t="s">
        <v>1365</v>
      </c>
    </row>
    <row r="746" spans="29:37" hidden="1" x14ac:dyDescent="0.25">
      <c r="AC746" t="s">
        <v>27</v>
      </c>
    </row>
    <row r="747" spans="29:37" hidden="1" x14ac:dyDescent="0.25">
      <c r="AC747" t="s">
        <v>1366</v>
      </c>
    </row>
    <row r="748" spans="29:37" hidden="1" x14ac:dyDescent="0.25">
      <c r="AC748" t="s">
        <v>1367</v>
      </c>
    </row>
    <row r="749" spans="29:37" hidden="1" x14ac:dyDescent="0.25">
      <c r="AC749" s="425" t="s">
        <v>1368</v>
      </c>
    </row>
    <row r="750" spans="29:37" hidden="1" x14ac:dyDescent="0.25">
      <c r="AC750" s="425" t="s">
        <v>1369</v>
      </c>
    </row>
    <row r="751" spans="29:37" hidden="1" x14ac:dyDescent="0.25">
      <c r="AC751" s="425" t="s">
        <v>1370</v>
      </c>
    </row>
  </sheetData>
  <autoFilter ref="AC309:AO736" xr:uid="{6534C0EA-C930-4702-A345-36715C4DF48C}"/>
  <mergeCells count="28">
    <mergeCell ref="C76:G76"/>
    <mergeCell ref="C77:G77"/>
    <mergeCell ref="C78:G78"/>
    <mergeCell ref="C79:G79"/>
    <mergeCell ref="C61:G61"/>
    <mergeCell ref="C53:G53"/>
    <mergeCell ref="C55:G55"/>
    <mergeCell ref="C57:G57"/>
    <mergeCell ref="C75:G75"/>
    <mergeCell ref="A74:G74"/>
    <mergeCell ref="A72:G72"/>
    <mergeCell ref="A73:G73"/>
    <mergeCell ref="C65:G65"/>
    <mergeCell ref="C67:G67"/>
    <mergeCell ref="C69:G69"/>
    <mergeCell ref="A1:N1"/>
    <mergeCell ref="A16:M16"/>
    <mergeCell ref="C21:I21"/>
    <mergeCell ref="C47:G47"/>
    <mergeCell ref="C49:G49"/>
    <mergeCell ref="A9:M9"/>
    <mergeCell ref="A10:M10"/>
    <mergeCell ref="A12:M12"/>
    <mergeCell ref="C45:G45"/>
    <mergeCell ref="A34:M34"/>
    <mergeCell ref="A36:M36"/>
    <mergeCell ref="A41:M41"/>
    <mergeCell ref="C38:F38"/>
  </mergeCells>
  <phoneticPr fontId="0" type="noConversion"/>
  <dataValidations count="3">
    <dataValidation type="list" allowBlank="1" showInputMessage="1" showErrorMessage="1" sqref="C21:I21" xr:uid="{00000000-0002-0000-0000-000000000000}">
      <formula1>LA_names</formula1>
    </dataValidation>
    <dataValidation type="list" allowBlank="1" showInputMessage="1" showErrorMessage="1" sqref="C61:G61" xr:uid="{20BC8121-DA22-4B26-AD0D-A784C696558C}">
      <formula1>$AC$739:$AC$741</formula1>
    </dataValidation>
    <dataValidation type="list" allowBlank="1" showInputMessage="1" showErrorMessage="1" sqref="C77:G77" xr:uid="{4839B9EC-5A95-41EB-A345-5F0027F082C5}">
      <formula1>$AC$746:$AC$751</formula1>
    </dataValidation>
  </dataValidations>
  <hyperlinks>
    <hyperlink ref="C38" r:id="rId1" display="LGF1.REVENUE@communities.gsi.gov.uk" xr:uid="{00000000-0004-0000-0000-000000000000}"/>
    <hyperlink ref="C38:F38" r:id="rId2" display="LGF1.REVENUE@levellingup.gov.uk" xr:uid="{931C93D7-3500-40A7-A35D-610C55769204}"/>
  </hyperlinks>
  <printOptions horizontalCentered="1"/>
  <pageMargins left="0.39370078740157483" right="0.39370078740157483" top="0.39370078740157483" bottom="0.39370078740157483" header="0.19685039370078741" footer="0.19685039370078741"/>
  <pageSetup paperSize="9" scale="55" orientation="landscape" r:id="rId3"/>
  <headerFooter alignWithMargins="0"/>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theme="8" tint="0.79998168889431442"/>
  </sheetPr>
  <dimension ref="A1:AN136"/>
  <sheetViews>
    <sheetView showGridLines="0" zoomScale="80" zoomScaleNormal="80" workbookViewId="0">
      <pane ySplit="1" topLeftCell="A2" activePane="bottomLeft" state="frozen"/>
      <selection pane="bottomLeft" sqref="A1:N1"/>
    </sheetView>
  </sheetViews>
  <sheetFormatPr defaultColWidth="0" defaultRowHeight="12.5" zeroHeight="1" x14ac:dyDescent="0.25"/>
  <cols>
    <col min="1" max="1" width="10.26953125" customWidth="1"/>
    <col min="2" max="2" width="85.7265625" customWidth="1"/>
    <col min="3" max="3" width="6.7265625" customWidth="1"/>
    <col min="4" max="10" width="16.7265625" customWidth="1"/>
    <col min="11" max="11" width="2.7265625" customWidth="1"/>
    <col min="12" max="13" width="16.7265625" customWidth="1"/>
    <col min="14" max="14" width="2.7265625" customWidth="1"/>
    <col min="15" max="15" width="60.7265625" customWidth="1"/>
    <col min="16" max="17" width="12.54296875" customWidth="1"/>
    <col min="18" max="16384" width="8.7265625" hidden="1"/>
  </cols>
  <sheetData>
    <row r="1" spans="1:19" ht="60" customHeight="1" x14ac:dyDescent="0.25">
      <c r="A1" s="1206" t="str">
        <f>ContactDetails!A36</f>
        <v>IMPORTANT: Please DO NOT alter this spreadsheet by inserting/deleting, merging any cells, or even using cut &amp; paste, as the data from this spreadsheet are directly transferred into the DLUHC database by a macro and these could break the references in the form.</v>
      </c>
      <c r="B1" s="1206"/>
      <c r="C1" s="1206"/>
      <c r="D1" s="1207"/>
      <c r="E1" s="1207"/>
      <c r="F1" s="1207"/>
      <c r="G1" s="1207"/>
      <c r="H1" s="1207"/>
      <c r="I1" s="1207"/>
      <c r="J1" s="1207"/>
      <c r="K1" s="1207"/>
      <c r="L1" s="1207"/>
      <c r="M1" s="1207"/>
      <c r="N1" s="1207"/>
      <c r="O1" s="112"/>
    </row>
    <row r="2" spans="1:19" ht="12.75" customHeight="1" x14ac:dyDescent="0.35">
      <c r="A2" s="178"/>
      <c r="B2" s="178"/>
      <c r="C2" s="179"/>
      <c r="D2" s="180"/>
      <c r="E2" s="4"/>
      <c r="F2" s="4"/>
      <c r="G2" s="54"/>
      <c r="H2" s="181"/>
      <c r="I2" s="112"/>
      <c r="J2" s="112"/>
      <c r="K2" s="112"/>
      <c r="L2" s="112"/>
      <c r="M2" s="112"/>
      <c r="N2" s="112"/>
      <c r="O2" s="112"/>
    </row>
    <row r="3" spans="1:19" ht="27.75" customHeight="1" x14ac:dyDescent="0.6">
      <c r="A3" s="178"/>
      <c r="B3" s="178"/>
      <c r="C3" s="179"/>
      <c r="D3" s="180"/>
      <c r="E3" s="4"/>
      <c r="F3" s="4"/>
      <c r="G3" s="112"/>
      <c r="H3" s="112"/>
      <c r="I3" s="112"/>
      <c r="J3" s="112"/>
      <c r="K3" s="112"/>
      <c r="L3" s="112"/>
      <c r="M3" s="165" t="str">
        <f>"RO5 "&amp;fyear</f>
        <v>RO5 2022-23</v>
      </c>
      <c r="N3" s="112"/>
      <c r="O3" s="112"/>
    </row>
    <row r="4" spans="1:19" ht="12.75" customHeight="1" x14ac:dyDescent="0.35">
      <c r="A4" s="178"/>
      <c r="B4" s="178"/>
      <c r="C4" s="179"/>
      <c r="D4" s="180"/>
      <c r="E4" s="4"/>
      <c r="F4" s="4"/>
      <c r="G4" s="112"/>
      <c r="H4" s="112"/>
      <c r="I4" s="112"/>
      <c r="J4" s="112"/>
      <c r="K4" s="112"/>
      <c r="L4" s="112"/>
      <c r="M4" s="112"/>
      <c r="N4" s="112"/>
      <c r="O4" s="112"/>
    </row>
    <row r="5" spans="1:19" ht="12.75" customHeight="1" x14ac:dyDescent="0.35">
      <c r="A5" s="178"/>
      <c r="B5" s="178"/>
      <c r="C5" s="179"/>
      <c r="D5" s="180"/>
      <c r="E5" s="4"/>
      <c r="F5" s="4"/>
      <c r="G5" s="112"/>
      <c r="H5" s="112"/>
      <c r="I5" s="112"/>
      <c r="J5" s="112"/>
      <c r="K5" s="112"/>
      <c r="L5" s="112"/>
      <c r="M5" s="112"/>
      <c r="N5" s="112"/>
      <c r="O5" s="112"/>
    </row>
    <row r="6" spans="1:19" ht="12.75" customHeight="1" x14ac:dyDescent="0.35">
      <c r="A6" s="178"/>
      <c r="B6" s="178"/>
      <c r="C6" s="179"/>
      <c r="D6" s="180"/>
      <c r="E6" s="4"/>
      <c r="F6" s="4"/>
      <c r="G6" s="112"/>
      <c r="H6" s="112"/>
      <c r="I6" s="112"/>
      <c r="J6" s="112"/>
      <c r="K6" s="112"/>
      <c r="L6" s="112"/>
      <c r="M6" s="112"/>
      <c r="N6" s="112"/>
      <c r="O6" s="112"/>
    </row>
    <row r="7" spans="1:19" ht="12.75" customHeight="1" x14ac:dyDescent="0.35">
      <c r="A7" s="178"/>
      <c r="B7" s="178"/>
      <c r="C7" s="179"/>
      <c r="D7" s="180"/>
      <c r="E7" s="4"/>
      <c r="F7" s="4"/>
      <c r="G7" s="112"/>
      <c r="H7" s="112"/>
      <c r="I7" s="112"/>
      <c r="J7" s="112"/>
      <c r="K7" s="112"/>
      <c r="L7" s="112"/>
      <c r="M7" s="112"/>
      <c r="N7" s="112"/>
      <c r="O7" s="112"/>
    </row>
    <row r="8" spans="1:19" ht="12.75" customHeight="1" x14ac:dyDescent="0.35">
      <c r="A8" s="178"/>
      <c r="B8" s="178"/>
      <c r="C8" s="179"/>
      <c r="D8" s="180"/>
      <c r="E8" s="4"/>
      <c r="F8" s="4"/>
      <c r="G8" s="112"/>
      <c r="H8" s="112"/>
      <c r="I8" s="112"/>
      <c r="J8" s="112"/>
      <c r="K8" s="112"/>
      <c r="L8" s="112"/>
      <c r="M8" s="112"/>
      <c r="N8" s="112"/>
      <c r="O8" s="112"/>
    </row>
    <row r="9" spans="1:19" ht="33" customHeight="1" x14ac:dyDescent="0.25">
      <c r="A9" s="1195" t="str">
        <f>RS!$A$10</f>
        <v>General Fund Revenue Account Outturn</v>
      </c>
      <c r="B9" s="1195"/>
      <c r="C9" s="1195"/>
      <c r="D9" s="1195"/>
      <c r="E9" s="1195"/>
      <c r="F9" s="1195"/>
      <c r="G9" s="1195"/>
      <c r="H9" s="1195"/>
      <c r="I9" s="1195"/>
      <c r="J9" s="1195"/>
      <c r="K9" s="1195"/>
      <c r="L9" s="1195"/>
      <c r="M9" s="1195"/>
      <c r="N9" s="183"/>
      <c r="O9" s="183"/>
      <c r="P9" s="132"/>
      <c r="Q9" s="132"/>
      <c r="R9" s="132"/>
      <c r="S9" s="132"/>
    </row>
    <row r="10" spans="1:19" ht="33" customHeight="1" x14ac:dyDescent="0.25">
      <c r="A10" s="1223" t="str">
        <f>"RO5 – CULTURAL, ENVIRONMENTAL, REGULATORY AND PLANNING SERVICES "&amp;fyear</f>
        <v>RO5 – CULTURAL, ENVIRONMENTAL, REGULATORY AND PLANNING SERVICES 2022-23</v>
      </c>
      <c r="B10" s="1223"/>
      <c r="C10" s="1223"/>
      <c r="D10" s="1223"/>
      <c r="E10" s="1223"/>
      <c r="F10" s="1223"/>
      <c r="G10" s="1223"/>
      <c r="H10" s="1223"/>
      <c r="I10" s="1223"/>
      <c r="J10" s="1223"/>
      <c r="K10" s="1223"/>
      <c r="L10" s="1223"/>
      <c r="M10" s="1223"/>
      <c r="N10" s="183"/>
      <c r="O10" s="183"/>
      <c r="P10" s="132"/>
      <c r="Q10" s="132"/>
      <c r="R10" s="132"/>
      <c r="S10" s="132"/>
    </row>
    <row r="11" spans="1:19" ht="14.15" customHeight="1" x14ac:dyDescent="0.35">
      <c r="A11" s="178"/>
      <c r="B11" s="178"/>
      <c r="C11" s="179"/>
      <c r="D11" s="180"/>
      <c r="E11" s="4"/>
      <c r="F11" s="4"/>
      <c r="G11" s="112"/>
      <c r="H11" s="112"/>
      <c r="I11" s="112"/>
      <c r="J11" s="112"/>
      <c r="K11" s="112"/>
      <c r="L11" s="112"/>
      <c r="M11" s="112"/>
      <c r="N11" s="112"/>
      <c r="O11" s="112"/>
    </row>
    <row r="12" spans="1:19" ht="18.75" customHeight="1" x14ac:dyDescent="0.4">
      <c r="A12" s="1165" t="s">
        <v>1373</v>
      </c>
      <c r="B12" s="1165"/>
      <c r="C12" s="1165"/>
      <c r="D12" s="1165"/>
      <c r="E12" s="1165"/>
      <c r="F12" s="1165"/>
      <c r="G12" s="1165"/>
      <c r="H12" s="1165"/>
      <c r="I12" s="1165"/>
      <c r="J12" s="1165"/>
      <c r="K12" s="1165"/>
      <c r="L12" s="1165"/>
      <c r="M12" s="1165"/>
      <c r="N12" s="112"/>
      <c r="O12" s="112"/>
    </row>
    <row r="13" spans="1:19" ht="12" customHeight="1" x14ac:dyDescent="0.3">
      <c r="A13" s="54"/>
      <c r="B13" s="54"/>
      <c r="C13" s="54"/>
      <c r="D13" s="54"/>
      <c r="E13" s="54"/>
      <c r="F13" s="54"/>
      <c r="G13" s="54"/>
      <c r="H13" s="54"/>
      <c r="I13" s="54"/>
      <c r="J13" s="119"/>
      <c r="K13" s="54"/>
      <c r="L13" s="54"/>
      <c r="M13" s="54"/>
      <c r="N13" s="54"/>
      <c r="O13" s="54"/>
    </row>
    <row r="14" spans="1:19" ht="21" customHeight="1" x14ac:dyDescent="0.25">
      <c r="A14" s="1215"/>
      <c r="B14" s="1215"/>
      <c r="C14" s="1215"/>
      <c r="D14" s="1215"/>
      <c r="E14" s="1215"/>
      <c r="F14" s="1215"/>
      <c r="G14" s="1215"/>
      <c r="H14" s="1215"/>
      <c r="I14" s="1215"/>
      <c r="J14" s="1215"/>
      <c r="K14" s="1215"/>
      <c r="L14" s="1215"/>
      <c r="M14" s="1215"/>
      <c r="N14" s="127"/>
      <c r="O14" s="127"/>
    </row>
    <row r="15" spans="1:19" ht="21" customHeight="1" x14ac:dyDescent="0.25">
      <c r="A15" s="1213" t="s">
        <v>1375</v>
      </c>
      <c r="B15" s="1213"/>
      <c r="C15" s="1213"/>
      <c r="D15" s="1213"/>
      <c r="E15" s="1213"/>
      <c r="F15" s="1213"/>
      <c r="G15" s="1213"/>
      <c r="H15" s="1213"/>
      <c r="I15" s="1213"/>
      <c r="J15" s="1213"/>
      <c r="K15" s="1213"/>
      <c r="L15" s="1213"/>
      <c r="M15" s="1213"/>
      <c r="N15" s="54"/>
      <c r="O15" s="54"/>
    </row>
    <row r="16" spans="1:19" ht="20" x14ac:dyDescent="0.35">
      <c r="A16" s="186" t="str">
        <f>TRIM(LEFT(A$10,3))&amp;" error summary:"</f>
        <v>RO5 error summary:</v>
      </c>
      <c r="B16" s="187"/>
      <c r="C16" s="187"/>
      <c r="D16" s="54"/>
      <c r="E16" s="188"/>
      <c r="F16" s="54"/>
      <c r="G16" s="54"/>
      <c r="H16" s="505"/>
      <c r="I16" s="254"/>
      <c r="J16" s="119"/>
      <c r="K16" s="54"/>
      <c r="L16" s="54"/>
      <c r="M16" s="54"/>
      <c r="N16" s="54"/>
      <c r="O16" s="54"/>
    </row>
    <row r="17" spans="1:37" ht="32.15" customHeight="1" x14ac:dyDescent="0.35">
      <c r="A17" s="498" t="str">
        <f>IF(AND(COUNTIF($M$32:$M$130,"Error")=0,COUNTIF($M$32:$M$130,"Warning")=0),("There are no outstanding errors or warnings with the "&amp;TRIM(LEFT(A$10,3))&amp;" section of the form. Thank you."),("There are "&amp;COUNTIF($M$32:$M$130,"Error")&amp;" outstanding error(s) and "&amp;COUNTIF($M$32:$M$130,"Warning")&amp;" outstanding warning(s) with the "&amp;TRIM(LEFT(A$10,3))&amp;" section of the form. Please resolve and/or explain these before submitting."))</f>
        <v>There are no outstanding errors or warnings with the RO5 section of the form. Thank you.</v>
      </c>
      <c r="B17" s="499"/>
      <c r="C17" s="499"/>
      <c r="D17" s="499"/>
      <c r="E17" s="499"/>
      <c r="F17" s="499"/>
      <c r="G17" s="499"/>
      <c r="H17" s="499"/>
      <c r="I17" s="499"/>
      <c r="J17" s="499"/>
      <c r="K17" s="54"/>
      <c r="L17" s="54"/>
      <c r="M17" s="54"/>
      <c r="N17" s="54"/>
      <c r="O17" s="54"/>
      <c r="Z17" s="468" t="s">
        <v>1371</v>
      </c>
    </row>
    <row r="18" spans="1:37" ht="20.149999999999999" customHeight="1" x14ac:dyDescent="0.35">
      <c r="A18" s="191" t="str">
        <f>"Please note, your authority is only required to complete and return the following forms: "&amp;VLOOKUP(LA_name,LA_list,9,0)</f>
        <v>Please note, your authority is only required to complete and return the following forms: Forms to be completed will appear here !</v>
      </c>
      <c r="B18" s="192"/>
      <c r="C18" s="192"/>
      <c r="D18" s="190"/>
      <c r="E18" s="190"/>
      <c r="F18" s="190"/>
      <c r="G18" s="190"/>
      <c r="H18" s="190"/>
      <c r="I18" s="190"/>
      <c r="J18" s="119"/>
      <c r="K18" s="54"/>
      <c r="L18" s="54"/>
      <c r="M18" s="54"/>
      <c r="N18" s="54"/>
      <c r="O18" s="54"/>
    </row>
    <row r="19" spans="1:37" ht="12" customHeight="1" x14ac:dyDescent="0.35">
      <c r="A19" s="192"/>
      <c r="B19" s="192"/>
      <c r="C19" s="192"/>
      <c r="D19" s="190"/>
      <c r="E19" s="190"/>
      <c r="F19" s="190"/>
      <c r="G19" s="190"/>
      <c r="H19" s="190"/>
      <c r="I19" s="190"/>
      <c r="J19" s="119"/>
      <c r="K19" s="54"/>
      <c r="L19" s="54"/>
      <c r="M19" s="54"/>
      <c r="N19" s="54"/>
      <c r="O19" s="54"/>
    </row>
    <row r="20" spans="1:37" ht="25" x14ac:dyDescent="0.5">
      <c r="A20" s="137" t="str">
        <f>RS!$A$20</f>
        <v>Please select your authority name on Title page</v>
      </c>
      <c r="B20" s="59"/>
      <c r="C20" s="67"/>
      <c r="D20" s="67"/>
      <c r="E20" s="67"/>
      <c r="F20" s="67"/>
      <c r="G20" s="67"/>
      <c r="H20" s="67"/>
      <c r="I20" s="67"/>
      <c r="J20" s="67"/>
      <c r="K20" s="112"/>
      <c r="L20" s="112"/>
      <c r="M20" s="112"/>
      <c r="N20" s="112"/>
      <c r="O20" s="112"/>
    </row>
    <row r="21" spans="1:37" ht="18" x14ac:dyDescent="0.4">
      <c r="A21" s="139" t="str">
        <f>ContactDetails!C25</f>
        <v>E-code</v>
      </c>
      <c r="B21" s="60"/>
      <c r="C21" s="68"/>
      <c r="D21" s="539"/>
      <c r="E21" s="539"/>
      <c r="F21" s="236"/>
      <c r="G21" s="539"/>
      <c r="H21" s="539"/>
      <c r="I21" s="236"/>
      <c r="J21" s="236"/>
      <c r="K21" s="112"/>
      <c r="L21" s="112"/>
      <c r="M21" s="112"/>
      <c r="N21" s="112"/>
      <c r="O21" s="112"/>
    </row>
    <row r="22" spans="1:37" ht="18" x14ac:dyDescent="0.4">
      <c r="A22" s="60"/>
      <c r="B22" s="60"/>
      <c r="C22" s="68"/>
      <c r="D22" s="539"/>
      <c r="E22" s="539"/>
      <c r="F22" s="236"/>
      <c r="G22" s="539"/>
      <c r="H22" s="539"/>
      <c r="I22" s="236"/>
      <c r="J22" s="236"/>
      <c r="K22" s="112"/>
      <c r="L22" s="112"/>
      <c r="M22" s="112"/>
      <c r="N22" s="112"/>
      <c r="O22" s="112"/>
    </row>
    <row r="23" spans="1:37" ht="15.5" x14ac:dyDescent="0.35">
      <c r="A23" s="193"/>
      <c r="B23" s="193"/>
      <c r="C23" s="194"/>
      <c r="D23" s="194"/>
      <c r="E23" s="89"/>
      <c r="F23" s="236"/>
      <c r="G23" s="539"/>
      <c r="H23" s="539"/>
      <c r="I23" s="236"/>
      <c r="J23" s="236"/>
      <c r="K23" s="112"/>
      <c r="L23" s="112"/>
      <c r="M23" s="112"/>
      <c r="N23" s="112"/>
      <c r="O23" s="112"/>
    </row>
    <row r="24" spans="1:37" ht="15.5" x14ac:dyDescent="0.35">
      <c r="A24" s="112"/>
      <c r="B24" s="112"/>
      <c r="C24" s="112"/>
      <c r="D24" s="539"/>
      <c r="E24" s="236" t="s">
        <v>1598</v>
      </c>
      <c r="F24" s="236" t="s">
        <v>1599</v>
      </c>
      <c r="G24" s="236" t="s">
        <v>1600</v>
      </c>
      <c r="H24" s="236" t="s">
        <v>1370</v>
      </c>
      <c r="I24" s="236" t="s">
        <v>1599</v>
      </c>
      <c r="J24" s="236" t="s">
        <v>1601</v>
      </c>
      <c r="K24" s="112"/>
      <c r="L24" s="112"/>
      <c r="M24" s="112"/>
      <c r="N24" s="112"/>
      <c r="O24" s="112"/>
    </row>
    <row r="25" spans="1:37" ht="15.5" x14ac:dyDescent="0.35">
      <c r="A25" s="112"/>
      <c r="B25" s="112"/>
      <c r="C25" s="112"/>
      <c r="D25" s="236" t="s">
        <v>1602</v>
      </c>
      <c r="E25" s="236" t="s">
        <v>1603</v>
      </c>
      <c r="F25" s="236" t="s">
        <v>1604</v>
      </c>
      <c r="G25" s="236" t="s">
        <v>1605</v>
      </c>
      <c r="H25" s="236" t="s">
        <v>1606</v>
      </c>
      <c r="I25" s="236" t="s">
        <v>1606</v>
      </c>
      <c r="J25" s="236" t="s">
        <v>1604</v>
      </c>
      <c r="K25" s="112"/>
      <c r="L25" s="112"/>
      <c r="M25" s="112"/>
      <c r="N25" s="112"/>
      <c r="O25" s="112"/>
    </row>
    <row r="26" spans="1:37" ht="15.5" x14ac:dyDescent="0.35">
      <c r="A26" s="259"/>
      <c r="B26" s="259"/>
      <c r="C26" s="112"/>
      <c r="D26" s="335" t="s">
        <v>1378</v>
      </c>
      <c r="E26" s="335" t="s">
        <v>1378</v>
      </c>
      <c r="F26" s="335" t="s">
        <v>1378</v>
      </c>
      <c r="G26" s="335" t="s">
        <v>1378</v>
      </c>
      <c r="H26" s="335" t="s">
        <v>1378</v>
      </c>
      <c r="I26" s="335" t="s">
        <v>1378</v>
      </c>
      <c r="J26" s="335" t="s">
        <v>1378</v>
      </c>
      <c r="K26" s="112"/>
      <c r="L26" s="112"/>
      <c r="M26" s="112"/>
      <c r="N26" s="112"/>
      <c r="O26" s="112"/>
    </row>
    <row r="27" spans="1:37" ht="15.5" x14ac:dyDescent="0.35">
      <c r="A27" s="112"/>
      <c r="B27" s="112"/>
      <c r="C27" s="112"/>
      <c r="D27" s="335"/>
      <c r="E27" s="335"/>
      <c r="F27" s="335"/>
      <c r="G27" s="335"/>
      <c r="H27" s="335"/>
      <c r="I27" s="335"/>
      <c r="J27" s="335"/>
      <c r="K27" s="112"/>
      <c r="L27" s="112"/>
      <c r="M27" s="112"/>
      <c r="N27" s="112"/>
      <c r="O27" s="112"/>
    </row>
    <row r="28" spans="1:37" ht="13" x14ac:dyDescent="0.3">
      <c r="A28" s="112"/>
      <c r="B28" s="112"/>
      <c r="C28" s="112"/>
      <c r="D28" s="238" t="s">
        <v>1379</v>
      </c>
      <c r="E28" s="238" t="s">
        <v>1607</v>
      </c>
      <c r="F28" s="238" t="s">
        <v>1608</v>
      </c>
      <c r="G28" s="238" t="s">
        <v>1609</v>
      </c>
      <c r="H28" s="238" t="s">
        <v>1610</v>
      </c>
      <c r="I28" s="238" t="s">
        <v>1611</v>
      </c>
      <c r="J28" s="238" t="s">
        <v>1612</v>
      </c>
      <c r="K28" s="112"/>
      <c r="L28" s="112"/>
      <c r="M28" s="112"/>
      <c r="N28" s="112"/>
      <c r="O28" s="112"/>
    </row>
    <row r="29" spans="1:37" ht="18" x14ac:dyDescent="0.4">
      <c r="A29" s="109" t="s">
        <v>1923</v>
      </c>
      <c r="B29" s="109"/>
      <c r="C29" s="112"/>
      <c r="D29" s="238"/>
      <c r="E29" s="238"/>
      <c r="F29" s="238"/>
      <c r="G29" s="238"/>
      <c r="H29" s="238"/>
      <c r="I29" s="238"/>
      <c r="J29" s="238"/>
      <c r="K29" s="54"/>
      <c r="L29" s="54"/>
      <c r="M29" s="54"/>
      <c r="N29" s="54"/>
      <c r="O29" s="54"/>
    </row>
    <row r="30" spans="1:37" ht="12.75" customHeight="1" x14ac:dyDescent="0.3">
      <c r="A30" s="127"/>
      <c r="B30" s="127"/>
      <c r="C30" s="112"/>
      <c r="D30" s="68"/>
      <c r="E30" s="68"/>
      <c r="F30" s="68"/>
      <c r="G30" s="68"/>
      <c r="H30" s="68"/>
      <c r="I30" s="68"/>
      <c r="J30" s="68"/>
      <c r="K30" s="112"/>
      <c r="L30" s="112"/>
      <c r="M30" s="112"/>
      <c r="N30" s="112"/>
      <c r="AB30" s="461" t="s">
        <v>1380</v>
      </c>
    </row>
    <row r="31" spans="1:37" ht="15.5" x14ac:dyDescent="0.35">
      <c r="A31" s="107" t="s">
        <v>1924</v>
      </c>
      <c r="B31" s="107"/>
      <c r="C31" s="55"/>
      <c r="D31" s="31"/>
      <c r="E31" s="31"/>
      <c r="F31" s="106"/>
      <c r="G31" s="31"/>
      <c r="H31" s="31"/>
      <c r="I31" s="106"/>
      <c r="J31" s="106"/>
      <c r="K31" s="112"/>
      <c r="L31" s="112"/>
      <c r="M31" s="112"/>
      <c r="N31" s="112"/>
      <c r="AB31" s="461" t="s">
        <v>1381</v>
      </c>
      <c r="AC31" s="461" t="s">
        <v>1382</v>
      </c>
      <c r="AD31" s="461" t="s">
        <v>1383</v>
      </c>
      <c r="AE31" s="461" t="s">
        <v>1384</v>
      </c>
      <c r="AF31" s="461" t="s">
        <v>1385</v>
      </c>
      <c r="AG31" s="461" t="s">
        <v>1386</v>
      </c>
      <c r="AH31" s="461" t="s">
        <v>1387</v>
      </c>
      <c r="AI31" s="461" t="s">
        <v>1388</v>
      </c>
      <c r="AJ31" s="461" t="s">
        <v>1389</v>
      </c>
      <c r="AK31" s="461" t="s">
        <v>1390</v>
      </c>
    </row>
    <row r="32" spans="1:37" ht="15.5" x14ac:dyDescent="0.35">
      <c r="A32" s="108">
        <v>111</v>
      </c>
      <c r="B32" s="295" t="s">
        <v>1925</v>
      </c>
      <c r="C32" s="237"/>
      <c r="D32" s="668"/>
      <c r="E32" s="668"/>
      <c r="F32" s="669">
        <f>SUM(D32:E32)</f>
        <v>0</v>
      </c>
      <c r="G32" s="668"/>
      <c r="H32" s="668"/>
      <c r="I32" s="669">
        <f>SUM(G32:H32)</f>
        <v>0</v>
      </c>
      <c r="J32" s="669">
        <f>F32-I32</f>
        <v>0</v>
      </c>
      <c r="K32" s="112"/>
      <c r="L32" s="688" t="str">
        <f>IF(ISERROR(M32),"",IF((M32="Error"),"add explanation",IF((M32="Warning"),"add explanation","")))</f>
        <v/>
      </c>
      <c r="M32" s="310" t="str">
        <f>IF(OR((I32&lt;&gt;(G32+H32)),(F32&lt;&gt;(D32+E32)),(J32&lt;&gt;(F32-I32))),"Error",IF(AK32="Warning","Warning",""))</f>
        <v/>
      </c>
      <c r="N32" s="112"/>
      <c r="O32" s="131" t="str">
        <f>IF($M32="Error","A total column for "&amp;($B32)&amp;" does not match the sum of the components, please correct",IF($M32="Warning","This year's figure is over "&amp;AC32/1000&amp;" million and "&amp;(AB32*100)&amp;"% different to "&amp;TEXT(AD32,"#,###")&amp;" last year, please explain",""))</f>
        <v/>
      </c>
      <c r="AB32">
        <f>VLOOKUP("RO5"&amp;$A32,data_val_parameters,9,0)/100</f>
        <v>0.3</v>
      </c>
      <c r="AC32">
        <f>VLOOKUP("RO5"&amp;$A32,data_val_parameters,7,0)</f>
        <v>3000</v>
      </c>
      <c r="AD32" t="e">
        <f>VLOOKUP(LA_code,data_prev_year,MATCH("RO5"&amp;$A32&amp;"7",data_prev_year_headers,0),0)</f>
        <v>#N/A</v>
      </c>
      <c r="AE32" t="e">
        <f>AD32+AC32</f>
        <v>#N/A</v>
      </c>
      <c r="AF32" t="e">
        <f>AD32-AC32</f>
        <v>#N/A</v>
      </c>
      <c r="AG32" s="645" t="e">
        <f>AD32+(AD32*AB32)</f>
        <v>#N/A</v>
      </c>
      <c r="AH32" s="645" t="e">
        <f>AD32-(AD32*AB32)</f>
        <v>#N/A</v>
      </c>
      <c r="AI32" t="e">
        <f>IF(OR(J32&lt;AF32,J32&gt;AE32),"Warning","")</f>
        <v>#N/A</v>
      </c>
      <c r="AJ32" t="e">
        <f>IF(OR(J32&gt;(AG32),J32&lt;(AH32)),"Warning","")</f>
        <v>#N/A</v>
      </c>
      <c r="AK32" t="str">
        <f>IF(OR(J32=0),"",IF(AND(AI32="Warning",AJ32="Warning"),"Warning",""))</f>
        <v/>
      </c>
    </row>
    <row r="33" spans="1:37" ht="15.5" x14ac:dyDescent="0.35">
      <c r="A33" s="108">
        <v>112</v>
      </c>
      <c r="B33" s="295" t="s">
        <v>1926</v>
      </c>
      <c r="C33" s="237"/>
      <c r="D33" s="668"/>
      <c r="E33" s="668"/>
      <c r="F33" s="669">
        <f>SUM(D33:E33)</f>
        <v>0</v>
      </c>
      <c r="G33" s="668"/>
      <c r="H33" s="668"/>
      <c r="I33" s="669">
        <f>SUM(G33:H33)</f>
        <v>0</v>
      </c>
      <c r="J33" s="669">
        <f>F33-I33</f>
        <v>0</v>
      </c>
      <c r="K33" s="112"/>
      <c r="L33" s="688" t="str">
        <f>IF(ISERROR(M33),"",IF((M33="Error"),"add explanation",IF((M33="Warning"),"add explanation","")))</f>
        <v/>
      </c>
      <c r="M33" s="310" t="str">
        <f t="shared" ref="M33:M100" si="0">IF(OR((I33&lt;&gt;(G33+H33)),(F33&lt;&gt;(D33+E33)),(J33&lt;&gt;(F33-I33))),"Error",IF(AK33="Warning","Warning",""))</f>
        <v/>
      </c>
      <c r="N33" s="112"/>
      <c r="O33" s="131" t="str">
        <f>IF($M33="Error","A total column for "&amp;($B33)&amp;" does not match the sum of the components, please correct",IF($M33="Warning","This year's figure is over "&amp;AC33/1000&amp;" million and "&amp;(AB33*100)&amp;"% different to "&amp;TEXT(AD33,"#,###")&amp;" last year, please explain",""))</f>
        <v/>
      </c>
      <c r="AB33">
        <f>VLOOKUP("RO5"&amp;$A33,data_val_parameters,9,0)/100</f>
        <v>0.3</v>
      </c>
      <c r="AC33">
        <f>VLOOKUP("RO5"&amp;$A33,data_val_parameters,7,0)</f>
        <v>3000</v>
      </c>
      <c r="AD33" t="e">
        <f>VLOOKUP(LA_code,data_prev_year,MATCH("RO5"&amp;$A33&amp;"7",data_prev_year_headers,0),0)</f>
        <v>#N/A</v>
      </c>
      <c r="AE33" t="e">
        <f t="shared" ref="AE33:AE98" si="1">AD33+AC33</f>
        <v>#N/A</v>
      </c>
      <c r="AF33" t="e">
        <f t="shared" ref="AF33:AF98" si="2">AD33-AC33</f>
        <v>#N/A</v>
      </c>
      <c r="AG33" s="645" t="e">
        <f t="shared" ref="AG33:AG98" si="3">AD33+(AD33*AB33)</f>
        <v>#N/A</v>
      </c>
      <c r="AH33" s="645" t="e">
        <f t="shared" ref="AH33:AH98" si="4">AD33-(AD33*AB33)</f>
        <v>#N/A</v>
      </c>
      <c r="AI33" t="e">
        <f t="shared" ref="AI33:AI98" si="5">IF(OR(J33&lt;AF33,J33&gt;AE33),"Warning","")</f>
        <v>#N/A</v>
      </c>
      <c r="AJ33" t="e">
        <f t="shared" ref="AJ33:AJ98" si="6">IF(OR(J33&gt;(AG33),J33&lt;(AH33)),"Warning","")</f>
        <v>#N/A</v>
      </c>
      <c r="AK33" t="str">
        <f>IF(OR(J33=0),"",IF(AND(AI33="Warning",AJ33="Warning"),"Warning",""))</f>
        <v/>
      </c>
    </row>
    <row r="34" spans="1:37" ht="15.5" x14ac:dyDescent="0.35">
      <c r="A34" s="108">
        <v>113</v>
      </c>
      <c r="B34" s="295" t="s">
        <v>1927</v>
      </c>
      <c r="C34" s="237"/>
      <c r="D34" s="668"/>
      <c r="E34" s="668"/>
      <c r="F34" s="669">
        <f>SUM(D34:E34)</f>
        <v>0</v>
      </c>
      <c r="G34" s="668"/>
      <c r="H34" s="668"/>
      <c r="I34" s="669">
        <f>SUM(G34:H34)</f>
        <v>0</v>
      </c>
      <c r="J34" s="669">
        <f>F34-I34</f>
        <v>0</v>
      </c>
      <c r="K34" s="112"/>
      <c r="L34" s="688" t="str">
        <f>IF(ISERROR(M34),"",IF((M34="Error"),"add explanation",IF((M34="Warning"),"add explanation","")))</f>
        <v/>
      </c>
      <c r="M34" s="310" t="str">
        <f t="shared" si="0"/>
        <v/>
      </c>
      <c r="N34" s="112"/>
      <c r="O34" s="131" t="str">
        <f>IF($M34="Error","A total column for "&amp;($B34)&amp;" does not match the sum of the components, please correct",IF($M34="Warning","This year's figure is over "&amp;AC34/1000&amp;" million and "&amp;(AB34*100)&amp;"% different to "&amp;TEXT(AD34,"#,###")&amp;" last year, please explain",""))</f>
        <v/>
      </c>
      <c r="AB34">
        <f>VLOOKUP("RO5"&amp;$A34,data_val_parameters,9,0)/100</f>
        <v>0.3</v>
      </c>
      <c r="AC34">
        <f>VLOOKUP("RO5"&amp;$A34,data_val_parameters,7,0)</f>
        <v>3000</v>
      </c>
      <c r="AD34" t="e">
        <f>VLOOKUP(LA_code,data_prev_year,MATCH("RO5"&amp;$A34&amp;"7",data_prev_year_headers,0),0)</f>
        <v>#N/A</v>
      </c>
      <c r="AE34" t="e">
        <f t="shared" si="1"/>
        <v>#N/A</v>
      </c>
      <c r="AF34" t="e">
        <f t="shared" si="2"/>
        <v>#N/A</v>
      </c>
      <c r="AG34" s="645" t="e">
        <f t="shared" si="3"/>
        <v>#N/A</v>
      </c>
      <c r="AH34" s="645" t="e">
        <f t="shared" si="4"/>
        <v>#N/A</v>
      </c>
      <c r="AI34" t="e">
        <f t="shared" si="5"/>
        <v>#N/A</v>
      </c>
      <c r="AJ34" t="e">
        <f t="shared" si="6"/>
        <v>#N/A</v>
      </c>
      <c r="AK34" t="str">
        <f>IF(OR(J34=0),"",IF(AND(AI34="Warning",AJ34="Warning"),"Warning",""))</f>
        <v/>
      </c>
    </row>
    <row r="35" spans="1:37" ht="15.5" x14ac:dyDescent="0.35">
      <c r="A35" s="108">
        <v>114</v>
      </c>
      <c r="B35" s="295" t="s">
        <v>1928</v>
      </c>
      <c r="C35" s="237"/>
      <c r="D35" s="668"/>
      <c r="E35" s="668"/>
      <c r="F35" s="669">
        <f>SUM(D35:E35)</f>
        <v>0</v>
      </c>
      <c r="G35" s="668"/>
      <c r="H35" s="668"/>
      <c r="I35" s="669">
        <f>SUM(G35:H35)</f>
        <v>0</v>
      </c>
      <c r="J35" s="669">
        <f>F35-I35</f>
        <v>0</v>
      </c>
      <c r="K35" s="112"/>
      <c r="L35" s="688" t="str">
        <f>IF(ISERROR(M35),"",IF((M35="Error"),"add explanation",IF((M35="Warning"),"add explanation","")))</f>
        <v/>
      </c>
      <c r="M35" s="310" t="str">
        <f t="shared" si="0"/>
        <v/>
      </c>
      <c r="N35" s="112"/>
      <c r="O35" s="131" t="str">
        <f>IF($M35="Error","A total column for "&amp;($B35)&amp;" does not match the sum of the components, please correct",IF($M35="Warning","This year's figure is over "&amp;AC35/1000&amp;" million and "&amp;(AB35*100)&amp;"% different to "&amp;TEXT(AD35,"#,###")&amp;" last year, please explain",""))</f>
        <v/>
      </c>
      <c r="AB35">
        <f>VLOOKUP("RO5"&amp;$A35,data_val_parameters,9,0)/100</f>
        <v>0.3</v>
      </c>
      <c r="AC35">
        <f>VLOOKUP("RO5"&amp;$A35,data_val_parameters,7,0)</f>
        <v>3000</v>
      </c>
      <c r="AD35" t="e">
        <f>VLOOKUP(LA_code,data_prev_year,MATCH("RO5"&amp;$A35&amp;"7",data_prev_year_headers,0),0)</f>
        <v>#N/A</v>
      </c>
      <c r="AE35" t="e">
        <f t="shared" si="1"/>
        <v>#N/A</v>
      </c>
      <c r="AF35" t="e">
        <f t="shared" si="2"/>
        <v>#N/A</v>
      </c>
      <c r="AG35" t="e">
        <f t="shared" si="3"/>
        <v>#N/A</v>
      </c>
      <c r="AH35" t="e">
        <f t="shared" si="4"/>
        <v>#N/A</v>
      </c>
      <c r="AI35" t="e">
        <f t="shared" si="5"/>
        <v>#N/A</v>
      </c>
      <c r="AJ35" t="e">
        <f t="shared" si="6"/>
        <v>#N/A</v>
      </c>
      <c r="AK35" t="str">
        <f>IF(OR(J35=0),"",IF(AND(AI35="Warning",AJ35="Warning"),"Warning",""))</f>
        <v/>
      </c>
    </row>
    <row r="36" spans="1:37" ht="15.5" x14ac:dyDescent="0.35">
      <c r="A36" s="108">
        <v>115</v>
      </c>
      <c r="B36" s="295" t="s">
        <v>1929</v>
      </c>
      <c r="C36" s="237"/>
      <c r="D36" s="668"/>
      <c r="E36" s="668"/>
      <c r="F36" s="669">
        <f>SUM(D36:E36)</f>
        <v>0</v>
      </c>
      <c r="G36" s="668"/>
      <c r="H36" s="668"/>
      <c r="I36" s="669">
        <f>SUM(G36:H36)</f>
        <v>0</v>
      </c>
      <c r="J36" s="669">
        <f>F36-I36</f>
        <v>0</v>
      </c>
      <c r="K36" s="112"/>
      <c r="L36" s="688" t="str">
        <f>IF(ISERROR(M36),"",IF((M36="Error"),"add explanation",IF((M36="Warning"),"add explanation","")))</f>
        <v/>
      </c>
      <c r="M36" s="310" t="str">
        <f t="shared" si="0"/>
        <v/>
      </c>
      <c r="N36" s="112"/>
      <c r="O36" s="131" t="str">
        <f>IF($M36="Error","A total column for "&amp;($B36)&amp;" does not match the sum of the components, please correct",IF($M36="Warning","This year's figure is over "&amp;AC36/1000&amp;" million and "&amp;(AB36*100)&amp;"% different to "&amp;TEXT(AD36,"#,###")&amp;" last year, please explain",""))</f>
        <v/>
      </c>
      <c r="AB36">
        <f>VLOOKUP("RO5"&amp;$A36,data_val_parameters,9,0)/100</f>
        <v>0.3</v>
      </c>
      <c r="AC36">
        <f>VLOOKUP("RO5"&amp;$A36,data_val_parameters,7,0)</f>
        <v>3000</v>
      </c>
      <c r="AD36" t="e">
        <f>VLOOKUP(LA_code,data_prev_year,MATCH("RO5"&amp;$A36&amp;"7",data_prev_year_headers,0),0)</f>
        <v>#N/A</v>
      </c>
      <c r="AE36" t="e">
        <f t="shared" si="1"/>
        <v>#N/A</v>
      </c>
      <c r="AF36" t="e">
        <f t="shared" si="2"/>
        <v>#N/A</v>
      </c>
      <c r="AG36" t="e">
        <f t="shared" si="3"/>
        <v>#N/A</v>
      </c>
      <c r="AH36" t="e">
        <f t="shared" si="4"/>
        <v>#N/A</v>
      </c>
      <c r="AI36" t="e">
        <f t="shared" si="5"/>
        <v>#N/A</v>
      </c>
      <c r="AJ36" t="e">
        <f t="shared" si="6"/>
        <v>#N/A</v>
      </c>
      <c r="AK36" t="str">
        <f>IF(OR(J36=0),"",IF(AND(AI36="Warning",AJ36="Warning"),"Warning",""))</f>
        <v/>
      </c>
    </row>
    <row r="37" spans="1:37" ht="20" x14ac:dyDescent="0.4">
      <c r="A37" s="266" t="s">
        <v>84</v>
      </c>
      <c r="B37" s="295" t="s">
        <v>84</v>
      </c>
      <c r="C37" s="237"/>
      <c r="D37" s="31"/>
      <c r="E37" s="31"/>
      <c r="F37" s="45"/>
      <c r="G37" s="31"/>
      <c r="H37" s="31"/>
      <c r="I37" s="45"/>
      <c r="J37" s="45"/>
      <c r="K37" s="112"/>
      <c r="L37" s="687"/>
      <c r="M37" s="310"/>
      <c r="N37" s="112"/>
      <c r="O37" s="131"/>
    </row>
    <row r="38" spans="1:37" ht="15.5" x14ac:dyDescent="0.35">
      <c r="A38" s="107" t="s">
        <v>1930</v>
      </c>
      <c r="B38" s="295"/>
      <c r="C38" s="237"/>
      <c r="D38" s="31"/>
      <c r="E38" s="31"/>
      <c r="F38" s="45"/>
      <c r="G38" s="31"/>
      <c r="H38" s="31"/>
      <c r="I38" s="45"/>
      <c r="J38" s="45"/>
      <c r="K38" s="112"/>
      <c r="L38" s="687"/>
      <c r="M38" s="310"/>
      <c r="N38" s="112"/>
      <c r="O38" s="131"/>
    </row>
    <row r="39" spans="1:37" ht="15.5" x14ac:dyDescent="0.35">
      <c r="A39" s="108">
        <v>121</v>
      </c>
      <c r="B39" s="295" t="s">
        <v>1931</v>
      </c>
      <c r="C39" s="237"/>
      <c r="D39" s="668"/>
      <c r="E39" s="668"/>
      <c r="F39" s="669">
        <f t="shared" ref="F39:F44" si="7">SUM(D39:E39)</f>
        <v>0</v>
      </c>
      <c r="G39" s="668"/>
      <c r="H39" s="668"/>
      <c r="I39" s="669">
        <f t="shared" ref="I39:I44" si="8">SUM(G39:H39)</f>
        <v>0</v>
      </c>
      <c r="J39" s="669">
        <f t="shared" ref="J39:J44" si="9">F39-I39</f>
        <v>0</v>
      </c>
      <c r="K39" s="112"/>
      <c r="L39" s="688" t="str">
        <f>IF(ISERROR(M39),"",IF((M39="Error"),"add explanation",IF((M39="Warning"),"add explanation","")))</f>
        <v/>
      </c>
      <c r="M39" s="310" t="str">
        <f t="shared" si="0"/>
        <v/>
      </c>
      <c r="N39" s="112"/>
      <c r="O39" s="131" t="str">
        <f>IF($M39="Error","A total column for "&amp;($B39)&amp;" does not match the sum of the components, please correct",IF($M39="Warning","This year's figure is over "&amp;AC39/1000&amp;" million and "&amp;(AB39*100)&amp;"% different to "&amp;TEXT(AD39,"#,###")&amp;" last year, please explain",""))</f>
        <v/>
      </c>
      <c r="AB39">
        <f>VLOOKUP("RO5"&amp;$A39,data_val_parameters,9,0)/100</f>
        <v>0.3</v>
      </c>
      <c r="AC39">
        <f>VLOOKUP("RO5"&amp;$A39,data_val_parameters,7,0)</f>
        <v>3000</v>
      </c>
      <c r="AD39" t="e">
        <f>VLOOKUP(LA_code,data_prev_year,MATCH("RO5"&amp;$A39&amp;"7",data_prev_year_headers,0),0)</f>
        <v>#N/A</v>
      </c>
      <c r="AE39" t="e">
        <f t="shared" si="1"/>
        <v>#N/A</v>
      </c>
      <c r="AF39" t="e">
        <f t="shared" si="2"/>
        <v>#N/A</v>
      </c>
      <c r="AG39" t="e">
        <f t="shared" si="3"/>
        <v>#N/A</v>
      </c>
      <c r="AH39" t="e">
        <f t="shared" si="4"/>
        <v>#N/A</v>
      </c>
      <c r="AI39" t="e">
        <f t="shared" si="5"/>
        <v>#N/A</v>
      </c>
      <c r="AJ39" t="e">
        <f t="shared" si="6"/>
        <v>#N/A</v>
      </c>
      <c r="AK39" t="str">
        <f>IF(OR(J39=0),"",IF(AND(AI39="Warning",AJ39="Warning"),"Warning",""))</f>
        <v/>
      </c>
    </row>
    <row r="40" spans="1:37" ht="15.5" x14ac:dyDescent="0.35">
      <c r="A40" s="108">
        <v>122</v>
      </c>
      <c r="B40" s="295" t="s">
        <v>1932</v>
      </c>
      <c r="C40" s="237"/>
      <c r="D40" s="668"/>
      <c r="E40" s="668"/>
      <c r="F40" s="669">
        <f t="shared" si="7"/>
        <v>0</v>
      </c>
      <c r="G40" s="668"/>
      <c r="H40" s="668"/>
      <c r="I40" s="669">
        <f t="shared" si="8"/>
        <v>0</v>
      </c>
      <c r="J40" s="669">
        <f t="shared" si="9"/>
        <v>0</v>
      </c>
      <c r="K40" s="112"/>
      <c r="L40" s="688" t="str">
        <f>IF(ISERROR(M40),"",IF((M40="Error"),"add explanation",IF((M40="Warning"),"add explanation","")))</f>
        <v/>
      </c>
      <c r="M40" s="310" t="str">
        <f t="shared" si="0"/>
        <v/>
      </c>
      <c r="N40" s="112"/>
      <c r="O40" s="131" t="str">
        <f>IF($M40="Error","A total column for "&amp;($B40)&amp;" does not match the sum of the components, please correct",IF($M40="Warning","This year's figure is over "&amp;AC40/1000&amp;" million and "&amp;(AB40*100)&amp;"% different to "&amp;TEXT(AD40,"#,###")&amp;" last year, please explain",""))</f>
        <v/>
      </c>
      <c r="AB40">
        <f>VLOOKUP("RO5"&amp;$A40,data_val_parameters,9,0)/100</f>
        <v>0.3</v>
      </c>
      <c r="AC40">
        <f>VLOOKUP("RO5"&amp;$A40,data_val_parameters,7,0)</f>
        <v>3000</v>
      </c>
      <c r="AD40" t="e">
        <f>VLOOKUP(LA_code,data_prev_year,MATCH("RO5"&amp;$A40&amp;"7",data_prev_year_headers,0),0)</f>
        <v>#N/A</v>
      </c>
      <c r="AE40" t="e">
        <f t="shared" si="1"/>
        <v>#N/A</v>
      </c>
      <c r="AF40" t="e">
        <f t="shared" si="2"/>
        <v>#N/A</v>
      </c>
      <c r="AG40" t="e">
        <f t="shared" si="3"/>
        <v>#N/A</v>
      </c>
      <c r="AH40" t="e">
        <f t="shared" si="4"/>
        <v>#N/A</v>
      </c>
      <c r="AI40" t="e">
        <f t="shared" si="5"/>
        <v>#N/A</v>
      </c>
      <c r="AJ40" t="e">
        <f t="shared" si="6"/>
        <v>#N/A</v>
      </c>
      <c r="AK40" t="str">
        <f>IF(OR(J40=0),"",IF(AND(AI40="Warning",AJ40="Warning"),"Warning",""))</f>
        <v/>
      </c>
    </row>
    <row r="41" spans="1:37" ht="15.5" x14ac:dyDescent="0.35">
      <c r="A41" s="108">
        <v>123</v>
      </c>
      <c r="B41" s="295" t="s">
        <v>1933</v>
      </c>
      <c r="C41" s="237"/>
      <c r="D41" s="668"/>
      <c r="E41" s="668"/>
      <c r="F41" s="669">
        <f t="shared" si="7"/>
        <v>0</v>
      </c>
      <c r="G41" s="668"/>
      <c r="H41" s="668"/>
      <c r="I41" s="669">
        <f t="shared" si="8"/>
        <v>0</v>
      </c>
      <c r="J41" s="669">
        <f t="shared" si="9"/>
        <v>0</v>
      </c>
      <c r="K41" s="112"/>
      <c r="L41" s="688" t="str">
        <f>IF(ISERROR(M41),"",IF((M41="Error"),"add explanation",IF((M41="Warning"),"add explanation","")))</f>
        <v/>
      </c>
      <c r="M41" s="310" t="str">
        <f t="shared" si="0"/>
        <v/>
      </c>
      <c r="N41" s="112"/>
      <c r="O41" s="131" t="str">
        <f>IF($M41="Error","A total column for "&amp;($B41)&amp;" does not match the sum of the components, please correct",IF($M41="Warning","This year's figure is over "&amp;AC41/1000&amp;" million and "&amp;(AB41*100)&amp;"% different to "&amp;TEXT(AD41,"#,###")&amp;" last year, please explain",""))</f>
        <v/>
      </c>
      <c r="AB41">
        <f>VLOOKUP("RO5"&amp;$A41,data_val_parameters,9,0)/100</f>
        <v>0.35</v>
      </c>
      <c r="AC41">
        <f>VLOOKUP("RO5"&amp;$A41,data_val_parameters,7,0)</f>
        <v>4000</v>
      </c>
      <c r="AD41" t="e">
        <f>VLOOKUP(LA_code,data_prev_year,MATCH("RO5"&amp;$A41&amp;"7",data_prev_year_headers,0),0)</f>
        <v>#N/A</v>
      </c>
      <c r="AE41" t="e">
        <f t="shared" si="1"/>
        <v>#N/A</v>
      </c>
      <c r="AF41" t="e">
        <f t="shared" si="2"/>
        <v>#N/A</v>
      </c>
      <c r="AG41" t="e">
        <f t="shared" si="3"/>
        <v>#N/A</v>
      </c>
      <c r="AH41" t="e">
        <f t="shared" si="4"/>
        <v>#N/A</v>
      </c>
      <c r="AI41" t="e">
        <f t="shared" si="5"/>
        <v>#N/A</v>
      </c>
      <c r="AJ41" t="e">
        <f t="shared" si="6"/>
        <v>#N/A</v>
      </c>
      <c r="AK41" t="str">
        <f>IF(OR(J41=0),"",IF(AND(AI41="Warning",AJ41="Warning"),"Warning",""))</f>
        <v/>
      </c>
    </row>
    <row r="42" spans="1:37" ht="15.5" x14ac:dyDescent="0.35">
      <c r="A42" s="108">
        <v>129</v>
      </c>
      <c r="B42" s="295" t="s">
        <v>1934</v>
      </c>
      <c r="C42" s="237"/>
      <c r="D42" s="668"/>
      <c r="E42" s="668"/>
      <c r="F42" s="669">
        <f t="shared" si="7"/>
        <v>0</v>
      </c>
      <c r="G42" s="668"/>
      <c r="H42" s="668"/>
      <c r="I42" s="669">
        <f t="shared" si="8"/>
        <v>0</v>
      </c>
      <c r="J42" s="669">
        <f t="shared" si="9"/>
        <v>0</v>
      </c>
      <c r="K42" s="112"/>
      <c r="L42" s="688" t="str">
        <f>IF(ISERROR(M42),"",IF((M42="Error"),"add explanation",IF((M42="Warning"),"add explanation","")))</f>
        <v/>
      </c>
      <c r="M42" s="310" t="str">
        <f t="shared" si="0"/>
        <v/>
      </c>
      <c r="N42" s="112"/>
      <c r="O42" s="131" t="str">
        <f>IF($M42="Error","A total column for "&amp;($B42)&amp;" does not match the sum of the components, please correct",IF($M42="Warning","This year's figure is over "&amp;AC42/1000&amp;" million and "&amp;(AB42*100)&amp;"% different to "&amp;TEXT(AD42,"#,###")&amp;" last year, please explain",""))</f>
        <v/>
      </c>
      <c r="AB42">
        <f>VLOOKUP("RO5"&amp;$A42,data_val_parameters,9,0)/100</f>
        <v>0.35</v>
      </c>
      <c r="AC42">
        <f>VLOOKUP("RO5"&amp;$A42,data_val_parameters,7,0)</f>
        <v>4000</v>
      </c>
      <c r="AD42" t="e">
        <f>VLOOKUP(LA_code,data_prev_year,MATCH("RO5"&amp;$A42&amp;"7",data_prev_year_headers,0),0)</f>
        <v>#N/A</v>
      </c>
      <c r="AE42" t="e">
        <f t="shared" si="1"/>
        <v>#N/A</v>
      </c>
      <c r="AF42" t="e">
        <f t="shared" si="2"/>
        <v>#N/A</v>
      </c>
      <c r="AG42" t="e">
        <f t="shared" si="3"/>
        <v>#N/A</v>
      </c>
      <c r="AH42" t="e">
        <f t="shared" si="4"/>
        <v>#N/A</v>
      </c>
      <c r="AI42" t="e">
        <f t="shared" si="5"/>
        <v>#N/A</v>
      </c>
      <c r="AJ42" t="e">
        <f t="shared" si="6"/>
        <v>#N/A</v>
      </c>
      <c r="AK42" t="str">
        <f>IF(OR(J42=0),"",IF(AND(AI42="Warning",AJ42="Warning"),"Warning",""))</f>
        <v/>
      </c>
    </row>
    <row r="43" spans="1:37" ht="15.5" x14ac:dyDescent="0.35">
      <c r="A43" s="195" t="s">
        <v>84</v>
      </c>
      <c r="B43" s="295"/>
      <c r="C43" s="237"/>
      <c r="D43" s="31"/>
      <c r="E43" s="31"/>
      <c r="F43" s="45"/>
      <c r="G43" s="31"/>
      <c r="H43" s="31"/>
      <c r="I43" s="45"/>
      <c r="J43" s="45"/>
      <c r="K43" s="112"/>
      <c r="L43" s="687"/>
      <c r="M43" s="310"/>
      <c r="N43" s="112"/>
      <c r="O43" s="131"/>
    </row>
    <row r="44" spans="1:37" ht="18" x14ac:dyDescent="0.4">
      <c r="A44" s="122">
        <v>131</v>
      </c>
      <c r="B44" s="295" t="s">
        <v>1935</v>
      </c>
      <c r="C44" s="237"/>
      <c r="D44" s="668"/>
      <c r="E44" s="668"/>
      <c r="F44" s="669">
        <f t="shared" si="7"/>
        <v>0</v>
      </c>
      <c r="G44" s="668"/>
      <c r="H44" s="668"/>
      <c r="I44" s="669">
        <f t="shared" si="8"/>
        <v>0</v>
      </c>
      <c r="J44" s="669">
        <f t="shared" si="9"/>
        <v>0</v>
      </c>
      <c r="K44" s="39"/>
      <c r="L44" s="688" t="str">
        <f>IF(ISERROR(M44),"",IF((M44="Error"),"add explanation",IF((M44="Warning"),"add explanation","")))</f>
        <v/>
      </c>
      <c r="M44" s="310" t="str">
        <f t="shared" si="0"/>
        <v/>
      </c>
      <c r="N44" s="112"/>
      <c r="O44" s="131" t="str">
        <f>IF($M44="Error","A total column for "&amp;($B44)&amp;" does not match the sum of the components, please correct",IF($M44="Warning","This year's figure is over "&amp;AC44/1000&amp;" million and "&amp;(AB44*100)&amp;"% different to "&amp;TEXT(AD44,"#,###")&amp;" last year, please explain",""))</f>
        <v/>
      </c>
      <c r="AB44">
        <f>VLOOKUP("RO5"&amp;$A44,data_val_parameters,9,0)/100</f>
        <v>0.35</v>
      </c>
      <c r="AC44">
        <f>VLOOKUP("RO5"&amp;$A44,data_val_parameters,7,0)</f>
        <v>4000</v>
      </c>
      <c r="AD44" t="e">
        <f>VLOOKUP(LA_code,data_prev_year,MATCH("RO5"&amp;$A44&amp;"7",data_prev_year_headers,0),0)</f>
        <v>#N/A</v>
      </c>
      <c r="AE44" t="e">
        <f t="shared" si="1"/>
        <v>#N/A</v>
      </c>
      <c r="AF44" t="e">
        <f t="shared" si="2"/>
        <v>#N/A</v>
      </c>
      <c r="AG44" t="e">
        <f t="shared" si="3"/>
        <v>#N/A</v>
      </c>
      <c r="AH44" t="e">
        <f t="shared" si="4"/>
        <v>#N/A</v>
      </c>
      <c r="AI44" t="e">
        <f t="shared" si="5"/>
        <v>#N/A</v>
      </c>
      <c r="AJ44" t="e">
        <f t="shared" si="6"/>
        <v>#N/A</v>
      </c>
      <c r="AK44" t="str">
        <f>IF(OR(J44=0),"",IF(AND(AI44="Warning",AJ44="Warning"),"Warning",""))</f>
        <v/>
      </c>
    </row>
    <row r="45" spans="1:37" ht="15.5" x14ac:dyDescent="0.35">
      <c r="A45" s="195" t="s">
        <v>84</v>
      </c>
      <c r="B45" s="295"/>
      <c r="C45" s="237"/>
      <c r="D45" s="31"/>
      <c r="E45" s="31"/>
      <c r="F45" s="45"/>
      <c r="G45" s="31"/>
      <c r="H45" s="31"/>
      <c r="I45" s="45"/>
      <c r="J45" s="45"/>
      <c r="K45" s="112"/>
      <c r="L45" s="687"/>
      <c r="M45" s="310"/>
      <c r="N45" s="112"/>
      <c r="O45" s="131"/>
    </row>
    <row r="46" spans="1:37" ht="15.5" x14ac:dyDescent="0.35">
      <c r="A46" s="122">
        <v>137</v>
      </c>
      <c r="B46" s="295" t="s">
        <v>1936</v>
      </c>
      <c r="C46" s="237"/>
      <c r="D46" s="668"/>
      <c r="E46" s="668"/>
      <c r="F46" s="669">
        <f>SUM(D46:E46)</f>
        <v>0</v>
      </c>
      <c r="G46" s="668"/>
      <c r="H46" s="668"/>
      <c r="I46" s="669">
        <f>SUM(G46:H46)</f>
        <v>0</v>
      </c>
      <c r="J46" s="669">
        <f>F46-I46</f>
        <v>0</v>
      </c>
      <c r="K46" s="112"/>
      <c r="L46" s="688" t="str">
        <f>IF(ISERROR(M46),"",IF((M46="Error"),"add explanation",IF((M46="Warning"),"add explanation","")))</f>
        <v/>
      </c>
      <c r="M46" s="310" t="str">
        <f t="shared" ref="M46" si="10">IF(OR((I46&lt;&gt;(G46+H46)),(F46&lt;&gt;(D46+E46)),(J46&lt;&gt;(F46-I46))),"Error",IF(AK46="Warning","Warning",""))</f>
        <v/>
      </c>
      <c r="N46" s="112"/>
      <c r="O46" s="131" t="str">
        <f>IF($M46="Error","A total column for "&amp;($B46)&amp;" does not match the sum of the components, please correct",IF($M46="Warning","This year's figure is over "&amp;AC46/1000&amp;" million and "&amp;(AB46*100)&amp;"% different to "&amp;TEXT(AD46,"#,###")&amp;" last year, please explain",""))</f>
        <v/>
      </c>
      <c r="AB46">
        <f>VLOOKUP("RO5"&amp;$A46,data_val_parameters,9,0)/100</f>
        <v>0.35</v>
      </c>
      <c r="AC46">
        <f>VLOOKUP("RO5"&amp;$A46,data_val_parameters,7,0)</f>
        <v>4000</v>
      </c>
      <c r="AD46" t="e">
        <f>VLOOKUP(LA_code,data_prev_year,MATCH("RO5"&amp;$A46&amp;"7",data_prev_year_headers,0),0)</f>
        <v>#N/A</v>
      </c>
      <c r="AE46" t="e">
        <f t="shared" ref="AE46" si="11">AD46+AC46</f>
        <v>#N/A</v>
      </c>
      <c r="AF46" t="e">
        <f t="shared" ref="AF46" si="12">AD46-AC46</f>
        <v>#N/A</v>
      </c>
      <c r="AG46" t="e">
        <f t="shared" ref="AG46" si="13">AD46+(AD46*AB46)</f>
        <v>#N/A</v>
      </c>
      <c r="AH46" t="e">
        <f t="shared" ref="AH46" si="14">AD46-(AD46*AB46)</f>
        <v>#N/A</v>
      </c>
      <c r="AI46" t="e">
        <f t="shared" ref="AI46" si="15">IF(OR(J46&lt;AF46,J46&gt;AE46),"Warning","")</f>
        <v>#N/A</v>
      </c>
      <c r="AJ46" t="e">
        <f t="shared" ref="AJ46" si="16">IF(OR(J46&gt;(AG46),J46&lt;(AH46)),"Warning","")</f>
        <v>#N/A</v>
      </c>
      <c r="AK46" t="str">
        <f t="shared" ref="AK46" si="17">IF(OR(J46=0),"",IF(AND(AI46="Warning",AJ46="Warning"),"Warning",""))</f>
        <v/>
      </c>
    </row>
    <row r="47" spans="1:37" ht="15.5" x14ac:dyDescent="0.35">
      <c r="A47" s="195"/>
      <c r="B47" s="295"/>
      <c r="C47" s="237"/>
      <c r="D47" s="31"/>
      <c r="E47" s="31"/>
      <c r="F47" s="45"/>
      <c r="G47" s="31"/>
      <c r="H47" s="31"/>
      <c r="I47" s="45"/>
      <c r="J47" s="45"/>
      <c r="K47" s="112"/>
      <c r="L47" s="687"/>
      <c r="M47" s="310"/>
      <c r="N47" s="112"/>
      <c r="O47" s="131"/>
    </row>
    <row r="48" spans="1:37" ht="15.5" x14ac:dyDescent="0.35">
      <c r="A48" s="122">
        <v>140</v>
      </c>
      <c r="B48" s="295" t="s">
        <v>1937</v>
      </c>
      <c r="C48" s="237"/>
      <c r="D48" s="668"/>
      <c r="E48" s="668"/>
      <c r="F48" s="669">
        <f>SUM(D48:E48)</f>
        <v>0</v>
      </c>
      <c r="G48" s="668"/>
      <c r="H48" s="668"/>
      <c r="I48" s="669">
        <f>SUM(G48:H48)</f>
        <v>0</v>
      </c>
      <c r="J48" s="669">
        <f>F48-I48</f>
        <v>0</v>
      </c>
      <c r="K48" s="112"/>
      <c r="L48" s="688" t="str">
        <f>IF(ISERROR(M48),"",IF((M48="Error"),"add explanation",IF((M48="Warning"),"add explanation","")))</f>
        <v/>
      </c>
      <c r="M48" s="310" t="str">
        <f t="shared" si="0"/>
        <v/>
      </c>
      <c r="N48" s="112"/>
      <c r="O48" s="131" t="str">
        <f>IF($M48="Error","A total column for "&amp;($B48)&amp;" does not match the sum of the components, please correct",IF($M48="Warning","This year's figure is over "&amp;AC48/1000&amp;" million and "&amp;(AB48*100)&amp;"% different to "&amp;TEXT(AD48,"#,###")&amp;" last year, please explain",""))</f>
        <v/>
      </c>
      <c r="AB48">
        <f>VLOOKUP("RO5"&amp;$A48,data_val_parameters,9,0)/100</f>
        <v>0.3</v>
      </c>
      <c r="AC48">
        <f>VLOOKUP("RO5"&amp;$A48,data_val_parameters,7,0)</f>
        <v>3000</v>
      </c>
      <c r="AD48" t="e">
        <f>VLOOKUP(LA_code,data_prev_year,MATCH("RO5"&amp;$A48&amp;"7",data_prev_year_headers,0),0)</f>
        <v>#N/A</v>
      </c>
      <c r="AE48" t="e">
        <f t="shared" si="1"/>
        <v>#N/A</v>
      </c>
      <c r="AF48" t="e">
        <f t="shared" si="2"/>
        <v>#N/A</v>
      </c>
      <c r="AG48" t="e">
        <f t="shared" si="3"/>
        <v>#N/A</v>
      </c>
      <c r="AH48" t="e">
        <f t="shared" si="4"/>
        <v>#N/A</v>
      </c>
      <c r="AI48" t="e">
        <f t="shared" si="5"/>
        <v>#N/A</v>
      </c>
      <c r="AJ48" t="e">
        <f t="shared" si="6"/>
        <v>#N/A</v>
      </c>
      <c r="AK48" t="str">
        <f>IF(OR(J48=0),"",IF(AND(AI48="Warning",AJ48="Warning"),"Warning",""))</f>
        <v/>
      </c>
    </row>
    <row r="49" spans="1:40" ht="15.5" x14ac:dyDescent="0.35">
      <c r="A49" s="195" t="s">
        <v>84</v>
      </c>
      <c r="B49" s="295" t="s">
        <v>84</v>
      </c>
      <c r="C49" s="237"/>
      <c r="D49" s="31"/>
      <c r="E49" s="31"/>
      <c r="F49" s="45"/>
      <c r="G49" s="31"/>
      <c r="H49" s="31"/>
      <c r="I49" s="45"/>
      <c r="J49" s="45"/>
      <c r="K49" s="112"/>
      <c r="L49" s="687"/>
      <c r="M49" s="310"/>
      <c r="N49" s="112"/>
      <c r="O49" s="131"/>
      <c r="AL49" s="750"/>
      <c r="AM49" s="750"/>
      <c r="AN49" s="750" t="s">
        <v>1938</v>
      </c>
    </row>
    <row r="50" spans="1:40" ht="15.5" x14ac:dyDescent="0.35">
      <c r="A50" s="122">
        <v>150</v>
      </c>
      <c r="B50" s="295" t="s">
        <v>1939</v>
      </c>
      <c r="C50" s="237"/>
      <c r="D50" s="668"/>
      <c r="E50" s="668"/>
      <c r="F50" s="669">
        <f>SUM(D50:E50)</f>
        <v>0</v>
      </c>
      <c r="G50" s="668"/>
      <c r="H50" s="668"/>
      <c r="I50" s="669">
        <f>SUM(G50:H50)</f>
        <v>0</v>
      </c>
      <c r="J50" s="669">
        <f>F50-I50</f>
        <v>0</v>
      </c>
      <c r="K50" s="112"/>
      <c r="L50" s="688" t="str">
        <f>IF(ISERROR(M50),"",IF((M50="Error"),"add explanation",IF((M50="Warning"),"add explanation","")))</f>
        <v/>
      </c>
      <c r="M50" s="310" t="e">
        <f>IF(OR((I50&lt;&gt;(G50+H50)),(F50&lt;&gt;(D50+E50)),(J50&lt;&gt;(F50-I50))),"Error",IF(OR(AK50="Warning",AL50="Warning"),"Warning",""))</f>
        <v>#N/A</v>
      </c>
      <c r="N50" s="112"/>
      <c r="O50" s="657" t="e">
        <f>IF($M50="Error","A total column for "&amp;($B50)&amp;" does not match the sum of the components, please correct",IF(AL50="Warning","Non zero entry expected for your authority",IF($M50="Warning","This year's figure is over "&amp;AC50/1000&amp;" million and "&amp;(AB50*100)&amp;"% different to "&amp;TEXT(AD50,"#,###")&amp;" last year, please explain","")))</f>
        <v>#N/A</v>
      </c>
      <c r="AB50">
        <f>VLOOKUP("RO5"&amp;$A50,data_val_parameters,9,0)/100</f>
        <v>0.15</v>
      </c>
      <c r="AC50">
        <f>VLOOKUP("RO5"&amp;$A50,data_val_parameters,7,0)</f>
        <v>3000</v>
      </c>
      <c r="AD50" t="e">
        <f>VLOOKUP(LA_code,data_prev_year,MATCH("RO5"&amp;$A50&amp;"7",data_prev_year_headers,0),0)</f>
        <v>#N/A</v>
      </c>
      <c r="AE50" t="e">
        <f t="shared" si="1"/>
        <v>#N/A</v>
      </c>
      <c r="AF50" t="e">
        <f t="shared" si="2"/>
        <v>#N/A</v>
      </c>
      <c r="AG50" s="645" t="e">
        <f t="shared" si="3"/>
        <v>#N/A</v>
      </c>
      <c r="AH50" s="645" t="e">
        <f t="shared" si="4"/>
        <v>#N/A</v>
      </c>
      <c r="AI50" t="e">
        <f t="shared" si="5"/>
        <v>#N/A</v>
      </c>
      <c r="AJ50" t="e">
        <f t="shared" si="6"/>
        <v>#N/A</v>
      </c>
      <c r="AK50" t="str">
        <f>IF(OR(J50=0),"",IF(AND(AI50="Warning",AJ50="Warning"),"Warning",""))</f>
        <v/>
      </c>
      <c r="AL50" s="750" t="e">
        <f>IF(AND(J50=0,AM50=TRUE),"Warning","")</f>
        <v>#N/A</v>
      </c>
      <c r="AM50" s="750" t="e" cm="1">
        <f t="array" ref="AM50">SUMPRODUCT(--(VLOOKUP(LA_code,LA_Data,4,0)=upper))&gt;0</f>
        <v>#N/A</v>
      </c>
      <c r="AN50" s="750" t="s">
        <v>1940</v>
      </c>
    </row>
    <row r="51" spans="1:40" ht="15.5" x14ac:dyDescent="0.35">
      <c r="A51" s="195" t="s">
        <v>84</v>
      </c>
      <c r="B51" s="295" t="s">
        <v>84</v>
      </c>
      <c r="C51" s="237"/>
      <c r="D51" s="31"/>
      <c r="E51" s="31"/>
      <c r="F51" s="45"/>
      <c r="G51" s="31"/>
      <c r="H51" s="31"/>
      <c r="I51" s="45"/>
      <c r="J51" s="45"/>
      <c r="K51" s="112"/>
      <c r="L51" s="689" t="str">
        <f>VLOOKUP(A21,'LA Data'!A:AI,'LA Data'!AI$1,0)</f>
        <v>Billing Authority</v>
      </c>
      <c r="M51" s="310"/>
      <c r="N51" s="112"/>
      <c r="O51" s="131"/>
      <c r="AL51" s="750"/>
      <c r="AM51" s="750"/>
      <c r="AN51" s="750" t="s">
        <v>97</v>
      </c>
    </row>
    <row r="52" spans="1:40" ht="15.5" x14ac:dyDescent="0.35">
      <c r="A52" s="117">
        <v>190</v>
      </c>
      <c r="B52" s="297" t="s">
        <v>1941</v>
      </c>
      <c r="C52" s="237"/>
      <c r="D52" s="669">
        <f t="shared" ref="D52:J52" si="18">SUM(D32:D36,D39:D42,D44,D46,D48,D50)</f>
        <v>0</v>
      </c>
      <c r="E52" s="1133">
        <f t="shared" si="18"/>
        <v>0</v>
      </c>
      <c r="F52" s="669">
        <f t="shared" si="18"/>
        <v>0</v>
      </c>
      <c r="G52" s="669">
        <f t="shared" si="18"/>
        <v>0</v>
      </c>
      <c r="H52" s="669">
        <f t="shared" si="18"/>
        <v>0</v>
      </c>
      <c r="I52" s="717">
        <f t="shared" si="18"/>
        <v>0</v>
      </c>
      <c r="J52" s="1134">
        <f t="shared" si="18"/>
        <v>0</v>
      </c>
      <c r="K52" s="86"/>
      <c r="L52" s="688" t="str">
        <f>IF(ISERROR(M52),"",IF((M52="Error"),"add explanation",IF((M52="Warning"),"add explanation","")))</f>
        <v/>
      </c>
      <c r="M52" s="310" t="str">
        <f t="shared" si="0"/>
        <v/>
      </c>
      <c r="N52" s="112"/>
      <c r="O52" s="131" t="str">
        <f>IF($M52="Error","A total column for "&amp;($B52)&amp;" does not match the sum of the components, please correct",IF($M52="Warning","This year's figure is over "&amp;AC52/1000&amp;" million and "&amp;(AB52*100)&amp;"% different to "&amp;TEXT(AD52,"#,###")&amp;" last year, please explain",""))</f>
        <v/>
      </c>
      <c r="AL52" s="750"/>
      <c r="AM52" s="750"/>
      <c r="AN52" s="750" t="s">
        <v>1942</v>
      </c>
    </row>
    <row r="53" spans="1:40" ht="15.5" x14ac:dyDescent="0.35">
      <c r="A53" s="112"/>
      <c r="B53" s="237"/>
      <c r="C53" s="237"/>
      <c r="D53" s="31"/>
      <c r="E53" s="1135"/>
      <c r="F53" s="45"/>
      <c r="G53" s="31"/>
      <c r="H53" s="31"/>
      <c r="I53" s="45"/>
      <c r="J53" s="820" t="s">
        <v>1730</v>
      </c>
      <c r="K53" s="112"/>
      <c r="L53" s="472"/>
      <c r="M53" s="468"/>
      <c r="N53" s="112"/>
      <c r="O53" s="131"/>
      <c r="AL53" s="750"/>
      <c r="AM53" s="750"/>
      <c r="AN53" s="750" t="s">
        <v>125</v>
      </c>
    </row>
    <row r="54" spans="1:40" ht="46.5" x14ac:dyDescent="0.35">
      <c r="A54" s="112"/>
      <c r="B54" s="237"/>
      <c r="C54" s="237"/>
      <c r="D54" s="31"/>
      <c r="E54" s="709" t="s">
        <v>1731</v>
      </c>
      <c r="F54" s="45"/>
      <c r="G54" s="31"/>
      <c r="H54" s="31"/>
      <c r="I54" s="45"/>
      <c r="J54" s="820"/>
      <c r="K54" s="112"/>
      <c r="L54" s="472"/>
      <c r="M54" s="468"/>
      <c r="N54" s="112"/>
      <c r="O54" s="131"/>
      <c r="AL54" s="750"/>
      <c r="AM54" s="750"/>
      <c r="AN54" s="750"/>
    </row>
    <row r="55" spans="1:40" ht="15.5" x14ac:dyDescent="0.35">
      <c r="A55" s="112"/>
      <c r="B55" s="112"/>
      <c r="C55" s="112"/>
      <c r="D55" s="31"/>
      <c r="E55" s="399" t="s">
        <v>1732</v>
      </c>
      <c r="F55" s="45"/>
      <c r="G55" s="31"/>
      <c r="H55" s="31"/>
      <c r="I55" s="45"/>
      <c r="J55" s="298"/>
      <c r="K55" s="112"/>
      <c r="L55" s="472"/>
      <c r="M55" s="468"/>
      <c r="N55" s="112"/>
      <c r="O55" s="131"/>
      <c r="AL55" s="750"/>
      <c r="AM55" s="750"/>
      <c r="AN55" s="750"/>
    </row>
    <row r="56" spans="1:40" ht="15.5" x14ac:dyDescent="0.35">
      <c r="A56" s="859">
        <v>1191</v>
      </c>
      <c r="B56" s="859" t="s">
        <v>1943</v>
      </c>
      <c r="C56" s="112"/>
      <c r="D56" s="112"/>
      <c r="E56" s="996"/>
      <c r="F56" s="45"/>
      <c r="G56" s="31"/>
      <c r="H56" s="31"/>
      <c r="I56" s="45"/>
      <c r="J56" s="298"/>
      <c r="K56" s="112"/>
      <c r="L56" s="472"/>
      <c r="M56" s="468"/>
      <c r="N56" s="112"/>
      <c r="O56" s="131"/>
      <c r="AL56" s="750"/>
      <c r="AM56" s="750"/>
      <c r="AN56" s="750"/>
    </row>
    <row r="57" spans="1:40" ht="15.5" x14ac:dyDescent="0.35">
      <c r="A57" s="510" t="s">
        <v>84</v>
      </c>
      <c r="B57" s="295" t="s">
        <v>84</v>
      </c>
      <c r="C57" s="237"/>
      <c r="D57" s="31"/>
      <c r="E57" s="31"/>
      <c r="F57" s="45"/>
      <c r="G57" s="31"/>
      <c r="H57" s="31"/>
      <c r="I57" s="45"/>
      <c r="J57" s="45"/>
      <c r="K57" s="112"/>
      <c r="L57" s="472"/>
      <c r="M57" s="310"/>
      <c r="N57" s="112"/>
      <c r="O57" s="131"/>
    </row>
    <row r="58" spans="1:40" ht="18" x14ac:dyDescent="0.4">
      <c r="A58" s="109" t="s">
        <v>1944</v>
      </c>
      <c r="B58" s="295"/>
      <c r="C58" s="237"/>
      <c r="D58" s="31"/>
      <c r="E58" s="31"/>
      <c r="F58" s="45"/>
      <c r="G58" s="31"/>
      <c r="H58" s="31"/>
      <c r="I58" s="45"/>
      <c r="J58" s="45"/>
      <c r="K58" s="112"/>
      <c r="L58" s="472"/>
      <c r="M58" s="310"/>
      <c r="N58" s="112"/>
      <c r="O58" s="131"/>
    </row>
    <row r="59" spans="1:40" ht="20" x14ac:dyDescent="0.4">
      <c r="A59" s="266" t="s">
        <v>84</v>
      </c>
      <c r="B59" s="295" t="s">
        <v>84</v>
      </c>
      <c r="C59" s="237"/>
      <c r="D59" s="31"/>
      <c r="E59" s="31"/>
      <c r="F59" s="45"/>
      <c r="G59" s="31"/>
      <c r="H59" s="31"/>
      <c r="I59" s="45"/>
      <c r="J59" s="45"/>
      <c r="K59" s="112"/>
      <c r="L59" s="472"/>
      <c r="M59" s="310"/>
      <c r="N59" s="112"/>
      <c r="O59" s="131"/>
    </row>
    <row r="60" spans="1:40" ht="15.5" x14ac:dyDescent="0.35">
      <c r="A60" s="122">
        <v>210</v>
      </c>
      <c r="B60" s="295" t="s">
        <v>1945</v>
      </c>
      <c r="C60" s="237"/>
      <c r="D60" s="668"/>
      <c r="E60" s="668"/>
      <c r="F60" s="669">
        <f>SUM(D60:E60)</f>
        <v>0</v>
      </c>
      <c r="G60" s="668"/>
      <c r="H60" s="668"/>
      <c r="I60" s="669">
        <f>SUM(G60:H60)</f>
        <v>0</v>
      </c>
      <c r="J60" s="669">
        <f>F60-I60</f>
        <v>0</v>
      </c>
      <c r="K60" s="112"/>
      <c r="L60" s="688" t="str">
        <f>IF(ISERROR(M60),"",IF((M60="Error"),"add explanation",IF((M60="Warning"),"add explanation","")))</f>
        <v/>
      </c>
      <c r="M60" s="310" t="str">
        <f t="shared" si="0"/>
        <v/>
      </c>
      <c r="N60" s="112"/>
      <c r="O60" s="131" t="str">
        <f>IF($M60="Error","A total column for "&amp;($B60)&amp;" does not match the sum of the components, please correct",IF($M60="Warning","This year's figure is over "&amp;AC60/1000&amp;" million and "&amp;(AB60*100)&amp;"% different to "&amp;TEXT(AD60,"#,###")&amp;" last year, please explain",""))</f>
        <v/>
      </c>
      <c r="AB60">
        <f>VLOOKUP("RO5"&amp;$A60,data_val_parameters,9,0)/100</f>
        <v>0.25</v>
      </c>
      <c r="AC60">
        <f>VLOOKUP("RO5"&amp;$A60,data_val_parameters,7,0)</f>
        <v>2000</v>
      </c>
      <c r="AD60" t="e">
        <f>VLOOKUP(LA_code,data_prev_year,MATCH("RO5"&amp;$A60&amp;"7",data_prev_year_headers,0),0)</f>
        <v>#N/A</v>
      </c>
      <c r="AE60" t="e">
        <f t="shared" si="1"/>
        <v>#N/A</v>
      </c>
      <c r="AF60" t="e">
        <f t="shared" si="2"/>
        <v>#N/A</v>
      </c>
      <c r="AG60" t="e">
        <f t="shared" si="3"/>
        <v>#N/A</v>
      </c>
      <c r="AH60" t="e">
        <f t="shared" si="4"/>
        <v>#N/A</v>
      </c>
      <c r="AI60" t="e">
        <f t="shared" si="5"/>
        <v>#N/A</v>
      </c>
      <c r="AJ60" t="e">
        <f t="shared" si="6"/>
        <v>#N/A</v>
      </c>
      <c r="AK60" t="str">
        <f>IF(OR(J60=0),"",IF(AND(AI60="Warning",AJ60="Warning"),"Warning",""))</f>
        <v/>
      </c>
    </row>
    <row r="61" spans="1:40" ht="15.5" x14ac:dyDescent="0.35">
      <c r="A61" s="195" t="s">
        <v>84</v>
      </c>
      <c r="B61" s="295" t="s">
        <v>84</v>
      </c>
      <c r="C61" s="237"/>
      <c r="D61" s="31"/>
      <c r="E61" s="31"/>
      <c r="F61" s="45"/>
      <c r="G61" s="31"/>
      <c r="H61" s="31"/>
      <c r="I61" s="45"/>
      <c r="J61" s="45"/>
      <c r="K61" s="112"/>
      <c r="L61" s="687"/>
      <c r="M61" s="310"/>
      <c r="N61" s="112"/>
      <c r="O61" s="131"/>
    </row>
    <row r="62" spans="1:40" ht="15.5" x14ac:dyDescent="0.35">
      <c r="A62" s="107" t="s">
        <v>1946</v>
      </c>
      <c r="B62" s="295"/>
      <c r="C62" s="237"/>
      <c r="D62" s="31"/>
      <c r="E62" s="31"/>
      <c r="F62" s="45"/>
      <c r="G62" s="31"/>
      <c r="H62" s="31"/>
      <c r="I62" s="45"/>
      <c r="J62" s="45"/>
      <c r="K62" s="112"/>
      <c r="L62" s="687"/>
      <c r="M62" s="310"/>
      <c r="N62" s="112"/>
      <c r="O62" s="131"/>
    </row>
    <row r="63" spans="1:40" ht="15.5" x14ac:dyDescent="0.35">
      <c r="A63" s="121">
        <v>219</v>
      </c>
      <c r="B63" s="295" t="s">
        <v>1947</v>
      </c>
      <c r="C63" s="237"/>
      <c r="D63" s="668"/>
      <c r="E63" s="668"/>
      <c r="F63" s="669">
        <f t="shared" ref="F63:F74" si="19">SUM(D63:E63)</f>
        <v>0</v>
      </c>
      <c r="G63" s="668"/>
      <c r="H63" s="668"/>
      <c r="I63" s="669">
        <f t="shared" ref="I63:I74" si="20">SUM(G63:H63)</f>
        <v>0</v>
      </c>
      <c r="J63" s="669">
        <f t="shared" ref="J63:J74" si="21">F63-I63</f>
        <v>0</v>
      </c>
      <c r="K63" s="112"/>
      <c r="L63" s="688" t="str">
        <f t="shared" ref="L63:L74" si="22">IF(ISERROR(M63),"",IF((M63="Error"),"add explanation",IF((M63="Warning"),"add explanation","")))</f>
        <v/>
      </c>
      <c r="M63" s="310" t="e">
        <f>IF(OR((I63&lt;&gt;(G63+H63)),(F63&lt;&gt;(D63+E63)),(J63&lt;&gt;(F63-I63))),"Error",IF(OR(AK63="Warning",AL63="Warning"),"Warning",""))</f>
        <v>#N/A</v>
      </c>
      <c r="N63" s="112"/>
      <c r="O63" s="657" t="e">
        <f>IF($M63="Error","A total column for "&amp;($B63)&amp;" does not match the sum of the components, please correct",IF(AL63="Warning","Non zero entry expected for your authority",IF($M63="Warning","This year's figure is over "&amp;AC63/1000&amp;" million and "&amp;(AB63*100)&amp;"% different to "&amp;TEXT(AD63,"#,###")&amp;" last year, please explain","")))</f>
        <v>#N/A</v>
      </c>
      <c r="AB63">
        <f t="shared" ref="AB63:AB74" si="23">VLOOKUP("RO5"&amp;$A63,data_val_parameters,9,0)/100</f>
        <v>0.3</v>
      </c>
      <c r="AC63">
        <f t="shared" ref="AC63:AC74" si="24">VLOOKUP("RO5"&amp;$A63,data_val_parameters,7,0)</f>
        <v>2000</v>
      </c>
      <c r="AD63" t="e">
        <f t="shared" ref="AD63:AD74" si="25">VLOOKUP(LA_code,data_prev_year,MATCH("RO5"&amp;$A63&amp;"7",data_prev_year_headers,0),0)</f>
        <v>#N/A</v>
      </c>
      <c r="AE63" t="e">
        <f t="shared" si="1"/>
        <v>#N/A</v>
      </c>
      <c r="AF63" t="e">
        <f t="shared" si="2"/>
        <v>#N/A</v>
      </c>
      <c r="AG63" s="645" t="e">
        <f t="shared" si="3"/>
        <v>#N/A</v>
      </c>
      <c r="AH63" s="645" t="e">
        <f t="shared" si="4"/>
        <v>#N/A</v>
      </c>
      <c r="AI63" t="e">
        <f t="shared" si="5"/>
        <v>#N/A</v>
      </c>
      <c r="AJ63" t="e">
        <f t="shared" si="6"/>
        <v>#N/A</v>
      </c>
      <c r="AK63" t="str">
        <f t="shared" ref="AK63:AK74" si="26">IF(OR(J63=0),"",IF(AND(AI63="Warning",AJ63="Warning"),"Warning",""))</f>
        <v/>
      </c>
      <c r="AL63" t="e">
        <f>IF(AND(J63=0,AM63=1),"Warning","")</f>
        <v>#N/A</v>
      </c>
      <c r="AM63" t="e">
        <f>VLOOKUP(LA_code,LA_Data,'LA Data'!AI$1,0)</f>
        <v>#N/A</v>
      </c>
    </row>
    <row r="64" spans="1:40" ht="15.5" x14ac:dyDescent="0.35">
      <c r="A64" s="121">
        <v>220</v>
      </c>
      <c r="B64" s="295" t="s">
        <v>1948</v>
      </c>
      <c r="C64" s="237"/>
      <c r="D64" s="668"/>
      <c r="E64" s="668"/>
      <c r="F64" s="669">
        <f t="shared" si="19"/>
        <v>0</v>
      </c>
      <c r="G64" s="668"/>
      <c r="H64" s="668"/>
      <c r="I64" s="669">
        <f t="shared" si="20"/>
        <v>0</v>
      </c>
      <c r="J64" s="669">
        <f t="shared" si="21"/>
        <v>0</v>
      </c>
      <c r="K64" s="112"/>
      <c r="L64" s="688" t="str">
        <f t="shared" si="22"/>
        <v/>
      </c>
      <c r="M64" s="310" t="str">
        <f t="shared" si="0"/>
        <v/>
      </c>
      <c r="N64" s="112"/>
      <c r="O64" s="131" t="str">
        <f t="shared" ref="O64:O74" si="27">IF($M64="Error","A total column for "&amp;($B64)&amp;" does not match the sum of the components, please correct",IF($M64="Warning","This year's figure is over "&amp;AC64/1000&amp;" million and "&amp;(AB64*100)&amp;"% different to "&amp;TEXT(AD64,"#,###")&amp;" last year, please explain",""))</f>
        <v/>
      </c>
      <c r="AB64">
        <f t="shared" si="23"/>
        <v>0.3</v>
      </c>
      <c r="AC64">
        <f t="shared" si="24"/>
        <v>2000</v>
      </c>
      <c r="AD64" t="e">
        <f t="shared" si="25"/>
        <v>#N/A</v>
      </c>
      <c r="AE64" t="e">
        <f t="shared" si="1"/>
        <v>#N/A</v>
      </c>
      <c r="AF64" t="e">
        <f t="shared" si="2"/>
        <v>#N/A</v>
      </c>
      <c r="AG64" t="e">
        <f t="shared" si="3"/>
        <v>#N/A</v>
      </c>
      <c r="AH64" t="e">
        <f t="shared" si="4"/>
        <v>#N/A</v>
      </c>
      <c r="AI64" t="e">
        <f t="shared" si="5"/>
        <v>#N/A</v>
      </c>
      <c r="AJ64" t="e">
        <f t="shared" si="6"/>
        <v>#N/A</v>
      </c>
      <c r="AK64" t="str">
        <f t="shared" si="26"/>
        <v/>
      </c>
    </row>
    <row r="65" spans="1:37" ht="15.5" x14ac:dyDescent="0.35">
      <c r="A65" s="108">
        <v>221</v>
      </c>
      <c r="B65" s="295" t="s">
        <v>1949</v>
      </c>
      <c r="C65" s="237"/>
      <c r="D65" s="668"/>
      <c r="E65" s="668"/>
      <c r="F65" s="669">
        <f t="shared" si="19"/>
        <v>0</v>
      </c>
      <c r="G65" s="668"/>
      <c r="H65" s="668"/>
      <c r="I65" s="669">
        <f t="shared" si="20"/>
        <v>0</v>
      </c>
      <c r="J65" s="669">
        <f t="shared" si="21"/>
        <v>0</v>
      </c>
      <c r="K65" s="112"/>
      <c r="L65" s="688" t="str">
        <f t="shared" si="22"/>
        <v/>
      </c>
      <c r="M65" s="310" t="str">
        <f t="shared" si="0"/>
        <v/>
      </c>
      <c r="N65" s="112"/>
      <c r="O65" s="131" t="str">
        <f t="shared" si="27"/>
        <v/>
      </c>
      <c r="AB65">
        <f t="shared" si="23"/>
        <v>0.3</v>
      </c>
      <c r="AC65">
        <f t="shared" si="24"/>
        <v>2000</v>
      </c>
      <c r="AD65" t="e">
        <f t="shared" si="25"/>
        <v>#N/A</v>
      </c>
      <c r="AE65" t="e">
        <f t="shared" si="1"/>
        <v>#N/A</v>
      </c>
      <c r="AF65" t="e">
        <f t="shared" si="2"/>
        <v>#N/A</v>
      </c>
      <c r="AG65" t="e">
        <f t="shared" si="3"/>
        <v>#N/A</v>
      </c>
      <c r="AH65" t="e">
        <f t="shared" si="4"/>
        <v>#N/A</v>
      </c>
      <c r="AI65" t="e">
        <f t="shared" si="5"/>
        <v>#N/A</v>
      </c>
      <c r="AJ65" t="e">
        <f t="shared" si="6"/>
        <v>#N/A</v>
      </c>
      <c r="AK65" t="str">
        <f t="shared" si="26"/>
        <v/>
      </c>
    </row>
    <row r="66" spans="1:37" ht="15.5" x14ac:dyDescent="0.35">
      <c r="A66" s="124">
        <v>222</v>
      </c>
      <c r="B66" s="295" t="s">
        <v>1950</v>
      </c>
      <c r="C66" s="237"/>
      <c r="D66" s="668"/>
      <c r="E66" s="668"/>
      <c r="F66" s="669">
        <f t="shared" si="19"/>
        <v>0</v>
      </c>
      <c r="G66" s="668"/>
      <c r="H66" s="668"/>
      <c r="I66" s="669">
        <f t="shared" si="20"/>
        <v>0</v>
      </c>
      <c r="J66" s="669">
        <f t="shared" si="21"/>
        <v>0</v>
      </c>
      <c r="K66" s="112"/>
      <c r="L66" s="688" t="str">
        <f t="shared" si="22"/>
        <v/>
      </c>
      <c r="M66" s="310" t="str">
        <f t="shared" si="0"/>
        <v/>
      </c>
      <c r="N66" s="112"/>
      <c r="O66" s="131" t="str">
        <f t="shared" si="27"/>
        <v/>
      </c>
      <c r="AB66">
        <f t="shared" si="23"/>
        <v>0.3</v>
      </c>
      <c r="AC66">
        <f t="shared" si="24"/>
        <v>2000</v>
      </c>
      <c r="AD66" t="e">
        <f t="shared" si="25"/>
        <v>#N/A</v>
      </c>
      <c r="AE66" t="e">
        <f t="shared" si="1"/>
        <v>#N/A</v>
      </c>
      <c r="AF66" t="e">
        <f t="shared" si="2"/>
        <v>#N/A</v>
      </c>
      <c r="AG66" t="e">
        <f t="shared" si="3"/>
        <v>#N/A</v>
      </c>
      <c r="AH66" t="e">
        <f t="shared" si="4"/>
        <v>#N/A</v>
      </c>
      <c r="AI66" t="e">
        <f t="shared" si="5"/>
        <v>#N/A</v>
      </c>
      <c r="AJ66" t="e">
        <f t="shared" si="6"/>
        <v>#N/A</v>
      </c>
      <c r="AK66" t="str">
        <f t="shared" si="26"/>
        <v/>
      </c>
    </row>
    <row r="67" spans="1:37" ht="15.5" x14ac:dyDescent="0.35">
      <c r="A67" s="124">
        <v>223</v>
      </c>
      <c r="B67" s="295" t="s">
        <v>1951</v>
      </c>
      <c r="C67" s="237"/>
      <c r="D67" s="668"/>
      <c r="E67" s="668"/>
      <c r="F67" s="669">
        <f t="shared" si="19"/>
        <v>0</v>
      </c>
      <c r="G67" s="668"/>
      <c r="H67" s="668"/>
      <c r="I67" s="669">
        <f t="shared" si="20"/>
        <v>0</v>
      </c>
      <c r="J67" s="669">
        <f t="shared" si="21"/>
        <v>0</v>
      </c>
      <c r="K67" s="112"/>
      <c r="L67" s="688" t="str">
        <f t="shared" si="22"/>
        <v/>
      </c>
      <c r="M67" s="310" t="str">
        <f t="shared" si="0"/>
        <v/>
      </c>
      <c r="N67" s="112"/>
      <c r="O67" s="131" t="str">
        <f t="shared" si="27"/>
        <v/>
      </c>
      <c r="AB67">
        <f t="shared" si="23"/>
        <v>0.3</v>
      </c>
      <c r="AC67">
        <f t="shared" si="24"/>
        <v>2000</v>
      </c>
      <c r="AD67" t="e">
        <f t="shared" si="25"/>
        <v>#N/A</v>
      </c>
      <c r="AE67" t="e">
        <f t="shared" si="1"/>
        <v>#N/A</v>
      </c>
      <c r="AF67" t="e">
        <f t="shared" si="2"/>
        <v>#N/A</v>
      </c>
      <c r="AG67" t="e">
        <f t="shared" si="3"/>
        <v>#N/A</v>
      </c>
      <c r="AH67" t="e">
        <f t="shared" si="4"/>
        <v>#N/A</v>
      </c>
      <c r="AI67" t="e">
        <f t="shared" si="5"/>
        <v>#N/A</v>
      </c>
      <c r="AJ67" t="e">
        <f t="shared" si="6"/>
        <v>#N/A</v>
      </c>
      <c r="AK67" t="str">
        <f t="shared" si="26"/>
        <v/>
      </c>
    </row>
    <row r="68" spans="1:37" ht="15.5" x14ac:dyDescent="0.35">
      <c r="A68" s="124">
        <v>224</v>
      </c>
      <c r="B68" s="295" t="s">
        <v>1952</v>
      </c>
      <c r="C68" s="237"/>
      <c r="D68" s="668"/>
      <c r="E68" s="668"/>
      <c r="F68" s="669">
        <f t="shared" si="19"/>
        <v>0</v>
      </c>
      <c r="G68" s="668"/>
      <c r="H68" s="668"/>
      <c r="I68" s="669">
        <f t="shared" si="20"/>
        <v>0</v>
      </c>
      <c r="J68" s="669">
        <f t="shared" si="21"/>
        <v>0</v>
      </c>
      <c r="K68" s="112"/>
      <c r="L68" s="688" t="str">
        <f t="shared" si="22"/>
        <v/>
      </c>
      <c r="M68" s="310" t="str">
        <f t="shared" si="0"/>
        <v/>
      </c>
      <c r="N68" s="112"/>
      <c r="O68" s="131" t="str">
        <f t="shared" si="27"/>
        <v/>
      </c>
      <c r="AB68">
        <f t="shared" si="23"/>
        <v>0.3</v>
      </c>
      <c r="AC68">
        <f t="shared" si="24"/>
        <v>2000</v>
      </c>
      <c r="AD68" t="e">
        <f t="shared" si="25"/>
        <v>#N/A</v>
      </c>
      <c r="AE68" t="e">
        <f t="shared" si="1"/>
        <v>#N/A</v>
      </c>
      <c r="AF68" t="e">
        <f t="shared" si="2"/>
        <v>#N/A</v>
      </c>
      <c r="AG68" t="e">
        <f t="shared" si="3"/>
        <v>#N/A</v>
      </c>
      <c r="AH68" t="e">
        <f t="shared" si="4"/>
        <v>#N/A</v>
      </c>
      <c r="AI68" t="e">
        <f t="shared" si="5"/>
        <v>#N/A</v>
      </c>
      <c r="AJ68" t="e">
        <f t="shared" si="6"/>
        <v>#N/A</v>
      </c>
      <c r="AK68" t="str">
        <f t="shared" si="26"/>
        <v/>
      </c>
    </row>
    <row r="69" spans="1:37" ht="15.5" x14ac:dyDescent="0.35">
      <c r="A69" s="124">
        <v>225</v>
      </c>
      <c r="B69" s="295" t="s">
        <v>1953</v>
      </c>
      <c r="C69" s="237"/>
      <c r="D69" s="668"/>
      <c r="E69" s="668"/>
      <c r="F69" s="669">
        <f t="shared" si="19"/>
        <v>0</v>
      </c>
      <c r="G69" s="668"/>
      <c r="H69" s="668"/>
      <c r="I69" s="669">
        <f t="shared" si="20"/>
        <v>0</v>
      </c>
      <c r="J69" s="669">
        <f t="shared" si="21"/>
        <v>0</v>
      </c>
      <c r="K69" s="112"/>
      <c r="L69" s="688" t="str">
        <f t="shared" si="22"/>
        <v/>
      </c>
      <c r="M69" s="310" t="str">
        <f t="shared" si="0"/>
        <v/>
      </c>
      <c r="N69" s="112"/>
      <c r="O69" s="131" t="str">
        <f t="shared" si="27"/>
        <v/>
      </c>
      <c r="AB69">
        <f t="shared" si="23"/>
        <v>0.3</v>
      </c>
      <c r="AC69">
        <f t="shared" si="24"/>
        <v>2000</v>
      </c>
      <c r="AD69" t="e">
        <f t="shared" si="25"/>
        <v>#N/A</v>
      </c>
      <c r="AE69" t="e">
        <f t="shared" si="1"/>
        <v>#N/A</v>
      </c>
      <c r="AF69" t="e">
        <f t="shared" si="2"/>
        <v>#N/A</v>
      </c>
      <c r="AG69" t="e">
        <f t="shared" si="3"/>
        <v>#N/A</v>
      </c>
      <c r="AH69" t="e">
        <f t="shared" si="4"/>
        <v>#N/A</v>
      </c>
      <c r="AI69" t="e">
        <f t="shared" si="5"/>
        <v>#N/A</v>
      </c>
      <c r="AJ69" t="e">
        <f t="shared" si="6"/>
        <v>#N/A</v>
      </c>
      <c r="AK69" t="str">
        <f t="shared" si="26"/>
        <v/>
      </c>
    </row>
    <row r="70" spans="1:37" ht="15.5" x14ac:dyDescent="0.35">
      <c r="A70" s="124">
        <v>226</v>
      </c>
      <c r="B70" s="295" t="s">
        <v>1954</v>
      </c>
      <c r="C70" s="237"/>
      <c r="D70" s="668"/>
      <c r="E70" s="668"/>
      <c r="F70" s="669">
        <f>SUM(D70:E70)</f>
        <v>0</v>
      </c>
      <c r="G70" s="668"/>
      <c r="H70" s="668"/>
      <c r="I70" s="669">
        <f>SUM(G70:H70)</f>
        <v>0</v>
      </c>
      <c r="J70" s="669">
        <f>F70-I70</f>
        <v>0</v>
      </c>
      <c r="K70" s="112"/>
      <c r="L70" s="688" t="str">
        <f t="shared" si="22"/>
        <v/>
      </c>
      <c r="M70" s="310" t="str">
        <f t="shared" si="0"/>
        <v/>
      </c>
      <c r="N70" s="112"/>
      <c r="O70" s="131" t="str">
        <f t="shared" si="27"/>
        <v/>
      </c>
      <c r="AB70">
        <f t="shared" si="23"/>
        <v>0.3</v>
      </c>
      <c r="AC70">
        <f t="shared" si="24"/>
        <v>2000</v>
      </c>
      <c r="AD70" t="e">
        <f t="shared" si="25"/>
        <v>#N/A</v>
      </c>
      <c r="AE70" t="e">
        <f t="shared" si="1"/>
        <v>#N/A</v>
      </c>
      <c r="AF70" t="e">
        <f t="shared" si="2"/>
        <v>#N/A</v>
      </c>
      <c r="AG70" t="e">
        <f t="shared" si="3"/>
        <v>#N/A</v>
      </c>
      <c r="AH70" t="e">
        <f t="shared" si="4"/>
        <v>#N/A</v>
      </c>
      <c r="AI70" t="e">
        <f t="shared" si="5"/>
        <v>#N/A</v>
      </c>
      <c r="AJ70" t="e">
        <f t="shared" si="6"/>
        <v>#N/A</v>
      </c>
      <c r="AK70" t="str">
        <f t="shared" si="26"/>
        <v/>
      </c>
    </row>
    <row r="71" spans="1:37" ht="15.5" x14ac:dyDescent="0.35">
      <c r="A71" s="124">
        <v>227</v>
      </c>
      <c r="B71" s="295" t="s">
        <v>1955</v>
      </c>
      <c r="C71" s="237"/>
      <c r="D71" s="668"/>
      <c r="E71" s="668"/>
      <c r="F71" s="669">
        <f t="shared" si="19"/>
        <v>0</v>
      </c>
      <c r="G71" s="668"/>
      <c r="H71" s="668"/>
      <c r="I71" s="669">
        <f t="shared" si="20"/>
        <v>0</v>
      </c>
      <c r="J71" s="669">
        <f t="shared" si="21"/>
        <v>0</v>
      </c>
      <c r="K71" s="112"/>
      <c r="L71" s="688" t="str">
        <f t="shared" si="22"/>
        <v/>
      </c>
      <c r="M71" s="310" t="str">
        <f t="shared" si="0"/>
        <v/>
      </c>
      <c r="N71" s="112"/>
      <c r="O71" s="131" t="str">
        <f t="shared" si="27"/>
        <v/>
      </c>
      <c r="AB71">
        <f t="shared" si="23"/>
        <v>0.3</v>
      </c>
      <c r="AC71">
        <f t="shared" si="24"/>
        <v>2000</v>
      </c>
      <c r="AD71" t="e">
        <f t="shared" si="25"/>
        <v>#N/A</v>
      </c>
      <c r="AE71" t="e">
        <f t="shared" si="1"/>
        <v>#N/A</v>
      </c>
      <c r="AF71" t="e">
        <f t="shared" si="2"/>
        <v>#N/A</v>
      </c>
      <c r="AG71" t="e">
        <f t="shared" si="3"/>
        <v>#N/A</v>
      </c>
      <c r="AH71" t="e">
        <f t="shared" si="4"/>
        <v>#N/A</v>
      </c>
      <c r="AI71" t="e">
        <f t="shared" si="5"/>
        <v>#N/A</v>
      </c>
      <c r="AJ71" t="e">
        <f t="shared" si="6"/>
        <v>#N/A</v>
      </c>
      <c r="AK71" t="str">
        <f t="shared" si="26"/>
        <v/>
      </c>
    </row>
    <row r="72" spans="1:37" ht="15.5" x14ac:dyDescent="0.35">
      <c r="A72" s="108">
        <v>228</v>
      </c>
      <c r="B72" s="295" t="s">
        <v>1956</v>
      </c>
      <c r="C72" s="237"/>
      <c r="D72" s="668"/>
      <c r="E72" s="668"/>
      <c r="F72" s="669">
        <f t="shared" si="19"/>
        <v>0</v>
      </c>
      <c r="G72" s="668"/>
      <c r="H72" s="668"/>
      <c r="I72" s="669">
        <f t="shared" si="20"/>
        <v>0</v>
      </c>
      <c r="J72" s="669">
        <f t="shared" si="21"/>
        <v>0</v>
      </c>
      <c r="K72" s="112"/>
      <c r="L72" s="688" t="str">
        <f t="shared" si="22"/>
        <v/>
      </c>
      <c r="M72" s="310" t="str">
        <f t="shared" si="0"/>
        <v/>
      </c>
      <c r="N72" s="112"/>
      <c r="O72" s="131" t="str">
        <f t="shared" si="27"/>
        <v/>
      </c>
      <c r="AB72">
        <f t="shared" si="23"/>
        <v>0.3</v>
      </c>
      <c r="AC72">
        <f t="shared" si="24"/>
        <v>2000</v>
      </c>
      <c r="AD72" t="e">
        <f t="shared" si="25"/>
        <v>#N/A</v>
      </c>
      <c r="AE72" t="e">
        <f t="shared" si="1"/>
        <v>#N/A</v>
      </c>
      <c r="AF72" t="e">
        <f t="shared" si="2"/>
        <v>#N/A</v>
      </c>
      <c r="AG72" t="e">
        <f t="shared" si="3"/>
        <v>#N/A</v>
      </c>
      <c r="AH72" t="e">
        <f t="shared" si="4"/>
        <v>#N/A</v>
      </c>
      <c r="AI72" t="e">
        <f t="shared" si="5"/>
        <v>#N/A</v>
      </c>
      <c r="AJ72" t="e">
        <f t="shared" si="6"/>
        <v>#N/A</v>
      </c>
      <c r="AK72" t="str">
        <f t="shared" si="26"/>
        <v/>
      </c>
    </row>
    <row r="73" spans="1:37" ht="15.5" x14ac:dyDescent="0.35">
      <c r="A73" s="108">
        <v>229</v>
      </c>
      <c r="B73" s="295" t="s">
        <v>1957</v>
      </c>
      <c r="C73" s="237"/>
      <c r="D73" s="668"/>
      <c r="E73" s="668"/>
      <c r="F73" s="669">
        <f t="shared" si="19"/>
        <v>0</v>
      </c>
      <c r="G73" s="668"/>
      <c r="H73" s="668"/>
      <c r="I73" s="669">
        <f t="shared" si="20"/>
        <v>0</v>
      </c>
      <c r="J73" s="669">
        <f t="shared" si="21"/>
        <v>0</v>
      </c>
      <c r="K73" s="112"/>
      <c r="L73" s="688" t="str">
        <f t="shared" si="22"/>
        <v/>
      </c>
      <c r="M73" s="310" t="str">
        <f t="shared" si="0"/>
        <v/>
      </c>
      <c r="N73" s="112"/>
      <c r="O73" s="131" t="str">
        <f t="shared" si="27"/>
        <v/>
      </c>
      <c r="AB73">
        <f t="shared" si="23"/>
        <v>0.3</v>
      </c>
      <c r="AC73">
        <f t="shared" si="24"/>
        <v>2000</v>
      </c>
      <c r="AD73" t="e">
        <f t="shared" si="25"/>
        <v>#N/A</v>
      </c>
      <c r="AE73" t="e">
        <f t="shared" si="1"/>
        <v>#N/A</v>
      </c>
      <c r="AF73" t="e">
        <f t="shared" si="2"/>
        <v>#N/A</v>
      </c>
      <c r="AG73" t="e">
        <f t="shared" si="3"/>
        <v>#N/A</v>
      </c>
      <c r="AH73" t="e">
        <f t="shared" si="4"/>
        <v>#N/A</v>
      </c>
      <c r="AI73" t="e">
        <f t="shared" si="5"/>
        <v>#N/A</v>
      </c>
      <c r="AJ73" t="e">
        <f t="shared" si="6"/>
        <v>#N/A</v>
      </c>
      <c r="AK73" t="str">
        <f t="shared" si="26"/>
        <v/>
      </c>
    </row>
    <row r="74" spans="1:37" ht="15.5" x14ac:dyDescent="0.35">
      <c r="A74" s="296">
        <v>230</v>
      </c>
      <c r="B74" s="295" t="s">
        <v>1958</v>
      </c>
      <c r="C74" s="237"/>
      <c r="D74" s="668"/>
      <c r="E74" s="668"/>
      <c r="F74" s="669">
        <f t="shared" si="19"/>
        <v>0</v>
      </c>
      <c r="G74" s="668"/>
      <c r="H74" s="668"/>
      <c r="I74" s="669">
        <f t="shared" si="20"/>
        <v>0</v>
      </c>
      <c r="J74" s="669">
        <f t="shared" si="21"/>
        <v>0</v>
      </c>
      <c r="K74" s="112"/>
      <c r="L74" s="688" t="str">
        <f t="shared" si="22"/>
        <v/>
      </c>
      <c r="M74" s="310" t="str">
        <f t="shared" si="0"/>
        <v/>
      </c>
      <c r="N74" s="112"/>
      <c r="O74" s="131" t="str">
        <f t="shared" si="27"/>
        <v/>
      </c>
      <c r="AB74">
        <f t="shared" si="23"/>
        <v>0.3</v>
      </c>
      <c r="AC74">
        <f t="shared" si="24"/>
        <v>2000</v>
      </c>
      <c r="AD74" t="e">
        <f t="shared" si="25"/>
        <v>#N/A</v>
      </c>
      <c r="AE74" t="e">
        <f t="shared" si="1"/>
        <v>#N/A</v>
      </c>
      <c r="AF74" t="e">
        <f t="shared" si="2"/>
        <v>#N/A</v>
      </c>
      <c r="AG74" t="e">
        <f t="shared" si="3"/>
        <v>#N/A</v>
      </c>
      <c r="AH74" t="e">
        <f t="shared" si="4"/>
        <v>#N/A</v>
      </c>
      <c r="AI74" t="e">
        <f t="shared" si="5"/>
        <v>#N/A</v>
      </c>
      <c r="AJ74" t="e">
        <f t="shared" si="6"/>
        <v>#N/A</v>
      </c>
      <c r="AK74" t="str">
        <f t="shared" si="26"/>
        <v/>
      </c>
    </row>
    <row r="75" spans="1:37" ht="15.5" x14ac:dyDescent="0.35">
      <c r="A75" s="195" t="s">
        <v>84</v>
      </c>
      <c r="B75" s="295" t="s">
        <v>84</v>
      </c>
      <c r="C75" s="237"/>
      <c r="D75" s="31"/>
      <c r="E75" s="31"/>
      <c r="F75" s="45"/>
      <c r="G75" s="31"/>
      <c r="H75" s="31"/>
      <c r="I75" s="45"/>
      <c r="J75" s="45"/>
      <c r="K75" s="112"/>
      <c r="L75" s="687"/>
      <c r="M75" s="310"/>
      <c r="N75" s="112"/>
      <c r="O75" s="131"/>
    </row>
    <row r="76" spans="1:37" ht="15.5" x14ac:dyDescent="0.35">
      <c r="A76" s="107" t="s">
        <v>1959</v>
      </c>
      <c r="B76" s="295"/>
      <c r="C76" s="237"/>
      <c r="D76" s="31"/>
      <c r="E76" s="31"/>
      <c r="F76" s="45"/>
      <c r="G76" s="31"/>
      <c r="H76" s="31"/>
      <c r="I76" s="45"/>
      <c r="J76" s="45"/>
      <c r="K76" s="112"/>
      <c r="L76" s="687"/>
      <c r="M76" s="310"/>
      <c r="N76" s="112"/>
      <c r="O76" s="131"/>
    </row>
    <row r="77" spans="1:37" ht="18" x14ac:dyDescent="0.4">
      <c r="A77" s="108">
        <v>231</v>
      </c>
      <c r="B77" s="295" t="s">
        <v>1960</v>
      </c>
      <c r="C77" s="237"/>
      <c r="D77" s="668"/>
      <c r="E77" s="668"/>
      <c r="F77" s="669">
        <f>SUM(D77:E77)</f>
        <v>0</v>
      </c>
      <c r="G77" s="668"/>
      <c r="H77" s="668"/>
      <c r="I77" s="669">
        <f>SUM(G77:H77)</f>
        <v>0</v>
      </c>
      <c r="J77" s="669">
        <f>F77-I77</f>
        <v>0</v>
      </c>
      <c r="K77" s="39"/>
      <c r="L77" s="688" t="str">
        <f>IF(ISERROR(M77),"",IF((M77="Error"),"add explanation",IF((M77="Warning"),"add explanation","")))</f>
        <v/>
      </c>
      <c r="M77" s="310" t="str">
        <f t="shared" si="0"/>
        <v/>
      </c>
      <c r="N77" s="112"/>
      <c r="O77" s="131" t="str">
        <f>IF($M77="Error","A total column for "&amp;($B77)&amp;" does not match the sum of the components, please correct",IF($M77="Warning","This year's figure is over "&amp;AC77/1000&amp;" million and "&amp;(AB77*100)&amp;"% different to "&amp;TEXT(AD77,"#,###")&amp;" last year, please explain",""))</f>
        <v/>
      </c>
      <c r="AB77">
        <f>VLOOKUP("RO5"&amp;$A77,data_val_parameters,9,0)/100</f>
        <v>0.3</v>
      </c>
      <c r="AC77">
        <f>VLOOKUP("RO5"&amp;$A77,data_val_parameters,7,0)</f>
        <v>3000</v>
      </c>
      <c r="AD77" t="e">
        <f>VLOOKUP(LA_code,data_prev_year,MATCH("RO5"&amp;$A77&amp;"7",data_prev_year_headers,0),0)</f>
        <v>#N/A</v>
      </c>
      <c r="AE77" t="e">
        <f t="shared" si="1"/>
        <v>#N/A</v>
      </c>
      <c r="AF77" t="e">
        <f t="shared" si="2"/>
        <v>#N/A</v>
      </c>
      <c r="AG77" t="e">
        <f t="shared" si="3"/>
        <v>#N/A</v>
      </c>
      <c r="AH77" t="e">
        <f t="shared" si="4"/>
        <v>#N/A</v>
      </c>
      <c r="AI77" t="e">
        <f t="shared" si="5"/>
        <v>#N/A</v>
      </c>
      <c r="AJ77" t="e">
        <f t="shared" si="6"/>
        <v>#N/A</v>
      </c>
      <c r="AK77" t="str">
        <f>IF(OR(J77=0),"",IF(AND(AI77="Warning",AJ77="Warning"),"Warning",""))</f>
        <v/>
      </c>
    </row>
    <row r="78" spans="1:37" ht="15.5" x14ac:dyDescent="0.35">
      <c r="A78" s="108">
        <v>232</v>
      </c>
      <c r="B78" s="295" t="s">
        <v>1961</v>
      </c>
      <c r="C78" s="237"/>
      <c r="D78" s="668"/>
      <c r="E78" s="668"/>
      <c r="F78" s="669">
        <f>SUM(D78:E78)</f>
        <v>0</v>
      </c>
      <c r="G78" s="668"/>
      <c r="H78" s="668"/>
      <c r="I78" s="669">
        <f>SUM(G78:H78)</f>
        <v>0</v>
      </c>
      <c r="J78" s="669">
        <f>F78-I78</f>
        <v>0</v>
      </c>
      <c r="K78" s="112"/>
      <c r="L78" s="688" t="str">
        <f>IF(ISERROR(M78),"",IF((M78="Error"),"add explanation",IF((M78="Warning"),"add explanation","")))</f>
        <v/>
      </c>
      <c r="M78" s="310" t="str">
        <f t="shared" si="0"/>
        <v/>
      </c>
      <c r="N78" s="112"/>
      <c r="O78" s="131" t="str">
        <f>IF($M78="Error","A total column for "&amp;($B78)&amp;" does not match the sum of the components, please correct",IF($M78="Warning","This year's figure is over "&amp;AC78/1000&amp;" million and "&amp;(AB78*100)&amp;"% different to "&amp;TEXT(AD78,"#,###")&amp;" last year, please explain",""))</f>
        <v/>
      </c>
      <c r="AB78">
        <f>VLOOKUP("RO5"&amp;$A78,data_val_parameters,9,0)/100</f>
        <v>0.3</v>
      </c>
      <c r="AC78">
        <f>VLOOKUP("RO5"&amp;$A78,data_val_parameters,7,0)</f>
        <v>3000</v>
      </c>
      <c r="AD78" t="e">
        <f>VLOOKUP(LA_code,data_prev_year,MATCH("RO5"&amp;$A78&amp;"7",data_prev_year_headers,0),0)</f>
        <v>#N/A</v>
      </c>
      <c r="AE78" t="e">
        <f t="shared" si="1"/>
        <v>#N/A</v>
      </c>
      <c r="AF78" t="e">
        <f t="shared" si="2"/>
        <v>#N/A</v>
      </c>
      <c r="AG78" t="e">
        <f t="shared" si="3"/>
        <v>#N/A</v>
      </c>
      <c r="AH78" t="e">
        <f t="shared" si="4"/>
        <v>#N/A</v>
      </c>
      <c r="AI78" t="e">
        <f t="shared" si="5"/>
        <v>#N/A</v>
      </c>
      <c r="AJ78" t="e">
        <f t="shared" si="6"/>
        <v>#N/A</v>
      </c>
      <c r="AK78" t="str">
        <f>IF(OR(J78=0),"",IF(AND(AI78="Warning",AJ78="Warning"),"Warning",""))</f>
        <v/>
      </c>
    </row>
    <row r="79" spans="1:37" ht="15.5" x14ac:dyDescent="0.35">
      <c r="A79" s="124">
        <v>233</v>
      </c>
      <c r="B79" s="295" t="s">
        <v>1962</v>
      </c>
      <c r="C79" s="237"/>
      <c r="D79" s="668"/>
      <c r="E79" s="668"/>
      <c r="F79" s="669">
        <f>SUM(D79:E79)</f>
        <v>0</v>
      </c>
      <c r="G79" s="668"/>
      <c r="H79" s="668"/>
      <c r="I79" s="669">
        <f>SUM(G79:H79)</f>
        <v>0</v>
      </c>
      <c r="J79" s="669">
        <f>F79-I79</f>
        <v>0</v>
      </c>
      <c r="K79" s="112"/>
      <c r="L79" s="688" t="str">
        <f>IF(ISERROR(M79),"",IF((M79="Error"),"add explanation",IF((M79="Warning"),"add explanation","")))</f>
        <v/>
      </c>
      <c r="M79" s="310" t="str">
        <f t="shared" si="0"/>
        <v/>
      </c>
      <c r="N79" s="112"/>
      <c r="O79" s="131" t="str">
        <f>IF($M79="Error","A total column for "&amp;($B79)&amp;" does not match the sum of the components, please correct",IF($M79="Warning","This year's figure is over "&amp;AC79/1000&amp;" million and "&amp;(AB79*100)&amp;"% different to "&amp;TEXT(AD79,"#,###")&amp;" last year, please explain",""))</f>
        <v/>
      </c>
      <c r="AB79">
        <f>VLOOKUP("RO5"&amp;$A79,data_val_parameters,9,0)/100</f>
        <v>0.3</v>
      </c>
      <c r="AC79">
        <f>VLOOKUP("RO5"&amp;$A79,data_val_parameters,7,0)</f>
        <v>3000</v>
      </c>
      <c r="AD79" t="e">
        <f>VLOOKUP(LA_code,data_prev_year,MATCH("RO5"&amp;$A79&amp;"7",data_prev_year_headers,0),0)</f>
        <v>#N/A</v>
      </c>
      <c r="AE79" t="e">
        <f t="shared" si="1"/>
        <v>#N/A</v>
      </c>
      <c r="AF79" t="e">
        <f t="shared" si="2"/>
        <v>#N/A</v>
      </c>
      <c r="AG79" t="e">
        <f t="shared" si="3"/>
        <v>#N/A</v>
      </c>
      <c r="AH79" t="e">
        <f t="shared" si="4"/>
        <v>#N/A</v>
      </c>
      <c r="AI79" t="e">
        <f t="shared" si="5"/>
        <v>#N/A</v>
      </c>
      <c r="AJ79" t="e">
        <f t="shared" si="6"/>
        <v>#N/A</v>
      </c>
      <c r="AK79" t="str">
        <f>IF(OR(J79=0),"",IF(AND(AI79="Warning",AJ79="Warning"),"Warning",""))</f>
        <v/>
      </c>
    </row>
    <row r="80" spans="1:37" ht="15.5" x14ac:dyDescent="0.35">
      <c r="A80" s="195" t="s">
        <v>84</v>
      </c>
      <c r="B80" s="295" t="s">
        <v>84</v>
      </c>
      <c r="C80" s="237"/>
      <c r="D80" s="31"/>
      <c r="E80" s="31"/>
      <c r="F80" s="106"/>
      <c r="G80" s="31"/>
      <c r="H80" s="31"/>
      <c r="I80" s="106"/>
      <c r="J80" s="106"/>
      <c r="K80" s="112"/>
      <c r="L80" s="687"/>
      <c r="M80" s="310"/>
      <c r="N80" s="112"/>
      <c r="O80" s="131"/>
    </row>
    <row r="81" spans="1:37" ht="15.5" x14ac:dyDescent="0.35">
      <c r="A81" s="107" t="s">
        <v>1963</v>
      </c>
      <c r="B81" s="295"/>
      <c r="C81" s="237"/>
      <c r="D81" s="31"/>
      <c r="E81" s="31"/>
      <c r="F81" s="106"/>
      <c r="G81" s="31"/>
      <c r="H81" s="31"/>
      <c r="I81" s="106"/>
      <c r="J81" s="106"/>
      <c r="K81" s="112"/>
      <c r="L81" s="687"/>
      <c r="M81" s="310"/>
      <c r="N81" s="112"/>
      <c r="O81" s="131"/>
    </row>
    <row r="82" spans="1:37" ht="15.5" x14ac:dyDescent="0.35">
      <c r="A82" s="122">
        <v>241</v>
      </c>
      <c r="B82" s="295" t="s">
        <v>1964</v>
      </c>
      <c r="C82" s="237"/>
      <c r="D82" s="668"/>
      <c r="E82" s="668"/>
      <c r="F82" s="669">
        <f>SUM(D82:E82)</f>
        <v>0</v>
      </c>
      <c r="G82" s="668"/>
      <c r="H82" s="668"/>
      <c r="I82" s="669">
        <f>SUM(G82:H82)</f>
        <v>0</v>
      </c>
      <c r="J82" s="669">
        <f>F82-I82</f>
        <v>0</v>
      </c>
      <c r="K82" s="112"/>
      <c r="L82" s="688" t="str">
        <f>IF(ISERROR(M82),"",IF((M82="Error"),"add explanation",IF((M82="Warning"),"add explanation","")))</f>
        <v/>
      </c>
      <c r="M82" s="310" t="str">
        <f t="shared" si="0"/>
        <v/>
      </c>
      <c r="N82" s="112"/>
      <c r="O82" s="131" t="str">
        <f>IF($M82="Error","A total column for "&amp;($B82)&amp;" does not match the sum of the components, please correct",IF($M82="Warning","This year's figure is over "&amp;AC82/1000&amp;" million and "&amp;(AB82*100)&amp;"% different to "&amp;TEXT(AD82,"#,###")&amp;" last year, please explain",""))</f>
        <v/>
      </c>
      <c r="AB82">
        <f>VLOOKUP("RO5"&amp;$A82,data_val_parameters,9,0)/100</f>
        <v>0.3</v>
      </c>
      <c r="AC82">
        <f>VLOOKUP("RO5"&amp;$A82,data_val_parameters,7,0)</f>
        <v>2000</v>
      </c>
      <c r="AD82" t="e">
        <f>VLOOKUP(LA_code,data_prev_year,MATCH("RO5"&amp;$A82&amp;"7",data_prev_year_headers,0),0)</f>
        <v>#N/A</v>
      </c>
      <c r="AE82" t="e">
        <f t="shared" si="1"/>
        <v>#N/A</v>
      </c>
      <c r="AF82" t="e">
        <f t="shared" si="2"/>
        <v>#N/A</v>
      </c>
      <c r="AG82" t="e">
        <f t="shared" si="3"/>
        <v>#N/A</v>
      </c>
      <c r="AH82" t="e">
        <f t="shared" si="4"/>
        <v>#N/A</v>
      </c>
      <c r="AI82" t="e">
        <f t="shared" si="5"/>
        <v>#N/A</v>
      </c>
      <c r="AJ82" t="e">
        <f t="shared" si="6"/>
        <v>#N/A</v>
      </c>
      <c r="AK82" t="str">
        <f>IF(OR(J82=0),"",IF(AND(AI82="Warning",AJ82="Warning"),"Warning",""))</f>
        <v/>
      </c>
    </row>
    <row r="83" spans="1:37" ht="15.5" x14ac:dyDescent="0.35">
      <c r="A83" s="108">
        <v>243</v>
      </c>
      <c r="B83" s="295" t="s">
        <v>1965</v>
      </c>
      <c r="C83" s="237"/>
      <c r="D83" s="668"/>
      <c r="E83" s="668"/>
      <c r="F83" s="669">
        <f>SUM(D83:E83)</f>
        <v>0</v>
      </c>
      <c r="G83" s="668"/>
      <c r="H83" s="668"/>
      <c r="I83" s="669">
        <f>SUM(G83:H83)</f>
        <v>0</v>
      </c>
      <c r="J83" s="669">
        <f>F83-I83</f>
        <v>0</v>
      </c>
      <c r="K83" s="112"/>
      <c r="L83" s="688" t="str">
        <f>IF(ISERROR(M83),"",IF((M83="Error"),"add explanation",IF((M83="Warning"),"add explanation","")))</f>
        <v/>
      </c>
      <c r="M83" s="310" t="str">
        <f t="shared" si="0"/>
        <v/>
      </c>
      <c r="N83" s="112"/>
      <c r="O83" s="131" t="str">
        <f>IF($M83="Error","A total column for "&amp;($B83)&amp;" does not match the sum of the components, please correct",IF($M83="Warning","This year's figure is over "&amp;AC83/1000&amp;" million and "&amp;(AB83*100)&amp;"% different to "&amp;TEXT(AD83,"#,###")&amp;" last year, please explain",""))</f>
        <v/>
      </c>
      <c r="AB83">
        <f>VLOOKUP("RO5"&amp;$A83,data_val_parameters,9,0)/100</f>
        <v>0.3</v>
      </c>
      <c r="AC83">
        <f>VLOOKUP("RO5"&amp;$A83,data_val_parameters,7,0)</f>
        <v>2000</v>
      </c>
      <c r="AD83" t="e">
        <f>VLOOKUP(LA_code,data_prev_year,MATCH("RO5"&amp;$A83&amp;"7",data_prev_year_headers,0),0)</f>
        <v>#N/A</v>
      </c>
      <c r="AE83" t="e">
        <f t="shared" si="1"/>
        <v>#N/A</v>
      </c>
      <c r="AF83" t="e">
        <f t="shared" si="2"/>
        <v>#N/A</v>
      </c>
      <c r="AG83" t="e">
        <f t="shared" si="3"/>
        <v>#N/A</v>
      </c>
      <c r="AH83" t="e">
        <f t="shared" si="4"/>
        <v>#N/A</v>
      </c>
      <c r="AI83" t="e">
        <f t="shared" si="5"/>
        <v>#N/A</v>
      </c>
      <c r="AJ83" t="e">
        <f t="shared" si="6"/>
        <v>#N/A</v>
      </c>
      <c r="AK83" t="str">
        <f>IF(OR(J83=0),"",IF(AND(AI83="Warning",AJ83="Warning"),"Warning",""))</f>
        <v/>
      </c>
    </row>
    <row r="84" spans="1:37" ht="15.5" x14ac:dyDescent="0.35">
      <c r="A84" s="108">
        <v>244</v>
      </c>
      <c r="B84" s="295" t="s">
        <v>1966</v>
      </c>
      <c r="C84" s="237"/>
      <c r="D84" s="668"/>
      <c r="E84" s="668"/>
      <c r="F84" s="669">
        <f>SUM(D84:E84)</f>
        <v>0</v>
      </c>
      <c r="G84" s="668"/>
      <c r="H84" s="668"/>
      <c r="I84" s="669">
        <f>SUM(G84:H84)</f>
        <v>0</v>
      </c>
      <c r="J84" s="669">
        <f>F84-I84</f>
        <v>0</v>
      </c>
      <c r="K84" s="112"/>
      <c r="L84" s="688" t="str">
        <f>IF(ISERROR(M84),"",IF((M84="Error"),"add explanation",IF((M84="Warning"),"add explanation","")))</f>
        <v/>
      </c>
      <c r="M84" s="310" t="str">
        <f t="shared" si="0"/>
        <v/>
      </c>
      <c r="N84" s="112"/>
      <c r="O84" s="131" t="str">
        <f>IF($M84="Error","A total column for "&amp;($B84)&amp;" does not match the sum of the components, please correct",IF($M84="Warning","This year's figure is over "&amp;AC84/1000&amp;" million and "&amp;(AB84*100)&amp;"% different to "&amp;TEXT(AD84,"#,###")&amp;" last year, please explain",""))</f>
        <v/>
      </c>
      <c r="AB84">
        <f>VLOOKUP("RO5"&amp;$A84,data_val_parameters,9,0)/100</f>
        <v>0.3</v>
      </c>
      <c r="AC84">
        <f>VLOOKUP("RO5"&amp;$A84,data_val_parameters,7,0)</f>
        <v>2000</v>
      </c>
      <c r="AD84" t="e">
        <f>VLOOKUP(LA_code,data_prev_year,MATCH("RO5"&amp;$A84&amp;"7",data_prev_year_headers,0),0)</f>
        <v>#N/A</v>
      </c>
      <c r="AE84" t="e">
        <f t="shared" si="1"/>
        <v>#N/A</v>
      </c>
      <c r="AF84" t="e">
        <f t="shared" si="2"/>
        <v>#N/A</v>
      </c>
      <c r="AG84" t="e">
        <f t="shared" si="3"/>
        <v>#N/A</v>
      </c>
      <c r="AH84" t="e">
        <f t="shared" si="4"/>
        <v>#N/A</v>
      </c>
      <c r="AI84" t="e">
        <f t="shared" si="5"/>
        <v>#N/A</v>
      </c>
      <c r="AJ84" t="e">
        <f t="shared" si="6"/>
        <v>#N/A</v>
      </c>
      <c r="AK84" t="str">
        <f>IF(OR(J84=0),"",IF(AND(AI84="Warning",AJ84="Warning"),"Warning",""))</f>
        <v/>
      </c>
    </row>
    <row r="85" spans="1:37" ht="15.5" x14ac:dyDescent="0.35">
      <c r="A85" s="108">
        <v>247</v>
      </c>
      <c r="B85" s="295" t="s">
        <v>1967</v>
      </c>
      <c r="C85" s="237"/>
      <c r="D85" s="668"/>
      <c r="E85" s="668"/>
      <c r="F85" s="669">
        <f>SUM(D85:E85)</f>
        <v>0</v>
      </c>
      <c r="G85" s="668"/>
      <c r="H85" s="668"/>
      <c r="I85" s="669">
        <f>SUM(G85:H85)</f>
        <v>0</v>
      </c>
      <c r="J85" s="669">
        <f>F85-I85</f>
        <v>0</v>
      </c>
      <c r="K85" s="112"/>
      <c r="L85" s="688" t="str">
        <f>IF(ISERROR(M85),"",IF((M85="Error"),"add explanation",IF((M85="Warning"),"add explanation","")))</f>
        <v/>
      </c>
      <c r="M85" s="310" t="str">
        <f t="shared" si="0"/>
        <v/>
      </c>
      <c r="N85" s="112"/>
      <c r="O85" s="131" t="str">
        <f>IF($M85="Error","A total column for "&amp;($B85)&amp;" does not match the sum of the components, please correct",IF($M85="Warning","This year's figure is over "&amp;AC85/1000&amp;" million and "&amp;(AB85*100)&amp;"% different to "&amp;TEXT(AD85,"#,###")&amp;" last year, please explain",""))</f>
        <v/>
      </c>
      <c r="AB85">
        <f>VLOOKUP("RO5"&amp;$A85,data_val_parameters,9,0)/100</f>
        <v>0.3</v>
      </c>
      <c r="AC85">
        <f>VLOOKUP("RO5"&amp;$A85,data_val_parameters,7,0)</f>
        <v>2000</v>
      </c>
      <c r="AD85" t="e">
        <f>VLOOKUP(LA_code,data_prev_year,MATCH("RO5"&amp;$A85&amp;"7",data_prev_year_headers,0),0)</f>
        <v>#N/A</v>
      </c>
      <c r="AE85" t="e">
        <f t="shared" si="1"/>
        <v>#N/A</v>
      </c>
      <c r="AF85" t="e">
        <f t="shared" si="2"/>
        <v>#N/A</v>
      </c>
      <c r="AG85" t="e">
        <f t="shared" si="3"/>
        <v>#N/A</v>
      </c>
      <c r="AH85" t="e">
        <f t="shared" si="4"/>
        <v>#N/A</v>
      </c>
      <c r="AI85" t="e">
        <f t="shared" si="5"/>
        <v>#N/A</v>
      </c>
      <c r="AJ85" t="e">
        <f t="shared" si="6"/>
        <v>#N/A</v>
      </c>
      <c r="AK85" t="str">
        <f>IF(OR(J85=0),"",IF(AND(AI85="Warning",AJ85="Warning"),"Warning",""))</f>
        <v/>
      </c>
    </row>
    <row r="86" spans="1:37" ht="15.5" x14ac:dyDescent="0.35">
      <c r="A86" s="195" t="s">
        <v>84</v>
      </c>
      <c r="B86" s="295" t="s">
        <v>84</v>
      </c>
      <c r="C86" s="237"/>
      <c r="D86" s="31"/>
      <c r="E86" s="31"/>
      <c r="F86" s="106"/>
      <c r="G86" s="31"/>
      <c r="H86" s="31"/>
      <c r="I86" s="106"/>
      <c r="J86" s="106"/>
      <c r="K86" s="112"/>
      <c r="L86" s="687"/>
      <c r="M86" s="310"/>
      <c r="N86" s="112"/>
      <c r="O86" s="131"/>
    </row>
    <row r="87" spans="1:37" ht="15.5" x14ac:dyDescent="0.35">
      <c r="A87" s="122">
        <v>250</v>
      </c>
      <c r="B87" s="295" t="s">
        <v>1968</v>
      </c>
      <c r="C87" s="237"/>
      <c r="D87" s="668"/>
      <c r="E87" s="668"/>
      <c r="F87" s="669">
        <f>SUM(D87:E87)</f>
        <v>0</v>
      </c>
      <c r="G87" s="668"/>
      <c r="H87" s="668"/>
      <c r="I87" s="669">
        <f>SUM(G87:H87)</f>
        <v>0</v>
      </c>
      <c r="J87" s="669">
        <f>F87-I87</f>
        <v>0</v>
      </c>
      <c r="K87" s="112"/>
      <c r="L87" s="688" t="str">
        <f>IF(ISERROR(M87),"",IF((M87="Error"),"add explanation",IF((M87="Warning"),"add explanation","")))</f>
        <v/>
      </c>
      <c r="M87" s="310" t="str">
        <f t="shared" si="0"/>
        <v/>
      </c>
      <c r="N87" s="112"/>
      <c r="O87" s="131" t="str">
        <f>IF($M87="Error","A total column for "&amp;($B87)&amp;" does not match the sum of the components, please correct",IF($M87="Warning","This year's figure is over "&amp;AC87/1000&amp;" million and "&amp;(AB87*100)&amp;"% different to "&amp;TEXT(AD87,"#,###")&amp;" last year, please explain",""))</f>
        <v/>
      </c>
      <c r="AB87">
        <f>VLOOKUP("RO5"&amp;$A87,data_val_parameters,9,0)/100</f>
        <v>0.3</v>
      </c>
      <c r="AC87">
        <f>VLOOKUP("RO5"&amp;$A87,data_val_parameters,7,0)</f>
        <v>2000</v>
      </c>
      <c r="AD87" t="e">
        <f>VLOOKUP(LA_code,data_prev_year,MATCH("RO5"&amp;$A87&amp;"7",data_prev_year_headers,0),0)</f>
        <v>#N/A</v>
      </c>
      <c r="AE87" t="e">
        <f t="shared" si="1"/>
        <v>#N/A</v>
      </c>
      <c r="AF87" t="e">
        <f t="shared" si="2"/>
        <v>#N/A</v>
      </c>
      <c r="AG87" s="645" t="e">
        <f t="shared" si="3"/>
        <v>#N/A</v>
      </c>
      <c r="AH87" s="645" t="e">
        <f t="shared" si="4"/>
        <v>#N/A</v>
      </c>
      <c r="AI87" t="e">
        <f t="shared" si="5"/>
        <v>#N/A</v>
      </c>
      <c r="AJ87" t="e">
        <f t="shared" si="6"/>
        <v>#N/A</v>
      </c>
      <c r="AK87" t="str">
        <f>IF(OR(J87=0),"",IF(AND(AI87="Warning",AJ87="Warning"),"Warning",""))</f>
        <v/>
      </c>
    </row>
    <row r="88" spans="1:37" ht="15.5" x14ac:dyDescent="0.35">
      <c r="A88" s="195" t="s">
        <v>84</v>
      </c>
      <c r="B88" s="295" t="s">
        <v>84</v>
      </c>
      <c r="C88" s="237"/>
      <c r="D88" s="31"/>
      <c r="E88" s="31"/>
      <c r="F88" s="106"/>
      <c r="G88" s="31"/>
      <c r="H88" s="31"/>
      <c r="I88" s="106"/>
      <c r="J88" s="106"/>
      <c r="K88" s="112"/>
      <c r="L88" s="687"/>
      <c r="M88" s="310"/>
      <c r="N88" s="112"/>
      <c r="O88" s="131"/>
    </row>
    <row r="89" spans="1:37" ht="15.5" x14ac:dyDescent="0.35">
      <c r="A89" s="195" t="s">
        <v>84</v>
      </c>
      <c r="B89" s="295" t="s">
        <v>84</v>
      </c>
      <c r="C89" s="237"/>
      <c r="D89" s="31"/>
      <c r="E89" s="31"/>
      <c r="F89" s="106"/>
      <c r="G89" s="31"/>
      <c r="H89" s="31"/>
      <c r="I89" s="106"/>
      <c r="J89" s="106"/>
      <c r="K89" s="112"/>
      <c r="L89" s="687"/>
      <c r="M89" s="310"/>
      <c r="N89" s="112"/>
      <c r="O89" s="131"/>
    </row>
    <row r="90" spans="1:37" ht="15.5" x14ac:dyDescent="0.35">
      <c r="A90" s="122">
        <v>270</v>
      </c>
      <c r="B90" s="295" t="s">
        <v>1969</v>
      </c>
      <c r="C90" s="237"/>
      <c r="D90" s="668"/>
      <c r="E90" s="668"/>
      <c r="F90" s="669">
        <f>SUM(D90:E90)</f>
        <v>0</v>
      </c>
      <c r="G90" s="668"/>
      <c r="H90" s="668"/>
      <c r="I90" s="669">
        <f>SUM(G90:H90)</f>
        <v>0</v>
      </c>
      <c r="J90" s="669">
        <f>F90-I90</f>
        <v>0</v>
      </c>
      <c r="K90" s="112"/>
      <c r="L90" s="688" t="str">
        <f>IF(ISERROR(M90),"",IF((M90="Error"),"add explanation",IF((M90="Warning"),"add explanation","")))</f>
        <v/>
      </c>
      <c r="M90" s="310" t="str">
        <f t="shared" si="0"/>
        <v/>
      </c>
      <c r="N90" s="112"/>
      <c r="O90" s="131" t="str">
        <f>IF($M90="Error","A total column for "&amp;($B90)&amp;" does not match the sum of the components, please correct",IF($M90="Warning","This year's figure is over "&amp;AC90/1000&amp;" million and "&amp;(AB90*100)&amp;"% different to "&amp;TEXT(AD90,"#,###")&amp;" last year, please explain",""))</f>
        <v/>
      </c>
      <c r="AB90">
        <f>VLOOKUP("RO5"&amp;$A90,data_val_parameters,9,0)/100</f>
        <v>0.4</v>
      </c>
      <c r="AC90">
        <f>VLOOKUP("RO5"&amp;$A90,data_val_parameters,7,0)</f>
        <v>4000</v>
      </c>
      <c r="AD90" t="e">
        <f>VLOOKUP(LA_code,data_prev_year,MATCH("RO5"&amp;$A90&amp;"7",data_prev_year_headers,0),0)</f>
        <v>#N/A</v>
      </c>
      <c r="AE90" t="e">
        <f t="shared" si="1"/>
        <v>#N/A</v>
      </c>
      <c r="AF90" t="e">
        <f t="shared" si="2"/>
        <v>#N/A</v>
      </c>
      <c r="AG90" t="e">
        <f t="shared" si="3"/>
        <v>#N/A</v>
      </c>
      <c r="AH90" t="e">
        <f t="shared" si="4"/>
        <v>#N/A</v>
      </c>
      <c r="AI90" t="e">
        <f t="shared" si="5"/>
        <v>#N/A</v>
      </c>
      <c r="AJ90" t="e">
        <f t="shared" si="6"/>
        <v>#N/A</v>
      </c>
      <c r="AK90" t="str">
        <f>IF(OR(J90=0),"",IF(AND(AI90="Warning",AJ90="Warning"),"Warning",""))</f>
        <v/>
      </c>
    </row>
    <row r="91" spans="1:37" ht="15.5" x14ac:dyDescent="0.35">
      <c r="A91" s="195" t="s">
        <v>84</v>
      </c>
      <c r="B91" s="295" t="s">
        <v>84</v>
      </c>
      <c r="C91" s="237"/>
      <c r="D91" s="4"/>
      <c r="E91" s="4"/>
      <c r="F91" s="4"/>
      <c r="G91" s="4"/>
      <c r="H91" s="4"/>
      <c r="I91" s="4"/>
      <c r="J91" s="4"/>
      <c r="K91" s="112"/>
      <c r="L91" s="687"/>
      <c r="M91" s="310"/>
      <c r="N91" s="112"/>
      <c r="O91" s="131"/>
    </row>
    <row r="92" spans="1:37" ht="15.5" x14ac:dyDescent="0.35">
      <c r="A92" s="107" t="s">
        <v>1970</v>
      </c>
      <c r="B92" s="295"/>
      <c r="C92" s="237"/>
      <c r="D92" s="31"/>
      <c r="E92" s="31"/>
      <c r="F92" s="106"/>
      <c r="G92" s="31"/>
      <c r="H92" s="31"/>
      <c r="I92" s="106"/>
      <c r="J92" s="106"/>
      <c r="K92" s="112"/>
      <c r="L92" s="687"/>
      <c r="M92" s="310"/>
      <c r="N92" s="112"/>
      <c r="O92" s="131"/>
    </row>
    <row r="93" spans="1:37" ht="15.5" x14ac:dyDescent="0.35">
      <c r="A93" s="108">
        <v>281</v>
      </c>
      <c r="B93" s="295" t="s">
        <v>1971</v>
      </c>
      <c r="C93" s="237"/>
      <c r="D93" s="668"/>
      <c r="E93" s="668"/>
      <c r="F93" s="669">
        <f t="shared" ref="F93:F98" si="28">SUM(D93:E93)</f>
        <v>0</v>
      </c>
      <c r="G93" s="668"/>
      <c r="H93" s="668"/>
      <c r="I93" s="669">
        <f t="shared" ref="I93:I98" si="29">SUM(G93:H93)</f>
        <v>0</v>
      </c>
      <c r="J93" s="669">
        <f t="shared" ref="J93:J98" si="30">F93-I93</f>
        <v>0</v>
      </c>
      <c r="K93" s="112"/>
      <c r="L93" s="688" t="str">
        <f t="shared" ref="L93:L98" si="31">IF(ISERROR(M93),"",IF((M93="Error"),"add explanation",IF((M93="Warning"),"add explanation","")))</f>
        <v/>
      </c>
      <c r="M93" s="310" t="str">
        <f t="shared" si="0"/>
        <v/>
      </c>
      <c r="N93" s="112"/>
      <c r="O93" s="131" t="str">
        <f t="shared" ref="O93:O98" si="32">IF($M93="Error","A total column for "&amp;($B93)&amp;" does not match the sum of the components, please correct",IF($M93="Warning","This year's figure is over "&amp;AC93/1000&amp;" million and "&amp;(AB93*100)&amp;"% different to "&amp;TEXT(AD93,"#,###")&amp;" last year, please explain",""))</f>
        <v/>
      </c>
      <c r="AB93">
        <f t="shared" ref="AB93:AB98" si="33">VLOOKUP("RO5"&amp;$A93,data_val_parameters,9,0)/100</f>
        <v>0.4</v>
      </c>
      <c r="AC93">
        <f t="shared" ref="AC93:AC98" si="34">VLOOKUP("RO5"&amp;$A93,data_val_parameters,7,0)</f>
        <v>4000</v>
      </c>
      <c r="AD93" t="e">
        <f t="shared" ref="AD93:AD98" si="35">VLOOKUP(LA_code,data_prev_year,MATCH("RO5"&amp;$A93&amp;"7",data_prev_year_headers,0),0)</f>
        <v>#N/A</v>
      </c>
      <c r="AE93" t="e">
        <f t="shared" si="1"/>
        <v>#N/A</v>
      </c>
      <c r="AF93" t="e">
        <f t="shared" si="2"/>
        <v>#N/A</v>
      </c>
      <c r="AG93" t="e">
        <f t="shared" si="3"/>
        <v>#N/A</v>
      </c>
      <c r="AH93" t="e">
        <f t="shared" si="4"/>
        <v>#N/A</v>
      </c>
      <c r="AI93" t="e">
        <f t="shared" si="5"/>
        <v>#N/A</v>
      </c>
      <c r="AJ93" t="e">
        <f t="shared" si="6"/>
        <v>#N/A</v>
      </c>
      <c r="AK93" t="str">
        <f t="shared" ref="AK93:AK98" si="36">IF(OR(J93=0),"",IF(AND(AI93="Warning",AJ93="Warning"),"Warning",""))</f>
        <v/>
      </c>
    </row>
    <row r="94" spans="1:37" ht="15.5" x14ac:dyDescent="0.35">
      <c r="A94" s="108">
        <v>282</v>
      </c>
      <c r="B94" s="295" t="s">
        <v>1972</v>
      </c>
      <c r="C94" s="237"/>
      <c r="D94" s="668"/>
      <c r="E94" s="668"/>
      <c r="F94" s="669">
        <f t="shared" si="28"/>
        <v>0</v>
      </c>
      <c r="G94" s="668"/>
      <c r="H94" s="668"/>
      <c r="I94" s="669">
        <f t="shared" si="29"/>
        <v>0</v>
      </c>
      <c r="J94" s="669">
        <f t="shared" si="30"/>
        <v>0</v>
      </c>
      <c r="K94" s="112"/>
      <c r="L94" s="688" t="str">
        <f t="shared" si="31"/>
        <v/>
      </c>
      <c r="M94" s="310" t="str">
        <f t="shared" si="0"/>
        <v/>
      </c>
      <c r="N94" s="112"/>
      <c r="O94" s="131" t="str">
        <f t="shared" si="32"/>
        <v/>
      </c>
      <c r="AB94">
        <f t="shared" si="33"/>
        <v>0.4</v>
      </c>
      <c r="AC94">
        <f t="shared" si="34"/>
        <v>4000</v>
      </c>
      <c r="AD94" t="e">
        <f t="shared" si="35"/>
        <v>#N/A</v>
      </c>
      <c r="AE94" t="e">
        <f t="shared" si="1"/>
        <v>#N/A</v>
      </c>
      <c r="AF94" t="e">
        <f t="shared" si="2"/>
        <v>#N/A</v>
      </c>
      <c r="AG94" s="645" t="e">
        <f t="shared" si="3"/>
        <v>#N/A</v>
      </c>
      <c r="AH94" s="645" t="e">
        <f t="shared" si="4"/>
        <v>#N/A</v>
      </c>
      <c r="AI94" t="e">
        <f t="shared" si="5"/>
        <v>#N/A</v>
      </c>
      <c r="AJ94" t="e">
        <f t="shared" si="6"/>
        <v>#N/A</v>
      </c>
      <c r="AK94" t="str">
        <f t="shared" si="36"/>
        <v/>
      </c>
    </row>
    <row r="95" spans="1:37" ht="15.5" x14ac:dyDescent="0.35">
      <c r="A95" s="124">
        <v>283</v>
      </c>
      <c r="B95" s="295" t="s">
        <v>1973</v>
      </c>
      <c r="C95" s="237"/>
      <c r="D95" s="668"/>
      <c r="E95" s="668"/>
      <c r="F95" s="669">
        <f t="shared" si="28"/>
        <v>0</v>
      </c>
      <c r="G95" s="668"/>
      <c r="H95" s="668"/>
      <c r="I95" s="669">
        <f t="shared" si="29"/>
        <v>0</v>
      </c>
      <c r="J95" s="669">
        <f t="shared" si="30"/>
        <v>0</v>
      </c>
      <c r="K95" s="112"/>
      <c r="L95" s="688" t="str">
        <f t="shared" si="31"/>
        <v/>
      </c>
      <c r="M95" s="310" t="str">
        <f t="shared" si="0"/>
        <v/>
      </c>
      <c r="N95" s="112"/>
      <c r="O95" s="131" t="str">
        <f t="shared" si="32"/>
        <v/>
      </c>
      <c r="AB95">
        <f t="shared" si="33"/>
        <v>0.4</v>
      </c>
      <c r="AC95">
        <f t="shared" si="34"/>
        <v>4000</v>
      </c>
      <c r="AD95" t="e">
        <f t="shared" si="35"/>
        <v>#N/A</v>
      </c>
      <c r="AE95" t="e">
        <f t="shared" si="1"/>
        <v>#N/A</v>
      </c>
      <c r="AF95" t="e">
        <f t="shared" si="2"/>
        <v>#N/A</v>
      </c>
      <c r="AG95" t="e">
        <f t="shared" si="3"/>
        <v>#N/A</v>
      </c>
      <c r="AH95" t="e">
        <f t="shared" si="4"/>
        <v>#N/A</v>
      </c>
      <c r="AI95" t="e">
        <f t="shared" si="5"/>
        <v>#N/A</v>
      </c>
      <c r="AJ95" t="e">
        <f t="shared" si="6"/>
        <v>#N/A</v>
      </c>
      <c r="AK95" t="str">
        <f t="shared" si="36"/>
        <v/>
      </c>
    </row>
    <row r="96" spans="1:37" ht="15.5" x14ac:dyDescent="0.35">
      <c r="A96" s="124">
        <v>284</v>
      </c>
      <c r="B96" s="295" t="s">
        <v>1974</v>
      </c>
      <c r="C96" s="237"/>
      <c r="D96" s="668"/>
      <c r="E96" s="668"/>
      <c r="F96" s="669">
        <f t="shared" si="28"/>
        <v>0</v>
      </c>
      <c r="G96" s="668"/>
      <c r="H96" s="668"/>
      <c r="I96" s="669">
        <f t="shared" si="29"/>
        <v>0</v>
      </c>
      <c r="J96" s="669">
        <f t="shared" si="30"/>
        <v>0</v>
      </c>
      <c r="K96" s="112"/>
      <c r="L96" s="688" t="str">
        <f t="shared" si="31"/>
        <v/>
      </c>
      <c r="M96" s="310" t="str">
        <f t="shared" si="0"/>
        <v/>
      </c>
      <c r="N96" s="112"/>
      <c r="O96" s="131" t="str">
        <f t="shared" si="32"/>
        <v/>
      </c>
      <c r="AB96">
        <f t="shared" si="33"/>
        <v>0.4</v>
      </c>
      <c r="AC96">
        <f t="shared" si="34"/>
        <v>4000</v>
      </c>
      <c r="AD96" t="e">
        <f t="shared" si="35"/>
        <v>#N/A</v>
      </c>
      <c r="AE96" t="e">
        <f t="shared" si="1"/>
        <v>#N/A</v>
      </c>
      <c r="AF96" t="e">
        <f t="shared" si="2"/>
        <v>#N/A</v>
      </c>
      <c r="AG96" t="e">
        <f t="shared" si="3"/>
        <v>#N/A</v>
      </c>
      <c r="AH96" t="e">
        <f t="shared" si="4"/>
        <v>#N/A</v>
      </c>
      <c r="AI96" t="e">
        <f t="shared" si="5"/>
        <v>#N/A</v>
      </c>
      <c r="AJ96" t="e">
        <f t="shared" si="6"/>
        <v>#N/A</v>
      </c>
      <c r="AK96" t="str">
        <f t="shared" si="36"/>
        <v/>
      </c>
    </row>
    <row r="97" spans="1:37" ht="15.5" x14ac:dyDescent="0.35">
      <c r="A97" s="124">
        <v>285</v>
      </c>
      <c r="B97" s="295" t="s">
        <v>1975</v>
      </c>
      <c r="C97" s="237"/>
      <c r="D97" s="668"/>
      <c r="E97" s="668"/>
      <c r="F97" s="669">
        <f t="shared" si="28"/>
        <v>0</v>
      </c>
      <c r="G97" s="668"/>
      <c r="H97" s="668"/>
      <c r="I97" s="669">
        <f t="shared" si="29"/>
        <v>0</v>
      </c>
      <c r="J97" s="669">
        <f t="shared" si="30"/>
        <v>0</v>
      </c>
      <c r="K97" s="112"/>
      <c r="L97" s="688" t="str">
        <f t="shared" si="31"/>
        <v/>
      </c>
      <c r="M97" s="310" t="str">
        <f t="shared" si="0"/>
        <v/>
      </c>
      <c r="N97" s="112"/>
      <c r="O97" s="131" t="str">
        <f t="shared" si="32"/>
        <v/>
      </c>
      <c r="AB97">
        <f t="shared" si="33"/>
        <v>0.4</v>
      </c>
      <c r="AC97">
        <f t="shared" si="34"/>
        <v>4000</v>
      </c>
      <c r="AD97" t="e">
        <f t="shared" si="35"/>
        <v>#N/A</v>
      </c>
      <c r="AE97" t="e">
        <f t="shared" si="1"/>
        <v>#N/A</v>
      </c>
      <c r="AF97" t="e">
        <f t="shared" si="2"/>
        <v>#N/A</v>
      </c>
      <c r="AG97" t="e">
        <f t="shared" si="3"/>
        <v>#N/A</v>
      </c>
      <c r="AH97" t="e">
        <f t="shared" si="4"/>
        <v>#N/A</v>
      </c>
      <c r="AI97" t="e">
        <f t="shared" si="5"/>
        <v>#N/A</v>
      </c>
      <c r="AJ97" t="e">
        <f t="shared" si="6"/>
        <v>#N/A</v>
      </c>
      <c r="AK97" t="str">
        <f t="shared" si="36"/>
        <v/>
      </c>
    </row>
    <row r="98" spans="1:37" ht="15.5" x14ac:dyDescent="0.35">
      <c r="A98" s="124">
        <v>286</v>
      </c>
      <c r="B98" s="295" t="s">
        <v>1976</v>
      </c>
      <c r="C98" s="237"/>
      <c r="D98" s="668"/>
      <c r="E98" s="668"/>
      <c r="F98" s="669">
        <f t="shared" si="28"/>
        <v>0</v>
      </c>
      <c r="G98" s="668"/>
      <c r="H98" s="668"/>
      <c r="I98" s="669">
        <f t="shared" si="29"/>
        <v>0</v>
      </c>
      <c r="J98" s="669">
        <f t="shared" si="30"/>
        <v>0</v>
      </c>
      <c r="K98" s="112"/>
      <c r="L98" s="688" t="str">
        <f t="shared" si="31"/>
        <v/>
      </c>
      <c r="M98" s="310" t="str">
        <f t="shared" si="0"/>
        <v/>
      </c>
      <c r="N98" s="112"/>
      <c r="O98" s="131" t="str">
        <f t="shared" si="32"/>
        <v/>
      </c>
      <c r="AB98">
        <f t="shared" si="33"/>
        <v>0.4</v>
      </c>
      <c r="AC98">
        <f t="shared" si="34"/>
        <v>4000</v>
      </c>
      <c r="AD98" t="e">
        <f t="shared" si="35"/>
        <v>#N/A</v>
      </c>
      <c r="AE98" t="e">
        <f t="shared" si="1"/>
        <v>#N/A</v>
      </c>
      <c r="AF98" t="e">
        <f t="shared" si="2"/>
        <v>#N/A</v>
      </c>
      <c r="AG98" t="e">
        <f t="shared" si="3"/>
        <v>#N/A</v>
      </c>
      <c r="AH98" t="e">
        <f t="shared" si="4"/>
        <v>#N/A</v>
      </c>
      <c r="AI98" t="e">
        <f t="shared" si="5"/>
        <v>#N/A</v>
      </c>
      <c r="AJ98" t="e">
        <f t="shared" si="6"/>
        <v>#N/A</v>
      </c>
      <c r="AK98" t="str">
        <f t="shared" si="36"/>
        <v/>
      </c>
    </row>
    <row r="99" spans="1:37" ht="15.5" x14ac:dyDescent="0.35">
      <c r="A99" s="195" t="s">
        <v>84</v>
      </c>
      <c r="B99" s="295" t="s">
        <v>84</v>
      </c>
      <c r="C99" s="237"/>
      <c r="D99" s="31"/>
      <c r="E99" s="31"/>
      <c r="F99" s="106"/>
      <c r="G99" s="31"/>
      <c r="H99" s="31"/>
      <c r="I99" s="106"/>
      <c r="J99" s="106"/>
      <c r="K99" s="112"/>
      <c r="L99" s="687"/>
      <c r="M99" s="310"/>
      <c r="N99" s="112"/>
      <c r="O99" s="131"/>
    </row>
    <row r="100" spans="1:37" ht="15.5" x14ac:dyDescent="0.35">
      <c r="A100" s="117">
        <v>290</v>
      </c>
      <c r="B100" s="297" t="s">
        <v>1977</v>
      </c>
      <c r="C100" s="237"/>
      <c r="D100" s="669">
        <f>SUM(D60,D63:D74,D77:D79,D82:D85,D87,D90,D93:D98)</f>
        <v>0</v>
      </c>
      <c r="E100" s="1133">
        <f t="shared" ref="E100:J100" si="37">SUM(E60,E63:E74,E77:E79,E82:E85,E87,E90,E93:E98)</f>
        <v>0</v>
      </c>
      <c r="F100" s="669">
        <f t="shared" si="37"/>
        <v>0</v>
      </c>
      <c r="G100" s="669">
        <f t="shared" si="37"/>
        <v>0</v>
      </c>
      <c r="H100" s="669">
        <f t="shared" si="37"/>
        <v>0</v>
      </c>
      <c r="I100" s="717">
        <f t="shared" si="37"/>
        <v>0</v>
      </c>
      <c r="J100" s="1134">
        <f t="shared" si="37"/>
        <v>0</v>
      </c>
      <c r="K100" s="86"/>
      <c r="L100" s="688" t="str">
        <f>IF(ISERROR(M100),"",IF((M100="Error"),"add explanation",IF((M100="Warning"),"add explanation","")))</f>
        <v/>
      </c>
      <c r="M100" s="310" t="str">
        <f t="shared" si="0"/>
        <v/>
      </c>
      <c r="N100" s="112"/>
      <c r="O100" s="131" t="str">
        <f>IF($M100="Error","A total column for "&amp;($B100)&amp;" does not match the sum of the components, please correct",IF($M100="Warning","This year's figure is over "&amp;AC100/1000&amp;" million and "&amp;(AB100*100)&amp;"% different to "&amp;TEXT(AD100,"#,###")&amp;" last year, please explain",""))</f>
        <v/>
      </c>
    </row>
    <row r="101" spans="1:37" ht="15.5" x14ac:dyDescent="0.35">
      <c r="A101" s="112"/>
      <c r="B101" s="237"/>
      <c r="C101" s="237"/>
      <c r="D101" s="31"/>
      <c r="E101" s="1135"/>
      <c r="F101" s="106"/>
      <c r="G101" s="31"/>
      <c r="H101" s="31"/>
      <c r="I101" s="106"/>
      <c r="J101" s="820" t="s">
        <v>1730</v>
      </c>
      <c r="K101" s="112"/>
      <c r="L101" s="472"/>
      <c r="M101" s="310"/>
      <c r="N101" s="112"/>
      <c r="O101" s="131"/>
    </row>
    <row r="102" spans="1:37" ht="46.5" x14ac:dyDescent="0.35">
      <c r="A102" s="112"/>
      <c r="B102" s="237"/>
      <c r="C102" s="237"/>
      <c r="D102" s="31"/>
      <c r="E102" s="709" t="s">
        <v>1731</v>
      </c>
      <c r="F102" s="106"/>
      <c r="G102" s="31"/>
      <c r="H102" s="31"/>
      <c r="I102" s="106"/>
      <c r="J102" s="820"/>
      <c r="K102" s="112"/>
      <c r="L102" s="472"/>
      <c r="M102" s="310"/>
      <c r="N102" s="112"/>
      <c r="O102" s="131"/>
    </row>
    <row r="103" spans="1:37" ht="15.5" x14ac:dyDescent="0.35">
      <c r="A103" s="112"/>
      <c r="B103" s="112"/>
      <c r="C103" s="112"/>
      <c r="D103" s="31"/>
      <c r="E103" s="399" t="s">
        <v>1732</v>
      </c>
      <c r="F103" s="106"/>
      <c r="G103" s="31"/>
      <c r="H103" s="31"/>
      <c r="I103" s="106"/>
      <c r="J103" s="298"/>
      <c r="K103" s="112"/>
      <c r="L103" s="472"/>
      <c r="M103" s="310"/>
      <c r="N103" s="112"/>
      <c r="O103" s="131"/>
    </row>
    <row r="104" spans="1:37" ht="15.5" x14ac:dyDescent="0.35">
      <c r="A104" s="859">
        <v>1291</v>
      </c>
      <c r="B104" s="859" t="s">
        <v>1978</v>
      </c>
      <c r="C104" s="112"/>
      <c r="D104" s="112"/>
      <c r="E104" s="996"/>
      <c r="F104" s="106"/>
      <c r="G104" s="31"/>
      <c r="H104" s="31"/>
      <c r="I104" s="106"/>
      <c r="J104" s="298"/>
      <c r="K104" s="112"/>
      <c r="L104" s="472"/>
      <c r="M104" s="310"/>
      <c r="N104" s="112"/>
      <c r="O104" s="131"/>
    </row>
    <row r="105" spans="1:37" ht="15.5" x14ac:dyDescent="0.35">
      <c r="A105" s="11" t="s">
        <v>84</v>
      </c>
      <c r="B105" s="295" t="s">
        <v>84</v>
      </c>
      <c r="C105" s="237"/>
      <c r="D105" s="31"/>
      <c r="E105" s="31"/>
      <c r="F105" s="106"/>
      <c r="G105" s="31"/>
      <c r="H105" s="31"/>
      <c r="I105" s="106"/>
      <c r="J105" s="106"/>
      <c r="K105" s="112"/>
      <c r="L105" s="472"/>
      <c r="M105" s="310"/>
      <c r="N105" s="112"/>
      <c r="O105" s="131"/>
    </row>
    <row r="106" spans="1:37" ht="18" x14ac:dyDescent="0.4">
      <c r="A106" s="326" t="s">
        <v>1979</v>
      </c>
      <c r="B106" s="295"/>
      <c r="C106" s="237"/>
      <c r="D106" s="65"/>
      <c r="E106" s="65"/>
      <c r="F106" s="54"/>
      <c r="G106" s="303"/>
      <c r="H106" s="54"/>
      <c r="I106" s="54"/>
      <c r="J106" s="54"/>
      <c r="K106" s="54"/>
      <c r="L106" s="472"/>
      <c r="M106" s="310"/>
      <c r="N106" s="112"/>
      <c r="O106" s="131"/>
    </row>
    <row r="107" spans="1:37" ht="15.5" x14ac:dyDescent="0.35">
      <c r="A107" s="11" t="s">
        <v>84</v>
      </c>
      <c r="B107" s="295" t="s">
        <v>84</v>
      </c>
      <c r="C107" s="237"/>
      <c r="D107" s="55"/>
      <c r="E107" s="55"/>
      <c r="F107" s="4"/>
      <c r="G107" s="4"/>
      <c r="H107" s="4"/>
      <c r="I107" s="4"/>
      <c r="J107" s="4"/>
      <c r="K107" s="112"/>
      <c r="L107" s="472"/>
      <c r="M107" s="310"/>
      <c r="N107" s="112"/>
      <c r="O107" s="131"/>
    </row>
    <row r="108" spans="1:37" ht="15.5" x14ac:dyDescent="0.35">
      <c r="A108" s="122">
        <v>310</v>
      </c>
      <c r="B108" s="295" t="s">
        <v>1980</v>
      </c>
      <c r="C108" s="237"/>
      <c r="D108" s="668"/>
      <c r="E108" s="668"/>
      <c r="F108" s="669">
        <f>SUM(D108:E108)</f>
        <v>0</v>
      </c>
      <c r="G108" s="668"/>
      <c r="H108" s="668"/>
      <c r="I108" s="669">
        <f>SUM(G108:H108)</f>
        <v>0</v>
      </c>
      <c r="J108" s="669">
        <f>F108-I108</f>
        <v>0</v>
      </c>
      <c r="K108" s="112"/>
      <c r="L108" s="688" t="str">
        <f>IF(ISERROR(M108),"",IF((M108="Error"),"add explanation",IF((M108="Warning"),"add explanation","")))</f>
        <v/>
      </c>
      <c r="M108" s="310" t="str">
        <f t="shared" ref="M108:M130" si="38">IF(OR((I108&lt;&gt;(G108+H108)),(F108&lt;&gt;(D108+E108)),(J108&lt;&gt;(F108-I108))),"Error",IF(AK108="Warning","Warning",""))</f>
        <v/>
      </c>
      <c r="N108" s="112"/>
      <c r="O108" s="131" t="str">
        <f>IF($M108="Error","A total column for "&amp;($B108)&amp;" does not match the sum of the components, please correct",IF($M108="Warning","This year's figure is over "&amp;AC108/1000&amp;" million and "&amp;(AB108*100)&amp;"% different to "&amp;TEXT(AD108,"#,###")&amp;" last year, please explain",""))</f>
        <v/>
      </c>
      <c r="AB108">
        <f>VLOOKUP("RO5"&amp;$A108,data_val_parameters,9,0)/100</f>
        <v>0.3</v>
      </c>
      <c r="AC108">
        <f>VLOOKUP("RO5"&amp;$A108,data_val_parameters,7,0)</f>
        <v>2000</v>
      </c>
      <c r="AD108" t="e">
        <f>VLOOKUP(LA_code,data_prev_year,MATCH("RO5"&amp;$A108&amp;"7",data_prev_year_headers,0),0)</f>
        <v>#N/A</v>
      </c>
      <c r="AE108" t="e">
        <f t="shared" ref="AE108:AE122" si="39">AD108+AC108</f>
        <v>#N/A</v>
      </c>
      <c r="AF108" t="e">
        <f t="shared" ref="AF108:AF122" si="40">AD108-AC108</f>
        <v>#N/A</v>
      </c>
      <c r="AG108" t="e">
        <f t="shared" ref="AG108:AG122" si="41">AD108+(AD108*AB108)</f>
        <v>#N/A</v>
      </c>
      <c r="AH108" t="e">
        <f t="shared" ref="AH108:AH122" si="42">AD108-(AD108*AB108)</f>
        <v>#N/A</v>
      </c>
      <c r="AI108" t="e">
        <f t="shared" ref="AI108:AI122" si="43">IF(OR(J108&lt;AF108,J108&gt;AE108),"Warning","")</f>
        <v>#N/A</v>
      </c>
      <c r="AJ108" t="e">
        <f t="shared" ref="AJ108:AJ122" si="44">IF(OR(J108&gt;(AG108),J108&lt;(AH108)),"Warning","")</f>
        <v>#N/A</v>
      </c>
      <c r="AK108" t="str">
        <f>IF(OR(J108=0),"",IF(AND(AI108="Warning",AJ108="Warning"),"Warning",""))</f>
        <v/>
      </c>
    </row>
    <row r="109" spans="1:37" ht="15.5" x14ac:dyDescent="0.35">
      <c r="A109" s="195" t="s">
        <v>84</v>
      </c>
      <c r="B109" s="295" t="s">
        <v>84</v>
      </c>
      <c r="C109" s="237"/>
      <c r="D109" s="55"/>
      <c r="E109" s="55"/>
      <c r="F109" s="4"/>
      <c r="G109" s="4"/>
      <c r="H109" s="4"/>
      <c r="I109" s="4"/>
      <c r="J109" s="4"/>
      <c r="K109" s="112"/>
      <c r="L109" s="689"/>
      <c r="M109" s="310"/>
      <c r="N109" s="112"/>
      <c r="O109" s="131"/>
    </row>
    <row r="110" spans="1:37" ht="15.5" x14ac:dyDescent="0.35">
      <c r="A110" s="122">
        <v>320</v>
      </c>
      <c r="B110" s="295" t="s">
        <v>1981</v>
      </c>
      <c r="C110" s="237"/>
      <c r="D110" s="668"/>
      <c r="E110" s="668"/>
      <c r="F110" s="669">
        <f>SUM(D110:E110)</f>
        <v>0</v>
      </c>
      <c r="G110" s="668"/>
      <c r="H110" s="668"/>
      <c r="I110" s="669">
        <f>SUM(G110:H110)</f>
        <v>0</v>
      </c>
      <c r="J110" s="669">
        <f>F110-I110</f>
        <v>0</v>
      </c>
      <c r="K110" s="112"/>
      <c r="L110" s="688" t="str">
        <f>IF(ISERROR(M110),"",IF((M110="Error"),"add explanation",IF((M110="Warning"),"add explanation","")))</f>
        <v/>
      </c>
      <c r="M110" s="310" t="str">
        <f t="shared" si="38"/>
        <v/>
      </c>
      <c r="N110" s="112"/>
      <c r="O110" s="131" t="str">
        <f>IF($M110="Error","A total column for "&amp;($B110)&amp;" does not match the sum of the components, please correct",IF($M110="Warning","This year's figure is over "&amp;AC110/1000&amp;" million and "&amp;(AB110*100)&amp;"% different to "&amp;TEXT(AD110,"#,###")&amp;" last year, please explain",""))</f>
        <v/>
      </c>
      <c r="AB110">
        <f>VLOOKUP("RO5"&amp;$A110,data_val_parameters,9,0)/100</f>
        <v>0.3</v>
      </c>
      <c r="AC110">
        <f>VLOOKUP("RO5"&amp;$A110,data_val_parameters,7,0)</f>
        <v>2000</v>
      </c>
      <c r="AD110" s="645" t="e">
        <f>VLOOKUP(LA_code,data_prev_year,MATCH("RO5"&amp;$A110&amp;"7",data_prev_year_headers,0),0)</f>
        <v>#N/A</v>
      </c>
      <c r="AE110" s="645" t="e">
        <f t="shared" si="39"/>
        <v>#N/A</v>
      </c>
      <c r="AF110" s="645" t="e">
        <f t="shared" si="40"/>
        <v>#N/A</v>
      </c>
      <c r="AG110" s="645" t="e">
        <f t="shared" si="41"/>
        <v>#N/A</v>
      </c>
      <c r="AH110" s="645" t="e">
        <f t="shared" si="42"/>
        <v>#N/A</v>
      </c>
      <c r="AI110" t="e">
        <f t="shared" si="43"/>
        <v>#N/A</v>
      </c>
      <c r="AJ110" t="e">
        <f t="shared" si="44"/>
        <v>#N/A</v>
      </c>
      <c r="AK110" t="str">
        <f>IF(OR(J110=0),"",IF(AND(AI110="Warning",AJ110="Warning"),"Warning",""))</f>
        <v/>
      </c>
    </row>
    <row r="111" spans="1:37" ht="15.5" x14ac:dyDescent="0.35">
      <c r="A111" s="195" t="s">
        <v>84</v>
      </c>
      <c r="B111" s="295" t="s">
        <v>84</v>
      </c>
      <c r="C111" s="237"/>
      <c r="D111" s="55"/>
      <c r="E111" s="55"/>
      <c r="F111" s="4"/>
      <c r="G111" s="4"/>
      <c r="H111" s="4"/>
      <c r="I111" s="4"/>
      <c r="J111" s="4"/>
      <c r="K111" s="112"/>
      <c r="L111" s="689"/>
      <c r="M111" s="310"/>
      <c r="N111" s="112"/>
      <c r="O111" s="131"/>
    </row>
    <row r="112" spans="1:37" ht="15.5" x14ac:dyDescent="0.35">
      <c r="A112" s="107" t="s">
        <v>1982</v>
      </c>
      <c r="B112" s="295" t="s">
        <v>84</v>
      </c>
      <c r="C112" s="237"/>
      <c r="D112" s="55"/>
      <c r="E112" s="55"/>
      <c r="F112" s="4"/>
      <c r="G112" s="4"/>
      <c r="H112" s="4"/>
      <c r="I112" s="4"/>
      <c r="J112" s="4"/>
      <c r="K112" s="112"/>
      <c r="L112" s="689"/>
      <c r="M112" s="310"/>
      <c r="N112" s="112"/>
      <c r="O112" s="131"/>
    </row>
    <row r="113" spans="1:37" ht="15.5" x14ac:dyDescent="0.35">
      <c r="A113" s="108">
        <v>335</v>
      </c>
      <c r="B113" s="295" t="s">
        <v>1983</v>
      </c>
      <c r="C113" s="237"/>
      <c r="D113" s="668"/>
      <c r="E113" s="668"/>
      <c r="F113" s="669">
        <f>SUM(D113:E113)</f>
        <v>0</v>
      </c>
      <c r="G113" s="668"/>
      <c r="H113" s="668"/>
      <c r="I113" s="669">
        <f>SUM(G113:H113)</f>
        <v>0</v>
      </c>
      <c r="J113" s="669">
        <f>F113-I113</f>
        <v>0</v>
      </c>
      <c r="K113" s="112"/>
      <c r="L113" s="688" t="str">
        <f>IF(ISERROR(M113),"",IF((M113="Error"),"add explanation",IF((M113="Warning"),"add explanation","")))</f>
        <v/>
      </c>
      <c r="M113" s="310" t="str">
        <f t="shared" si="38"/>
        <v/>
      </c>
      <c r="N113" s="112"/>
      <c r="O113" s="131" t="str">
        <f>IF($M113="Error","A total column for "&amp;($B113)&amp;" does not match the sum of the components, please correct",IF($M113="Warning","This year's figure is over "&amp;AC113/1000&amp;" million and "&amp;(AB113*100)&amp;"% different to "&amp;TEXT(AD113,"#,###")&amp;" last year, please explain",""))</f>
        <v/>
      </c>
      <c r="AB113">
        <f>VLOOKUP("RO5"&amp;$A113,data_val_parameters,9,0)/100</f>
        <v>0.4</v>
      </c>
      <c r="AC113">
        <f>VLOOKUP("RO5"&amp;$A113,data_val_parameters,7,0)</f>
        <v>4000</v>
      </c>
      <c r="AD113" t="e">
        <f>VLOOKUP(LA_code,data_prev_year,MATCH("RO5"&amp;$A113&amp;"7",data_prev_year_headers,0),0)</f>
        <v>#N/A</v>
      </c>
      <c r="AE113" t="e">
        <f t="shared" si="39"/>
        <v>#N/A</v>
      </c>
      <c r="AF113" t="e">
        <f t="shared" si="40"/>
        <v>#N/A</v>
      </c>
      <c r="AG113" t="e">
        <f t="shared" si="41"/>
        <v>#N/A</v>
      </c>
      <c r="AH113" t="e">
        <f t="shared" si="42"/>
        <v>#N/A</v>
      </c>
      <c r="AI113" t="e">
        <f t="shared" si="43"/>
        <v>#N/A</v>
      </c>
      <c r="AJ113" t="e">
        <f t="shared" si="44"/>
        <v>#N/A</v>
      </c>
      <c r="AK113" t="str">
        <f>IF(OR(J113=0),"",IF(AND(AI113="Warning",AJ113="Warning"),"Warning",""))</f>
        <v/>
      </c>
    </row>
    <row r="114" spans="1:37" ht="15.5" x14ac:dyDescent="0.35">
      <c r="A114" s="108">
        <v>338</v>
      </c>
      <c r="B114" s="295" t="s">
        <v>1984</v>
      </c>
      <c r="C114" s="237"/>
      <c r="D114" s="668"/>
      <c r="E114" s="668"/>
      <c r="F114" s="669">
        <f>SUM(D114:E114)</f>
        <v>0</v>
      </c>
      <c r="G114" s="668"/>
      <c r="H114" s="668"/>
      <c r="I114" s="669">
        <f>SUM(G114:H114)</f>
        <v>0</v>
      </c>
      <c r="J114" s="669">
        <f>F114-I114</f>
        <v>0</v>
      </c>
      <c r="K114" s="112"/>
      <c r="L114" s="688" t="str">
        <f>IF(ISERROR(M114),"",IF((M114="Error"),"add explanation",IF((M114="Warning"),"add explanation","")))</f>
        <v/>
      </c>
      <c r="M114" s="310" t="str">
        <f t="shared" si="38"/>
        <v/>
      </c>
      <c r="N114" s="112"/>
      <c r="O114" s="131" t="str">
        <f>IF($M114="Error","A total column for "&amp;($B114)&amp;" does not match the sum of the components, please correct",IF($M114="Warning","This year's figure is over "&amp;AC114/1000&amp;" million and "&amp;(AB114*100)&amp;"% different to "&amp;TEXT(AD114,"#,###")&amp;" last year, please explain",""))</f>
        <v/>
      </c>
      <c r="AB114">
        <f>VLOOKUP("RO5"&amp;$A114,data_val_parameters,9,0)/100</f>
        <v>0.4</v>
      </c>
      <c r="AC114">
        <f>VLOOKUP("RO5"&amp;$A114,data_val_parameters,7,0)</f>
        <v>4000</v>
      </c>
      <c r="AD114" s="645" t="e">
        <f>VLOOKUP(LA_code,data_prev_year,MATCH("RO5"&amp;$A114&amp;"7",data_prev_year_headers,0),0)</f>
        <v>#N/A</v>
      </c>
      <c r="AE114" s="645" t="e">
        <f t="shared" si="39"/>
        <v>#N/A</v>
      </c>
      <c r="AF114" s="645" t="e">
        <f t="shared" si="40"/>
        <v>#N/A</v>
      </c>
      <c r="AG114" s="645" t="e">
        <f t="shared" si="41"/>
        <v>#N/A</v>
      </c>
      <c r="AH114" s="645" t="e">
        <f t="shared" si="42"/>
        <v>#N/A</v>
      </c>
      <c r="AI114" t="e">
        <f t="shared" si="43"/>
        <v>#N/A</v>
      </c>
      <c r="AJ114" t="e">
        <f t="shared" si="44"/>
        <v>#N/A</v>
      </c>
      <c r="AK114" t="str">
        <f>IF(OR(J114=0),"",IF(AND(AI114="Warning",AJ114="Warning"),"Warning",""))</f>
        <v/>
      </c>
    </row>
    <row r="115" spans="1:37" ht="15.5" x14ac:dyDescent="0.35">
      <c r="A115" s="195" t="s">
        <v>84</v>
      </c>
      <c r="B115" s="295" t="s">
        <v>84</v>
      </c>
      <c r="C115" s="237"/>
      <c r="D115" s="55"/>
      <c r="E115" s="55"/>
      <c r="F115" s="4"/>
      <c r="G115" s="4"/>
      <c r="H115" s="4"/>
      <c r="I115" s="4"/>
      <c r="J115" s="4"/>
      <c r="K115" s="112"/>
      <c r="L115" s="689"/>
      <c r="M115" s="310"/>
      <c r="N115" s="112"/>
      <c r="O115" s="131"/>
    </row>
    <row r="116" spans="1:37" ht="15.5" x14ac:dyDescent="0.35">
      <c r="A116" s="122">
        <v>340</v>
      </c>
      <c r="B116" s="295" t="s">
        <v>1985</v>
      </c>
      <c r="C116" s="237"/>
      <c r="D116" s="668"/>
      <c r="E116" s="668"/>
      <c r="F116" s="669">
        <f>SUM(D116:E116)</f>
        <v>0</v>
      </c>
      <c r="G116" s="668"/>
      <c r="H116" s="668"/>
      <c r="I116" s="669">
        <f>SUM(G116:H116)</f>
        <v>0</v>
      </c>
      <c r="J116" s="669">
        <f>F116-I116</f>
        <v>0</v>
      </c>
      <c r="K116" s="112"/>
      <c r="L116" s="688" t="str">
        <f>IF(ISERROR(M116),"",IF((M116="Error"),"add explanation",IF((M116="Warning"),"add explanation","")))</f>
        <v/>
      </c>
      <c r="M116" s="310" t="str">
        <f t="shared" si="38"/>
        <v/>
      </c>
      <c r="N116" s="112"/>
      <c r="O116" s="131" t="str">
        <f>IF($M116="Error","A total column for "&amp;($B116)&amp;" does not match the sum of the components, please correct",IF($M116="Warning","This year's figure is over "&amp;AC116/1000&amp;" million and "&amp;(AB116*100)&amp;"% different to "&amp;TEXT(AD116,"#,###")&amp;" last year, please explain",""))</f>
        <v/>
      </c>
      <c r="AB116">
        <f>VLOOKUP("RO5"&amp;$A116,data_val_parameters,9,0)/100</f>
        <v>0.4</v>
      </c>
      <c r="AC116">
        <f>VLOOKUP("RO5"&amp;$A116,data_val_parameters,7,0)</f>
        <v>4000</v>
      </c>
      <c r="AD116" t="e">
        <f>VLOOKUP(LA_code,data_prev_year,MATCH("RO5"&amp;$A116&amp;"7",data_prev_year_headers,0),0)</f>
        <v>#N/A</v>
      </c>
      <c r="AE116" t="e">
        <f t="shared" si="39"/>
        <v>#N/A</v>
      </c>
      <c r="AF116" t="e">
        <f t="shared" si="40"/>
        <v>#N/A</v>
      </c>
      <c r="AG116" s="645" t="e">
        <f t="shared" si="41"/>
        <v>#N/A</v>
      </c>
      <c r="AH116" s="645" t="e">
        <f t="shared" si="42"/>
        <v>#N/A</v>
      </c>
      <c r="AI116" t="e">
        <f t="shared" si="43"/>
        <v>#N/A</v>
      </c>
      <c r="AJ116" t="e">
        <f t="shared" si="44"/>
        <v>#N/A</v>
      </c>
      <c r="AK116" t="str">
        <f>IF(OR(J116=0),"",IF(AND(AI116="Warning",AJ116="Warning"),"Warning",""))</f>
        <v/>
      </c>
    </row>
    <row r="117" spans="1:37" ht="15.5" x14ac:dyDescent="0.35">
      <c r="A117" s="195" t="s">
        <v>84</v>
      </c>
      <c r="B117" s="295" t="s">
        <v>84</v>
      </c>
      <c r="C117" s="237"/>
      <c r="D117" s="55"/>
      <c r="E117" s="55"/>
      <c r="F117" s="4"/>
      <c r="G117" s="4"/>
      <c r="H117" s="4"/>
      <c r="I117" s="4"/>
      <c r="J117" s="4"/>
      <c r="K117" s="112"/>
      <c r="L117" s="689"/>
      <c r="M117" s="310"/>
      <c r="N117" s="112"/>
      <c r="O117" s="131"/>
    </row>
    <row r="118" spans="1:37" ht="15.5" x14ac:dyDescent="0.35">
      <c r="A118" s="122">
        <v>350</v>
      </c>
      <c r="B118" s="295" t="s">
        <v>1986</v>
      </c>
      <c r="C118" s="237"/>
      <c r="D118" s="668"/>
      <c r="E118" s="668"/>
      <c r="F118" s="669">
        <f>SUM(D118:E118)</f>
        <v>0</v>
      </c>
      <c r="G118" s="668"/>
      <c r="H118" s="668"/>
      <c r="I118" s="669">
        <f>SUM(G118:H118)</f>
        <v>0</v>
      </c>
      <c r="J118" s="669">
        <f>F118-I118</f>
        <v>0</v>
      </c>
      <c r="K118" s="112"/>
      <c r="L118" s="688" t="str">
        <f>IF(ISERROR(M118),"",IF((M118="Error"),"add explanation",IF((M118="Warning"),"add explanation","")))</f>
        <v/>
      </c>
      <c r="M118" s="310" t="str">
        <f t="shared" si="38"/>
        <v/>
      </c>
      <c r="N118" s="112"/>
      <c r="O118" s="131" t="str">
        <f>IF($M118="Error","A total column for "&amp;($B118)&amp;" does not match the sum of the components, please correct",IF($M118="Warning","This year's figure is over "&amp;AC118/1000&amp;" million and "&amp;(AB118*100)&amp;"% different to "&amp;TEXT(AD118,"#,###")&amp;" last year, please explain",""))</f>
        <v/>
      </c>
      <c r="AB118">
        <f>VLOOKUP("RO5"&amp;$A118,data_val_parameters,9,0)/100</f>
        <v>0.4</v>
      </c>
      <c r="AC118">
        <f>VLOOKUP("RO5"&amp;$A118,data_val_parameters,7,0)</f>
        <v>12000</v>
      </c>
      <c r="AD118" t="e">
        <f>VLOOKUP(LA_code,data_prev_year,MATCH("RO5"&amp;$A118&amp;"7",data_prev_year_headers,0),0)</f>
        <v>#N/A</v>
      </c>
      <c r="AE118" t="e">
        <f t="shared" si="39"/>
        <v>#N/A</v>
      </c>
      <c r="AF118" t="e">
        <f t="shared" si="40"/>
        <v>#N/A</v>
      </c>
      <c r="AG118" t="e">
        <f t="shared" si="41"/>
        <v>#N/A</v>
      </c>
      <c r="AH118" t="e">
        <f t="shared" si="42"/>
        <v>#N/A</v>
      </c>
      <c r="AI118" t="e">
        <f t="shared" si="43"/>
        <v>#N/A</v>
      </c>
      <c r="AJ118" t="e">
        <f t="shared" si="44"/>
        <v>#N/A</v>
      </c>
      <c r="AK118" t="str">
        <f>IF(OR(J118=0),"",IF(AND(AI118="Warning",AJ118="Warning"),"Warning",""))</f>
        <v/>
      </c>
    </row>
    <row r="119" spans="1:37" ht="15.5" x14ac:dyDescent="0.35">
      <c r="A119" s="122">
        <v>351</v>
      </c>
      <c r="B119" s="295" t="s">
        <v>1987</v>
      </c>
      <c r="C119" s="237"/>
      <c r="D119" s="668"/>
      <c r="E119" s="668"/>
      <c r="F119" s="669">
        <f>SUM(D119:E119)</f>
        <v>0</v>
      </c>
      <c r="G119" s="668"/>
      <c r="H119" s="668"/>
      <c r="I119" s="669">
        <f>SUM(G119:H119)</f>
        <v>0</v>
      </c>
      <c r="J119" s="669">
        <f>F119-I119</f>
        <v>0</v>
      </c>
      <c r="K119" s="112"/>
      <c r="L119" s="688" t="str">
        <f>IF(ISERROR(M119),"",IF((M119="Error"),"add explanation",IF((M119="Warning"),"add explanation","")))</f>
        <v/>
      </c>
      <c r="M119" s="310" t="str">
        <f t="shared" si="38"/>
        <v/>
      </c>
      <c r="N119" s="112"/>
      <c r="O119" s="131" t="str">
        <f>IF($M119="Error","A total column for "&amp;($B119)&amp;" does not match the sum of the components, please correct",IF($M119="Warning","This year's figure is over "&amp;AC119/1000&amp;" million and "&amp;(AB119*100)&amp;"% different to "&amp;TEXT(AD119,"#,###")&amp;" last year, please explain",""))</f>
        <v/>
      </c>
      <c r="AB119">
        <f>VLOOKUP("RO5"&amp;$A119,data_val_parameters,9,0)/100</f>
        <v>0.4</v>
      </c>
      <c r="AC119">
        <f>VLOOKUP("RO5"&amp;$A119,data_val_parameters,7,0)</f>
        <v>4000</v>
      </c>
      <c r="AD119" t="e">
        <f>VLOOKUP(LA_code,data_prev_year,MATCH("RO5"&amp;$A119&amp;"7",data_prev_year_headers,0),0)</f>
        <v>#N/A</v>
      </c>
      <c r="AE119" t="e">
        <f t="shared" si="39"/>
        <v>#N/A</v>
      </c>
      <c r="AF119" t="e">
        <f t="shared" si="40"/>
        <v>#N/A</v>
      </c>
      <c r="AG119" t="e">
        <f t="shared" si="41"/>
        <v>#N/A</v>
      </c>
      <c r="AH119" t="e">
        <f t="shared" si="42"/>
        <v>#N/A</v>
      </c>
      <c r="AI119" t="e">
        <f t="shared" si="43"/>
        <v>#N/A</v>
      </c>
      <c r="AJ119" t="e">
        <f t="shared" si="44"/>
        <v>#N/A</v>
      </c>
      <c r="AK119" t="str">
        <f>IF(OR(J119=0),"",IF(AND(AI119="Warning",AJ119="Warning"),"Warning",""))</f>
        <v/>
      </c>
    </row>
    <row r="120" spans="1:37" ht="15.5" x14ac:dyDescent="0.35">
      <c r="A120" s="122">
        <v>352</v>
      </c>
      <c r="B120" s="295" t="s">
        <v>1988</v>
      </c>
      <c r="C120" s="237"/>
      <c r="D120" s="668"/>
      <c r="E120" s="668"/>
      <c r="F120" s="669">
        <f>SUM(D120:E120)</f>
        <v>0</v>
      </c>
      <c r="G120" s="668"/>
      <c r="H120" s="668"/>
      <c r="I120" s="669">
        <f>SUM(G120:H120)</f>
        <v>0</v>
      </c>
      <c r="J120" s="669">
        <f>F120-I120</f>
        <v>0</v>
      </c>
      <c r="K120" s="112"/>
      <c r="L120" s="688" t="str">
        <f>IF(ISERROR(M120),"",IF((M120="Error"),"add explanation",IF((M120="Warning"),"add explanation","")))</f>
        <v/>
      </c>
      <c r="M120" s="310" t="str">
        <f t="shared" si="38"/>
        <v/>
      </c>
      <c r="N120" s="112"/>
      <c r="O120" s="131" t="str">
        <f>IF($M120="Error","A total column for "&amp;($B120)&amp;" does not match the sum of the components, please correct",IF($M120="Warning","This year's figure is over "&amp;AC120/1000&amp;" million and "&amp;(AB120*100)&amp;"% different to "&amp;TEXT(AD120,"#,###")&amp;" last year, please explain",""))</f>
        <v/>
      </c>
      <c r="AB120">
        <f>VLOOKUP("RO5"&amp;$A120,data_val_parameters,9,0)/100</f>
        <v>0.4</v>
      </c>
      <c r="AC120">
        <f>VLOOKUP("RO5"&amp;$A120,data_val_parameters,7,0)</f>
        <v>4000</v>
      </c>
      <c r="AD120" t="e">
        <f>VLOOKUP(LA_code,data_prev_year,MATCH("RO5"&amp;$A120&amp;"7",data_prev_year_headers,0),0)</f>
        <v>#N/A</v>
      </c>
      <c r="AE120" t="e">
        <f t="shared" si="39"/>
        <v>#N/A</v>
      </c>
      <c r="AF120" t="e">
        <f t="shared" si="40"/>
        <v>#N/A</v>
      </c>
      <c r="AG120" t="e">
        <f t="shared" si="41"/>
        <v>#N/A</v>
      </c>
      <c r="AH120" t="e">
        <f t="shared" si="42"/>
        <v>#N/A</v>
      </c>
      <c r="AI120" t="e">
        <f t="shared" si="43"/>
        <v>#N/A</v>
      </c>
      <c r="AJ120" t="e">
        <f t="shared" si="44"/>
        <v>#N/A</v>
      </c>
      <c r="AK120" t="str">
        <f>IF(OR(J120=0),"",IF(AND(AI120="Warning",AJ120="Warning"),"Warning",""))</f>
        <v/>
      </c>
    </row>
    <row r="121" spans="1:37" ht="15.5" x14ac:dyDescent="0.35">
      <c r="A121" s="195" t="s">
        <v>84</v>
      </c>
      <c r="B121" s="295" t="s">
        <v>84</v>
      </c>
      <c r="C121" s="237"/>
      <c r="D121" s="55"/>
      <c r="E121" s="55"/>
      <c r="F121" s="4"/>
      <c r="G121" s="4"/>
      <c r="H121" s="4"/>
      <c r="I121" s="4"/>
      <c r="J121" s="4"/>
      <c r="K121" s="112"/>
      <c r="L121" s="689"/>
      <c r="M121" s="310"/>
      <c r="N121" s="112"/>
      <c r="O121" s="131"/>
    </row>
    <row r="122" spans="1:37" ht="15.5" x14ac:dyDescent="0.35">
      <c r="A122" s="122">
        <v>360</v>
      </c>
      <c r="B122" s="295" t="s">
        <v>1989</v>
      </c>
      <c r="C122" s="237"/>
      <c r="D122" s="668"/>
      <c r="E122" s="668"/>
      <c r="F122" s="669">
        <f>SUM(D122:E122)</f>
        <v>0</v>
      </c>
      <c r="G122" s="668"/>
      <c r="H122" s="668"/>
      <c r="I122" s="669">
        <f>SUM(G122:H122)</f>
        <v>0</v>
      </c>
      <c r="J122" s="669">
        <f>F122-I122</f>
        <v>0</v>
      </c>
      <c r="K122" s="112"/>
      <c r="L122" s="688" t="str">
        <f>IF(ISERROR(M122),"",IF((M122="Error"),"add explanation",IF((M122="Warning"),"add explanation","")))</f>
        <v/>
      </c>
      <c r="M122" s="310" t="str">
        <f t="shared" si="38"/>
        <v/>
      </c>
      <c r="N122" s="112"/>
      <c r="O122" s="131" t="str">
        <f>IF($M122="Error","A total column for "&amp;($B122)&amp;" does not match the sum of the components, please correct",IF($M122="Warning","This year's figure is over "&amp;AC122/1000&amp;" million and "&amp;(AB122*100)&amp;"% different to "&amp;TEXT(AD122,"#,###")&amp;" last year, please explain",""))</f>
        <v/>
      </c>
      <c r="AB122">
        <f>VLOOKUP("RO5"&amp;$A122,data_val_parameters,9,0)/100</f>
        <v>0.4</v>
      </c>
      <c r="AC122">
        <f>VLOOKUP("RO5"&amp;$A122,data_val_parameters,7,0)</f>
        <v>4000</v>
      </c>
      <c r="AD122" t="e">
        <f>VLOOKUP(LA_code,data_prev_year,MATCH("RO5"&amp;$A122&amp;"7",data_prev_year_headers,0),0)</f>
        <v>#N/A</v>
      </c>
      <c r="AE122" t="e">
        <f t="shared" si="39"/>
        <v>#N/A</v>
      </c>
      <c r="AF122" t="e">
        <f t="shared" si="40"/>
        <v>#N/A</v>
      </c>
      <c r="AG122" t="e">
        <f t="shared" si="41"/>
        <v>#N/A</v>
      </c>
      <c r="AH122" t="e">
        <f t="shared" si="42"/>
        <v>#N/A</v>
      </c>
      <c r="AI122" t="e">
        <f t="shared" si="43"/>
        <v>#N/A</v>
      </c>
      <c r="AJ122" t="e">
        <f t="shared" si="44"/>
        <v>#N/A</v>
      </c>
      <c r="AK122" t="str">
        <f>IF(OR(J122=0),"",IF(AND(AI122="Warning",AJ122="Warning"),"Warning",""))</f>
        <v/>
      </c>
    </row>
    <row r="123" spans="1:37" ht="15.5" x14ac:dyDescent="0.35">
      <c r="A123" s="195" t="s">
        <v>84</v>
      </c>
      <c r="B123" s="295" t="s">
        <v>84</v>
      </c>
      <c r="C123" s="237"/>
      <c r="D123" s="55"/>
      <c r="E123" s="55"/>
      <c r="F123" s="4"/>
      <c r="G123" s="4"/>
      <c r="H123" s="4"/>
      <c r="I123" s="4"/>
      <c r="J123" s="4"/>
      <c r="K123" s="112"/>
      <c r="L123" s="689"/>
      <c r="M123" s="310"/>
      <c r="N123" s="112"/>
      <c r="O123" s="131"/>
    </row>
    <row r="124" spans="1:37" ht="15.5" x14ac:dyDescent="0.35">
      <c r="A124" s="117">
        <v>390</v>
      </c>
      <c r="B124" s="297" t="s">
        <v>1990</v>
      </c>
      <c r="C124" s="237"/>
      <c r="D124" s="669">
        <f>SUM(D108,D110,D113:D114,D116,D118:D120,D122)</f>
        <v>0</v>
      </c>
      <c r="E124" s="669">
        <f t="shared" ref="E124:J124" si="45">SUM(E108,E110,E113:E114,E116,E118:E120,E122)</f>
        <v>0</v>
      </c>
      <c r="F124" s="669">
        <f t="shared" si="45"/>
        <v>0</v>
      </c>
      <c r="G124" s="669">
        <f t="shared" si="45"/>
        <v>0</v>
      </c>
      <c r="H124" s="669">
        <f t="shared" si="45"/>
        <v>0</v>
      </c>
      <c r="I124" s="717">
        <f t="shared" si="45"/>
        <v>0</v>
      </c>
      <c r="J124" s="1134">
        <f t="shared" si="45"/>
        <v>0</v>
      </c>
      <c r="K124" s="86"/>
      <c r="L124" s="688" t="str">
        <f>IF(ISERROR(M124),"",IF((M124="Error"),"add explanation",IF((M124="Warning"),"add explanation","")))</f>
        <v/>
      </c>
      <c r="M124" s="310" t="str">
        <f t="shared" si="38"/>
        <v/>
      </c>
      <c r="N124" s="112"/>
      <c r="O124" s="131" t="str">
        <f>IF($M124="Error","A total column for "&amp;($B124)&amp;" does not match the sum of the components, please correct",IF($M124="Warning","This year's figure is over "&amp;AC124/1000&amp;" million and "&amp;(AB124*100)&amp;"% different to "&amp;TEXT(AD124,"#,###")&amp;" last year, please explain",""))</f>
        <v/>
      </c>
    </row>
    <row r="125" spans="1:37" ht="15.5" x14ac:dyDescent="0.35">
      <c r="A125" s="112"/>
      <c r="B125" s="237"/>
      <c r="C125" s="237"/>
      <c r="D125" s="31"/>
      <c r="E125" s="1135"/>
      <c r="F125" s="4"/>
      <c r="G125" s="4"/>
      <c r="H125" s="4"/>
      <c r="I125" s="4"/>
      <c r="J125" s="298" t="s">
        <v>1730</v>
      </c>
      <c r="K125" s="112"/>
      <c r="L125" s="689"/>
      <c r="M125" s="310"/>
      <c r="N125" s="112"/>
      <c r="O125" s="131"/>
    </row>
    <row r="126" spans="1:37" ht="46.5" x14ac:dyDescent="0.35">
      <c r="A126" s="112"/>
      <c r="B126" s="237"/>
      <c r="C126" s="237"/>
      <c r="D126" s="31"/>
      <c r="E126" s="709" t="s">
        <v>1731</v>
      </c>
      <c r="F126" s="4"/>
      <c r="G126" s="4"/>
      <c r="H126" s="4"/>
      <c r="I126" s="4"/>
      <c r="J126" s="298"/>
      <c r="K126" s="112"/>
      <c r="L126" s="689"/>
      <c r="M126" s="310"/>
      <c r="N126" s="112"/>
      <c r="O126" s="131"/>
    </row>
    <row r="127" spans="1:37" ht="15.5" x14ac:dyDescent="0.35">
      <c r="A127" s="112"/>
      <c r="B127" s="112"/>
      <c r="C127" s="112"/>
      <c r="D127" s="31"/>
      <c r="E127" s="399" t="s">
        <v>1732</v>
      </c>
      <c r="F127" s="4"/>
      <c r="G127" s="4"/>
      <c r="H127" s="4"/>
      <c r="I127" s="4"/>
      <c r="J127" s="298"/>
      <c r="K127" s="112"/>
      <c r="L127" s="689"/>
      <c r="M127" s="310"/>
      <c r="N127" s="112"/>
      <c r="O127" s="131"/>
    </row>
    <row r="128" spans="1:37" ht="15.5" x14ac:dyDescent="0.35">
      <c r="A128" s="859">
        <v>1391</v>
      </c>
      <c r="B128" s="859" t="s">
        <v>1991</v>
      </c>
      <c r="C128" s="112"/>
      <c r="D128" s="112"/>
      <c r="E128" s="996"/>
      <c r="F128" s="4"/>
      <c r="G128" s="4"/>
      <c r="H128" s="4"/>
      <c r="I128" s="4"/>
      <c r="J128" s="298"/>
      <c r="K128" s="112"/>
      <c r="L128" s="689"/>
      <c r="M128" s="310"/>
      <c r="N128" s="112"/>
      <c r="O128" s="131"/>
    </row>
    <row r="129" spans="1:15" ht="15.5" x14ac:dyDescent="0.35">
      <c r="A129" s="11" t="s">
        <v>84</v>
      </c>
      <c r="B129" s="295" t="s">
        <v>84</v>
      </c>
      <c r="C129" s="237"/>
      <c r="D129" s="55"/>
      <c r="E129" s="55"/>
      <c r="F129" s="4"/>
      <c r="G129" s="4"/>
      <c r="H129" s="4"/>
      <c r="I129" s="4"/>
      <c r="J129" s="4"/>
      <c r="K129" s="112"/>
      <c r="L129" s="689"/>
      <c r="M129" s="310"/>
      <c r="N129" s="112"/>
      <c r="O129" s="131"/>
    </row>
    <row r="130" spans="1:15" ht="15.5" x14ac:dyDescent="0.35">
      <c r="A130" s="117">
        <v>400</v>
      </c>
      <c r="B130" s="297" t="s">
        <v>1992</v>
      </c>
      <c r="C130" s="237"/>
      <c r="D130" s="669">
        <f t="shared" ref="D130:J130" si="46">SUM(D52,D100,D124)</f>
        <v>0</v>
      </c>
      <c r="E130" s="669">
        <f t="shared" si="46"/>
        <v>0</v>
      </c>
      <c r="F130" s="669">
        <f t="shared" si="46"/>
        <v>0</v>
      </c>
      <c r="G130" s="669">
        <f t="shared" si="46"/>
        <v>0</v>
      </c>
      <c r="H130" s="669">
        <f t="shared" si="46"/>
        <v>0</v>
      </c>
      <c r="I130" s="669">
        <f t="shared" si="46"/>
        <v>0</v>
      </c>
      <c r="J130" s="669">
        <f t="shared" si="46"/>
        <v>0</v>
      </c>
      <c r="K130" s="86"/>
      <c r="L130" s="688" t="str">
        <f>IF(ISERROR(M130),"",IF((M130="Error"),"add explanation",IF((M130="Warning"),"add explanation","")))</f>
        <v/>
      </c>
      <c r="M130" s="310" t="str">
        <f t="shared" si="38"/>
        <v/>
      </c>
      <c r="N130" s="112"/>
      <c r="O130" s="131" t="str">
        <f>IF($M130="Error","A total column for "&amp;($B130)&amp;" does not match the sum of the components, please correct",IF($M130="Warning","This year's figure is over "&amp;AC130/1000&amp;" million and "&amp;(AB130*100)&amp;"% different to "&amp;TEXT(AD130,"#,###")&amp;" last year, please explain",""))</f>
        <v/>
      </c>
    </row>
    <row r="131" spans="1:15" ht="15.5" x14ac:dyDescent="0.35">
      <c r="A131" s="112"/>
      <c r="B131" s="237"/>
      <c r="C131" s="237"/>
      <c r="D131" s="31"/>
      <c r="E131" s="1135"/>
      <c r="F131" s="4"/>
      <c r="G131" s="4"/>
      <c r="H131" s="4"/>
      <c r="I131" s="4"/>
      <c r="J131" s="4"/>
      <c r="K131" s="112"/>
      <c r="L131" s="112"/>
      <c r="M131" s="112"/>
      <c r="N131" s="112"/>
      <c r="O131" s="112"/>
    </row>
    <row r="132" spans="1:15" ht="46.5" x14ac:dyDescent="0.35">
      <c r="A132" s="112"/>
      <c r="B132" s="237"/>
      <c r="C132" s="237"/>
      <c r="D132" s="31"/>
      <c r="E132" s="709" t="s">
        <v>1731</v>
      </c>
      <c r="F132" s="4"/>
      <c r="G132" s="4"/>
      <c r="H132" s="4"/>
      <c r="I132" s="4"/>
      <c r="J132" s="4"/>
      <c r="K132" s="112"/>
      <c r="L132" s="112"/>
      <c r="M132" s="112"/>
      <c r="N132" s="112"/>
      <c r="O132" s="112"/>
    </row>
    <row r="133" spans="1:15" ht="15.5" x14ac:dyDescent="0.35">
      <c r="A133" s="112"/>
      <c r="B133" s="112"/>
      <c r="C133" s="112"/>
      <c r="D133" s="31"/>
      <c r="E133" s="399" t="s">
        <v>1732</v>
      </c>
      <c r="F133" s="112"/>
      <c r="G133" s="112"/>
      <c r="H133" s="112"/>
      <c r="I133" s="112"/>
      <c r="J133" s="98"/>
      <c r="K133" s="112"/>
      <c r="L133" s="112"/>
      <c r="M133" s="112"/>
      <c r="N133" s="112"/>
      <c r="O133" s="112"/>
    </row>
    <row r="134" spans="1:15" ht="15.5" x14ac:dyDescent="0.35">
      <c r="A134" s="859">
        <v>1401</v>
      </c>
      <c r="B134" s="859" t="s">
        <v>1993</v>
      </c>
      <c r="C134" s="112"/>
      <c r="D134" s="112"/>
      <c r="E134" s="996"/>
    </row>
    <row r="135" spans="1:15" x14ac:dyDescent="0.25"/>
    <row r="136" spans="1:15" x14ac:dyDescent="0.25"/>
  </sheetData>
  <sheetProtection sheet="1" objects="1" scenarios="1"/>
  <mergeCells count="6">
    <mergeCell ref="A15:M15"/>
    <mergeCell ref="A1:N1"/>
    <mergeCell ref="A9:M9"/>
    <mergeCell ref="A10:M10"/>
    <mergeCell ref="A12:M12"/>
    <mergeCell ref="A14:M14"/>
  </mergeCells>
  <phoneticPr fontId="0" type="noConversion"/>
  <conditionalFormatting sqref="A17">
    <cfRule type="containsText" dxfId="49" priority="22" operator="containsText" text="resolve">
      <formula>NOT(ISERROR(SEARCH("resolve",A17)))</formula>
    </cfRule>
  </conditionalFormatting>
  <conditionalFormatting sqref="B17">
    <cfRule type="expression" dxfId="48" priority="12">
      <formula>ISNUMBER(SEARCH(Z17,A17))</formula>
    </cfRule>
  </conditionalFormatting>
  <conditionalFormatting sqref="C17">
    <cfRule type="expression" dxfId="47" priority="11">
      <formula>ISNUMBER(SEARCH(Z17,A17))</formula>
    </cfRule>
  </conditionalFormatting>
  <conditionalFormatting sqref="D17">
    <cfRule type="expression" dxfId="46" priority="10">
      <formula>ISNUMBER(SEARCH(Z17,A17))</formula>
    </cfRule>
  </conditionalFormatting>
  <conditionalFormatting sqref="E17">
    <cfRule type="expression" dxfId="45" priority="9">
      <formula>ISNUMBER(SEARCH(Z17,A17))</formula>
    </cfRule>
  </conditionalFormatting>
  <conditionalFormatting sqref="F17">
    <cfRule type="expression" dxfId="44" priority="8">
      <formula>ISNUMBER(SEARCH(Z17,A17))</formula>
    </cfRule>
  </conditionalFormatting>
  <conditionalFormatting sqref="G17">
    <cfRule type="expression" dxfId="43" priority="7">
      <formula>ISNUMBER(SEARCH(Z17,A17))</formula>
    </cfRule>
  </conditionalFormatting>
  <conditionalFormatting sqref="H17">
    <cfRule type="expression" dxfId="42" priority="6">
      <formula>ISNUMBER(SEARCH(Z17,A17))</formula>
    </cfRule>
  </conditionalFormatting>
  <conditionalFormatting sqref="I17">
    <cfRule type="expression" dxfId="41" priority="5">
      <formula>ISNUMBER(SEARCH(Z17,A17))</formula>
    </cfRule>
  </conditionalFormatting>
  <conditionalFormatting sqref="J17">
    <cfRule type="expression" dxfId="40" priority="4">
      <formula>ISNUMBER(SEARCH(Z17,A17))</formula>
    </cfRule>
  </conditionalFormatting>
  <conditionalFormatting sqref="M32:M52">
    <cfRule type="containsText" dxfId="39" priority="1" operator="containsText" text="Information">
      <formula>NOT(ISERROR(SEARCH("Information",M32)))</formula>
    </cfRule>
    <cfRule type="containsText" dxfId="38" priority="2" operator="containsText" text="Warning">
      <formula>NOT(ISERROR(SEARCH("Warning",M32)))</formula>
    </cfRule>
    <cfRule type="containsText" dxfId="37" priority="3" operator="containsText" text="Error">
      <formula>NOT(ISERROR(SEARCH("Error",M32)))</formula>
    </cfRule>
  </conditionalFormatting>
  <conditionalFormatting sqref="M57:M130">
    <cfRule type="containsText" dxfId="36" priority="23" operator="containsText" text="Information">
      <formula>NOT(ISERROR(SEARCH("Information",M57)))</formula>
    </cfRule>
    <cfRule type="containsText" dxfId="35" priority="24" operator="containsText" text="Warning">
      <formula>NOT(ISERROR(SEARCH("Warning",M57)))</formula>
    </cfRule>
    <cfRule type="containsText" dxfId="34" priority="25" operator="containsText" text="Error">
      <formula>NOT(ISERROR(SEARCH("Error",M57)))</formula>
    </cfRule>
  </conditionalFormatting>
  <hyperlinks>
    <hyperlink ref="L32" location="Memo!C451" display="Memo!C451" xr:uid="{00000000-0004-0000-0800-000000000000}"/>
    <hyperlink ref="L33" location="Memo!C452" display="Memo!C452" xr:uid="{00000000-0004-0000-0800-000001000000}"/>
    <hyperlink ref="L34" location="Memo!C453" display="Memo!C453" xr:uid="{00000000-0004-0000-0800-000002000000}"/>
    <hyperlink ref="L35" location="Memo!C454" display="Memo!C454" xr:uid="{00000000-0004-0000-0800-000003000000}"/>
    <hyperlink ref="L36" location="Memo!C455" display="Memo!C455" xr:uid="{00000000-0004-0000-0800-000004000000}"/>
    <hyperlink ref="L39" location="Memo!C456" display="Memo!C456" xr:uid="{00000000-0004-0000-0800-000005000000}"/>
    <hyperlink ref="L40" location="Memo!C457" display="Memo!C457" xr:uid="{00000000-0004-0000-0800-000006000000}"/>
    <hyperlink ref="L41" location="Memo!C458" display="Memo!C458" xr:uid="{00000000-0004-0000-0800-000007000000}"/>
    <hyperlink ref="L42" location="Memo!C459" display="Memo!C459" xr:uid="{00000000-0004-0000-0800-000008000000}"/>
    <hyperlink ref="L44" location="Memo!C460" display="Memo!C460" xr:uid="{00000000-0004-0000-0800-000009000000}"/>
    <hyperlink ref="L48" location="Memo!C462" display="Memo!C462" xr:uid="{00000000-0004-0000-0800-00000A000000}"/>
    <hyperlink ref="L50" location="Memo!C463" display="Memo!C463" xr:uid="{00000000-0004-0000-0800-00000B000000}"/>
    <hyperlink ref="L52" location="Memo!C464" display="Memo!C464" xr:uid="{00000000-0004-0000-0800-00000C000000}"/>
    <hyperlink ref="L60" location="Memo!C465" display="Memo!C465" xr:uid="{00000000-0004-0000-0800-00000D000000}"/>
    <hyperlink ref="L64" location="Memo!C467" display="Memo!C467" xr:uid="{00000000-0004-0000-0800-00000F000000}"/>
    <hyperlink ref="L65" location="Memo!C468" display="Memo!C468" xr:uid="{00000000-0004-0000-0800-000010000000}"/>
    <hyperlink ref="L66" location="Memo!C469" display="Memo!C469" xr:uid="{00000000-0004-0000-0800-000011000000}"/>
    <hyperlink ref="L67" location="Memo!C470" display="Memo!C470" xr:uid="{00000000-0004-0000-0800-000012000000}"/>
    <hyperlink ref="L68" location="Memo!C471" display="Memo!C471" xr:uid="{00000000-0004-0000-0800-000013000000}"/>
    <hyperlink ref="L69" location="Memo!C472" display="Memo!C472" xr:uid="{00000000-0004-0000-0800-000014000000}"/>
    <hyperlink ref="L70" location="Memo!C473" display="Memo!C473" xr:uid="{00000000-0004-0000-0800-000015000000}"/>
    <hyperlink ref="L71" location="Memo!C474" display="Memo!C474" xr:uid="{00000000-0004-0000-0800-000016000000}"/>
    <hyperlink ref="L72" location="Memo!C475" display="Memo!C475" xr:uid="{00000000-0004-0000-0800-000017000000}"/>
    <hyperlink ref="L73" location="Memo!C476" display="Memo!C476" xr:uid="{00000000-0004-0000-0800-000018000000}"/>
    <hyperlink ref="L74" location="Memo!C477" display="Memo!C477" xr:uid="{00000000-0004-0000-0800-000019000000}"/>
    <hyperlink ref="L77" location="Memo!C478" display="Memo!C478" xr:uid="{00000000-0004-0000-0800-00001A000000}"/>
    <hyperlink ref="L78" location="Memo!C479" display="Memo!C479" xr:uid="{00000000-0004-0000-0800-00001B000000}"/>
    <hyperlink ref="L79" location="Memo!C480" display="Memo!C480" xr:uid="{00000000-0004-0000-0800-00001C000000}"/>
    <hyperlink ref="L82" location="Memo!C481" display="Memo!C481" xr:uid="{00000000-0004-0000-0800-00001D000000}"/>
    <hyperlink ref="L83" location="Memo!C482" display="Memo!C482" xr:uid="{00000000-0004-0000-0800-00001E000000}"/>
    <hyperlink ref="L84" location="Memo!C483" display="Memo!C483" xr:uid="{00000000-0004-0000-0800-00001F000000}"/>
    <hyperlink ref="L85" location="Memo!C484" display="Memo!C484" xr:uid="{00000000-0004-0000-0800-000020000000}"/>
    <hyperlink ref="L87" location="Memo!C485" display="Memo!C485" xr:uid="{00000000-0004-0000-0800-000021000000}"/>
    <hyperlink ref="L90" location="Memo!C486" display="Memo!C486" xr:uid="{00000000-0004-0000-0800-000022000000}"/>
    <hyperlink ref="L93" location="Memo!C487" display="Memo!C487" xr:uid="{00000000-0004-0000-0800-000023000000}"/>
    <hyperlink ref="L94" location="Memo!C488" display="Memo!C488" xr:uid="{00000000-0004-0000-0800-000024000000}"/>
    <hyperlink ref="L95" location="Memo!C488" display="Memo!C488" xr:uid="{00000000-0004-0000-0800-000025000000}"/>
    <hyperlink ref="L96" location="Memo!C489" display="Memo!C489" xr:uid="{00000000-0004-0000-0800-000026000000}"/>
    <hyperlink ref="L97" location="Memo!C490" display="Memo!C490" xr:uid="{00000000-0004-0000-0800-000027000000}"/>
    <hyperlink ref="L98" location="Memo!C491" display="Memo!C491" xr:uid="{00000000-0004-0000-0800-000028000000}"/>
    <hyperlink ref="L100" location="Memo!C492" display="Memo!C492" xr:uid="{00000000-0004-0000-0800-000029000000}"/>
    <hyperlink ref="L108" location="Memo!C494" display="Memo!C494" xr:uid="{00000000-0004-0000-0800-00002A000000}"/>
    <hyperlink ref="L110" location="Memo!C495" display="Memo!C495" xr:uid="{00000000-0004-0000-0800-00002B000000}"/>
    <hyperlink ref="L113" location="Memo!C496" display="Memo!C496" xr:uid="{00000000-0004-0000-0800-00002C000000}"/>
    <hyperlink ref="L114" location="Memo!C497" display="Memo!C497" xr:uid="{00000000-0004-0000-0800-00002D000000}"/>
    <hyperlink ref="L116" location="Memo!C498" display="Memo!C498" xr:uid="{00000000-0004-0000-0800-00002E000000}"/>
    <hyperlink ref="L118" location="Memo!C499" display="Memo!C499" xr:uid="{00000000-0004-0000-0800-00002F000000}"/>
    <hyperlink ref="L119" location="Memo!C450" display="Memo!C450" xr:uid="{00000000-0004-0000-0800-000030000000}"/>
    <hyperlink ref="L120" location="Memo!C451" display="Memo!C451" xr:uid="{00000000-0004-0000-0800-000031000000}"/>
    <hyperlink ref="L122" location="Memo!C495" display="Memo!C495" xr:uid="{00000000-0004-0000-0800-000032000000}"/>
    <hyperlink ref="L124" location="Memo!C503" display="Memo!C503" xr:uid="{00000000-0004-0000-0800-000033000000}"/>
    <hyperlink ref="L130" location="Memo!C504" display="Memo!C504" xr:uid="{00000000-0004-0000-0800-000034000000}"/>
    <hyperlink ref="L63" location="Memo!C466" display="Memo!C466" xr:uid="{00000000-0004-0000-0800-00000E000000}"/>
    <hyperlink ref="L46" location="Memo!C461" display="Memo!C461" xr:uid="{751E0D3B-A73F-421F-BAF3-A2AFAE8472D1}"/>
  </hyperlinks>
  <printOptions horizontalCentered="1"/>
  <pageMargins left="0.39370078740157483" right="0.39370078740157483" top="0.39370078740157483" bottom="0.39370078740157483" header="0.19685039370078741" footer="0.19685039370078741"/>
  <pageSetup paperSize="9" scale="55" fitToHeight="3" orientation="landscape" r:id="rId1"/>
  <headerFooter alignWithMargins="0"/>
  <ignoredErrors>
    <ignoredError sqref="D26:J28"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theme="8" tint="0.79998168889431442"/>
  </sheetPr>
  <dimension ref="A1:AM137"/>
  <sheetViews>
    <sheetView showGridLines="0" zoomScale="80" zoomScaleNormal="80" workbookViewId="0">
      <pane ySplit="1" topLeftCell="A2" activePane="bottomLeft" state="frozen"/>
      <selection pane="bottomLeft" sqref="A1:N1"/>
    </sheetView>
  </sheetViews>
  <sheetFormatPr defaultColWidth="0" defaultRowHeight="12.5" zeroHeight="1" x14ac:dyDescent="0.25"/>
  <cols>
    <col min="1" max="1" width="8.7265625" customWidth="1"/>
    <col min="2" max="2" width="85.7265625" customWidth="1"/>
    <col min="3" max="3" width="6.7265625" customWidth="1"/>
    <col min="4" max="10" width="16.7265625" customWidth="1"/>
    <col min="11" max="11" width="2.7265625" customWidth="1"/>
    <col min="12" max="13" width="16.7265625" customWidth="1"/>
    <col min="14" max="14" width="2.7265625" customWidth="1"/>
    <col min="15" max="15" width="60.7265625" customWidth="1"/>
    <col min="16" max="17" width="12.54296875" customWidth="1"/>
    <col min="18" max="16384" width="12.54296875" hidden="1"/>
  </cols>
  <sheetData>
    <row r="1" spans="1:19" ht="60" customHeight="1" x14ac:dyDescent="0.25">
      <c r="A1" s="1206" t="str">
        <f>ContactDetails!A36</f>
        <v>IMPORTANT: Please DO NOT alter this spreadsheet by inserting/deleting, merging any cells, or even using cut &amp; paste, as the data from this spreadsheet are directly transferred into the DLUHC database by a macro and these could break the references in the form.</v>
      </c>
      <c r="B1" s="1206"/>
      <c r="C1" s="1206"/>
      <c r="D1" s="1207"/>
      <c r="E1" s="1207"/>
      <c r="F1" s="1207"/>
      <c r="G1" s="1207"/>
      <c r="H1" s="1207"/>
      <c r="I1" s="1207"/>
      <c r="J1" s="1207"/>
      <c r="K1" s="1207"/>
      <c r="L1" s="1207"/>
      <c r="M1" s="1207"/>
      <c r="N1" s="1207"/>
      <c r="O1" s="112"/>
    </row>
    <row r="2" spans="1:19" ht="12.75" customHeight="1" x14ac:dyDescent="0.35">
      <c r="A2" s="178"/>
      <c r="B2" s="178"/>
      <c r="C2" s="178"/>
      <c r="D2" s="180"/>
      <c r="E2" s="4"/>
      <c r="F2" s="4"/>
      <c r="G2" s="54"/>
      <c r="H2" s="181"/>
      <c r="I2" s="112"/>
      <c r="J2" s="112"/>
      <c r="K2" s="112"/>
      <c r="L2" s="112"/>
      <c r="M2" s="112"/>
      <c r="N2" s="112"/>
      <c r="O2" s="112"/>
    </row>
    <row r="3" spans="1:19" ht="27.75" customHeight="1" x14ac:dyDescent="0.6">
      <c r="A3" s="178"/>
      <c r="B3" s="178"/>
      <c r="C3" s="178"/>
      <c r="D3" s="180"/>
      <c r="E3" s="4"/>
      <c r="F3" s="4"/>
      <c r="G3" s="112"/>
      <c r="H3" s="112"/>
      <c r="I3" s="112"/>
      <c r="J3" s="112"/>
      <c r="K3" s="112"/>
      <c r="L3" s="112"/>
      <c r="M3" s="165" t="str">
        <f>"RO6 "&amp;fyear</f>
        <v>RO6 2022-23</v>
      </c>
      <c r="N3" s="112"/>
      <c r="O3" s="112"/>
    </row>
    <row r="4" spans="1:19" ht="12.75" customHeight="1" x14ac:dyDescent="0.35">
      <c r="A4" s="178"/>
      <c r="B4" s="178"/>
      <c r="C4" s="178"/>
      <c r="D4" s="180"/>
      <c r="E4" s="4"/>
      <c r="F4" s="4"/>
      <c r="G4" s="112"/>
      <c r="H4" s="112"/>
      <c r="I4" s="112"/>
      <c r="J4" s="112"/>
      <c r="K4" s="112"/>
      <c r="L4" s="112"/>
      <c r="M4" s="112"/>
      <c r="N4" s="112"/>
      <c r="O4" s="112"/>
    </row>
    <row r="5" spans="1:19" ht="12.75" customHeight="1" x14ac:dyDescent="0.35">
      <c r="A5" s="178"/>
      <c r="B5" s="178"/>
      <c r="C5" s="178"/>
      <c r="D5" s="180"/>
      <c r="E5" s="4"/>
      <c r="F5" s="4"/>
      <c r="G5" s="112"/>
      <c r="H5" s="112"/>
      <c r="I5" s="112"/>
      <c r="J5" s="112"/>
      <c r="K5" s="112"/>
      <c r="L5" s="112"/>
      <c r="M5" s="112"/>
      <c r="N5" s="112"/>
      <c r="O5" s="112"/>
    </row>
    <row r="6" spans="1:19" ht="12.75" customHeight="1" x14ac:dyDescent="0.35">
      <c r="A6" s="178"/>
      <c r="B6" s="178"/>
      <c r="C6" s="178"/>
      <c r="D6" s="180"/>
      <c r="E6" s="4"/>
      <c r="F6" s="4"/>
      <c r="G6" s="112"/>
      <c r="H6" s="112"/>
      <c r="I6" s="112"/>
      <c r="J6" s="112"/>
      <c r="K6" s="112"/>
      <c r="L6" s="112"/>
      <c r="M6" s="112"/>
      <c r="N6" s="112"/>
      <c r="O6" s="112"/>
    </row>
    <row r="7" spans="1:19" ht="12.75" customHeight="1" x14ac:dyDescent="0.35">
      <c r="A7" s="178"/>
      <c r="B7" s="178"/>
      <c r="C7" s="178"/>
      <c r="D7" s="180"/>
      <c r="E7" s="4"/>
      <c r="F7" s="4"/>
      <c r="G7" s="112"/>
      <c r="H7" s="112"/>
      <c r="I7" s="112"/>
      <c r="J7" s="112"/>
      <c r="K7" s="112"/>
      <c r="L7" s="112"/>
      <c r="M7" s="112"/>
      <c r="N7" s="112"/>
      <c r="O7" s="112"/>
    </row>
    <row r="8" spans="1:19" ht="12.75" customHeight="1" x14ac:dyDescent="0.35">
      <c r="A8" s="178"/>
      <c r="B8" s="178"/>
      <c r="C8" s="178"/>
      <c r="D8" s="180"/>
      <c r="E8" s="4"/>
      <c r="F8" s="4"/>
      <c r="G8" s="112"/>
      <c r="H8" s="112"/>
      <c r="I8" s="112"/>
      <c r="J8" s="112"/>
      <c r="K8" s="112"/>
      <c r="L8" s="112"/>
      <c r="M8" s="112"/>
      <c r="N8" s="112"/>
      <c r="O8" s="112"/>
    </row>
    <row r="9" spans="1:19" ht="33" customHeight="1" x14ac:dyDescent="0.25">
      <c r="A9" s="1195" t="str">
        <f>RS!$A$10</f>
        <v>General Fund Revenue Account Outturn</v>
      </c>
      <c r="B9" s="1195"/>
      <c r="C9" s="1195"/>
      <c r="D9" s="1195"/>
      <c r="E9" s="1195"/>
      <c r="F9" s="1195"/>
      <c r="G9" s="1195"/>
      <c r="H9" s="1195"/>
      <c r="I9" s="1195"/>
      <c r="J9" s="1195"/>
      <c r="K9" s="1195"/>
      <c r="L9" s="1195"/>
      <c r="M9" s="1195"/>
      <c r="N9" s="183"/>
      <c r="O9" s="183"/>
      <c r="P9" s="132"/>
      <c r="Q9" s="132"/>
      <c r="R9" s="132"/>
      <c r="S9" s="132"/>
    </row>
    <row r="10" spans="1:19" ht="33" customHeight="1" x14ac:dyDescent="0.25">
      <c r="A10" s="1214" t="str">
        <f>"RO6 – PROTECTIVE, CENTRAL AND OTHER SERVICES "&amp;fyear</f>
        <v>RO6 – PROTECTIVE, CENTRAL AND OTHER SERVICES 2022-23</v>
      </c>
      <c r="B10" s="1214"/>
      <c r="C10" s="1214"/>
      <c r="D10" s="1214"/>
      <c r="E10" s="1214"/>
      <c r="F10" s="1214"/>
      <c r="G10" s="1214"/>
      <c r="H10" s="1214"/>
      <c r="I10" s="1214"/>
      <c r="J10" s="1214"/>
      <c r="K10" s="1214"/>
      <c r="L10" s="1214"/>
      <c r="M10" s="1214"/>
      <c r="N10" s="183"/>
      <c r="O10" s="183"/>
      <c r="P10" s="132"/>
      <c r="Q10" s="132"/>
      <c r="R10" s="132"/>
      <c r="S10" s="132"/>
    </row>
    <row r="11" spans="1:19" ht="14.15" customHeight="1" x14ac:dyDescent="0.35">
      <c r="A11" s="178"/>
      <c r="B11" s="178"/>
      <c r="C11" s="178"/>
      <c r="D11" s="180"/>
      <c r="E11" s="4"/>
      <c r="F11" s="4"/>
      <c r="G11" s="112"/>
      <c r="H11" s="112"/>
      <c r="I11" s="112"/>
      <c r="J11" s="112"/>
      <c r="K11" s="112"/>
      <c r="L11" s="112"/>
      <c r="M11" s="112"/>
      <c r="N11" s="112"/>
      <c r="O11" s="112"/>
    </row>
    <row r="12" spans="1:19" ht="18.75" customHeight="1" x14ac:dyDescent="0.4">
      <c r="A12" s="1165" t="s">
        <v>1373</v>
      </c>
      <c r="B12" s="1165"/>
      <c r="C12" s="1165"/>
      <c r="D12" s="1165"/>
      <c r="E12" s="1165"/>
      <c r="F12" s="1165"/>
      <c r="G12" s="1165"/>
      <c r="H12" s="1165"/>
      <c r="I12" s="1165"/>
      <c r="J12" s="1165"/>
      <c r="K12" s="1165"/>
      <c r="L12" s="1165"/>
      <c r="M12" s="1165"/>
      <c r="N12" s="112"/>
      <c r="O12" s="112"/>
    </row>
    <row r="13" spans="1:19" ht="12" customHeight="1" x14ac:dyDescent="0.3">
      <c r="A13" s="54"/>
      <c r="B13" s="54"/>
      <c r="C13" s="54"/>
      <c r="D13" s="54"/>
      <c r="E13" s="54"/>
      <c r="F13" s="54"/>
      <c r="G13" s="54"/>
      <c r="H13" s="54"/>
      <c r="I13" s="54"/>
      <c r="J13" s="119"/>
      <c r="K13" s="54"/>
      <c r="L13" s="54"/>
      <c r="M13" s="54"/>
      <c r="N13" s="54"/>
      <c r="O13" s="54"/>
    </row>
    <row r="14" spans="1:19" ht="21" customHeight="1" x14ac:dyDescent="0.25">
      <c r="A14" s="1215"/>
      <c r="B14" s="1215"/>
      <c r="C14" s="1215"/>
      <c r="D14" s="1215"/>
      <c r="E14" s="1215"/>
      <c r="F14" s="1215"/>
      <c r="G14" s="1215"/>
      <c r="H14" s="1215"/>
      <c r="I14" s="1215"/>
      <c r="J14" s="1215"/>
      <c r="K14" s="1215"/>
      <c r="L14" s="1215"/>
      <c r="M14" s="1215"/>
      <c r="N14" s="127"/>
      <c r="O14" s="127"/>
    </row>
    <row r="15" spans="1:19" ht="21" customHeight="1" x14ac:dyDescent="0.25">
      <c r="A15" s="1213" t="s">
        <v>1375</v>
      </c>
      <c r="B15" s="1213"/>
      <c r="C15" s="1213"/>
      <c r="D15" s="1213"/>
      <c r="E15" s="1213"/>
      <c r="F15" s="1213"/>
      <c r="G15" s="1213"/>
      <c r="H15" s="1213"/>
      <c r="I15" s="1213"/>
      <c r="J15" s="1213"/>
      <c r="K15" s="1213"/>
      <c r="L15" s="1213"/>
      <c r="M15" s="1213"/>
      <c r="N15" s="54"/>
      <c r="O15" s="54"/>
    </row>
    <row r="16" spans="1:19" ht="20" x14ac:dyDescent="0.35">
      <c r="A16" s="186" t="str">
        <f>TRIM(LEFT(A$10,3))&amp;" error summary:"</f>
        <v>RO6 error summary:</v>
      </c>
      <c r="B16" s="187"/>
      <c r="C16" s="187"/>
      <c r="D16" s="54"/>
      <c r="E16" s="188"/>
      <c r="F16" s="54"/>
      <c r="G16" s="54"/>
      <c r="H16" s="505"/>
      <c r="I16" s="254"/>
      <c r="J16" s="119"/>
      <c r="K16" s="54"/>
      <c r="L16" s="54"/>
      <c r="M16" s="54"/>
      <c r="N16" s="54"/>
      <c r="O16" s="54"/>
    </row>
    <row r="17" spans="1:37" ht="32.15" customHeight="1" x14ac:dyDescent="0.35">
      <c r="A17" s="498" t="str">
        <f>IF(AND(COUNTIF($M$32:$M$100,"Error")=0,COUNTIF($M$32:$M$100,"Warning")=0),("There are no outstanding errors or warnings with the "&amp;TRIM(LEFT(A$10,3))&amp;" section of the form. Thank you."),("There are "&amp;COUNTIF($M$32:$M$100,"Error")&amp;" outstanding error(s) and "&amp;COUNTIF($M$32:$M$100,"Warning")&amp;" outstanding warning(s) with the "&amp;TRIM(LEFT(A$10,3))&amp;" section of the form. Please resolve and/or explain these before submitting."))</f>
        <v>There are no outstanding errors or warnings with the RO6 section of the form. Thank you.</v>
      </c>
      <c r="B17" s="499"/>
      <c r="C17" s="499"/>
      <c r="D17" s="499"/>
      <c r="E17" s="499"/>
      <c r="F17" s="499"/>
      <c r="G17" s="499"/>
      <c r="H17" s="499"/>
      <c r="I17" s="499"/>
      <c r="J17" s="499"/>
      <c r="K17" s="54"/>
      <c r="L17" s="54"/>
      <c r="M17" s="54"/>
      <c r="N17" s="54"/>
      <c r="O17" s="54"/>
      <c r="Z17" s="425" t="s">
        <v>1371</v>
      </c>
    </row>
    <row r="18" spans="1:37" ht="19.5" customHeight="1" x14ac:dyDescent="0.35">
      <c r="A18" s="191" t="str">
        <f>"Please note, your authority is only required to complete and return the following forms: "&amp;VLOOKUP(LA_name,LA_list,9,0)</f>
        <v>Please note, your authority is only required to complete and return the following forms: Forms to be completed will appear here !</v>
      </c>
      <c r="B18" s="192"/>
      <c r="C18" s="192"/>
      <c r="D18" s="190"/>
      <c r="E18" s="190"/>
      <c r="F18" s="190"/>
      <c r="G18" s="190"/>
      <c r="H18" s="190"/>
      <c r="I18" s="190"/>
      <c r="J18" s="119"/>
      <c r="K18" s="54"/>
      <c r="L18" s="54"/>
      <c r="M18" s="54"/>
      <c r="N18" s="54"/>
      <c r="O18" s="54"/>
    </row>
    <row r="19" spans="1:37" ht="12" customHeight="1" x14ac:dyDescent="0.35">
      <c r="A19" s="192"/>
      <c r="B19" s="192"/>
      <c r="C19" s="192"/>
      <c r="D19" s="190"/>
      <c r="E19" s="190"/>
      <c r="F19" s="190"/>
      <c r="G19" s="190"/>
      <c r="H19" s="190"/>
      <c r="I19" s="190"/>
      <c r="J19" s="119"/>
      <c r="K19" s="54"/>
      <c r="L19" s="54"/>
      <c r="M19" s="54"/>
      <c r="N19" s="54"/>
      <c r="O19" s="54"/>
    </row>
    <row r="20" spans="1:37" ht="25" x14ac:dyDescent="0.5">
      <c r="A20" s="137" t="str">
        <f>RS!$A$20</f>
        <v>Please select your authority name on Title page</v>
      </c>
      <c r="B20" s="59"/>
      <c r="C20" s="59"/>
      <c r="D20" s="67"/>
      <c r="E20" s="67"/>
      <c r="F20" s="67"/>
      <c r="G20" s="67"/>
      <c r="H20" s="67"/>
      <c r="I20" s="67"/>
      <c r="J20" s="67"/>
      <c r="K20" s="112"/>
      <c r="L20" s="112"/>
      <c r="M20" s="112"/>
      <c r="N20" s="112"/>
      <c r="O20" s="112"/>
    </row>
    <row r="21" spans="1:37" ht="18" x14ac:dyDescent="0.4">
      <c r="A21" s="139" t="str">
        <f>ContactDetails!C25</f>
        <v>E-code</v>
      </c>
      <c r="B21" s="60"/>
      <c r="C21" s="60"/>
      <c r="D21" s="539"/>
      <c r="E21" s="539"/>
      <c r="F21" s="236"/>
      <c r="G21" s="539"/>
      <c r="H21" s="539"/>
      <c r="I21" s="236"/>
      <c r="J21" s="236"/>
      <c r="K21" s="112"/>
      <c r="L21" s="112"/>
      <c r="M21" s="112"/>
      <c r="N21" s="112"/>
      <c r="O21" s="112"/>
    </row>
    <row r="22" spans="1:37" ht="18" x14ac:dyDescent="0.4">
      <c r="A22" s="60"/>
      <c r="B22" s="60"/>
      <c r="C22" s="60"/>
      <c r="D22" s="539"/>
      <c r="E22" s="539"/>
      <c r="F22" s="236"/>
      <c r="G22" s="539"/>
      <c r="H22" s="539"/>
      <c r="I22" s="236"/>
      <c r="J22" s="236"/>
      <c r="K22" s="112"/>
      <c r="L22" s="112"/>
      <c r="M22" s="112"/>
      <c r="N22" s="112"/>
      <c r="O22" s="112"/>
    </row>
    <row r="23" spans="1:37" ht="15.5" x14ac:dyDescent="0.35">
      <c r="A23" s="193"/>
      <c r="B23" s="193"/>
      <c r="C23" s="194"/>
      <c r="D23" s="89"/>
      <c r="E23" s="570"/>
      <c r="F23" s="236"/>
      <c r="G23" s="539"/>
      <c r="H23" s="539"/>
      <c r="I23" s="236"/>
      <c r="J23" s="236"/>
      <c r="K23" s="112"/>
      <c r="L23" s="112"/>
      <c r="M23" s="112"/>
      <c r="N23" s="112"/>
      <c r="O23" s="112"/>
    </row>
    <row r="24" spans="1:37" ht="15.5" x14ac:dyDescent="0.35">
      <c r="A24" s="4"/>
      <c r="B24" s="4"/>
      <c r="C24" s="4"/>
      <c r="D24" s="539"/>
      <c r="E24" s="236" t="s">
        <v>1598</v>
      </c>
      <c r="F24" s="236" t="s">
        <v>1599</v>
      </c>
      <c r="G24" s="236" t="s">
        <v>1600</v>
      </c>
      <c r="H24" s="236" t="s">
        <v>1370</v>
      </c>
      <c r="I24" s="236" t="s">
        <v>1599</v>
      </c>
      <c r="J24" s="236" t="s">
        <v>1601</v>
      </c>
      <c r="K24" s="112"/>
      <c r="L24" s="112"/>
      <c r="M24" s="112"/>
      <c r="N24" s="112"/>
      <c r="O24" s="112"/>
    </row>
    <row r="25" spans="1:37" ht="15.5" x14ac:dyDescent="0.35">
      <c r="A25" s="4"/>
      <c r="B25" s="4"/>
      <c r="C25" s="4"/>
      <c r="D25" s="236" t="s">
        <v>1602</v>
      </c>
      <c r="E25" s="236" t="s">
        <v>1603</v>
      </c>
      <c r="F25" s="236" t="s">
        <v>1604</v>
      </c>
      <c r="G25" s="236" t="s">
        <v>1605</v>
      </c>
      <c r="H25" s="236" t="s">
        <v>1606</v>
      </c>
      <c r="I25" s="236" t="s">
        <v>1606</v>
      </c>
      <c r="J25" s="236" t="s">
        <v>1604</v>
      </c>
      <c r="K25" s="112"/>
      <c r="L25" s="112"/>
      <c r="M25" s="112"/>
      <c r="N25" s="112"/>
      <c r="O25" s="112"/>
    </row>
    <row r="26" spans="1:37" ht="15.5" x14ac:dyDescent="0.35">
      <c r="A26" s="259"/>
      <c r="B26" s="259"/>
      <c r="C26" s="259"/>
      <c r="D26" s="335" t="s">
        <v>1378</v>
      </c>
      <c r="E26" s="335" t="s">
        <v>1378</v>
      </c>
      <c r="F26" s="335" t="s">
        <v>1378</v>
      </c>
      <c r="G26" s="335" t="s">
        <v>1378</v>
      </c>
      <c r="H26" s="335" t="s">
        <v>1378</v>
      </c>
      <c r="I26" s="335" t="s">
        <v>1378</v>
      </c>
      <c r="J26" s="335" t="s">
        <v>1378</v>
      </c>
      <c r="K26" s="112"/>
      <c r="L26" s="112"/>
      <c r="M26" s="112"/>
      <c r="N26" s="112"/>
      <c r="O26" s="112"/>
    </row>
    <row r="27" spans="1:37" ht="15.5" x14ac:dyDescent="0.35">
      <c r="A27" s="112"/>
      <c r="B27" s="112"/>
      <c r="C27" s="112"/>
      <c r="D27" s="335"/>
      <c r="E27" s="335"/>
      <c r="F27" s="335"/>
      <c r="G27" s="335"/>
      <c r="H27" s="335"/>
      <c r="I27" s="335"/>
      <c r="J27" s="335"/>
      <c r="K27" s="112"/>
      <c r="L27" s="112"/>
      <c r="M27" s="112"/>
      <c r="N27" s="112"/>
      <c r="O27" s="112"/>
    </row>
    <row r="28" spans="1:37" ht="13" x14ac:dyDescent="0.3">
      <c r="A28" s="112"/>
      <c r="B28" s="112"/>
      <c r="C28" s="112"/>
      <c r="D28" s="238" t="s">
        <v>1379</v>
      </c>
      <c r="E28" s="238" t="s">
        <v>1607</v>
      </c>
      <c r="F28" s="238" t="s">
        <v>1608</v>
      </c>
      <c r="G28" s="238" t="s">
        <v>1609</v>
      </c>
      <c r="H28" s="238" t="s">
        <v>1610</v>
      </c>
      <c r="I28" s="238" t="s">
        <v>1611</v>
      </c>
      <c r="J28" s="238" t="s">
        <v>1612</v>
      </c>
      <c r="K28" s="112"/>
      <c r="L28" s="112"/>
      <c r="M28" s="112"/>
      <c r="N28" s="112"/>
      <c r="O28" s="112"/>
    </row>
    <row r="29" spans="1:37" ht="18" customHeight="1" x14ac:dyDescent="0.4">
      <c r="A29" s="327" t="s">
        <v>1994</v>
      </c>
      <c r="B29" s="237"/>
      <c r="C29" s="237"/>
      <c r="D29" s="31"/>
      <c r="E29" s="31"/>
      <c r="F29" s="106"/>
      <c r="G29" s="31"/>
      <c r="H29" s="31"/>
      <c r="I29" s="106"/>
      <c r="J29" s="106"/>
      <c r="K29" s="112"/>
      <c r="L29" s="112"/>
      <c r="M29" s="112"/>
      <c r="N29" s="112"/>
      <c r="O29" s="112"/>
    </row>
    <row r="30" spans="1:37" ht="12.75" customHeight="1" x14ac:dyDescent="0.4">
      <c r="A30" s="266" t="s">
        <v>84</v>
      </c>
      <c r="B30" s="237"/>
      <c r="C30" s="237"/>
      <c r="D30" s="31"/>
      <c r="E30" s="31"/>
      <c r="F30" s="45"/>
      <c r="G30" s="31"/>
      <c r="H30" s="31"/>
      <c r="I30" s="45"/>
      <c r="J30" s="45"/>
      <c r="K30" s="112"/>
      <c r="L30" s="112"/>
      <c r="M30" s="112"/>
      <c r="N30" s="112"/>
      <c r="AB30" s="461" t="s">
        <v>1380</v>
      </c>
    </row>
    <row r="31" spans="1:37" ht="15.75" customHeight="1" x14ac:dyDescent="0.4">
      <c r="A31" s="27" t="s">
        <v>1995</v>
      </c>
      <c r="B31" s="237"/>
      <c r="C31" s="237"/>
      <c r="D31" s="31"/>
      <c r="E31" s="31"/>
      <c r="F31" s="45"/>
      <c r="G31" s="31"/>
      <c r="H31" s="31"/>
      <c r="I31" s="45"/>
      <c r="J31" s="45"/>
      <c r="K31" s="112"/>
      <c r="L31" s="112"/>
      <c r="M31" s="112"/>
      <c r="N31" s="112"/>
      <c r="AB31" s="461" t="s">
        <v>1381</v>
      </c>
      <c r="AC31" s="461" t="s">
        <v>1382</v>
      </c>
      <c r="AD31" s="461" t="s">
        <v>1383</v>
      </c>
      <c r="AE31" s="461" t="s">
        <v>1384</v>
      </c>
      <c r="AF31" s="461" t="s">
        <v>1385</v>
      </c>
      <c r="AG31" s="461" t="s">
        <v>1386</v>
      </c>
      <c r="AH31" s="461" t="s">
        <v>1387</v>
      </c>
      <c r="AI31" s="461" t="s">
        <v>1388</v>
      </c>
      <c r="AJ31" s="461" t="s">
        <v>1389</v>
      </c>
      <c r="AK31" s="461" t="s">
        <v>1390</v>
      </c>
    </row>
    <row r="32" spans="1:37" ht="15.75" customHeight="1" x14ac:dyDescent="0.4">
      <c r="A32" s="326">
        <v>100</v>
      </c>
      <c r="B32" s="295" t="s">
        <v>1996</v>
      </c>
      <c r="C32" s="237"/>
      <c r="D32" s="673"/>
      <c r="E32" s="673"/>
      <c r="F32" s="669">
        <f>SUM(D32:E32)</f>
        <v>0</v>
      </c>
      <c r="G32" s="673"/>
      <c r="H32" s="673"/>
      <c r="I32" s="717">
        <f>SUM(G32:H32)</f>
        <v>0</v>
      </c>
      <c r="J32" s="1134">
        <f>F32-I32</f>
        <v>0</v>
      </c>
      <c r="K32" s="86"/>
      <c r="L32" s="688" t="str">
        <f>IF(ISERROR(M32),"",IF((M32="Error"),"add explanation",IF((M32="Warning"),"add explanation","")))</f>
        <v/>
      </c>
      <c r="M32" s="310" t="str">
        <f>IF(OR((I32&lt;&gt;(G32+H32)),(F32&lt;&gt;(D32+E32)),(J32&lt;&gt;(F32-I32))),"Error",IF(AK32="Warning","Warning",""))</f>
        <v/>
      </c>
      <c r="N32" s="112"/>
      <c r="O32" s="131" t="str">
        <f>IF($M32="Error","A total column for "&amp;($B32)&amp;" does not match the sum of the components, please correct",IF($M32="Warning","This year's figure is over "&amp;AC32/1000&amp;" million and "&amp;(AB32*100)&amp;"% different to "&amp;TEXT(AD32,"#,###")&amp;" last year, please explain",""))</f>
        <v/>
      </c>
      <c r="AB32">
        <f>VLOOKUP("RO6"&amp;$A32,data_val_parameters,9,0)/100</f>
        <v>0.4</v>
      </c>
      <c r="AC32">
        <f>VLOOKUP("RO6"&amp;$A32,data_val_parameters,7,0)</f>
        <v>4000</v>
      </c>
      <c r="AD32" t="e">
        <f>VLOOKUP(LA_code,data_prev_year,MATCH("RO6"&amp;$A32&amp;"7",data_prev_year_headers,0),0)</f>
        <v>#N/A</v>
      </c>
      <c r="AE32" t="e">
        <f>AD32+AC32</f>
        <v>#N/A</v>
      </c>
      <c r="AF32" t="e">
        <f>AD32-AC32</f>
        <v>#N/A</v>
      </c>
      <c r="AG32" t="e">
        <f>AD32+(AD32*AB32)</f>
        <v>#N/A</v>
      </c>
      <c r="AH32" t="e">
        <f>AD32-(AD32*AB32)</f>
        <v>#N/A</v>
      </c>
      <c r="AI32" t="e">
        <f>IF(OR(J32&lt;AF32,J32&gt;AE32),"Warning","")</f>
        <v>#N/A</v>
      </c>
      <c r="AJ32" t="e">
        <f>IF(OR(J32&gt;(AG32),J32&lt;(AH32)),"Warning","")</f>
        <v>#N/A</v>
      </c>
      <c r="AK32" t="str">
        <f>IF(OR(J32=0),"",IF(AND(AI32="Warning",AJ32="Warning"),"Warning",""))</f>
        <v/>
      </c>
    </row>
    <row r="33" spans="1:37" ht="15.5" x14ac:dyDescent="0.35">
      <c r="A33" s="112"/>
      <c r="B33" s="237"/>
      <c r="C33" s="237"/>
      <c r="D33" s="31"/>
      <c r="E33" s="1135"/>
      <c r="F33" s="45"/>
      <c r="G33" s="31"/>
      <c r="H33" s="31"/>
      <c r="I33" s="45"/>
      <c r="J33" s="298" t="s">
        <v>1730</v>
      </c>
      <c r="K33" s="112"/>
      <c r="L33" s="687"/>
      <c r="M33" s="468"/>
      <c r="N33" s="112"/>
      <c r="O33" s="131"/>
    </row>
    <row r="34" spans="1:37" ht="46.5" x14ac:dyDescent="0.35">
      <c r="A34" s="112"/>
      <c r="B34" s="237"/>
      <c r="C34" s="237"/>
      <c r="D34" s="31"/>
      <c r="E34" s="709" t="s">
        <v>1731</v>
      </c>
      <c r="F34" s="45"/>
      <c r="G34" s="31"/>
      <c r="H34" s="31"/>
      <c r="I34" s="45"/>
      <c r="J34" s="298"/>
      <c r="K34" s="112"/>
      <c r="L34" s="687"/>
      <c r="M34" s="468"/>
      <c r="N34" s="112"/>
      <c r="O34" s="131"/>
    </row>
    <row r="35" spans="1:37" ht="15.5" x14ac:dyDescent="0.35">
      <c r="A35" s="112"/>
      <c r="B35" s="112"/>
      <c r="C35" s="112"/>
      <c r="D35" s="31"/>
      <c r="E35" s="399" t="s">
        <v>1732</v>
      </c>
      <c r="F35" s="45"/>
      <c r="G35" s="31"/>
      <c r="H35" s="31"/>
      <c r="I35" s="45"/>
      <c r="J35" s="298"/>
      <c r="K35" s="112"/>
      <c r="L35" s="687"/>
      <c r="M35" s="468"/>
      <c r="N35" s="112"/>
      <c r="O35" s="131"/>
    </row>
    <row r="36" spans="1:37" ht="15.5" x14ac:dyDescent="0.35">
      <c r="A36" s="859">
        <v>1291</v>
      </c>
      <c r="B36" s="859" t="s">
        <v>1997</v>
      </c>
      <c r="C36" s="112"/>
      <c r="D36" s="112"/>
      <c r="E36" s="996"/>
      <c r="F36" s="45"/>
      <c r="G36" s="31"/>
      <c r="H36" s="31"/>
      <c r="I36" s="45"/>
      <c r="J36" s="298"/>
      <c r="K36" s="112"/>
      <c r="L36" s="687"/>
      <c r="M36" s="468"/>
      <c r="N36" s="112"/>
      <c r="O36" s="131"/>
    </row>
    <row r="37" spans="1:37" ht="15.5" x14ac:dyDescent="0.35">
      <c r="A37" s="862"/>
      <c r="B37" s="863"/>
      <c r="C37" s="237"/>
      <c r="D37" s="31"/>
      <c r="E37" s="31"/>
      <c r="F37" s="45"/>
      <c r="G37" s="31"/>
      <c r="H37" s="31"/>
      <c r="I37" s="45"/>
      <c r="J37" s="298"/>
      <c r="K37" s="112"/>
      <c r="L37" s="687"/>
      <c r="M37" s="468"/>
      <c r="N37" s="112"/>
      <c r="O37" s="131"/>
    </row>
    <row r="38" spans="1:37" ht="18" x14ac:dyDescent="0.4">
      <c r="A38" s="27" t="s">
        <v>1998</v>
      </c>
      <c r="B38" s="295"/>
      <c r="C38" s="237"/>
      <c r="D38" s="328"/>
      <c r="E38" s="328"/>
      <c r="F38" s="36"/>
      <c r="G38" s="328"/>
      <c r="H38" s="328"/>
      <c r="I38" s="36"/>
      <c r="J38" s="36"/>
      <c r="K38" s="511"/>
      <c r="L38" s="687"/>
      <c r="M38" s="310"/>
      <c r="N38" s="112"/>
      <c r="O38" s="131"/>
    </row>
    <row r="39" spans="1:37" ht="15.5" x14ac:dyDescent="0.35">
      <c r="A39" s="122">
        <v>210</v>
      </c>
      <c r="B39" s="295" t="s">
        <v>1999</v>
      </c>
      <c r="C39" s="237"/>
      <c r="D39" s="668"/>
      <c r="E39" s="668"/>
      <c r="F39" s="669">
        <f>SUM(D39:E39)</f>
        <v>0</v>
      </c>
      <c r="G39" s="668"/>
      <c r="H39" s="668"/>
      <c r="I39" s="669">
        <f>SUM(G39:H39)</f>
        <v>0</v>
      </c>
      <c r="J39" s="669">
        <f>F39-I39</f>
        <v>0</v>
      </c>
      <c r="K39" s="112"/>
      <c r="L39" s="688" t="str">
        <f>IF(ISERROR(M39),"",IF((M39="Error"),"add explanation",IF((M39="Warning"),"add explanation","")))</f>
        <v/>
      </c>
      <c r="M39" s="310" t="str">
        <f>IF(OR((I39&lt;&gt;(G39+H39)),(F39&lt;&gt;(D39+E39)),(J39&lt;&gt;(F39-I39))),"Error",IF(AK39="Warning","Warning",""))</f>
        <v/>
      </c>
      <c r="N39" s="112"/>
      <c r="O39" s="131" t="str">
        <f>IF($M39="Error","A total column for "&amp;($B39)&amp;" does not match the sum of the components, please correct",IF($M39="Warning","This year's figure is over "&amp;AC39/1000&amp;" million and "&amp;(AB39*100)&amp;"% different to "&amp;TEXT(AD39,"#,###")&amp;" last year, please explain",""))</f>
        <v/>
      </c>
      <c r="AB39">
        <f>VLOOKUP("RO6"&amp;$A39,data_val_parameters,9,0)/100</f>
        <v>0.4</v>
      </c>
      <c r="AC39">
        <f>VLOOKUP("RO6"&amp;$A39,data_val_parameters,7,0)</f>
        <v>4000</v>
      </c>
      <c r="AD39" t="e">
        <f>VLOOKUP(LA_code,data_prev_year,MATCH("RO6"&amp;$A39&amp;"7",data_prev_year_headers,0),0)</f>
        <v>#N/A</v>
      </c>
      <c r="AE39" t="e">
        <f t="shared" ref="AE39:AE84" si="0">AD39+AC39</f>
        <v>#N/A</v>
      </c>
      <c r="AF39" t="e">
        <f t="shared" ref="AF39:AF84" si="1">AD39-AC39</f>
        <v>#N/A</v>
      </c>
      <c r="AG39" t="e">
        <f t="shared" ref="AG39:AG84" si="2">AD39+(AD39*AB39)</f>
        <v>#N/A</v>
      </c>
      <c r="AH39" t="e">
        <f t="shared" ref="AH39:AH84" si="3">AD39-(AD39*AB39)</f>
        <v>#N/A</v>
      </c>
      <c r="AI39" t="e">
        <f>IF(OR(J39&lt;AF39,J39&gt;AE39),"Warning","")</f>
        <v>#N/A</v>
      </c>
      <c r="AJ39" t="e">
        <f>IF(OR(J39&gt;(AG39),J39&lt;(AH39)),"Warning","")</f>
        <v>#N/A</v>
      </c>
      <c r="AK39" t="str">
        <f>IF(OR(J39=0),"",IF(AND(AI39="Warning",AJ39="Warning"),"Warning",""))</f>
        <v/>
      </c>
    </row>
    <row r="40" spans="1:37" ht="15.5" x14ac:dyDescent="0.35">
      <c r="A40" s="329">
        <v>220</v>
      </c>
      <c r="B40" s="295" t="s">
        <v>2000</v>
      </c>
      <c r="C40" s="237"/>
      <c r="D40" s="668"/>
      <c r="E40" s="668"/>
      <c r="F40" s="669">
        <f>SUM(D40:E40)</f>
        <v>0</v>
      </c>
      <c r="G40" s="668"/>
      <c r="H40" s="668"/>
      <c r="I40" s="669">
        <f>SUM(G40:H40)</f>
        <v>0</v>
      </c>
      <c r="J40" s="669">
        <f>F40-I40</f>
        <v>0</v>
      </c>
      <c r="K40" s="112"/>
      <c r="L40" s="688" t="str">
        <f>IF(ISERROR(M40),"",IF((M40="Error"),"add explanation",IF((M40="Warning"),"add explanation","")))</f>
        <v/>
      </c>
      <c r="M40" s="310" t="str">
        <f>IF(OR((I40&lt;&gt;(G40+H40)),(F40&lt;&gt;(D40+E40)),(J40&lt;&gt;(F40-I40))),"Error",IF(AK40="Warning","Warning",""))</f>
        <v/>
      </c>
      <c r="N40" s="112"/>
      <c r="O40" s="131" t="str">
        <f>IF($M40="Error","A total column for "&amp;($B40)&amp;" does not match the sum of the components, please correct",IF($M40="Warning","This year's figure is over "&amp;AC40/1000&amp;" million and "&amp;(AB40*100)&amp;"% different to "&amp;TEXT(AD40,"#,###")&amp;" last year, please explain",""))</f>
        <v/>
      </c>
      <c r="AB40">
        <f>VLOOKUP("RO6"&amp;$A40,data_val_parameters,9,0)/100</f>
        <v>0.4</v>
      </c>
      <c r="AC40">
        <f>VLOOKUP("RO6"&amp;$A40,data_val_parameters,7,0)</f>
        <v>4000</v>
      </c>
      <c r="AD40" t="e">
        <f>VLOOKUP(LA_code,data_prev_year,MATCH("RO6"&amp;$A40&amp;"7",data_prev_year_headers,0),0)</f>
        <v>#N/A</v>
      </c>
      <c r="AE40" t="e">
        <f t="shared" si="0"/>
        <v>#N/A</v>
      </c>
      <c r="AF40" t="e">
        <f t="shared" si="1"/>
        <v>#N/A</v>
      </c>
      <c r="AG40" t="e">
        <f t="shared" si="2"/>
        <v>#N/A</v>
      </c>
      <c r="AH40" t="e">
        <f t="shared" si="3"/>
        <v>#N/A</v>
      </c>
      <c r="AI40" t="e">
        <f>IF(OR(J40&lt;AF40,J40&gt;AE40),"Warning","")</f>
        <v>#N/A</v>
      </c>
      <c r="AJ40" t="e">
        <f>IF(OR(J40&gt;(AG40),J40&lt;(AH40)),"Warning","")</f>
        <v>#N/A</v>
      </c>
      <c r="AK40" t="str">
        <f>IF(OR(J40=0),"",IF(AND(AI40="Warning",AJ40="Warning"),"Warning",""))</f>
        <v/>
      </c>
    </row>
    <row r="41" spans="1:37" ht="15.5" x14ac:dyDescent="0.35">
      <c r="A41" s="122">
        <v>230</v>
      </c>
      <c r="B41" s="295" t="s">
        <v>2001</v>
      </c>
      <c r="C41" s="237"/>
      <c r="D41" s="668"/>
      <c r="E41" s="668"/>
      <c r="F41" s="669">
        <f>SUM(D41:E41)</f>
        <v>0</v>
      </c>
      <c r="G41" s="668"/>
      <c r="H41" s="668"/>
      <c r="I41" s="669">
        <f>SUM(G41:H41)</f>
        <v>0</v>
      </c>
      <c r="J41" s="1136">
        <f>F41-I41</f>
        <v>0</v>
      </c>
      <c r="K41" s="112"/>
      <c r="L41" s="688" t="str">
        <f>IF(ISERROR(M41),"",IF((M41="Error"),"add explanation",IF((M41="Warning"),"add explanation","")))</f>
        <v/>
      </c>
      <c r="M41" s="310" t="str">
        <f>IF(OR((I41&lt;&gt;(G41+H41)),(F41&lt;&gt;(D41+E41)),(J41&lt;&gt;(F41-I41))),"Error",IF(AK41="Warning","Warning",""))</f>
        <v/>
      </c>
      <c r="N41" s="112"/>
      <c r="O41" s="131" t="str">
        <f>IF($M41="Error","A total column for "&amp;($B41)&amp;" does not match the sum of the components, please correct",IF($M41="Warning","This year's figure is over "&amp;AC41/1000&amp;" million and "&amp;(AB41*100)&amp;"% different to "&amp;TEXT(AD41,"#,###")&amp;" last year, please explain",""))</f>
        <v/>
      </c>
      <c r="AB41">
        <f>VLOOKUP("RO6"&amp;$A41,data_val_parameters,9,0)/100</f>
        <v>0.4</v>
      </c>
      <c r="AC41">
        <f>VLOOKUP("RO6"&amp;$A41,data_val_parameters,7,0)</f>
        <v>4000</v>
      </c>
      <c r="AD41" t="e">
        <f>VLOOKUP(LA_code,data_prev_year,MATCH("RO6"&amp;$A41&amp;"7",data_prev_year_headers,0),0)</f>
        <v>#N/A</v>
      </c>
      <c r="AE41" t="e">
        <f t="shared" si="0"/>
        <v>#N/A</v>
      </c>
      <c r="AF41" t="e">
        <f t="shared" si="1"/>
        <v>#N/A</v>
      </c>
      <c r="AG41" t="e">
        <f t="shared" si="2"/>
        <v>#N/A</v>
      </c>
      <c r="AH41" t="e">
        <f t="shared" si="3"/>
        <v>#N/A</v>
      </c>
      <c r="AI41" t="e">
        <f>IF(OR(J41&lt;AF41,J41&gt;AE41),"Warning","")</f>
        <v>#N/A</v>
      </c>
      <c r="AJ41" t="e">
        <f>IF(OR(J41&gt;(AG41),J41&lt;(AH41)),"Warning","")</f>
        <v>#N/A</v>
      </c>
      <c r="AK41" t="str">
        <f>IF(OR(J41=0),"",IF(AND(AI41="Warning",AJ41="Warning"),"Warning",""))</f>
        <v/>
      </c>
    </row>
    <row r="42" spans="1:37" ht="15.5" x14ac:dyDescent="0.35">
      <c r="A42" s="107">
        <v>290</v>
      </c>
      <c r="B42" s="295" t="s">
        <v>2002</v>
      </c>
      <c r="C42" s="237"/>
      <c r="D42" s="669">
        <f>SUM(D39:D41)</f>
        <v>0</v>
      </c>
      <c r="E42" s="669">
        <f t="shared" ref="E42:J42" si="4">SUM(E39:E41)</f>
        <v>0</v>
      </c>
      <c r="F42" s="669">
        <f t="shared" si="4"/>
        <v>0</v>
      </c>
      <c r="G42" s="669">
        <f t="shared" si="4"/>
        <v>0</v>
      </c>
      <c r="H42" s="669">
        <f t="shared" si="4"/>
        <v>0</v>
      </c>
      <c r="I42" s="717">
        <f t="shared" si="4"/>
        <v>0</v>
      </c>
      <c r="J42" s="1134">
        <f t="shared" si="4"/>
        <v>0</v>
      </c>
      <c r="K42" s="221"/>
      <c r="L42" s="688" t="str">
        <f>IF(ISERROR(M42),"",IF((M42="Error"),"add explanation",IF((M42="Warning"),"add explanation","")))</f>
        <v/>
      </c>
      <c r="M42" s="310" t="str">
        <f>IF(OR((I42&lt;&gt;(G42+H42)),(F42&lt;&gt;(D42+E42)),(J42&lt;&gt;(F42-I42))),"Error",IF(AK42="Warning","Warning",""))</f>
        <v/>
      </c>
      <c r="N42" s="112"/>
      <c r="O42" s="131" t="str">
        <f>IF($M42="Error","A total column for "&amp;($B42)&amp;" does not match the sum of the components, please correct",IF($M42="Warning","This year's figure is over "&amp;AC42/1000&amp;" million and "&amp;(AB42*100)&amp;"% different to "&amp;TEXT(AD42,"#,###")&amp;" last year, please explain",""))</f>
        <v/>
      </c>
    </row>
    <row r="43" spans="1:37" ht="15.5" x14ac:dyDescent="0.35">
      <c r="A43" s="112"/>
      <c r="B43" s="237"/>
      <c r="C43" s="237"/>
      <c r="D43" s="31"/>
      <c r="E43" s="1135"/>
      <c r="F43" s="45"/>
      <c r="G43" s="31"/>
      <c r="H43" s="31"/>
      <c r="I43" s="45"/>
      <c r="J43" s="298" t="s">
        <v>1730</v>
      </c>
      <c r="K43" s="112"/>
      <c r="L43" s="687"/>
      <c r="M43" s="310"/>
      <c r="N43" s="112"/>
      <c r="O43" s="131"/>
    </row>
    <row r="44" spans="1:37" ht="46.5" x14ac:dyDescent="0.35">
      <c r="A44" s="112"/>
      <c r="B44" s="237"/>
      <c r="C44" s="237"/>
      <c r="D44" s="31"/>
      <c r="E44" s="709" t="s">
        <v>1731</v>
      </c>
      <c r="F44" s="45"/>
      <c r="G44" s="31"/>
      <c r="H44" s="31"/>
      <c r="I44" s="45"/>
      <c r="J44" s="298"/>
      <c r="K44" s="112"/>
      <c r="L44" s="687"/>
      <c r="M44" s="310"/>
      <c r="N44" s="112"/>
      <c r="O44" s="131"/>
    </row>
    <row r="45" spans="1:37" ht="15.5" x14ac:dyDescent="0.35">
      <c r="A45" s="112"/>
      <c r="B45" s="112"/>
      <c r="C45" s="112"/>
      <c r="D45" s="31"/>
      <c r="E45" s="399" t="s">
        <v>1732</v>
      </c>
      <c r="F45" s="45"/>
      <c r="G45" s="31"/>
      <c r="H45" s="31"/>
      <c r="I45" s="45"/>
      <c r="J45" s="298"/>
      <c r="K45" s="112"/>
      <c r="L45" s="687"/>
      <c r="M45" s="310"/>
      <c r="N45" s="112"/>
      <c r="O45" s="131"/>
    </row>
    <row r="46" spans="1:37" ht="15.5" x14ac:dyDescent="0.35">
      <c r="A46" s="859">
        <v>1391</v>
      </c>
      <c r="B46" s="859" t="s">
        <v>2003</v>
      </c>
      <c r="C46" s="112"/>
      <c r="D46" s="112"/>
      <c r="E46" s="996"/>
      <c r="F46" s="45"/>
      <c r="G46" s="31"/>
      <c r="H46" s="31"/>
      <c r="I46" s="45"/>
      <c r="J46" s="298"/>
      <c r="K46" s="112"/>
      <c r="L46" s="687"/>
      <c r="M46" s="310"/>
      <c r="N46" s="112"/>
      <c r="O46" s="131"/>
    </row>
    <row r="47" spans="1:37" ht="15.5" x14ac:dyDescent="0.35">
      <c r="A47" s="11" t="s">
        <v>84</v>
      </c>
      <c r="B47" s="295"/>
      <c r="C47" s="237"/>
      <c r="D47" s="31"/>
      <c r="E47" s="31"/>
      <c r="F47" s="45"/>
      <c r="G47" s="31"/>
      <c r="H47" s="31"/>
      <c r="I47" s="45"/>
      <c r="J47" s="45"/>
      <c r="K47" s="112"/>
      <c r="L47" s="687"/>
      <c r="M47" s="310"/>
      <c r="N47" s="112"/>
      <c r="O47" s="131"/>
    </row>
    <row r="48" spans="1:37" ht="18" x14ac:dyDescent="0.4">
      <c r="A48" s="27" t="s">
        <v>2004</v>
      </c>
      <c r="B48" s="295"/>
      <c r="C48" s="237"/>
      <c r="D48" s="31"/>
      <c r="E48" s="31"/>
      <c r="F48" s="45"/>
      <c r="G48" s="31"/>
      <c r="H48" s="31"/>
      <c r="I48" s="45"/>
      <c r="J48" s="45"/>
      <c r="K48" s="112"/>
      <c r="L48" s="687"/>
      <c r="M48" s="310"/>
      <c r="N48" s="112"/>
      <c r="O48" s="131"/>
    </row>
    <row r="49" spans="1:39" ht="15.5" x14ac:dyDescent="0.35">
      <c r="A49" s="112" t="s">
        <v>84</v>
      </c>
      <c r="B49" s="295" t="s">
        <v>84</v>
      </c>
      <c r="C49" s="237"/>
      <c r="D49" s="31"/>
      <c r="E49" s="31"/>
      <c r="F49" s="45"/>
      <c r="G49" s="31"/>
      <c r="H49" s="31"/>
      <c r="I49" s="45"/>
      <c r="J49" s="87"/>
      <c r="K49" s="112"/>
      <c r="L49" s="687"/>
      <c r="M49" s="310"/>
      <c r="N49" s="112"/>
      <c r="O49" s="131"/>
    </row>
    <row r="50" spans="1:39" ht="15.5" x14ac:dyDescent="0.35">
      <c r="A50" s="122">
        <v>410</v>
      </c>
      <c r="B50" s="295" t="s">
        <v>2005</v>
      </c>
      <c r="C50" s="237"/>
      <c r="D50" s="668"/>
      <c r="E50" s="668"/>
      <c r="F50" s="669">
        <f>SUM(D50:E50)</f>
        <v>0</v>
      </c>
      <c r="G50" s="668"/>
      <c r="H50" s="668"/>
      <c r="I50" s="717">
        <f>SUM(G50:H50)</f>
        <v>0</v>
      </c>
      <c r="J50" s="1137">
        <f>F50-I50</f>
        <v>0</v>
      </c>
      <c r="K50" s="599"/>
      <c r="L50" s="688" t="str">
        <f>IF(ISERROR(M50),"",IF((M50="Error"),"add explanation",IF((M50="Warning"),"add explanation","")))</f>
        <v/>
      </c>
      <c r="M50" s="310" t="str">
        <f>IF(OR((I50&lt;&gt;(G50+H50)),(F50&lt;&gt;(D50+E50)),(J50&lt;&gt;(F50-I50))),"Error",IF(AK50="Warning","Warning",""))</f>
        <v/>
      </c>
      <c r="N50" s="112"/>
      <c r="O50" s="131" t="str">
        <f>IF($M50="Error","A total column for "&amp;($B50)&amp;" does not match the sum of the components, please correct",IF($M50="Warning","This year's figure is over "&amp;AC50/1000&amp;" million and "&amp;(AB50*100)&amp;"% different to "&amp;TEXT(AD50,"#,###")&amp;" last year, please explain",""))</f>
        <v/>
      </c>
      <c r="AB50">
        <f>VLOOKUP("RO6"&amp;$A50,data_val_parameters,9,0)/100</f>
        <v>0.55000000000000004</v>
      </c>
      <c r="AC50">
        <f>VLOOKUP("RO6"&amp;$A50,data_val_parameters,7,0)</f>
        <v>6000</v>
      </c>
      <c r="AD50" t="e">
        <f>VLOOKUP(LA_code,data_prev_year,MATCH("RO6"&amp;$A50&amp;"7",data_prev_year_headers,0),0)</f>
        <v>#N/A</v>
      </c>
      <c r="AE50" t="e">
        <f t="shared" si="0"/>
        <v>#N/A</v>
      </c>
      <c r="AF50" t="e">
        <f t="shared" si="1"/>
        <v>#N/A</v>
      </c>
      <c r="AG50" s="645" t="e">
        <f t="shared" si="2"/>
        <v>#N/A</v>
      </c>
      <c r="AH50" s="645" t="e">
        <f t="shared" si="3"/>
        <v>#N/A</v>
      </c>
      <c r="AI50" t="e">
        <f>IF(OR(J50&lt;AF50,J50&gt;AE50),"Warning","")</f>
        <v>#N/A</v>
      </c>
      <c r="AJ50" t="e">
        <f>IF(OR(J50&gt;(AG50),J50&lt;(AH50)),"Warning","")</f>
        <v>#N/A</v>
      </c>
      <c r="AK50" t="str">
        <f>IF(OR(J50=0),"",IF(AND(AI50="Warning",AJ50="Warning"),"Warning",""))</f>
        <v/>
      </c>
    </row>
    <row r="51" spans="1:39" ht="15.5" x14ac:dyDescent="0.35">
      <c r="A51" s="330" t="s">
        <v>84</v>
      </c>
      <c r="B51" s="295"/>
      <c r="C51" s="237"/>
      <c r="D51" s="31"/>
      <c r="E51" s="31"/>
      <c r="F51" s="45"/>
      <c r="G51" s="31"/>
      <c r="H51" s="31"/>
      <c r="I51" s="45"/>
      <c r="J51" s="1138"/>
      <c r="K51" s="112"/>
      <c r="L51" s="687"/>
      <c r="M51" s="310"/>
      <c r="N51" s="112"/>
      <c r="O51" s="131"/>
    </row>
    <row r="52" spans="1:39" ht="18" x14ac:dyDescent="0.4">
      <c r="A52" s="60" t="s">
        <v>2006</v>
      </c>
      <c r="B52" s="295"/>
      <c r="C52" s="237"/>
      <c r="D52" s="31"/>
      <c r="E52" s="31"/>
      <c r="F52" s="45"/>
      <c r="G52" s="31"/>
      <c r="H52" s="31"/>
      <c r="I52" s="45"/>
      <c r="J52" s="45"/>
      <c r="K52" s="112"/>
      <c r="L52" s="687"/>
      <c r="M52" s="310"/>
      <c r="N52" s="112"/>
      <c r="O52" s="131"/>
    </row>
    <row r="53" spans="1:39" ht="15.5" x14ac:dyDescent="0.35">
      <c r="A53" s="330" t="s">
        <v>84</v>
      </c>
      <c r="B53" s="295"/>
      <c r="C53" s="237"/>
      <c r="D53" s="31"/>
      <c r="E53" s="31"/>
      <c r="F53" s="45"/>
      <c r="G53" s="31"/>
      <c r="H53" s="31"/>
      <c r="I53" s="45"/>
      <c r="J53" s="45"/>
      <c r="K53" s="112"/>
      <c r="L53" s="687"/>
      <c r="M53" s="310"/>
      <c r="N53" s="112"/>
      <c r="O53" s="131"/>
    </row>
    <row r="54" spans="1:39" ht="15.5" x14ac:dyDescent="0.35">
      <c r="A54" s="107" t="s">
        <v>2007</v>
      </c>
      <c r="B54" s="295"/>
      <c r="C54" s="237"/>
      <c r="D54" s="31"/>
      <c r="E54" s="31"/>
      <c r="F54" s="45"/>
      <c r="G54" s="31"/>
      <c r="H54" s="31"/>
      <c r="I54" s="45"/>
      <c r="J54" s="45"/>
      <c r="K54" s="112"/>
      <c r="L54" s="687"/>
      <c r="M54" s="310"/>
      <c r="N54" s="112"/>
      <c r="O54" s="131"/>
    </row>
    <row r="55" spans="1:39" ht="15.5" x14ac:dyDescent="0.35">
      <c r="A55" s="108">
        <v>421</v>
      </c>
      <c r="B55" s="295" t="s">
        <v>2008</v>
      </c>
      <c r="C55" s="237"/>
      <c r="D55" s="668"/>
      <c r="E55" s="668"/>
      <c r="F55" s="669">
        <f t="shared" ref="F55:F60" si="5">SUM(D55:E55)</f>
        <v>0</v>
      </c>
      <c r="G55" s="668"/>
      <c r="H55" s="668"/>
      <c r="I55" s="669">
        <f t="shared" ref="I55:I60" si="6">SUM(G55:H55)</f>
        <v>0</v>
      </c>
      <c r="J55" s="669">
        <f t="shared" ref="J55:J60" si="7">F55-I55</f>
        <v>0</v>
      </c>
      <c r="K55" s="112"/>
      <c r="L55" s="688" t="str">
        <f t="shared" ref="L55:L60" si="8">IF(ISERROR(M55),"",IF((M55="Error"),"add explanation",IF((M55="Warning"),"add explanation","")))</f>
        <v/>
      </c>
      <c r="M55" s="310" t="e">
        <f>IF(OR((I55&lt;&gt;(G55+H55)),(F55&lt;&gt;(D55+E55)),(J55&lt;&gt;(F55-I55))),"Error",IF(OR(AK55="Warning",AL55="Warning"),"Warning",""))</f>
        <v>#N/A</v>
      </c>
      <c r="N55" s="112"/>
      <c r="O55" s="131" t="e">
        <f>IF($M55="Error","A total column for "&amp;($B55)&amp;" does not match the sum of the components, please correct",IF(AL55="Warning","Non zero entry expected for your authority",IF($M55="Warning","This year's figure is over "&amp;AC55/1000&amp;" million and "&amp;(AB55*100)&amp;"% different to "&amp;TEXT(AD55,"#,###")&amp;" last year, please explain","")))</f>
        <v>#N/A</v>
      </c>
      <c r="AB55">
        <f t="shared" ref="AB55:AB60" si="9">VLOOKUP("RO6"&amp;$A55,data_val_parameters,9,0)/100</f>
        <v>0.4</v>
      </c>
      <c r="AC55">
        <f t="shared" ref="AC55:AC60" si="10">VLOOKUP("RO6"&amp;$A55,data_val_parameters,7,0)</f>
        <v>4000</v>
      </c>
      <c r="AD55" t="e">
        <f t="shared" ref="AD55:AD60" si="11">VLOOKUP(LA_code,data_prev_year,MATCH("RO6"&amp;$A55&amp;"7",data_prev_year_headers,0),0)</f>
        <v>#N/A</v>
      </c>
      <c r="AE55" t="e">
        <f t="shared" si="0"/>
        <v>#N/A</v>
      </c>
      <c r="AF55" t="e">
        <f t="shared" si="1"/>
        <v>#N/A</v>
      </c>
      <c r="AG55" t="e">
        <f t="shared" si="2"/>
        <v>#N/A</v>
      </c>
      <c r="AH55" t="e">
        <f t="shared" si="3"/>
        <v>#N/A</v>
      </c>
      <c r="AI55" t="e">
        <f t="shared" ref="AI55:AI60" si="12">IF(OR(J55&lt;AF55,J55&gt;AE55),"Warning","")</f>
        <v>#N/A</v>
      </c>
      <c r="AJ55" t="e">
        <f t="shared" ref="AJ55:AJ60" si="13">IF(OR(J55&gt;(AG55),J55&lt;(AH55)),"Warning","")</f>
        <v>#N/A</v>
      </c>
      <c r="AK55" t="str">
        <f t="shared" ref="AK55:AK60" si="14">IF(OR(J55=0),"",IF(AND(AI55="Warning",AJ55="Warning"),"Warning",""))</f>
        <v/>
      </c>
      <c r="AL55" t="e">
        <f>IF(AND(J55=0,AM55=1),"Warning","")</f>
        <v>#N/A</v>
      </c>
      <c r="AM55" s="646" t="e">
        <f>VLOOKUP(LA_code,LA_Data,35,0)</f>
        <v>#N/A</v>
      </c>
    </row>
    <row r="56" spans="1:39" ht="15.5" x14ac:dyDescent="0.35">
      <c r="A56" s="108">
        <v>422</v>
      </c>
      <c r="B56" s="295" t="s">
        <v>2009</v>
      </c>
      <c r="C56" s="237"/>
      <c r="D56" s="668"/>
      <c r="E56" s="668"/>
      <c r="F56" s="669">
        <f t="shared" si="5"/>
        <v>0</v>
      </c>
      <c r="G56" s="668"/>
      <c r="H56" s="668"/>
      <c r="I56" s="669">
        <f t="shared" si="6"/>
        <v>0</v>
      </c>
      <c r="J56" s="669">
        <f t="shared" si="7"/>
        <v>0</v>
      </c>
      <c r="K56" s="112"/>
      <c r="L56" s="688" t="str">
        <f t="shared" si="8"/>
        <v/>
      </c>
      <c r="M56" s="310" t="str">
        <f t="shared" ref="M56:M60" si="15">IF(OR((I56&lt;&gt;(G56+H56)),(F56&lt;&gt;(D56+E56)),(J56&lt;&gt;(F56-I56))),"Error",IF(AK56="Warning","Warning",""))</f>
        <v/>
      </c>
      <c r="N56" s="112"/>
      <c r="O56" s="131" t="str">
        <f t="shared" ref="O56:O60" si="16">IF($M56="Error","A total column for "&amp;($B56)&amp;" does not match the sum of the components, please correct",IF($M56="Warning","This year's figure is over "&amp;AC56/1000&amp;" million and "&amp;(AB56*100)&amp;"% different to "&amp;TEXT(AD56,"#,###")&amp;" last year, please explain",""))</f>
        <v/>
      </c>
      <c r="AB56">
        <f t="shared" si="9"/>
        <v>0.4</v>
      </c>
      <c r="AC56">
        <f t="shared" si="10"/>
        <v>4000</v>
      </c>
      <c r="AD56" t="e">
        <f t="shared" si="11"/>
        <v>#N/A</v>
      </c>
      <c r="AE56" t="e">
        <f t="shared" si="0"/>
        <v>#N/A</v>
      </c>
      <c r="AF56" t="e">
        <f t="shared" si="1"/>
        <v>#N/A</v>
      </c>
      <c r="AG56" t="e">
        <f t="shared" si="2"/>
        <v>#N/A</v>
      </c>
      <c r="AH56" t="e">
        <f t="shared" si="3"/>
        <v>#N/A</v>
      </c>
      <c r="AI56" t="e">
        <f t="shared" si="12"/>
        <v>#N/A</v>
      </c>
      <c r="AJ56" t="e">
        <f t="shared" si="13"/>
        <v>#N/A</v>
      </c>
      <c r="AK56" t="str">
        <f t="shared" si="14"/>
        <v/>
      </c>
    </row>
    <row r="57" spans="1:39" ht="15.5" x14ac:dyDescent="0.35">
      <c r="A57" s="108">
        <v>423</v>
      </c>
      <c r="B57" s="295" t="s">
        <v>2010</v>
      </c>
      <c r="C57" s="237"/>
      <c r="D57" s="668"/>
      <c r="E57" s="668"/>
      <c r="F57" s="669">
        <f t="shared" si="5"/>
        <v>0</v>
      </c>
      <c r="G57" s="668"/>
      <c r="H57" s="668"/>
      <c r="I57" s="669">
        <f t="shared" si="6"/>
        <v>0</v>
      </c>
      <c r="J57" s="669">
        <f t="shared" si="7"/>
        <v>0</v>
      </c>
      <c r="K57" s="112"/>
      <c r="L57" s="688" t="str">
        <f t="shared" si="8"/>
        <v/>
      </c>
      <c r="M57" s="310" t="str">
        <f t="shared" si="15"/>
        <v/>
      </c>
      <c r="N57" s="112"/>
      <c r="O57" s="131" t="str">
        <f t="shared" si="16"/>
        <v/>
      </c>
      <c r="AB57">
        <f t="shared" si="9"/>
        <v>0.4</v>
      </c>
      <c r="AC57">
        <f t="shared" si="10"/>
        <v>4000</v>
      </c>
      <c r="AD57" t="e">
        <f t="shared" si="11"/>
        <v>#N/A</v>
      </c>
      <c r="AE57" t="e">
        <f t="shared" si="0"/>
        <v>#N/A</v>
      </c>
      <c r="AF57" t="e">
        <f t="shared" si="1"/>
        <v>#N/A</v>
      </c>
      <c r="AG57" t="e">
        <f t="shared" si="2"/>
        <v>#N/A</v>
      </c>
      <c r="AH57" t="e">
        <f t="shared" si="3"/>
        <v>#N/A</v>
      </c>
      <c r="AI57" t="e">
        <f t="shared" si="12"/>
        <v>#N/A</v>
      </c>
      <c r="AJ57" t="e">
        <f t="shared" si="13"/>
        <v>#N/A</v>
      </c>
      <c r="AK57" t="str">
        <f t="shared" si="14"/>
        <v/>
      </c>
    </row>
    <row r="58" spans="1:39" ht="18" x14ac:dyDescent="0.4">
      <c r="A58" s="108">
        <v>425</v>
      </c>
      <c r="B58" s="295" t="s">
        <v>2011</v>
      </c>
      <c r="C58" s="237"/>
      <c r="D58" s="668"/>
      <c r="E58" s="668"/>
      <c r="F58" s="669">
        <f>SUM(D58:E58)</f>
        <v>0</v>
      </c>
      <c r="G58" s="668"/>
      <c r="H58" s="668"/>
      <c r="I58" s="669">
        <f>SUM(G58:H58)</f>
        <v>0</v>
      </c>
      <c r="J58" s="669">
        <f>F58-I58</f>
        <v>0</v>
      </c>
      <c r="K58" s="39"/>
      <c r="L58" s="688" t="str">
        <f t="shared" si="8"/>
        <v/>
      </c>
      <c r="M58" s="310" t="str">
        <f t="shared" si="15"/>
        <v/>
      </c>
      <c r="N58" s="112"/>
      <c r="O58" s="131" t="str">
        <f t="shared" si="16"/>
        <v/>
      </c>
      <c r="AB58">
        <f t="shared" si="9"/>
        <v>0.4</v>
      </c>
      <c r="AC58">
        <f t="shared" si="10"/>
        <v>4000</v>
      </c>
      <c r="AD58" t="e">
        <f t="shared" si="11"/>
        <v>#N/A</v>
      </c>
      <c r="AE58" t="e">
        <f t="shared" si="0"/>
        <v>#N/A</v>
      </c>
      <c r="AF58" t="e">
        <f t="shared" si="1"/>
        <v>#N/A</v>
      </c>
      <c r="AG58" t="e">
        <f t="shared" si="2"/>
        <v>#N/A</v>
      </c>
      <c r="AH58" t="e">
        <f t="shared" si="3"/>
        <v>#N/A</v>
      </c>
      <c r="AI58" t="e">
        <f t="shared" si="12"/>
        <v>#N/A</v>
      </c>
      <c r="AJ58" t="e">
        <f t="shared" si="13"/>
        <v>#N/A</v>
      </c>
      <c r="AK58" t="str">
        <f t="shared" si="14"/>
        <v/>
      </c>
    </row>
    <row r="59" spans="1:39" ht="15.5" x14ac:dyDescent="0.35">
      <c r="A59" s="108">
        <v>426</v>
      </c>
      <c r="B59" s="295" t="s">
        <v>2012</v>
      </c>
      <c r="C59" s="237"/>
      <c r="D59" s="668"/>
      <c r="E59" s="668"/>
      <c r="F59" s="669">
        <f t="shared" si="5"/>
        <v>0</v>
      </c>
      <c r="G59" s="668"/>
      <c r="H59" s="668"/>
      <c r="I59" s="669">
        <f t="shared" si="6"/>
        <v>0</v>
      </c>
      <c r="J59" s="669">
        <f t="shared" si="7"/>
        <v>0</v>
      </c>
      <c r="K59" s="112"/>
      <c r="L59" s="688" t="str">
        <f t="shared" si="8"/>
        <v/>
      </c>
      <c r="M59" s="310" t="e">
        <f>IF(OR((I59&lt;&gt;(G59+H59)),(F59&lt;&gt;(D59+E59)),(J59&lt;&gt;(F59-I59))),"Error",IF(OR(AK59="Warning",AL59="Warning"),"Warning",""))</f>
        <v>#N/A</v>
      </c>
      <c r="N59" s="112"/>
      <c r="O59" s="131" t="e">
        <f>IF($M59="Error","A total column for "&amp;($B59)&amp;" does not match the sum of the components, please correct",IF(AL59="Warning","Non zero entry expected for your authority",IF($M59="Warning","This year's figure is over "&amp;AC59/1000&amp;" million and "&amp;(AB59*100)&amp;"% different to "&amp;TEXT(AD59,"#,###")&amp;" last year, please explain","")))</f>
        <v>#N/A</v>
      </c>
      <c r="AB59">
        <f t="shared" si="9"/>
        <v>0.4</v>
      </c>
      <c r="AC59">
        <f t="shared" si="10"/>
        <v>4000</v>
      </c>
      <c r="AD59" t="e">
        <f t="shared" si="11"/>
        <v>#N/A</v>
      </c>
      <c r="AE59" t="e">
        <f t="shared" si="0"/>
        <v>#N/A</v>
      </c>
      <c r="AF59" t="e">
        <f t="shared" si="1"/>
        <v>#N/A</v>
      </c>
      <c r="AG59" t="e">
        <f t="shared" si="2"/>
        <v>#N/A</v>
      </c>
      <c r="AH59" t="e">
        <f t="shared" si="3"/>
        <v>#N/A</v>
      </c>
      <c r="AI59" t="e">
        <f t="shared" si="12"/>
        <v>#N/A</v>
      </c>
      <c r="AJ59" t="e">
        <f t="shared" si="13"/>
        <v>#N/A</v>
      </c>
      <c r="AK59" t="str">
        <f t="shared" si="14"/>
        <v/>
      </c>
      <c r="AL59" t="e">
        <f>IF(AND(J59=0,AM59=1),"Warning","")</f>
        <v>#N/A</v>
      </c>
      <c r="AM59" s="646" t="e">
        <f>VLOOKUP(LA_code,LA_Data,35,0)</f>
        <v>#N/A</v>
      </c>
    </row>
    <row r="60" spans="1:39" ht="15.5" x14ac:dyDescent="0.35">
      <c r="A60" s="296">
        <v>428</v>
      </c>
      <c r="B60" s="295" t="s">
        <v>2013</v>
      </c>
      <c r="C60" s="237"/>
      <c r="D60" s="668"/>
      <c r="E60" s="668"/>
      <c r="F60" s="669">
        <f t="shared" si="5"/>
        <v>0</v>
      </c>
      <c r="G60" s="668"/>
      <c r="H60" s="668"/>
      <c r="I60" s="669">
        <f t="shared" si="6"/>
        <v>0</v>
      </c>
      <c r="J60" s="669">
        <f t="shared" si="7"/>
        <v>0</v>
      </c>
      <c r="K60" s="112"/>
      <c r="L60" s="688" t="str">
        <f t="shared" si="8"/>
        <v/>
      </c>
      <c r="M60" s="310" t="str">
        <f t="shared" si="15"/>
        <v/>
      </c>
      <c r="N60" s="112"/>
      <c r="O60" s="131" t="str">
        <f t="shared" si="16"/>
        <v/>
      </c>
      <c r="AB60">
        <f t="shared" si="9"/>
        <v>0.4</v>
      </c>
      <c r="AC60">
        <f t="shared" si="10"/>
        <v>4000</v>
      </c>
      <c r="AD60" t="e">
        <f t="shared" si="11"/>
        <v>#N/A</v>
      </c>
      <c r="AE60" t="e">
        <f t="shared" si="0"/>
        <v>#N/A</v>
      </c>
      <c r="AF60" t="e">
        <f t="shared" si="1"/>
        <v>#N/A</v>
      </c>
      <c r="AG60" t="e">
        <f t="shared" si="2"/>
        <v>#N/A</v>
      </c>
      <c r="AH60" t="e">
        <f t="shared" si="3"/>
        <v>#N/A</v>
      </c>
      <c r="AI60" t="e">
        <f t="shared" si="12"/>
        <v>#N/A</v>
      </c>
      <c r="AJ60" t="e">
        <f t="shared" si="13"/>
        <v>#N/A</v>
      </c>
      <c r="AK60" t="str">
        <f t="shared" si="14"/>
        <v/>
      </c>
    </row>
    <row r="61" spans="1:39" ht="15.5" x14ac:dyDescent="0.35">
      <c r="A61" s="61" t="s">
        <v>84</v>
      </c>
      <c r="B61" s="295"/>
      <c r="C61" s="237"/>
      <c r="D61" s="31"/>
      <c r="E61" s="31"/>
      <c r="F61" s="106"/>
      <c r="G61" s="31"/>
      <c r="H61" s="31"/>
      <c r="I61" s="106"/>
      <c r="J61" s="106"/>
      <c r="K61" s="112"/>
      <c r="L61" s="687"/>
      <c r="M61" s="310"/>
      <c r="N61" s="112"/>
      <c r="O61" s="131"/>
    </row>
    <row r="62" spans="1:39" ht="15.5" x14ac:dyDescent="0.35">
      <c r="A62" s="122">
        <v>430</v>
      </c>
      <c r="B62" s="295" t="s">
        <v>2014</v>
      </c>
      <c r="C62" s="237"/>
      <c r="D62" s="668"/>
      <c r="E62" s="668"/>
      <c r="F62" s="669">
        <f>SUM(D62:E62)</f>
        <v>0</v>
      </c>
      <c r="G62" s="668"/>
      <c r="H62" s="668"/>
      <c r="I62" s="669">
        <f>SUM(G62:H62)</f>
        <v>0</v>
      </c>
      <c r="J62" s="669">
        <f>F62-I62</f>
        <v>0</v>
      </c>
      <c r="K62" s="112"/>
      <c r="L62" s="688" t="str">
        <f>IF(ISERROR(M62),"",IF((M62="Error"),"add explanation",IF((M62="Warning"),"add explanation","")))</f>
        <v/>
      </c>
      <c r="M62" s="310" t="str">
        <f>IF(OR((I62&lt;&gt;(G62+H62)),(F62&lt;&gt;(D62+E62)),(J62&lt;&gt;(F62-I62))),"Error",IF(AK62="Warning","Warning",""))</f>
        <v/>
      </c>
      <c r="N62" s="112"/>
      <c r="O62" s="131" t="str">
        <f>IF($M62="Error","A total column for "&amp;($B62)&amp;" does not match the sum of the components, please correct",IF($M62="Warning","This year's figure is over "&amp;AC62/1000&amp;" million and "&amp;(AB62*100)&amp;"% different to "&amp;TEXT(AD62,"#,###")&amp;" last year, please explain",""))</f>
        <v/>
      </c>
      <c r="AB62">
        <f>VLOOKUP("RO6"&amp;$A62,data_val_parameters,9,0)/100</f>
        <v>0.4</v>
      </c>
      <c r="AC62">
        <f>VLOOKUP("RO6"&amp;$A62,data_val_parameters,7,0)</f>
        <v>4000</v>
      </c>
      <c r="AD62" s="645" t="e">
        <f>VLOOKUP(LA_code,data_prev_year,MATCH("RO6"&amp;$A62&amp;"7",data_prev_year_headers,0),0)</f>
        <v>#N/A</v>
      </c>
      <c r="AE62" s="645" t="e">
        <f t="shared" si="0"/>
        <v>#N/A</v>
      </c>
      <c r="AF62" s="645" t="e">
        <f t="shared" si="1"/>
        <v>#N/A</v>
      </c>
      <c r="AG62" s="645" t="e">
        <f t="shared" si="2"/>
        <v>#N/A</v>
      </c>
      <c r="AH62" s="645" t="e">
        <f t="shared" si="3"/>
        <v>#N/A</v>
      </c>
      <c r="AI62" t="e">
        <f>IF(OR(J62&lt;AF62,J62&gt;AE62),"Warning","")</f>
        <v>#N/A</v>
      </c>
      <c r="AJ62" t="e">
        <f>IF(OR(J62&gt;(AG62),J62&lt;(AH62)),"Warning","")</f>
        <v>#N/A</v>
      </c>
      <c r="AK62" t="str">
        <f>IF(OR(J62=0),"",IF(AND(AI62="Warning",AJ62="Warning"),"Warning",""))</f>
        <v/>
      </c>
    </row>
    <row r="63" spans="1:39" ht="15.5" x14ac:dyDescent="0.35">
      <c r="A63" s="61" t="s">
        <v>84</v>
      </c>
      <c r="B63" s="295"/>
      <c r="C63" s="237"/>
      <c r="D63" s="31"/>
      <c r="E63" s="31"/>
      <c r="F63" s="106"/>
      <c r="G63" s="31"/>
      <c r="H63" s="31"/>
      <c r="I63" s="106"/>
      <c r="J63" s="106"/>
      <c r="K63" s="112"/>
      <c r="L63" s="687"/>
      <c r="M63" s="310"/>
      <c r="N63" s="112"/>
      <c r="O63" s="131"/>
    </row>
    <row r="64" spans="1:39" ht="15.5" x14ac:dyDescent="0.35">
      <c r="A64" s="107" t="s">
        <v>2015</v>
      </c>
      <c r="B64" s="295"/>
      <c r="C64" s="237"/>
      <c r="D64" s="31"/>
      <c r="E64" s="31"/>
      <c r="F64" s="106"/>
      <c r="G64" s="31"/>
      <c r="H64" s="31"/>
      <c r="I64" s="106"/>
      <c r="J64" s="106"/>
      <c r="K64" s="112"/>
      <c r="L64" s="687"/>
      <c r="M64" s="310"/>
      <c r="N64" s="112"/>
      <c r="O64" s="131"/>
    </row>
    <row r="65" spans="1:37" ht="15.5" x14ac:dyDescent="0.35">
      <c r="A65" s="108">
        <v>441</v>
      </c>
      <c r="B65" s="295" t="s">
        <v>2016</v>
      </c>
      <c r="C65" s="237"/>
      <c r="D65" s="668"/>
      <c r="E65" s="668"/>
      <c r="F65" s="669">
        <f>SUM(D65:E65)</f>
        <v>0</v>
      </c>
      <c r="G65" s="668"/>
      <c r="H65" s="668"/>
      <c r="I65" s="669">
        <f>SUM(G65:H65)</f>
        <v>0</v>
      </c>
      <c r="J65" s="669">
        <f>F65-I65</f>
        <v>0</v>
      </c>
      <c r="K65" s="112"/>
      <c r="L65" s="688" t="str">
        <f>IF(ISERROR(M65),"",IF((M65="Error"),"add explanation",IF((M65="Warning"),"add explanation","")))</f>
        <v/>
      </c>
      <c r="M65" s="310" t="str">
        <f>IF(OR((I65&lt;&gt;(G65+H65)),(F65&lt;&gt;(D65+E65)),(J65&lt;&gt;(F65-I65))),"Error",IF(AK65="Warning","Warning",""))</f>
        <v/>
      </c>
      <c r="N65" s="112"/>
      <c r="O65" s="131" t="str">
        <f>IF($M65="Error","A total column for "&amp;($B65)&amp;" does not match the sum of the components, please correct",IF($M65="Warning","This year's figure is over "&amp;AC65/1000&amp;" million and "&amp;(AB65*100)&amp;"% different to "&amp;TEXT(AD65,"#,###")&amp;" last year, please explain",""))</f>
        <v/>
      </c>
      <c r="AB65">
        <f>VLOOKUP("RO6"&amp;$A65,data_val_parameters,9,0)/100</f>
        <v>0.4</v>
      </c>
      <c r="AC65">
        <f>VLOOKUP("RO6"&amp;$A65,data_val_parameters,7,0)</f>
        <v>4000</v>
      </c>
      <c r="AD65" t="e">
        <f>VLOOKUP(LA_code,data_prev_year,MATCH("RO6"&amp;$A65&amp;"7",data_prev_year_headers,0),0)</f>
        <v>#N/A</v>
      </c>
      <c r="AE65" t="e">
        <f t="shared" si="0"/>
        <v>#N/A</v>
      </c>
      <c r="AF65" t="e">
        <f t="shared" si="1"/>
        <v>#N/A</v>
      </c>
      <c r="AG65" t="e">
        <f t="shared" si="2"/>
        <v>#N/A</v>
      </c>
      <c r="AH65" t="e">
        <f t="shared" si="3"/>
        <v>#N/A</v>
      </c>
      <c r="AI65" t="e">
        <f>IF(OR(J65&lt;AF65,J65&gt;AE65),"Warning","")</f>
        <v>#N/A</v>
      </c>
      <c r="AJ65" t="e">
        <f>IF(OR(J65&gt;(AG65),J65&lt;(AH65)),"Warning","")</f>
        <v>#N/A</v>
      </c>
      <c r="AK65" t="str">
        <f>IF(OR(J65=0),"",IF(AND(AI65="Warning",AJ65="Warning"),"Warning",""))</f>
        <v/>
      </c>
    </row>
    <row r="66" spans="1:37" ht="15.5" x14ac:dyDescent="0.35">
      <c r="A66" s="108">
        <v>442</v>
      </c>
      <c r="B66" s="295" t="s">
        <v>2017</v>
      </c>
      <c r="C66" s="237"/>
      <c r="D66" s="668"/>
      <c r="E66" s="668"/>
      <c r="F66" s="669">
        <f>SUM(D66:E66)</f>
        <v>0</v>
      </c>
      <c r="G66" s="668"/>
      <c r="H66" s="668"/>
      <c r="I66" s="669">
        <f>SUM(G66:H66)</f>
        <v>0</v>
      </c>
      <c r="J66" s="669">
        <f>F66-I66</f>
        <v>0</v>
      </c>
      <c r="K66" s="112"/>
      <c r="L66" s="688" t="str">
        <f>IF(ISERROR(M66),"",IF((M66="Error"),"add explanation",IF((M66="Warning"),"add explanation","")))</f>
        <v/>
      </c>
      <c r="M66" s="310" t="str">
        <f>IF(OR((I66&lt;&gt;(G66+H66)),(F66&lt;&gt;(D66+E66)),(J66&lt;&gt;(F66-I66))),"Error",IF(AK66="Warning","Warning",""))</f>
        <v/>
      </c>
      <c r="N66" s="112"/>
      <c r="O66" s="131" t="str">
        <f>IF($M66="Error","A total column for "&amp;($B66)&amp;" does not match the sum of the components, please correct",IF($M66="Warning","This year's figure is over "&amp;AC66/1000&amp;" million and "&amp;(AB66*100)&amp;"% different to "&amp;TEXT(AD66,"#,###")&amp;" last year, please explain",""))</f>
        <v/>
      </c>
      <c r="AB66">
        <f>VLOOKUP("RO6"&amp;$A66,data_val_parameters,9,0)/100</f>
        <v>0.4</v>
      </c>
      <c r="AC66">
        <f>VLOOKUP("RO6"&amp;$A66,data_val_parameters,7,0)</f>
        <v>4000</v>
      </c>
      <c r="AD66" t="e">
        <f>VLOOKUP(LA_code,data_prev_year,MATCH("RO6"&amp;$A66&amp;"7",data_prev_year_headers,0),0)</f>
        <v>#N/A</v>
      </c>
      <c r="AE66" t="e">
        <f t="shared" si="0"/>
        <v>#N/A</v>
      </c>
      <c r="AF66" t="e">
        <f t="shared" si="1"/>
        <v>#N/A</v>
      </c>
      <c r="AG66" s="645" t="e">
        <f t="shared" si="2"/>
        <v>#N/A</v>
      </c>
      <c r="AH66" s="645" t="e">
        <f t="shared" si="3"/>
        <v>#N/A</v>
      </c>
      <c r="AI66" t="e">
        <f>IF(OR(J66&lt;AF66,J66&gt;AE66),"Warning","")</f>
        <v>#N/A</v>
      </c>
      <c r="AJ66" t="e">
        <f>IF(OR(J66&gt;(AG66),J66&lt;(AH66)),"Warning","")</f>
        <v>#N/A</v>
      </c>
      <c r="AK66" t="str">
        <f>IF(OR(J66=0),"",IF(AND(AI66="Warning",AJ66="Warning"),"Warning",""))</f>
        <v/>
      </c>
    </row>
    <row r="67" spans="1:37" ht="15.5" x14ac:dyDescent="0.35">
      <c r="A67" s="61" t="s">
        <v>84</v>
      </c>
      <c r="B67" s="295"/>
      <c r="C67" s="237"/>
      <c r="D67" s="31"/>
      <c r="E67" s="31"/>
      <c r="F67" s="106"/>
      <c r="G67" s="31"/>
      <c r="H67" s="31"/>
      <c r="I67" s="106"/>
      <c r="J67" s="106"/>
      <c r="K67" s="112"/>
      <c r="L67" s="687"/>
      <c r="M67" s="310"/>
      <c r="N67" s="112"/>
      <c r="O67" s="131"/>
    </row>
    <row r="68" spans="1:37" ht="15.5" x14ac:dyDescent="0.35">
      <c r="A68" s="122">
        <v>450</v>
      </c>
      <c r="B68" s="295" t="s">
        <v>2018</v>
      </c>
      <c r="C68" s="237"/>
      <c r="D68" s="668"/>
      <c r="E68" s="668"/>
      <c r="F68" s="669">
        <f>SUM(D68:E68)</f>
        <v>0</v>
      </c>
      <c r="G68" s="668"/>
      <c r="H68" s="668"/>
      <c r="I68" s="669">
        <f>SUM(G68:H68)</f>
        <v>0</v>
      </c>
      <c r="J68" s="669">
        <f>F68-I68</f>
        <v>0</v>
      </c>
      <c r="K68" s="112"/>
      <c r="L68" s="688" t="str">
        <f>IF(ISERROR(M68),"",IF((M68="Error"),"add explanation",IF((M68="Warning"),"add explanation","")))</f>
        <v/>
      </c>
      <c r="M68" s="310" t="str">
        <f>IF(OR((I68&lt;&gt;(G68+H68)),(F68&lt;&gt;(D68+E68)),(J68&lt;&gt;(F68-I68))),"Error",IF(AK68="Warning","Warning",""))</f>
        <v/>
      </c>
      <c r="N68" s="112"/>
      <c r="O68" s="131" t="str">
        <f>IF($M68="Error","A total column for "&amp;($B68)&amp;" does not match the sum of the components, please correct",IF($M68="Warning","This year's figure is over "&amp;AC68/1000&amp;" million and "&amp;(AB68*100)&amp;"% different to "&amp;TEXT(AD68,"#,###")&amp;" last year, please explain",""))</f>
        <v/>
      </c>
      <c r="AB68">
        <f>VLOOKUP("RO6"&amp;$A68,data_val_parameters,9,0)/100</f>
        <v>0.4</v>
      </c>
      <c r="AC68">
        <f>VLOOKUP("RO6"&amp;$A68,data_val_parameters,7,0)</f>
        <v>4000</v>
      </c>
      <c r="AD68" t="e">
        <f>VLOOKUP(LA_code,data_prev_year,MATCH("RO6"&amp;$A68&amp;"7",data_prev_year_headers,0),0)</f>
        <v>#N/A</v>
      </c>
      <c r="AE68" t="e">
        <f t="shared" si="0"/>
        <v>#N/A</v>
      </c>
      <c r="AF68" t="e">
        <f t="shared" si="1"/>
        <v>#N/A</v>
      </c>
      <c r="AG68" t="e">
        <f t="shared" si="2"/>
        <v>#N/A</v>
      </c>
      <c r="AH68" t="e">
        <f t="shared" si="3"/>
        <v>#N/A</v>
      </c>
      <c r="AI68" t="e">
        <f>IF(OR(J68&lt;AF68,J68&gt;AE68),"Warning","")</f>
        <v>#N/A</v>
      </c>
      <c r="AJ68" t="e">
        <f>IF(OR(J68&gt;(AG68),J68&lt;(AH68)),"Warning","")</f>
        <v>#N/A</v>
      </c>
      <c r="AK68" t="str">
        <f>IF(OR(J68=0),"",IF(AND(AI68="Warning",AJ68="Warning"),"Warning",""))</f>
        <v/>
      </c>
    </row>
    <row r="69" spans="1:37" ht="15.5" x14ac:dyDescent="0.35">
      <c r="A69" s="330" t="s">
        <v>84</v>
      </c>
      <c r="B69" s="295"/>
      <c r="C69" s="237"/>
      <c r="D69" s="31"/>
      <c r="E69" s="31"/>
      <c r="F69" s="106"/>
      <c r="G69" s="31"/>
      <c r="H69" s="31"/>
      <c r="I69" s="106"/>
      <c r="J69" s="106"/>
      <c r="K69" s="112"/>
      <c r="L69" s="687"/>
      <c r="M69" s="310"/>
      <c r="N69" s="112"/>
      <c r="O69" s="131"/>
    </row>
    <row r="70" spans="1:37" ht="15.5" x14ac:dyDescent="0.35">
      <c r="A70" s="122">
        <v>460</v>
      </c>
      <c r="B70" s="295" t="s">
        <v>2019</v>
      </c>
      <c r="C70" s="237"/>
      <c r="D70" s="668"/>
      <c r="E70" s="668"/>
      <c r="F70" s="669">
        <f>SUM(D70:E70)</f>
        <v>0</v>
      </c>
      <c r="G70" s="668"/>
      <c r="H70" s="668"/>
      <c r="I70" s="669">
        <f>SUM(G70:H70)</f>
        <v>0</v>
      </c>
      <c r="J70" s="669">
        <f>F70-I70</f>
        <v>0</v>
      </c>
      <c r="K70" s="112"/>
      <c r="L70" s="688" t="str">
        <f>IF(ISERROR(M70),"",IF((M70="Error"),"add explanation",IF((M70="Warning"),"add explanation","")))</f>
        <v/>
      </c>
      <c r="M70" s="310" t="str">
        <f>IF(OR((I70&lt;&gt;(G70+H70)),(F70&lt;&gt;(D70+E70)),(J70&lt;&gt;(F70-I70))),"Error",IF(AK70="Warning","Warning",""))</f>
        <v/>
      </c>
      <c r="N70" s="112"/>
      <c r="O70" s="131" t="str">
        <f>IF($M70="Error","A total column for "&amp;($B70)&amp;" does not match the sum of the components, please correct",IF($M70="Warning","This year's figure is over "&amp;AC70/1000&amp;" million and "&amp;(AB70*100)&amp;"% different to "&amp;TEXT(AD70,"#,###")&amp;" last year, please explain",""))</f>
        <v/>
      </c>
      <c r="AB70">
        <f>VLOOKUP("RO6"&amp;$A70,data_val_parameters,9,0)/100</f>
        <v>0.4</v>
      </c>
      <c r="AC70">
        <f>VLOOKUP("RO6"&amp;$A70,data_val_parameters,7,0)</f>
        <v>4000</v>
      </c>
      <c r="AD70" t="e">
        <f>VLOOKUP(LA_code,data_prev_year,MATCH("RO6"&amp;$A70&amp;"7",data_prev_year_headers,0),0)</f>
        <v>#N/A</v>
      </c>
      <c r="AE70" t="e">
        <f t="shared" si="0"/>
        <v>#N/A</v>
      </c>
      <c r="AF70" t="e">
        <f t="shared" si="1"/>
        <v>#N/A</v>
      </c>
      <c r="AG70" t="e">
        <f t="shared" si="2"/>
        <v>#N/A</v>
      </c>
      <c r="AH70" t="e">
        <f t="shared" si="3"/>
        <v>#N/A</v>
      </c>
      <c r="AI70" t="e">
        <f>IF(OR(J70&lt;AF70,J70&gt;AE70),"Warning","")</f>
        <v>#N/A</v>
      </c>
      <c r="AJ70" t="e">
        <f>IF(OR(J70&gt;(AG70),J70&lt;(AH70)),"Warning","")</f>
        <v>#N/A</v>
      </c>
      <c r="AK70" t="str">
        <f>IF(OR(J70=0),"",IF(AND(AI70="Warning",AJ70="Warning"),"Warning",""))</f>
        <v/>
      </c>
    </row>
    <row r="71" spans="1:37" ht="15.5" x14ac:dyDescent="0.35">
      <c r="A71" s="122" t="s">
        <v>84</v>
      </c>
      <c r="B71" s="295"/>
      <c r="C71" s="237"/>
      <c r="D71" s="31"/>
      <c r="E71" s="31"/>
      <c r="F71" s="45"/>
      <c r="G71" s="31"/>
      <c r="H71" s="31"/>
      <c r="I71" s="45"/>
      <c r="J71" s="45"/>
      <c r="K71" s="112"/>
      <c r="L71" s="687"/>
      <c r="M71" s="310"/>
      <c r="N71" s="112"/>
      <c r="O71" s="131"/>
    </row>
    <row r="72" spans="1:37" ht="15.5" x14ac:dyDescent="0.35">
      <c r="A72" s="122">
        <v>465</v>
      </c>
      <c r="B72" s="295" t="s">
        <v>2020</v>
      </c>
      <c r="C72" s="237"/>
      <c r="D72" s="668"/>
      <c r="E72" s="668"/>
      <c r="F72" s="669">
        <f>SUM(D72:E72)</f>
        <v>0</v>
      </c>
      <c r="G72" s="668"/>
      <c r="H72" s="668"/>
      <c r="I72" s="669">
        <f>SUM(G72:H72)</f>
        <v>0</v>
      </c>
      <c r="J72" s="669">
        <f>F72-I72</f>
        <v>0</v>
      </c>
      <c r="K72" s="112"/>
      <c r="L72" s="688" t="str">
        <f>IF(ISERROR(M72),"",IF((M72="Error"),"add explanation",IF((M72="Warning"),"add explanation","")))</f>
        <v/>
      </c>
      <c r="M72" s="310" t="str">
        <f>IF(OR((I72&lt;&gt;(G72+H72)),(F72&lt;&gt;(D72+E72)),(J72&lt;&gt;(F72-I72))),"Error",IF(AK72="Warning","Warning",""))</f>
        <v/>
      </c>
      <c r="N72" s="112"/>
      <c r="O72" s="131" t="str">
        <f>IF($M72="Error","A total column for "&amp;($B72)&amp;" does not match the sum of the components, please correct",IF($M72="Warning","This year's figure is over "&amp;AC72/1000&amp;" million and "&amp;(AB72*100)&amp;"% different to "&amp;TEXT(AD72,"#,###")&amp;" last year, please explain",""))</f>
        <v/>
      </c>
      <c r="AB72">
        <f>VLOOKUP("RO6"&amp;$A72,data_val_parameters,9,0)/100</f>
        <v>0.4</v>
      </c>
      <c r="AC72">
        <f>VLOOKUP("RO6"&amp;$A72,data_val_parameters,7,0)</f>
        <v>4000</v>
      </c>
      <c r="AD72" t="e">
        <f>VLOOKUP(LA_code,data_prev_year,MATCH("RO6"&amp;$A72&amp;"7",data_prev_year_headers,0),0)</f>
        <v>#N/A</v>
      </c>
      <c r="AE72" t="e">
        <f t="shared" si="0"/>
        <v>#N/A</v>
      </c>
      <c r="AF72" t="e">
        <f t="shared" si="1"/>
        <v>#N/A</v>
      </c>
      <c r="AG72" t="e">
        <f t="shared" si="2"/>
        <v>#N/A</v>
      </c>
      <c r="AH72" t="e">
        <f t="shared" si="3"/>
        <v>#N/A</v>
      </c>
      <c r="AI72" t="e">
        <f>IF(OR(J72&lt;AF72,J72&gt;AE72),"Warning","")</f>
        <v>#N/A</v>
      </c>
      <c r="AJ72" t="e">
        <f>IF(OR(J72&gt;(AG72),J72&lt;(AH72)),"Warning","")</f>
        <v>#N/A</v>
      </c>
      <c r="AK72" t="str">
        <f>IF(OR(J72=0),"",IF(AND(AI72="Warning",AJ72="Warning"),"Warning",""))</f>
        <v/>
      </c>
    </row>
    <row r="73" spans="1:37" ht="15.5" x14ac:dyDescent="0.35">
      <c r="A73" s="330" t="s">
        <v>84</v>
      </c>
      <c r="B73" s="295"/>
      <c r="C73" s="237"/>
      <c r="D73" s="4"/>
      <c r="E73" s="4"/>
      <c r="F73" s="4"/>
      <c r="G73" s="4"/>
      <c r="H73" s="4"/>
      <c r="I73" s="4"/>
      <c r="J73" s="4"/>
      <c r="K73" s="112"/>
      <c r="L73" s="687"/>
      <c r="M73" s="310"/>
      <c r="N73" s="112"/>
      <c r="O73" s="131"/>
    </row>
    <row r="74" spans="1:37" ht="15.5" x14ac:dyDescent="0.35">
      <c r="A74" s="122">
        <v>470</v>
      </c>
      <c r="B74" s="295" t="s">
        <v>2021</v>
      </c>
      <c r="C74" s="237"/>
      <c r="D74" s="668"/>
      <c r="E74" s="668"/>
      <c r="F74" s="669">
        <f>SUM(D74:E74)</f>
        <v>0</v>
      </c>
      <c r="G74" s="668"/>
      <c r="H74" s="668"/>
      <c r="I74" s="669">
        <f>SUM(G74:H74)</f>
        <v>0</v>
      </c>
      <c r="J74" s="669">
        <f>F74-I74</f>
        <v>0</v>
      </c>
      <c r="K74" s="112"/>
      <c r="L74" s="688" t="str">
        <f>IF(ISERROR(M74),"",IF((M74="Error"),"add explanation",IF((M74="Warning"),"add explanation","")))</f>
        <v/>
      </c>
      <c r="M74" s="310" t="str">
        <f>IF(OR((I74&lt;&gt;(G74+H74)),(F74&lt;&gt;(D74+E74)),(J74&lt;&gt;(F74-I74))),"Error",IF(AK74="Warning","Warning",""))</f>
        <v/>
      </c>
      <c r="N74" s="112"/>
      <c r="O74" s="131" t="str">
        <f>IF($M74="Error","A total column for "&amp;($B74)&amp;" does not match the sum of the components, please correct",IF($M74="Warning","This year's figure is over "&amp;AC74/1000&amp;" million and "&amp;(AB74*100)&amp;"% different to "&amp;TEXT(AD74,"#,###")&amp;" last year, please explain",""))</f>
        <v/>
      </c>
      <c r="AB74">
        <f>VLOOKUP("RO6"&amp;$A74,data_val_parameters,9,0)/100</f>
        <v>0.4</v>
      </c>
      <c r="AC74">
        <f>VLOOKUP("RO6"&amp;$A74,data_val_parameters,7,0)</f>
        <v>4000</v>
      </c>
      <c r="AD74" t="e">
        <f>VLOOKUP(LA_code,data_prev_year,MATCH("RO6"&amp;$A74&amp;"7",data_prev_year_headers,0),0)</f>
        <v>#N/A</v>
      </c>
      <c r="AE74" t="e">
        <f t="shared" si="0"/>
        <v>#N/A</v>
      </c>
      <c r="AF74" t="e">
        <f t="shared" si="1"/>
        <v>#N/A</v>
      </c>
      <c r="AG74" t="e">
        <f t="shared" si="2"/>
        <v>#N/A</v>
      </c>
      <c r="AH74" t="e">
        <f t="shared" si="3"/>
        <v>#N/A</v>
      </c>
      <c r="AI74" t="e">
        <f>IF(OR(J74&lt;AF74,J74&gt;AE74),"Warning","")</f>
        <v>#N/A</v>
      </c>
      <c r="AJ74" t="e">
        <f>IF(OR(J74&gt;(AG74),J74&lt;(AH74)),"Warning","")</f>
        <v>#N/A</v>
      </c>
      <c r="AK74" t="str">
        <f>IF(OR(J74=0),"",IF(AND(AI74="Warning",AJ74="Warning"),"Warning",""))</f>
        <v/>
      </c>
    </row>
    <row r="75" spans="1:37" ht="15.5" x14ac:dyDescent="0.35">
      <c r="A75" s="122" t="s">
        <v>84</v>
      </c>
      <c r="B75" s="295"/>
      <c r="C75" s="237"/>
      <c r="D75" s="31"/>
      <c r="E75" s="31"/>
      <c r="F75" s="45"/>
      <c r="G75" s="31"/>
      <c r="H75" s="31"/>
      <c r="I75" s="45"/>
      <c r="J75" s="45"/>
      <c r="K75" s="112"/>
      <c r="L75" s="687"/>
      <c r="M75" s="310"/>
      <c r="N75" s="112"/>
      <c r="O75" s="131"/>
    </row>
    <row r="76" spans="1:37" ht="18" x14ac:dyDescent="0.4">
      <c r="A76" s="122">
        <v>475</v>
      </c>
      <c r="B76" s="295" t="s">
        <v>2022</v>
      </c>
      <c r="C76" s="237"/>
      <c r="D76" s="668"/>
      <c r="E76" s="668"/>
      <c r="F76" s="669">
        <f>SUM(D76:E76)</f>
        <v>0</v>
      </c>
      <c r="G76" s="668"/>
      <c r="H76" s="668"/>
      <c r="I76" s="669">
        <f>SUM(G76:H76)</f>
        <v>0</v>
      </c>
      <c r="J76" s="669">
        <f>F76-I76</f>
        <v>0</v>
      </c>
      <c r="K76" s="39"/>
      <c r="L76" s="688" t="str">
        <f>IF(ISERROR(M76),"",IF((M76="Error"),"add explanation",IF((M76="Warning"),"add explanation","")))</f>
        <v/>
      </c>
      <c r="M76" s="310" t="str">
        <f>IF(OR((I76&lt;&gt;(G76+H76)),(F76&lt;&gt;(D76+E76)),(J76&lt;&gt;(F76-I76))),"Error",IF(AK76="Warning","Warning",""))</f>
        <v/>
      </c>
      <c r="N76" s="112"/>
      <c r="O76" s="131" t="str">
        <f>IF($M76="Error","A total column for "&amp;($B76)&amp;" does not match the sum of the components, please correct",IF($M76="Warning","This year's figure is over "&amp;AC76/1000&amp;" million and "&amp;(AB76*100)&amp;"% different to "&amp;TEXT(AD76,"#,###")&amp;" last year, please explain",""))</f>
        <v/>
      </c>
      <c r="AB76">
        <f>VLOOKUP("RO6"&amp;$A76,data_val_parameters,9,0)/100</f>
        <v>0.4</v>
      </c>
      <c r="AC76">
        <f>VLOOKUP("RO6"&amp;$A76,data_val_parameters,7,0)</f>
        <v>4000</v>
      </c>
      <c r="AD76" t="e">
        <f>VLOOKUP(LA_code,data_prev_year,MATCH("RO6"&amp;$A76&amp;"7",data_prev_year_headers,0),0)</f>
        <v>#N/A</v>
      </c>
      <c r="AE76" t="e">
        <f t="shared" si="0"/>
        <v>#N/A</v>
      </c>
      <c r="AF76" t="e">
        <f t="shared" si="1"/>
        <v>#N/A</v>
      </c>
      <c r="AG76" s="645" t="e">
        <f t="shared" si="2"/>
        <v>#N/A</v>
      </c>
      <c r="AH76" s="645" t="e">
        <f t="shared" si="3"/>
        <v>#N/A</v>
      </c>
      <c r="AI76" t="e">
        <f>IF(OR(J76&lt;AF76,J76&gt;AE76),"Warning","")</f>
        <v>#N/A</v>
      </c>
      <c r="AJ76" t="e">
        <f>IF(OR(J76&gt;(AG76),J76&lt;(AH76)),"Warning","")</f>
        <v>#N/A</v>
      </c>
      <c r="AK76" t="str">
        <f>IF(OR(J76=0),"",IF(AND(AI76="Warning",AJ76="Warning"),"Warning",""))</f>
        <v/>
      </c>
    </row>
    <row r="77" spans="1:37" ht="15.5" x14ac:dyDescent="0.35">
      <c r="A77" s="122">
        <v>476</v>
      </c>
      <c r="B77" s="295" t="s">
        <v>2023</v>
      </c>
      <c r="C77" s="237"/>
      <c r="D77" s="668"/>
      <c r="E77" s="668"/>
      <c r="F77" s="669">
        <f>SUM(D77:E77)</f>
        <v>0</v>
      </c>
      <c r="G77" s="668"/>
      <c r="H77" s="668"/>
      <c r="I77" s="669">
        <f>SUM(G77:H77)</f>
        <v>0</v>
      </c>
      <c r="J77" s="669">
        <f>F77-I77</f>
        <v>0</v>
      </c>
      <c r="K77" s="112"/>
      <c r="L77" s="688" t="str">
        <f>IF(ISERROR(M77),"",IF((M77="Error"),"add explanation",IF((M77="Warning"),"add explanation","")))</f>
        <v/>
      </c>
      <c r="M77" s="310" t="str">
        <f>IF(OR((I77&lt;&gt;(G77+H77)),(F77&lt;&gt;(D77+E77)),(J77&lt;&gt;(F77-I77))),"Error",IF(AK77="Warning","Warning",""))</f>
        <v/>
      </c>
      <c r="N77" s="112"/>
      <c r="O77" s="131" t="str">
        <f>IF($M77="Error","A total column for "&amp;($B77)&amp;" does not match the sum of the components, please correct",IF($M77="Warning","This year's figure is over "&amp;AC77/1000&amp;" million and "&amp;(AB77*100)&amp;"% different to "&amp;TEXT(AD77,"#,###")&amp;" last year, please explain",""))</f>
        <v/>
      </c>
      <c r="AB77">
        <f>VLOOKUP("RO6"&amp;$A77,data_val_parameters,9,0)/100</f>
        <v>0.4</v>
      </c>
      <c r="AC77">
        <f>VLOOKUP("RO6"&amp;$A77,data_val_parameters,7,0)</f>
        <v>4000</v>
      </c>
      <c r="AD77" t="e">
        <f>VLOOKUP(LA_code,data_prev_year,MATCH("RO6"&amp;$A77&amp;"7",data_prev_year_headers,0),0)</f>
        <v>#N/A</v>
      </c>
      <c r="AE77" t="e">
        <f t="shared" si="0"/>
        <v>#N/A</v>
      </c>
      <c r="AF77" t="e">
        <f t="shared" si="1"/>
        <v>#N/A</v>
      </c>
      <c r="AG77" t="e">
        <f t="shared" si="2"/>
        <v>#N/A</v>
      </c>
      <c r="AH77" t="e">
        <f t="shared" si="3"/>
        <v>#N/A</v>
      </c>
      <c r="AI77" t="e">
        <f>IF(OR(J77&lt;AF77,J77&gt;AE77),"Warning","")</f>
        <v>#N/A</v>
      </c>
      <c r="AJ77" t="e">
        <f>IF(OR(J77&gt;(AG77),J77&lt;(AH77)),"Warning","")</f>
        <v>#N/A</v>
      </c>
      <c r="AK77" t="str">
        <f>IF(OR(J77=0),"",IF(AND(AI77="Warning",AJ77="Warning"),"Warning",""))</f>
        <v/>
      </c>
    </row>
    <row r="78" spans="1:37" ht="15.5" x14ac:dyDescent="0.35">
      <c r="A78" s="330" t="s">
        <v>84</v>
      </c>
      <c r="B78" s="295"/>
      <c r="C78" s="237"/>
      <c r="D78" s="31"/>
      <c r="E78" s="31"/>
      <c r="F78" s="106"/>
      <c r="G78" s="31"/>
      <c r="H78" s="31"/>
      <c r="I78" s="106"/>
      <c r="J78" s="106"/>
      <c r="K78" s="112"/>
      <c r="L78" s="687"/>
      <c r="M78" s="310"/>
      <c r="N78" s="112"/>
      <c r="O78" s="131"/>
    </row>
    <row r="79" spans="1:37" ht="15.5" x14ac:dyDescent="0.35">
      <c r="A79" s="107" t="s">
        <v>2024</v>
      </c>
      <c r="B79" s="295"/>
      <c r="C79" s="237"/>
      <c r="D79" s="31"/>
      <c r="E79" s="31"/>
      <c r="F79" s="106"/>
      <c r="G79" s="31"/>
      <c r="H79" s="31"/>
      <c r="I79" s="106"/>
      <c r="J79" s="106"/>
      <c r="K79" s="112"/>
      <c r="L79" s="687"/>
      <c r="M79" s="310"/>
      <c r="N79" s="112"/>
      <c r="O79" s="131"/>
    </row>
    <row r="80" spans="1:37" ht="15.5" x14ac:dyDescent="0.35">
      <c r="A80" s="108">
        <v>481</v>
      </c>
      <c r="B80" s="295" t="s">
        <v>2025</v>
      </c>
      <c r="C80" s="237"/>
      <c r="D80" s="668"/>
      <c r="E80" s="668"/>
      <c r="F80" s="669">
        <f>SUM(D80:E80)</f>
        <v>0</v>
      </c>
      <c r="G80" s="668"/>
      <c r="H80" s="668"/>
      <c r="I80" s="669">
        <f>SUM(G80:H80)</f>
        <v>0</v>
      </c>
      <c r="J80" s="669">
        <f>F80-I80</f>
        <v>0</v>
      </c>
      <c r="K80" s="112"/>
      <c r="L80" s="688" t="str">
        <f>IF(ISERROR(M80),"",IF((M80="Error"),"add explanation",IF((M80="Warning"),"add explanation","")))</f>
        <v/>
      </c>
      <c r="M80" s="310" t="str">
        <f>IF(OR((I80&lt;&gt;(G80+H80)),(F80&lt;&gt;(D80+E80)),(J80&lt;&gt;(F80-I80))),"Error",IF(AK80="Warning","Warning",""))</f>
        <v/>
      </c>
      <c r="N80" s="112"/>
      <c r="O80" s="131" t="str">
        <f>IF($M80="Error","A total column for "&amp;($B80)&amp;" does not match the sum of the components, please correct",IF($M80="Warning","This year's figure is over "&amp;AC80/1000&amp;" million and "&amp;(AB80*100)&amp;"% different to "&amp;TEXT(AD80,"#,###")&amp;" last year, please explain",""))</f>
        <v/>
      </c>
      <c r="AB80">
        <f>VLOOKUP("RO6"&amp;$A80,data_val_parameters,9,0)/100</f>
        <v>0.4</v>
      </c>
      <c r="AC80">
        <f>VLOOKUP("RO6"&amp;$A80,data_val_parameters,7,0)</f>
        <v>20000</v>
      </c>
      <c r="AD80" t="e">
        <f>VLOOKUP(LA_code,data_prev_year,MATCH("RO6"&amp;$A80&amp;"7",data_prev_year_headers,0),0)</f>
        <v>#N/A</v>
      </c>
      <c r="AE80" t="e">
        <f t="shared" si="0"/>
        <v>#N/A</v>
      </c>
      <c r="AF80" t="e">
        <f t="shared" si="1"/>
        <v>#N/A</v>
      </c>
      <c r="AG80" s="645" t="e">
        <f t="shared" si="2"/>
        <v>#N/A</v>
      </c>
      <c r="AH80" s="645" t="e">
        <f t="shared" si="3"/>
        <v>#N/A</v>
      </c>
      <c r="AI80" t="e">
        <f>IF(OR(J80&lt;AF80,J80&gt;AE80),"Warning","")</f>
        <v>#N/A</v>
      </c>
      <c r="AJ80" t="e">
        <f>IF(OR(J80&gt;(AG80),J80&lt;(AH80)),"Warning","")</f>
        <v>#N/A</v>
      </c>
      <c r="AK80" t="str">
        <f>IF(OR(J80=0),"",IF(AND(AI80="Warning",AJ80="Warning"),"Warning",""))</f>
        <v/>
      </c>
    </row>
    <row r="81" spans="1:37" ht="15.5" x14ac:dyDescent="0.35">
      <c r="A81" s="108">
        <v>482</v>
      </c>
      <c r="B81" s="295" t="s">
        <v>2026</v>
      </c>
      <c r="C81" s="237"/>
      <c r="D81" s="668"/>
      <c r="E81" s="668"/>
      <c r="F81" s="669">
        <f>SUM(D81:E81)</f>
        <v>0</v>
      </c>
      <c r="G81" s="668"/>
      <c r="H81" s="668"/>
      <c r="I81" s="669">
        <f>SUM(G81:H81)</f>
        <v>0</v>
      </c>
      <c r="J81" s="669">
        <f>F81-I81</f>
        <v>0</v>
      </c>
      <c r="K81" s="112"/>
      <c r="L81" s="688" t="str">
        <f>IF(ISERROR(M81),"",IF((M81="Error"),"add explanation",IF((M81="Warning"),"add explanation","")))</f>
        <v/>
      </c>
      <c r="M81" s="310" t="str">
        <f>IF(OR((I81&lt;&gt;(G81+H81)),(F81&lt;&gt;(D81+E81)),(J81&lt;&gt;(F81-I81))),"Error",IF(AK81="Warning","Warning",""))</f>
        <v/>
      </c>
      <c r="N81" s="112"/>
      <c r="O81" s="131" t="str">
        <f>IF($M81="Error","A total column for "&amp;($B81)&amp;" does not match the sum of the components, please correct",IF($M81="Warning","This year's figure is over "&amp;AC81/1000&amp;" million and "&amp;(AB81*100)&amp;"% different to "&amp;TEXT(AD81,"#,###")&amp;" last year, please explain",""))</f>
        <v/>
      </c>
      <c r="AB81">
        <f>VLOOKUP("RO6"&amp;$A81,data_val_parameters,9,0)/100</f>
        <v>0.4</v>
      </c>
      <c r="AC81">
        <f>VLOOKUP("RO6"&amp;$A81,data_val_parameters,7,0)</f>
        <v>4000</v>
      </c>
      <c r="AD81" t="e">
        <f>VLOOKUP(LA_code,data_prev_year,MATCH("RO6"&amp;$A81&amp;"7",data_prev_year_headers,0),0)</f>
        <v>#N/A</v>
      </c>
      <c r="AE81" t="e">
        <f t="shared" si="0"/>
        <v>#N/A</v>
      </c>
      <c r="AF81" t="e">
        <f t="shared" si="1"/>
        <v>#N/A</v>
      </c>
      <c r="AG81" t="e">
        <f t="shared" si="2"/>
        <v>#N/A</v>
      </c>
      <c r="AH81" t="e">
        <f t="shared" si="3"/>
        <v>#N/A</v>
      </c>
      <c r="AI81" t="e">
        <f>IF(OR(J81&lt;AF81,J81&gt;AE81),"Warning","")</f>
        <v>#N/A</v>
      </c>
      <c r="AJ81" t="e">
        <f>IF(OR(J81&gt;(AG81),J81&lt;(AH81)),"Warning","")</f>
        <v>#N/A</v>
      </c>
      <c r="AK81" t="str">
        <f>IF(OR(J81=0),"",IF(AND(AI81="Warning",AJ81="Warning"),"Warning",""))</f>
        <v/>
      </c>
    </row>
    <row r="82" spans="1:37" ht="15.5" x14ac:dyDescent="0.35">
      <c r="A82" s="124">
        <v>484</v>
      </c>
      <c r="B82" s="295" t="s">
        <v>2027</v>
      </c>
      <c r="C82" s="237"/>
      <c r="D82" s="668"/>
      <c r="E82" s="668"/>
      <c r="F82" s="669">
        <f>SUM(D82:E82)</f>
        <v>0</v>
      </c>
      <c r="G82" s="668"/>
      <c r="H82" s="668"/>
      <c r="I82" s="669">
        <f>SUM(G82:H82)</f>
        <v>0</v>
      </c>
      <c r="J82" s="669">
        <f>F82-I82</f>
        <v>0</v>
      </c>
      <c r="K82" s="112"/>
      <c r="L82" s="688" t="str">
        <f>IF(ISERROR(M82),"",IF((M82="Error"),"add explanation",IF((M82="Warning"),"add explanation","")))</f>
        <v/>
      </c>
      <c r="M82" s="310" t="str">
        <f>IF(OR((I82&lt;&gt;(G82+H82)),(F82&lt;&gt;(D82+E82)),(J82&lt;&gt;(F82-I82))),"Error",IF(AK82="Warning","Warning",""))</f>
        <v/>
      </c>
      <c r="N82" s="112"/>
      <c r="O82" s="131" t="str">
        <f>IF($M82="Error","A total column for "&amp;($B82)&amp;" does not match the sum of the components, please correct",IF($M82="Warning","This year's figure is over "&amp;AC82/1000&amp;" million and "&amp;(AB82*100)&amp;"% different to "&amp;TEXT(AD82,"#,###")&amp;" last year, please explain",""))</f>
        <v/>
      </c>
      <c r="AB82">
        <f>VLOOKUP("RO6"&amp;$A82,data_val_parameters,9,0)/100</f>
        <v>0.4</v>
      </c>
      <c r="AC82">
        <f>VLOOKUP("RO6"&amp;$A82,data_val_parameters,7,0)</f>
        <v>10000</v>
      </c>
      <c r="AD82" t="e">
        <f>VLOOKUP(LA_code,data_prev_year,MATCH("RO6"&amp;$A82&amp;"7",data_prev_year_headers,0),0)</f>
        <v>#N/A</v>
      </c>
      <c r="AE82" t="e">
        <f t="shared" si="0"/>
        <v>#N/A</v>
      </c>
      <c r="AF82" t="e">
        <f t="shared" si="1"/>
        <v>#N/A</v>
      </c>
      <c r="AG82" s="645" t="e">
        <f t="shared" si="2"/>
        <v>#N/A</v>
      </c>
      <c r="AH82" s="645" t="e">
        <f t="shared" si="3"/>
        <v>#N/A</v>
      </c>
      <c r="AI82" t="e">
        <f>IF(OR(J82&lt;AF82,J82&gt;AE82),"Warning","")</f>
        <v>#N/A</v>
      </c>
      <c r="AJ82" t="e">
        <f>IF(OR(J82&gt;(AG82),J82&lt;(AH82)),"Warning","")</f>
        <v>#N/A</v>
      </c>
      <c r="AK82" t="str">
        <f>IF(OR(J82=0),"",IF(AND(AI82="Warning",AJ82="Warning"),"Warning",""))</f>
        <v/>
      </c>
    </row>
    <row r="83" spans="1:37" ht="15.5" x14ac:dyDescent="0.35">
      <c r="A83" s="31" t="s">
        <v>84</v>
      </c>
      <c r="B83" s="295"/>
      <c r="C83" s="237"/>
      <c r="D83" s="31"/>
      <c r="E83" s="31"/>
      <c r="F83" s="106"/>
      <c r="G83" s="31"/>
      <c r="H83" s="31"/>
      <c r="I83" s="106"/>
      <c r="J83" s="106"/>
      <c r="K83" s="112"/>
      <c r="L83" s="687"/>
      <c r="M83" s="310"/>
      <c r="N83" s="112"/>
      <c r="O83" s="131"/>
    </row>
    <row r="84" spans="1:37" ht="15.5" x14ac:dyDescent="0.35">
      <c r="A84" s="122">
        <v>489</v>
      </c>
      <c r="B84" s="295" t="s">
        <v>2028</v>
      </c>
      <c r="C84" s="237"/>
      <c r="D84" s="668"/>
      <c r="E84" s="668"/>
      <c r="F84" s="669">
        <f>SUM(D84:E84)</f>
        <v>0</v>
      </c>
      <c r="G84" s="668"/>
      <c r="H84" s="1139">
        <f>SUM(H93:H97)</f>
        <v>0</v>
      </c>
      <c r="I84" s="719">
        <f>SUM(G84:H84)</f>
        <v>0</v>
      </c>
      <c r="J84" s="669">
        <f>F84-I84</f>
        <v>0</v>
      </c>
      <c r="K84" s="112"/>
      <c r="L84" s="688" t="str">
        <f>IF(ISERROR(M84),"",IF((M84="Error"),"add explanation",IF((M84="Warning"),"add explanation","")))</f>
        <v/>
      </c>
      <c r="M84" s="310" t="str">
        <f>IF(OR((I84&lt;&gt;(G84+H84)),(F84&lt;&gt;(D84+E84)),(J84&lt;&gt;(F84-I84))),"Error",IF(AK84="Warning","Warning",""))</f>
        <v/>
      </c>
      <c r="N84" s="112"/>
      <c r="O84" s="131" t="str">
        <f>IF($M84="Error","A total column for "&amp;($B84)&amp;" does not match the sum of the components, please correct",IF($M84="Warning","This year's figure is over "&amp;AC84/1000&amp;" million and "&amp;(AB84*100)&amp;"% different to "&amp;TEXT(AD84,"#,###")&amp;" last year, please explain",""))</f>
        <v/>
      </c>
      <c r="AB84">
        <f>VLOOKUP("RO6"&amp;$A84,data_val_parameters,9,0)/100</f>
        <v>0.45</v>
      </c>
      <c r="AC84">
        <f>VLOOKUP("RO6"&amp;$A84,data_val_parameters,7,0)</f>
        <v>10000</v>
      </c>
      <c r="AD84" t="e">
        <f>VLOOKUP(LA_code,data_prev_year,MATCH("RO6"&amp;$A84&amp;"7",data_prev_year_headers,0),0)</f>
        <v>#N/A</v>
      </c>
      <c r="AE84" t="e">
        <f t="shared" si="0"/>
        <v>#N/A</v>
      </c>
      <c r="AF84" t="e">
        <f t="shared" si="1"/>
        <v>#N/A</v>
      </c>
      <c r="AG84" s="645" t="e">
        <f t="shared" si="2"/>
        <v>#N/A</v>
      </c>
      <c r="AH84" s="645" t="e">
        <f t="shared" si="3"/>
        <v>#N/A</v>
      </c>
      <c r="AI84" t="e">
        <f>IF(OR(J84&lt;AF84,J84&gt;AE84),"Warning","")</f>
        <v>#N/A</v>
      </c>
      <c r="AJ84" t="e">
        <f>IF(OR(J84&gt;(AG84),J84&lt;(AH84)),"Warning","")</f>
        <v>#N/A</v>
      </c>
      <c r="AK84" t="str">
        <f>IF(OR(J84=0),"",IF(AND(AI84="Warning",AJ84="Warning"),"Warning",""))</f>
        <v/>
      </c>
    </row>
    <row r="85" spans="1:37" ht="15.5" x14ac:dyDescent="0.35">
      <c r="A85" s="331" t="s">
        <v>2029</v>
      </c>
      <c r="B85" s="295"/>
      <c r="C85" s="237"/>
      <c r="D85" s="303"/>
      <c r="E85" s="303"/>
      <c r="F85" s="566"/>
      <c r="G85" s="303"/>
      <c r="H85" s="303"/>
      <c r="I85" s="566"/>
      <c r="J85" s="566"/>
      <c r="K85" s="54"/>
      <c r="L85" s="687"/>
      <c r="M85" s="310"/>
      <c r="N85" s="112"/>
      <c r="O85" s="131"/>
    </row>
    <row r="86" spans="1:37" ht="15.5" x14ac:dyDescent="0.35">
      <c r="A86" s="571">
        <v>490</v>
      </c>
      <c r="B86" s="297" t="s">
        <v>2030</v>
      </c>
      <c r="C86" s="237"/>
      <c r="D86" s="669">
        <f t="shared" ref="D86:J86" si="17">SUM(D50,D55:D60,D62,D65:D66,D68,D70,D72,D74,D76:D77,D80:D82,D84)</f>
        <v>0</v>
      </c>
      <c r="E86" s="669">
        <f t="shared" si="17"/>
        <v>0</v>
      </c>
      <c r="F86" s="669">
        <f t="shared" si="17"/>
        <v>0</v>
      </c>
      <c r="G86" s="669">
        <f t="shared" si="17"/>
        <v>0</v>
      </c>
      <c r="H86" s="669">
        <f t="shared" si="17"/>
        <v>0</v>
      </c>
      <c r="I86" s="669">
        <f t="shared" si="17"/>
        <v>0</v>
      </c>
      <c r="J86" s="1134">
        <f t="shared" si="17"/>
        <v>0</v>
      </c>
      <c r="K86" s="119"/>
      <c r="L86" s="688" t="str">
        <f>IF(ISERROR(M86),"",IF((M86="Error"),"add explanation",IF((M86="Warning"),"add explanation","")))</f>
        <v/>
      </c>
      <c r="M86" s="310" t="str">
        <f>IF(OR((I86&lt;&gt;(G86+H86)),(F86&lt;&gt;(D86+E86)),(J86&lt;&gt;(F86-I86))),"Error",IF(AK86="Warning","Warning",""))</f>
        <v/>
      </c>
      <c r="N86" s="112"/>
      <c r="O86" s="131" t="str">
        <f>IF($M86="Error","A total column for "&amp;($B86)&amp;" does not match the sum of the components, please correct",IF($M86="Warning","This year's figure is over "&amp;AC86/1000&amp;" million and "&amp;(AB86*100)&amp;"% different to "&amp;TEXT(AD86,"#,###")&amp;" last year, please explain",""))</f>
        <v/>
      </c>
    </row>
    <row r="87" spans="1:37" ht="15.5" x14ac:dyDescent="0.35">
      <c r="A87" s="112"/>
      <c r="B87" s="237"/>
      <c r="C87" s="237"/>
      <c r="D87" s="31"/>
      <c r="E87" s="1135"/>
      <c r="F87" s="4"/>
      <c r="G87" s="4"/>
      <c r="H87" s="4"/>
      <c r="I87" s="4"/>
      <c r="J87" s="298" t="s">
        <v>1730</v>
      </c>
      <c r="K87" s="112"/>
      <c r="L87" s="689"/>
      <c r="M87" s="164"/>
      <c r="N87" s="112"/>
      <c r="O87" s="112"/>
    </row>
    <row r="88" spans="1:37" ht="46.5" x14ac:dyDescent="0.35">
      <c r="A88" s="112"/>
      <c r="B88" s="237"/>
      <c r="C88" s="237"/>
      <c r="D88" s="31"/>
      <c r="E88" s="709" t="s">
        <v>1731</v>
      </c>
      <c r="F88" s="4"/>
      <c r="G88" s="4"/>
      <c r="H88" s="4"/>
      <c r="I88" s="4"/>
      <c r="J88" s="298"/>
      <c r="K88" s="112"/>
      <c r="L88" s="689"/>
      <c r="M88" s="164"/>
      <c r="N88" s="112"/>
      <c r="O88" s="112"/>
    </row>
    <row r="89" spans="1:37" ht="15.5" x14ac:dyDescent="0.35">
      <c r="A89" s="112"/>
      <c r="B89" s="112"/>
      <c r="C89" s="112"/>
      <c r="D89" s="31"/>
      <c r="E89" s="399" t="s">
        <v>1732</v>
      </c>
      <c r="F89" s="4"/>
      <c r="G89" s="4"/>
      <c r="H89" s="4"/>
      <c r="I89" s="4"/>
      <c r="J89" s="298"/>
      <c r="K89" s="112"/>
      <c r="L89" s="689"/>
      <c r="M89" s="164"/>
      <c r="N89" s="112"/>
      <c r="O89" s="112"/>
    </row>
    <row r="90" spans="1:37" ht="15.5" x14ac:dyDescent="0.35">
      <c r="A90" s="859">
        <v>1491</v>
      </c>
      <c r="B90" s="859" t="s">
        <v>2031</v>
      </c>
      <c r="C90" s="112"/>
      <c r="D90" s="112"/>
      <c r="E90" s="996"/>
      <c r="F90" s="4"/>
      <c r="G90" s="4"/>
      <c r="H90" s="4"/>
      <c r="I90" s="4"/>
      <c r="J90" s="298"/>
      <c r="K90" s="112"/>
      <c r="L90" s="689"/>
      <c r="M90" s="164"/>
      <c r="N90" s="112"/>
      <c r="O90" s="112"/>
    </row>
    <row r="91" spans="1:37" ht="15.5" x14ac:dyDescent="0.35">
      <c r="A91" s="112" t="s">
        <v>84</v>
      </c>
      <c r="B91" s="295"/>
      <c r="C91" s="237"/>
      <c r="D91" s="55"/>
      <c r="E91" s="55"/>
      <c r="F91" s="4"/>
      <c r="G91" s="4"/>
      <c r="H91" s="4"/>
      <c r="I91" s="4"/>
      <c r="J91" s="4"/>
      <c r="K91" s="112"/>
      <c r="L91" s="689"/>
      <c r="M91" s="164"/>
      <c r="N91" s="112"/>
      <c r="O91" s="112"/>
    </row>
    <row r="92" spans="1:37" ht="15.5" x14ac:dyDescent="0.35">
      <c r="A92" s="572" t="s">
        <v>2032</v>
      </c>
      <c r="B92" s="295"/>
      <c r="C92" s="237"/>
      <c r="D92" s="65"/>
      <c r="E92" s="65"/>
      <c r="F92" s="54"/>
      <c r="G92" s="54"/>
      <c r="H92" s="54"/>
      <c r="I92" s="54"/>
      <c r="J92" s="54"/>
      <c r="K92" s="54"/>
      <c r="L92" s="689"/>
      <c r="M92" s="471"/>
      <c r="N92" s="54"/>
      <c r="O92" s="54"/>
    </row>
    <row r="93" spans="1:37" ht="15.5" x14ac:dyDescent="0.35">
      <c r="A93" s="108">
        <v>491</v>
      </c>
      <c r="B93" s="295" t="s">
        <v>2033</v>
      </c>
      <c r="C93" s="237"/>
      <c r="D93" s="31"/>
      <c r="E93" s="31"/>
      <c r="F93" s="45"/>
      <c r="G93" s="31"/>
      <c r="H93" s="1140"/>
      <c r="I93" s="45"/>
      <c r="J93" s="45"/>
      <c r="K93" s="112"/>
      <c r="L93" s="688" t="str">
        <f>IF(ISERROR(M93),"",IF((M93="Error"),"add explanation",IF((M93="Warning"),"add explanation","")))</f>
        <v/>
      </c>
      <c r="M93" s="310" t="str">
        <f>IF(AK93="Warning","Warning","")</f>
        <v/>
      </c>
      <c r="N93" s="112"/>
      <c r="O93" s="131" t="str">
        <f>IF($M93="Warning","This year's figure is over "&amp;AC93/1000&amp;" million and "&amp;(AB93*100)&amp;"% different to "&amp;TEXT(AD93,"#,###")&amp;" last year, please explain","")</f>
        <v/>
      </c>
      <c r="AB93">
        <f>VLOOKUP("RO6"&amp;$A93,data_val_parameters,9,0)/100</f>
        <v>0.45</v>
      </c>
      <c r="AC93">
        <f>VLOOKUP("RO6"&amp;$A93,data_val_parameters,7,0)</f>
        <v>10000</v>
      </c>
      <c r="AD93" t="e">
        <f>VLOOKUP(LA_code,data_prev_year,MATCH("RO6"&amp;$A93&amp;"5",data_prev_year_headers,0),0)</f>
        <v>#N/A</v>
      </c>
      <c r="AE93" t="e">
        <f t="shared" ref="AE93" si="18">AD93+AC93</f>
        <v>#N/A</v>
      </c>
      <c r="AF93" t="e">
        <f t="shared" ref="AF93" si="19">AD93-AC93</f>
        <v>#N/A</v>
      </c>
      <c r="AG93" s="645" t="e">
        <f t="shared" ref="AG93" si="20">AD93+(AD93*AB93)</f>
        <v>#N/A</v>
      </c>
      <c r="AH93" s="645" t="e">
        <f t="shared" ref="AH93" si="21">AD93-(AD93*AB93)</f>
        <v>#N/A</v>
      </c>
      <c r="AI93" t="e">
        <f>IF(OR(H93&lt;AF93,H93&gt;AE93),"Warning","")</f>
        <v>#N/A</v>
      </c>
      <c r="AJ93" t="e">
        <f>IF(OR(H93&gt;(AG93),H93&lt;(AH93)),"Warning","")</f>
        <v>#N/A</v>
      </c>
      <c r="AK93" t="str">
        <f>IF(OR(H93=0),"",IF(AND(AI93="Warning",AJ93="Warning"),"Warning",""))</f>
        <v/>
      </c>
    </row>
    <row r="94" spans="1:37" ht="15.5" x14ac:dyDescent="0.35">
      <c r="A94" s="108">
        <v>492</v>
      </c>
      <c r="B94" s="295" t="s">
        <v>2034</v>
      </c>
      <c r="C94" s="237"/>
      <c r="D94" s="31"/>
      <c r="E94" s="31"/>
      <c r="F94" s="45"/>
      <c r="G94" s="31"/>
      <c r="H94" s="1140"/>
      <c r="I94" s="45"/>
      <c r="J94" s="45"/>
      <c r="K94" s="112"/>
      <c r="L94" s="688" t="str">
        <f t="shared" ref="L94:L97" si="22">IF(ISERROR(M94),"",IF((M94="Error"),"add explanation",IF((M94="Warning"),"add explanation","")))</f>
        <v/>
      </c>
      <c r="M94" s="310" t="str">
        <f t="shared" ref="M94:M97" si="23">IF(AK94="Warning","Warning","")</f>
        <v/>
      </c>
      <c r="N94" s="112"/>
      <c r="O94" s="131" t="str">
        <f>IF($M94="Warning","This year's figure is over "&amp;AC94/1000&amp;" million and "&amp;(AB94*100)&amp;"% different to "&amp;TEXT(AD94,"#,###")&amp;" last year, please explain","")</f>
        <v/>
      </c>
      <c r="AB94">
        <f>VLOOKUP("RO6"&amp;$A94,data_val_parameters,9,0)/100</f>
        <v>0.45</v>
      </c>
      <c r="AC94">
        <f>VLOOKUP("RO6"&amp;$A94,data_val_parameters,7,0)</f>
        <v>10000</v>
      </c>
      <c r="AD94" t="e">
        <f>VLOOKUP(LA_code,data_prev_year,MATCH("RO6"&amp;$A94&amp;"5",data_prev_year_headers,0),0)</f>
        <v>#N/A</v>
      </c>
      <c r="AE94" t="e">
        <f t="shared" ref="AE94:AE97" si="24">AD94+AC94</f>
        <v>#N/A</v>
      </c>
      <c r="AF94" t="e">
        <f t="shared" ref="AF94:AF97" si="25">AD94-AC94</f>
        <v>#N/A</v>
      </c>
      <c r="AG94" s="645" t="e">
        <f t="shared" ref="AG94:AG97" si="26">AD94+(AD94*AB94)</f>
        <v>#N/A</v>
      </c>
      <c r="AH94" s="645" t="e">
        <f t="shared" ref="AH94:AH97" si="27">AD94-(AD94*AB94)</f>
        <v>#N/A</v>
      </c>
      <c r="AI94" t="e">
        <f t="shared" ref="AI94:AI97" si="28">IF(OR(H94&lt;AF94,H94&gt;AE94),"Warning","")</f>
        <v>#N/A</v>
      </c>
      <c r="AJ94" t="e">
        <f t="shared" ref="AJ94:AJ97" si="29">IF(OR(H94&gt;(AG94),H94&lt;(AH94)),"Warning","")</f>
        <v>#N/A</v>
      </c>
      <c r="AK94" t="str">
        <f t="shared" ref="AK94:AK97" si="30">IF(OR(H94=0),"",IF(AND(AI94="Warning",AJ94="Warning"),"Warning",""))</f>
        <v/>
      </c>
    </row>
    <row r="95" spans="1:37" ht="15.5" x14ac:dyDescent="0.35">
      <c r="A95" s="108">
        <v>493</v>
      </c>
      <c r="B95" s="295" t="s">
        <v>2035</v>
      </c>
      <c r="C95" s="237"/>
      <c r="D95" s="31"/>
      <c r="E95" s="31"/>
      <c r="F95" s="45"/>
      <c r="G95" s="31"/>
      <c r="H95" s="1140"/>
      <c r="I95" s="45"/>
      <c r="J95" s="45"/>
      <c r="K95" s="112"/>
      <c r="L95" s="688" t="str">
        <f t="shared" si="22"/>
        <v/>
      </c>
      <c r="M95" s="310" t="str">
        <f t="shared" si="23"/>
        <v/>
      </c>
      <c r="N95" s="112"/>
      <c r="O95" s="131" t="str">
        <f>IF($M95="Warning","This year's figure is over "&amp;AC95/1000&amp;" million and "&amp;(AB95*100)&amp;"% different to "&amp;TEXT(AD95,"#,###")&amp;" last year, please explain","")</f>
        <v/>
      </c>
      <c r="AB95">
        <f>VLOOKUP("RO6"&amp;$A95,data_val_parameters,9,0)/100</f>
        <v>0.45</v>
      </c>
      <c r="AC95">
        <f>VLOOKUP("RO6"&amp;$A95,data_val_parameters,7,0)</f>
        <v>10000</v>
      </c>
      <c r="AD95" t="e">
        <f>VLOOKUP(LA_code,data_prev_year,MATCH("RO6"&amp;$A95&amp;"5",data_prev_year_headers,0),0)</f>
        <v>#N/A</v>
      </c>
      <c r="AE95" t="e">
        <f t="shared" si="24"/>
        <v>#N/A</v>
      </c>
      <c r="AF95" t="e">
        <f t="shared" si="25"/>
        <v>#N/A</v>
      </c>
      <c r="AG95" s="645" t="e">
        <f t="shared" si="26"/>
        <v>#N/A</v>
      </c>
      <c r="AH95" s="645" t="e">
        <f t="shared" si="27"/>
        <v>#N/A</v>
      </c>
      <c r="AI95" t="e">
        <f t="shared" si="28"/>
        <v>#N/A</v>
      </c>
      <c r="AJ95" t="e">
        <f t="shared" si="29"/>
        <v>#N/A</v>
      </c>
      <c r="AK95" t="str">
        <f t="shared" si="30"/>
        <v/>
      </c>
    </row>
    <row r="96" spans="1:37" ht="15.5" x14ac:dyDescent="0.35">
      <c r="A96" s="108">
        <v>494</v>
      </c>
      <c r="B96" s="295" t="s">
        <v>2036</v>
      </c>
      <c r="C96" s="237"/>
      <c r="D96" s="31"/>
      <c r="E96" s="31"/>
      <c r="F96" s="45"/>
      <c r="G96" s="31"/>
      <c r="H96" s="1140"/>
      <c r="I96" s="45"/>
      <c r="J96" s="45"/>
      <c r="K96" s="112"/>
      <c r="L96" s="688" t="str">
        <f t="shared" si="22"/>
        <v/>
      </c>
      <c r="M96" s="310" t="str">
        <f t="shared" si="23"/>
        <v/>
      </c>
      <c r="N96" s="112"/>
      <c r="O96" s="131" t="str">
        <f>IF($M96="Warning","This year's figure is over "&amp;AC96/1000&amp;" million and "&amp;(AB96*100)&amp;"% different to "&amp;TEXT(AD96,"#,###")&amp;" last year, please explain","")</f>
        <v/>
      </c>
      <c r="AB96">
        <f>VLOOKUP("RO6"&amp;$A96,data_val_parameters,9,0)/100</f>
        <v>0.45</v>
      </c>
      <c r="AC96">
        <f>VLOOKUP("RO6"&amp;$A96,data_val_parameters,7,0)</f>
        <v>10000</v>
      </c>
      <c r="AD96" t="e">
        <f>VLOOKUP(LA_code,data_prev_year,MATCH("RO6"&amp;$A96&amp;"5",data_prev_year_headers,0),0)</f>
        <v>#N/A</v>
      </c>
      <c r="AE96" t="e">
        <f t="shared" si="24"/>
        <v>#N/A</v>
      </c>
      <c r="AF96" t="e">
        <f t="shared" si="25"/>
        <v>#N/A</v>
      </c>
      <c r="AG96" s="645" t="e">
        <f t="shared" si="26"/>
        <v>#N/A</v>
      </c>
      <c r="AH96" s="645" t="e">
        <f t="shared" si="27"/>
        <v>#N/A</v>
      </c>
      <c r="AI96" t="e">
        <f t="shared" si="28"/>
        <v>#N/A</v>
      </c>
      <c r="AJ96" t="e">
        <f t="shared" si="29"/>
        <v>#N/A</v>
      </c>
      <c r="AK96" t="str">
        <f t="shared" si="30"/>
        <v/>
      </c>
    </row>
    <row r="97" spans="1:37" ht="15.5" x14ac:dyDescent="0.35">
      <c r="A97" s="296">
        <v>495</v>
      </c>
      <c r="B97" s="295" t="s">
        <v>2037</v>
      </c>
      <c r="C97" s="237"/>
      <c r="D97" s="31"/>
      <c r="E97" s="31"/>
      <c r="F97" s="45"/>
      <c r="G97" s="31"/>
      <c r="H97" s="1140"/>
      <c r="I97" s="45"/>
      <c r="J97" s="45"/>
      <c r="K97" s="112"/>
      <c r="L97" s="688" t="str">
        <f t="shared" si="22"/>
        <v/>
      </c>
      <c r="M97" s="310" t="str">
        <f t="shared" si="23"/>
        <v/>
      </c>
      <c r="N97" s="112"/>
      <c r="O97" s="131" t="str">
        <f>IF($M97="Warning","This year's figure is over "&amp;AC97/1000&amp;" million and "&amp;(AB97*100)&amp;"% different to "&amp;TEXT(AD97,"#,###")&amp;" last year, please explain","")</f>
        <v/>
      </c>
      <c r="AB97">
        <f>VLOOKUP("RO6"&amp;$A97,data_val_parameters,9,0)/100</f>
        <v>0.45</v>
      </c>
      <c r="AC97">
        <f>VLOOKUP("RO6"&amp;$A97,data_val_parameters,7,0)</f>
        <v>10000</v>
      </c>
      <c r="AD97" t="e">
        <f>VLOOKUP(LA_code,data_prev_year,MATCH("RO6"&amp;$A97&amp;"5",data_prev_year_headers,0),0)</f>
        <v>#N/A</v>
      </c>
      <c r="AE97" t="e">
        <f t="shared" si="24"/>
        <v>#N/A</v>
      </c>
      <c r="AF97" t="e">
        <f t="shared" si="25"/>
        <v>#N/A</v>
      </c>
      <c r="AG97" s="645" t="e">
        <f t="shared" si="26"/>
        <v>#N/A</v>
      </c>
      <c r="AH97" s="645" t="e">
        <f t="shared" si="27"/>
        <v>#N/A</v>
      </c>
      <c r="AI97" t="e">
        <f t="shared" si="28"/>
        <v>#N/A</v>
      </c>
      <c r="AJ97" t="e">
        <f t="shared" si="29"/>
        <v>#N/A</v>
      </c>
      <c r="AK97" t="str">
        <f t="shared" si="30"/>
        <v/>
      </c>
    </row>
    <row r="98" spans="1:37" ht="15.5" x14ac:dyDescent="0.35">
      <c r="A98" s="222" t="s">
        <v>84</v>
      </c>
      <c r="B98" s="295"/>
      <c r="C98" s="237"/>
      <c r="D98" s="55"/>
      <c r="E98" s="55"/>
      <c r="F98" s="4"/>
      <c r="G98" s="4"/>
      <c r="H98" s="4"/>
      <c r="I98" s="4"/>
      <c r="J98" s="4"/>
      <c r="K98" s="112"/>
      <c r="L98" s="689"/>
      <c r="M98" s="164"/>
      <c r="N98" s="112"/>
      <c r="O98" s="112"/>
    </row>
    <row r="99" spans="1:37" ht="15.5" x14ac:dyDescent="0.35">
      <c r="A99" s="11" t="s">
        <v>84</v>
      </c>
      <c r="B99" s="295" t="s">
        <v>84</v>
      </c>
      <c r="C99" s="237"/>
      <c r="D99" s="55"/>
      <c r="E99" s="55"/>
      <c r="F99" s="4"/>
      <c r="G99" s="4"/>
      <c r="H99" s="4"/>
      <c r="I99" s="4"/>
      <c r="J99" s="4"/>
      <c r="K99" s="112"/>
      <c r="L99" s="689"/>
      <c r="M99" s="164"/>
      <c r="N99" s="112"/>
      <c r="O99" s="112"/>
    </row>
    <row r="100" spans="1:37" ht="18" x14ac:dyDescent="0.4">
      <c r="A100" s="171">
        <v>500</v>
      </c>
      <c r="B100" s="295" t="s">
        <v>2038</v>
      </c>
      <c r="C100" s="237"/>
      <c r="D100" s="669">
        <f>D127</f>
        <v>0</v>
      </c>
      <c r="E100" s="669">
        <f t="shared" ref="E100:J100" si="31">E127</f>
        <v>0</v>
      </c>
      <c r="F100" s="669">
        <f t="shared" si="31"/>
        <v>0</v>
      </c>
      <c r="G100" s="669">
        <f t="shared" si="31"/>
        <v>0</v>
      </c>
      <c r="H100" s="669">
        <f t="shared" si="31"/>
        <v>0</v>
      </c>
      <c r="I100" s="717">
        <f t="shared" si="31"/>
        <v>0</v>
      </c>
      <c r="J100" s="1134">
        <f t="shared" si="31"/>
        <v>0</v>
      </c>
      <c r="K100" s="11"/>
      <c r="L100" s="688" t="str">
        <f>IF(ISERROR(M100),"",IF((M100="Error"),"add explanation",IF((M100="Warning"),"add explanation","")))</f>
        <v/>
      </c>
      <c r="M100" s="310" t="str">
        <f>IF(OR((I100&lt;&gt;(G100+H100)),(F100&lt;&gt;(D100+E100)),(J100&lt;&gt;(F100-I100))),"Error",IF(AK100="Warning","Warning",""))</f>
        <v/>
      </c>
      <c r="N100" s="112"/>
      <c r="O100" s="131" t="str">
        <f>IF($M100="Error","A total column for "&amp;($B100)&amp;" does not match the sum of the components, please correct",IF($M100="Warning","This year's figure is over "&amp;AC100/1000&amp;" million and "&amp;(AB100*100)&amp;"% different to "&amp;TEXT(AD100,"#,###")&amp;" last year, please explain",""))</f>
        <v/>
      </c>
      <c r="AB100">
        <f>VLOOKUP("RO6"&amp;$A100,data_val_parameters,9,0)/100</f>
        <v>0.45</v>
      </c>
      <c r="AC100">
        <f>VLOOKUP("RO6"&amp;$A100,data_val_parameters,7,0)</f>
        <v>10000</v>
      </c>
      <c r="AD100" t="e">
        <f>VLOOKUP(LA_code,data_prev_year,MATCH("RO6"&amp;$A100&amp;"7",data_prev_year_headers,0),0)</f>
        <v>#N/A</v>
      </c>
      <c r="AE100" t="e">
        <f>AD100+AC100</f>
        <v>#N/A</v>
      </c>
      <c r="AF100" t="e">
        <f>AD100-AC100</f>
        <v>#N/A</v>
      </c>
      <c r="AG100" t="e">
        <f>AD100+(AD100*AB100)</f>
        <v>#N/A</v>
      </c>
      <c r="AH100" t="e">
        <f>AD100-(AD100*AB100)</f>
        <v>#N/A</v>
      </c>
      <c r="AI100" t="e">
        <f>IF(OR(J100&lt;AF100,J100&gt;AE100),"Warning","")</f>
        <v>#N/A</v>
      </c>
      <c r="AJ100" t="e">
        <f>IF(OR(J100&gt;(AG100),J100&lt;(AH100)),"Warning","")</f>
        <v>#N/A</v>
      </c>
      <c r="AK100" t="str">
        <f>IF(OR(J100=0),"",IF(AND(AI100="Warning",AJ100="Warning"),"Warning",""))</f>
        <v/>
      </c>
    </row>
    <row r="101" spans="1:37" ht="15.5" x14ac:dyDescent="0.35">
      <c r="A101" s="864" t="s">
        <v>2039</v>
      </c>
      <c r="B101" s="232"/>
      <c r="C101" s="237"/>
      <c r="D101" s="31"/>
      <c r="E101" s="1135"/>
      <c r="F101" s="54"/>
      <c r="G101" s="54"/>
      <c r="H101" s="54"/>
      <c r="I101" s="54"/>
      <c r="J101" s="54"/>
      <c r="K101" s="54"/>
      <c r="L101" s="54"/>
      <c r="M101" s="471"/>
      <c r="N101" s="54"/>
      <c r="O101" s="54"/>
    </row>
    <row r="102" spans="1:37" ht="46.5" x14ac:dyDescent="0.35">
      <c r="A102" s="112"/>
      <c r="B102" s="237"/>
      <c r="C102" s="237"/>
      <c r="D102" s="31"/>
      <c r="E102" s="709" t="s">
        <v>1731</v>
      </c>
      <c r="F102" s="4"/>
      <c r="G102" s="4"/>
      <c r="H102" s="4"/>
      <c r="I102" s="4"/>
      <c r="J102" s="4"/>
      <c r="K102" s="112"/>
      <c r="L102" s="112"/>
      <c r="M102" s="164"/>
      <c r="N102" s="112"/>
      <c r="O102" s="112"/>
    </row>
    <row r="103" spans="1:37" ht="15.5" x14ac:dyDescent="0.35">
      <c r="A103" s="112"/>
      <c r="B103" s="112"/>
      <c r="C103" s="112"/>
      <c r="D103" s="31"/>
      <c r="E103" s="399" t="s">
        <v>1732</v>
      </c>
      <c r="F103" s="4"/>
      <c r="G103" s="4"/>
      <c r="H103" s="4"/>
      <c r="I103" s="4"/>
      <c r="J103" s="4"/>
      <c r="K103" s="112"/>
      <c r="L103" s="112"/>
      <c r="M103" s="164"/>
      <c r="N103" s="112"/>
      <c r="O103" s="112"/>
    </row>
    <row r="104" spans="1:37" ht="15.5" x14ac:dyDescent="0.35">
      <c r="A104" s="859">
        <v>1501</v>
      </c>
      <c r="B104" s="859" t="s">
        <v>2040</v>
      </c>
      <c r="C104" s="112"/>
      <c r="D104" s="112"/>
      <c r="E104" s="996"/>
      <c r="F104" s="4"/>
      <c r="G104" s="4"/>
      <c r="H104" s="4"/>
      <c r="I104" s="4"/>
      <c r="J104" s="4"/>
      <c r="K104" s="112"/>
      <c r="L104" s="112"/>
      <c r="M104" s="164"/>
      <c r="N104" s="112"/>
      <c r="O104" s="112"/>
    </row>
    <row r="105" spans="1:37" ht="15.5" x14ac:dyDescent="0.35">
      <c r="A105" s="112"/>
      <c r="B105" s="112"/>
      <c r="C105" s="112"/>
      <c r="D105" s="31"/>
      <c r="E105" s="31"/>
      <c r="F105" s="45"/>
      <c r="G105" s="31"/>
      <c r="H105" s="31"/>
      <c r="I105" s="45"/>
      <c r="J105" s="45"/>
      <c r="K105" s="112"/>
      <c r="L105" s="112"/>
      <c r="M105" s="164"/>
      <c r="N105" s="112"/>
      <c r="O105" s="112"/>
    </row>
    <row r="106" spans="1:37" ht="15.5" x14ac:dyDescent="0.35">
      <c r="A106" s="573" t="s">
        <v>2041</v>
      </c>
      <c r="B106" s="573"/>
      <c r="C106" s="54"/>
      <c r="D106" s="65"/>
      <c r="E106" s="65"/>
      <c r="F106" s="54"/>
      <c r="G106" s="54"/>
      <c r="H106" s="54"/>
      <c r="I106" s="54"/>
      <c r="J106" s="54"/>
      <c r="K106" s="54"/>
      <c r="L106" s="54"/>
      <c r="M106" s="471"/>
      <c r="N106" s="54"/>
      <c r="O106" s="54"/>
    </row>
    <row r="107" spans="1:37" ht="15.5" x14ac:dyDescent="0.35">
      <c r="A107" s="11">
        <v>501</v>
      </c>
      <c r="B107" s="333" t="s">
        <v>2042</v>
      </c>
      <c r="C107" s="332"/>
      <c r="D107" s="668"/>
      <c r="E107" s="668"/>
      <c r="F107" s="669">
        <f t="shared" ref="F107:F126" si="32">SUM(D107:E107)</f>
        <v>0</v>
      </c>
      <c r="G107" s="668"/>
      <c r="H107" s="668"/>
      <c r="I107" s="669">
        <f t="shared" ref="I107:I126" si="33">SUM(G107:H107)</f>
        <v>0</v>
      </c>
      <c r="J107" s="669">
        <f t="shared" ref="J107:J126" si="34">F107-I107</f>
        <v>0</v>
      </c>
      <c r="K107" s="112"/>
      <c r="L107" s="112"/>
      <c r="M107" s="164"/>
      <c r="N107" s="112"/>
      <c r="O107" s="112"/>
    </row>
    <row r="108" spans="1:37" ht="15.5" x14ac:dyDescent="0.35">
      <c r="A108" s="11">
        <v>502</v>
      </c>
      <c r="B108" s="333" t="s">
        <v>2042</v>
      </c>
      <c r="C108" s="332"/>
      <c r="D108" s="668"/>
      <c r="E108" s="668"/>
      <c r="F108" s="669">
        <f t="shared" si="32"/>
        <v>0</v>
      </c>
      <c r="G108" s="668"/>
      <c r="H108" s="668"/>
      <c r="I108" s="669">
        <f t="shared" si="33"/>
        <v>0</v>
      </c>
      <c r="J108" s="669">
        <f t="shared" si="34"/>
        <v>0</v>
      </c>
      <c r="K108" s="112"/>
      <c r="L108" s="112"/>
      <c r="M108" s="164"/>
      <c r="N108" s="112"/>
      <c r="O108" s="112"/>
    </row>
    <row r="109" spans="1:37" ht="15.5" x14ac:dyDescent="0.35">
      <c r="A109" s="11">
        <v>503</v>
      </c>
      <c r="B109" s="333" t="s">
        <v>2042</v>
      </c>
      <c r="C109" s="332"/>
      <c r="D109" s="668"/>
      <c r="E109" s="668"/>
      <c r="F109" s="669">
        <f t="shared" si="32"/>
        <v>0</v>
      </c>
      <c r="G109" s="668"/>
      <c r="H109" s="668"/>
      <c r="I109" s="669">
        <f t="shared" si="33"/>
        <v>0</v>
      </c>
      <c r="J109" s="669">
        <f t="shared" si="34"/>
        <v>0</v>
      </c>
      <c r="K109" s="112"/>
      <c r="L109" s="112"/>
      <c r="M109" s="164"/>
      <c r="N109" s="112"/>
      <c r="O109" s="112"/>
    </row>
    <row r="110" spans="1:37" ht="15.5" x14ac:dyDescent="0.35">
      <c r="A110" s="11">
        <v>504</v>
      </c>
      <c r="B110" s="333" t="s">
        <v>2042</v>
      </c>
      <c r="C110" s="332"/>
      <c r="D110" s="668"/>
      <c r="E110" s="668"/>
      <c r="F110" s="669">
        <f t="shared" si="32"/>
        <v>0</v>
      </c>
      <c r="G110" s="668"/>
      <c r="H110" s="668"/>
      <c r="I110" s="669">
        <f t="shared" si="33"/>
        <v>0</v>
      </c>
      <c r="J110" s="669">
        <f t="shared" si="34"/>
        <v>0</v>
      </c>
      <c r="K110" s="112"/>
      <c r="L110" s="112"/>
      <c r="M110" s="164"/>
      <c r="N110" s="112"/>
      <c r="O110" s="112"/>
    </row>
    <row r="111" spans="1:37" ht="15.5" x14ac:dyDescent="0.35">
      <c r="A111" s="11">
        <v>505</v>
      </c>
      <c r="B111" s="333" t="s">
        <v>2042</v>
      </c>
      <c r="C111" s="332"/>
      <c r="D111" s="668"/>
      <c r="E111" s="668"/>
      <c r="F111" s="669">
        <f t="shared" si="32"/>
        <v>0</v>
      </c>
      <c r="G111" s="668"/>
      <c r="H111" s="668"/>
      <c r="I111" s="669">
        <f t="shared" si="33"/>
        <v>0</v>
      </c>
      <c r="J111" s="669">
        <f t="shared" si="34"/>
        <v>0</v>
      </c>
      <c r="K111" s="112"/>
      <c r="L111" s="112"/>
      <c r="M111" s="164"/>
      <c r="N111" s="112"/>
      <c r="O111" s="112"/>
    </row>
    <row r="112" spans="1:37" ht="15.5" x14ac:dyDescent="0.35">
      <c r="A112" s="11">
        <v>506</v>
      </c>
      <c r="B112" s="333" t="s">
        <v>2042</v>
      </c>
      <c r="C112" s="332"/>
      <c r="D112" s="668"/>
      <c r="E112" s="668"/>
      <c r="F112" s="669">
        <f t="shared" si="32"/>
        <v>0</v>
      </c>
      <c r="G112" s="668"/>
      <c r="H112" s="668"/>
      <c r="I112" s="669">
        <f t="shared" si="33"/>
        <v>0</v>
      </c>
      <c r="J112" s="669">
        <f t="shared" si="34"/>
        <v>0</v>
      </c>
      <c r="K112" s="112"/>
      <c r="L112" s="112"/>
      <c r="M112" s="164"/>
      <c r="N112" s="112"/>
      <c r="O112" s="112"/>
    </row>
    <row r="113" spans="1:15" ht="15.5" x14ac:dyDescent="0.35">
      <c r="A113" s="11">
        <v>507</v>
      </c>
      <c r="B113" s="333" t="s">
        <v>2042</v>
      </c>
      <c r="C113" s="332"/>
      <c r="D113" s="668"/>
      <c r="E113" s="668"/>
      <c r="F113" s="669">
        <f t="shared" si="32"/>
        <v>0</v>
      </c>
      <c r="G113" s="668"/>
      <c r="H113" s="668"/>
      <c r="I113" s="669">
        <f t="shared" si="33"/>
        <v>0</v>
      </c>
      <c r="J113" s="669">
        <f t="shared" si="34"/>
        <v>0</v>
      </c>
      <c r="K113" s="112"/>
      <c r="L113" s="112"/>
      <c r="M113" s="164"/>
      <c r="N113" s="112"/>
      <c r="O113" s="112"/>
    </row>
    <row r="114" spans="1:15" ht="15.5" x14ac:dyDescent="0.35">
      <c r="A114" s="11">
        <v>508</v>
      </c>
      <c r="B114" s="333" t="s">
        <v>2042</v>
      </c>
      <c r="C114" s="332"/>
      <c r="D114" s="668"/>
      <c r="E114" s="668"/>
      <c r="F114" s="669">
        <f t="shared" si="32"/>
        <v>0</v>
      </c>
      <c r="G114" s="668"/>
      <c r="H114" s="668"/>
      <c r="I114" s="669">
        <f t="shared" si="33"/>
        <v>0</v>
      </c>
      <c r="J114" s="669">
        <f t="shared" si="34"/>
        <v>0</v>
      </c>
      <c r="K114" s="112"/>
      <c r="L114" s="112"/>
      <c r="M114" s="164"/>
      <c r="N114" s="112"/>
      <c r="O114" s="112"/>
    </row>
    <row r="115" spans="1:15" ht="15.5" x14ac:dyDescent="0.35">
      <c r="A115" s="11">
        <v>509</v>
      </c>
      <c r="B115" s="333" t="s">
        <v>2042</v>
      </c>
      <c r="C115" s="332"/>
      <c r="D115" s="668"/>
      <c r="E115" s="668"/>
      <c r="F115" s="669">
        <f t="shared" si="32"/>
        <v>0</v>
      </c>
      <c r="G115" s="668"/>
      <c r="H115" s="668"/>
      <c r="I115" s="669">
        <f t="shared" si="33"/>
        <v>0</v>
      </c>
      <c r="J115" s="669">
        <f t="shared" si="34"/>
        <v>0</v>
      </c>
      <c r="K115" s="112"/>
      <c r="L115" s="112"/>
      <c r="M115" s="164"/>
      <c r="N115" s="112"/>
      <c r="O115" s="112"/>
    </row>
    <row r="116" spans="1:15" ht="15.5" x14ac:dyDescent="0.35">
      <c r="A116" s="11">
        <v>510</v>
      </c>
      <c r="B116" s="333" t="s">
        <v>2042</v>
      </c>
      <c r="C116" s="332"/>
      <c r="D116" s="668"/>
      <c r="E116" s="668"/>
      <c r="F116" s="669">
        <f t="shared" si="32"/>
        <v>0</v>
      </c>
      <c r="G116" s="668"/>
      <c r="H116" s="668"/>
      <c r="I116" s="669">
        <f t="shared" si="33"/>
        <v>0</v>
      </c>
      <c r="J116" s="669">
        <f t="shared" si="34"/>
        <v>0</v>
      </c>
      <c r="K116" s="112"/>
      <c r="L116" s="112"/>
      <c r="M116" s="164"/>
      <c r="N116" s="112"/>
      <c r="O116" s="112"/>
    </row>
    <row r="117" spans="1:15" ht="15.5" x14ac:dyDescent="0.35">
      <c r="A117" s="11">
        <v>511</v>
      </c>
      <c r="B117" s="333" t="s">
        <v>2042</v>
      </c>
      <c r="C117" s="332"/>
      <c r="D117" s="668"/>
      <c r="E117" s="668"/>
      <c r="F117" s="669">
        <f t="shared" si="32"/>
        <v>0</v>
      </c>
      <c r="G117" s="668"/>
      <c r="H117" s="668"/>
      <c r="I117" s="669">
        <f t="shared" si="33"/>
        <v>0</v>
      </c>
      <c r="J117" s="669">
        <f t="shared" si="34"/>
        <v>0</v>
      </c>
      <c r="K117" s="112"/>
      <c r="L117" s="112"/>
      <c r="M117" s="164"/>
      <c r="N117" s="112"/>
      <c r="O117" s="112"/>
    </row>
    <row r="118" spans="1:15" ht="15.5" x14ac:dyDescent="0.35">
      <c r="A118" s="11">
        <v>512</v>
      </c>
      <c r="B118" s="333" t="s">
        <v>2042</v>
      </c>
      <c r="C118" s="332"/>
      <c r="D118" s="668"/>
      <c r="E118" s="668"/>
      <c r="F118" s="669">
        <f t="shared" si="32"/>
        <v>0</v>
      </c>
      <c r="G118" s="668"/>
      <c r="H118" s="668"/>
      <c r="I118" s="669">
        <f t="shared" si="33"/>
        <v>0</v>
      </c>
      <c r="J118" s="669">
        <f t="shared" si="34"/>
        <v>0</v>
      </c>
      <c r="K118" s="112"/>
      <c r="L118" s="112"/>
      <c r="M118" s="164"/>
      <c r="N118" s="112"/>
      <c r="O118" s="112"/>
    </row>
    <row r="119" spans="1:15" ht="15.5" x14ac:dyDescent="0.35">
      <c r="A119" s="11">
        <v>513</v>
      </c>
      <c r="B119" s="333" t="s">
        <v>2042</v>
      </c>
      <c r="C119" s="332"/>
      <c r="D119" s="668"/>
      <c r="E119" s="668"/>
      <c r="F119" s="669">
        <f t="shared" si="32"/>
        <v>0</v>
      </c>
      <c r="G119" s="668"/>
      <c r="H119" s="668"/>
      <c r="I119" s="669">
        <f t="shared" si="33"/>
        <v>0</v>
      </c>
      <c r="J119" s="669">
        <f t="shared" si="34"/>
        <v>0</v>
      </c>
      <c r="K119" s="112"/>
      <c r="L119" s="112"/>
      <c r="M119" s="164"/>
      <c r="N119" s="112"/>
      <c r="O119" s="112"/>
    </row>
    <row r="120" spans="1:15" ht="15.5" x14ac:dyDescent="0.35">
      <c r="A120" s="11">
        <v>514</v>
      </c>
      <c r="B120" s="333" t="s">
        <v>2042</v>
      </c>
      <c r="C120" s="332"/>
      <c r="D120" s="668"/>
      <c r="E120" s="668"/>
      <c r="F120" s="669">
        <f t="shared" si="32"/>
        <v>0</v>
      </c>
      <c r="G120" s="668"/>
      <c r="H120" s="668"/>
      <c r="I120" s="669">
        <f t="shared" si="33"/>
        <v>0</v>
      </c>
      <c r="J120" s="669">
        <f t="shared" si="34"/>
        <v>0</v>
      </c>
      <c r="K120" s="112"/>
      <c r="L120" s="112"/>
      <c r="M120" s="164"/>
      <c r="N120" s="112"/>
      <c r="O120" s="112"/>
    </row>
    <row r="121" spans="1:15" ht="15.5" x14ac:dyDescent="0.35">
      <c r="A121" s="11">
        <v>515</v>
      </c>
      <c r="B121" s="333" t="s">
        <v>2042</v>
      </c>
      <c r="C121" s="332"/>
      <c r="D121" s="668"/>
      <c r="E121" s="668"/>
      <c r="F121" s="669">
        <f t="shared" si="32"/>
        <v>0</v>
      </c>
      <c r="G121" s="668"/>
      <c r="H121" s="668"/>
      <c r="I121" s="669">
        <f t="shared" si="33"/>
        <v>0</v>
      </c>
      <c r="J121" s="669">
        <f t="shared" si="34"/>
        <v>0</v>
      </c>
      <c r="K121" s="112"/>
      <c r="L121" s="112"/>
      <c r="M121" s="164"/>
      <c r="N121" s="112"/>
      <c r="O121" s="112"/>
    </row>
    <row r="122" spans="1:15" ht="15.5" x14ac:dyDescent="0.35">
      <c r="A122" s="11">
        <v>516</v>
      </c>
      <c r="B122" s="333" t="s">
        <v>2042</v>
      </c>
      <c r="C122" s="332"/>
      <c r="D122" s="668"/>
      <c r="E122" s="668"/>
      <c r="F122" s="669">
        <f t="shared" si="32"/>
        <v>0</v>
      </c>
      <c r="G122" s="668"/>
      <c r="H122" s="668"/>
      <c r="I122" s="669">
        <f t="shared" si="33"/>
        <v>0</v>
      </c>
      <c r="J122" s="669">
        <f t="shared" si="34"/>
        <v>0</v>
      </c>
      <c r="K122" s="112"/>
      <c r="L122" s="112"/>
      <c r="M122" s="164"/>
      <c r="N122" s="112"/>
      <c r="O122" s="112"/>
    </row>
    <row r="123" spans="1:15" ht="15.5" x14ac:dyDescent="0.35">
      <c r="A123" s="11">
        <v>517</v>
      </c>
      <c r="B123" s="333" t="s">
        <v>2042</v>
      </c>
      <c r="C123" s="332"/>
      <c r="D123" s="668"/>
      <c r="E123" s="668"/>
      <c r="F123" s="669">
        <f t="shared" si="32"/>
        <v>0</v>
      </c>
      <c r="G123" s="668"/>
      <c r="H123" s="668"/>
      <c r="I123" s="669">
        <f t="shared" si="33"/>
        <v>0</v>
      </c>
      <c r="J123" s="669">
        <f t="shared" si="34"/>
        <v>0</v>
      </c>
      <c r="K123" s="112"/>
      <c r="L123" s="112"/>
      <c r="M123" s="164"/>
      <c r="N123" s="112"/>
      <c r="O123" s="112"/>
    </row>
    <row r="124" spans="1:15" ht="15.5" x14ac:dyDescent="0.35">
      <c r="A124" s="11">
        <v>518</v>
      </c>
      <c r="B124" s="333" t="s">
        <v>2042</v>
      </c>
      <c r="C124" s="332"/>
      <c r="D124" s="668"/>
      <c r="E124" s="668"/>
      <c r="F124" s="669">
        <f t="shared" si="32"/>
        <v>0</v>
      </c>
      <c r="G124" s="668"/>
      <c r="H124" s="668"/>
      <c r="I124" s="669">
        <f t="shared" si="33"/>
        <v>0</v>
      </c>
      <c r="J124" s="669">
        <f t="shared" si="34"/>
        <v>0</v>
      </c>
      <c r="K124" s="112"/>
      <c r="L124" s="112"/>
      <c r="M124" s="164"/>
      <c r="N124" s="112"/>
      <c r="O124" s="112"/>
    </row>
    <row r="125" spans="1:15" ht="15.5" x14ac:dyDescent="0.35">
      <c r="A125" s="11">
        <v>519</v>
      </c>
      <c r="B125" s="333" t="s">
        <v>2042</v>
      </c>
      <c r="C125" s="332"/>
      <c r="D125" s="668"/>
      <c r="E125" s="668"/>
      <c r="F125" s="669">
        <f t="shared" si="32"/>
        <v>0</v>
      </c>
      <c r="G125" s="668"/>
      <c r="H125" s="668"/>
      <c r="I125" s="669">
        <f t="shared" si="33"/>
        <v>0</v>
      </c>
      <c r="J125" s="669">
        <f t="shared" si="34"/>
        <v>0</v>
      </c>
      <c r="K125" s="112"/>
      <c r="L125" s="112"/>
      <c r="M125" s="164"/>
      <c r="N125" s="112"/>
      <c r="O125" s="112"/>
    </row>
    <row r="126" spans="1:15" ht="15.5" x14ac:dyDescent="0.35">
      <c r="A126" s="11">
        <v>520</v>
      </c>
      <c r="B126" s="333" t="s">
        <v>2042</v>
      </c>
      <c r="C126" s="332"/>
      <c r="D126" s="668"/>
      <c r="E126" s="668"/>
      <c r="F126" s="669">
        <f t="shared" si="32"/>
        <v>0</v>
      </c>
      <c r="G126" s="668"/>
      <c r="H126" s="668"/>
      <c r="I126" s="669">
        <f t="shared" si="33"/>
        <v>0</v>
      </c>
      <c r="J126" s="669">
        <f t="shared" si="34"/>
        <v>0</v>
      </c>
      <c r="K126" s="112"/>
      <c r="L126" s="112"/>
      <c r="M126" s="164"/>
      <c r="N126" s="112"/>
      <c r="O126" s="112"/>
    </row>
    <row r="127" spans="1:15" ht="15.5" x14ac:dyDescent="0.35">
      <c r="A127" s="86">
        <v>590</v>
      </c>
      <c r="B127" s="86" t="s">
        <v>2043</v>
      </c>
      <c r="C127" s="117"/>
      <c r="D127" s="669">
        <f t="shared" ref="D127:J127" si="35">SUM(D107:D126)</f>
        <v>0</v>
      </c>
      <c r="E127" s="669">
        <f t="shared" si="35"/>
        <v>0</v>
      </c>
      <c r="F127" s="669">
        <f t="shared" si="35"/>
        <v>0</v>
      </c>
      <c r="G127" s="669">
        <f t="shared" si="35"/>
        <v>0</v>
      </c>
      <c r="H127" s="669">
        <f t="shared" si="35"/>
        <v>0</v>
      </c>
      <c r="I127" s="669">
        <f t="shared" si="35"/>
        <v>0</v>
      </c>
      <c r="J127" s="669">
        <f t="shared" si="35"/>
        <v>0</v>
      </c>
      <c r="K127" s="112"/>
      <c r="L127" s="112"/>
      <c r="M127" s="164"/>
      <c r="N127" s="112"/>
      <c r="O127" s="112"/>
    </row>
    <row r="128" spans="1:15" ht="15.5" x14ac:dyDescent="0.35">
      <c r="A128" s="12"/>
      <c r="B128" s="12"/>
      <c r="C128" s="12"/>
      <c r="D128" s="55"/>
      <c r="E128" s="55"/>
      <c r="F128" s="4"/>
      <c r="G128" s="4"/>
      <c r="H128" s="4"/>
      <c r="I128" s="4"/>
      <c r="J128" s="4"/>
      <c r="K128" s="112"/>
      <c r="L128" s="112"/>
      <c r="M128" s="112"/>
      <c r="N128" s="112"/>
      <c r="O128" s="112"/>
    </row>
    <row r="129" spans="1:15" ht="15.5" x14ac:dyDescent="0.35">
      <c r="A129" s="12"/>
      <c r="B129" s="12"/>
      <c r="C129" s="12"/>
      <c r="D129" s="55"/>
      <c r="E129" s="55"/>
      <c r="F129" s="4"/>
      <c r="G129" s="4"/>
      <c r="H129" s="4"/>
      <c r="I129" s="4"/>
      <c r="J129" s="4"/>
      <c r="K129" s="112"/>
      <c r="L129" s="112"/>
      <c r="M129" s="112"/>
      <c r="N129" s="112"/>
      <c r="O129" s="112"/>
    </row>
    <row r="130" spans="1:15" ht="15.5" x14ac:dyDescent="0.35">
      <c r="A130" s="112"/>
      <c r="B130" s="112"/>
      <c r="C130" s="112"/>
      <c r="D130" s="112"/>
      <c r="E130" s="112"/>
      <c r="F130" s="112"/>
      <c r="G130" s="112"/>
      <c r="H130" s="112"/>
      <c r="I130" s="112"/>
      <c r="J130" s="98"/>
      <c r="K130" s="112"/>
      <c r="L130" s="112"/>
      <c r="M130" s="112"/>
      <c r="N130" s="112"/>
      <c r="O130" s="112"/>
    </row>
    <row r="131" spans="1:15" x14ac:dyDescent="0.25"/>
    <row r="132" spans="1:15" x14ac:dyDescent="0.25"/>
    <row r="133" spans="1:15" x14ac:dyDescent="0.25"/>
    <row r="134" spans="1:15" x14ac:dyDescent="0.25"/>
    <row r="135" spans="1:15" x14ac:dyDescent="0.25"/>
    <row r="136" spans="1:15" x14ac:dyDescent="0.25"/>
    <row r="137" spans="1:15" x14ac:dyDescent="0.25"/>
  </sheetData>
  <sheetProtection sheet="1" objects="1" scenarios="1"/>
  <mergeCells count="6">
    <mergeCell ref="A15:M15"/>
    <mergeCell ref="A1:N1"/>
    <mergeCell ref="A9:M9"/>
    <mergeCell ref="A10:M10"/>
    <mergeCell ref="A12:M12"/>
    <mergeCell ref="A14:M14"/>
  </mergeCells>
  <phoneticPr fontId="0" type="noConversion"/>
  <conditionalFormatting sqref="A17">
    <cfRule type="containsText" dxfId="33" priority="25" operator="containsText" text="resolve">
      <formula>NOT(ISERROR(SEARCH("resolve",A17)))</formula>
    </cfRule>
  </conditionalFormatting>
  <conditionalFormatting sqref="B17">
    <cfRule type="expression" dxfId="32" priority="15">
      <formula>ISNUMBER(SEARCH(Z17,A17))</formula>
    </cfRule>
  </conditionalFormatting>
  <conditionalFormatting sqref="C17">
    <cfRule type="expression" dxfId="31" priority="14">
      <formula>ISNUMBER(SEARCH(Z17,A17))</formula>
    </cfRule>
  </conditionalFormatting>
  <conditionalFormatting sqref="D17">
    <cfRule type="expression" dxfId="30" priority="13">
      <formula>ISNUMBER(SEARCH(Z17,A17))</formula>
    </cfRule>
  </conditionalFormatting>
  <conditionalFormatting sqref="E17">
    <cfRule type="expression" dxfId="29" priority="12">
      <formula>ISNUMBER(SEARCH(Z17,A17))</formula>
    </cfRule>
  </conditionalFormatting>
  <conditionalFormatting sqref="F17">
    <cfRule type="expression" dxfId="28" priority="11">
      <formula>ISNUMBER(SEARCH(Z17,A17))</formula>
    </cfRule>
  </conditionalFormatting>
  <conditionalFormatting sqref="G17">
    <cfRule type="expression" dxfId="27" priority="10">
      <formula>ISNUMBER(SEARCH(Z17,A17))</formula>
    </cfRule>
  </conditionalFormatting>
  <conditionalFormatting sqref="H17">
    <cfRule type="expression" dxfId="26" priority="9">
      <formula>ISNUMBER(SEARCH(Z17,A17))</formula>
    </cfRule>
  </conditionalFormatting>
  <conditionalFormatting sqref="I17">
    <cfRule type="expression" dxfId="25" priority="8">
      <formula>ISNUMBER(SEARCH(Z17,A17))</formula>
    </cfRule>
  </conditionalFormatting>
  <conditionalFormatting sqref="J17">
    <cfRule type="expression" dxfId="24" priority="7">
      <formula>ISNUMBER(SEARCH(Z17,A17))</formula>
    </cfRule>
  </conditionalFormatting>
  <conditionalFormatting sqref="M32:M100">
    <cfRule type="containsText" dxfId="23" priority="4" operator="containsText" text="Information">
      <formula>NOT(ISERROR(SEARCH("Information",M32)))</formula>
    </cfRule>
    <cfRule type="containsText" dxfId="22" priority="5" operator="containsText" text="Warning">
      <formula>NOT(ISERROR(SEARCH("Warning",M32)))</formula>
    </cfRule>
    <cfRule type="containsText" dxfId="21" priority="6" operator="containsText" text="Error">
      <formula>NOT(ISERROR(SEARCH("Error",M32)))</formula>
    </cfRule>
  </conditionalFormatting>
  <dataValidations count="1">
    <dataValidation allowBlank="1" showInputMessage="1" showErrorMessage="1" promptTitle="Line 489" prompt="Please give breakdown on lines 491 to 495 below" sqref="H84" xr:uid="{00000000-0002-0000-0900-000000000000}"/>
  </dataValidations>
  <hyperlinks>
    <hyperlink ref="L32" location="Memo!C505" display="Memo!C505" xr:uid="{00000000-0004-0000-0900-000000000000}"/>
    <hyperlink ref="L39:L42" location="Memo!C35" display="Memo!C35" xr:uid="{00000000-0004-0000-0900-000001000000}"/>
    <hyperlink ref="L50" location="Memo!C510" display="Memo!C510" xr:uid="{00000000-0004-0000-0900-000002000000}"/>
    <hyperlink ref="L55:L60" location="Memo!C35" display="Memo!C35" xr:uid="{00000000-0004-0000-0900-000003000000}"/>
    <hyperlink ref="L62" location="Memo!C517" display="Memo!C517" xr:uid="{00000000-0004-0000-0900-000004000000}"/>
    <hyperlink ref="L65:L66" location="Memo!C35" display="Memo!C35" xr:uid="{00000000-0004-0000-0900-000005000000}"/>
    <hyperlink ref="L68" location="Memo!C520" display="Memo!C520" xr:uid="{00000000-0004-0000-0900-000006000000}"/>
    <hyperlink ref="L70" location="Memo!C521" display="Memo!C521" xr:uid="{00000000-0004-0000-0900-000007000000}"/>
    <hyperlink ref="L72" location="Memo!C522" display="Memo!C522" xr:uid="{00000000-0004-0000-0900-000008000000}"/>
    <hyperlink ref="L74" location="Memo!C523" display="Memo!C523" xr:uid="{00000000-0004-0000-0900-000009000000}"/>
    <hyperlink ref="L76" location="Memo!C524" display="Memo!C524" xr:uid="{00000000-0004-0000-0900-00000A000000}"/>
    <hyperlink ref="L77" location="Memo!C525" display="Memo!C525" xr:uid="{00000000-0004-0000-0900-00000B000000}"/>
    <hyperlink ref="L80" location="Memo!C526" display="Memo!C526" xr:uid="{00000000-0004-0000-0900-00000C000000}"/>
    <hyperlink ref="L81" location="Memo!C527" display="Memo!C527" xr:uid="{00000000-0004-0000-0900-00000D000000}"/>
    <hyperlink ref="L82" location="Memo!C528" display="Memo!C528" xr:uid="{00000000-0004-0000-0900-00000E000000}"/>
    <hyperlink ref="L84" location="Memo!C529" display="Memo!C529" xr:uid="{00000000-0004-0000-0900-00000F000000}"/>
    <hyperlink ref="L86" location="Memo!C530" display="Memo!C530" xr:uid="{00000000-0004-0000-0900-000010000000}"/>
    <hyperlink ref="L100" location="Memo!C536" display="Memo!C536" xr:uid="{00000000-0004-0000-0900-000011000000}"/>
    <hyperlink ref="L39" location="Memo!C506" display="Memo!C506" xr:uid="{00000000-0004-0000-0900-000012000000}"/>
    <hyperlink ref="L40" location="Memo!C507" display="Memo!C507" xr:uid="{00000000-0004-0000-0900-000013000000}"/>
    <hyperlink ref="L41" location="Memo!C508" display="Memo!C508" xr:uid="{00000000-0004-0000-0900-000014000000}"/>
    <hyperlink ref="L42" location="Memo!C509" display="Memo!C509" xr:uid="{00000000-0004-0000-0900-000015000000}"/>
    <hyperlink ref="L55" location="Memo!C511" display="Memo!C511" xr:uid="{00000000-0004-0000-0900-000016000000}"/>
    <hyperlink ref="L56" location="Memo!C512" display="Memo!C512" xr:uid="{00000000-0004-0000-0900-000017000000}"/>
    <hyperlink ref="L57" location="Memo!C513" display="Memo!C513" xr:uid="{00000000-0004-0000-0900-000018000000}"/>
    <hyperlink ref="L58" location="Memo!C514" display="Memo!C514" xr:uid="{00000000-0004-0000-0900-000019000000}"/>
    <hyperlink ref="L59" location="Memo!C515" display="Memo!C515" xr:uid="{00000000-0004-0000-0900-00001A000000}"/>
    <hyperlink ref="L60" location="Memo!C516" display="Memo!C516" xr:uid="{00000000-0004-0000-0900-00001B000000}"/>
    <hyperlink ref="L65" location="Memo!C518" display="Memo!C518" xr:uid="{00000000-0004-0000-0900-00001C000000}"/>
    <hyperlink ref="L66" location="Memo!C519" display="Memo!C519" xr:uid="{00000000-0004-0000-0900-00001D000000}"/>
    <hyperlink ref="L93" location="Memo!C531" display="Memo!C531" xr:uid="{6BC88349-4111-40A7-AC93-BA5375ED8202}"/>
    <hyperlink ref="L94" location="Memo!C532" display="Memo!C532" xr:uid="{BABB859C-372E-4293-B5DE-15760C71DABB}"/>
    <hyperlink ref="L95" location="Memo!C533" display="Memo!C533" xr:uid="{83DCA12F-307A-414E-9BC1-F8395F43B95A}"/>
    <hyperlink ref="L96" location="Memo!C534" display="Memo!C534" xr:uid="{CF8D5C82-CA8F-4D61-AD08-1C6132EEDEC4}"/>
    <hyperlink ref="L97" location="Memo!C535" display="Memo!C535" xr:uid="{5C6427C4-8F1E-471E-8EA6-0606FD47EBDB}"/>
  </hyperlinks>
  <printOptions horizontalCentered="1"/>
  <pageMargins left="0.39370078740157483" right="0.39370078740157483" top="0.39370078740157483" bottom="0.39370078740157483" header="0.19685039370078741" footer="0.19685039370078741"/>
  <pageSetup paperSize="9" scale="55" orientation="landscape" r:id="rId1"/>
  <headerFooter alignWithMargins="0"/>
  <ignoredErrors>
    <ignoredError sqref="D26:J26 D28:J28" numberStoredAsText="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theme="8" tint="0.79998168889431442"/>
  </sheetPr>
  <dimension ref="A1:AV120"/>
  <sheetViews>
    <sheetView showGridLines="0" zoomScale="80" zoomScaleNormal="80" workbookViewId="0">
      <selection sqref="A1:Q1"/>
    </sheetView>
  </sheetViews>
  <sheetFormatPr defaultColWidth="0" defaultRowHeight="12.5" zeroHeight="1" x14ac:dyDescent="0.25"/>
  <cols>
    <col min="1" max="1" width="6.7265625" customWidth="1"/>
    <col min="2" max="2" width="8.7265625" customWidth="1"/>
    <col min="3" max="3" width="85.7265625" customWidth="1"/>
    <col min="4" max="4" width="6.7265625" customWidth="1"/>
    <col min="5" max="13" width="16.7265625" customWidth="1"/>
    <col min="14" max="14" width="2.7265625" customWidth="1"/>
    <col min="15" max="16" width="16.7265625" customWidth="1"/>
    <col min="17" max="17" width="2.7265625" customWidth="1"/>
    <col min="18" max="18" width="12.54296875" customWidth="1"/>
    <col min="19" max="16384" width="12.54296875" hidden="1"/>
  </cols>
  <sheetData>
    <row r="1" spans="1:22" ht="60" customHeight="1" x14ac:dyDescent="0.25">
      <c r="A1" s="1206" t="str">
        <f>ContactDetails!A36</f>
        <v>IMPORTANT: Please DO NOT alter this spreadsheet by inserting/deleting, merging any cells, or even using cut &amp; paste, as the data from this spreadsheet are directly transferred into the DLUHC database by a macro and these could break the references in the form.</v>
      </c>
      <c r="B1" s="1206"/>
      <c r="C1" s="1206"/>
      <c r="D1" s="1206"/>
      <c r="E1" s="1207"/>
      <c r="F1" s="1207"/>
      <c r="G1" s="1207"/>
      <c r="H1" s="1207"/>
      <c r="I1" s="1207"/>
      <c r="J1" s="1207"/>
      <c r="K1" s="1207"/>
      <c r="L1" s="1207"/>
      <c r="M1" s="1207"/>
      <c r="N1" s="1207"/>
      <c r="O1" s="1207"/>
      <c r="P1" s="1207"/>
      <c r="Q1" s="1207"/>
      <c r="R1" s="112"/>
    </row>
    <row r="2" spans="1:22" ht="12.75" customHeight="1" x14ac:dyDescent="0.35">
      <c r="A2" s="178"/>
      <c r="B2" s="178"/>
      <c r="C2" s="178"/>
      <c r="D2" s="178"/>
      <c r="E2" s="179"/>
      <c r="F2" s="179"/>
      <c r="G2" s="179"/>
      <c r="H2" s="180"/>
      <c r="I2" s="4"/>
      <c r="J2" s="4"/>
      <c r="K2" s="54"/>
      <c r="L2" s="181"/>
      <c r="M2" s="112"/>
      <c r="N2" s="112"/>
      <c r="O2" s="112"/>
      <c r="P2" s="112"/>
      <c r="Q2" s="112"/>
      <c r="R2" s="112"/>
    </row>
    <row r="3" spans="1:22" ht="27.75" customHeight="1" x14ac:dyDescent="0.6">
      <c r="A3" s="178"/>
      <c r="B3" s="178"/>
      <c r="C3" s="178"/>
      <c r="D3" s="178"/>
      <c r="E3" s="179"/>
      <c r="F3" s="179"/>
      <c r="G3" s="179"/>
      <c r="H3" s="180"/>
      <c r="I3" s="4"/>
      <c r="J3" s="4"/>
      <c r="K3" s="112"/>
      <c r="L3" s="112"/>
      <c r="M3" s="112"/>
      <c r="N3" s="112"/>
      <c r="P3" s="165" t="str">
        <f>"TSR "&amp;fyear</f>
        <v>TSR 2022-23</v>
      </c>
      <c r="Q3" s="112"/>
      <c r="R3" s="112"/>
    </row>
    <row r="4" spans="1:22" ht="12.75" customHeight="1" x14ac:dyDescent="0.35">
      <c r="A4" s="178"/>
      <c r="B4" s="178"/>
      <c r="C4" s="178"/>
      <c r="D4" s="178"/>
      <c r="E4" s="179"/>
      <c r="F4" s="179"/>
      <c r="G4" s="179"/>
      <c r="H4" s="180"/>
      <c r="I4" s="4"/>
      <c r="J4" s="4"/>
      <c r="K4" s="112"/>
      <c r="L4" s="112"/>
      <c r="M4" s="112"/>
      <c r="N4" s="112"/>
      <c r="O4" s="112"/>
      <c r="P4" s="112"/>
      <c r="Q4" s="112"/>
      <c r="R4" s="112"/>
    </row>
    <row r="5" spans="1:22" ht="12.75" customHeight="1" x14ac:dyDescent="0.35">
      <c r="A5" s="178"/>
      <c r="B5" s="178"/>
      <c r="C5" s="178"/>
      <c r="D5" s="178"/>
      <c r="E5" s="179"/>
      <c r="F5" s="179"/>
      <c r="G5" s="179"/>
      <c r="H5" s="180"/>
      <c r="I5" s="4"/>
      <c r="J5" s="4"/>
      <c r="K5" s="112"/>
      <c r="L5" s="112"/>
      <c r="M5" s="112"/>
      <c r="N5" s="112"/>
      <c r="O5" s="112"/>
      <c r="P5" s="112"/>
      <c r="Q5" s="112"/>
      <c r="R5" s="112"/>
    </row>
    <row r="6" spans="1:22" ht="12.75" customHeight="1" x14ac:dyDescent="0.35">
      <c r="A6" s="178"/>
      <c r="B6" s="178"/>
      <c r="C6" s="178"/>
      <c r="D6" s="178"/>
      <c r="E6" s="179"/>
      <c r="F6" s="179"/>
      <c r="G6" s="179"/>
      <c r="H6" s="180"/>
      <c r="I6" s="4"/>
      <c r="J6" s="4"/>
      <c r="K6" s="112"/>
      <c r="L6" s="112"/>
      <c r="M6" s="112"/>
      <c r="N6" s="112"/>
      <c r="O6" s="112"/>
      <c r="P6" s="112"/>
      <c r="Q6" s="112"/>
      <c r="R6" s="112"/>
    </row>
    <row r="7" spans="1:22" ht="12.75" customHeight="1" x14ac:dyDescent="0.35">
      <c r="A7" s="178"/>
      <c r="B7" s="178"/>
      <c r="C7" s="178"/>
      <c r="D7" s="178"/>
      <c r="E7" s="179"/>
      <c r="F7" s="179"/>
      <c r="G7" s="179"/>
      <c r="H7" s="180"/>
      <c r="I7" s="4"/>
      <c r="J7" s="4"/>
      <c r="K7" s="112"/>
      <c r="L7" s="112"/>
      <c r="M7" s="112"/>
      <c r="N7" s="112"/>
      <c r="O7" s="112"/>
      <c r="P7" s="112"/>
      <c r="Q7" s="112"/>
      <c r="R7" s="112"/>
    </row>
    <row r="8" spans="1:22" ht="12.75" customHeight="1" x14ac:dyDescent="0.35">
      <c r="A8" s="178"/>
      <c r="B8" s="178"/>
      <c r="C8" s="178"/>
      <c r="D8" s="178"/>
      <c r="E8" s="179"/>
      <c r="F8" s="179"/>
      <c r="G8" s="179"/>
      <c r="H8" s="180"/>
      <c r="I8" s="4"/>
      <c r="J8" s="4"/>
      <c r="K8" s="112"/>
      <c r="L8" s="112"/>
      <c r="M8" s="112"/>
      <c r="N8" s="112"/>
      <c r="O8" s="112"/>
      <c r="P8" s="112"/>
      <c r="Q8" s="112"/>
      <c r="R8" s="112"/>
    </row>
    <row r="9" spans="1:22" ht="33" customHeight="1" x14ac:dyDescent="0.25">
      <c r="A9" s="1195" t="str">
        <f>RS!$A$10</f>
        <v>General Fund Revenue Account Outturn</v>
      </c>
      <c r="B9" s="1195"/>
      <c r="C9" s="1195"/>
      <c r="D9" s="1195"/>
      <c r="E9" s="1195"/>
      <c r="F9" s="1195"/>
      <c r="G9" s="1195"/>
      <c r="H9" s="1195"/>
      <c r="I9" s="1195"/>
      <c r="J9" s="1195"/>
      <c r="K9" s="1195"/>
      <c r="L9" s="1195"/>
      <c r="M9" s="1195"/>
      <c r="N9" s="1195"/>
      <c r="O9" s="1195"/>
      <c r="P9" s="1196"/>
      <c r="Q9" s="183"/>
      <c r="R9" s="183"/>
      <c r="S9" s="132"/>
      <c r="T9" s="132"/>
      <c r="U9" s="132"/>
      <c r="V9" s="132"/>
    </row>
    <row r="10" spans="1:22" ht="33" customHeight="1" x14ac:dyDescent="0.25">
      <c r="A10" s="1214" t="str">
        <f>"TSR – TRADING ACCOUNT SERVICES RETURN "&amp;fyear</f>
        <v>TSR – TRADING ACCOUNT SERVICES RETURN 2022-23</v>
      </c>
      <c r="B10" s="1214"/>
      <c r="C10" s="1214"/>
      <c r="D10" s="1214"/>
      <c r="E10" s="1214"/>
      <c r="F10" s="1214"/>
      <c r="G10" s="1214"/>
      <c r="H10" s="1214"/>
      <c r="I10" s="1214"/>
      <c r="J10" s="1214"/>
      <c r="K10" s="1214"/>
      <c r="L10" s="1214"/>
      <c r="M10" s="1214"/>
      <c r="N10" s="1214"/>
      <c r="O10" s="1214"/>
      <c r="P10" s="1224"/>
      <c r="Q10" s="183"/>
      <c r="R10" s="183"/>
      <c r="S10" s="132"/>
      <c r="T10" s="132"/>
      <c r="U10" s="132"/>
      <c r="V10" s="132"/>
    </row>
    <row r="11" spans="1:22" ht="14.15" customHeight="1" x14ac:dyDescent="0.35">
      <c r="A11" s="178"/>
      <c r="B11" s="178"/>
      <c r="C11" s="178"/>
      <c r="D11" s="178"/>
      <c r="E11" s="179"/>
      <c r="F11" s="179"/>
      <c r="G11" s="179"/>
      <c r="H11" s="180"/>
      <c r="I11" s="4"/>
      <c r="J11" s="4"/>
      <c r="K11" s="112"/>
      <c r="L11" s="112"/>
      <c r="M11" s="112"/>
      <c r="N11" s="112"/>
      <c r="O11" s="112"/>
      <c r="P11" s="112"/>
      <c r="Q11" s="112"/>
      <c r="R11" s="112"/>
    </row>
    <row r="12" spans="1:22" ht="18.75" customHeight="1" x14ac:dyDescent="0.4">
      <c r="A12" s="1165" t="s">
        <v>1373</v>
      </c>
      <c r="B12" s="1165"/>
      <c r="C12" s="1165"/>
      <c r="D12" s="1165"/>
      <c r="E12" s="1165"/>
      <c r="F12" s="1165"/>
      <c r="G12" s="1165"/>
      <c r="H12" s="1165"/>
      <c r="I12" s="1165"/>
      <c r="J12" s="1165"/>
      <c r="K12" s="1165"/>
      <c r="L12" s="1165"/>
      <c r="M12" s="1165"/>
      <c r="N12" s="1165"/>
      <c r="O12" s="1165"/>
      <c r="P12" s="1225"/>
      <c r="Q12" s="112"/>
      <c r="R12" s="112"/>
    </row>
    <row r="13" spans="1:22" ht="12" customHeight="1" x14ac:dyDescent="0.3">
      <c r="A13" s="54"/>
      <c r="B13" s="54"/>
      <c r="C13" s="54"/>
      <c r="D13" s="54"/>
      <c r="E13" s="54"/>
      <c r="F13" s="54"/>
      <c r="G13" s="54"/>
      <c r="H13" s="54"/>
      <c r="I13" s="54"/>
      <c r="J13" s="54"/>
      <c r="K13" s="54"/>
      <c r="L13" s="54"/>
      <c r="M13" s="119"/>
      <c r="N13" s="54"/>
      <c r="O13" s="54"/>
      <c r="P13" s="54"/>
      <c r="Q13" s="54"/>
      <c r="R13" s="54"/>
    </row>
    <row r="14" spans="1:22" ht="21" customHeight="1" x14ac:dyDescent="0.25">
      <c r="A14" s="1215"/>
      <c r="B14" s="1215"/>
      <c r="C14" s="1215"/>
      <c r="D14" s="1215"/>
      <c r="E14" s="1215"/>
      <c r="F14" s="1215"/>
      <c r="G14" s="1215"/>
      <c r="H14" s="1215"/>
      <c r="I14" s="1215"/>
      <c r="J14" s="1215"/>
      <c r="K14" s="1215"/>
      <c r="L14" s="1215"/>
      <c r="M14" s="1215"/>
      <c r="N14" s="1215"/>
      <c r="O14" s="1215"/>
      <c r="P14" s="710"/>
      <c r="Q14" s="127"/>
      <c r="R14" s="127"/>
    </row>
    <row r="15" spans="1:22" ht="21" customHeight="1" x14ac:dyDescent="0.25">
      <c r="A15" s="1213" t="s">
        <v>1375</v>
      </c>
      <c r="B15" s="1213"/>
      <c r="C15" s="1213"/>
      <c r="D15" s="1213"/>
      <c r="E15" s="1213"/>
      <c r="F15" s="1213"/>
      <c r="G15" s="1213"/>
      <c r="H15" s="1213"/>
      <c r="I15" s="1213"/>
      <c r="J15" s="1213"/>
      <c r="K15" s="1213"/>
      <c r="L15" s="1213"/>
      <c r="M15" s="1213"/>
      <c r="N15" s="1213"/>
      <c r="O15" s="1213"/>
      <c r="P15" s="1224"/>
      <c r="Q15" s="54"/>
      <c r="R15" s="54"/>
    </row>
    <row r="16" spans="1:22" ht="20" x14ac:dyDescent="0.35">
      <c r="A16" s="186" t="str">
        <f>TRIM(LEFT(A$10,3))&amp;" error summary:"</f>
        <v>TSR error summary:</v>
      </c>
      <c r="B16" s="186"/>
      <c r="C16" s="187"/>
      <c r="D16" s="187"/>
      <c r="E16" s="54"/>
      <c r="F16" s="54"/>
      <c r="G16" s="54"/>
      <c r="H16" s="188"/>
      <c r="I16" s="54"/>
      <c r="J16" s="54"/>
      <c r="K16" s="505"/>
      <c r="L16" s="254"/>
      <c r="M16" s="119"/>
      <c r="N16" s="54"/>
      <c r="O16" s="54"/>
      <c r="P16" s="54"/>
      <c r="Q16" s="54"/>
      <c r="R16" s="54"/>
    </row>
    <row r="17" spans="1:38" ht="32.15" customHeight="1" x14ac:dyDescent="0.35">
      <c r="A17" s="498" t="str">
        <f>IF(AND(COUNTIF($J$32:$J$106,"Error")=0,COUNTIF($J$32:$J$106,"Warning")=0),("There are no outstanding errors or warnings with the "&amp;TRIM(LEFT(A$10,3))&amp;" section of the form. Thank you."),("There are "&amp;COUNTIF($J$32:$J$106,"Error")&amp;" outstanding error(s) and "&amp;COUNTIF($J$32:$J$106,"Warning")&amp;" outstanding warning(s) with the "&amp;TRIM(LEFT(A$10,3))&amp;" section of the form. Please resolve and/or explain these before submitting."))</f>
        <v>There are no outstanding errors or warnings with the TSR section of the form. Thank you.</v>
      </c>
      <c r="B17" s="498"/>
      <c r="C17" s="499"/>
      <c r="D17" s="499"/>
      <c r="E17" s="499"/>
      <c r="F17" s="499"/>
      <c r="G17" s="499"/>
      <c r="H17" s="499"/>
      <c r="I17" s="499"/>
      <c r="J17" s="499"/>
      <c r="K17" s="499"/>
      <c r="L17" s="499"/>
      <c r="M17" s="499"/>
      <c r="N17" s="54"/>
      <c r="O17" s="54"/>
      <c r="P17" s="54"/>
      <c r="Q17" s="54"/>
      <c r="R17" s="54"/>
      <c r="AC17" s="425" t="s">
        <v>1371</v>
      </c>
    </row>
    <row r="18" spans="1:38" ht="19.5" customHeight="1" x14ac:dyDescent="0.35">
      <c r="A18" s="191" t="str">
        <f>"Please note, your authority is only required to complete and return the following forms: "&amp;VLOOKUP(LA_name,LA_list,9,0)</f>
        <v>Please note, your authority is only required to complete and return the following forms: Forms to be completed will appear here !</v>
      </c>
      <c r="B18" s="191"/>
      <c r="C18" s="192"/>
      <c r="D18" s="192"/>
      <c r="E18" s="190"/>
      <c r="F18" s="190"/>
      <c r="G18" s="190"/>
      <c r="H18" s="190"/>
      <c r="I18" s="190"/>
      <c r="J18" s="190"/>
      <c r="K18" s="190"/>
      <c r="L18" s="190"/>
      <c r="M18" s="119"/>
      <c r="N18" s="54"/>
      <c r="O18" s="54"/>
      <c r="P18" s="54"/>
      <c r="Q18" s="54"/>
      <c r="R18" s="54"/>
    </row>
    <row r="19" spans="1:38" ht="12" customHeight="1" x14ac:dyDescent="0.35">
      <c r="A19" s="192"/>
      <c r="B19" s="192"/>
      <c r="C19" s="192"/>
      <c r="D19" s="192"/>
      <c r="E19" s="190"/>
      <c r="F19" s="190"/>
      <c r="G19" s="190"/>
      <c r="H19" s="190"/>
      <c r="I19" s="190"/>
      <c r="J19" s="190"/>
      <c r="K19" s="190"/>
      <c r="L19" s="190"/>
      <c r="M19" s="119"/>
      <c r="N19" s="54"/>
      <c r="O19" s="54"/>
      <c r="P19" s="54"/>
      <c r="Q19" s="54"/>
      <c r="R19" s="54"/>
    </row>
    <row r="20" spans="1:38" ht="25" x14ac:dyDescent="0.5">
      <c r="A20" s="137" t="str">
        <f>RS!$A$20</f>
        <v>Please select your authority name on Title page</v>
      </c>
      <c r="B20" s="137"/>
      <c r="C20" s="59"/>
      <c r="D20" s="59"/>
      <c r="E20" s="67"/>
      <c r="F20" s="67"/>
      <c r="G20" s="67"/>
      <c r="H20" s="67"/>
      <c r="I20" s="67"/>
      <c r="J20" s="67"/>
      <c r="K20" s="67"/>
      <c r="L20" s="67"/>
      <c r="M20" s="67"/>
      <c r="N20" s="67"/>
      <c r="O20" s="4"/>
      <c r="P20" s="4"/>
      <c r="Q20" s="4"/>
      <c r="R20" s="4"/>
      <c r="S20" s="4"/>
      <c r="T20" s="4"/>
    </row>
    <row r="21" spans="1:38" ht="18" x14ac:dyDescent="0.4">
      <c r="A21" s="139" t="str">
        <f>ContactDetails!C25</f>
        <v>E-code</v>
      </c>
      <c r="B21" s="139"/>
      <c r="C21" s="60"/>
      <c r="D21" s="60"/>
      <c r="E21" s="68"/>
      <c r="F21" s="68"/>
      <c r="G21" s="68"/>
      <c r="H21" s="539"/>
      <c r="I21" s="539"/>
      <c r="J21" s="236"/>
      <c r="K21" s="539"/>
      <c r="L21" s="539"/>
      <c r="M21" s="236"/>
      <c r="N21" s="112"/>
      <c r="O21" s="112"/>
      <c r="P21" s="112"/>
      <c r="Q21" s="112"/>
      <c r="R21" s="112"/>
    </row>
    <row r="22" spans="1:38" ht="18" x14ac:dyDescent="0.4">
      <c r="A22" s="60"/>
      <c r="B22" s="60"/>
      <c r="C22" s="60"/>
      <c r="D22" s="60"/>
      <c r="E22" s="68"/>
      <c r="F22" s="68"/>
      <c r="G22" s="68"/>
      <c r="H22" s="539"/>
      <c r="I22" s="539"/>
      <c r="J22" s="236"/>
      <c r="K22" s="539"/>
      <c r="L22" s="539"/>
      <c r="M22" s="236"/>
      <c r="N22" s="236"/>
      <c r="O22" s="112"/>
      <c r="P22" s="112"/>
      <c r="Q22" s="112"/>
      <c r="R22" s="112"/>
    </row>
    <row r="23" spans="1:38" ht="15.5" x14ac:dyDescent="0.35">
      <c r="A23" s="4"/>
      <c r="B23" s="4"/>
      <c r="C23" s="4"/>
      <c r="D23" s="4"/>
      <c r="E23" s="4"/>
      <c r="F23" s="4"/>
      <c r="G23" s="4"/>
      <c r="H23" s="236"/>
      <c r="I23" s="334"/>
      <c r="J23" s="334"/>
      <c r="K23" s="334"/>
      <c r="L23" s="334"/>
      <c r="M23" s="334"/>
      <c r="N23" s="112"/>
      <c r="O23" s="112"/>
      <c r="P23" s="112"/>
      <c r="Q23" s="112"/>
      <c r="R23" s="4"/>
      <c r="S23" s="3"/>
      <c r="T23" s="3"/>
    </row>
    <row r="24" spans="1:38" ht="15.5" x14ac:dyDescent="0.35">
      <c r="A24" s="112"/>
      <c r="B24" s="112"/>
      <c r="C24" s="112"/>
      <c r="D24" s="112"/>
      <c r="E24" s="112"/>
      <c r="F24" s="681" t="s">
        <v>2044</v>
      </c>
      <c r="G24" s="681" t="s">
        <v>2045</v>
      </c>
      <c r="H24" s="335" t="s">
        <v>2046</v>
      </c>
      <c r="I24" s="334"/>
      <c r="J24" s="334"/>
      <c r="K24" s="334"/>
      <c r="L24" s="334"/>
      <c r="M24" s="334"/>
      <c r="N24" s="112"/>
      <c r="O24" s="112"/>
      <c r="P24" s="112"/>
      <c r="Q24" s="112"/>
      <c r="R24" s="4"/>
      <c r="S24" s="3"/>
      <c r="T24" s="3"/>
    </row>
    <row r="25" spans="1:38" ht="15.5" x14ac:dyDescent="0.35">
      <c r="A25" s="112"/>
      <c r="B25" s="112"/>
      <c r="C25" s="112"/>
      <c r="D25" s="112"/>
      <c r="E25" s="112"/>
      <c r="F25" s="681" t="s">
        <v>2047</v>
      </c>
      <c r="G25" s="681"/>
      <c r="H25" s="335" t="s">
        <v>2048</v>
      </c>
      <c r="I25" s="336"/>
      <c r="J25" s="336"/>
      <c r="K25" s="336"/>
      <c r="L25" s="336"/>
      <c r="M25" s="336"/>
      <c r="N25" s="112"/>
      <c r="O25" s="112"/>
      <c r="P25" s="112"/>
      <c r="Q25" s="112"/>
      <c r="R25" s="67"/>
      <c r="S25" s="44"/>
      <c r="T25" s="47"/>
    </row>
    <row r="26" spans="1:38" ht="15.5" x14ac:dyDescent="0.35">
      <c r="A26" s="112"/>
      <c r="B26" s="112"/>
      <c r="C26" s="112"/>
      <c r="D26" s="112"/>
      <c r="E26" s="112"/>
      <c r="F26" s="335" t="s">
        <v>1378</v>
      </c>
      <c r="G26" s="335" t="s">
        <v>1378</v>
      </c>
      <c r="H26" s="335" t="s">
        <v>1378</v>
      </c>
      <c r="I26" s="574"/>
      <c r="J26" s="574"/>
      <c r="K26" s="574"/>
      <c r="L26" s="574"/>
      <c r="M26" s="574"/>
      <c r="N26" s="112"/>
      <c r="O26" s="112"/>
      <c r="P26" s="112"/>
      <c r="Q26" s="112"/>
      <c r="R26" s="67"/>
      <c r="S26" s="43"/>
      <c r="T26" s="47"/>
    </row>
    <row r="27" spans="1:38" ht="15.5" x14ac:dyDescent="0.35">
      <c r="A27" s="112"/>
      <c r="B27" s="112"/>
      <c r="C27" s="112"/>
      <c r="D27" s="112"/>
      <c r="E27" s="112"/>
      <c r="F27" s="112"/>
      <c r="G27" s="112"/>
      <c r="H27" s="335"/>
      <c r="I27" s="337"/>
      <c r="J27" s="337"/>
      <c r="K27" s="337"/>
      <c r="L27" s="337"/>
      <c r="M27" s="337"/>
      <c r="N27" s="112"/>
      <c r="O27" s="112"/>
      <c r="P27" s="112"/>
      <c r="Q27" s="112"/>
      <c r="R27" s="67"/>
      <c r="S27" s="43"/>
      <c r="T27" s="44"/>
    </row>
    <row r="28" spans="1:38" ht="13" x14ac:dyDescent="0.3">
      <c r="A28" s="112"/>
      <c r="B28" s="112"/>
      <c r="C28" s="112"/>
      <c r="D28" s="112"/>
      <c r="E28" s="112"/>
      <c r="F28" s="238" t="s">
        <v>1379</v>
      </c>
      <c r="G28" s="238" t="s">
        <v>1607</v>
      </c>
      <c r="H28" s="238" t="s">
        <v>2049</v>
      </c>
      <c r="I28" s="68"/>
      <c r="J28" s="68"/>
      <c r="K28" s="68"/>
      <c r="L28" s="68"/>
      <c r="M28" s="68"/>
      <c r="N28" s="112"/>
      <c r="O28" s="112"/>
      <c r="P28" s="112"/>
      <c r="Q28" s="112"/>
      <c r="R28" s="4"/>
      <c r="S28" s="3"/>
      <c r="T28" s="3"/>
    </row>
    <row r="29" spans="1:38" ht="18" customHeight="1" x14ac:dyDescent="0.4">
      <c r="A29" s="327" t="s">
        <v>2050</v>
      </c>
      <c r="B29" s="327"/>
      <c r="C29" s="237"/>
      <c r="D29" s="237"/>
      <c r="E29" s="31"/>
      <c r="F29" s="31"/>
      <c r="G29" s="31"/>
      <c r="H29" s="31"/>
      <c r="I29" s="106"/>
      <c r="J29" s="31"/>
      <c r="K29" s="31"/>
      <c r="L29" s="106"/>
      <c r="M29" s="106"/>
      <c r="N29" s="112"/>
      <c r="O29" s="112"/>
      <c r="P29" s="112"/>
      <c r="Q29" s="112"/>
      <c r="R29" s="112"/>
    </row>
    <row r="30" spans="1:38" ht="12.75" customHeight="1" x14ac:dyDescent="0.4">
      <c r="A30" s="266" t="s">
        <v>84</v>
      </c>
      <c r="B30" s="266"/>
      <c r="C30" s="237"/>
      <c r="D30" s="237"/>
      <c r="E30" s="31"/>
      <c r="F30" s="707"/>
      <c r="G30" s="707"/>
      <c r="H30" s="31"/>
      <c r="I30" s="45"/>
      <c r="J30" s="31"/>
      <c r="K30" s="31"/>
      <c r="L30" s="45"/>
      <c r="M30" s="45"/>
      <c r="N30" s="112"/>
      <c r="O30" s="112"/>
      <c r="P30" s="112"/>
      <c r="Q30" s="112"/>
      <c r="R30" s="112"/>
      <c r="AC30" s="461" t="s">
        <v>1380</v>
      </c>
    </row>
    <row r="31" spans="1:38" ht="15.75" customHeight="1" x14ac:dyDescent="0.35">
      <c r="A31" s="120" t="s">
        <v>2051</v>
      </c>
      <c r="B31" s="120"/>
      <c r="C31" s="237"/>
      <c r="D31" s="237"/>
      <c r="E31" s="31"/>
      <c r="F31" s="31"/>
      <c r="G31" s="31"/>
      <c r="H31" s="31"/>
      <c r="I31" s="45"/>
      <c r="J31" s="31"/>
      <c r="K31" s="31"/>
      <c r="L31" s="45"/>
      <c r="M31" s="45"/>
      <c r="N31" s="112"/>
      <c r="O31" s="112"/>
      <c r="P31" s="112"/>
      <c r="Q31" s="112"/>
      <c r="R31" s="112"/>
      <c r="AC31" s="461" t="s">
        <v>1381</v>
      </c>
      <c r="AD31" s="461" t="s">
        <v>1382</v>
      </c>
      <c r="AE31" s="461" t="s">
        <v>1383</v>
      </c>
      <c r="AF31" s="461" t="s">
        <v>1384</v>
      </c>
      <c r="AG31" s="461" t="s">
        <v>1385</v>
      </c>
      <c r="AH31" s="461" t="s">
        <v>1386</v>
      </c>
      <c r="AI31" s="461" t="s">
        <v>1387</v>
      </c>
      <c r="AJ31" s="461" t="s">
        <v>1388</v>
      </c>
      <c r="AK31" s="461" t="s">
        <v>1389</v>
      </c>
      <c r="AL31" s="461" t="s">
        <v>1390</v>
      </c>
    </row>
    <row r="32" spans="1:38" ht="15.5" x14ac:dyDescent="0.35">
      <c r="A32" s="115">
        <v>260</v>
      </c>
      <c r="B32" s="296" t="s">
        <v>2052</v>
      </c>
      <c r="C32" s="108"/>
      <c r="D32" s="108"/>
      <c r="E32" s="55"/>
      <c r="F32" s="672"/>
      <c r="G32" s="672"/>
      <c r="H32" s="1141">
        <f>F32-G32</f>
        <v>0</v>
      </c>
      <c r="I32" s="31"/>
      <c r="J32" s="688" t="str">
        <f t="shared" ref="J32" si="0">IF(ISERROR(K32),"",IF((K32="Error"),"add explanation",IF((K32="Warning"),"add explanation","")))</f>
        <v/>
      </c>
      <c r="K32" s="310" t="str">
        <f>IF(H32&lt;&gt;(F32-G32),"Error",IF(AL32="Warning","Warning",""))</f>
        <v/>
      </c>
      <c r="L32" s="131" t="str">
        <f>IF($K32="Error","A total column for "&amp;($B32)&amp;" does not match the sum of the components, please correct",IF($K32="Warning","This year's figure is over "&amp;AD32/1000&amp;" million and "&amp;(AC32*100)&amp;"% different to "&amp;TEXT(AE32,"#,###")&amp;" last year, please explain",""))</f>
        <v/>
      </c>
      <c r="M32" s="131"/>
      <c r="N32" s="112"/>
      <c r="O32" s="112"/>
      <c r="P32" s="112"/>
      <c r="Q32" s="112"/>
      <c r="R32" s="112"/>
      <c r="AC32">
        <f t="shared" ref="AC32:AC49" si="1">VLOOKUP("TSR"&amp;$A32,data_val_parameters,9,0)/100</f>
        <v>0.4</v>
      </c>
      <c r="AD32">
        <f t="shared" ref="AD32:AD49" si="2">VLOOKUP("TSR"&amp;$A32,data_val_parameters,7,0)</f>
        <v>10000</v>
      </c>
      <c r="AE32" t="e">
        <f t="shared" ref="AE32:AE49" si="3">VLOOKUP(LA_code,data_prev_year,MATCH("TSR"&amp;$A32&amp;"1",data_prev_year_headers,0),0)</f>
        <v>#N/A</v>
      </c>
      <c r="AF32" t="e">
        <f>AE32+AD32</f>
        <v>#N/A</v>
      </c>
      <c r="AG32" t="e">
        <f>AE32-AD32</f>
        <v>#N/A</v>
      </c>
      <c r="AH32" t="e">
        <f>AE32+(AE32*AC32)</f>
        <v>#N/A</v>
      </c>
      <c r="AI32" t="e">
        <f>AE32-(AE32*AC32)</f>
        <v>#N/A</v>
      </c>
      <c r="AJ32" t="e">
        <f>IF(OR(H32&lt;AG32,H32&gt;AF32),"Warning","")</f>
        <v>#N/A</v>
      </c>
      <c r="AK32" t="e">
        <f>IF(OR(H32&gt;(AH32),H32&lt;(AI32)),"Warning","")</f>
        <v>#N/A</v>
      </c>
      <c r="AL32" t="str">
        <f>IF(OR(H32=0),"",IF(AND(AJ32="Warning",AK32="Warning"),"Warning",""))</f>
        <v/>
      </c>
    </row>
    <row r="33" spans="1:38" ht="15.5" x14ac:dyDescent="0.35">
      <c r="A33" s="115">
        <v>281</v>
      </c>
      <c r="B33" s="274" t="s">
        <v>2053</v>
      </c>
      <c r="C33" s="11"/>
      <c r="D33" s="11"/>
      <c r="E33" s="55"/>
      <c r="F33" s="672"/>
      <c r="G33" s="672"/>
      <c r="H33" s="1141">
        <f t="shared" ref="H33:H54" si="4">F33-G33</f>
        <v>0</v>
      </c>
      <c r="I33" s="31"/>
      <c r="J33" s="688" t="str">
        <f t="shared" ref="J33:J57" si="5">IF(ISERROR(K33),"",IF((K33="Error"),"add explanation",IF((K33="Warning"),"add explanation","")))</f>
        <v/>
      </c>
      <c r="K33" s="310" t="str">
        <f t="shared" ref="K33:K55" si="6">IF(H33&lt;&gt;(F33-G33),"Error",IF(AL33="Warning","Warning",""))</f>
        <v/>
      </c>
      <c r="L33" s="131" t="str">
        <f t="shared" ref="L33:L55" si="7">IF($K33="Error","A total column for "&amp;($B33)&amp;" does not match the sum of the components, please correct",IF($K33="Warning","This year's figure is over "&amp;AD33/1000&amp;" million and "&amp;(AC33*100)&amp;"% different to "&amp;TEXT(AE33,"#,###")&amp;" last year, please explain",""))</f>
        <v/>
      </c>
      <c r="M33" s="45"/>
      <c r="N33" s="112"/>
      <c r="O33" s="112"/>
      <c r="P33" s="112"/>
      <c r="Q33" s="112"/>
      <c r="R33" s="112"/>
      <c r="AC33">
        <f t="shared" si="1"/>
        <v>0.4</v>
      </c>
      <c r="AD33">
        <f t="shared" si="2"/>
        <v>10000</v>
      </c>
      <c r="AE33" t="e">
        <f t="shared" si="3"/>
        <v>#N/A</v>
      </c>
      <c r="AF33" t="e">
        <f t="shared" ref="AF33:AF61" si="8">AE33+AD33</f>
        <v>#N/A</v>
      </c>
      <c r="AG33" t="e">
        <f t="shared" ref="AG33:AG61" si="9">AE33-AD33</f>
        <v>#N/A</v>
      </c>
      <c r="AH33" t="e">
        <f t="shared" ref="AH33:AH61" si="10">AE33+(AE33*AC33)</f>
        <v>#N/A</v>
      </c>
      <c r="AI33" t="e">
        <f t="shared" ref="AI33:AI61" si="11">AE33-(AE33*AC33)</f>
        <v>#N/A</v>
      </c>
      <c r="AJ33" t="e">
        <f t="shared" ref="AJ33:AJ61" si="12">IF(OR(H33&lt;AG33,H33&gt;AF33),"Warning","")</f>
        <v>#N/A</v>
      </c>
      <c r="AK33" t="e">
        <f t="shared" ref="AK33:AK61" si="13">IF(OR(H33&gt;(AH33),H33&lt;(AI33)),"Warning","")</f>
        <v>#N/A</v>
      </c>
      <c r="AL33" t="str">
        <f t="shared" ref="AL33:AL90" si="14">IF(OR(H33=0),"",IF(AND(AJ33="Warning",AK33="Warning"),"Warning",""))</f>
        <v/>
      </c>
    </row>
    <row r="34" spans="1:38" ht="15.5" x14ac:dyDescent="0.35">
      <c r="A34" s="115">
        <v>282</v>
      </c>
      <c r="B34" s="296" t="s">
        <v>2054</v>
      </c>
      <c r="C34" s="108"/>
      <c r="D34" s="108"/>
      <c r="E34" s="61"/>
      <c r="F34" s="672"/>
      <c r="G34" s="672"/>
      <c r="H34" s="1141">
        <f t="shared" si="4"/>
        <v>0</v>
      </c>
      <c r="I34" s="31"/>
      <c r="J34" s="688" t="str">
        <f t="shared" si="5"/>
        <v/>
      </c>
      <c r="K34" s="310" t="str">
        <f t="shared" si="6"/>
        <v/>
      </c>
      <c r="L34" s="131" t="str">
        <f t="shared" si="7"/>
        <v/>
      </c>
      <c r="M34" s="45"/>
      <c r="N34" s="112"/>
      <c r="O34" s="112"/>
      <c r="P34" s="112"/>
      <c r="Q34" s="112"/>
      <c r="R34" s="112"/>
      <c r="AC34">
        <f t="shared" si="1"/>
        <v>0.4</v>
      </c>
      <c r="AD34">
        <f t="shared" si="2"/>
        <v>10000</v>
      </c>
      <c r="AE34" t="e">
        <f t="shared" si="3"/>
        <v>#N/A</v>
      </c>
      <c r="AF34" t="e">
        <f t="shared" si="8"/>
        <v>#N/A</v>
      </c>
      <c r="AG34" t="e">
        <f t="shared" si="9"/>
        <v>#N/A</v>
      </c>
      <c r="AH34" t="e">
        <f t="shared" si="10"/>
        <v>#N/A</v>
      </c>
      <c r="AI34" t="e">
        <f t="shared" si="11"/>
        <v>#N/A</v>
      </c>
      <c r="AJ34" t="e">
        <f t="shared" si="12"/>
        <v>#N/A</v>
      </c>
      <c r="AK34" t="e">
        <f t="shared" si="13"/>
        <v>#N/A</v>
      </c>
      <c r="AL34" t="str">
        <f t="shared" si="14"/>
        <v/>
      </c>
    </row>
    <row r="35" spans="1:38" ht="15.5" x14ac:dyDescent="0.35">
      <c r="A35" s="115">
        <v>283</v>
      </c>
      <c r="B35" s="274" t="s">
        <v>2055</v>
      </c>
      <c r="C35" s="11"/>
      <c r="D35" s="11"/>
      <c r="E35" s="61"/>
      <c r="F35" s="672"/>
      <c r="G35" s="672"/>
      <c r="H35" s="1141">
        <f t="shared" si="4"/>
        <v>0</v>
      </c>
      <c r="I35" s="31"/>
      <c r="J35" s="688" t="str">
        <f t="shared" si="5"/>
        <v/>
      </c>
      <c r="K35" s="310" t="str">
        <f t="shared" si="6"/>
        <v/>
      </c>
      <c r="L35" s="131" t="str">
        <f t="shared" si="7"/>
        <v/>
      </c>
      <c r="M35" s="45"/>
      <c r="N35" s="112"/>
      <c r="O35" s="112"/>
      <c r="P35" s="112"/>
      <c r="Q35" s="112"/>
      <c r="R35" s="112"/>
      <c r="AC35">
        <f t="shared" si="1"/>
        <v>0.4</v>
      </c>
      <c r="AD35">
        <f t="shared" si="2"/>
        <v>10000</v>
      </c>
      <c r="AE35" t="e">
        <f t="shared" si="3"/>
        <v>#N/A</v>
      </c>
      <c r="AF35" t="e">
        <f t="shared" si="8"/>
        <v>#N/A</v>
      </c>
      <c r="AG35" t="e">
        <f t="shared" si="9"/>
        <v>#N/A</v>
      </c>
      <c r="AH35" t="e">
        <f t="shared" si="10"/>
        <v>#N/A</v>
      </c>
      <c r="AI35" t="e">
        <f t="shared" si="11"/>
        <v>#N/A</v>
      </c>
      <c r="AJ35" t="e">
        <f t="shared" si="12"/>
        <v>#N/A</v>
      </c>
      <c r="AK35" t="e">
        <f t="shared" si="13"/>
        <v>#N/A</v>
      </c>
      <c r="AL35" t="str">
        <f t="shared" si="14"/>
        <v/>
      </c>
    </row>
    <row r="36" spans="1:38" ht="18" x14ac:dyDescent="0.4">
      <c r="A36" s="115">
        <v>284</v>
      </c>
      <c r="B36" s="273" t="s">
        <v>2056</v>
      </c>
      <c r="C36" s="121"/>
      <c r="D36" s="27"/>
      <c r="E36" s="55"/>
      <c r="F36" s="672"/>
      <c r="G36" s="672"/>
      <c r="H36" s="1141">
        <f t="shared" si="4"/>
        <v>0</v>
      </c>
      <c r="I36" s="31"/>
      <c r="J36" s="688" t="str">
        <f t="shared" si="5"/>
        <v/>
      </c>
      <c r="K36" s="310" t="str">
        <f t="shared" si="6"/>
        <v/>
      </c>
      <c r="L36" s="131" t="str">
        <f t="shared" si="7"/>
        <v/>
      </c>
      <c r="M36" s="45"/>
      <c r="N36" s="112"/>
      <c r="O36" s="112"/>
      <c r="P36" s="112"/>
      <c r="Q36" s="112"/>
      <c r="R36" s="112"/>
      <c r="AC36">
        <f t="shared" si="1"/>
        <v>0.4</v>
      </c>
      <c r="AD36">
        <f t="shared" si="2"/>
        <v>10000</v>
      </c>
      <c r="AE36" t="e">
        <f t="shared" si="3"/>
        <v>#N/A</v>
      </c>
      <c r="AF36" t="e">
        <f t="shared" si="8"/>
        <v>#N/A</v>
      </c>
      <c r="AG36" t="e">
        <f t="shared" si="9"/>
        <v>#N/A</v>
      </c>
      <c r="AH36" t="e">
        <f t="shared" si="10"/>
        <v>#N/A</v>
      </c>
      <c r="AI36" t="e">
        <f t="shared" si="11"/>
        <v>#N/A</v>
      </c>
      <c r="AJ36" t="e">
        <f t="shared" si="12"/>
        <v>#N/A</v>
      </c>
      <c r="AK36" t="e">
        <f t="shared" si="13"/>
        <v>#N/A</v>
      </c>
      <c r="AL36" t="str">
        <f t="shared" si="14"/>
        <v/>
      </c>
    </row>
    <row r="37" spans="1:38" ht="15.5" x14ac:dyDescent="0.35">
      <c r="A37" s="115">
        <v>514</v>
      </c>
      <c r="B37" s="296" t="s">
        <v>2057</v>
      </c>
      <c r="C37" s="108"/>
      <c r="D37" s="108"/>
      <c r="E37" s="55"/>
      <c r="F37" s="672"/>
      <c r="G37" s="672"/>
      <c r="H37" s="1141">
        <f t="shared" si="4"/>
        <v>0</v>
      </c>
      <c r="I37" s="31"/>
      <c r="J37" s="688" t="str">
        <f t="shared" si="5"/>
        <v/>
      </c>
      <c r="K37" s="310" t="str">
        <f t="shared" si="6"/>
        <v/>
      </c>
      <c r="L37" s="131" t="str">
        <f t="shared" si="7"/>
        <v/>
      </c>
      <c r="M37" s="45"/>
      <c r="N37" s="112"/>
      <c r="O37" s="112"/>
      <c r="P37" s="112"/>
      <c r="Q37" s="112"/>
      <c r="R37" s="112"/>
      <c r="AC37">
        <f t="shared" si="1"/>
        <v>0.4</v>
      </c>
      <c r="AD37">
        <f t="shared" si="2"/>
        <v>10000</v>
      </c>
      <c r="AE37" t="e">
        <f t="shared" si="3"/>
        <v>#N/A</v>
      </c>
      <c r="AF37" t="e">
        <f t="shared" si="8"/>
        <v>#N/A</v>
      </c>
      <c r="AG37" t="e">
        <f t="shared" si="9"/>
        <v>#N/A</v>
      </c>
      <c r="AH37" t="e">
        <f t="shared" si="10"/>
        <v>#N/A</v>
      </c>
      <c r="AI37" t="e">
        <f t="shared" si="11"/>
        <v>#N/A</v>
      </c>
      <c r="AJ37" t="e">
        <f t="shared" si="12"/>
        <v>#N/A</v>
      </c>
      <c r="AK37" t="e">
        <f t="shared" si="13"/>
        <v>#N/A</v>
      </c>
      <c r="AL37" t="str">
        <f t="shared" si="14"/>
        <v/>
      </c>
    </row>
    <row r="38" spans="1:38" ht="15.5" x14ac:dyDescent="0.35">
      <c r="A38" s="115">
        <v>515</v>
      </c>
      <c r="B38" s="343" t="s">
        <v>2058</v>
      </c>
      <c r="C38" s="110"/>
      <c r="D38" s="110"/>
      <c r="E38" s="65"/>
      <c r="F38" s="672"/>
      <c r="G38" s="672"/>
      <c r="H38" s="1141">
        <f t="shared" si="4"/>
        <v>0</v>
      </c>
      <c r="I38" s="31"/>
      <c r="J38" s="688" t="str">
        <f t="shared" si="5"/>
        <v/>
      </c>
      <c r="K38" s="310" t="str">
        <f t="shared" si="6"/>
        <v/>
      </c>
      <c r="L38" s="131" t="str">
        <f t="shared" si="7"/>
        <v/>
      </c>
      <c r="M38" s="45"/>
      <c r="N38" s="112"/>
      <c r="O38" s="112"/>
      <c r="P38" s="112"/>
      <c r="Q38" s="112"/>
      <c r="R38" s="112"/>
      <c r="AC38">
        <f t="shared" si="1"/>
        <v>0.4</v>
      </c>
      <c r="AD38">
        <f t="shared" si="2"/>
        <v>10000</v>
      </c>
      <c r="AE38" t="e">
        <f t="shared" si="3"/>
        <v>#N/A</v>
      </c>
      <c r="AF38" t="e">
        <f t="shared" si="8"/>
        <v>#N/A</v>
      </c>
      <c r="AG38" t="e">
        <f t="shared" si="9"/>
        <v>#N/A</v>
      </c>
      <c r="AH38" t="e">
        <f t="shared" si="10"/>
        <v>#N/A</v>
      </c>
      <c r="AI38" t="e">
        <f t="shared" si="11"/>
        <v>#N/A</v>
      </c>
      <c r="AJ38" t="e">
        <f t="shared" si="12"/>
        <v>#N/A</v>
      </c>
      <c r="AK38" t="e">
        <f t="shared" si="13"/>
        <v>#N/A</v>
      </c>
      <c r="AL38" t="str">
        <f t="shared" si="14"/>
        <v/>
      </c>
    </row>
    <row r="39" spans="1:38" ht="15.5" x14ac:dyDescent="0.35">
      <c r="A39" s="115">
        <v>521</v>
      </c>
      <c r="B39" s="343" t="s">
        <v>2059</v>
      </c>
      <c r="C39" s="110"/>
      <c r="D39" s="110"/>
      <c r="E39" s="65"/>
      <c r="F39" s="672"/>
      <c r="G39" s="672"/>
      <c r="H39" s="1141">
        <f t="shared" si="4"/>
        <v>0</v>
      </c>
      <c r="I39" s="31"/>
      <c r="J39" s="688" t="str">
        <f t="shared" si="5"/>
        <v/>
      </c>
      <c r="K39" s="310" t="str">
        <f t="shared" si="6"/>
        <v/>
      </c>
      <c r="L39" s="131" t="str">
        <f t="shared" si="7"/>
        <v/>
      </c>
      <c r="M39" s="45"/>
      <c r="N39" s="112"/>
      <c r="O39" s="112"/>
      <c r="P39" s="112"/>
      <c r="Q39" s="112"/>
      <c r="R39" s="112"/>
      <c r="AC39">
        <f t="shared" si="1"/>
        <v>0.4</v>
      </c>
      <c r="AD39">
        <f t="shared" si="2"/>
        <v>10000</v>
      </c>
      <c r="AE39" t="e">
        <f t="shared" si="3"/>
        <v>#N/A</v>
      </c>
      <c r="AF39" t="e">
        <f t="shared" si="8"/>
        <v>#N/A</v>
      </c>
      <c r="AG39" t="e">
        <f t="shared" si="9"/>
        <v>#N/A</v>
      </c>
      <c r="AH39" t="e">
        <f t="shared" si="10"/>
        <v>#N/A</v>
      </c>
      <c r="AI39" t="e">
        <f t="shared" si="11"/>
        <v>#N/A</v>
      </c>
      <c r="AJ39" t="e">
        <f t="shared" si="12"/>
        <v>#N/A</v>
      </c>
      <c r="AK39" t="e">
        <f t="shared" si="13"/>
        <v>#N/A</v>
      </c>
      <c r="AL39" t="str">
        <f t="shared" si="14"/>
        <v/>
      </c>
    </row>
    <row r="40" spans="1:38" ht="15.5" x14ac:dyDescent="0.35">
      <c r="A40" s="115">
        <v>525</v>
      </c>
      <c r="B40" s="296" t="s">
        <v>2060</v>
      </c>
      <c r="C40" s="108"/>
      <c r="D40" s="108"/>
      <c r="E40" s="89"/>
      <c r="F40" s="672"/>
      <c r="G40" s="672"/>
      <c r="H40" s="1141">
        <f t="shared" si="4"/>
        <v>0</v>
      </c>
      <c r="I40" s="31"/>
      <c r="J40" s="688" t="str">
        <f t="shared" si="5"/>
        <v/>
      </c>
      <c r="K40" s="310" t="str">
        <f t="shared" si="6"/>
        <v/>
      </c>
      <c r="L40" s="131" t="str">
        <f t="shared" si="7"/>
        <v/>
      </c>
      <c r="M40" s="45"/>
      <c r="N40" s="112"/>
      <c r="O40" s="112"/>
      <c r="P40" s="112"/>
      <c r="Q40" s="112"/>
      <c r="R40" s="112"/>
      <c r="AC40">
        <f t="shared" si="1"/>
        <v>0.4</v>
      </c>
      <c r="AD40">
        <f t="shared" si="2"/>
        <v>10000</v>
      </c>
      <c r="AE40" t="e">
        <f t="shared" si="3"/>
        <v>#N/A</v>
      </c>
      <c r="AF40" t="e">
        <f t="shared" si="8"/>
        <v>#N/A</v>
      </c>
      <c r="AG40" t="e">
        <f t="shared" si="9"/>
        <v>#N/A</v>
      </c>
      <c r="AH40" t="e">
        <f t="shared" si="10"/>
        <v>#N/A</v>
      </c>
      <c r="AI40" t="e">
        <f t="shared" si="11"/>
        <v>#N/A</v>
      </c>
      <c r="AJ40" t="e">
        <f t="shared" si="12"/>
        <v>#N/A</v>
      </c>
      <c r="AK40" t="e">
        <f t="shared" si="13"/>
        <v>#N/A</v>
      </c>
      <c r="AL40" t="str">
        <f t="shared" si="14"/>
        <v/>
      </c>
    </row>
    <row r="41" spans="1:38" ht="15.5" x14ac:dyDescent="0.35">
      <c r="A41" s="115">
        <v>528</v>
      </c>
      <c r="B41" s="296" t="s">
        <v>2061</v>
      </c>
      <c r="C41" s="108"/>
      <c r="D41" s="108"/>
      <c r="E41" s="89"/>
      <c r="F41" s="672"/>
      <c r="G41" s="672"/>
      <c r="H41" s="1141">
        <f t="shared" si="4"/>
        <v>0</v>
      </c>
      <c r="I41" s="31"/>
      <c r="J41" s="688" t="str">
        <f t="shared" si="5"/>
        <v/>
      </c>
      <c r="K41" s="310" t="str">
        <f t="shared" si="6"/>
        <v/>
      </c>
      <c r="L41" s="131" t="str">
        <f t="shared" si="7"/>
        <v/>
      </c>
      <c r="M41" s="45"/>
      <c r="N41" s="112"/>
      <c r="O41" s="112"/>
      <c r="P41" s="112"/>
      <c r="Q41" s="112"/>
      <c r="R41" s="112"/>
      <c r="AC41">
        <f t="shared" si="1"/>
        <v>0.4</v>
      </c>
      <c r="AD41">
        <f t="shared" si="2"/>
        <v>10000</v>
      </c>
      <c r="AE41" t="e">
        <f t="shared" si="3"/>
        <v>#N/A</v>
      </c>
      <c r="AF41" t="e">
        <f t="shared" si="8"/>
        <v>#N/A</v>
      </c>
      <c r="AG41" t="e">
        <f t="shared" si="9"/>
        <v>#N/A</v>
      </c>
      <c r="AH41" t="e">
        <f t="shared" si="10"/>
        <v>#N/A</v>
      </c>
      <c r="AI41" t="e">
        <f t="shared" si="11"/>
        <v>#N/A</v>
      </c>
      <c r="AJ41" t="e">
        <f t="shared" si="12"/>
        <v>#N/A</v>
      </c>
      <c r="AK41" t="e">
        <f t="shared" si="13"/>
        <v>#N/A</v>
      </c>
      <c r="AL41" t="str">
        <f t="shared" si="14"/>
        <v/>
      </c>
    </row>
    <row r="42" spans="1:38" ht="15.5" x14ac:dyDescent="0.35">
      <c r="A42" s="115">
        <v>535</v>
      </c>
      <c r="B42" s="296" t="s">
        <v>2062</v>
      </c>
      <c r="C42" s="108"/>
      <c r="D42" s="108"/>
      <c r="E42" s="55"/>
      <c r="F42" s="672"/>
      <c r="G42" s="672"/>
      <c r="H42" s="1141">
        <f t="shared" si="4"/>
        <v>0</v>
      </c>
      <c r="I42" s="31"/>
      <c r="J42" s="688" t="str">
        <f t="shared" si="5"/>
        <v/>
      </c>
      <c r="K42" s="310" t="str">
        <f t="shared" si="6"/>
        <v/>
      </c>
      <c r="L42" s="131" t="str">
        <f t="shared" si="7"/>
        <v/>
      </c>
      <c r="M42" s="45"/>
      <c r="N42" s="112"/>
      <c r="O42" s="112"/>
      <c r="P42" s="112"/>
      <c r="Q42" s="112"/>
      <c r="R42" s="112"/>
      <c r="AC42">
        <f t="shared" si="1"/>
        <v>0.4</v>
      </c>
      <c r="AD42">
        <f t="shared" si="2"/>
        <v>10000</v>
      </c>
      <c r="AE42" t="e">
        <f t="shared" si="3"/>
        <v>#N/A</v>
      </c>
      <c r="AF42" t="e">
        <f t="shared" si="8"/>
        <v>#N/A</v>
      </c>
      <c r="AG42" t="e">
        <f t="shared" si="9"/>
        <v>#N/A</v>
      </c>
      <c r="AH42" t="e">
        <f t="shared" si="10"/>
        <v>#N/A</v>
      </c>
      <c r="AI42" t="e">
        <f t="shared" si="11"/>
        <v>#N/A</v>
      </c>
      <c r="AJ42" t="e">
        <f t="shared" si="12"/>
        <v>#N/A</v>
      </c>
      <c r="AK42" t="e">
        <f t="shared" si="13"/>
        <v>#N/A</v>
      </c>
      <c r="AL42" t="str">
        <f t="shared" si="14"/>
        <v/>
      </c>
    </row>
    <row r="43" spans="1:38" ht="18" x14ac:dyDescent="0.4">
      <c r="A43" s="115">
        <v>550</v>
      </c>
      <c r="B43" s="296" t="s">
        <v>2063</v>
      </c>
      <c r="C43" s="108"/>
      <c r="D43" s="108"/>
      <c r="E43" s="34"/>
      <c r="F43" s="672"/>
      <c r="G43" s="672"/>
      <c r="H43" s="1141">
        <f t="shared" si="4"/>
        <v>0</v>
      </c>
      <c r="I43" s="31"/>
      <c r="J43" s="688" t="str">
        <f t="shared" si="5"/>
        <v/>
      </c>
      <c r="K43" s="310" t="str">
        <f t="shared" si="6"/>
        <v/>
      </c>
      <c r="L43" s="131" t="str">
        <f t="shared" si="7"/>
        <v/>
      </c>
      <c r="M43" s="45"/>
      <c r="N43" s="112"/>
      <c r="O43" s="112"/>
      <c r="P43" s="112"/>
      <c r="Q43" s="112"/>
      <c r="R43" s="112"/>
      <c r="AC43">
        <f t="shared" si="1"/>
        <v>0.4</v>
      </c>
      <c r="AD43">
        <f t="shared" si="2"/>
        <v>10000</v>
      </c>
      <c r="AE43" t="e">
        <f t="shared" si="3"/>
        <v>#N/A</v>
      </c>
      <c r="AF43" t="e">
        <f t="shared" si="8"/>
        <v>#N/A</v>
      </c>
      <c r="AG43" t="e">
        <f t="shared" si="9"/>
        <v>#N/A</v>
      </c>
      <c r="AH43" t="e">
        <f t="shared" si="10"/>
        <v>#N/A</v>
      </c>
      <c r="AI43" t="e">
        <f t="shared" si="11"/>
        <v>#N/A</v>
      </c>
      <c r="AJ43" t="e">
        <f t="shared" si="12"/>
        <v>#N/A</v>
      </c>
      <c r="AK43" t="e">
        <f t="shared" si="13"/>
        <v>#N/A</v>
      </c>
      <c r="AL43" t="str">
        <f t="shared" si="14"/>
        <v/>
      </c>
    </row>
    <row r="44" spans="1:38" ht="15.5" x14ac:dyDescent="0.35">
      <c r="A44" s="115">
        <v>580</v>
      </c>
      <c r="B44" s="115" t="s">
        <v>1973</v>
      </c>
      <c r="C44" s="122"/>
      <c r="D44" s="123"/>
      <c r="E44" s="11"/>
      <c r="F44" s="672"/>
      <c r="G44" s="672"/>
      <c r="H44" s="1141">
        <f t="shared" si="4"/>
        <v>0</v>
      </c>
      <c r="I44" s="31"/>
      <c r="J44" s="688" t="str">
        <f t="shared" si="5"/>
        <v/>
      </c>
      <c r="K44" s="310" t="str">
        <f t="shared" si="6"/>
        <v/>
      </c>
      <c r="L44" s="131" t="str">
        <f t="shared" si="7"/>
        <v/>
      </c>
      <c r="M44" s="45"/>
      <c r="N44" s="112"/>
      <c r="O44" s="112"/>
      <c r="P44" s="112"/>
      <c r="Q44" s="112"/>
      <c r="R44" s="112"/>
      <c r="AC44">
        <f t="shared" si="1"/>
        <v>0.4</v>
      </c>
      <c r="AD44">
        <f t="shared" si="2"/>
        <v>10000</v>
      </c>
      <c r="AE44" t="e">
        <f t="shared" si="3"/>
        <v>#N/A</v>
      </c>
      <c r="AF44" t="e">
        <f t="shared" si="8"/>
        <v>#N/A</v>
      </c>
      <c r="AG44" t="e">
        <f t="shared" si="9"/>
        <v>#N/A</v>
      </c>
      <c r="AH44" t="e">
        <f t="shared" si="10"/>
        <v>#N/A</v>
      </c>
      <c r="AI44" t="e">
        <f t="shared" si="11"/>
        <v>#N/A</v>
      </c>
      <c r="AJ44" t="e">
        <f t="shared" si="12"/>
        <v>#N/A</v>
      </c>
      <c r="AK44" t="e">
        <f t="shared" si="13"/>
        <v>#N/A</v>
      </c>
      <c r="AL44" t="str">
        <f t="shared" si="14"/>
        <v/>
      </c>
    </row>
    <row r="45" spans="1:38" ht="15.5" x14ac:dyDescent="0.35">
      <c r="A45" s="115">
        <v>591</v>
      </c>
      <c r="B45" s="274" t="s">
        <v>1980</v>
      </c>
      <c r="C45" s="11"/>
      <c r="D45" s="11"/>
      <c r="E45" s="124"/>
      <c r="F45" s="672"/>
      <c r="G45" s="672"/>
      <c r="H45" s="1141">
        <f t="shared" si="4"/>
        <v>0</v>
      </c>
      <c r="I45" s="31"/>
      <c r="J45" s="688" t="str">
        <f t="shared" si="5"/>
        <v/>
      </c>
      <c r="K45" s="310" t="str">
        <f t="shared" si="6"/>
        <v/>
      </c>
      <c r="L45" s="131" t="str">
        <f t="shared" si="7"/>
        <v/>
      </c>
      <c r="M45" s="45"/>
      <c r="N45" s="112"/>
      <c r="O45" s="112"/>
      <c r="P45" s="112"/>
      <c r="Q45" s="112"/>
      <c r="R45" s="112"/>
      <c r="AC45">
        <f t="shared" si="1"/>
        <v>0.4</v>
      </c>
      <c r="AD45">
        <f t="shared" si="2"/>
        <v>10000</v>
      </c>
      <c r="AE45" t="e">
        <f t="shared" si="3"/>
        <v>#N/A</v>
      </c>
      <c r="AF45" t="e">
        <f t="shared" si="8"/>
        <v>#N/A</v>
      </c>
      <c r="AG45" t="e">
        <f t="shared" si="9"/>
        <v>#N/A</v>
      </c>
      <c r="AH45" t="e">
        <f t="shared" si="10"/>
        <v>#N/A</v>
      </c>
      <c r="AI45" t="e">
        <f t="shared" si="11"/>
        <v>#N/A</v>
      </c>
      <c r="AJ45" t="e">
        <f t="shared" si="12"/>
        <v>#N/A</v>
      </c>
      <c r="AK45" t="e">
        <f t="shared" si="13"/>
        <v>#N/A</v>
      </c>
      <c r="AL45" t="str">
        <f t="shared" si="14"/>
        <v/>
      </c>
    </row>
    <row r="46" spans="1:38" ht="18" x14ac:dyDescent="0.4">
      <c r="A46" s="115">
        <v>594</v>
      </c>
      <c r="B46" s="273" t="s">
        <v>2064</v>
      </c>
      <c r="C46" s="121"/>
      <c r="D46" s="27"/>
      <c r="E46" s="89"/>
      <c r="F46" s="672"/>
      <c r="G46" s="672"/>
      <c r="H46" s="1141">
        <f t="shared" si="4"/>
        <v>0</v>
      </c>
      <c r="I46" s="31"/>
      <c r="J46" s="688" t="str">
        <f t="shared" si="5"/>
        <v/>
      </c>
      <c r="K46" s="310" t="str">
        <f t="shared" si="6"/>
        <v/>
      </c>
      <c r="L46" s="131" t="str">
        <f t="shared" si="7"/>
        <v/>
      </c>
      <c r="M46" s="45"/>
      <c r="N46" s="112"/>
      <c r="O46" s="112"/>
      <c r="P46" s="112"/>
      <c r="Q46" s="112"/>
      <c r="R46" s="112"/>
      <c r="AC46">
        <f t="shared" si="1"/>
        <v>0.4</v>
      </c>
      <c r="AD46">
        <f t="shared" si="2"/>
        <v>10000</v>
      </c>
      <c r="AE46" t="e">
        <f t="shared" si="3"/>
        <v>#N/A</v>
      </c>
      <c r="AF46" t="e">
        <f t="shared" si="8"/>
        <v>#N/A</v>
      </c>
      <c r="AG46" t="e">
        <f t="shared" si="9"/>
        <v>#N/A</v>
      </c>
      <c r="AH46" t="e">
        <f t="shared" si="10"/>
        <v>#N/A</v>
      </c>
      <c r="AI46" t="e">
        <f t="shared" si="11"/>
        <v>#N/A</v>
      </c>
      <c r="AJ46" t="e">
        <f t="shared" si="12"/>
        <v>#N/A</v>
      </c>
      <c r="AK46" t="e">
        <f t="shared" si="13"/>
        <v>#N/A</v>
      </c>
      <c r="AL46" t="str">
        <f t="shared" si="14"/>
        <v/>
      </c>
    </row>
    <row r="47" spans="1:38" ht="15.5" x14ac:dyDescent="0.35">
      <c r="A47" s="115">
        <v>595</v>
      </c>
      <c r="B47" s="296" t="s">
        <v>2065</v>
      </c>
      <c r="C47" s="108"/>
      <c r="D47" s="108"/>
      <c r="E47" s="4"/>
      <c r="F47" s="672"/>
      <c r="G47" s="672"/>
      <c r="H47" s="1141">
        <f t="shared" si="4"/>
        <v>0</v>
      </c>
      <c r="I47" s="31"/>
      <c r="J47" s="688" t="str">
        <f t="shared" si="5"/>
        <v/>
      </c>
      <c r="K47" s="310" t="str">
        <f t="shared" si="6"/>
        <v/>
      </c>
      <c r="L47" s="131" t="str">
        <f t="shared" si="7"/>
        <v/>
      </c>
      <c r="M47" s="45"/>
      <c r="N47" s="112"/>
      <c r="O47" s="112"/>
      <c r="P47" s="112"/>
      <c r="Q47" s="112"/>
      <c r="R47" s="112"/>
      <c r="AC47">
        <f t="shared" si="1"/>
        <v>0.4</v>
      </c>
      <c r="AD47">
        <f t="shared" si="2"/>
        <v>10000</v>
      </c>
      <c r="AE47" t="e">
        <f t="shared" si="3"/>
        <v>#N/A</v>
      </c>
      <c r="AF47" t="e">
        <f t="shared" si="8"/>
        <v>#N/A</v>
      </c>
      <c r="AG47" t="e">
        <f t="shared" si="9"/>
        <v>#N/A</v>
      </c>
      <c r="AH47" t="e">
        <f t="shared" si="10"/>
        <v>#N/A</v>
      </c>
      <c r="AI47" t="e">
        <f t="shared" si="11"/>
        <v>#N/A</v>
      </c>
      <c r="AJ47" t="e">
        <f t="shared" si="12"/>
        <v>#N/A</v>
      </c>
      <c r="AK47" t="e">
        <f t="shared" si="13"/>
        <v>#N/A</v>
      </c>
      <c r="AL47" t="str">
        <f t="shared" si="14"/>
        <v/>
      </c>
    </row>
    <row r="48" spans="1:38" ht="15.5" x14ac:dyDescent="0.35">
      <c r="A48" s="115">
        <v>596</v>
      </c>
      <c r="B48" s="296" t="s">
        <v>2066</v>
      </c>
      <c r="C48" s="108"/>
      <c r="D48" s="108"/>
      <c r="E48" s="4"/>
      <c r="F48" s="672"/>
      <c r="G48" s="672"/>
      <c r="H48" s="1141">
        <f t="shared" si="4"/>
        <v>0</v>
      </c>
      <c r="I48" s="31"/>
      <c r="J48" s="688" t="str">
        <f t="shared" si="5"/>
        <v/>
      </c>
      <c r="K48" s="310" t="str">
        <f t="shared" si="6"/>
        <v/>
      </c>
      <c r="L48" s="131" t="str">
        <f t="shared" si="7"/>
        <v/>
      </c>
      <c r="M48" s="45"/>
      <c r="N48" s="112"/>
      <c r="O48" s="112"/>
      <c r="P48" s="112"/>
      <c r="Q48" s="112"/>
      <c r="R48" s="112"/>
      <c r="AC48">
        <f t="shared" si="1"/>
        <v>0.4</v>
      </c>
      <c r="AD48">
        <f t="shared" si="2"/>
        <v>10000</v>
      </c>
      <c r="AE48" t="e">
        <f t="shared" si="3"/>
        <v>#N/A</v>
      </c>
      <c r="AF48" t="e">
        <f t="shared" si="8"/>
        <v>#N/A</v>
      </c>
      <c r="AG48" t="e">
        <f t="shared" si="9"/>
        <v>#N/A</v>
      </c>
      <c r="AH48" t="e">
        <f t="shared" si="10"/>
        <v>#N/A</v>
      </c>
      <c r="AI48" t="e">
        <f t="shared" si="11"/>
        <v>#N/A</v>
      </c>
      <c r="AJ48" t="e">
        <f t="shared" si="12"/>
        <v>#N/A</v>
      </c>
      <c r="AK48" t="e">
        <f t="shared" si="13"/>
        <v>#N/A</v>
      </c>
      <c r="AL48" t="str">
        <f t="shared" si="14"/>
        <v/>
      </c>
    </row>
    <row r="49" spans="1:38" ht="15.5" x14ac:dyDescent="0.35">
      <c r="A49" s="115">
        <v>597</v>
      </c>
      <c r="B49" s="296" t="s">
        <v>2067</v>
      </c>
      <c r="C49" s="108"/>
      <c r="D49" s="108"/>
      <c r="E49" s="4"/>
      <c r="F49" s="672"/>
      <c r="G49" s="672"/>
      <c r="H49" s="1141">
        <f t="shared" si="4"/>
        <v>0</v>
      </c>
      <c r="I49" s="31"/>
      <c r="J49" s="688" t="str">
        <f t="shared" si="5"/>
        <v/>
      </c>
      <c r="K49" s="310" t="str">
        <f t="shared" si="6"/>
        <v/>
      </c>
      <c r="L49" s="131" t="str">
        <f t="shared" si="7"/>
        <v/>
      </c>
      <c r="M49" s="45"/>
      <c r="N49" s="112"/>
      <c r="O49" s="112"/>
      <c r="P49" s="112"/>
      <c r="Q49" s="112"/>
      <c r="R49" s="112"/>
      <c r="AC49">
        <f t="shared" si="1"/>
        <v>0.4</v>
      </c>
      <c r="AD49">
        <f t="shared" si="2"/>
        <v>10000</v>
      </c>
      <c r="AE49" t="e">
        <f t="shared" si="3"/>
        <v>#N/A</v>
      </c>
      <c r="AF49" t="e">
        <f t="shared" si="8"/>
        <v>#N/A</v>
      </c>
      <c r="AG49" t="e">
        <f t="shared" si="9"/>
        <v>#N/A</v>
      </c>
      <c r="AH49" t="e">
        <f t="shared" si="10"/>
        <v>#N/A</v>
      </c>
      <c r="AI49" t="e">
        <f t="shared" si="11"/>
        <v>#N/A</v>
      </c>
      <c r="AJ49" t="e">
        <f t="shared" si="12"/>
        <v>#N/A</v>
      </c>
      <c r="AK49" t="e">
        <f t="shared" si="13"/>
        <v>#N/A</v>
      </c>
      <c r="AL49" t="str">
        <f t="shared" si="14"/>
        <v/>
      </c>
    </row>
    <row r="50" spans="1:38" ht="15.5" x14ac:dyDescent="0.35">
      <c r="A50" s="115">
        <v>691</v>
      </c>
      <c r="B50" s="273"/>
      <c r="C50" s="160" t="s">
        <v>2068</v>
      </c>
      <c r="D50" s="112"/>
      <c r="E50" s="4"/>
      <c r="F50" s="672"/>
      <c r="G50" s="672"/>
      <c r="H50" s="1141">
        <f t="shared" si="4"/>
        <v>0</v>
      </c>
      <c r="I50" s="31"/>
      <c r="J50" s="688"/>
      <c r="K50" s="310"/>
      <c r="L50" s="131"/>
      <c r="M50" s="45"/>
      <c r="N50" s="112"/>
      <c r="O50" s="112"/>
      <c r="P50" s="112"/>
      <c r="Q50" s="112"/>
      <c r="R50" s="112"/>
    </row>
    <row r="51" spans="1:38" ht="15.5" x14ac:dyDescent="0.35">
      <c r="A51" s="115">
        <v>692</v>
      </c>
      <c r="B51" s="344"/>
      <c r="C51" s="160" t="s">
        <v>2068</v>
      </c>
      <c r="D51" s="112"/>
      <c r="E51" s="4"/>
      <c r="F51" s="672"/>
      <c r="G51" s="672"/>
      <c r="H51" s="1141">
        <f t="shared" si="4"/>
        <v>0</v>
      </c>
      <c r="I51" s="31"/>
      <c r="J51" s="688"/>
      <c r="K51" s="310"/>
      <c r="L51" s="131"/>
      <c r="M51" s="45"/>
      <c r="N51" s="112"/>
      <c r="O51" s="112"/>
      <c r="P51" s="112"/>
      <c r="Q51" s="112"/>
      <c r="R51" s="112"/>
    </row>
    <row r="52" spans="1:38" ht="15.5" x14ac:dyDescent="0.35">
      <c r="A52" s="115">
        <v>693</v>
      </c>
      <c r="B52" s="296"/>
      <c r="C52" s="160" t="s">
        <v>2068</v>
      </c>
      <c r="D52" s="112"/>
      <c r="E52" s="4"/>
      <c r="F52" s="672"/>
      <c r="G52" s="672"/>
      <c r="H52" s="1141">
        <f t="shared" si="4"/>
        <v>0</v>
      </c>
      <c r="I52" s="31"/>
      <c r="J52" s="688"/>
      <c r="K52" s="310"/>
      <c r="L52" s="131"/>
      <c r="M52" s="45"/>
      <c r="N52" s="112"/>
      <c r="O52" s="112"/>
      <c r="P52" s="112"/>
      <c r="Q52" s="112"/>
      <c r="R52" s="112"/>
    </row>
    <row r="53" spans="1:38" ht="15.5" x14ac:dyDescent="0.35">
      <c r="A53" s="115">
        <v>694</v>
      </c>
      <c r="B53" s="296"/>
      <c r="C53" s="160" t="s">
        <v>2068</v>
      </c>
      <c r="D53" s="112"/>
      <c r="E53" s="4"/>
      <c r="F53" s="672"/>
      <c r="G53" s="672"/>
      <c r="H53" s="1141">
        <f t="shared" si="4"/>
        <v>0</v>
      </c>
      <c r="I53" s="31"/>
      <c r="J53" s="688"/>
      <c r="K53" s="310"/>
      <c r="L53" s="131"/>
      <c r="M53" s="45"/>
      <c r="N53" s="112"/>
      <c r="O53" s="112"/>
      <c r="P53" s="112"/>
      <c r="Q53" s="112"/>
      <c r="R53" s="112"/>
    </row>
    <row r="54" spans="1:38" ht="15.5" x14ac:dyDescent="0.35">
      <c r="A54" s="115">
        <v>695</v>
      </c>
      <c r="B54" s="296"/>
      <c r="C54" s="160" t="s">
        <v>2068</v>
      </c>
      <c r="D54" s="112"/>
      <c r="E54" s="4"/>
      <c r="F54" s="672"/>
      <c r="G54" s="672"/>
      <c r="H54" s="1141">
        <f t="shared" si="4"/>
        <v>0</v>
      </c>
      <c r="I54" s="31"/>
      <c r="J54" s="688"/>
      <c r="K54" s="310"/>
      <c r="L54" s="131"/>
      <c r="M54" s="45"/>
      <c r="N54" s="112"/>
      <c r="O54" s="112"/>
      <c r="P54" s="112"/>
      <c r="Q54" s="112"/>
      <c r="R54" s="112"/>
    </row>
    <row r="55" spans="1:38" ht="18" x14ac:dyDescent="0.4">
      <c r="A55" s="278">
        <v>696</v>
      </c>
      <c r="B55" s="278" t="s">
        <v>2069</v>
      </c>
      <c r="C55" s="107"/>
      <c r="D55" s="27"/>
      <c r="E55" s="127"/>
      <c r="F55" s="674">
        <f t="shared" ref="F55:G55" si="15">SUM(F32:F54)</f>
        <v>0</v>
      </c>
      <c r="G55" s="674">
        <f t="shared" si="15"/>
        <v>0</v>
      </c>
      <c r="H55" s="1141">
        <f>SUM(H32:H54)</f>
        <v>0</v>
      </c>
      <c r="I55" s="31"/>
      <c r="J55" s="688" t="str">
        <f t="shared" si="5"/>
        <v/>
      </c>
      <c r="K55" s="310" t="str">
        <f t="shared" si="6"/>
        <v/>
      </c>
      <c r="L55" s="131" t="str">
        <f t="shared" si="7"/>
        <v/>
      </c>
      <c r="M55" s="45"/>
      <c r="N55" s="112"/>
      <c r="O55" s="112"/>
      <c r="P55" s="112"/>
      <c r="Q55" s="112"/>
      <c r="R55" s="112"/>
      <c r="AC55">
        <f>VLOOKUP("TSR"&amp;$A55,data_val_parameters,9,0)/100</f>
        <v>0.4</v>
      </c>
      <c r="AD55">
        <f>VLOOKUP("TSR"&amp;$A55,data_val_parameters,7,0)</f>
        <v>10000</v>
      </c>
      <c r="AE55" t="e">
        <f>VLOOKUP(LA_code,data_prev_year,MATCH("TSR"&amp;$A55&amp;"1",data_prev_year_headers,0),0)</f>
        <v>#N/A</v>
      </c>
      <c r="AF55" t="e">
        <f t="shared" si="8"/>
        <v>#N/A</v>
      </c>
      <c r="AG55" t="e">
        <f t="shared" si="9"/>
        <v>#N/A</v>
      </c>
      <c r="AH55" t="e">
        <f t="shared" si="10"/>
        <v>#N/A</v>
      </c>
      <c r="AI55" t="e">
        <f t="shared" si="11"/>
        <v>#N/A</v>
      </c>
      <c r="AJ55" t="e">
        <f t="shared" si="12"/>
        <v>#N/A</v>
      </c>
      <c r="AK55" t="e">
        <f t="shared" si="13"/>
        <v>#N/A</v>
      </c>
      <c r="AL55" t="str">
        <f t="shared" si="14"/>
        <v/>
      </c>
    </row>
    <row r="56" spans="1:38" ht="15.5" x14ac:dyDescent="0.35">
      <c r="A56" s="278">
        <v>697</v>
      </c>
      <c r="B56" s="278" t="s">
        <v>2070</v>
      </c>
      <c r="C56" s="107"/>
      <c r="D56" s="108"/>
      <c r="E56" s="127"/>
      <c r="F56" s="127"/>
      <c r="G56" s="127"/>
      <c r="H56" s="466">
        <f>G105</f>
        <v>0</v>
      </c>
      <c r="I56" s="31"/>
      <c r="J56" s="688" t="str">
        <f t="shared" si="5"/>
        <v/>
      </c>
      <c r="K56" s="310" t="str">
        <f>IF(AL56="Warning","Warning","")</f>
        <v/>
      </c>
      <c r="L56" s="131" t="str">
        <f>IF($K56="Warning","This year's figure is over "&amp;AD56/1000&amp;" million and "&amp;(AC56*100)&amp;"% different to "&amp;TEXT(AE56,"#,###")&amp;" last year, please explain","")</f>
        <v/>
      </c>
      <c r="M56" s="45"/>
      <c r="N56" s="112"/>
      <c r="O56" s="112"/>
      <c r="P56" s="112"/>
      <c r="Q56" s="112"/>
      <c r="R56" s="112"/>
      <c r="AC56">
        <f>VLOOKUP("TSR"&amp;$A56,data_val_parameters,9,0)/100</f>
        <v>0.4</v>
      </c>
      <c r="AD56">
        <f>VLOOKUP("TSR"&amp;$A56,data_val_parameters,7,0)</f>
        <v>10000</v>
      </c>
      <c r="AE56" t="e">
        <f>VLOOKUP(LA_code,data_prev_year,MATCH("TSR"&amp;$A56&amp;"1",data_prev_year_headers,0),0)</f>
        <v>#N/A</v>
      </c>
      <c r="AF56" t="e">
        <f t="shared" si="8"/>
        <v>#N/A</v>
      </c>
      <c r="AG56" t="e">
        <f t="shared" si="9"/>
        <v>#N/A</v>
      </c>
      <c r="AH56" t="e">
        <f t="shared" si="10"/>
        <v>#N/A</v>
      </c>
      <c r="AI56" t="e">
        <f t="shared" si="11"/>
        <v>#N/A</v>
      </c>
      <c r="AJ56" t="e">
        <f t="shared" si="12"/>
        <v>#N/A</v>
      </c>
      <c r="AK56" t="e">
        <f t="shared" si="13"/>
        <v>#N/A</v>
      </c>
      <c r="AL56" t="str">
        <f t="shared" si="14"/>
        <v/>
      </c>
    </row>
    <row r="57" spans="1:38" ht="18" x14ac:dyDescent="0.4">
      <c r="A57" s="278">
        <v>698</v>
      </c>
      <c r="B57" s="278" t="s">
        <v>2071</v>
      </c>
      <c r="C57" s="107"/>
      <c r="D57" s="27"/>
      <c r="E57" s="127"/>
      <c r="F57" s="756"/>
      <c r="G57" s="756"/>
      <c r="H57" s="466">
        <f>SUM(H55:H56)</f>
        <v>0</v>
      </c>
      <c r="I57" s="45"/>
      <c r="J57" s="688" t="str">
        <f t="shared" si="5"/>
        <v/>
      </c>
      <c r="K57" s="310" t="str">
        <f>IF(AL57="Warning","Warning","")</f>
        <v/>
      </c>
      <c r="L57" s="131" t="str">
        <f>IF($K57="Warning","This year's figure is over "&amp;AD57/1000&amp;" million and "&amp;(AC57*100)&amp;"% different to "&amp;TEXT(AE57,"#,###")&amp;" last year, please explain","")</f>
        <v/>
      </c>
      <c r="M57" s="45"/>
      <c r="N57" s="112"/>
      <c r="O57" s="112"/>
      <c r="P57" s="112"/>
      <c r="Q57" s="112"/>
      <c r="R57" s="112"/>
      <c r="AC57">
        <f>VLOOKUP("TSR"&amp;$A57,data_val_parameters,9,0)/100</f>
        <v>0.5</v>
      </c>
      <c r="AD57">
        <f>VLOOKUP("TSR"&amp;$A57,data_val_parameters,7,0)</f>
        <v>10000</v>
      </c>
      <c r="AE57" t="e">
        <f>VLOOKUP(LA_code,data_prev_year,MATCH("TSR"&amp;$A57&amp;"1",data_prev_year_headers,0),0)</f>
        <v>#N/A</v>
      </c>
      <c r="AF57" t="e">
        <f t="shared" si="8"/>
        <v>#N/A</v>
      </c>
      <c r="AG57" t="e">
        <f t="shared" si="9"/>
        <v>#N/A</v>
      </c>
      <c r="AH57" t="e">
        <f t="shared" si="10"/>
        <v>#N/A</v>
      </c>
      <c r="AI57" t="e">
        <f t="shared" si="11"/>
        <v>#N/A</v>
      </c>
      <c r="AJ57" t="e">
        <f t="shared" si="12"/>
        <v>#N/A</v>
      </c>
      <c r="AK57" t="e">
        <f t="shared" si="13"/>
        <v>#N/A</v>
      </c>
      <c r="AL57" t="str">
        <f t="shared" si="14"/>
        <v/>
      </c>
    </row>
    <row r="58" spans="1:38" ht="15.5" x14ac:dyDescent="0.35">
      <c r="A58" s="108"/>
      <c r="B58" s="108"/>
      <c r="C58" s="108"/>
      <c r="D58" s="108"/>
      <c r="E58" s="4"/>
      <c r="F58" s="4"/>
      <c r="G58" s="4"/>
      <c r="H58" s="298" t="s">
        <v>1730</v>
      </c>
      <c r="I58" s="31"/>
      <c r="J58" s="778"/>
      <c r="K58" s="31"/>
      <c r="L58" s="31"/>
      <c r="M58" s="45"/>
      <c r="N58" s="112"/>
      <c r="O58" s="112"/>
      <c r="P58" s="112"/>
      <c r="Q58" s="66"/>
      <c r="R58" s="112"/>
    </row>
    <row r="59" spans="1:38" ht="15.5" x14ac:dyDescent="0.35">
      <c r="A59" s="108"/>
      <c r="B59" s="108"/>
      <c r="C59" s="108"/>
      <c r="D59" s="108"/>
      <c r="E59" s="4"/>
      <c r="F59" s="4"/>
      <c r="G59" s="4"/>
      <c r="H59" s="45"/>
      <c r="I59" s="31"/>
      <c r="J59" s="778"/>
      <c r="K59" s="31"/>
      <c r="L59" s="31"/>
      <c r="M59" s="45"/>
      <c r="N59" s="112"/>
      <c r="O59" s="112"/>
      <c r="P59" s="112"/>
      <c r="Q59" s="112"/>
      <c r="R59" s="112"/>
    </row>
    <row r="60" spans="1:38" ht="18" x14ac:dyDescent="0.4">
      <c r="A60" s="109" t="s">
        <v>2072</v>
      </c>
      <c r="B60" s="109"/>
      <c r="C60" s="109"/>
      <c r="D60" s="108"/>
      <c r="E60" s="4"/>
      <c r="F60" s="4"/>
      <c r="G60" s="4"/>
      <c r="H60" s="45"/>
      <c r="I60" s="31"/>
      <c r="J60" s="778"/>
      <c r="K60" s="31"/>
      <c r="L60" s="31"/>
      <c r="M60" s="45"/>
      <c r="N60" s="112"/>
      <c r="O60" s="112"/>
      <c r="P60" s="112"/>
      <c r="Q60" s="112"/>
      <c r="R60" s="112"/>
    </row>
    <row r="61" spans="1:38" ht="15.5" x14ac:dyDescent="0.35">
      <c r="A61" s="115">
        <v>716</v>
      </c>
      <c r="B61" s="296" t="s">
        <v>2073</v>
      </c>
      <c r="C61" s="108"/>
      <c r="D61" s="108"/>
      <c r="E61" s="4"/>
      <c r="F61" s="672"/>
      <c r="G61" s="672"/>
      <c r="H61" s="1141">
        <f>F61-G61</f>
        <v>0</v>
      </c>
      <c r="I61" s="31"/>
      <c r="J61" s="688" t="str">
        <f t="shared" ref="J61" si="16">IF(ISERROR(K61),"",IF((K61="Error"),"add explanation",IF((K61="Warning"),"add explanation","")))</f>
        <v/>
      </c>
      <c r="K61" s="310" t="str">
        <f t="shared" ref="K61" si="17">IF(H61&lt;&gt;(F61-G61),"Error",IF(AL61="Warning","Warning",""))</f>
        <v/>
      </c>
      <c r="L61" s="131" t="str">
        <f t="shared" ref="L61" si="18">IF($K61="Error","A total column for "&amp;($B61)&amp;" does not match the sum of the components, please correct",IF($K61="Warning","This year's figure is over "&amp;AD61/1000&amp;" million and "&amp;(AC61*100)&amp;"% different to "&amp;TEXT(AE61,"#,###")&amp;" last year, please explain",""))</f>
        <v/>
      </c>
      <c r="M61" s="45"/>
      <c r="N61" s="112"/>
      <c r="O61" s="112"/>
      <c r="P61" s="112"/>
      <c r="Q61" s="112"/>
      <c r="R61" s="112"/>
      <c r="AC61">
        <f t="shared" ref="AC61:AC82" si="19">VLOOKUP("TSR"&amp;$A61,data_val_parameters,9,0)/100</f>
        <v>0.4</v>
      </c>
      <c r="AD61">
        <f t="shared" ref="AD61:AD82" si="20">VLOOKUP("TSR"&amp;$A61,data_val_parameters,7,0)</f>
        <v>10000</v>
      </c>
      <c r="AE61" t="e">
        <f t="shared" ref="AE61:AE82" si="21">VLOOKUP(LA_code,data_prev_year,MATCH("TSR"&amp;$A61&amp;"1",data_prev_year_headers,0),0)</f>
        <v>#N/A</v>
      </c>
      <c r="AF61" t="e">
        <f t="shared" si="8"/>
        <v>#N/A</v>
      </c>
      <c r="AG61" t="e">
        <f t="shared" si="9"/>
        <v>#N/A</v>
      </c>
      <c r="AH61" t="e">
        <f t="shared" si="10"/>
        <v>#N/A</v>
      </c>
      <c r="AI61" t="e">
        <f t="shared" si="11"/>
        <v>#N/A</v>
      </c>
      <c r="AJ61" t="e">
        <f t="shared" si="12"/>
        <v>#N/A</v>
      </c>
      <c r="AK61" t="e">
        <f t="shared" si="13"/>
        <v>#N/A</v>
      </c>
      <c r="AL61" t="str">
        <f t="shared" si="14"/>
        <v/>
      </c>
    </row>
    <row r="62" spans="1:38" ht="15.5" x14ac:dyDescent="0.35">
      <c r="A62" s="115">
        <v>717</v>
      </c>
      <c r="B62" s="296" t="s">
        <v>2074</v>
      </c>
      <c r="C62" s="108"/>
      <c r="D62" s="108"/>
      <c r="E62" s="4"/>
      <c r="F62" s="672"/>
      <c r="G62" s="672"/>
      <c r="H62" s="1141">
        <f t="shared" ref="H62:H87" si="22">F62-G62</f>
        <v>0</v>
      </c>
      <c r="I62" s="31"/>
      <c r="J62" s="688" t="str">
        <f t="shared" ref="J62:J88" si="23">IF(ISERROR(K62),"",IF((K62="Error"),"add explanation",IF((K62="Warning"),"add explanation","")))</f>
        <v/>
      </c>
      <c r="K62" s="310" t="str">
        <f t="shared" ref="K62:K88" si="24">IF(H62&lt;&gt;(F62-G62),"Error",IF(AL62="Warning","Warning",""))</f>
        <v/>
      </c>
      <c r="L62" s="131" t="str">
        <f t="shared" ref="L62:L88" si="25">IF($K62="Error","A total column for "&amp;($B62)&amp;" does not match the sum of the components, please correct",IF($K62="Warning","This year's figure is over "&amp;AD62/1000&amp;" million and "&amp;(AC62*100)&amp;"% different to "&amp;TEXT(AE62,"#,###")&amp;" last year, please explain",""))</f>
        <v/>
      </c>
      <c r="M62" s="45"/>
      <c r="N62" s="112"/>
      <c r="O62" s="112"/>
      <c r="P62" s="112"/>
      <c r="Q62" s="112"/>
      <c r="R62" s="112"/>
      <c r="AC62">
        <f t="shared" si="19"/>
        <v>0.4</v>
      </c>
      <c r="AD62">
        <f t="shared" si="20"/>
        <v>10000</v>
      </c>
      <c r="AE62" t="e">
        <f t="shared" si="21"/>
        <v>#N/A</v>
      </c>
      <c r="AF62" t="e">
        <f t="shared" ref="AF62:AF105" si="26">AE62+AD62</f>
        <v>#N/A</v>
      </c>
      <c r="AG62" t="e">
        <f t="shared" ref="AG62:AG105" si="27">AE62-AD62</f>
        <v>#N/A</v>
      </c>
      <c r="AH62" t="e">
        <f t="shared" ref="AH62:AH105" si="28">AE62+(AE62*AC62)</f>
        <v>#N/A</v>
      </c>
      <c r="AI62" t="e">
        <f t="shared" ref="AI62:AI105" si="29">AE62-(AE62*AC62)</f>
        <v>#N/A</v>
      </c>
      <c r="AJ62" t="e">
        <f t="shared" ref="AJ62:AJ90" si="30">IF(OR(H62&lt;AG62,H62&gt;AF62),"Warning","")</f>
        <v>#N/A</v>
      </c>
      <c r="AK62" t="e">
        <f t="shared" ref="AK62:AK90" si="31">IF(OR(H62&gt;(AH62),H62&lt;(AI62)),"Warning","")</f>
        <v>#N/A</v>
      </c>
      <c r="AL62" t="str">
        <f t="shared" si="14"/>
        <v/>
      </c>
    </row>
    <row r="63" spans="1:38" ht="15.5" x14ac:dyDescent="0.35">
      <c r="A63" s="273">
        <v>723</v>
      </c>
      <c r="B63" s="274" t="s">
        <v>2075</v>
      </c>
      <c r="C63" s="11"/>
      <c r="D63" s="11"/>
      <c r="E63" s="4"/>
      <c r="F63" s="672"/>
      <c r="G63" s="672"/>
      <c r="H63" s="1141">
        <f t="shared" si="22"/>
        <v>0</v>
      </c>
      <c r="I63" s="31"/>
      <c r="J63" s="688" t="str">
        <f t="shared" si="23"/>
        <v/>
      </c>
      <c r="K63" s="310" t="str">
        <f t="shared" si="24"/>
        <v/>
      </c>
      <c r="L63" s="131" t="str">
        <f t="shared" si="25"/>
        <v/>
      </c>
      <c r="M63" s="45"/>
      <c r="N63" s="112"/>
      <c r="O63" s="112"/>
      <c r="P63" s="112"/>
      <c r="Q63" s="112"/>
      <c r="R63" s="112"/>
      <c r="AC63">
        <f t="shared" si="19"/>
        <v>0.4</v>
      </c>
      <c r="AD63">
        <f t="shared" si="20"/>
        <v>10000</v>
      </c>
      <c r="AE63" t="e">
        <f t="shared" si="21"/>
        <v>#N/A</v>
      </c>
      <c r="AF63" t="e">
        <f t="shared" si="26"/>
        <v>#N/A</v>
      </c>
      <c r="AG63" t="e">
        <f t="shared" si="27"/>
        <v>#N/A</v>
      </c>
      <c r="AH63" t="e">
        <f t="shared" si="28"/>
        <v>#N/A</v>
      </c>
      <c r="AI63" t="e">
        <f t="shared" si="29"/>
        <v>#N/A</v>
      </c>
      <c r="AJ63" t="e">
        <f t="shared" si="30"/>
        <v>#N/A</v>
      </c>
      <c r="AK63" t="e">
        <f t="shared" si="31"/>
        <v>#N/A</v>
      </c>
      <c r="AL63" t="str">
        <f t="shared" si="14"/>
        <v/>
      </c>
    </row>
    <row r="64" spans="1:38" ht="15.5" x14ac:dyDescent="0.35">
      <c r="A64" s="115">
        <v>726</v>
      </c>
      <c r="B64" s="296" t="s">
        <v>1752</v>
      </c>
      <c r="C64" s="108"/>
      <c r="D64" s="108"/>
      <c r="E64" s="4"/>
      <c r="F64" s="672"/>
      <c r="G64" s="672"/>
      <c r="H64" s="1141">
        <f t="shared" si="22"/>
        <v>0</v>
      </c>
      <c r="I64" s="31"/>
      <c r="J64" s="688" t="str">
        <f t="shared" si="23"/>
        <v/>
      </c>
      <c r="K64" s="310" t="str">
        <f t="shared" si="24"/>
        <v/>
      </c>
      <c r="L64" s="131" t="str">
        <f t="shared" si="25"/>
        <v/>
      </c>
      <c r="M64" s="45"/>
      <c r="N64" s="112"/>
      <c r="O64" s="112"/>
      <c r="P64" s="112"/>
      <c r="Q64" s="112"/>
      <c r="R64" s="112"/>
      <c r="AC64">
        <f t="shared" si="19"/>
        <v>0.4</v>
      </c>
      <c r="AD64">
        <f t="shared" si="20"/>
        <v>10000</v>
      </c>
      <c r="AE64" t="e">
        <f t="shared" si="21"/>
        <v>#N/A</v>
      </c>
      <c r="AF64" t="e">
        <f t="shared" si="26"/>
        <v>#N/A</v>
      </c>
      <c r="AG64" t="e">
        <f t="shared" si="27"/>
        <v>#N/A</v>
      </c>
      <c r="AH64" t="e">
        <f t="shared" si="28"/>
        <v>#N/A</v>
      </c>
      <c r="AI64" t="e">
        <f t="shared" si="29"/>
        <v>#N/A</v>
      </c>
      <c r="AJ64" t="e">
        <f t="shared" si="30"/>
        <v>#N/A</v>
      </c>
      <c r="AK64" t="e">
        <f t="shared" si="31"/>
        <v>#N/A</v>
      </c>
      <c r="AL64" t="str">
        <f t="shared" si="14"/>
        <v/>
      </c>
    </row>
    <row r="65" spans="1:38" ht="15.5" x14ac:dyDescent="0.35">
      <c r="A65" s="273">
        <v>733</v>
      </c>
      <c r="B65" s="274" t="s">
        <v>2076</v>
      </c>
      <c r="C65" s="11"/>
      <c r="D65" s="11"/>
      <c r="E65" s="4"/>
      <c r="F65" s="672"/>
      <c r="G65" s="672"/>
      <c r="H65" s="1141">
        <f t="shared" si="22"/>
        <v>0</v>
      </c>
      <c r="I65" s="31"/>
      <c r="J65" s="688" t="str">
        <f t="shared" si="23"/>
        <v/>
      </c>
      <c r="K65" s="310" t="str">
        <f t="shared" si="24"/>
        <v/>
      </c>
      <c r="L65" s="131" t="str">
        <f t="shared" si="25"/>
        <v/>
      </c>
      <c r="M65" s="45"/>
      <c r="N65" s="112"/>
      <c r="O65" s="112"/>
      <c r="P65" s="112"/>
      <c r="Q65" s="112"/>
      <c r="R65" s="112"/>
      <c r="AC65">
        <f t="shared" si="19"/>
        <v>0.4</v>
      </c>
      <c r="AD65">
        <f t="shared" si="20"/>
        <v>10000</v>
      </c>
      <c r="AE65" t="e">
        <f t="shared" si="21"/>
        <v>#N/A</v>
      </c>
      <c r="AF65" t="e">
        <f t="shared" si="26"/>
        <v>#N/A</v>
      </c>
      <c r="AG65" t="e">
        <f t="shared" si="27"/>
        <v>#N/A</v>
      </c>
      <c r="AH65" t="e">
        <f t="shared" si="28"/>
        <v>#N/A</v>
      </c>
      <c r="AI65" t="e">
        <f t="shared" si="29"/>
        <v>#N/A</v>
      </c>
      <c r="AJ65" t="e">
        <f t="shared" si="30"/>
        <v>#N/A</v>
      </c>
      <c r="AK65" t="e">
        <f t="shared" si="31"/>
        <v>#N/A</v>
      </c>
      <c r="AL65" t="str">
        <f t="shared" si="14"/>
        <v/>
      </c>
    </row>
    <row r="66" spans="1:38" ht="18" x14ac:dyDescent="0.4">
      <c r="A66" s="115">
        <v>734</v>
      </c>
      <c r="B66" s="296" t="s">
        <v>2077</v>
      </c>
      <c r="C66" s="108"/>
      <c r="D66" s="109"/>
      <c r="E66" s="39"/>
      <c r="F66" s="672"/>
      <c r="G66" s="672"/>
      <c r="H66" s="1141">
        <f t="shared" si="22"/>
        <v>0</v>
      </c>
      <c r="I66" s="31"/>
      <c r="J66" s="688" t="str">
        <f t="shared" si="23"/>
        <v/>
      </c>
      <c r="K66" s="310" t="str">
        <f t="shared" si="24"/>
        <v/>
      </c>
      <c r="L66" s="131" t="str">
        <f t="shared" si="25"/>
        <v/>
      </c>
      <c r="M66" s="45"/>
      <c r="N66" s="112"/>
      <c r="O66" s="112"/>
      <c r="P66" s="112"/>
      <c r="Q66" s="112"/>
      <c r="R66" s="112"/>
      <c r="AC66">
        <f t="shared" si="19"/>
        <v>0.4</v>
      </c>
      <c r="AD66">
        <f t="shared" si="20"/>
        <v>10000</v>
      </c>
      <c r="AE66" t="e">
        <f t="shared" si="21"/>
        <v>#N/A</v>
      </c>
      <c r="AF66" t="e">
        <f t="shared" si="26"/>
        <v>#N/A</v>
      </c>
      <c r="AG66" t="e">
        <f t="shared" si="27"/>
        <v>#N/A</v>
      </c>
      <c r="AH66" t="e">
        <f t="shared" si="28"/>
        <v>#N/A</v>
      </c>
      <c r="AI66" t="e">
        <f t="shared" si="29"/>
        <v>#N/A</v>
      </c>
      <c r="AJ66" t="e">
        <f t="shared" si="30"/>
        <v>#N/A</v>
      </c>
      <c r="AK66" t="e">
        <f t="shared" si="31"/>
        <v>#N/A</v>
      </c>
      <c r="AL66" t="str">
        <f t="shared" si="14"/>
        <v/>
      </c>
    </row>
    <row r="67" spans="1:38" ht="15.5" x14ac:dyDescent="0.35">
      <c r="A67" s="682">
        <v>741</v>
      </c>
      <c r="B67" s="343" t="s">
        <v>2078</v>
      </c>
      <c r="C67" s="110"/>
      <c r="D67" s="111"/>
      <c r="E67" s="54"/>
      <c r="F67" s="672"/>
      <c r="G67" s="672"/>
      <c r="H67" s="1141">
        <f t="shared" si="22"/>
        <v>0</v>
      </c>
      <c r="I67" s="31"/>
      <c r="J67" s="688" t="str">
        <f t="shared" si="23"/>
        <v/>
      </c>
      <c r="K67" s="310" t="str">
        <f t="shared" si="24"/>
        <v/>
      </c>
      <c r="L67" s="131" t="str">
        <f t="shared" si="25"/>
        <v/>
      </c>
      <c r="M67" s="45"/>
      <c r="N67" s="112"/>
      <c r="O67" s="112"/>
      <c r="P67" s="112"/>
      <c r="Q67" s="112"/>
      <c r="R67" s="112"/>
      <c r="AC67">
        <f t="shared" si="19"/>
        <v>0.4</v>
      </c>
      <c r="AD67">
        <f t="shared" si="20"/>
        <v>10000</v>
      </c>
      <c r="AE67" t="e">
        <f t="shared" si="21"/>
        <v>#N/A</v>
      </c>
      <c r="AF67" t="e">
        <f t="shared" si="26"/>
        <v>#N/A</v>
      </c>
      <c r="AG67" t="e">
        <f t="shared" si="27"/>
        <v>#N/A</v>
      </c>
      <c r="AH67" t="e">
        <f t="shared" si="28"/>
        <v>#N/A</v>
      </c>
      <c r="AI67" t="e">
        <f t="shared" si="29"/>
        <v>#N/A</v>
      </c>
      <c r="AJ67" t="e">
        <f t="shared" si="30"/>
        <v>#N/A</v>
      </c>
      <c r="AK67" t="e">
        <f t="shared" si="31"/>
        <v>#N/A</v>
      </c>
      <c r="AL67" t="str">
        <f t="shared" si="14"/>
        <v/>
      </c>
    </row>
    <row r="68" spans="1:38" ht="15.5" x14ac:dyDescent="0.35">
      <c r="A68" s="273">
        <v>752</v>
      </c>
      <c r="B68" s="274" t="s">
        <v>2079</v>
      </c>
      <c r="C68" s="11"/>
      <c r="D68" s="112"/>
      <c r="E68" s="4"/>
      <c r="F68" s="672"/>
      <c r="G68" s="672"/>
      <c r="H68" s="1141">
        <f t="shared" si="22"/>
        <v>0</v>
      </c>
      <c r="I68" s="31"/>
      <c r="J68" s="688" t="str">
        <f t="shared" si="23"/>
        <v/>
      </c>
      <c r="K68" s="310" t="str">
        <f t="shared" si="24"/>
        <v/>
      </c>
      <c r="L68" s="131" t="str">
        <f t="shared" si="25"/>
        <v/>
      </c>
      <c r="M68" s="45"/>
      <c r="N68" s="112"/>
      <c r="O68" s="112"/>
      <c r="P68" s="112"/>
      <c r="Q68" s="112"/>
      <c r="R68" s="112"/>
      <c r="AC68">
        <f t="shared" si="19"/>
        <v>0.4</v>
      </c>
      <c r="AD68">
        <f t="shared" si="20"/>
        <v>10000</v>
      </c>
      <c r="AE68" t="e">
        <f t="shared" si="21"/>
        <v>#N/A</v>
      </c>
      <c r="AF68" t="e">
        <f t="shared" si="26"/>
        <v>#N/A</v>
      </c>
      <c r="AG68" t="e">
        <f t="shared" si="27"/>
        <v>#N/A</v>
      </c>
      <c r="AH68" t="e">
        <f t="shared" si="28"/>
        <v>#N/A</v>
      </c>
      <c r="AI68" t="e">
        <f t="shared" si="29"/>
        <v>#N/A</v>
      </c>
      <c r="AJ68" t="e">
        <f t="shared" si="30"/>
        <v>#N/A</v>
      </c>
      <c r="AK68" t="e">
        <f t="shared" si="31"/>
        <v>#N/A</v>
      </c>
      <c r="AL68" t="str">
        <f t="shared" si="14"/>
        <v/>
      </c>
    </row>
    <row r="69" spans="1:38" ht="15.5" x14ac:dyDescent="0.35">
      <c r="A69" s="273">
        <v>757</v>
      </c>
      <c r="B69" s="273" t="s">
        <v>2080</v>
      </c>
      <c r="C69" s="121"/>
      <c r="D69" s="12"/>
      <c r="E69" s="4"/>
      <c r="F69" s="672"/>
      <c r="G69" s="672"/>
      <c r="H69" s="1141">
        <f t="shared" si="22"/>
        <v>0</v>
      </c>
      <c r="I69" s="31"/>
      <c r="J69" s="688" t="str">
        <f t="shared" si="23"/>
        <v/>
      </c>
      <c r="K69" s="310" t="str">
        <f t="shared" si="24"/>
        <v/>
      </c>
      <c r="L69" s="131" t="str">
        <f t="shared" si="25"/>
        <v/>
      </c>
      <c r="M69" s="45"/>
      <c r="N69" s="112"/>
      <c r="O69" s="112"/>
      <c r="P69" s="112"/>
      <c r="Q69" s="112"/>
      <c r="R69" s="112"/>
      <c r="AC69">
        <f t="shared" si="19"/>
        <v>0.4</v>
      </c>
      <c r="AD69">
        <f t="shared" si="20"/>
        <v>10000</v>
      </c>
      <c r="AE69" t="e">
        <f t="shared" si="21"/>
        <v>#N/A</v>
      </c>
      <c r="AF69" t="e">
        <f t="shared" si="26"/>
        <v>#N/A</v>
      </c>
      <c r="AG69" t="e">
        <f t="shared" si="27"/>
        <v>#N/A</v>
      </c>
      <c r="AH69" t="e">
        <f t="shared" si="28"/>
        <v>#N/A</v>
      </c>
      <c r="AI69" t="e">
        <f t="shared" si="29"/>
        <v>#N/A</v>
      </c>
      <c r="AJ69" t="e">
        <f t="shared" si="30"/>
        <v>#N/A</v>
      </c>
      <c r="AK69" t="e">
        <f t="shared" si="31"/>
        <v>#N/A</v>
      </c>
      <c r="AL69" t="str">
        <f t="shared" si="14"/>
        <v/>
      </c>
    </row>
    <row r="70" spans="1:38" ht="17.5" x14ac:dyDescent="0.35">
      <c r="A70" s="115">
        <v>810</v>
      </c>
      <c r="B70" s="296" t="s">
        <v>2081</v>
      </c>
      <c r="C70" s="108"/>
      <c r="D70" s="113"/>
      <c r="E70" s="4"/>
      <c r="F70" s="672"/>
      <c r="G70" s="672"/>
      <c r="H70" s="1141">
        <f t="shared" si="22"/>
        <v>0</v>
      </c>
      <c r="I70" s="31"/>
      <c r="J70" s="688" t="str">
        <f t="shared" si="23"/>
        <v/>
      </c>
      <c r="K70" s="310" t="str">
        <f t="shared" si="24"/>
        <v/>
      </c>
      <c r="L70" s="131" t="str">
        <f t="shared" si="25"/>
        <v/>
      </c>
      <c r="M70" s="45"/>
      <c r="N70" s="112"/>
      <c r="O70" s="112"/>
      <c r="P70" s="112"/>
      <c r="Q70" s="112"/>
      <c r="R70" s="112"/>
      <c r="AC70">
        <f t="shared" si="19"/>
        <v>0.4</v>
      </c>
      <c r="AD70">
        <f t="shared" si="20"/>
        <v>10000</v>
      </c>
      <c r="AE70" t="e">
        <f t="shared" si="21"/>
        <v>#N/A</v>
      </c>
      <c r="AF70" t="e">
        <f t="shared" si="26"/>
        <v>#N/A</v>
      </c>
      <c r="AG70" t="e">
        <f t="shared" si="27"/>
        <v>#N/A</v>
      </c>
      <c r="AH70" t="e">
        <f t="shared" si="28"/>
        <v>#N/A</v>
      </c>
      <c r="AI70" t="e">
        <f t="shared" si="29"/>
        <v>#N/A</v>
      </c>
      <c r="AJ70" t="e">
        <f t="shared" si="30"/>
        <v>#N/A</v>
      </c>
      <c r="AK70" t="e">
        <f t="shared" si="31"/>
        <v>#N/A</v>
      </c>
      <c r="AL70" t="str">
        <f t="shared" si="14"/>
        <v/>
      </c>
    </row>
    <row r="71" spans="1:38" ht="15.5" x14ac:dyDescent="0.35">
      <c r="A71" s="273">
        <v>821</v>
      </c>
      <c r="B71" s="315" t="s">
        <v>2082</v>
      </c>
      <c r="C71" s="31"/>
      <c r="D71" s="114"/>
      <c r="E71" s="4"/>
      <c r="F71" s="672"/>
      <c r="G71" s="672"/>
      <c r="H71" s="1141">
        <f t="shared" si="22"/>
        <v>0</v>
      </c>
      <c r="I71" s="31"/>
      <c r="J71" s="688" t="str">
        <f t="shared" si="23"/>
        <v/>
      </c>
      <c r="K71" s="310" t="str">
        <f t="shared" si="24"/>
        <v/>
      </c>
      <c r="L71" s="131" t="str">
        <f t="shared" si="25"/>
        <v/>
      </c>
      <c r="M71" s="45"/>
      <c r="N71" s="112"/>
      <c r="O71" s="112"/>
      <c r="P71" s="112"/>
      <c r="Q71" s="112"/>
      <c r="R71" s="112"/>
      <c r="AC71">
        <f t="shared" si="19"/>
        <v>0.4</v>
      </c>
      <c r="AD71">
        <f t="shared" si="20"/>
        <v>10000</v>
      </c>
      <c r="AE71" t="e">
        <f t="shared" si="21"/>
        <v>#N/A</v>
      </c>
      <c r="AF71" t="e">
        <f t="shared" si="26"/>
        <v>#N/A</v>
      </c>
      <c r="AG71" t="e">
        <f t="shared" si="27"/>
        <v>#N/A</v>
      </c>
      <c r="AH71" t="e">
        <f t="shared" si="28"/>
        <v>#N/A</v>
      </c>
      <c r="AI71" t="e">
        <f t="shared" si="29"/>
        <v>#N/A</v>
      </c>
      <c r="AJ71" t="e">
        <f t="shared" si="30"/>
        <v>#N/A</v>
      </c>
      <c r="AK71" t="e">
        <f t="shared" si="31"/>
        <v>#N/A</v>
      </c>
      <c r="AL71" t="str">
        <f t="shared" si="14"/>
        <v/>
      </c>
    </row>
    <row r="72" spans="1:38" ht="17.5" x14ac:dyDescent="0.35">
      <c r="A72" s="115">
        <v>825</v>
      </c>
      <c r="B72" s="115" t="s">
        <v>2083</v>
      </c>
      <c r="C72" s="115"/>
      <c r="D72" s="116"/>
      <c r="E72" s="4"/>
      <c r="F72" s="672"/>
      <c r="G72" s="672"/>
      <c r="H72" s="1141">
        <f t="shared" si="22"/>
        <v>0</v>
      </c>
      <c r="I72" s="31"/>
      <c r="J72" s="688" t="str">
        <f t="shared" si="23"/>
        <v/>
      </c>
      <c r="K72" s="310" t="str">
        <f t="shared" si="24"/>
        <v/>
      </c>
      <c r="L72" s="131" t="str">
        <f t="shared" si="25"/>
        <v/>
      </c>
      <c r="M72" s="45"/>
      <c r="N72" s="112"/>
      <c r="O72" s="112"/>
      <c r="P72" s="112"/>
      <c r="Q72" s="112"/>
      <c r="R72" s="112"/>
      <c r="AC72">
        <f t="shared" si="19"/>
        <v>0.4</v>
      </c>
      <c r="AD72">
        <f t="shared" si="20"/>
        <v>10000</v>
      </c>
      <c r="AE72" t="e">
        <f t="shared" si="21"/>
        <v>#N/A</v>
      </c>
      <c r="AF72" t="e">
        <f t="shared" si="26"/>
        <v>#N/A</v>
      </c>
      <c r="AG72" t="e">
        <f t="shared" si="27"/>
        <v>#N/A</v>
      </c>
      <c r="AH72" t="e">
        <f t="shared" si="28"/>
        <v>#N/A</v>
      </c>
      <c r="AI72" t="e">
        <f t="shared" si="29"/>
        <v>#N/A</v>
      </c>
      <c r="AJ72" t="e">
        <f t="shared" si="30"/>
        <v>#N/A</v>
      </c>
      <c r="AK72" t="e">
        <f t="shared" si="31"/>
        <v>#N/A</v>
      </c>
      <c r="AL72" t="str">
        <f t="shared" si="14"/>
        <v/>
      </c>
    </row>
    <row r="73" spans="1:38" ht="15.5" x14ac:dyDescent="0.35">
      <c r="A73" s="115">
        <v>830</v>
      </c>
      <c r="B73" s="296" t="s">
        <v>2084</v>
      </c>
      <c r="C73" s="108"/>
      <c r="D73" s="108"/>
      <c r="E73" s="4"/>
      <c r="F73" s="672"/>
      <c r="G73" s="672"/>
      <c r="H73" s="1141">
        <f t="shared" si="22"/>
        <v>0</v>
      </c>
      <c r="I73" s="31"/>
      <c r="J73" s="688" t="str">
        <f t="shared" si="23"/>
        <v/>
      </c>
      <c r="K73" s="310" t="str">
        <f t="shared" si="24"/>
        <v/>
      </c>
      <c r="L73" s="131" t="str">
        <f t="shared" si="25"/>
        <v/>
      </c>
      <c r="M73" s="45"/>
      <c r="N73" s="112"/>
      <c r="O73" s="112"/>
      <c r="P73" s="112"/>
      <c r="Q73" s="112"/>
      <c r="R73" s="112"/>
      <c r="AC73">
        <f t="shared" si="19"/>
        <v>0.4</v>
      </c>
      <c r="AD73">
        <f t="shared" si="20"/>
        <v>10000</v>
      </c>
      <c r="AE73" t="e">
        <f t="shared" si="21"/>
        <v>#N/A</v>
      </c>
      <c r="AF73" t="e">
        <f t="shared" si="26"/>
        <v>#N/A</v>
      </c>
      <c r="AG73" t="e">
        <f t="shared" si="27"/>
        <v>#N/A</v>
      </c>
      <c r="AH73" t="e">
        <f t="shared" si="28"/>
        <v>#N/A</v>
      </c>
      <c r="AI73" t="e">
        <f t="shared" si="29"/>
        <v>#N/A</v>
      </c>
      <c r="AJ73" t="e">
        <f t="shared" si="30"/>
        <v>#N/A</v>
      </c>
      <c r="AK73" t="e">
        <f t="shared" si="31"/>
        <v>#N/A</v>
      </c>
      <c r="AL73" t="str">
        <f t="shared" si="14"/>
        <v/>
      </c>
    </row>
    <row r="74" spans="1:38" ht="15.5" x14ac:dyDescent="0.35">
      <c r="A74" s="115">
        <v>841</v>
      </c>
      <c r="B74" s="296" t="s">
        <v>2085</v>
      </c>
      <c r="C74" s="108"/>
      <c r="D74" s="108"/>
      <c r="E74" s="4"/>
      <c r="F74" s="672"/>
      <c r="G74" s="672"/>
      <c r="H74" s="1141">
        <f t="shared" si="22"/>
        <v>0</v>
      </c>
      <c r="I74" s="31"/>
      <c r="J74" s="688" t="str">
        <f t="shared" si="23"/>
        <v/>
      </c>
      <c r="K74" s="310" t="str">
        <f t="shared" si="24"/>
        <v/>
      </c>
      <c r="L74" s="131" t="str">
        <f t="shared" si="25"/>
        <v/>
      </c>
      <c r="M74" s="45"/>
      <c r="N74" s="112"/>
      <c r="O74" s="112"/>
      <c r="P74" s="112"/>
      <c r="Q74" s="112"/>
      <c r="R74" s="112"/>
      <c r="AC74">
        <f t="shared" si="19"/>
        <v>0.4</v>
      </c>
      <c r="AD74">
        <f t="shared" si="20"/>
        <v>10000</v>
      </c>
      <c r="AE74" t="e">
        <f t="shared" si="21"/>
        <v>#N/A</v>
      </c>
      <c r="AF74" t="e">
        <f t="shared" si="26"/>
        <v>#N/A</v>
      </c>
      <c r="AG74" t="e">
        <f t="shared" si="27"/>
        <v>#N/A</v>
      </c>
      <c r="AH74" t="e">
        <f t="shared" si="28"/>
        <v>#N/A</v>
      </c>
      <c r="AI74" t="e">
        <f t="shared" si="29"/>
        <v>#N/A</v>
      </c>
      <c r="AJ74" t="e">
        <f t="shared" si="30"/>
        <v>#N/A</v>
      </c>
      <c r="AK74" t="e">
        <f t="shared" si="31"/>
        <v>#N/A</v>
      </c>
      <c r="AL74" t="str">
        <f t="shared" si="14"/>
        <v/>
      </c>
    </row>
    <row r="75" spans="1:38" ht="15.5" x14ac:dyDescent="0.35">
      <c r="A75" s="115">
        <v>845</v>
      </c>
      <c r="B75" s="296" t="s">
        <v>2086</v>
      </c>
      <c r="C75" s="108"/>
      <c r="D75" s="108"/>
      <c r="E75" s="4"/>
      <c r="F75" s="672"/>
      <c r="G75" s="672"/>
      <c r="H75" s="1141">
        <f t="shared" si="22"/>
        <v>0</v>
      </c>
      <c r="I75" s="31"/>
      <c r="J75" s="688" t="str">
        <f t="shared" si="23"/>
        <v/>
      </c>
      <c r="K75" s="310" t="str">
        <f t="shared" si="24"/>
        <v/>
      </c>
      <c r="L75" s="131" t="str">
        <f t="shared" si="25"/>
        <v/>
      </c>
      <c r="M75" s="45"/>
      <c r="N75" s="112"/>
      <c r="O75" s="112"/>
      <c r="P75" s="112"/>
      <c r="Q75" s="112"/>
      <c r="R75" s="112"/>
      <c r="AC75">
        <f t="shared" si="19"/>
        <v>0.4</v>
      </c>
      <c r="AD75">
        <f t="shared" si="20"/>
        <v>10000</v>
      </c>
      <c r="AE75" t="e">
        <f t="shared" si="21"/>
        <v>#N/A</v>
      </c>
      <c r="AF75" t="e">
        <f t="shared" si="26"/>
        <v>#N/A</v>
      </c>
      <c r="AG75" t="e">
        <f t="shared" si="27"/>
        <v>#N/A</v>
      </c>
      <c r="AH75" t="e">
        <f t="shared" si="28"/>
        <v>#N/A</v>
      </c>
      <c r="AI75" t="e">
        <f t="shared" si="29"/>
        <v>#N/A</v>
      </c>
      <c r="AJ75" t="e">
        <f t="shared" si="30"/>
        <v>#N/A</v>
      </c>
      <c r="AK75" t="e">
        <f t="shared" si="31"/>
        <v>#N/A</v>
      </c>
      <c r="AL75" t="str">
        <f t="shared" si="14"/>
        <v/>
      </c>
    </row>
    <row r="76" spans="1:38" ht="15.5" x14ac:dyDescent="0.35">
      <c r="A76" s="115">
        <v>850</v>
      </c>
      <c r="B76" s="296" t="s">
        <v>2087</v>
      </c>
      <c r="C76" s="108"/>
      <c r="D76" s="108"/>
      <c r="E76" s="4"/>
      <c r="F76" s="672"/>
      <c r="G76" s="672"/>
      <c r="H76" s="1141">
        <f t="shared" si="22"/>
        <v>0</v>
      </c>
      <c r="I76" s="31"/>
      <c r="J76" s="688" t="str">
        <f t="shared" si="23"/>
        <v/>
      </c>
      <c r="K76" s="310" t="str">
        <f t="shared" si="24"/>
        <v/>
      </c>
      <c r="L76" s="131" t="str">
        <f t="shared" si="25"/>
        <v/>
      </c>
      <c r="M76" s="45"/>
      <c r="N76" s="112"/>
      <c r="O76" s="112"/>
      <c r="P76" s="112"/>
      <c r="Q76" s="112"/>
      <c r="R76" s="112"/>
      <c r="AC76">
        <f t="shared" si="19"/>
        <v>0.4</v>
      </c>
      <c r="AD76">
        <f t="shared" si="20"/>
        <v>10000</v>
      </c>
      <c r="AE76" t="e">
        <f t="shared" si="21"/>
        <v>#N/A</v>
      </c>
      <c r="AF76" t="e">
        <f t="shared" si="26"/>
        <v>#N/A</v>
      </c>
      <c r="AG76" t="e">
        <f t="shared" si="27"/>
        <v>#N/A</v>
      </c>
      <c r="AH76" t="e">
        <f t="shared" si="28"/>
        <v>#N/A</v>
      </c>
      <c r="AI76" t="e">
        <f t="shared" si="29"/>
        <v>#N/A</v>
      </c>
      <c r="AJ76" t="e">
        <f t="shared" si="30"/>
        <v>#N/A</v>
      </c>
      <c r="AK76" t="e">
        <f t="shared" si="31"/>
        <v>#N/A</v>
      </c>
      <c r="AL76" t="str">
        <f t="shared" si="14"/>
        <v/>
      </c>
    </row>
    <row r="77" spans="1:38" ht="15.5" x14ac:dyDescent="0.35">
      <c r="A77" s="273">
        <v>860</v>
      </c>
      <c r="B77" s="315" t="s">
        <v>2088</v>
      </c>
      <c r="C77" s="31"/>
      <c r="D77" s="31"/>
      <c r="E77" s="4"/>
      <c r="F77" s="672"/>
      <c r="G77" s="672"/>
      <c r="H77" s="1141">
        <f t="shared" si="22"/>
        <v>0</v>
      </c>
      <c r="I77" s="31"/>
      <c r="J77" s="688" t="str">
        <f t="shared" si="23"/>
        <v/>
      </c>
      <c r="K77" s="310" t="str">
        <f t="shared" si="24"/>
        <v/>
      </c>
      <c r="L77" s="131" t="str">
        <f t="shared" si="25"/>
        <v/>
      </c>
      <c r="M77" s="45"/>
      <c r="N77" s="112"/>
      <c r="O77" s="112"/>
      <c r="P77" s="112"/>
      <c r="Q77" s="112"/>
      <c r="R77" s="112"/>
      <c r="AC77">
        <f t="shared" si="19"/>
        <v>0.4</v>
      </c>
      <c r="AD77">
        <f t="shared" si="20"/>
        <v>10000</v>
      </c>
      <c r="AE77" t="e">
        <f t="shared" si="21"/>
        <v>#N/A</v>
      </c>
      <c r="AF77" t="e">
        <f t="shared" si="26"/>
        <v>#N/A</v>
      </c>
      <c r="AG77" t="e">
        <f t="shared" si="27"/>
        <v>#N/A</v>
      </c>
      <c r="AH77" t="e">
        <f t="shared" si="28"/>
        <v>#N/A</v>
      </c>
      <c r="AI77" t="e">
        <f t="shared" si="29"/>
        <v>#N/A</v>
      </c>
      <c r="AJ77" t="e">
        <f t="shared" si="30"/>
        <v>#N/A</v>
      </c>
      <c r="AK77" t="e">
        <f t="shared" si="31"/>
        <v>#N/A</v>
      </c>
      <c r="AL77" t="str">
        <f t="shared" si="14"/>
        <v/>
      </c>
    </row>
    <row r="78" spans="1:38" ht="17.5" x14ac:dyDescent="0.35">
      <c r="A78" s="115">
        <v>871</v>
      </c>
      <c r="B78" s="115" t="s">
        <v>2089</v>
      </c>
      <c r="C78" s="115"/>
      <c r="D78" s="116"/>
      <c r="E78" s="4"/>
      <c r="F78" s="672"/>
      <c r="G78" s="672"/>
      <c r="H78" s="1141">
        <f t="shared" si="22"/>
        <v>0</v>
      </c>
      <c r="I78" s="31"/>
      <c r="J78" s="688" t="str">
        <f t="shared" si="23"/>
        <v/>
      </c>
      <c r="K78" s="310" t="str">
        <f t="shared" si="24"/>
        <v/>
      </c>
      <c r="L78" s="131" t="str">
        <f t="shared" si="25"/>
        <v/>
      </c>
      <c r="M78" s="45"/>
      <c r="N78" s="112"/>
      <c r="O78" s="112"/>
      <c r="P78" s="112"/>
      <c r="Q78" s="112"/>
      <c r="R78" s="112"/>
      <c r="AC78">
        <f t="shared" si="19"/>
        <v>0.4</v>
      </c>
      <c r="AD78">
        <f t="shared" si="20"/>
        <v>10000</v>
      </c>
      <c r="AE78" t="e">
        <f t="shared" si="21"/>
        <v>#N/A</v>
      </c>
      <c r="AF78" t="e">
        <f t="shared" si="26"/>
        <v>#N/A</v>
      </c>
      <c r="AG78" t="e">
        <f t="shared" si="27"/>
        <v>#N/A</v>
      </c>
      <c r="AH78" t="e">
        <f t="shared" si="28"/>
        <v>#N/A</v>
      </c>
      <c r="AI78" t="e">
        <f t="shared" si="29"/>
        <v>#N/A</v>
      </c>
      <c r="AJ78" t="e">
        <f t="shared" si="30"/>
        <v>#N/A</v>
      </c>
      <c r="AK78" t="e">
        <f t="shared" si="31"/>
        <v>#N/A</v>
      </c>
      <c r="AL78" t="str">
        <f t="shared" si="14"/>
        <v/>
      </c>
    </row>
    <row r="79" spans="1:38" ht="15.5" x14ac:dyDescent="0.35">
      <c r="A79" s="115">
        <v>872</v>
      </c>
      <c r="B79" s="296" t="s">
        <v>2090</v>
      </c>
      <c r="C79" s="108"/>
      <c r="D79" s="108"/>
      <c r="E79" s="89"/>
      <c r="F79" s="672"/>
      <c r="G79" s="672"/>
      <c r="H79" s="1141">
        <f t="shared" si="22"/>
        <v>0</v>
      </c>
      <c r="I79" s="31"/>
      <c r="J79" s="688" t="str">
        <f t="shared" si="23"/>
        <v/>
      </c>
      <c r="K79" s="310" t="str">
        <f t="shared" si="24"/>
        <v/>
      </c>
      <c r="L79" s="131" t="str">
        <f t="shared" si="25"/>
        <v/>
      </c>
      <c r="M79" s="45"/>
      <c r="N79" s="112"/>
      <c r="O79" s="112"/>
      <c r="P79" s="112"/>
      <c r="Q79" s="112"/>
      <c r="R79" s="112"/>
      <c r="AC79">
        <f t="shared" si="19"/>
        <v>0.4</v>
      </c>
      <c r="AD79">
        <f t="shared" si="20"/>
        <v>10000</v>
      </c>
      <c r="AE79" t="e">
        <f t="shared" si="21"/>
        <v>#N/A</v>
      </c>
      <c r="AF79" t="e">
        <f t="shared" si="26"/>
        <v>#N/A</v>
      </c>
      <c r="AG79" t="e">
        <f t="shared" si="27"/>
        <v>#N/A</v>
      </c>
      <c r="AH79" t="e">
        <f t="shared" si="28"/>
        <v>#N/A</v>
      </c>
      <c r="AI79" t="e">
        <f t="shared" si="29"/>
        <v>#N/A</v>
      </c>
      <c r="AJ79" t="e">
        <f t="shared" si="30"/>
        <v>#N/A</v>
      </c>
      <c r="AK79" t="e">
        <f t="shared" si="31"/>
        <v>#N/A</v>
      </c>
      <c r="AL79" t="str">
        <f t="shared" si="14"/>
        <v/>
      </c>
    </row>
    <row r="80" spans="1:38" ht="15.5" x14ac:dyDescent="0.35">
      <c r="A80" s="273">
        <v>873</v>
      </c>
      <c r="B80" s="315" t="s">
        <v>2091</v>
      </c>
      <c r="C80" s="31"/>
      <c r="D80" s="31"/>
      <c r="E80" s="4"/>
      <c r="F80" s="672"/>
      <c r="G80" s="672"/>
      <c r="H80" s="1141">
        <f t="shared" si="22"/>
        <v>0</v>
      </c>
      <c r="I80" s="31"/>
      <c r="J80" s="688" t="str">
        <f t="shared" si="23"/>
        <v/>
      </c>
      <c r="K80" s="310" t="str">
        <f t="shared" si="24"/>
        <v/>
      </c>
      <c r="L80" s="131" t="str">
        <f t="shared" si="25"/>
        <v/>
      </c>
      <c r="M80" s="45"/>
      <c r="N80" s="112"/>
      <c r="O80" s="112"/>
      <c r="P80" s="112"/>
      <c r="Q80" s="112"/>
      <c r="R80" s="112"/>
      <c r="AC80">
        <f t="shared" si="19"/>
        <v>0.4</v>
      </c>
      <c r="AD80">
        <f t="shared" si="20"/>
        <v>10000</v>
      </c>
      <c r="AE80" t="e">
        <f t="shared" si="21"/>
        <v>#N/A</v>
      </c>
      <c r="AF80" t="e">
        <f t="shared" si="26"/>
        <v>#N/A</v>
      </c>
      <c r="AG80" t="e">
        <f t="shared" si="27"/>
        <v>#N/A</v>
      </c>
      <c r="AH80" t="e">
        <f t="shared" si="28"/>
        <v>#N/A</v>
      </c>
      <c r="AI80" t="e">
        <f t="shared" si="29"/>
        <v>#N/A</v>
      </c>
      <c r="AJ80" t="e">
        <f t="shared" si="30"/>
        <v>#N/A</v>
      </c>
      <c r="AK80" t="e">
        <f t="shared" si="31"/>
        <v>#N/A</v>
      </c>
      <c r="AL80" t="str">
        <f t="shared" si="14"/>
        <v/>
      </c>
    </row>
    <row r="81" spans="1:38" ht="15.5" x14ac:dyDescent="0.35">
      <c r="A81" s="273">
        <v>874</v>
      </c>
      <c r="B81" s="315" t="s">
        <v>2092</v>
      </c>
      <c r="C81" s="31"/>
      <c r="D81" s="31"/>
      <c r="E81" s="4"/>
      <c r="F81" s="672"/>
      <c r="G81" s="672"/>
      <c r="H81" s="1141">
        <f t="shared" si="22"/>
        <v>0</v>
      </c>
      <c r="I81" s="31"/>
      <c r="J81" s="688" t="str">
        <f t="shared" si="23"/>
        <v/>
      </c>
      <c r="K81" s="310" t="str">
        <f t="shared" si="24"/>
        <v/>
      </c>
      <c r="L81" s="131" t="str">
        <f t="shared" si="25"/>
        <v/>
      </c>
      <c r="M81" s="45"/>
      <c r="N81" s="112"/>
      <c r="O81" s="112"/>
      <c r="P81" s="112"/>
      <c r="Q81" s="112"/>
      <c r="R81" s="112"/>
      <c r="AC81">
        <f t="shared" si="19"/>
        <v>0.4</v>
      </c>
      <c r="AD81">
        <f t="shared" si="20"/>
        <v>10000</v>
      </c>
      <c r="AE81" t="e">
        <f t="shared" si="21"/>
        <v>#N/A</v>
      </c>
      <c r="AF81" t="e">
        <f t="shared" si="26"/>
        <v>#N/A</v>
      </c>
      <c r="AG81" t="e">
        <f t="shared" si="27"/>
        <v>#N/A</v>
      </c>
      <c r="AH81" t="e">
        <f t="shared" si="28"/>
        <v>#N/A</v>
      </c>
      <c r="AI81" t="e">
        <f t="shared" si="29"/>
        <v>#N/A</v>
      </c>
      <c r="AJ81" t="e">
        <f t="shared" si="30"/>
        <v>#N/A</v>
      </c>
      <c r="AK81" t="e">
        <f t="shared" si="31"/>
        <v>#N/A</v>
      </c>
      <c r="AL81" t="str">
        <f t="shared" si="14"/>
        <v/>
      </c>
    </row>
    <row r="82" spans="1:38" ht="17.5" x14ac:dyDescent="0.35">
      <c r="A82" s="115">
        <v>875</v>
      </c>
      <c r="B82" s="115" t="s">
        <v>2093</v>
      </c>
      <c r="C82" s="115"/>
      <c r="D82" s="116"/>
      <c r="E82" s="4"/>
      <c r="F82" s="672"/>
      <c r="G82" s="672"/>
      <c r="H82" s="1141">
        <f t="shared" si="22"/>
        <v>0</v>
      </c>
      <c r="I82" s="31"/>
      <c r="J82" s="688" t="str">
        <f t="shared" si="23"/>
        <v/>
      </c>
      <c r="K82" s="310" t="str">
        <f t="shared" si="24"/>
        <v/>
      </c>
      <c r="L82" s="131" t="str">
        <f t="shared" si="25"/>
        <v/>
      </c>
      <c r="M82" s="45"/>
      <c r="N82" s="112"/>
      <c r="O82" s="112"/>
      <c r="P82" s="112"/>
      <c r="Q82" s="112"/>
      <c r="R82" s="112"/>
      <c r="AC82">
        <f t="shared" si="19"/>
        <v>0.4</v>
      </c>
      <c r="AD82">
        <f t="shared" si="20"/>
        <v>10000</v>
      </c>
      <c r="AE82" t="e">
        <f t="shared" si="21"/>
        <v>#N/A</v>
      </c>
      <c r="AF82" t="e">
        <f t="shared" si="26"/>
        <v>#N/A</v>
      </c>
      <c r="AG82" t="e">
        <f t="shared" si="27"/>
        <v>#N/A</v>
      </c>
      <c r="AH82" t="e">
        <f t="shared" si="28"/>
        <v>#N/A</v>
      </c>
      <c r="AI82" t="e">
        <f t="shared" si="29"/>
        <v>#N/A</v>
      </c>
      <c r="AJ82" t="e">
        <f t="shared" si="30"/>
        <v>#N/A</v>
      </c>
      <c r="AK82" t="e">
        <f t="shared" si="31"/>
        <v>#N/A</v>
      </c>
      <c r="AL82" t="str">
        <f t="shared" si="14"/>
        <v/>
      </c>
    </row>
    <row r="83" spans="1:38" ht="15.5" x14ac:dyDescent="0.35">
      <c r="A83" s="115">
        <v>891</v>
      </c>
      <c r="B83" s="296"/>
      <c r="C83" s="160" t="s">
        <v>2094</v>
      </c>
      <c r="D83" s="176"/>
      <c r="E83" s="4"/>
      <c r="F83" s="672"/>
      <c r="G83" s="672"/>
      <c r="H83" s="1141">
        <f t="shared" si="22"/>
        <v>0</v>
      </c>
      <c r="I83" s="31"/>
      <c r="J83" s="688"/>
      <c r="K83" s="310"/>
      <c r="L83" s="131"/>
      <c r="M83" s="45"/>
      <c r="N83" s="112"/>
      <c r="O83" s="112"/>
      <c r="P83" s="112"/>
      <c r="Q83" s="112"/>
      <c r="R83" s="112"/>
    </row>
    <row r="84" spans="1:38" ht="15.5" x14ac:dyDescent="0.35">
      <c r="A84" s="115">
        <v>892</v>
      </c>
      <c r="B84" s="296"/>
      <c r="C84" s="160" t="s">
        <v>2094</v>
      </c>
      <c r="D84" s="176"/>
      <c r="E84" s="4"/>
      <c r="F84" s="672"/>
      <c r="G84" s="672"/>
      <c r="H84" s="1141">
        <f>F84-G84</f>
        <v>0</v>
      </c>
      <c r="I84" s="31"/>
      <c r="J84" s="688"/>
      <c r="K84" s="310"/>
      <c r="L84" s="131"/>
      <c r="M84" s="45"/>
      <c r="N84" s="112"/>
      <c r="O84" s="112"/>
      <c r="P84" s="112"/>
      <c r="Q84" s="112"/>
      <c r="R84" s="112"/>
    </row>
    <row r="85" spans="1:38" ht="15.5" x14ac:dyDescent="0.35">
      <c r="A85" s="115">
        <v>893</v>
      </c>
      <c r="B85" s="296"/>
      <c r="C85" s="160" t="s">
        <v>2094</v>
      </c>
      <c r="D85" s="176"/>
      <c r="E85" s="4"/>
      <c r="F85" s="672"/>
      <c r="G85" s="672"/>
      <c r="H85" s="1141">
        <f t="shared" si="22"/>
        <v>0</v>
      </c>
      <c r="I85" s="31"/>
      <c r="J85" s="688"/>
      <c r="K85" s="310"/>
      <c r="L85" s="131"/>
      <c r="M85" s="45"/>
      <c r="N85" s="112"/>
      <c r="O85" s="112"/>
      <c r="P85" s="112"/>
      <c r="Q85" s="112"/>
      <c r="R85" s="112"/>
    </row>
    <row r="86" spans="1:38" ht="15.5" x14ac:dyDescent="0.35">
      <c r="A86" s="115">
        <v>894</v>
      </c>
      <c r="B86" s="296"/>
      <c r="C86" s="160" t="s">
        <v>2094</v>
      </c>
      <c r="D86" s="176"/>
      <c r="E86" s="4"/>
      <c r="F86" s="672"/>
      <c r="G86" s="672"/>
      <c r="H86" s="1141">
        <f t="shared" si="22"/>
        <v>0</v>
      </c>
      <c r="I86" s="31"/>
      <c r="J86" s="688"/>
      <c r="K86" s="310"/>
      <c r="L86" s="131"/>
      <c r="M86" s="45"/>
      <c r="N86" s="112"/>
      <c r="O86" s="112"/>
      <c r="P86" s="112"/>
      <c r="Q86" s="112"/>
      <c r="R86" s="112"/>
    </row>
    <row r="87" spans="1:38" ht="15.5" x14ac:dyDescent="0.35">
      <c r="A87" s="115">
        <v>895</v>
      </c>
      <c r="B87" s="296"/>
      <c r="C87" s="160" t="s">
        <v>2094</v>
      </c>
      <c r="D87" s="176"/>
      <c r="E87" s="4"/>
      <c r="F87" s="672"/>
      <c r="G87" s="672"/>
      <c r="H87" s="1141">
        <f t="shared" si="22"/>
        <v>0</v>
      </c>
      <c r="I87" s="31"/>
      <c r="J87" s="688"/>
      <c r="K87" s="310"/>
      <c r="L87" s="131"/>
      <c r="M87" s="45"/>
      <c r="N87" s="112"/>
      <c r="O87" s="112"/>
      <c r="P87" s="112"/>
      <c r="Q87" s="112"/>
      <c r="R87" s="112"/>
    </row>
    <row r="88" spans="1:38" ht="15.5" x14ac:dyDescent="0.35">
      <c r="A88" s="285">
        <v>896</v>
      </c>
      <c r="B88" s="345" t="s">
        <v>2095</v>
      </c>
      <c r="C88" s="117"/>
      <c r="D88" s="108"/>
      <c r="E88" s="127"/>
      <c r="F88" s="674">
        <f t="shared" ref="F88:G88" si="32">SUM(F61:F87)</f>
        <v>0</v>
      </c>
      <c r="G88" s="674">
        <f t="shared" si="32"/>
        <v>0</v>
      </c>
      <c r="H88" s="1141">
        <f>SUM(H61:H87)</f>
        <v>0</v>
      </c>
      <c r="I88" s="31"/>
      <c r="J88" s="688" t="str">
        <f t="shared" si="23"/>
        <v/>
      </c>
      <c r="K88" s="310" t="str">
        <f t="shared" si="24"/>
        <v/>
      </c>
      <c r="L88" s="131" t="str">
        <f t="shared" si="25"/>
        <v/>
      </c>
      <c r="M88" s="45"/>
      <c r="N88" s="112"/>
      <c r="O88" s="112"/>
      <c r="P88" s="112"/>
      <c r="Q88" s="112"/>
      <c r="R88" s="112"/>
      <c r="AC88">
        <f>VLOOKUP("TSR"&amp;$A88,data_val_parameters,9,0)/100</f>
        <v>0.4</v>
      </c>
      <c r="AD88">
        <f>VLOOKUP("TSR"&amp;$A88,data_val_parameters,7,0)</f>
        <v>10000</v>
      </c>
      <c r="AE88" t="e">
        <f>VLOOKUP(LA_code,data_prev_year,MATCH("TSR"&amp;$A88&amp;"1",data_prev_year_headers,0),0)</f>
        <v>#N/A</v>
      </c>
      <c r="AF88" t="e">
        <f t="shared" si="26"/>
        <v>#N/A</v>
      </c>
      <c r="AG88" t="e">
        <f t="shared" si="27"/>
        <v>#N/A</v>
      </c>
      <c r="AH88" t="e">
        <f t="shared" si="28"/>
        <v>#N/A</v>
      </c>
      <c r="AI88" t="e">
        <f t="shared" si="29"/>
        <v>#N/A</v>
      </c>
      <c r="AJ88" t="e">
        <f t="shared" si="30"/>
        <v>#N/A</v>
      </c>
      <c r="AK88" t="e">
        <f t="shared" si="31"/>
        <v>#N/A</v>
      </c>
      <c r="AL88" t="str">
        <f t="shared" si="14"/>
        <v/>
      </c>
    </row>
    <row r="89" spans="1:38" ht="15.5" x14ac:dyDescent="0.35">
      <c r="A89" s="285">
        <v>897</v>
      </c>
      <c r="B89" s="345" t="s">
        <v>2096</v>
      </c>
      <c r="C89" s="117"/>
      <c r="D89" s="108"/>
      <c r="E89" s="127"/>
      <c r="F89" s="127"/>
      <c r="G89" s="127"/>
      <c r="H89" s="466">
        <f>H105</f>
        <v>0</v>
      </c>
      <c r="I89" s="31"/>
      <c r="J89" s="688" t="str">
        <f>IF(ISERROR(K89),"",IF((K89="Error"),"add explanation",IF((K89="Warning"),"add explanation","")))</f>
        <v/>
      </c>
      <c r="K89" s="310" t="str">
        <f>IF(AL89="Warning","Warning","")</f>
        <v/>
      </c>
      <c r="L89" s="131" t="str">
        <f>IF($K89="Warning","This year's figure is over "&amp;AD89/1000&amp;" million and "&amp;(AC89*100)&amp;"% different to "&amp;TEXT(AE89,"#,###")&amp;" last year, please explain","")</f>
        <v/>
      </c>
      <c r="M89" s="45"/>
      <c r="N89" s="112"/>
      <c r="O89" s="112"/>
      <c r="P89" s="112"/>
      <c r="Q89" s="112"/>
      <c r="R89" s="112"/>
      <c r="AC89">
        <f>VLOOKUP("TSR"&amp;$A89,data_val_parameters,9,0)/100</f>
        <v>0.4</v>
      </c>
      <c r="AD89">
        <f>VLOOKUP("TSR"&amp;$A89,data_val_parameters,7,0)</f>
        <v>10000</v>
      </c>
      <c r="AE89" t="e">
        <f>VLOOKUP(LA_code,data_prev_year,MATCH("TSR"&amp;$A89&amp;"1",data_prev_year_headers,0),0)</f>
        <v>#N/A</v>
      </c>
      <c r="AF89" t="e">
        <f t="shared" si="26"/>
        <v>#N/A</v>
      </c>
      <c r="AG89" t="e">
        <f t="shared" si="27"/>
        <v>#N/A</v>
      </c>
      <c r="AH89" t="e">
        <f t="shared" si="28"/>
        <v>#N/A</v>
      </c>
      <c r="AI89" t="e">
        <f t="shared" si="29"/>
        <v>#N/A</v>
      </c>
      <c r="AJ89" t="e">
        <f t="shared" si="30"/>
        <v>#N/A</v>
      </c>
      <c r="AK89" t="e">
        <f t="shared" si="31"/>
        <v>#N/A</v>
      </c>
      <c r="AL89" t="str">
        <f>IF(OR(H89=0),"",IF(AND(AJ89="Warning",AK89="Warning"),"Warning",""))</f>
        <v/>
      </c>
    </row>
    <row r="90" spans="1:38" ht="15.5" x14ac:dyDescent="0.35">
      <c r="A90" s="285">
        <v>898</v>
      </c>
      <c r="B90" s="345" t="s">
        <v>2097</v>
      </c>
      <c r="C90" s="117"/>
      <c r="D90" s="118"/>
      <c r="E90" s="119"/>
      <c r="F90" s="756"/>
      <c r="G90" s="758"/>
      <c r="H90" s="757">
        <f>SUM(H88:H89)</f>
        <v>0</v>
      </c>
      <c r="I90" s="45"/>
      <c r="J90" s="688" t="str">
        <f>IF(ISERROR(K90),"",IF((K90="Error"),"add explanation",IF((K90="Warning"),"add explanation","")))</f>
        <v/>
      </c>
      <c r="K90" s="310" t="str">
        <f>IF(AL90="Warning","Warning","")</f>
        <v/>
      </c>
      <c r="L90" s="131" t="str">
        <f>IF($K90="Warning","This year's figure is over "&amp;AD90/1000&amp;" million and "&amp;(AC90*100)&amp;"% different to "&amp;TEXT(AE90,"#,###")&amp;" last year, please explain","")</f>
        <v/>
      </c>
      <c r="M90" s="45"/>
      <c r="N90" s="119"/>
      <c r="O90" s="112"/>
      <c r="P90" s="112"/>
      <c r="Q90" s="112"/>
      <c r="R90" s="112"/>
      <c r="AC90">
        <f>VLOOKUP("TSR"&amp;$A90,data_val_parameters,9,0)/100</f>
        <v>0.4</v>
      </c>
      <c r="AD90">
        <f>VLOOKUP("TSR"&amp;$A90,data_val_parameters,7,0)</f>
        <v>10000</v>
      </c>
      <c r="AE90" t="e">
        <f>VLOOKUP(LA_code,data_prev_year,MATCH("TSR"&amp;$A90&amp;"1",data_prev_year_headers,0),0)</f>
        <v>#N/A</v>
      </c>
      <c r="AF90" t="e">
        <f t="shared" si="26"/>
        <v>#N/A</v>
      </c>
      <c r="AG90" t="e">
        <f t="shared" si="27"/>
        <v>#N/A</v>
      </c>
      <c r="AH90" t="e">
        <f t="shared" si="28"/>
        <v>#N/A</v>
      </c>
      <c r="AI90" t="e">
        <f t="shared" si="29"/>
        <v>#N/A</v>
      </c>
      <c r="AJ90" t="e">
        <f t="shared" si="30"/>
        <v>#N/A</v>
      </c>
      <c r="AK90" t="e">
        <f t="shared" si="31"/>
        <v>#N/A</v>
      </c>
      <c r="AL90" t="str">
        <f t="shared" si="14"/>
        <v/>
      </c>
    </row>
    <row r="91" spans="1:38" ht="15.5" x14ac:dyDescent="0.35">
      <c r="A91" s="117"/>
      <c r="B91" s="117"/>
      <c r="C91" s="117"/>
      <c r="D91" s="118"/>
      <c r="E91" s="119"/>
      <c r="F91" s="119"/>
      <c r="G91" s="119"/>
      <c r="H91" s="298" t="s">
        <v>1730</v>
      </c>
      <c r="I91" s="45"/>
      <c r="J91" s="45"/>
      <c r="K91" s="45"/>
      <c r="L91" s="45"/>
      <c r="M91" s="45"/>
      <c r="N91" s="119"/>
      <c r="O91" s="112"/>
      <c r="P91" s="112"/>
      <c r="Q91" s="112"/>
      <c r="R91" s="112"/>
    </row>
    <row r="92" spans="1:38" ht="15.5" x14ac:dyDescent="0.35">
      <c r="A92" s="111"/>
      <c r="B92" s="111"/>
      <c r="C92" s="111"/>
      <c r="D92" s="12"/>
      <c r="E92" s="4"/>
      <c r="F92" s="4"/>
      <c r="G92" s="4"/>
      <c r="H92" s="55"/>
      <c r="I92" s="55"/>
      <c r="J92" s="4"/>
      <c r="K92" s="4"/>
      <c r="L92" s="4"/>
      <c r="M92" s="4"/>
      <c r="N92" s="4"/>
      <c r="O92" s="112"/>
      <c r="P92" s="112"/>
      <c r="Q92" s="112"/>
      <c r="R92" s="112"/>
    </row>
    <row r="93" spans="1:38" ht="15.5" x14ac:dyDescent="0.35">
      <c r="A93" s="338"/>
      <c r="B93" s="338"/>
      <c r="C93" s="338"/>
      <c r="D93" s="338"/>
      <c r="E93" s="339"/>
      <c r="F93" s="339"/>
      <c r="G93" s="339"/>
      <c r="H93" s="340"/>
      <c r="I93" s="340"/>
      <c r="J93" s="339"/>
      <c r="K93" s="339"/>
      <c r="L93" s="339"/>
      <c r="M93" s="339"/>
      <c r="N93" s="339"/>
      <c r="O93" s="112"/>
      <c r="P93" s="112"/>
      <c r="Q93" s="112"/>
      <c r="R93" s="112"/>
    </row>
    <row r="94" spans="1:38" ht="15.5" x14ac:dyDescent="0.35">
      <c r="A94" s="12"/>
      <c r="B94" s="12"/>
      <c r="C94" s="12"/>
      <c r="D94" s="12"/>
      <c r="E94" s="4"/>
      <c r="F94" s="4"/>
      <c r="G94" s="4"/>
      <c r="H94" s="55"/>
      <c r="I94" s="55"/>
      <c r="J94" s="4"/>
      <c r="K94" s="4"/>
      <c r="L94" s="4"/>
      <c r="M94" s="4"/>
      <c r="N94" s="4"/>
      <c r="O94" s="112"/>
      <c r="P94" s="112"/>
      <c r="Q94" s="112"/>
      <c r="R94" s="112"/>
    </row>
    <row r="95" spans="1:38" ht="18" x14ac:dyDescent="0.4">
      <c r="A95" s="27" t="s">
        <v>1534</v>
      </c>
      <c r="B95" s="27"/>
      <c r="C95" s="27"/>
      <c r="D95" s="12"/>
      <c r="E95" s="112"/>
      <c r="F95" s="112"/>
      <c r="G95" s="98" t="s">
        <v>2098</v>
      </c>
      <c r="H95" s="397" t="s">
        <v>2099</v>
      </c>
      <c r="J95" s="4"/>
      <c r="K95" s="4"/>
      <c r="L95" s="4"/>
      <c r="M95" s="4"/>
      <c r="N95" s="4"/>
      <c r="O95" s="112"/>
      <c r="P95" s="112"/>
      <c r="Q95" s="112"/>
      <c r="R95" s="112"/>
    </row>
    <row r="96" spans="1:38" ht="15.5" x14ac:dyDescent="0.35">
      <c r="A96" s="112"/>
      <c r="B96" s="112"/>
      <c r="C96" s="112"/>
      <c r="D96" s="12"/>
      <c r="E96" s="112"/>
      <c r="F96" s="112"/>
      <c r="G96" s="98" t="s">
        <v>2100</v>
      </c>
      <c r="H96" s="397" t="s">
        <v>2100</v>
      </c>
      <c r="J96" s="4"/>
      <c r="K96" s="4"/>
      <c r="L96" s="4"/>
      <c r="M96" s="4"/>
      <c r="N96" s="4"/>
      <c r="O96" s="112"/>
      <c r="P96" s="112"/>
      <c r="Q96" s="112"/>
      <c r="R96" s="112"/>
    </row>
    <row r="97" spans="1:48" ht="15.5" x14ac:dyDescent="0.35">
      <c r="A97" s="12"/>
      <c r="B97" s="12"/>
      <c r="C97" s="12"/>
      <c r="D97" s="12"/>
      <c r="E97" s="112"/>
      <c r="F97" s="112"/>
      <c r="G97" s="98" t="s">
        <v>2101</v>
      </c>
      <c r="H97" s="397" t="s">
        <v>2101</v>
      </c>
      <c r="J97" s="4"/>
      <c r="K97" s="4"/>
      <c r="L97" s="4"/>
      <c r="M97" s="4"/>
      <c r="N97" s="4"/>
      <c r="O97" s="112"/>
      <c r="P97" s="112"/>
      <c r="Q97" s="112"/>
      <c r="R97" s="112"/>
    </row>
    <row r="98" spans="1:48" ht="15.5" x14ac:dyDescent="0.35">
      <c r="A98" s="12"/>
      <c r="B98" s="12"/>
      <c r="C98" s="12"/>
      <c r="D98" s="12"/>
      <c r="E98" s="112"/>
      <c r="F98" s="112"/>
      <c r="G98" s="399" t="s">
        <v>1378</v>
      </c>
      <c r="H98" s="399" t="s">
        <v>1378</v>
      </c>
      <c r="J98" s="4"/>
      <c r="K98" s="4"/>
      <c r="L98" s="4"/>
      <c r="M98" s="4"/>
      <c r="N98" s="4"/>
      <c r="O98" s="112"/>
      <c r="P98" s="112"/>
      <c r="Q98" s="112"/>
      <c r="R98" s="112"/>
    </row>
    <row r="99" spans="1:48" ht="15.5" x14ac:dyDescent="0.35">
      <c r="A99" s="112" t="str">
        <f>CONCATENATE(D99," ",E99)</f>
        <v xml:space="preserve"> </v>
      </c>
      <c r="B99" s="112"/>
      <c r="C99" s="112"/>
      <c r="D99" s="12"/>
      <c r="E99" s="112"/>
      <c r="F99" s="112"/>
      <c r="G99" s="112"/>
      <c r="H99" s="55"/>
      <c r="J99" s="4"/>
      <c r="K99" s="4"/>
      <c r="L99" s="4"/>
      <c r="M99" s="4"/>
      <c r="N99" s="4"/>
      <c r="O99" s="112"/>
      <c r="P99" s="112"/>
      <c r="Q99" s="112"/>
      <c r="R99" s="112"/>
    </row>
    <row r="100" spans="1:48" ht="15.5" x14ac:dyDescent="0.35">
      <c r="A100" s="273">
        <v>931</v>
      </c>
      <c r="B100" s="274" t="s">
        <v>1535</v>
      </c>
      <c r="C100" s="11"/>
      <c r="D100" s="12"/>
      <c r="E100" s="112"/>
      <c r="F100" s="112"/>
      <c r="G100" s="672"/>
      <c r="H100" s="672"/>
      <c r="J100" s="688" t="str">
        <f t="shared" ref="J100" si="33">IF(ISERROR(K100),"",IF((K100="Error"),"add explanation",IF((K100="Warning"),"add explanation","")))</f>
        <v/>
      </c>
      <c r="K100" s="310" t="str">
        <f>IF(OR(AL100="Warning",AV100="Warning"),"Warning","")</f>
        <v/>
      </c>
      <c r="L100" s="131" t="str">
        <f>IF($AL100="Warning","This year's External Trading accounts figure is over "&amp;AD100/1000&amp;" million and "&amp;(AC100*100)&amp;"% different to "&amp;TEXT(AE100,"#,###")&amp;" last year, please explain","")</f>
        <v/>
      </c>
      <c r="M100" s="86" t="str">
        <f>IF($AV100="Warning","This year's Internal Trading accounts figure is over "&amp;AN100/1000&amp;" million and "&amp;(AM100*100)&amp;"% different to "&amp;TEXT(AO100,"#,###")&amp;" last year, please explain","")</f>
        <v/>
      </c>
      <c r="N100" s="4"/>
      <c r="O100" s="112"/>
      <c r="P100" s="112"/>
      <c r="Q100" s="112"/>
      <c r="R100" s="112"/>
      <c r="AC100">
        <f t="shared" ref="AC100:AC105" si="34">VLOOKUP("TSR"&amp;$A100,data_val_parameters,9,0)/100</f>
        <v>0.4</v>
      </c>
      <c r="AD100">
        <f t="shared" ref="AD100:AD105" si="35">VLOOKUP("TSR"&amp;$A100,data_val_parameters,7,0)</f>
        <v>10000</v>
      </c>
      <c r="AE100" t="e">
        <f t="shared" ref="AE100:AE105" si="36">VLOOKUP(LA_code,data_prev_year,MATCH("TSR"&amp;$A100&amp;"2",data_prev_year_headers,0),0)</f>
        <v>#N/A</v>
      </c>
      <c r="AF100" t="e">
        <f t="shared" si="26"/>
        <v>#N/A</v>
      </c>
      <c r="AG100" t="e">
        <f t="shared" si="27"/>
        <v>#N/A</v>
      </c>
      <c r="AH100" t="e">
        <f t="shared" si="28"/>
        <v>#N/A</v>
      </c>
      <c r="AI100" t="e">
        <f t="shared" si="29"/>
        <v>#N/A</v>
      </c>
      <c r="AJ100" t="e">
        <f>IF(OR(G100&lt;AG100,G100&gt;AF100),"Warning","")</f>
        <v>#N/A</v>
      </c>
      <c r="AK100" t="e">
        <f t="shared" ref="AK100:AK105" si="37">IF(OR(G100&gt;(AH100),G100&lt;(AI100)),"Warning","")</f>
        <v>#N/A</v>
      </c>
      <c r="AL100" t="str">
        <f t="shared" ref="AL100:AL105" si="38">IF(OR(G100=0),"",IF(AND(AJ100="Warning",AK100="Warning"),"Warning",""))</f>
        <v/>
      </c>
      <c r="AM100">
        <f t="shared" ref="AM100:AM105" si="39">VLOOKUP("TSR"&amp;$A100,data_val_parameters,9,0)/100</f>
        <v>0.4</v>
      </c>
      <c r="AN100">
        <f t="shared" ref="AN100:AN105" si="40">VLOOKUP("TSR"&amp;$A100,data_val_parameters,7,0)</f>
        <v>10000</v>
      </c>
      <c r="AO100" t="e">
        <f t="shared" ref="AO100:AO105" si="41">VLOOKUP(LA_code,data_prev_year,MATCH("TSR"&amp;$A100&amp;"2",data_prev_year_headers,0),0)</f>
        <v>#N/A</v>
      </c>
      <c r="AP100" t="e">
        <f t="shared" ref="AP100:AP105" si="42">AO100+AN100</f>
        <v>#N/A</v>
      </c>
      <c r="AQ100" t="e">
        <f t="shared" ref="AQ100:AQ105" si="43">AO100-AN100</f>
        <v>#N/A</v>
      </c>
      <c r="AR100" t="e">
        <f t="shared" ref="AR100:AR105" si="44">AO100+(AO100*AM100)</f>
        <v>#N/A</v>
      </c>
      <c r="AS100" t="e">
        <f t="shared" ref="AS100:AS105" si="45">AO100-(AO100*AM100)</f>
        <v>#N/A</v>
      </c>
      <c r="AT100" t="e">
        <f t="shared" ref="AT100:AT105" si="46">IF(OR(H100&lt;AQ100,H100&gt;AP100),"Warning","")</f>
        <v>#N/A</v>
      </c>
      <c r="AU100" t="e">
        <f t="shared" ref="AU100:AU105" si="47">IF(OR(H100&gt;(AR100),H100&lt;(AS100)),"Warning","")</f>
        <v>#N/A</v>
      </c>
      <c r="AV100" t="str">
        <f>IF(OR(H100=0),"",IF(AND(AT100="Warning",AU100="Warning"),"Warning",""))</f>
        <v/>
      </c>
    </row>
    <row r="101" spans="1:48" ht="15.5" x14ac:dyDescent="0.35">
      <c r="A101" s="273">
        <v>933</v>
      </c>
      <c r="B101" s="274" t="s">
        <v>1536</v>
      </c>
      <c r="C101" s="11"/>
      <c r="D101" s="12"/>
      <c r="E101" s="4"/>
      <c r="F101" s="4"/>
      <c r="G101" s="672"/>
      <c r="H101" s="672"/>
      <c r="J101" s="688" t="str">
        <f t="shared" ref="J101:J105" si="48">IF(ISERROR(K101),"",IF((K101="Error"),"add explanation",IF((K101="Warning"),"add explanation","")))</f>
        <v/>
      </c>
      <c r="K101" s="310" t="e">
        <f t="shared" ref="K101:K105" si="49">IF(OR(AL101="Warning",AV101="Warning"),"Warning","")</f>
        <v>#N/A</v>
      </c>
      <c r="L101" s="131" t="str">
        <f t="shared" ref="L101:L105" si="50">IF($AL101="Warning","This year's External Trading accounts figure is over "&amp;AD101/1000&amp;" million and "&amp;(AC101*100)&amp;"% different to "&amp;TEXT(AE101,"#,###")&amp;" last year, please explain","")</f>
        <v/>
      </c>
      <c r="M101" s="86" t="e">
        <f t="shared" ref="M101:M105" si="51">IF($AV101="Warning","This year's Internal Trading accounts figure is over "&amp;AN101/1000&amp;" million and "&amp;(AM101*100)&amp;"% different to "&amp;TEXT(AO101,"#,###")&amp;" last year, please explain","")</f>
        <v>#N/A</v>
      </c>
      <c r="N101" s="4"/>
      <c r="O101" s="112"/>
      <c r="P101" s="112"/>
      <c r="Q101" s="112"/>
      <c r="R101" s="112"/>
      <c r="AC101">
        <f t="shared" si="34"/>
        <v>0.4</v>
      </c>
      <c r="AD101">
        <f t="shared" si="35"/>
        <v>10000</v>
      </c>
      <c r="AE101" t="e">
        <f t="shared" si="36"/>
        <v>#N/A</v>
      </c>
      <c r="AF101" t="e">
        <f t="shared" si="26"/>
        <v>#N/A</v>
      </c>
      <c r="AG101" t="e">
        <f t="shared" si="27"/>
        <v>#N/A</v>
      </c>
      <c r="AH101" t="e">
        <f t="shared" si="28"/>
        <v>#N/A</v>
      </c>
      <c r="AI101" t="e">
        <f t="shared" si="29"/>
        <v>#N/A</v>
      </c>
      <c r="AJ101" t="e">
        <f t="shared" ref="AJ101:AJ105" si="52">IF(OR(G101&lt;AG101,G101&gt;AF101),"Warning","")</f>
        <v>#N/A</v>
      </c>
      <c r="AK101" t="e">
        <f t="shared" si="37"/>
        <v>#N/A</v>
      </c>
      <c r="AL101" t="str">
        <f t="shared" si="38"/>
        <v/>
      </c>
      <c r="AM101">
        <f t="shared" si="39"/>
        <v>0.4</v>
      </c>
      <c r="AN101">
        <f t="shared" si="40"/>
        <v>10000</v>
      </c>
      <c r="AO101" t="e">
        <f t="shared" si="41"/>
        <v>#N/A</v>
      </c>
      <c r="AP101" t="e">
        <f t="shared" si="42"/>
        <v>#N/A</v>
      </c>
      <c r="AQ101" t="e">
        <f t="shared" si="43"/>
        <v>#N/A</v>
      </c>
      <c r="AR101" t="e">
        <f t="shared" si="44"/>
        <v>#N/A</v>
      </c>
      <c r="AS101" t="e">
        <f t="shared" si="45"/>
        <v>#N/A</v>
      </c>
      <c r="AT101" t="e">
        <f t="shared" si="46"/>
        <v>#N/A</v>
      </c>
      <c r="AU101" t="e">
        <f t="shared" si="47"/>
        <v>#N/A</v>
      </c>
      <c r="AV101" t="e">
        <f>IF(OR(101=0),"",IF(AND(AT101="Warning",AU101="Warning"),"Warning",""))</f>
        <v>#N/A</v>
      </c>
    </row>
    <row r="102" spans="1:48" ht="15.5" x14ac:dyDescent="0.35">
      <c r="A102" s="273">
        <v>934</v>
      </c>
      <c r="B102" s="344" t="s">
        <v>1539</v>
      </c>
      <c r="C102" s="124"/>
      <c r="D102" s="108"/>
      <c r="E102" s="4"/>
      <c r="F102" s="4"/>
      <c r="G102" s="672"/>
      <c r="H102" s="672"/>
      <c r="J102" s="688" t="str">
        <f t="shared" si="48"/>
        <v/>
      </c>
      <c r="K102" s="310" t="str">
        <f t="shared" si="49"/>
        <v/>
      </c>
      <c r="L102" s="131" t="str">
        <f t="shared" si="50"/>
        <v/>
      </c>
      <c r="M102" s="86" t="str">
        <f t="shared" si="51"/>
        <v/>
      </c>
      <c r="N102" s="4"/>
      <c r="O102" s="112"/>
      <c r="P102" s="112"/>
      <c r="Q102" s="112"/>
      <c r="R102" s="112"/>
      <c r="AC102">
        <f t="shared" si="34"/>
        <v>0.4</v>
      </c>
      <c r="AD102">
        <f t="shared" si="35"/>
        <v>10000</v>
      </c>
      <c r="AE102" t="e">
        <f t="shared" si="36"/>
        <v>#N/A</v>
      </c>
      <c r="AF102" t="e">
        <f t="shared" si="26"/>
        <v>#N/A</v>
      </c>
      <c r="AG102" t="e">
        <f t="shared" si="27"/>
        <v>#N/A</v>
      </c>
      <c r="AH102" t="e">
        <f t="shared" si="28"/>
        <v>#N/A</v>
      </c>
      <c r="AI102" t="e">
        <f t="shared" si="29"/>
        <v>#N/A</v>
      </c>
      <c r="AJ102" t="e">
        <f t="shared" si="52"/>
        <v>#N/A</v>
      </c>
      <c r="AK102" t="e">
        <f t="shared" si="37"/>
        <v>#N/A</v>
      </c>
      <c r="AL102" t="str">
        <f t="shared" si="38"/>
        <v/>
      </c>
      <c r="AM102">
        <f t="shared" si="39"/>
        <v>0.4</v>
      </c>
      <c r="AN102">
        <f t="shared" si="40"/>
        <v>10000</v>
      </c>
      <c r="AO102" t="e">
        <f t="shared" si="41"/>
        <v>#N/A</v>
      </c>
      <c r="AP102" t="e">
        <f t="shared" si="42"/>
        <v>#N/A</v>
      </c>
      <c r="AQ102" t="e">
        <f t="shared" si="43"/>
        <v>#N/A</v>
      </c>
      <c r="AR102" t="e">
        <f t="shared" si="44"/>
        <v>#N/A</v>
      </c>
      <c r="AS102" t="e">
        <f t="shared" si="45"/>
        <v>#N/A</v>
      </c>
      <c r="AT102" t="e">
        <f t="shared" si="46"/>
        <v>#N/A</v>
      </c>
      <c r="AU102" t="e">
        <f t="shared" si="47"/>
        <v>#N/A</v>
      </c>
      <c r="AV102" t="str">
        <f>IF(OR(H102=0),"",IF(AND(AT102="Warning",AU102="Warning"),"Warning",""))</f>
        <v/>
      </c>
    </row>
    <row r="103" spans="1:48" ht="15.5" x14ac:dyDescent="0.35">
      <c r="A103" s="273">
        <v>935</v>
      </c>
      <c r="B103" s="344" t="s">
        <v>1544</v>
      </c>
      <c r="C103" s="124"/>
      <c r="D103" s="108"/>
      <c r="E103" s="127"/>
      <c r="F103" s="127"/>
      <c r="G103" s="672"/>
      <c r="H103" s="672"/>
      <c r="J103" s="688" t="str">
        <f t="shared" si="48"/>
        <v/>
      </c>
      <c r="K103" s="310" t="str">
        <f t="shared" si="49"/>
        <v/>
      </c>
      <c r="L103" s="131" t="str">
        <f t="shared" si="50"/>
        <v/>
      </c>
      <c r="M103" s="86" t="str">
        <f t="shared" si="51"/>
        <v/>
      </c>
      <c r="N103" s="4"/>
      <c r="O103" s="112"/>
      <c r="P103" s="112"/>
      <c r="Q103" s="112"/>
      <c r="R103" s="112"/>
      <c r="AC103">
        <f t="shared" si="34"/>
        <v>0.4</v>
      </c>
      <c r="AD103">
        <f t="shared" si="35"/>
        <v>10000</v>
      </c>
      <c r="AE103" t="e">
        <f t="shared" si="36"/>
        <v>#N/A</v>
      </c>
      <c r="AF103" t="e">
        <f t="shared" si="26"/>
        <v>#N/A</v>
      </c>
      <c r="AG103" t="e">
        <f t="shared" si="27"/>
        <v>#N/A</v>
      </c>
      <c r="AH103" t="e">
        <f t="shared" si="28"/>
        <v>#N/A</v>
      </c>
      <c r="AI103" t="e">
        <f t="shared" si="29"/>
        <v>#N/A</v>
      </c>
      <c r="AJ103" t="e">
        <f t="shared" si="52"/>
        <v>#N/A</v>
      </c>
      <c r="AK103" t="e">
        <f t="shared" si="37"/>
        <v>#N/A</v>
      </c>
      <c r="AL103" t="str">
        <f t="shared" si="38"/>
        <v/>
      </c>
      <c r="AM103">
        <f t="shared" si="39"/>
        <v>0.4</v>
      </c>
      <c r="AN103">
        <f t="shared" si="40"/>
        <v>10000</v>
      </c>
      <c r="AO103" t="e">
        <f t="shared" si="41"/>
        <v>#N/A</v>
      </c>
      <c r="AP103" t="e">
        <f t="shared" si="42"/>
        <v>#N/A</v>
      </c>
      <c r="AQ103" t="e">
        <f t="shared" si="43"/>
        <v>#N/A</v>
      </c>
      <c r="AR103" t="e">
        <f t="shared" si="44"/>
        <v>#N/A</v>
      </c>
      <c r="AS103" t="e">
        <f t="shared" si="45"/>
        <v>#N/A</v>
      </c>
      <c r="AT103" t="e">
        <f t="shared" si="46"/>
        <v>#N/A</v>
      </c>
      <c r="AU103" t="e">
        <f t="shared" si="47"/>
        <v>#N/A</v>
      </c>
      <c r="AV103" t="str">
        <f>IF(OR(H103=0),"",IF(AND(AT103="Warning",AU103="Warning"),"Warning",""))</f>
        <v/>
      </c>
    </row>
    <row r="104" spans="1:48" ht="15.5" x14ac:dyDescent="0.35">
      <c r="A104" s="273">
        <v>936</v>
      </c>
      <c r="B104" s="344" t="s">
        <v>1545</v>
      </c>
      <c r="C104" s="124"/>
      <c r="D104" s="124"/>
      <c r="E104" s="127"/>
      <c r="F104" s="127"/>
      <c r="G104" s="672"/>
      <c r="H104" s="672"/>
      <c r="J104" s="688" t="str">
        <f t="shared" si="48"/>
        <v/>
      </c>
      <c r="K104" s="310" t="str">
        <f t="shared" si="49"/>
        <v/>
      </c>
      <c r="L104" s="131" t="str">
        <f t="shared" si="50"/>
        <v/>
      </c>
      <c r="M104" s="86" t="str">
        <f t="shared" si="51"/>
        <v/>
      </c>
      <c r="N104" s="4"/>
      <c r="O104" s="112"/>
      <c r="P104" s="112"/>
      <c r="Q104" s="112"/>
      <c r="R104" s="112"/>
      <c r="AC104">
        <f t="shared" si="34"/>
        <v>0.4</v>
      </c>
      <c r="AD104">
        <f t="shared" si="35"/>
        <v>10000</v>
      </c>
      <c r="AE104" t="e">
        <f t="shared" si="36"/>
        <v>#N/A</v>
      </c>
      <c r="AF104" t="e">
        <f t="shared" si="26"/>
        <v>#N/A</v>
      </c>
      <c r="AG104" t="e">
        <f t="shared" si="27"/>
        <v>#N/A</v>
      </c>
      <c r="AH104" t="e">
        <f t="shared" si="28"/>
        <v>#N/A</v>
      </c>
      <c r="AI104" t="e">
        <f t="shared" si="29"/>
        <v>#N/A</v>
      </c>
      <c r="AJ104" t="e">
        <f t="shared" si="52"/>
        <v>#N/A</v>
      </c>
      <c r="AK104" t="e">
        <f t="shared" si="37"/>
        <v>#N/A</v>
      </c>
      <c r="AL104" t="str">
        <f t="shared" si="38"/>
        <v/>
      </c>
      <c r="AM104">
        <f t="shared" si="39"/>
        <v>0.4</v>
      </c>
      <c r="AN104">
        <f t="shared" si="40"/>
        <v>10000</v>
      </c>
      <c r="AO104" t="e">
        <f t="shared" si="41"/>
        <v>#N/A</v>
      </c>
      <c r="AP104" t="e">
        <f t="shared" si="42"/>
        <v>#N/A</v>
      </c>
      <c r="AQ104" t="e">
        <f t="shared" si="43"/>
        <v>#N/A</v>
      </c>
      <c r="AR104" t="e">
        <f t="shared" si="44"/>
        <v>#N/A</v>
      </c>
      <c r="AS104" t="e">
        <f t="shared" si="45"/>
        <v>#N/A</v>
      </c>
      <c r="AT104" t="e">
        <f t="shared" si="46"/>
        <v>#N/A</v>
      </c>
      <c r="AU104" t="e">
        <f t="shared" si="47"/>
        <v>#N/A</v>
      </c>
      <c r="AV104" t="str">
        <f>IF(OR(H104=0),"",IF(AND(AT104="Warning",AU104="Warning"),"Warning",""))</f>
        <v/>
      </c>
    </row>
    <row r="105" spans="1:48" ht="15.5" x14ac:dyDescent="0.35">
      <c r="A105" s="278">
        <v>939</v>
      </c>
      <c r="B105" s="278" t="s">
        <v>2102</v>
      </c>
      <c r="C105" s="107"/>
      <c r="D105" s="341"/>
      <c r="E105" s="221"/>
      <c r="F105" s="221"/>
      <c r="G105" s="674">
        <f>SUM(G100:G104)</f>
        <v>0</v>
      </c>
      <c r="H105" s="674">
        <f>SUM(H100:H104)</f>
        <v>0</v>
      </c>
      <c r="J105" s="688" t="str">
        <f t="shared" si="48"/>
        <v/>
      </c>
      <c r="K105" s="310" t="str">
        <f t="shared" si="49"/>
        <v/>
      </c>
      <c r="L105" s="131" t="str">
        <f t="shared" si="50"/>
        <v/>
      </c>
      <c r="M105" s="86" t="str">
        <f t="shared" si="51"/>
        <v/>
      </c>
      <c r="N105" s="221"/>
      <c r="O105" s="112"/>
      <c r="P105" s="112"/>
      <c r="Q105" s="112"/>
      <c r="R105" s="112"/>
      <c r="AC105">
        <f t="shared" si="34"/>
        <v>0.4</v>
      </c>
      <c r="AD105">
        <f t="shared" si="35"/>
        <v>10000</v>
      </c>
      <c r="AE105" t="e">
        <f t="shared" si="36"/>
        <v>#N/A</v>
      </c>
      <c r="AF105" t="e">
        <f t="shared" si="26"/>
        <v>#N/A</v>
      </c>
      <c r="AG105" t="e">
        <f t="shared" si="27"/>
        <v>#N/A</v>
      </c>
      <c r="AH105" t="e">
        <f t="shared" si="28"/>
        <v>#N/A</v>
      </c>
      <c r="AI105" t="e">
        <f t="shared" si="29"/>
        <v>#N/A</v>
      </c>
      <c r="AJ105" t="e">
        <f t="shared" si="52"/>
        <v>#N/A</v>
      </c>
      <c r="AK105" t="e">
        <f t="shared" si="37"/>
        <v>#N/A</v>
      </c>
      <c r="AL105" t="str">
        <f t="shared" si="38"/>
        <v/>
      </c>
      <c r="AM105">
        <f t="shared" si="39"/>
        <v>0.4</v>
      </c>
      <c r="AN105">
        <f t="shared" si="40"/>
        <v>10000</v>
      </c>
      <c r="AO105" t="e">
        <f t="shared" si="41"/>
        <v>#N/A</v>
      </c>
      <c r="AP105" t="e">
        <f t="shared" si="42"/>
        <v>#N/A</v>
      </c>
      <c r="AQ105" t="e">
        <f t="shared" si="43"/>
        <v>#N/A</v>
      </c>
      <c r="AR105" t="e">
        <f t="shared" si="44"/>
        <v>#N/A</v>
      </c>
      <c r="AS105" t="e">
        <f t="shared" si="45"/>
        <v>#N/A</v>
      </c>
      <c r="AT105" t="e">
        <f t="shared" si="46"/>
        <v>#N/A</v>
      </c>
      <c r="AU105" t="e">
        <f t="shared" si="47"/>
        <v>#N/A</v>
      </c>
      <c r="AV105" t="str">
        <f>IF(OR(H105=0),"",IF(AND(AT105="Warning",AU105="Warning"),"Warning",""))</f>
        <v/>
      </c>
    </row>
    <row r="106" spans="1:48" ht="15.5" x14ac:dyDescent="0.35">
      <c r="A106" s="342" t="s">
        <v>2103</v>
      </c>
      <c r="B106" s="342"/>
      <c r="C106" s="222"/>
      <c r="D106" s="12"/>
      <c r="E106" s="4"/>
      <c r="F106" s="4"/>
      <c r="G106" s="4"/>
      <c r="H106" s="683" t="str">
        <f>IF(G105&lt;&gt;H56,"The above figure must equal line 697","")</f>
        <v/>
      </c>
      <c r="I106" s="683" t="str">
        <f>IF(H105&lt;&gt;H89,"The above figure must equal line 897","")</f>
        <v/>
      </c>
      <c r="J106" s="4"/>
      <c r="K106" s="4"/>
      <c r="L106" s="4"/>
      <c r="M106" s="4"/>
      <c r="N106" s="4"/>
      <c r="O106" s="112"/>
      <c r="P106" s="112"/>
      <c r="Q106" s="112"/>
      <c r="R106" s="112"/>
    </row>
    <row r="107" spans="1:48" ht="15.5" x14ac:dyDescent="0.35">
      <c r="A107" s="12"/>
      <c r="B107" s="12"/>
      <c r="C107" s="12"/>
      <c r="D107" s="12"/>
      <c r="E107" s="4"/>
      <c r="F107" s="4"/>
      <c r="G107" s="4"/>
      <c r="H107" s="66" t="str">
        <f>IF(G105=H56,"","ERROR: Line 939 col 1 must equal line 697. ")</f>
        <v/>
      </c>
      <c r="I107" s="55"/>
      <c r="J107" s="4"/>
      <c r="K107" s="4"/>
      <c r="L107" s="4"/>
      <c r="M107" s="4"/>
      <c r="N107" s="4"/>
      <c r="O107" s="112"/>
      <c r="P107" s="112"/>
      <c r="Q107" s="112"/>
      <c r="R107" s="112"/>
    </row>
    <row r="108" spans="1:48" ht="15.5" x14ac:dyDescent="0.35">
      <c r="A108" s="224"/>
      <c r="B108" s="224"/>
      <c r="C108" s="224"/>
      <c r="D108" s="12"/>
      <c r="E108" s="4"/>
      <c r="F108" s="4"/>
      <c r="G108" s="4"/>
      <c r="H108" s="55"/>
      <c r="I108" s="55"/>
      <c r="J108" s="4"/>
      <c r="K108" s="4"/>
      <c r="L108" s="4"/>
      <c r="M108" s="4"/>
      <c r="N108" s="4"/>
      <c r="O108" s="112"/>
      <c r="P108" s="112"/>
      <c r="Q108" s="112"/>
      <c r="R108" s="112"/>
    </row>
    <row r="109" spans="1:48" ht="15.5" x14ac:dyDescent="0.35">
      <c r="A109" s="12"/>
      <c r="B109" s="12"/>
      <c r="C109" s="12"/>
      <c r="D109" s="12"/>
      <c r="E109" s="4"/>
      <c r="F109" s="4"/>
      <c r="G109" s="4"/>
      <c r="H109" s="55"/>
      <c r="I109" s="55"/>
      <c r="J109" s="4"/>
      <c r="K109" s="4"/>
      <c r="L109" s="4"/>
      <c r="M109" s="4"/>
      <c r="N109" s="4"/>
      <c r="O109" s="112"/>
      <c r="P109" s="112"/>
      <c r="Q109" s="112"/>
      <c r="R109" s="112"/>
    </row>
    <row r="110" spans="1:48" ht="15.5" x14ac:dyDescent="0.35">
      <c r="A110" s="12"/>
      <c r="B110" s="12"/>
      <c r="C110" s="12"/>
      <c r="D110" s="12"/>
      <c r="E110" s="4"/>
      <c r="F110" s="4"/>
      <c r="G110" s="4"/>
      <c r="H110" s="55"/>
      <c r="I110" s="55"/>
      <c r="J110" s="4"/>
      <c r="K110" s="4"/>
      <c r="L110" s="4"/>
      <c r="M110" s="4"/>
      <c r="N110" s="4"/>
      <c r="O110" s="112"/>
      <c r="P110" s="112"/>
      <c r="Q110" s="112"/>
      <c r="R110" s="112"/>
    </row>
    <row r="111" spans="1:48" x14ac:dyDescent="0.25">
      <c r="A111" s="54"/>
      <c r="B111" s="54"/>
      <c r="C111" s="54"/>
      <c r="D111" s="54"/>
      <c r="E111" s="54"/>
      <c r="F111" s="54"/>
      <c r="G111" s="54"/>
      <c r="H111" s="54"/>
      <c r="I111" s="54"/>
      <c r="J111" s="112"/>
      <c r="K111" s="112"/>
      <c r="L111" s="112"/>
      <c r="M111" s="112"/>
      <c r="N111" s="112"/>
      <c r="O111" s="112"/>
      <c r="P111" s="112"/>
      <c r="Q111" s="112"/>
      <c r="R111" s="112"/>
    </row>
    <row r="112" spans="1:48" ht="15.5" x14ac:dyDescent="0.35">
      <c r="N112" s="99"/>
    </row>
    <row r="113" x14ac:dyDescent="0.25"/>
    <row r="114" x14ac:dyDescent="0.25"/>
    <row r="115" x14ac:dyDescent="0.25"/>
    <row r="116" x14ac:dyDescent="0.25"/>
    <row r="117" x14ac:dyDescent="0.25"/>
    <row r="118" x14ac:dyDescent="0.25"/>
    <row r="119" x14ac:dyDescent="0.25"/>
    <row r="120" x14ac:dyDescent="0.25"/>
  </sheetData>
  <sheetProtection sheet="1" objects="1" scenarios="1"/>
  <mergeCells count="6">
    <mergeCell ref="A15:P15"/>
    <mergeCell ref="A1:Q1"/>
    <mergeCell ref="A14:O14"/>
    <mergeCell ref="A9:P9"/>
    <mergeCell ref="A10:P10"/>
    <mergeCell ref="A12:P12"/>
  </mergeCells>
  <phoneticPr fontId="0" type="noConversion"/>
  <conditionalFormatting sqref="A17:B17">
    <cfRule type="containsText" dxfId="20" priority="28" operator="containsText" text="resolve">
      <formula>NOT(ISERROR(SEARCH("resolve",A17)))</formula>
    </cfRule>
  </conditionalFormatting>
  <conditionalFormatting sqref="C17">
    <cfRule type="expression" dxfId="19" priority="18">
      <formula>ISNUMBER(SEARCH(AC17,A17))</formula>
    </cfRule>
  </conditionalFormatting>
  <conditionalFormatting sqref="D17">
    <cfRule type="expression" dxfId="18" priority="17">
      <formula>ISNUMBER(SEARCH(AC17,A17))</formula>
    </cfRule>
  </conditionalFormatting>
  <conditionalFormatting sqref="E17:F17">
    <cfRule type="expression" dxfId="17" priority="160">
      <formula>ISNUMBER(SEARCH(AC17,A17))</formula>
    </cfRule>
  </conditionalFormatting>
  <conditionalFormatting sqref="G17">
    <cfRule type="expression" dxfId="16" priority="135">
      <formula>ISNUMBER(SEARCH(AD17,C17))</formula>
    </cfRule>
  </conditionalFormatting>
  <conditionalFormatting sqref="H17">
    <cfRule type="expression" dxfId="15" priority="15">
      <formula>ISNUMBER(SEARCH(AC17,A17))</formula>
    </cfRule>
  </conditionalFormatting>
  <conditionalFormatting sqref="I17">
    <cfRule type="expression" dxfId="14" priority="14">
      <formula>ISNUMBER(SEARCH(AC17,A17))</formula>
    </cfRule>
  </conditionalFormatting>
  <conditionalFormatting sqref="J17">
    <cfRule type="expression" dxfId="13" priority="13">
      <formula>ISNUMBER(SEARCH(AC17,A17))</formula>
    </cfRule>
  </conditionalFormatting>
  <conditionalFormatting sqref="K17">
    <cfRule type="expression" dxfId="12" priority="12">
      <formula>ISNUMBER(SEARCH(AC17,A17))</formula>
    </cfRule>
  </conditionalFormatting>
  <conditionalFormatting sqref="K32:K57">
    <cfRule type="containsText" dxfId="11" priority="7" operator="containsText" text="Information">
      <formula>NOT(ISERROR(SEARCH("Information",K32)))</formula>
    </cfRule>
    <cfRule type="containsText" dxfId="10" priority="8" operator="containsText" text="Warning">
      <formula>NOT(ISERROR(SEARCH("Warning",K32)))</formula>
    </cfRule>
    <cfRule type="containsText" dxfId="9" priority="9" operator="containsText" text="Error">
      <formula>NOT(ISERROR(SEARCH("Error",K32)))</formula>
    </cfRule>
  </conditionalFormatting>
  <conditionalFormatting sqref="K61:K90">
    <cfRule type="containsText" dxfId="8" priority="4" operator="containsText" text="Information">
      <formula>NOT(ISERROR(SEARCH("Information",K61)))</formula>
    </cfRule>
    <cfRule type="containsText" dxfId="7" priority="5" operator="containsText" text="Warning">
      <formula>NOT(ISERROR(SEARCH("Warning",K61)))</formula>
    </cfRule>
    <cfRule type="containsText" dxfId="6" priority="6" operator="containsText" text="Error">
      <formula>NOT(ISERROR(SEARCH("Error",K61)))</formula>
    </cfRule>
  </conditionalFormatting>
  <conditionalFormatting sqref="K100:K105">
    <cfRule type="containsText" dxfId="5" priority="1" operator="containsText" text="Information">
      <formula>NOT(ISERROR(SEARCH("Information",K100)))</formula>
    </cfRule>
    <cfRule type="containsText" dxfId="4" priority="2" operator="containsText" text="Warning">
      <formula>NOT(ISERROR(SEARCH("Warning",K100)))</formula>
    </cfRule>
    <cfRule type="containsText" dxfId="3" priority="3" operator="containsText" text="Error">
      <formula>NOT(ISERROR(SEARCH("Error",K100)))</formula>
    </cfRule>
  </conditionalFormatting>
  <conditionalFormatting sqref="L17">
    <cfRule type="expression" dxfId="2" priority="11">
      <formula>ISNUMBER(SEARCH(AC17,A17))</formula>
    </cfRule>
  </conditionalFormatting>
  <conditionalFormatting sqref="M17">
    <cfRule type="expression" dxfId="1" priority="10">
      <formula>ISNUMBER(SEARCH(AC17,A17))</formula>
    </cfRule>
  </conditionalFormatting>
  <dataValidations count="2">
    <dataValidation allowBlank="1" showInputMessage="1" showErrorMessage="1" promptTitle="Line 897" prompt="Please complete the breakdown for Internal Trading Account capital items on lines 931 to 936_x000a_" sqref="H89" xr:uid="{00000000-0002-0000-0A00-000000000000}"/>
    <dataValidation allowBlank="1" showInputMessage="1" showErrorMessage="1" promptTitle="Line 697" prompt="Please complete the breakdown for External Trading Account capital items on lines 931 to 936" sqref="H56" xr:uid="{00000000-0002-0000-0A00-000001000000}"/>
  </dataValidations>
  <hyperlinks>
    <hyperlink ref="J32" location="Memo!C560" display="Memo!C560" xr:uid="{448DE62B-C996-452A-A010-26CECED6C07B}"/>
    <hyperlink ref="J33" location="Memo!C561" display="Memo!C561" xr:uid="{311707EA-0E23-4AC9-B74B-BF10100302B8}"/>
    <hyperlink ref="J34" location="Memo!C562" display="Memo!C562" xr:uid="{75088053-8B44-462B-8F4A-69A9F9D4974F}"/>
    <hyperlink ref="J35" location="Memo!C563" display="Memo!C563" xr:uid="{04FC81A4-7E62-4AA7-9FA6-16A92171F1F1}"/>
    <hyperlink ref="J36" location="Memo!C564" display="Memo!C564" xr:uid="{317D775C-877B-4C45-BEDF-52B59BFE6F1C}"/>
    <hyperlink ref="J37" location="Memo!C565" display="Memo!C565" xr:uid="{512DDB07-3C30-42CB-BBB3-A73CA526DCC2}"/>
    <hyperlink ref="J38" location="Memo!C566" display="Memo!C566" xr:uid="{F94BE27F-9A1A-46B8-B93A-3AA63E3A5969}"/>
    <hyperlink ref="J39" location="Memo!C567" display="Memo!C567" xr:uid="{85F77ABF-47A1-4328-AE66-EE9D48022CF3}"/>
    <hyperlink ref="J40" location="Memo!C568" display="Memo!C568" xr:uid="{A7A82D00-43E4-409D-ACB9-EC1B6C98ADC8}"/>
    <hyperlink ref="J41" location="Memo!C569" display="Memo!C569" xr:uid="{BC9CF664-796E-41E4-BD62-C50C8F82F4B1}"/>
    <hyperlink ref="J42" location="Memo!C570" display="Memo!C570" xr:uid="{19240EC3-263C-40C5-8843-3A4D70094C13}"/>
    <hyperlink ref="J43" location="Memo!C571" display="Memo!C571" xr:uid="{25F1FA76-EF06-4D44-9916-4A84199886E3}"/>
    <hyperlink ref="J44" location="Memo!C572" display="Memo!C572" xr:uid="{68102BF6-73FC-4C88-A6FF-7401B9A03AEC}"/>
    <hyperlink ref="J45" location="Memo!C573" display="Memo!C573" xr:uid="{3045B56B-4040-4B6D-97CE-1E4E2C19EF8B}"/>
    <hyperlink ref="J46" location="Memo!C574" display="Memo!C574" xr:uid="{4BBC388D-9B45-40F7-961E-8FEC1064E04E}"/>
    <hyperlink ref="J47" location="Memo!C575" display="Memo!C575" xr:uid="{2ACADE08-624F-4CE8-8F35-B0AF783DA043}"/>
    <hyperlink ref="J48" location="Memo!C576" display="Memo!C576" xr:uid="{433704C1-8E40-46FE-AE1F-3B09D9579F61}"/>
    <hyperlink ref="J49" location="Memo!C577" display="Memo!C577" xr:uid="{89B40CFC-EFFE-46DE-8073-9980BCAF0060}"/>
    <hyperlink ref="J55" location="Memo!C583" display="Memo!C583" xr:uid="{DFCA2202-10D4-4F1F-BA63-B0C2390DF35E}"/>
    <hyperlink ref="J56" location="Memo!C584" display="Memo!C584" xr:uid="{64F49E1C-2512-4698-AF62-C5CAB9AF957E}"/>
    <hyperlink ref="J57" location="Memo!C585" display="Memo!C585" xr:uid="{5EC05E95-332A-48DB-9C91-C5EF0B90EA52}"/>
    <hyperlink ref="J61" location="Memo!C586" display="Memo!C586" xr:uid="{FFA10A2C-FEBF-4B18-8642-C3299033DFAC}"/>
    <hyperlink ref="J62" location="Memo!C587" display="Memo!C587" xr:uid="{C0CEDF55-B226-4DBA-AD0B-397E42AD3A13}"/>
    <hyperlink ref="J63" location="Memo!C588" display="Memo!C588" xr:uid="{80FB307C-EA3C-4AB4-B9B4-91A32DB49C8A}"/>
    <hyperlink ref="J64" location="Memo!C589" display="Memo!C589" xr:uid="{9D00BACB-EC59-4994-B244-A9EE5CB122F2}"/>
    <hyperlink ref="J65" location="Memo!C590" display="Memo!C590" xr:uid="{2BA710C0-1613-4EB9-998E-4A8BB433763D}"/>
    <hyperlink ref="J66" location="Memo!C591" display="Memo!C591" xr:uid="{C4ADB735-DB2D-4ED7-AD53-2697E45987D5}"/>
    <hyperlink ref="J67" location="Memo!C592" display="Memo!C592" xr:uid="{13EE7E91-6109-48A6-9D37-804E6503FF6C}"/>
    <hyperlink ref="J68" location="Memo!C593" display="Memo!C593" xr:uid="{4742C91A-D6BF-456E-AC91-3116A356951F}"/>
    <hyperlink ref="J69" location="Memo!C594" display="Memo!C594" xr:uid="{C791CCF6-60F9-4424-8367-54434FEA903C}"/>
    <hyperlink ref="J70" location="Memo!C595" display="Memo!C595" xr:uid="{E676C92F-2753-457B-880D-37F8626F9DEC}"/>
    <hyperlink ref="J71" location="Memo!C596" display="Memo!C596" xr:uid="{624D98F1-A6CC-4951-A2A5-82E185143805}"/>
    <hyperlink ref="J72" location="Memo!C597" display="Memo!C597" xr:uid="{4833E5CB-3812-494D-BEF4-5DC84ED0CCE2}"/>
    <hyperlink ref="J73" location="Memo!C598" display="Memo!C598" xr:uid="{0214FB48-5741-4FB4-9DD0-FA63EC87A4A4}"/>
    <hyperlink ref="J74" location="Memo!C599" display="Memo!C599" xr:uid="{B8193C49-A654-4498-864B-AED29F0B4B67}"/>
    <hyperlink ref="J75" location="Memo!C600" display="Memo!C600" xr:uid="{CB721FFF-58DC-4876-98DF-A7FBE93269AA}"/>
    <hyperlink ref="J76" location="Memo!C601" display="Memo!C601" xr:uid="{C4943BF4-34E1-44E8-A678-522C57BC749B}"/>
    <hyperlink ref="J77" location="Memo!C602" display="Memo!C602" xr:uid="{B667309F-1678-4111-B0DB-58F0D3EDC974}"/>
    <hyperlink ref="J78" location="Memo!C603" display="Memo!C603" xr:uid="{CA2119C1-A28D-4813-94D1-5571BB994033}"/>
    <hyperlink ref="J79" location="Memo!C604" display="Memo!C604" xr:uid="{1390FAB6-45EF-4BFA-AFAA-2FA7F892E648}"/>
    <hyperlink ref="J80" location="Memo!C605" display="Memo!C605" xr:uid="{8D6CDA34-A3C8-44DE-9586-78488CEF3029}"/>
    <hyperlink ref="J81" location="Memo!C606" display="Memo!C606" xr:uid="{DD30F311-510A-4B40-9EA4-31BF8B924881}"/>
    <hyperlink ref="J82" location="Memo!C607" display="Memo!C607" xr:uid="{1213CD6C-17FB-4163-B7ED-62C529763A55}"/>
    <hyperlink ref="J88" location="Memo!C613" display="Memo!C613" xr:uid="{0C275F92-3602-4563-889F-EC45236FDC78}"/>
    <hyperlink ref="J89" location="Memo!C614" display="Memo!C614" xr:uid="{5AAF4F16-60E2-449A-B6D9-F6A013375552}"/>
    <hyperlink ref="J90" location="Memo!C615" display="Memo!C615" xr:uid="{661DFC9E-D78C-4BF4-91E4-498EDFCDBB1B}"/>
    <hyperlink ref="J100" location="Memo!C616" display="Memo!C616" xr:uid="{DC1C4631-B919-454D-8837-02096AF29C9E}"/>
    <hyperlink ref="J101" location="Memo!C617" display="Memo!C617" xr:uid="{BC1E2C04-EFBF-40F7-993E-672A6798DE73}"/>
    <hyperlink ref="J102" location="Memo!C618" display="Memo!C618" xr:uid="{AFAA4CF6-94C5-4196-AEB2-A458D7887D01}"/>
    <hyperlink ref="J103" location="Memo!C619" display="Memo!C619" xr:uid="{E2AEFA45-B375-47D2-A8AF-E6465ED2098E}"/>
    <hyperlink ref="J104" location="Memo!C620" display="Memo!C620" xr:uid="{AA4D79CF-BA49-4126-AE28-FC0F0B9290A7}"/>
    <hyperlink ref="J105" location="Memo!C621" display="Memo!C621" xr:uid="{AC7C77ED-ACCE-450C-8BBE-5EA4809987AB}"/>
  </hyperlinks>
  <printOptions horizontalCentered="1"/>
  <pageMargins left="0.39370078740157483" right="0.39370078740157483" top="0.39370078740157483" bottom="0.39370078740157483" header="0.19685039370078741" footer="0.19685039370078741"/>
  <pageSetup paperSize="9" scale="55" orientation="landscape" r:id="rId1"/>
  <headerFooter alignWithMargins="0"/>
  <ignoredErrors>
    <ignoredError sqref="G26:H26 F26 G28 F28" numberStoredAsText="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6">
    <tabColor theme="8" tint="0.39997558519241921"/>
  </sheetPr>
  <dimension ref="A1:R131"/>
  <sheetViews>
    <sheetView showGridLines="0" zoomScale="80" zoomScaleNormal="80" workbookViewId="0">
      <pane ySplit="1" topLeftCell="A2" activePane="bottomLeft" state="frozen"/>
      <selection pane="bottomLeft" sqref="A1:K1"/>
    </sheetView>
  </sheetViews>
  <sheetFormatPr defaultColWidth="0" defaultRowHeight="12.5" x14ac:dyDescent="0.25"/>
  <cols>
    <col min="1" max="1" width="8.7265625" customWidth="1"/>
    <col min="2" max="2" width="78.7265625" customWidth="1"/>
    <col min="3" max="11" width="16.7265625" customWidth="1"/>
    <col min="12" max="17" width="12.54296875" customWidth="1"/>
    <col min="18" max="16384" width="12.54296875" hidden="1"/>
  </cols>
  <sheetData>
    <row r="1" spans="1:18" ht="60" customHeight="1" x14ac:dyDescent="0.25">
      <c r="A1" s="1206" t="str">
        <f>ContactDetails!A36</f>
        <v>IMPORTANT: Please DO NOT alter this spreadsheet by inserting/deleting, merging any cells, or even using cut &amp; paste, as the data from this spreadsheet are directly transferred into the DLUHC database by a macro and these could break the references in the form.</v>
      </c>
      <c r="B1" s="1206"/>
      <c r="C1" s="1207"/>
      <c r="D1" s="1207"/>
      <c r="E1" s="1207"/>
      <c r="F1" s="1207"/>
      <c r="G1" s="1207"/>
      <c r="H1" s="1207"/>
      <c r="I1" s="1207"/>
      <c r="J1" s="1207"/>
      <c r="K1" s="1207"/>
      <c r="L1" s="112"/>
      <c r="M1" s="112"/>
    </row>
    <row r="2" spans="1:18" ht="12.75" customHeight="1" x14ac:dyDescent="0.35">
      <c r="A2" s="178"/>
      <c r="B2" s="179"/>
      <c r="C2" s="4"/>
      <c r="D2" s="4"/>
      <c r="E2" s="54"/>
      <c r="F2" s="181"/>
      <c r="G2" s="112"/>
      <c r="H2" s="112"/>
      <c r="I2" s="112"/>
      <c r="J2" s="112"/>
      <c r="K2" s="112"/>
      <c r="L2" s="112"/>
      <c r="M2" s="112"/>
    </row>
    <row r="3" spans="1:18" ht="27.75" customHeight="1" x14ac:dyDescent="0.6">
      <c r="A3" s="178"/>
      <c r="B3" s="179"/>
      <c r="C3" s="4"/>
      <c r="D3" s="4"/>
      <c r="E3" s="112"/>
      <c r="F3" s="112"/>
      <c r="G3" s="112"/>
      <c r="H3" s="112"/>
      <c r="I3" s="112"/>
      <c r="J3" s="112"/>
      <c r="K3" s="165" t="str">
        <f>"SAR "&amp;fyear</f>
        <v>SAR 2022-23</v>
      </c>
      <c r="M3" s="112"/>
    </row>
    <row r="4" spans="1:18" ht="12.75" customHeight="1" x14ac:dyDescent="0.35">
      <c r="A4" s="178"/>
      <c r="B4" s="179"/>
      <c r="C4" s="4"/>
      <c r="D4" s="4"/>
      <c r="E4" s="112"/>
      <c r="F4" s="112"/>
      <c r="G4" s="112"/>
      <c r="H4" s="112"/>
      <c r="I4" s="112"/>
      <c r="J4" s="112"/>
      <c r="K4" s="112"/>
      <c r="L4" s="112"/>
      <c r="M4" s="112"/>
    </row>
    <row r="5" spans="1:18" ht="12.75" customHeight="1" x14ac:dyDescent="0.35">
      <c r="A5" s="178"/>
      <c r="B5" s="179"/>
      <c r="C5" s="4"/>
      <c r="D5" s="4"/>
      <c r="E5" s="112"/>
      <c r="F5" s="112"/>
      <c r="G5" s="112"/>
      <c r="H5" s="112"/>
      <c r="I5" s="112"/>
      <c r="J5" s="112"/>
      <c r="K5" s="112"/>
      <c r="L5" s="112"/>
      <c r="M5" s="112"/>
    </row>
    <row r="6" spans="1:18" ht="12.75" customHeight="1" x14ac:dyDescent="0.35">
      <c r="A6" s="178"/>
      <c r="B6" s="179"/>
      <c r="C6" s="4"/>
      <c r="D6" s="4"/>
      <c r="E6" s="112"/>
      <c r="F6" s="112"/>
      <c r="G6" s="112"/>
      <c r="H6" s="112"/>
      <c r="I6" s="112"/>
      <c r="J6" s="112"/>
      <c r="K6" s="112"/>
      <c r="L6" s="112"/>
      <c r="M6" s="112"/>
    </row>
    <row r="7" spans="1:18" ht="12.75" customHeight="1" x14ac:dyDescent="0.35">
      <c r="A7" s="178"/>
      <c r="B7" s="179"/>
      <c r="C7" s="4"/>
      <c r="D7" s="4"/>
      <c r="E7" s="112"/>
      <c r="F7" s="112"/>
      <c r="G7" s="112"/>
      <c r="H7" s="112"/>
      <c r="I7" s="112"/>
      <c r="J7" s="112"/>
      <c r="K7" s="112"/>
      <c r="L7" s="112"/>
      <c r="M7" s="112"/>
    </row>
    <row r="8" spans="1:18" ht="12.75" customHeight="1" x14ac:dyDescent="0.35">
      <c r="A8" s="178"/>
      <c r="B8" s="179"/>
      <c r="C8" s="4"/>
      <c r="D8" s="4"/>
      <c r="E8" s="112"/>
      <c r="F8" s="112"/>
      <c r="G8" s="112"/>
      <c r="H8" s="112"/>
      <c r="I8" s="112"/>
      <c r="J8" s="112"/>
      <c r="K8" s="112"/>
      <c r="L8" s="112"/>
      <c r="M8" s="112"/>
    </row>
    <row r="9" spans="1:18" ht="33" customHeight="1" x14ac:dyDescent="0.25">
      <c r="A9" s="1195" t="s">
        <v>1372</v>
      </c>
      <c r="B9" s="1195"/>
      <c r="C9" s="1195"/>
      <c r="D9" s="1195"/>
      <c r="E9" s="1195"/>
      <c r="F9" s="1195"/>
      <c r="G9" s="1195"/>
      <c r="H9" s="1195"/>
      <c r="I9" s="1195"/>
      <c r="J9" s="1195"/>
      <c r="K9" s="1195"/>
      <c r="L9" s="183"/>
      <c r="M9" s="183"/>
      <c r="N9" s="132"/>
      <c r="O9" s="132"/>
      <c r="P9" s="132"/>
      <c r="Q9" s="132"/>
      <c r="R9" s="132"/>
    </row>
    <row r="10" spans="1:18" ht="33" customHeight="1" x14ac:dyDescent="0.25">
      <c r="A10" s="1214" t="str">
        <f>"SAR - SUBJECTIVE ANALYSIS RETURN "&amp;fyear</f>
        <v>SAR - SUBJECTIVE ANALYSIS RETURN 2022-23</v>
      </c>
      <c r="B10" s="1214"/>
      <c r="C10" s="1214"/>
      <c r="D10" s="1214"/>
      <c r="E10" s="1214"/>
      <c r="F10" s="1214"/>
      <c r="G10" s="1214"/>
      <c r="H10" s="1214"/>
      <c r="I10" s="1214"/>
      <c r="J10" s="1214"/>
      <c r="K10" s="1214"/>
      <c r="L10" s="183"/>
      <c r="M10" s="183"/>
      <c r="N10" s="132"/>
      <c r="O10" s="132"/>
      <c r="P10" s="132"/>
      <c r="Q10" s="132"/>
      <c r="R10" s="132"/>
    </row>
    <row r="11" spans="1:18" ht="14.15" customHeight="1" x14ac:dyDescent="0.35">
      <c r="A11" s="178"/>
      <c r="B11" s="179"/>
      <c r="C11" s="4"/>
      <c r="D11" s="4"/>
      <c r="E11" s="112"/>
      <c r="F11" s="112"/>
      <c r="G11" s="112"/>
      <c r="H11" s="112"/>
      <c r="I11" s="112"/>
      <c r="J11" s="112"/>
      <c r="K11" s="112"/>
      <c r="L11" s="112"/>
      <c r="M11" s="112"/>
    </row>
    <row r="12" spans="1:18" ht="18.75" customHeight="1" x14ac:dyDescent="0.4">
      <c r="A12" s="1165" t="s">
        <v>1373</v>
      </c>
      <c r="B12" s="1165"/>
      <c r="C12" s="1165"/>
      <c r="D12" s="1165"/>
      <c r="E12" s="1165"/>
      <c r="F12" s="1165"/>
      <c r="G12" s="1165"/>
      <c r="H12" s="1165"/>
      <c r="I12" s="1165"/>
      <c r="J12" s="1165"/>
      <c r="K12" s="1165"/>
      <c r="L12" s="112"/>
      <c r="M12" s="112"/>
    </row>
    <row r="13" spans="1:18" ht="12" customHeight="1" x14ac:dyDescent="0.3">
      <c r="A13" s="54"/>
      <c r="B13" s="54"/>
      <c r="C13" s="54"/>
      <c r="D13" s="54"/>
      <c r="E13" s="54"/>
      <c r="F13" s="54"/>
      <c r="G13" s="54"/>
      <c r="H13" s="54"/>
      <c r="I13" s="54"/>
      <c r="J13" s="119"/>
      <c r="K13" s="54"/>
      <c r="L13" s="54"/>
      <c r="M13" s="54"/>
      <c r="N13" s="29"/>
    </row>
    <row r="14" spans="1:18" ht="21" customHeight="1" x14ac:dyDescent="0.25">
      <c r="A14" s="1215"/>
      <c r="B14" s="1215"/>
      <c r="C14" s="1215"/>
      <c r="D14" s="1215"/>
      <c r="E14" s="1215"/>
      <c r="F14" s="1215"/>
      <c r="G14" s="1215"/>
      <c r="H14" s="1215"/>
      <c r="I14" s="1215"/>
      <c r="J14" s="1215"/>
      <c r="K14" s="1215"/>
      <c r="L14" s="1215"/>
      <c r="M14" s="127"/>
      <c r="N14" s="504"/>
    </row>
    <row r="15" spans="1:18" ht="21" customHeight="1" x14ac:dyDescent="0.25">
      <c r="A15" s="1213" t="s">
        <v>1375</v>
      </c>
      <c r="B15" s="1213"/>
      <c r="C15" s="1213"/>
      <c r="D15" s="1213"/>
      <c r="E15" s="1213"/>
      <c r="F15" s="1213"/>
      <c r="G15" s="1213"/>
      <c r="H15" s="1213"/>
      <c r="I15" s="1213"/>
      <c r="J15" s="1213"/>
      <c r="K15" s="1213"/>
      <c r="L15" s="1213"/>
      <c r="M15" s="54"/>
      <c r="N15" s="29"/>
    </row>
    <row r="16" spans="1:18" ht="20" x14ac:dyDescent="0.35">
      <c r="A16" s="186"/>
      <c r="B16" s="187"/>
      <c r="C16" s="187"/>
      <c r="D16" s="54"/>
      <c r="E16" s="188"/>
      <c r="F16" s="54"/>
      <c r="G16" s="54"/>
      <c r="H16" s="505"/>
      <c r="I16" s="254"/>
      <c r="J16" s="119"/>
      <c r="K16" s="54"/>
      <c r="L16" s="54"/>
      <c r="M16" s="54"/>
      <c r="N16" s="29"/>
    </row>
    <row r="17" spans="1:15" ht="32.15" customHeight="1" x14ac:dyDescent="0.35">
      <c r="A17" s="252"/>
      <c r="B17" s="189"/>
      <c r="C17" s="189"/>
      <c r="D17" s="190"/>
      <c r="E17" s="190"/>
      <c r="F17" s="190"/>
      <c r="G17" s="190"/>
      <c r="H17" s="190"/>
      <c r="I17" s="190"/>
      <c r="J17" s="119"/>
      <c r="K17" s="54"/>
      <c r="L17" s="54"/>
      <c r="M17" s="54"/>
      <c r="N17" s="29"/>
    </row>
    <row r="18" spans="1:15" ht="20.149999999999999" customHeight="1" x14ac:dyDescent="0.35">
      <c r="A18" s="191" t="str">
        <f>"Please note, your authority is only required to complete and return the following forms: "&amp;VLOOKUP(LA_name,LA_list,9,0)</f>
        <v>Please note, your authority is only required to complete and return the following forms: Forms to be completed will appear here !</v>
      </c>
      <c r="B18" s="192"/>
      <c r="C18" s="192"/>
      <c r="D18" s="190"/>
      <c r="E18" s="190"/>
      <c r="F18" s="190"/>
      <c r="G18" s="190"/>
      <c r="H18" s="190"/>
      <c r="I18" s="190"/>
      <c r="J18" s="119"/>
      <c r="K18" s="54"/>
      <c r="L18" s="54"/>
      <c r="M18" s="54"/>
      <c r="N18" s="29"/>
    </row>
    <row r="19" spans="1:15" ht="12" customHeight="1" x14ac:dyDescent="0.35">
      <c r="A19" s="192"/>
      <c r="B19" s="192"/>
      <c r="C19" s="192"/>
      <c r="D19" s="190"/>
      <c r="E19" s="190"/>
      <c r="F19" s="190"/>
      <c r="G19" s="190"/>
      <c r="H19" s="190"/>
      <c r="I19" s="190"/>
      <c r="J19" s="119"/>
      <c r="K19" s="54"/>
      <c r="L19" s="54"/>
      <c r="M19" s="54"/>
      <c r="N19" s="29"/>
    </row>
    <row r="20" spans="1:15" ht="25" x14ac:dyDescent="0.5">
      <c r="A20" s="137" t="str">
        <f>RS!$A$20</f>
        <v>Please select your authority name on Title page</v>
      </c>
      <c r="B20" s="67"/>
      <c r="C20" s="112"/>
      <c r="D20" s="112"/>
      <c r="E20" s="112"/>
      <c r="F20" s="173"/>
      <c r="G20" s="173"/>
      <c r="H20" s="112"/>
      <c r="I20" s="112"/>
      <c r="J20" s="112"/>
      <c r="K20" s="112"/>
      <c r="L20" s="112"/>
      <c r="M20" s="112"/>
    </row>
    <row r="21" spans="1:15" ht="18" x14ac:dyDescent="0.4">
      <c r="A21" s="139" t="str">
        <f>ContactDetails!C25</f>
        <v>E-code</v>
      </c>
      <c r="B21" s="67"/>
      <c r="C21" s="112"/>
      <c r="D21" s="575"/>
      <c r="E21" s="112"/>
      <c r="F21" s="575"/>
      <c r="G21" s="575"/>
      <c r="H21" s="112"/>
      <c r="I21" s="112"/>
      <c r="J21" s="112"/>
      <c r="K21" s="112"/>
      <c r="L21" s="112"/>
      <c r="M21" s="112"/>
    </row>
    <row r="22" spans="1:15" ht="18" x14ac:dyDescent="0.4">
      <c r="A22" s="60"/>
      <c r="B22" s="67"/>
      <c r="C22" s="346"/>
      <c r="D22" s="575"/>
      <c r="E22" s="346"/>
      <c r="F22" s="575"/>
      <c r="G22" s="575"/>
      <c r="H22" s="112"/>
      <c r="I22" s="112"/>
      <c r="J22" s="112"/>
      <c r="K22" s="112"/>
      <c r="L22" s="112"/>
      <c r="M22" s="112"/>
    </row>
    <row r="23" spans="1:15" ht="15.5" x14ac:dyDescent="0.35">
      <c r="A23" s="193"/>
      <c r="B23" s="194"/>
      <c r="C23" s="89"/>
      <c r="D23" s="570"/>
      <c r="E23" s="346"/>
      <c r="F23" s="575"/>
      <c r="G23" s="575"/>
      <c r="H23" s="112"/>
      <c r="I23" s="112"/>
      <c r="J23" s="112"/>
      <c r="K23" s="112"/>
      <c r="L23" s="112"/>
      <c r="M23" s="112"/>
    </row>
    <row r="24" spans="1:15" ht="36.65" customHeight="1" thickBot="1" x14ac:dyDescent="0.45">
      <c r="A24" s="60"/>
      <c r="B24" s="67"/>
      <c r="C24" s="502"/>
      <c r="D24" s="576" t="s">
        <v>2104</v>
      </c>
      <c r="E24" s="347"/>
      <c r="F24" s="1226" t="s">
        <v>2105</v>
      </c>
      <c r="G24" s="1226"/>
      <c r="H24" s="1226"/>
      <c r="I24" s="577"/>
      <c r="J24" s="577"/>
      <c r="K24" s="577"/>
      <c r="L24" s="112"/>
      <c r="M24" s="112"/>
    </row>
    <row r="25" spans="1:15" ht="15.5" x14ac:dyDescent="0.35">
      <c r="A25" s="112"/>
      <c r="B25" s="68"/>
      <c r="C25" s="127"/>
      <c r="D25" s="127"/>
      <c r="E25" s="397" t="s">
        <v>2106</v>
      </c>
      <c r="F25" s="397"/>
      <c r="G25" s="397"/>
      <c r="H25" s="397"/>
      <c r="I25" s="397" t="s">
        <v>2107</v>
      </c>
      <c r="J25" s="397" t="s">
        <v>2108</v>
      </c>
      <c r="K25" s="127"/>
      <c r="L25" s="936"/>
      <c r="M25" s="936"/>
      <c r="N25" s="112"/>
      <c r="O25" s="112"/>
    </row>
    <row r="26" spans="1:15" ht="15.5" x14ac:dyDescent="0.35">
      <c r="A26" s="112"/>
      <c r="B26" s="112"/>
      <c r="C26" s="127"/>
      <c r="D26" s="127"/>
      <c r="E26" s="397" t="s">
        <v>2109</v>
      </c>
      <c r="F26" s="847" t="s">
        <v>2110</v>
      </c>
      <c r="G26" s="847" t="s">
        <v>2111</v>
      </c>
      <c r="H26" s="847"/>
      <c r="I26" s="398" t="s">
        <v>2112</v>
      </c>
      <c r="J26" s="397" t="s">
        <v>2113</v>
      </c>
      <c r="K26" s="127"/>
      <c r="L26" s="399" t="s">
        <v>2114</v>
      </c>
      <c r="M26" s="397" t="s">
        <v>2115</v>
      </c>
      <c r="N26" s="112"/>
      <c r="O26" s="112"/>
    </row>
    <row r="27" spans="1:15" ht="15.5" x14ac:dyDescent="0.35">
      <c r="A27" s="112"/>
      <c r="B27" s="112"/>
      <c r="C27" s="399" t="s">
        <v>2116</v>
      </c>
      <c r="D27" s="397" t="s">
        <v>2117</v>
      </c>
      <c r="E27" s="98" t="s">
        <v>2118</v>
      </c>
      <c r="F27" s="848" t="s">
        <v>2119</v>
      </c>
      <c r="G27" s="848" t="s">
        <v>2119</v>
      </c>
      <c r="H27" s="848" t="s">
        <v>2120</v>
      </c>
      <c r="I27" s="400" t="s">
        <v>2121</v>
      </c>
      <c r="J27" s="397" t="s">
        <v>2122</v>
      </c>
      <c r="K27" s="397" t="s">
        <v>2123</v>
      </c>
      <c r="L27" s="399" t="s">
        <v>2124</v>
      </c>
      <c r="M27" s="397" t="s">
        <v>2125</v>
      </c>
      <c r="N27" s="112"/>
      <c r="O27" s="112"/>
    </row>
    <row r="28" spans="1:15" ht="15.5" x14ac:dyDescent="0.35">
      <c r="A28" s="259"/>
      <c r="B28" s="54"/>
      <c r="C28" s="397" t="s">
        <v>2126</v>
      </c>
      <c r="D28" s="397" t="s">
        <v>2112</v>
      </c>
      <c r="E28" s="98" t="s">
        <v>2112</v>
      </c>
      <c r="F28" s="847" t="s">
        <v>2127</v>
      </c>
      <c r="G28" s="847" t="s">
        <v>2127</v>
      </c>
      <c r="H28" s="847" t="s">
        <v>2128</v>
      </c>
      <c r="I28" s="401" t="s">
        <v>2129</v>
      </c>
      <c r="J28" s="98" t="s">
        <v>2112</v>
      </c>
      <c r="K28" s="397" t="s">
        <v>2112</v>
      </c>
      <c r="L28" s="397" t="s">
        <v>2112</v>
      </c>
      <c r="M28" s="397" t="s">
        <v>2112</v>
      </c>
      <c r="N28" s="112"/>
      <c r="O28" s="112"/>
    </row>
    <row r="29" spans="1:15" ht="15.5" x14ac:dyDescent="0.35">
      <c r="A29" s="193"/>
      <c r="B29" s="4"/>
      <c r="C29" s="61"/>
      <c r="D29" s="61"/>
      <c r="E29" s="61"/>
      <c r="F29" s="849"/>
      <c r="G29" s="849"/>
      <c r="H29" s="849"/>
      <c r="I29" s="61"/>
      <c r="J29" s="61"/>
      <c r="K29" s="61"/>
      <c r="L29" s="61"/>
      <c r="M29" s="61"/>
      <c r="N29" s="112"/>
      <c r="O29" s="112"/>
    </row>
    <row r="30" spans="1:15" ht="15.5" x14ac:dyDescent="0.35">
      <c r="A30" s="193"/>
      <c r="B30" s="4"/>
      <c r="C30" s="574" t="s">
        <v>1378</v>
      </c>
      <c r="D30" s="574" t="s">
        <v>1378</v>
      </c>
      <c r="E30" s="574" t="s">
        <v>1378</v>
      </c>
      <c r="F30" s="850" t="s">
        <v>1378</v>
      </c>
      <c r="G30" s="850" t="s">
        <v>1378</v>
      </c>
      <c r="H30" s="850" t="s">
        <v>1378</v>
      </c>
      <c r="I30" s="574" t="s">
        <v>1378</v>
      </c>
      <c r="J30" s="574" t="s">
        <v>1378</v>
      </c>
      <c r="K30" s="574" t="s">
        <v>1378</v>
      </c>
      <c r="L30" s="574" t="s">
        <v>1378</v>
      </c>
      <c r="M30" s="574" t="s">
        <v>1378</v>
      </c>
      <c r="N30" s="112"/>
      <c r="O30" s="112"/>
    </row>
    <row r="31" spans="1:15" ht="13" x14ac:dyDescent="0.3">
      <c r="A31" s="112"/>
      <c r="B31" s="112"/>
      <c r="C31" s="348" t="s">
        <v>2130</v>
      </c>
      <c r="D31" s="337" t="s">
        <v>1607</v>
      </c>
      <c r="E31" s="337" t="s">
        <v>2131</v>
      </c>
      <c r="F31" s="851" t="s">
        <v>2132</v>
      </c>
      <c r="G31" s="851" t="s">
        <v>2133</v>
      </c>
      <c r="H31" s="851" t="s">
        <v>2134</v>
      </c>
      <c r="I31" s="337" t="s">
        <v>1610</v>
      </c>
      <c r="J31" s="337" t="s">
        <v>2135</v>
      </c>
      <c r="K31" s="337" t="s">
        <v>2136</v>
      </c>
      <c r="L31" s="337" t="s">
        <v>2137</v>
      </c>
      <c r="M31" s="337" t="s">
        <v>2138</v>
      </c>
      <c r="N31" s="112"/>
      <c r="O31" s="112"/>
    </row>
    <row r="32" spans="1:15" ht="13" x14ac:dyDescent="0.3">
      <c r="A32" s="112"/>
      <c r="B32" s="112"/>
      <c r="C32" s="68"/>
      <c r="D32" s="68"/>
      <c r="E32" s="68"/>
      <c r="F32" s="68"/>
      <c r="G32" s="68"/>
      <c r="H32" s="68"/>
      <c r="I32" s="68"/>
      <c r="J32" s="68"/>
      <c r="K32" s="68"/>
      <c r="L32" s="127"/>
      <c r="M32" s="127"/>
      <c r="N32" s="112"/>
      <c r="O32" s="112"/>
    </row>
    <row r="33" spans="1:15" ht="18" x14ac:dyDescent="0.4">
      <c r="A33" s="196" t="s">
        <v>2139</v>
      </c>
      <c r="B33" s="112"/>
      <c r="C33" s="68"/>
      <c r="D33" s="68"/>
      <c r="E33" s="68"/>
      <c r="F33" s="68"/>
      <c r="G33" s="68"/>
      <c r="H33" s="68"/>
      <c r="I33" s="68"/>
      <c r="J33" s="68"/>
      <c r="K33" s="68"/>
      <c r="L33" s="112"/>
      <c r="M33" s="112"/>
      <c r="N33" s="112"/>
      <c r="O33" s="112"/>
    </row>
    <row r="34" spans="1:15" ht="15.5" x14ac:dyDescent="0.35">
      <c r="A34" s="127"/>
      <c r="B34" s="55"/>
      <c r="C34" s="31"/>
      <c r="D34" s="106"/>
      <c r="E34" s="31"/>
      <c r="F34" s="31"/>
      <c r="G34" s="31"/>
      <c r="H34" s="31"/>
      <c r="I34" s="106"/>
      <c r="J34" s="106"/>
      <c r="K34" s="31"/>
      <c r="L34" s="106"/>
      <c r="M34" s="112"/>
      <c r="N34" s="112"/>
      <c r="O34" s="112"/>
    </row>
    <row r="35" spans="1:15" ht="15.5" x14ac:dyDescent="0.35">
      <c r="A35" s="573" t="s">
        <v>2140</v>
      </c>
      <c r="B35" s="4"/>
      <c r="C35" s="112"/>
      <c r="D35" s="112"/>
      <c r="E35" s="112"/>
      <c r="F35" s="112"/>
      <c r="G35" s="112"/>
      <c r="H35" s="112"/>
      <c r="I35" s="112"/>
      <c r="J35" s="112"/>
      <c r="K35" s="112"/>
      <c r="L35" s="112"/>
      <c r="M35" s="112"/>
      <c r="N35" s="112"/>
      <c r="O35" s="112"/>
    </row>
    <row r="36" spans="1:15" ht="15.5" x14ac:dyDescent="0.35">
      <c r="A36" s="303" t="s">
        <v>2141</v>
      </c>
      <c r="B36" s="4"/>
      <c r="C36" s="675">
        <f>SUM(D36:M36)</f>
        <v>0</v>
      </c>
      <c r="D36" s="668"/>
      <c r="E36" s="668"/>
      <c r="F36" s="668"/>
      <c r="G36" s="668"/>
      <c r="H36" s="668"/>
      <c r="I36" s="668"/>
      <c r="J36" s="668"/>
      <c r="K36" s="668"/>
      <c r="L36" s="668"/>
      <c r="M36" s="668"/>
      <c r="N36" s="112"/>
      <c r="O36" s="112"/>
    </row>
    <row r="37" spans="1:15" ht="15.5" x14ac:dyDescent="0.35">
      <c r="A37" s="303" t="s">
        <v>2142</v>
      </c>
      <c r="B37" s="349"/>
      <c r="C37" s="675">
        <f>SUM(D37:M37)</f>
        <v>0</v>
      </c>
      <c r="D37" s="668"/>
      <c r="E37" s="668"/>
      <c r="F37" s="668"/>
      <c r="G37" s="668"/>
      <c r="H37" s="668"/>
      <c r="I37" s="668"/>
      <c r="J37" s="668"/>
      <c r="K37" s="668"/>
      <c r="L37" s="668"/>
      <c r="M37" s="668"/>
      <c r="N37" s="112"/>
      <c r="O37" s="112"/>
    </row>
    <row r="38" spans="1:15" ht="15.5" x14ac:dyDescent="0.35">
      <c r="A38" s="303" t="s">
        <v>2143</v>
      </c>
      <c r="B38" s="349"/>
      <c r="C38" s="675">
        <f>SUM(D38:M38)</f>
        <v>0</v>
      </c>
      <c r="D38" s="668"/>
      <c r="E38" s="668"/>
      <c r="F38" s="668"/>
      <c r="G38" s="668"/>
      <c r="H38" s="668"/>
      <c r="I38" s="668"/>
      <c r="J38" s="668"/>
      <c r="K38" s="668"/>
      <c r="L38" s="668"/>
      <c r="M38" s="668"/>
      <c r="N38" s="112"/>
      <c r="O38" s="112"/>
    </row>
    <row r="39" spans="1:15" ht="15.5" x14ac:dyDescent="0.35">
      <c r="A39" s="303" t="s">
        <v>2144</v>
      </c>
      <c r="B39" s="349"/>
      <c r="C39" s="675">
        <f>SUM(D39:M39)</f>
        <v>0</v>
      </c>
      <c r="D39" s="668"/>
      <c r="E39" s="668"/>
      <c r="F39" s="668"/>
      <c r="G39" s="668"/>
      <c r="H39" s="668"/>
      <c r="I39" s="668"/>
      <c r="J39" s="668"/>
      <c r="K39" s="668"/>
      <c r="L39" s="668"/>
      <c r="M39" s="668"/>
      <c r="N39" s="112"/>
      <c r="O39" s="112"/>
    </row>
    <row r="40" spans="1:15" ht="15.5" x14ac:dyDescent="0.35">
      <c r="A40" s="566" t="s">
        <v>2145</v>
      </c>
      <c r="B40" s="578"/>
      <c r="C40" s="669">
        <f>SUM(C36:C39)</f>
        <v>0</v>
      </c>
      <c r="D40" s="669">
        <f t="shared" ref="D40:K40" si="0">SUM(D36:D39)</f>
        <v>0</v>
      </c>
      <c r="E40" s="669">
        <f t="shared" si="0"/>
        <v>0</v>
      </c>
      <c r="F40" s="669">
        <f t="shared" si="0"/>
        <v>0</v>
      </c>
      <c r="G40" s="669">
        <f t="shared" si="0"/>
        <v>0</v>
      </c>
      <c r="H40" s="669">
        <f t="shared" si="0"/>
        <v>0</v>
      </c>
      <c r="I40" s="669">
        <f t="shared" si="0"/>
        <v>0</v>
      </c>
      <c r="J40" s="669">
        <f t="shared" si="0"/>
        <v>0</v>
      </c>
      <c r="K40" s="669">
        <f t="shared" si="0"/>
        <v>0</v>
      </c>
      <c r="L40" s="669">
        <f>SUM(L36:L39)</f>
        <v>0</v>
      </c>
      <c r="M40" s="669">
        <f>SUM(M36:M39)</f>
        <v>0</v>
      </c>
      <c r="N40" s="112"/>
      <c r="O40" s="112"/>
    </row>
    <row r="41" spans="1:15" ht="15.5" x14ac:dyDescent="0.35">
      <c r="A41" s="188"/>
      <c r="B41" s="350"/>
      <c r="C41" s="31"/>
      <c r="D41" s="45"/>
      <c r="E41" s="31"/>
      <c r="F41" s="31"/>
      <c r="G41" s="31"/>
      <c r="H41" s="31"/>
      <c r="I41" s="45"/>
      <c r="J41" s="45"/>
      <c r="K41" s="31"/>
      <c r="L41" s="45"/>
      <c r="M41" s="4"/>
      <c r="N41" s="112"/>
      <c r="O41" s="112"/>
    </row>
    <row r="42" spans="1:15" ht="15.5" x14ac:dyDescent="0.35">
      <c r="A42" s="573" t="s">
        <v>2146</v>
      </c>
      <c r="B42" s="4"/>
      <c r="C42" s="31"/>
      <c r="D42" s="45"/>
      <c r="E42" s="31"/>
      <c r="F42" s="31"/>
      <c r="G42" s="31"/>
      <c r="H42" s="31"/>
      <c r="I42" s="45"/>
      <c r="J42" s="45"/>
      <c r="K42" s="31"/>
      <c r="L42" s="45"/>
      <c r="M42" s="4"/>
      <c r="N42" s="112"/>
      <c r="O42" s="112"/>
    </row>
    <row r="43" spans="1:15" ht="15.5" x14ac:dyDescent="0.35">
      <c r="A43" s="303" t="s">
        <v>2147</v>
      </c>
      <c r="B43" s="349"/>
      <c r="C43" s="675">
        <f>SUM(D43:M43)</f>
        <v>0</v>
      </c>
      <c r="D43" s="668"/>
      <c r="E43" s="668"/>
      <c r="F43" s="668"/>
      <c r="G43" s="668"/>
      <c r="H43" s="668"/>
      <c r="I43" s="668"/>
      <c r="J43" s="668"/>
      <c r="K43" s="668"/>
      <c r="L43" s="668"/>
      <c r="M43" s="668"/>
      <c r="N43" s="112"/>
      <c r="O43" s="112"/>
    </row>
    <row r="44" spans="1:15" ht="15.5" x14ac:dyDescent="0.35">
      <c r="A44" s="303" t="s">
        <v>2148</v>
      </c>
      <c r="B44" s="349"/>
      <c r="C44" s="675">
        <f>SUM(D44:M44)</f>
        <v>0</v>
      </c>
      <c r="D44" s="668"/>
      <c r="E44" s="668"/>
      <c r="F44" s="668"/>
      <c r="G44" s="668"/>
      <c r="H44" s="668"/>
      <c r="I44" s="668"/>
      <c r="J44" s="668"/>
      <c r="K44" s="668"/>
      <c r="L44" s="668"/>
      <c r="M44" s="668"/>
      <c r="N44" s="112"/>
      <c r="O44" s="112"/>
    </row>
    <row r="45" spans="1:15" ht="15.5" x14ac:dyDescent="0.35">
      <c r="A45" s="303" t="s">
        <v>2149</v>
      </c>
      <c r="B45" s="349"/>
      <c r="C45" s="675">
        <f>SUM(D45:M45)</f>
        <v>0</v>
      </c>
      <c r="D45" s="668"/>
      <c r="E45" s="668"/>
      <c r="F45" s="668"/>
      <c r="G45" s="668"/>
      <c r="H45" s="668"/>
      <c r="I45" s="668"/>
      <c r="J45" s="668"/>
      <c r="K45" s="668"/>
      <c r="L45" s="668"/>
      <c r="M45" s="668"/>
      <c r="N45" s="112"/>
      <c r="O45" s="112"/>
    </row>
    <row r="46" spans="1:15" ht="15.5" x14ac:dyDescent="0.35">
      <c r="A46" s="303" t="s">
        <v>2150</v>
      </c>
      <c r="B46" s="349"/>
      <c r="C46" s="675">
        <f>SUM(D46:M46)</f>
        <v>0</v>
      </c>
      <c r="D46" s="668"/>
      <c r="E46" s="668"/>
      <c r="F46" s="668"/>
      <c r="G46" s="668"/>
      <c r="H46" s="668"/>
      <c r="I46" s="668"/>
      <c r="J46" s="668"/>
      <c r="K46" s="668"/>
      <c r="L46" s="668"/>
      <c r="M46" s="668"/>
      <c r="N46" s="112"/>
      <c r="O46" s="112"/>
    </row>
    <row r="47" spans="1:15" ht="15.5" x14ac:dyDescent="0.35">
      <c r="A47" s="566" t="s">
        <v>2151</v>
      </c>
      <c r="B47" s="350"/>
      <c r="C47" s="669">
        <f>SUM(C43:C46)</f>
        <v>0</v>
      </c>
      <c r="D47" s="669">
        <f t="shared" ref="D47:K47" si="1">SUM(D43:D46)</f>
        <v>0</v>
      </c>
      <c r="E47" s="669">
        <f t="shared" si="1"/>
        <v>0</v>
      </c>
      <c r="F47" s="669">
        <f t="shared" si="1"/>
        <v>0</v>
      </c>
      <c r="G47" s="669">
        <f t="shared" si="1"/>
        <v>0</v>
      </c>
      <c r="H47" s="669">
        <f t="shared" si="1"/>
        <v>0</v>
      </c>
      <c r="I47" s="669">
        <f t="shared" si="1"/>
        <v>0</v>
      </c>
      <c r="J47" s="669">
        <f t="shared" si="1"/>
        <v>0</v>
      </c>
      <c r="K47" s="669">
        <f t="shared" si="1"/>
        <v>0</v>
      </c>
      <c r="L47" s="669">
        <f>SUM(L43:L46)</f>
        <v>0</v>
      </c>
      <c r="M47" s="669">
        <f>SUM(M43:M46)</f>
        <v>0</v>
      </c>
      <c r="N47" s="112"/>
      <c r="O47" s="112"/>
    </row>
    <row r="48" spans="1:15" ht="15.5" x14ac:dyDescent="0.35">
      <c r="A48" s="10"/>
      <c r="B48" s="61"/>
      <c r="C48" s="31"/>
      <c r="D48" s="45"/>
      <c r="E48" s="31"/>
      <c r="F48" s="31"/>
      <c r="G48" s="31"/>
      <c r="H48" s="31"/>
      <c r="I48" s="45"/>
      <c r="J48" s="45"/>
      <c r="K48" s="31"/>
      <c r="L48" s="45"/>
      <c r="M48" s="112"/>
      <c r="N48" s="112"/>
      <c r="O48" s="112"/>
    </row>
    <row r="49" spans="1:15" ht="15.5" x14ac:dyDescent="0.35">
      <c r="A49" s="573" t="s">
        <v>2152</v>
      </c>
      <c r="B49" s="4"/>
      <c r="C49" s="31"/>
      <c r="D49" s="45"/>
      <c r="E49" s="31"/>
      <c r="F49" s="31"/>
      <c r="G49" s="31"/>
      <c r="H49" s="31"/>
      <c r="I49" s="45"/>
      <c r="J49" s="45"/>
      <c r="K49" s="31"/>
      <c r="L49" s="45"/>
      <c r="M49" s="112"/>
      <c r="N49" s="112"/>
      <c r="O49" s="112"/>
    </row>
    <row r="50" spans="1:15" ht="15.5" x14ac:dyDescent="0.35">
      <c r="A50" s="303" t="s">
        <v>2153</v>
      </c>
      <c r="B50" s="349"/>
      <c r="C50" s="675">
        <f>SUM(D50:M50)</f>
        <v>0</v>
      </c>
      <c r="D50" s="668"/>
      <c r="E50" s="668"/>
      <c r="F50" s="668"/>
      <c r="G50" s="668"/>
      <c r="H50" s="668"/>
      <c r="I50" s="668"/>
      <c r="J50" s="668"/>
      <c r="K50" s="668"/>
      <c r="L50" s="668"/>
      <c r="M50" s="668"/>
      <c r="N50" s="112"/>
      <c r="O50" s="112"/>
    </row>
    <row r="51" spans="1:15" ht="15.5" x14ac:dyDescent="0.35">
      <c r="A51" s="303" t="s">
        <v>2154</v>
      </c>
      <c r="B51" s="349"/>
      <c r="C51" s="675">
        <f>SUM(D51:M51)</f>
        <v>0</v>
      </c>
      <c r="D51" s="668"/>
      <c r="E51" s="668"/>
      <c r="F51" s="668"/>
      <c r="G51" s="668"/>
      <c r="H51" s="668"/>
      <c r="I51" s="668"/>
      <c r="J51" s="668"/>
      <c r="K51" s="668"/>
      <c r="L51" s="668"/>
      <c r="M51" s="668"/>
      <c r="N51" s="112"/>
      <c r="O51" s="112"/>
    </row>
    <row r="52" spans="1:15" ht="15.5" x14ac:dyDescent="0.35">
      <c r="A52" s="303" t="s">
        <v>2155</v>
      </c>
      <c r="B52" s="349"/>
      <c r="C52" s="675">
        <f>SUM(D52:M52)</f>
        <v>0</v>
      </c>
      <c r="D52" s="668"/>
      <c r="E52" s="668"/>
      <c r="F52" s="668"/>
      <c r="G52" s="668"/>
      <c r="H52" s="668"/>
      <c r="I52" s="668"/>
      <c r="J52" s="668"/>
      <c r="K52" s="668"/>
      <c r="L52" s="668"/>
      <c r="M52" s="668"/>
      <c r="N52" s="112"/>
      <c r="O52" s="112"/>
    </row>
    <row r="53" spans="1:15" ht="15.5" x14ac:dyDescent="0.35">
      <c r="A53" s="303" t="s">
        <v>2156</v>
      </c>
      <c r="B53" s="349"/>
      <c r="C53" s="675">
        <f>SUM(D53:M53)</f>
        <v>0</v>
      </c>
      <c r="D53" s="668"/>
      <c r="E53" s="668"/>
      <c r="F53" s="668"/>
      <c r="G53" s="668"/>
      <c r="H53" s="668"/>
      <c r="I53" s="668"/>
      <c r="J53" s="668"/>
      <c r="K53" s="668"/>
      <c r="L53" s="668"/>
      <c r="M53" s="668"/>
      <c r="N53" s="112"/>
      <c r="O53" s="112"/>
    </row>
    <row r="54" spans="1:15" ht="15.5" x14ac:dyDescent="0.35">
      <c r="A54" s="106" t="s">
        <v>2157</v>
      </c>
      <c r="B54" s="350"/>
      <c r="C54" s="669">
        <f>SUM(C50:C53)</f>
        <v>0</v>
      </c>
      <c r="D54" s="669">
        <f t="shared" ref="D54:K54" si="2">SUM(D50:D53)</f>
        <v>0</v>
      </c>
      <c r="E54" s="669">
        <f t="shared" si="2"/>
        <v>0</v>
      </c>
      <c r="F54" s="669">
        <f t="shared" si="2"/>
        <v>0</v>
      </c>
      <c r="G54" s="669">
        <f t="shared" si="2"/>
        <v>0</v>
      </c>
      <c r="H54" s="669">
        <f t="shared" si="2"/>
        <v>0</v>
      </c>
      <c r="I54" s="669">
        <f t="shared" si="2"/>
        <v>0</v>
      </c>
      <c r="J54" s="669">
        <f t="shared" si="2"/>
        <v>0</v>
      </c>
      <c r="K54" s="669">
        <f t="shared" si="2"/>
        <v>0</v>
      </c>
      <c r="L54" s="669">
        <f>SUM(L50:L53)</f>
        <v>0</v>
      </c>
      <c r="M54" s="669">
        <f>SUM(M50:M53)</f>
        <v>0</v>
      </c>
      <c r="N54" s="112"/>
      <c r="O54" s="112"/>
    </row>
    <row r="55" spans="1:15" ht="15.5" x14ac:dyDescent="0.35">
      <c r="A55" s="11"/>
      <c r="B55" s="4"/>
      <c r="C55" s="31"/>
      <c r="D55" s="45"/>
      <c r="E55" s="31"/>
      <c r="F55" s="31"/>
      <c r="G55" s="31"/>
      <c r="H55" s="31"/>
      <c r="I55" s="45"/>
      <c r="J55" s="45"/>
      <c r="K55" s="31"/>
      <c r="L55" s="45"/>
      <c r="M55" s="4"/>
      <c r="N55" s="112"/>
      <c r="O55" s="112"/>
    </row>
    <row r="56" spans="1:15" ht="15.5" x14ac:dyDescent="0.35">
      <c r="A56" s="303" t="s">
        <v>2158</v>
      </c>
      <c r="B56" s="351"/>
      <c r="C56" s="675">
        <f>SUM(D56:M56)</f>
        <v>0</v>
      </c>
      <c r="D56" s="668"/>
      <c r="E56" s="668"/>
      <c r="F56" s="668"/>
      <c r="G56" s="668"/>
      <c r="H56" s="668"/>
      <c r="I56" s="668"/>
      <c r="J56" s="668"/>
      <c r="K56" s="668"/>
      <c r="L56" s="668"/>
      <c r="M56" s="668"/>
      <c r="N56" s="112"/>
      <c r="O56" s="112"/>
    </row>
    <row r="57" spans="1:15" ht="15.5" x14ac:dyDescent="0.35">
      <c r="A57" s="11"/>
      <c r="B57" s="4"/>
      <c r="C57" s="31"/>
      <c r="D57" s="45"/>
      <c r="E57" s="31"/>
      <c r="F57" s="31"/>
      <c r="G57" s="31"/>
      <c r="H57" s="31"/>
      <c r="I57" s="45"/>
      <c r="J57" s="45"/>
      <c r="K57" s="31"/>
      <c r="L57" s="45"/>
      <c r="M57" s="112"/>
      <c r="N57" s="112"/>
      <c r="O57" s="112"/>
    </row>
    <row r="58" spans="1:15" ht="18" x14ac:dyDescent="0.4">
      <c r="A58" s="34" t="s">
        <v>2159</v>
      </c>
      <c r="B58" s="352"/>
      <c r="C58" s="676">
        <f>SUM(C40,C47,C54,C56:C56)</f>
        <v>0</v>
      </c>
      <c r="D58" s="676">
        <f t="shared" ref="D58:K58" si="3">SUM(D40,D47,D54,D56:D56)</f>
        <v>0</v>
      </c>
      <c r="E58" s="676">
        <f t="shared" si="3"/>
        <v>0</v>
      </c>
      <c r="F58" s="676">
        <f t="shared" si="3"/>
        <v>0</v>
      </c>
      <c r="G58" s="676">
        <f t="shared" si="3"/>
        <v>0</v>
      </c>
      <c r="H58" s="676">
        <f t="shared" si="3"/>
        <v>0</v>
      </c>
      <c r="I58" s="676">
        <f t="shared" si="3"/>
        <v>0</v>
      </c>
      <c r="J58" s="676">
        <f t="shared" si="3"/>
        <v>0</v>
      </c>
      <c r="K58" s="676">
        <f t="shared" si="3"/>
        <v>0</v>
      </c>
      <c r="L58" s="676">
        <f>SUM(L40,L47,L54,L56:L56)</f>
        <v>0</v>
      </c>
      <c r="M58" s="676">
        <f>SUM(M40,M47,M54,M56:M56)</f>
        <v>0</v>
      </c>
      <c r="N58" s="112"/>
      <c r="O58" s="112"/>
    </row>
    <row r="59" spans="1:15" ht="18" x14ac:dyDescent="0.4">
      <c r="A59" s="196"/>
      <c r="B59" s="480" t="s">
        <v>2160</v>
      </c>
      <c r="C59" s="426"/>
      <c r="D59" s="426" t="str">
        <f>IF(ABS('RO1'!$D$40-D58)&lt;2,"",'RO1'!$D$40)</f>
        <v/>
      </c>
      <c r="E59" s="426" t="str">
        <f>IF(ABS('RO2'!$D$64-E58)&lt;2,"",'RO2'!$D$64)</f>
        <v/>
      </c>
      <c r="F59" s="426" t="str">
        <f>IF(ABS('RO3'!$D$44-F58)&lt;2,"",'RO3'!$D$44)</f>
        <v/>
      </c>
      <c r="G59" s="426" t="str">
        <f>IF(ABS('RO3'!$D$83-G58)&lt;2,"",'RO3'!$D$83)</f>
        <v/>
      </c>
      <c r="H59" s="426" t="str">
        <f>IF(ABS('RO3'!$D$117-H58)&lt;2,"",'RO3'!$D$117)</f>
        <v/>
      </c>
      <c r="I59" s="426" t="str">
        <f>IF(ABS('RO4'!$D$64-I58)&lt;2,"",'RO4'!$D$64)</f>
        <v/>
      </c>
      <c r="J59" s="426" t="str">
        <f>IF(ABS('RO5'!$D$130-J58)&lt;2,"",'RO5'!$D$130)</f>
        <v/>
      </c>
      <c r="K59" s="426" t="str">
        <f>IF(ABS('RO6'!$D$32-K58)&lt;2,"",'RO6'!$D$32)</f>
        <v/>
      </c>
      <c r="L59" s="426" t="str">
        <f>IF(ABS('RO6'!$D$42-L58)&lt;2,"",'RO6'!$D$42)</f>
        <v/>
      </c>
      <c r="M59" s="426" t="str">
        <f>IF(ABS(SUM('RO6'!$D$86,'RO6'!$D$100)-M58)&lt;2,"",SUM('RO6'!$D$86,'RO6'!$D$100))</f>
        <v/>
      </c>
      <c r="N59" s="112"/>
      <c r="O59" s="112"/>
    </row>
    <row r="60" spans="1:15" ht="84" customHeight="1" x14ac:dyDescent="0.4">
      <c r="A60" s="594"/>
      <c r="B60" s="352"/>
      <c r="C60" s="36"/>
      <c r="D60" s="579"/>
      <c r="E60" s="1227" t="s">
        <v>2161</v>
      </c>
      <c r="F60" s="1227"/>
      <c r="G60" s="62"/>
      <c r="H60" s="62"/>
      <c r="I60" s="62"/>
      <c r="J60" s="62"/>
      <c r="K60" s="62"/>
      <c r="L60" s="112"/>
      <c r="M60" s="112"/>
    </row>
    <row r="61" spans="1:15" ht="18" x14ac:dyDescent="0.4">
      <c r="A61" s="369" t="s">
        <v>2162</v>
      </c>
      <c r="B61" s="370"/>
      <c r="C61" s="402" t="s">
        <v>2116</v>
      </c>
      <c r="D61" s="371"/>
      <c r="E61" s="852" t="s">
        <v>2110</v>
      </c>
      <c r="F61" s="852" t="s">
        <v>2111</v>
      </c>
      <c r="G61" s="403" t="s">
        <v>2123</v>
      </c>
      <c r="H61" s="403" t="s">
        <v>2163</v>
      </c>
      <c r="I61" s="62"/>
      <c r="J61" s="62"/>
      <c r="K61" s="62"/>
      <c r="L61" s="62"/>
      <c r="M61" s="112"/>
      <c r="N61" s="112"/>
    </row>
    <row r="62" spans="1:15" ht="18" x14ac:dyDescent="0.4">
      <c r="A62" s="372"/>
      <c r="B62" s="370"/>
      <c r="C62" s="403" t="s">
        <v>2126</v>
      </c>
      <c r="D62" s="371"/>
      <c r="E62" s="853" t="s">
        <v>2164</v>
      </c>
      <c r="F62" s="853" t="s">
        <v>2164</v>
      </c>
      <c r="G62" s="403" t="s">
        <v>2112</v>
      </c>
      <c r="H62" s="403" t="s">
        <v>2112</v>
      </c>
      <c r="I62" s="112"/>
      <c r="J62" s="112"/>
      <c r="K62" s="112"/>
      <c r="L62" s="112"/>
      <c r="M62" s="112"/>
      <c r="N62" s="112"/>
    </row>
    <row r="63" spans="1:15" ht="15.5" x14ac:dyDescent="0.35">
      <c r="A63" s="373"/>
      <c r="B63" s="374"/>
      <c r="C63" s="375"/>
      <c r="D63" s="376"/>
      <c r="E63" s="854"/>
      <c r="F63" s="854"/>
      <c r="G63" s="375"/>
      <c r="H63" s="375"/>
      <c r="I63" s="112"/>
      <c r="J63" s="112"/>
      <c r="K63" s="112"/>
      <c r="L63" s="112"/>
      <c r="M63" s="112"/>
      <c r="N63" s="112"/>
    </row>
    <row r="64" spans="1:15" ht="15.5" x14ac:dyDescent="0.35">
      <c r="A64" s="377"/>
      <c r="B64" s="374"/>
      <c r="C64" s="378" t="s">
        <v>1378</v>
      </c>
      <c r="D64" s="376"/>
      <c r="E64" s="855" t="s">
        <v>1378</v>
      </c>
      <c r="F64" s="855" t="s">
        <v>1378</v>
      </c>
      <c r="G64" s="378" t="s">
        <v>1378</v>
      </c>
      <c r="H64" s="378" t="s">
        <v>1378</v>
      </c>
    </row>
    <row r="65" spans="1:8" ht="15.5" x14ac:dyDescent="0.35">
      <c r="A65" s="377" t="s">
        <v>2165</v>
      </c>
      <c r="B65" s="374"/>
      <c r="D65" s="376"/>
      <c r="E65" s="379"/>
      <c r="F65" s="379"/>
      <c r="G65" s="376"/>
      <c r="H65" s="376"/>
    </row>
    <row r="66" spans="1:8" ht="15.5" x14ac:dyDescent="0.35">
      <c r="A66" s="380" t="s">
        <v>2166</v>
      </c>
      <c r="B66" s="381"/>
      <c r="C66" s="677"/>
      <c r="D66" s="376"/>
      <c r="E66" s="677"/>
      <c r="F66" s="677"/>
      <c r="G66" s="677"/>
      <c r="H66" s="857">
        <f t="shared" ref="H66:H75" si="4">C66-SUM(E66:G66)</f>
        <v>0</v>
      </c>
    </row>
    <row r="67" spans="1:8" ht="15.5" x14ac:dyDescent="0.35">
      <c r="A67" s="380" t="s">
        <v>2167</v>
      </c>
      <c r="B67" s="382"/>
      <c r="C67" s="677"/>
      <c r="D67" s="376"/>
      <c r="E67" s="677"/>
      <c r="F67" s="677"/>
      <c r="G67" s="677"/>
      <c r="H67" s="857">
        <f t="shared" si="4"/>
        <v>0</v>
      </c>
    </row>
    <row r="68" spans="1:8" ht="15.5" x14ac:dyDescent="0.35">
      <c r="A68" s="380" t="s">
        <v>2168</v>
      </c>
      <c r="B68" s="383"/>
      <c r="C68" s="677"/>
      <c r="D68" s="376"/>
      <c r="E68" s="677"/>
      <c r="F68" s="677"/>
      <c r="G68" s="677"/>
      <c r="H68" s="857">
        <f t="shared" si="4"/>
        <v>0</v>
      </c>
    </row>
    <row r="69" spans="1:8" ht="15.5" x14ac:dyDescent="0.35">
      <c r="A69" s="380" t="s">
        <v>2169</v>
      </c>
      <c r="B69" s="383"/>
      <c r="C69" s="677"/>
      <c r="D69" s="376"/>
      <c r="E69" s="677"/>
      <c r="F69" s="677"/>
      <c r="G69" s="677"/>
      <c r="H69" s="857">
        <f t="shared" si="4"/>
        <v>0</v>
      </c>
    </row>
    <row r="70" spans="1:8" ht="15.5" x14ac:dyDescent="0.35">
      <c r="A70" s="380" t="s">
        <v>2170</v>
      </c>
      <c r="B70" s="382"/>
      <c r="C70" s="677"/>
      <c r="D70" s="376"/>
      <c r="E70" s="677"/>
      <c r="F70" s="677"/>
      <c r="G70" s="677"/>
      <c r="H70" s="857">
        <f t="shared" si="4"/>
        <v>0</v>
      </c>
    </row>
    <row r="71" spans="1:8" ht="15.5" x14ac:dyDescent="0.35">
      <c r="A71" s="380" t="s">
        <v>2171</v>
      </c>
      <c r="B71" s="383"/>
      <c r="C71" s="677"/>
      <c r="D71" s="376"/>
      <c r="E71" s="677"/>
      <c r="F71" s="677"/>
      <c r="G71" s="677"/>
      <c r="H71" s="857">
        <f t="shared" si="4"/>
        <v>0</v>
      </c>
    </row>
    <row r="72" spans="1:8" ht="15.5" x14ac:dyDescent="0.35">
      <c r="A72" s="380" t="s">
        <v>2172</v>
      </c>
      <c r="B72" s="382"/>
      <c r="C72" s="677"/>
      <c r="D72" s="376"/>
      <c r="E72" s="677"/>
      <c r="F72" s="677"/>
      <c r="G72" s="677"/>
      <c r="H72" s="857">
        <f t="shared" si="4"/>
        <v>0</v>
      </c>
    </row>
    <row r="73" spans="1:8" ht="15.5" x14ac:dyDescent="0.35">
      <c r="A73" s="380" t="s">
        <v>2173</v>
      </c>
      <c r="B73" s="382"/>
      <c r="C73" s="677"/>
      <c r="D73" s="376"/>
      <c r="E73" s="677"/>
      <c r="F73" s="677"/>
      <c r="G73" s="677"/>
      <c r="H73" s="857">
        <f t="shared" si="4"/>
        <v>0</v>
      </c>
    </row>
    <row r="74" spans="1:8" ht="15.5" x14ac:dyDescent="0.35">
      <c r="A74" s="380" t="s">
        <v>2174</v>
      </c>
      <c r="B74" s="382"/>
      <c r="C74" s="677"/>
      <c r="D74" s="376"/>
      <c r="E74" s="677"/>
      <c r="F74" s="677"/>
      <c r="G74" s="677"/>
      <c r="H74" s="857">
        <f t="shared" si="4"/>
        <v>0</v>
      </c>
    </row>
    <row r="75" spans="1:8" ht="15.5" x14ac:dyDescent="0.35">
      <c r="A75" s="380" t="s">
        <v>2175</v>
      </c>
      <c r="B75" s="383"/>
      <c r="C75" s="677"/>
      <c r="D75" s="376"/>
      <c r="E75" s="677"/>
      <c r="F75" s="677"/>
      <c r="G75" s="677"/>
      <c r="H75" s="857">
        <f t="shared" si="4"/>
        <v>0</v>
      </c>
    </row>
    <row r="76" spans="1:8" ht="15.5" x14ac:dyDescent="0.35">
      <c r="A76" s="384" t="s">
        <v>2176</v>
      </c>
      <c r="B76" s="385"/>
      <c r="C76" s="856">
        <f>SUM(C66:C75)</f>
        <v>0</v>
      </c>
      <c r="D76" s="379"/>
      <c r="E76" s="856">
        <f>SUM(E66:E75)</f>
        <v>0</v>
      </c>
      <c r="F76" s="856">
        <f>SUM(F66:F75)</f>
        <v>0</v>
      </c>
      <c r="G76" s="856">
        <f>SUM(G66:G75)</f>
        <v>0</v>
      </c>
      <c r="H76" s="856">
        <f>SUM(H66:H75)</f>
        <v>0</v>
      </c>
    </row>
    <row r="77" spans="1:8" ht="15.5" x14ac:dyDescent="0.35">
      <c r="A77" s="386"/>
      <c r="B77" s="373"/>
      <c r="C77" s="376"/>
      <c r="D77" s="376"/>
      <c r="E77" s="387"/>
      <c r="F77" s="387"/>
      <c r="G77" s="376"/>
      <c r="H77" s="376"/>
    </row>
    <row r="78" spans="1:8" ht="15.5" x14ac:dyDescent="0.35">
      <c r="A78" s="388" t="s">
        <v>2177</v>
      </c>
      <c r="B78" s="374"/>
      <c r="C78" s="376"/>
      <c r="D78" s="376"/>
      <c r="E78" s="387"/>
      <c r="F78" s="387"/>
      <c r="G78" s="376"/>
      <c r="H78" s="376"/>
    </row>
    <row r="79" spans="1:8" ht="15.5" x14ac:dyDescent="0.35">
      <c r="A79" s="380" t="s">
        <v>2178</v>
      </c>
      <c r="B79" s="382"/>
      <c r="C79" s="677"/>
      <c r="D79" s="376"/>
      <c r="E79" s="677"/>
      <c r="F79" s="677"/>
      <c r="G79" s="677"/>
      <c r="H79" s="857">
        <f t="shared" ref="H79:H84" si="5">C79-SUM(E79:G79)</f>
        <v>0</v>
      </c>
    </row>
    <row r="80" spans="1:8" ht="15.5" x14ac:dyDescent="0.35">
      <c r="A80" s="380" t="s">
        <v>2179</v>
      </c>
      <c r="B80" s="382"/>
      <c r="C80" s="677"/>
      <c r="D80" s="376"/>
      <c r="E80" s="677"/>
      <c r="F80" s="677"/>
      <c r="G80" s="677"/>
      <c r="H80" s="857">
        <f t="shared" si="5"/>
        <v>0</v>
      </c>
    </row>
    <row r="81" spans="1:8" ht="15.5" x14ac:dyDescent="0.35">
      <c r="A81" s="380" t="s">
        <v>2180</v>
      </c>
      <c r="B81" s="383"/>
      <c r="C81" s="677"/>
      <c r="D81" s="376"/>
      <c r="E81" s="677"/>
      <c r="F81" s="677"/>
      <c r="G81" s="677"/>
      <c r="H81" s="857">
        <f t="shared" si="5"/>
        <v>0</v>
      </c>
    </row>
    <row r="82" spans="1:8" ht="15.5" x14ac:dyDescent="0.35">
      <c r="A82" s="380" t="s">
        <v>2181</v>
      </c>
      <c r="B82" s="382"/>
      <c r="C82" s="677"/>
      <c r="D82" s="376"/>
      <c r="E82" s="677"/>
      <c r="F82" s="677"/>
      <c r="G82" s="677"/>
      <c r="H82" s="857">
        <f t="shared" si="5"/>
        <v>0</v>
      </c>
    </row>
    <row r="83" spans="1:8" ht="15.5" x14ac:dyDescent="0.35">
      <c r="A83" s="380" t="s">
        <v>2182</v>
      </c>
      <c r="B83" s="382"/>
      <c r="C83" s="677"/>
      <c r="D83" s="376"/>
      <c r="E83" s="677"/>
      <c r="F83" s="677"/>
      <c r="G83" s="677"/>
      <c r="H83" s="857">
        <f t="shared" si="5"/>
        <v>0</v>
      </c>
    </row>
    <row r="84" spans="1:8" ht="15.5" x14ac:dyDescent="0.35">
      <c r="A84" s="380" t="s">
        <v>2183</v>
      </c>
      <c r="B84" s="382"/>
      <c r="C84" s="677"/>
      <c r="D84" s="376"/>
      <c r="E84" s="677"/>
      <c r="F84" s="677"/>
      <c r="G84" s="677"/>
      <c r="H84" s="857">
        <f t="shared" si="5"/>
        <v>0</v>
      </c>
    </row>
    <row r="85" spans="1:8" ht="15.5" x14ac:dyDescent="0.35">
      <c r="A85" s="384" t="s">
        <v>2184</v>
      </c>
      <c r="B85" s="385"/>
      <c r="C85" s="856">
        <f>SUM(C79:C84)</f>
        <v>0</v>
      </c>
      <c r="D85" s="379"/>
      <c r="E85" s="856">
        <f>SUM(E79:E84)</f>
        <v>0</v>
      </c>
      <c r="F85" s="856">
        <f>SUM(F79:F84)</f>
        <v>0</v>
      </c>
      <c r="G85" s="856">
        <f>SUM(G79:G84)</f>
        <v>0</v>
      </c>
      <c r="H85" s="856">
        <f>SUM(H79:H84)</f>
        <v>0</v>
      </c>
    </row>
    <row r="86" spans="1:8" ht="15.5" x14ac:dyDescent="0.35">
      <c r="A86" s="386"/>
      <c r="B86" s="373"/>
      <c r="C86" s="376"/>
      <c r="D86" s="376"/>
      <c r="E86" s="387"/>
      <c r="F86" s="387"/>
      <c r="G86" s="376"/>
      <c r="H86" s="376"/>
    </row>
    <row r="87" spans="1:8" ht="15.5" x14ac:dyDescent="0.35">
      <c r="A87" s="377" t="s">
        <v>2185</v>
      </c>
      <c r="B87" s="374"/>
      <c r="C87" s="376"/>
      <c r="D87" s="376"/>
      <c r="E87" s="387"/>
      <c r="F87" s="387"/>
      <c r="G87" s="376"/>
      <c r="H87" s="376"/>
    </row>
    <row r="88" spans="1:8" ht="15.5" x14ac:dyDescent="0.35">
      <c r="A88" s="380" t="s">
        <v>2186</v>
      </c>
      <c r="B88" s="381"/>
      <c r="C88" s="677"/>
      <c r="D88" s="376"/>
      <c r="E88" s="677"/>
      <c r="F88" s="677"/>
      <c r="G88" s="677"/>
      <c r="H88" s="857">
        <f t="shared" ref="H88:H99" si="6">C88-SUM(E88:G88)</f>
        <v>0</v>
      </c>
    </row>
    <row r="89" spans="1:8" ht="15.5" x14ac:dyDescent="0.35">
      <c r="A89" s="380" t="s">
        <v>2187</v>
      </c>
      <c r="B89" s="383"/>
      <c r="C89" s="677"/>
      <c r="D89" s="376"/>
      <c r="E89" s="677"/>
      <c r="F89" s="677"/>
      <c r="G89" s="677"/>
      <c r="H89" s="857">
        <f t="shared" si="6"/>
        <v>0</v>
      </c>
    </row>
    <row r="90" spans="1:8" ht="15.5" x14ac:dyDescent="0.35">
      <c r="A90" s="380" t="s">
        <v>2188</v>
      </c>
      <c r="B90" s="382"/>
      <c r="C90" s="677"/>
      <c r="D90" s="376"/>
      <c r="E90" s="677"/>
      <c r="F90" s="677"/>
      <c r="G90" s="677"/>
      <c r="H90" s="857">
        <f t="shared" si="6"/>
        <v>0</v>
      </c>
    </row>
    <row r="91" spans="1:8" ht="15.5" x14ac:dyDescent="0.35">
      <c r="A91" s="380" t="s">
        <v>2189</v>
      </c>
      <c r="B91" s="382"/>
      <c r="C91" s="677"/>
      <c r="D91" s="376"/>
      <c r="E91" s="677"/>
      <c r="F91" s="677"/>
      <c r="G91" s="677"/>
      <c r="H91" s="857">
        <f t="shared" si="6"/>
        <v>0</v>
      </c>
    </row>
    <row r="92" spans="1:8" ht="15.5" x14ac:dyDescent="0.35">
      <c r="A92" s="380" t="s">
        <v>2190</v>
      </c>
      <c r="B92" s="381"/>
      <c r="C92" s="677"/>
      <c r="D92" s="376"/>
      <c r="E92" s="677"/>
      <c r="F92" s="677"/>
      <c r="G92" s="677"/>
      <c r="H92" s="857">
        <f t="shared" si="6"/>
        <v>0</v>
      </c>
    </row>
    <row r="93" spans="1:8" ht="15.5" x14ac:dyDescent="0.35">
      <c r="A93" s="380" t="s">
        <v>2191</v>
      </c>
      <c r="B93" s="382"/>
      <c r="C93" s="677"/>
      <c r="D93" s="376"/>
      <c r="E93" s="677"/>
      <c r="F93" s="677"/>
      <c r="G93" s="677"/>
      <c r="H93" s="857">
        <f t="shared" si="6"/>
        <v>0</v>
      </c>
    </row>
    <row r="94" spans="1:8" ht="15.5" x14ac:dyDescent="0.35">
      <c r="A94" s="380" t="s">
        <v>2192</v>
      </c>
      <c r="B94" s="373"/>
      <c r="C94" s="677"/>
      <c r="D94" s="376"/>
      <c r="E94" s="677"/>
      <c r="F94" s="677"/>
      <c r="G94" s="677"/>
      <c r="H94" s="857">
        <f t="shared" si="6"/>
        <v>0</v>
      </c>
    </row>
    <row r="95" spans="1:8" ht="15.5" x14ac:dyDescent="0.35">
      <c r="A95" s="380" t="s">
        <v>2193</v>
      </c>
      <c r="B95" s="383"/>
      <c r="C95" s="677"/>
      <c r="D95" s="376"/>
      <c r="E95" s="677"/>
      <c r="F95" s="677"/>
      <c r="G95" s="677"/>
      <c r="H95" s="857">
        <f t="shared" si="6"/>
        <v>0</v>
      </c>
    </row>
    <row r="96" spans="1:8" ht="15.5" x14ac:dyDescent="0.35">
      <c r="A96" s="380" t="s">
        <v>2194</v>
      </c>
      <c r="B96" s="382"/>
      <c r="C96" s="677"/>
      <c r="D96" s="376"/>
      <c r="E96" s="677"/>
      <c r="F96" s="677"/>
      <c r="G96" s="677"/>
      <c r="H96" s="857">
        <f t="shared" si="6"/>
        <v>0</v>
      </c>
    </row>
    <row r="97" spans="1:8" ht="15.5" x14ac:dyDescent="0.35">
      <c r="A97" s="380" t="s">
        <v>2195</v>
      </c>
      <c r="B97" s="382"/>
      <c r="C97" s="677"/>
      <c r="D97" s="376"/>
      <c r="E97" s="677"/>
      <c r="F97" s="677"/>
      <c r="G97" s="677"/>
      <c r="H97" s="857">
        <f t="shared" si="6"/>
        <v>0</v>
      </c>
    </row>
    <row r="98" spans="1:8" ht="15.5" x14ac:dyDescent="0.35">
      <c r="A98" s="380" t="s">
        <v>2196</v>
      </c>
      <c r="B98" s="381"/>
      <c r="C98" s="677"/>
      <c r="D98" s="376"/>
      <c r="E98" s="677"/>
      <c r="F98" s="677"/>
      <c r="G98" s="677"/>
      <c r="H98" s="857">
        <f t="shared" si="6"/>
        <v>0</v>
      </c>
    </row>
    <row r="99" spans="1:8" ht="15.5" x14ac:dyDescent="0.35">
      <c r="A99" s="380" t="s">
        <v>2197</v>
      </c>
      <c r="B99" s="381"/>
      <c r="C99" s="677"/>
      <c r="D99" s="376"/>
      <c r="E99" s="677"/>
      <c r="F99" s="677"/>
      <c r="G99" s="677"/>
      <c r="H99" s="857">
        <f t="shared" si="6"/>
        <v>0</v>
      </c>
    </row>
    <row r="100" spans="1:8" ht="15.5" x14ac:dyDescent="0.35">
      <c r="A100" s="384" t="s">
        <v>2198</v>
      </c>
      <c r="B100" s="385"/>
      <c r="C100" s="856">
        <f>SUM(C88:C99)</f>
        <v>0</v>
      </c>
      <c r="D100" s="379"/>
      <c r="E100" s="856">
        <f>SUM(E88:E99)</f>
        <v>0</v>
      </c>
      <c r="F100" s="856">
        <f>SUM(F88:F99)</f>
        <v>0</v>
      </c>
      <c r="G100" s="856">
        <f>SUM(G88:G99)</f>
        <v>0</v>
      </c>
      <c r="H100" s="856">
        <f>SUM(H88:H99)</f>
        <v>0</v>
      </c>
    </row>
    <row r="101" spans="1:8" ht="15.5" x14ac:dyDescent="0.35">
      <c r="A101" s="386"/>
      <c r="B101" s="373"/>
      <c r="C101" s="376"/>
      <c r="D101" s="389"/>
      <c r="E101" s="374"/>
      <c r="F101" s="374"/>
      <c r="G101" s="374"/>
      <c r="H101" s="374"/>
    </row>
    <row r="102" spans="1:8" ht="15.5" x14ac:dyDescent="0.35">
      <c r="A102" s="377" t="s">
        <v>2199</v>
      </c>
      <c r="B102" s="374"/>
      <c r="C102" s="376"/>
      <c r="D102" s="389"/>
      <c r="E102" s="374"/>
      <c r="F102" s="374"/>
      <c r="G102" s="374"/>
      <c r="H102" s="374"/>
    </row>
    <row r="103" spans="1:8" ht="15.5" x14ac:dyDescent="0.35">
      <c r="A103" s="380" t="s">
        <v>2200</v>
      </c>
      <c r="B103" s="382"/>
      <c r="C103" s="677"/>
      <c r="D103" s="376"/>
      <c r="E103" s="677"/>
      <c r="F103" s="677"/>
      <c r="G103" s="677"/>
      <c r="H103" s="857">
        <f t="shared" ref="H103:H108" si="7">C103-SUM(E103:G103)</f>
        <v>0</v>
      </c>
    </row>
    <row r="104" spans="1:8" ht="15.5" x14ac:dyDescent="0.35">
      <c r="A104" s="380" t="s">
        <v>2201</v>
      </c>
      <c r="B104" s="382"/>
      <c r="C104" s="677"/>
      <c r="D104" s="376"/>
      <c r="E104" s="677"/>
      <c r="F104" s="677"/>
      <c r="G104" s="677"/>
      <c r="H104" s="857">
        <f t="shared" si="7"/>
        <v>0</v>
      </c>
    </row>
    <row r="105" spans="1:8" ht="15.5" x14ac:dyDescent="0.35">
      <c r="A105" s="380" t="s">
        <v>2202</v>
      </c>
      <c r="B105" s="382"/>
      <c r="C105" s="677"/>
      <c r="D105" s="376"/>
      <c r="E105" s="677"/>
      <c r="F105" s="677"/>
      <c r="G105" s="677"/>
      <c r="H105" s="857">
        <f t="shared" si="7"/>
        <v>0</v>
      </c>
    </row>
    <row r="106" spans="1:8" ht="15.5" x14ac:dyDescent="0.35">
      <c r="A106" s="380" t="s">
        <v>2203</v>
      </c>
      <c r="B106" s="382"/>
      <c r="C106" s="677"/>
      <c r="D106" s="376"/>
      <c r="E106" s="677"/>
      <c r="F106" s="677"/>
      <c r="G106" s="677"/>
      <c r="H106" s="857">
        <f t="shared" si="7"/>
        <v>0</v>
      </c>
    </row>
    <row r="107" spans="1:8" ht="15.5" x14ac:dyDescent="0.35">
      <c r="A107" s="380" t="s">
        <v>2204</v>
      </c>
      <c r="B107" s="382"/>
      <c r="C107" s="677"/>
      <c r="D107" s="376"/>
      <c r="E107" s="677"/>
      <c r="F107" s="677"/>
      <c r="G107" s="677"/>
      <c r="H107" s="857">
        <f t="shared" si="7"/>
        <v>0</v>
      </c>
    </row>
    <row r="108" spans="1:8" ht="15.5" x14ac:dyDescent="0.35">
      <c r="A108" s="380" t="s">
        <v>2205</v>
      </c>
      <c r="B108" s="382"/>
      <c r="C108" s="677"/>
      <c r="D108" s="376"/>
      <c r="E108" s="677"/>
      <c r="F108" s="677"/>
      <c r="G108" s="677"/>
      <c r="H108" s="857">
        <f t="shared" si="7"/>
        <v>0</v>
      </c>
    </row>
    <row r="109" spans="1:8" ht="15.5" x14ac:dyDescent="0.35">
      <c r="A109" s="384" t="s">
        <v>2206</v>
      </c>
      <c r="B109" s="385"/>
      <c r="C109" s="856">
        <f>SUM(C103:C108)</f>
        <v>0</v>
      </c>
      <c r="D109" s="379"/>
      <c r="E109" s="856">
        <f>SUM(E103:E108)</f>
        <v>0</v>
      </c>
      <c r="F109" s="856">
        <f>SUM(F103:F108)</f>
        <v>0</v>
      </c>
      <c r="G109" s="856">
        <f>SUM(G103:G108)</f>
        <v>0</v>
      </c>
      <c r="H109" s="856">
        <f>SUM(H103:H108)</f>
        <v>0</v>
      </c>
    </row>
    <row r="110" spans="1:8" ht="15.5" x14ac:dyDescent="0.35">
      <c r="A110" s="386"/>
      <c r="B110" s="373"/>
      <c r="C110" s="376"/>
      <c r="D110" s="389"/>
      <c r="E110" s="374"/>
      <c r="F110" s="374"/>
      <c r="G110" s="374"/>
      <c r="H110" s="374"/>
    </row>
    <row r="111" spans="1:8" ht="15.5" x14ac:dyDescent="0.35">
      <c r="A111" s="380" t="s">
        <v>2207</v>
      </c>
      <c r="B111" s="383"/>
      <c r="C111" s="677"/>
      <c r="D111" s="376"/>
      <c r="E111" s="677"/>
      <c r="F111" s="677"/>
      <c r="G111" s="677"/>
      <c r="H111" s="857">
        <f>C111-SUM(E111:G111)</f>
        <v>0</v>
      </c>
    </row>
    <row r="112" spans="1:8" ht="15.5" x14ac:dyDescent="0.35">
      <c r="A112" s="386"/>
      <c r="B112" s="373"/>
      <c r="C112" s="390"/>
      <c r="D112" s="389"/>
      <c r="E112" s="374"/>
      <c r="F112" s="374"/>
      <c r="G112" s="374"/>
      <c r="H112" s="374"/>
    </row>
    <row r="113" spans="1:8" ht="15.5" x14ac:dyDescent="0.35">
      <c r="A113" s="380" t="s">
        <v>2208</v>
      </c>
      <c r="B113" s="382"/>
      <c r="C113" s="695">
        <f>'RO6'!$E$84</f>
        <v>0</v>
      </c>
      <c r="D113" s="376"/>
      <c r="E113" s="677"/>
      <c r="F113" s="677"/>
      <c r="G113" s="677"/>
      <c r="H113" s="857">
        <f>C113-SUM(E113:G113)</f>
        <v>0</v>
      </c>
    </row>
    <row r="114" spans="1:8" ht="15.5" x14ac:dyDescent="0.35">
      <c r="A114" s="386"/>
      <c r="B114" s="373"/>
      <c r="C114" s="376"/>
      <c r="D114" s="389"/>
      <c r="E114" s="374"/>
      <c r="F114" s="374"/>
      <c r="G114" s="374"/>
      <c r="H114" s="374"/>
    </row>
    <row r="115" spans="1:8" ht="18" x14ac:dyDescent="0.4">
      <c r="A115" s="391" t="s">
        <v>2209</v>
      </c>
      <c r="B115" s="392"/>
      <c r="C115" s="858">
        <f>SUM(C76,C85,C100,C109,C111,C113)</f>
        <v>0</v>
      </c>
      <c r="D115" s="393"/>
      <c r="E115" s="858">
        <f>SUM(E76,E85,E100,E109,E111,E113)</f>
        <v>0</v>
      </c>
      <c r="F115" s="858">
        <f>SUM(F76,F85,F100,F109,F111,F113)</f>
        <v>0</v>
      </c>
      <c r="G115" s="858">
        <f>SUM(G76,G85,G100,G109,G111,G113)</f>
        <v>0</v>
      </c>
      <c r="H115" s="858">
        <f>SUM(H76,H85,H100,H109,H111,H113)</f>
        <v>0</v>
      </c>
    </row>
    <row r="116" spans="1:8" ht="18" x14ac:dyDescent="0.4">
      <c r="A116" s="394" t="s">
        <v>2210</v>
      </c>
      <c r="B116" s="374"/>
      <c r="C116" s="990" t="str">
        <f>IF(ABS(RSX!$E$44-C115)&lt;3,"","RSX total running expenses: "&amp;TEXT(RSX!$E$44,"#,##0"))</f>
        <v/>
      </c>
      <c r="D116" s="395"/>
      <c r="E116" s="395"/>
      <c r="F116" s="395"/>
      <c r="G116" s="395"/>
    </row>
    <row r="117" spans="1:8" ht="15.5" x14ac:dyDescent="0.35">
      <c r="A117" s="373"/>
      <c r="B117" s="374"/>
      <c r="C117" s="406" t="str">
        <f>IF((ABS(RSX!$E$44-C115)&lt;3),"","RSX Cross-Check - Must match total running expenses (total non employee expenditure)")</f>
        <v/>
      </c>
      <c r="D117" s="389"/>
      <c r="E117" s="374"/>
      <c r="F117" s="374"/>
      <c r="G117" s="374"/>
    </row>
    <row r="118" spans="1:8" ht="15.5" x14ac:dyDescent="0.35">
      <c r="A118" s="373"/>
      <c r="B118" s="374"/>
      <c r="C118" s="407" t="str">
        <f>IF(ABS(RSX!$I$44-C115)&lt;3,"","For more information, please see the SAR guidance notes on cross check validation for line 63.")</f>
        <v/>
      </c>
      <c r="D118" s="389"/>
      <c r="E118" s="374"/>
      <c r="F118" s="374"/>
      <c r="G118" s="374"/>
    </row>
    <row r="119" spans="1:8" ht="15.5" x14ac:dyDescent="0.35">
      <c r="A119" s="373"/>
      <c r="B119" s="374"/>
      <c r="C119" s="376"/>
      <c r="D119" s="389"/>
      <c r="E119" s="374"/>
      <c r="F119" s="374"/>
      <c r="G119" s="374"/>
    </row>
    <row r="120" spans="1:8" ht="18" x14ac:dyDescent="0.4">
      <c r="A120" s="369" t="s">
        <v>2211</v>
      </c>
      <c r="B120" s="374"/>
      <c r="C120" s="402" t="s">
        <v>2116</v>
      </c>
      <c r="D120" s="389"/>
      <c r="E120" s="374"/>
      <c r="F120" s="374"/>
      <c r="G120" s="374"/>
    </row>
    <row r="121" spans="1:8" ht="18" x14ac:dyDescent="0.4">
      <c r="A121" s="369"/>
      <c r="B121" s="374"/>
      <c r="C121" s="403" t="s">
        <v>2126</v>
      </c>
      <c r="D121" s="389"/>
      <c r="E121" s="374"/>
      <c r="F121" s="374"/>
      <c r="G121" s="374"/>
    </row>
    <row r="122" spans="1:8" ht="18" x14ac:dyDescent="0.4">
      <c r="A122" s="369"/>
      <c r="B122" s="374"/>
      <c r="C122" s="375"/>
      <c r="D122" s="389"/>
      <c r="E122" s="374"/>
      <c r="F122" s="374"/>
      <c r="G122" s="374"/>
    </row>
    <row r="123" spans="1:8" ht="18" x14ac:dyDescent="0.4">
      <c r="A123" s="369"/>
      <c r="B123" s="374"/>
      <c r="C123" s="378" t="s">
        <v>1378</v>
      </c>
      <c r="D123" s="389"/>
      <c r="E123" s="374"/>
      <c r="F123" s="374"/>
      <c r="G123" s="374"/>
    </row>
    <row r="124" spans="1:8" ht="18" x14ac:dyDescent="0.4">
      <c r="A124" s="369"/>
      <c r="B124" s="374"/>
      <c r="C124" s="376"/>
      <c r="D124" s="389"/>
      <c r="E124" s="374"/>
      <c r="F124" s="374"/>
      <c r="G124" s="374"/>
    </row>
    <row r="125" spans="1:8" ht="15.5" x14ac:dyDescent="0.35">
      <c r="A125" s="380" t="s">
        <v>2212</v>
      </c>
      <c r="B125" s="396"/>
      <c r="C125" s="677"/>
      <c r="D125" s="376"/>
      <c r="E125" s="376"/>
      <c r="F125" s="376"/>
      <c r="G125" s="376"/>
    </row>
    <row r="126" spans="1:8" ht="15.5" x14ac:dyDescent="0.35">
      <c r="A126" s="380" t="s">
        <v>2213</v>
      </c>
      <c r="B126" s="396"/>
      <c r="C126" s="695">
        <f>'RO6'!$H$93+'RO6'!$H$94</f>
        <v>0</v>
      </c>
      <c r="D126" s="376"/>
      <c r="E126" s="376"/>
      <c r="F126" s="376"/>
      <c r="G126" s="376"/>
    </row>
    <row r="127" spans="1:8" ht="15.5" x14ac:dyDescent="0.35">
      <c r="A127" s="380" t="s">
        <v>2214</v>
      </c>
      <c r="B127" s="396"/>
      <c r="C127" s="677"/>
      <c r="D127" s="376"/>
      <c r="E127" s="376"/>
      <c r="F127" s="376"/>
      <c r="G127" s="376"/>
    </row>
    <row r="128" spans="1:8" ht="18" x14ac:dyDescent="0.4">
      <c r="A128" s="391" t="s">
        <v>2215</v>
      </c>
      <c r="B128" s="392"/>
      <c r="C128" s="858">
        <f>SUM(C125:C127)</f>
        <v>0</v>
      </c>
      <c r="D128" s="393"/>
      <c r="E128" s="393"/>
      <c r="F128" s="393"/>
      <c r="G128" s="393"/>
    </row>
    <row r="129" spans="1:7" ht="18" x14ac:dyDescent="0.4">
      <c r="A129" s="373"/>
      <c r="B129" s="374"/>
      <c r="C129" s="408" t="str">
        <f>IF(ABS(RSX!$I$44-C128)&lt;3,"","RSX total: "&amp;TEXT(RSX!$I$44,"#,##0"))</f>
        <v/>
      </c>
      <c r="D129" s="395"/>
      <c r="E129" s="395"/>
      <c r="F129" s="395"/>
      <c r="G129" s="395"/>
    </row>
    <row r="130" spans="1:7" ht="15.5" x14ac:dyDescent="0.35">
      <c r="A130" s="373"/>
      <c r="B130" s="374"/>
      <c r="C130" s="406" t="str">
        <f>IF((ABS(RSX!$I$44-C128)&lt;3),"","RSX Cross-Check - must match your Sales, Fees &amp; Charges plus Other Income")</f>
        <v/>
      </c>
      <c r="D130" s="389"/>
      <c r="E130" s="374"/>
      <c r="F130" s="374"/>
      <c r="G130" s="374"/>
    </row>
    <row r="131" spans="1:7" ht="15.5" x14ac:dyDescent="0.35">
      <c r="C131" s="407" t="str">
        <f>IF(ABS(RSX!$I$44-C128)&lt;3,"","For more information, please see the SAR guidance notes on cross check validation for line 67.")</f>
        <v/>
      </c>
    </row>
  </sheetData>
  <sheetProtection sheet="1" objects="1" scenarios="1"/>
  <mergeCells count="8">
    <mergeCell ref="F24:H24"/>
    <mergeCell ref="E60:F60"/>
    <mergeCell ref="A15:L15"/>
    <mergeCell ref="A1:K1"/>
    <mergeCell ref="A9:K9"/>
    <mergeCell ref="A10:K10"/>
    <mergeCell ref="A12:K12"/>
    <mergeCell ref="A14:L14"/>
  </mergeCells>
  <phoneticPr fontId="0" type="noConversion"/>
  <printOptions horizontalCentered="1"/>
  <pageMargins left="0.65" right="0.61" top="0.98425196850393704" bottom="0.98425196850393704" header="0.51181102362204722" footer="0.51181102362204722"/>
  <pageSetup paperSize="9" scale="55" orientation="landscape" r:id="rId1"/>
  <headerFooter alignWithMargins="0"/>
  <ignoredErrors>
    <ignoredError sqref="I30:K31 D30:F30 D31:E31" numberStoredAsText="1"/>
  </ignoredErrors>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text="resolve and/or" id="{3499A838-2A20-4069-B8FD-21B07B170321}">
            <xm:f>NOT(ISERROR(SEARCH("resolve and/or",RSX!A17)))</xm:f>
            <x14:dxf>
              <font>
                <color theme="5"/>
              </font>
            </x14:dxf>
          </x14:cfRule>
          <xm:sqref>A17</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7">
    <tabColor theme="8" tint="-0.249977111117893"/>
  </sheetPr>
  <dimension ref="A1:Z92"/>
  <sheetViews>
    <sheetView showGridLines="0" zoomScale="80" zoomScaleNormal="80" workbookViewId="0">
      <pane ySplit="1" topLeftCell="A2" activePane="bottomLeft" state="frozen"/>
      <selection pane="bottomLeft" sqref="A1:K1"/>
    </sheetView>
  </sheetViews>
  <sheetFormatPr defaultColWidth="0" defaultRowHeight="12.5" zeroHeight="1" x14ac:dyDescent="0.25"/>
  <cols>
    <col min="1" max="1" width="8.7265625" customWidth="1"/>
    <col min="2" max="2" width="127" bestFit="1" customWidth="1"/>
    <col min="3" max="3" width="60.7265625" customWidth="1"/>
    <col min="4" max="17" width="8.7265625" customWidth="1"/>
    <col min="18" max="16384" width="8.7265625" hidden="1"/>
  </cols>
  <sheetData>
    <row r="1" spans="1:26" ht="36" customHeight="1" x14ac:dyDescent="0.25">
      <c r="A1" s="1228" t="str">
        <f>ContactDetails!A36</f>
        <v>IMPORTANT: Please DO NOT alter this spreadsheet by inserting/deleting, merging any cells, or even using cut &amp; paste, as the data from this spreadsheet are directly transferred into the DLUHC database by a macro and these could break the references in the form.</v>
      </c>
      <c r="B1" s="1228"/>
      <c r="C1" s="1229"/>
      <c r="D1" s="1229"/>
      <c r="E1" s="1229"/>
      <c r="F1" s="1229"/>
      <c r="G1" s="1229"/>
      <c r="H1" s="1229"/>
      <c r="I1" s="1229"/>
      <c r="J1" s="1229"/>
      <c r="K1" s="1229"/>
      <c r="L1" s="366"/>
      <c r="M1" s="366"/>
      <c r="N1" s="353"/>
      <c r="O1" s="353"/>
      <c r="P1" s="353"/>
      <c r="Q1" s="353"/>
      <c r="R1" s="353"/>
      <c r="S1" s="353"/>
      <c r="T1" s="353"/>
      <c r="U1" s="353"/>
      <c r="V1" s="353"/>
      <c r="W1" s="353"/>
      <c r="X1" s="353"/>
      <c r="Y1" s="353"/>
      <c r="Z1" s="353"/>
    </row>
    <row r="2" spans="1:26" ht="36" customHeight="1" x14ac:dyDescent="0.25">
      <c r="A2" s="712"/>
      <c r="B2" s="367" t="s">
        <v>6053</v>
      </c>
      <c r="C2" s="713"/>
      <c r="D2" s="713"/>
      <c r="E2" s="713"/>
      <c r="F2" s="713"/>
      <c r="G2" s="713"/>
      <c r="H2" s="713"/>
      <c r="I2" s="713"/>
      <c r="J2" s="713"/>
      <c r="K2" s="713"/>
      <c r="L2" s="366"/>
      <c r="M2" s="366"/>
      <c r="N2" s="353"/>
      <c r="O2" s="353"/>
      <c r="P2" s="353"/>
      <c r="Q2" s="353"/>
      <c r="R2" s="353"/>
      <c r="S2" s="353"/>
      <c r="T2" s="353"/>
      <c r="U2" s="353"/>
      <c r="V2" s="353"/>
      <c r="W2" s="353"/>
      <c r="X2" s="353"/>
      <c r="Y2" s="353"/>
      <c r="Z2" s="353"/>
    </row>
    <row r="3" spans="1:26" ht="18" x14ac:dyDescent="0.4">
      <c r="A3" s="353"/>
      <c r="B3" s="368" t="s">
        <v>6054</v>
      </c>
      <c r="C3" s="353"/>
      <c r="D3" s="353"/>
      <c r="E3" s="353"/>
      <c r="F3" s="353"/>
      <c r="G3" s="353"/>
      <c r="H3" s="353"/>
      <c r="I3" s="353"/>
      <c r="J3" s="353"/>
      <c r="K3" s="353"/>
      <c r="L3" s="353"/>
      <c r="M3" s="353"/>
      <c r="N3" s="353"/>
      <c r="O3" s="353"/>
      <c r="P3" s="353"/>
      <c r="Q3" s="353"/>
      <c r="R3" s="353"/>
      <c r="S3" s="353"/>
      <c r="T3" s="353"/>
      <c r="U3" s="353"/>
      <c r="V3" s="353"/>
      <c r="W3" s="353"/>
      <c r="X3" s="353"/>
      <c r="Y3" s="353"/>
      <c r="Z3" s="353"/>
    </row>
    <row r="4" spans="1:26" x14ac:dyDescent="0.25">
      <c r="A4" s="353"/>
      <c r="B4" s="353"/>
      <c r="C4" s="353"/>
      <c r="D4" s="353"/>
      <c r="E4" s="353"/>
      <c r="F4" s="353"/>
      <c r="G4" s="353"/>
      <c r="H4" s="353"/>
      <c r="I4" s="353"/>
      <c r="J4" s="353"/>
      <c r="K4" s="353"/>
      <c r="L4" s="353"/>
      <c r="M4" s="353"/>
      <c r="N4" s="353"/>
      <c r="O4" s="353"/>
      <c r="P4" s="353"/>
      <c r="Q4" s="353"/>
      <c r="R4" s="353"/>
      <c r="S4" s="353"/>
      <c r="T4" s="353"/>
      <c r="U4" s="353"/>
      <c r="V4" s="353"/>
      <c r="W4" s="353"/>
      <c r="X4" s="353"/>
      <c r="Y4" s="353"/>
      <c r="Z4" s="353"/>
    </row>
    <row r="5" spans="1:26" ht="15.5" x14ac:dyDescent="0.35">
      <c r="A5" s="353"/>
      <c r="B5" s="354" t="s">
        <v>2216</v>
      </c>
      <c r="C5" s="353"/>
      <c r="D5" s="353"/>
      <c r="E5" s="353"/>
      <c r="F5" s="353"/>
      <c r="G5" s="353"/>
      <c r="H5" s="353"/>
      <c r="I5" s="353"/>
      <c r="J5" s="353"/>
      <c r="K5" s="353"/>
      <c r="L5" s="353"/>
      <c r="M5" s="353"/>
      <c r="N5" s="353"/>
      <c r="O5" s="353"/>
      <c r="P5" s="353"/>
      <c r="Q5" s="353"/>
      <c r="R5" s="353"/>
      <c r="S5" s="353"/>
      <c r="T5" s="353"/>
      <c r="U5" s="353"/>
      <c r="V5" s="353"/>
      <c r="W5" s="353"/>
      <c r="X5" s="353"/>
      <c r="Y5" s="353"/>
      <c r="Z5" s="353"/>
    </row>
    <row r="6" spans="1:26" ht="15.5" x14ac:dyDescent="0.35">
      <c r="A6" s="353"/>
      <c r="B6" s="354" t="s">
        <v>2217</v>
      </c>
      <c r="C6" s="353"/>
      <c r="D6" s="353"/>
      <c r="E6" s="353"/>
      <c r="F6" s="353"/>
      <c r="G6" s="353"/>
      <c r="H6" s="353"/>
      <c r="I6" s="353"/>
      <c r="J6" s="353"/>
      <c r="K6" s="353"/>
      <c r="L6" s="353"/>
      <c r="M6" s="353"/>
      <c r="N6" s="353"/>
      <c r="O6" s="353"/>
      <c r="P6" s="353"/>
      <c r="Q6" s="353"/>
      <c r="R6" s="353"/>
      <c r="S6" s="353"/>
      <c r="T6" s="353"/>
      <c r="U6" s="353"/>
      <c r="V6" s="353"/>
      <c r="W6" s="353"/>
      <c r="X6" s="353"/>
      <c r="Y6" s="353"/>
      <c r="Z6" s="353"/>
    </row>
    <row r="7" spans="1:26" ht="15.5" x14ac:dyDescent="0.35">
      <c r="A7" s="353"/>
      <c r="B7" s="354"/>
      <c r="C7" s="353"/>
      <c r="D7" s="353"/>
      <c r="E7" s="353"/>
      <c r="F7" s="353"/>
      <c r="G7" s="353"/>
      <c r="H7" s="353"/>
      <c r="I7" s="353"/>
      <c r="J7" s="353"/>
      <c r="K7" s="353"/>
      <c r="L7" s="353"/>
      <c r="M7" s="353"/>
      <c r="N7" s="353"/>
      <c r="O7" s="353"/>
      <c r="P7" s="353"/>
      <c r="Q7" s="353"/>
      <c r="R7" s="353"/>
      <c r="S7" s="353"/>
      <c r="T7" s="353"/>
      <c r="U7" s="353"/>
      <c r="V7" s="353"/>
      <c r="W7" s="353"/>
      <c r="X7" s="353"/>
      <c r="Y7" s="353"/>
      <c r="Z7" s="353"/>
    </row>
    <row r="8" spans="1:26" ht="18.5" thickBot="1" x14ac:dyDescent="0.45">
      <c r="A8" s="353"/>
      <c r="B8" s="355" t="s">
        <v>2218</v>
      </c>
      <c r="C8" s="353"/>
      <c r="D8" s="353"/>
      <c r="E8" s="353"/>
      <c r="F8" s="353"/>
      <c r="G8" s="353"/>
      <c r="H8" s="353"/>
      <c r="I8" s="353"/>
      <c r="J8" s="353"/>
      <c r="K8" s="353"/>
      <c r="L8" s="353"/>
      <c r="M8" s="353"/>
      <c r="N8" s="353"/>
      <c r="O8" s="353"/>
      <c r="P8" s="353"/>
      <c r="Q8" s="353"/>
      <c r="R8" s="353"/>
      <c r="S8" s="353"/>
      <c r="T8" s="353"/>
      <c r="U8" s="353"/>
      <c r="V8" s="353"/>
      <c r="W8" s="353"/>
      <c r="X8" s="353"/>
      <c r="Y8" s="353"/>
      <c r="Z8" s="353"/>
    </row>
    <row r="9" spans="1:26" ht="36.5" thickBot="1" x14ac:dyDescent="0.3">
      <c r="A9" s="353"/>
      <c r="B9" s="356" t="s">
        <v>2219</v>
      </c>
      <c r="C9" s="423" t="s">
        <v>2220</v>
      </c>
      <c r="D9" s="353"/>
      <c r="E9" s="353"/>
      <c r="F9" s="353"/>
      <c r="G9" s="353"/>
      <c r="H9" s="353"/>
      <c r="I9" s="353"/>
      <c r="J9" s="353"/>
      <c r="K9" s="353"/>
      <c r="L9" s="353"/>
      <c r="M9" s="353"/>
      <c r="N9" s="353"/>
      <c r="O9" s="353"/>
      <c r="P9" s="353"/>
      <c r="Q9" s="353"/>
      <c r="R9" s="353"/>
      <c r="S9" s="353"/>
      <c r="T9" s="353"/>
      <c r="U9" s="353"/>
      <c r="V9" s="353"/>
      <c r="W9" s="353"/>
      <c r="X9" s="353"/>
      <c r="Y9" s="353"/>
      <c r="Z9" s="353"/>
    </row>
    <row r="10" spans="1:26" ht="15.5" x14ac:dyDescent="0.25">
      <c r="A10" s="353"/>
      <c r="B10" s="419"/>
      <c r="C10" s="422"/>
      <c r="D10" s="353"/>
      <c r="E10" s="353"/>
      <c r="F10" s="353"/>
      <c r="G10" s="353"/>
      <c r="H10" s="353"/>
      <c r="I10" s="353"/>
      <c r="J10" s="353"/>
      <c r="K10" s="353"/>
      <c r="L10" s="353"/>
      <c r="M10" s="353"/>
      <c r="N10" s="353"/>
      <c r="O10" s="353"/>
      <c r="P10" s="353"/>
      <c r="Q10" s="353"/>
      <c r="R10" s="353"/>
      <c r="S10" s="353"/>
      <c r="T10" s="353"/>
      <c r="U10" s="353"/>
      <c r="V10" s="353"/>
      <c r="W10" s="353"/>
      <c r="X10" s="353"/>
      <c r="Y10" s="353"/>
      <c r="Z10" s="353"/>
    </row>
    <row r="11" spans="1:26" ht="15.5" x14ac:dyDescent="0.25">
      <c r="A11" s="353"/>
      <c r="B11" s="419"/>
      <c r="C11" s="422"/>
      <c r="D11" s="353"/>
      <c r="E11" s="353"/>
      <c r="F11" s="353"/>
      <c r="G11" s="353"/>
      <c r="H11" s="353"/>
      <c r="I11" s="353"/>
      <c r="J11" s="353"/>
      <c r="K11" s="353"/>
      <c r="L11" s="353"/>
      <c r="M11" s="353"/>
      <c r="N11" s="353"/>
      <c r="O11" s="353"/>
      <c r="P11" s="353"/>
      <c r="Q11" s="353"/>
      <c r="R11" s="353"/>
      <c r="S11" s="353"/>
      <c r="T11" s="353"/>
      <c r="U11" s="353"/>
      <c r="V11" s="353"/>
      <c r="W11" s="353"/>
      <c r="X11" s="353"/>
      <c r="Y11" s="353"/>
      <c r="Z11" s="353"/>
    </row>
    <row r="12" spans="1:26" ht="15.5" x14ac:dyDescent="0.25">
      <c r="A12" s="353"/>
      <c r="B12" s="419"/>
      <c r="C12" s="422"/>
      <c r="D12" s="353"/>
      <c r="E12" s="353"/>
      <c r="F12" s="353"/>
      <c r="G12" s="353"/>
      <c r="H12" s="353"/>
      <c r="I12" s="353"/>
      <c r="J12" s="353"/>
      <c r="K12" s="353"/>
      <c r="L12" s="353"/>
      <c r="M12" s="353"/>
      <c r="N12" s="353"/>
      <c r="O12" s="353"/>
      <c r="P12" s="353"/>
      <c r="Q12" s="353"/>
      <c r="R12" s="353"/>
      <c r="S12" s="353"/>
      <c r="T12" s="353"/>
      <c r="U12" s="353"/>
      <c r="V12" s="353"/>
      <c r="W12" s="353"/>
      <c r="X12" s="353"/>
      <c r="Y12" s="353"/>
      <c r="Z12" s="353"/>
    </row>
    <row r="13" spans="1:26" ht="15.5" x14ac:dyDescent="0.25">
      <c r="A13" s="353"/>
      <c r="B13" s="419"/>
      <c r="C13" s="422"/>
      <c r="D13" s="353"/>
      <c r="E13" s="353"/>
      <c r="F13" s="353"/>
      <c r="G13" s="353"/>
      <c r="H13" s="353"/>
      <c r="I13" s="353"/>
      <c r="J13" s="353"/>
      <c r="K13" s="353"/>
      <c r="L13" s="353"/>
      <c r="M13" s="353"/>
      <c r="N13" s="353"/>
      <c r="O13" s="353"/>
      <c r="P13" s="353"/>
      <c r="Q13" s="353"/>
      <c r="R13" s="353"/>
      <c r="S13" s="353"/>
      <c r="T13" s="353"/>
      <c r="U13" s="353"/>
      <c r="V13" s="353"/>
      <c r="W13" s="353"/>
      <c r="X13" s="353"/>
      <c r="Y13" s="353"/>
      <c r="Z13" s="353"/>
    </row>
    <row r="14" spans="1:26" ht="15.5" x14ac:dyDescent="0.25">
      <c r="A14" s="353"/>
      <c r="B14" s="419"/>
      <c r="C14" s="422"/>
      <c r="D14" s="353"/>
      <c r="E14" s="353"/>
      <c r="F14" s="353"/>
      <c r="G14" s="353"/>
      <c r="H14" s="353"/>
      <c r="I14" s="353"/>
      <c r="J14" s="353"/>
      <c r="K14" s="353"/>
      <c r="L14" s="353"/>
      <c r="M14" s="353"/>
      <c r="N14" s="353"/>
      <c r="O14" s="353"/>
      <c r="P14" s="353"/>
      <c r="Q14" s="353"/>
      <c r="R14" s="353"/>
      <c r="S14" s="353"/>
      <c r="T14" s="353"/>
      <c r="U14" s="353"/>
      <c r="V14" s="353"/>
      <c r="W14" s="353"/>
      <c r="X14" s="353"/>
      <c r="Y14" s="353"/>
      <c r="Z14" s="353"/>
    </row>
    <row r="15" spans="1:26" ht="15.5" x14ac:dyDescent="0.25">
      <c r="A15" s="353"/>
      <c r="B15" s="419"/>
      <c r="C15" s="422"/>
      <c r="D15" s="353"/>
      <c r="E15" s="353"/>
      <c r="F15" s="353"/>
      <c r="G15" s="353"/>
      <c r="H15" s="353"/>
      <c r="I15" s="353"/>
      <c r="J15" s="353"/>
      <c r="K15" s="353"/>
      <c r="L15" s="353"/>
      <c r="M15" s="353"/>
      <c r="N15" s="353"/>
      <c r="O15" s="353"/>
      <c r="P15" s="353"/>
      <c r="Q15" s="353"/>
      <c r="R15" s="353"/>
      <c r="S15" s="353"/>
      <c r="T15" s="353"/>
      <c r="U15" s="353"/>
      <c r="V15" s="353"/>
      <c r="W15" s="353"/>
      <c r="X15" s="353"/>
      <c r="Y15" s="353"/>
      <c r="Z15" s="353"/>
    </row>
    <row r="16" spans="1:26" ht="15.5" x14ac:dyDescent="0.25">
      <c r="A16" s="353"/>
      <c r="B16" s="419"/>
      <c r="C16" s="422"/>
      <c r="D16" s="353"/>
      <c r="E16" s="353"/>
      <c r="F16" s="353"/>
      <c r="G16" s="353"/>
      <c r="H16" s="353"/>
      <c r="I16" s="353"/>
      <c r="J16" s="353"/>
      <c r="K16" s="353"/>
      <c r="L16" s="353"/>
      <c r="M16" s="353"/>
      <c r="N16" s="353"/>
      <c r="O16" s="353"/>
      <c r="P16" s="353"/>
      <c r="Q16" s="353"/>
      <c r="R16" s="353"/>
      <c r="S16" s="353"/>
      <c r="T16" s="353"/>
      <c r="U16" s="353"/>
      <c r="V16" s="353"/>
      <c r="W16" s="353"/>
      <c r="X16" s="353"/>
      <c r="Y16" s="353"/>
      <c r="Z16" s="353"/>
    </row>
    <row r="17" spans="1:26" ht="15.5" x14ac:dyDescent="0.25">
      <c r="A17" s="353"/>
      <c r="B17" s="419"/>
      <c r="C17" s="422"/>
      <c r="D17" s="353"/>
      <c r="E17" s="353"/>
      <c r="F17" s="353"/>
      <c r="G17" s="353"/>
      <c r="H17" s="353"/>
      <c r="I17" s="353"/>
      <c r="J17" s="353"/>
      <c r="K17" s="353"/>
      <c r="L17" s="353"/>
      <c r="M17" s="353"/>
      <c r="N17" s="353"/>
      <c r="O17" s="353"/>
      <c r="P17" s="353"/>
      <c r="Q17" s="353"/>
      <c r="R17" s="353"/>
      <c r="S17" s="353"/>
      <c r="T17" s="353"/>
      <c r="U17" s="353"/>
      <c r="V17" s="353"/>
      <c r="W17" s="353"/>
      <c r="X17" s="353"/>
      <c r="Y17" s="353"/>
      <c r="Z17" s="353"/>
    </row>
    <row r="18" spans="1:26" ht="15.5" x14ac:dyDescent="0.25">
      <c r="A18" s="353"/>
      <c r="B18" s="419"/>
      <c r="C18" s="422"/>
      <c r="D18" s="353"/>
      <c r="E18" s="353"/>
      <c r="F18" s="353"/>
      <c r="G18" s="353"/>
      <c r="H18" s="353"/>
      <c r="I18" s="353"/>
      <c r="J18" s="353"/>
      <c r="K18" s="353"/>
      <c r="L18" s="353"/>
      <c r="M18" s="353"/>
      <c r="N18" s="353"/>
      <c r="O18" s="353"/>
      <c r="P18" s="353"/>
      <c r="Q18" s="353"/>
      <c r="R18" s="353"/>
      <c r="S18" s="353"/>
      <c r="T18" s="353"/>
      <c r="U18" s="353"/>
      <c r="V18" s="353"/>
      <c r="W18" s="353"/>
      <c r="X18" s="353"/>
      <c r="Y18" s="353"/>
      <c r="Z18" s="353"/>
    </row>
    <row r="19" spans="1:26" ht="15.5" x14ac:dyDescent="0.25">
      <c r="A19" s="353"/>
      <c r="B19" s="420"/>
      <c r="C19" s="678"/>
      <c r="D19" s="353"/>
      <c r="E19" s="353"/>
      <c r="F19" s="353"/>
      <c r="G19" s="353"/>
      <c r="H19" s="353"/>
      <c r="I19" s="353"/>
      <c r="J19" s="353"/>
      <c r="K19" s="353"/>
      <c r="L19" s="353"/>
      <c r="M19" s="353"/>
      <c r="N19" s="353"/>
      <c r="O19" s="353"/>
      <c r="P19" s="353"/>
      <c r="Q19" s="353"/>
      <c r="R19" s="353"/>
      <c r="S19" s="353"/>
      <c r="T19" s="353"/>
      <c r="U19" s="353"/>
      <c r="V19" s="353"/>
      <c r="W19" s="353"/>
      <c r="X19" s="353"/>
      <c r="Y19" s="353"/>
      <c r="Z19" s="353"/>
    </row>
    <row r="20" spans="1:26" ht="15.5" x14ac:dyDescent="0.25">
      <c r="A20" s="353"/>
      <c r="B20" s="1142"/>
      <c r="C20" s="1143"/>
      <c r="D20" s="353"/>
      <c r="E20" s="353"/>
      <c r="F20" s="353"/>
      <c r="G20" s="353"/>
      <c r="H20" s="353"/>
      <c r="I20" s="353"/>
      <c r="J20" s="353"/>
      <c r="K20" s="353"/>
      <c r="L20" s="353"/>
      <c r="M20" s="353"/>
      <c r="N20" s="353"/>
      <c r="O20" s="353"/>
      <c r="P20" s="353"/>
      <c r="Q20" s="353"/>
      <c r="R20" s="353"/>
      <c r="S20" s="353"/>
      <c r="T20" s="353"/>
      <c r="U20" s="353"/>
      <c r="V20" s="353"/>
      <c r="W20" s="353"/>
      <c r="X20" s="353"/>
      <c r="Y20" s="353"/>
      <c r="Z20" s="353"/>
    </row>
    <row r="21" spans="1:26" ht="15.5" x14ac:dyDescent="0.25">
      <c r="A21" s="353"/>
      <c r="B21" s="1142"/>
      <c r="C21" s="1143"/>
      <c r="D21" s="353"/>
      <c r="E21" s="353"/>
      <c r="F21" s="353"/>
      <c r="G21" s="353"/>
      <c r="H21" s="353"/>
      <c r="I21" s="353"/>
      <c r="J21" s="353"/>
      <c r="K21" s="353"/>
      <c r="L21" s="353"/>
      <c r="M21" s="353"/>
      <c r="N21" s="353"/>
      <c r="O21" s="353"/>
      <c r="P21" s="353"/>
      <c r="Q21" s="353"/>
      <c r="R21" s="353"/>
      <c r="S21" s="353"/>
      <c r="T21" s="353"/>
      <c r="U21" s="353"/>
      <c r="V21" s="353"/>
      <c r="W21" s="353"/>
      <c r="X21" s="353"/>
      <c r="Y21" s="353"/>
      <c r="Z21" s="353"/>
    </row>
    <row r="22" spans="1:26" ht="15.5" x14ac:dyDescent="0.25">
      <c r="A22" s="353"/>
      <c r="B22" s="1142"/>
      <c r="C22" s="1143"/>
      <c r="D22" s="353"/>
      <c r="E22" s="353"/>
      <c r="F22" s="353"/>
      <c r="G22" s="353"/>
      <c r="H22" s="353"/>
      <c r="I22" s="353"/>
      <c r="J22" s="353"/>
      <c r="K22" s="353"/>
      <c r="L22" s="353"/>
      <c r="M22" s="353"/>
      <c r="N22" s="353"/>
      <c r="O22" s="353"/>
      <c r="P22" s="353"/>
      <c r="Q22" s="353"/>
      <c r="R22" s="353"/>
      <c r="S22" s="353"/>
      <c r="T22" s="353"/>
      <c r="U22" s="353"/>
      <c r="V22" s="353"/>
      <c r="W22" s="353"/>
      <c r="X22" s="353"/>
      <c r="Y22" s="353"/>
      <c r="Z22" s="353"/>
    </row>
    <row r="23" spans="1:26" ht="15.5" x14ac:dyDescent="0.25">
      <c r="A23" s="353"/>
      <c r="B23" s="1142"/>
      <c r="C23" s="1143"/>
      <c r="D23" s="353"/>
      <c r="E23" s="353"/>
      <c r="F23" s="353"/>
      <c r="G23" s="353"/>
      <c r="H23" s="353"/>
      <c r="I23" s="353"/>
      <c r="J23" s="353"/>
      <c r="K23" s="353"/>
      <c r="L23" s="353"/>
      <c r="M23" s="353"/>
      <c r="N23" s="353"/>
      <c r="O23" s="353"/>
      <c r="P23" s="353"/>
      <c r="Q23" s="353"/>
      <c r="R23" s="353"/>
      <c r="S23" s="353"/>
      <c r="T23" s="353"/>
      <c r="U23" s="353"/>
      <c r="V23" s="353"/>
      <c r="W23" s="353"/>
      <c r="X23" s="353"/>
      <c r="Y23" s="353"/>
      <c r="Z23" s="353"/>
    </row>
    <row r="24" spans="1:26" ht="16" thickBot="1" x14ac:dyDescent="0.3">
      <c r="A24" s="353"/>
      <c r="B24" s="1144"/>
      <c r="C24" s="1145"/>
      <c r="D24" s="353"/>
      <c r="E24" s="353"/>
      <c r="F24" s="353"/>
      <c r="G24" s="353"/>
      <c r="H24" s="353"/>
      <c r="I24" s="353"/>
      <c r="J24" s="353"/>
      <c r="K24" s="353"/>
      <c r="L24" s="353"/>
      <c r="M24" s="353"/>
      <c r="N24" s="353"/>
      <c r="O24" s="353"/>
      <c r="P24" s="353"/>
      <c r="Q24" s="353"/>
      <c r="R24" s="353"/>
      <c r="S24" s="353"/>
      <c r="T24" s="353"/>
      <c r="U24" s="353"/>
      <c r="V24" s="353"/>
      <c r="W24" s="353"/>
      <c r="X24" s="353"/>
      <c r="Y24" s="353"/>
      <c r="Z24" s="353"/>
    </row>
    <row r="25" spans="1:26" ht="16" thickBot="1" x14ac:dyDescent="0.4">
      <c r="A25" s="353"/>
      <c r="B25" s="418" t="s">
        <v>2221</v>
      </c>
      <c r="C25" s="357">
        <f>SUM(C10:C24)</f>
        <v>0</v>
      </c>
      <c r="D25" s="353"/>
      <c r="E25" s="353"/>
      <c r="F25" s="353"/>
      <c r="G25" s="353"/>
      <c r="H25" s="353"/>
      <c r="I25" s="353"/>
      <c r="J25" s="353"/>
      <c r="K25" s="353"/>
      <c r="L25" s="353"/>
      <c r="M25" s="353"/>
      <c r="N25" s="353"/>
      <c r="O25" s="353"/>
      <c r="P25" s="353"/>
      <c r="Q25" s="353"/>
      <c r="R25" s="353"/>
      <c r="S25" s="353"/>
      <c r="T25" s="353"/>
      <c r="U25" s="353"/>
      <c r="V25" s="353"/>
      <c r="W25" s="353"/>
      <c r="X25" s="353"/>
      <c r="Y25" s="353"/>
      <c r="Z25" s="353"/>
    </row>
    <row r="26" spans="1:26" ht="13" x14ac:dyDescent="0.3">
      <c r="A26" s="353"/>
      <c r="B26" s="353"/>
      <c r="C26" s="479" t="str">
        <f>IF(C25&lt;&gt;-RS!E52,"This total needs to match your total income in RS line 722","")</f>
        <v/>
      </c>
      <c r="D26" s="353"/>
      <c r="E26" s="353"/>
      <c r="F26" s="353"/>
      <c r="G26" s="353"/>
      <c r="H26" s="353"/>
      <c r="I26" s="353"/>
      <c r="J26" s="353"/>
      <c r="K26" s="353"/>
      <c r="L26" s="353"/>
      <c r="M26" s="353"/>
      <c r="N26" s="353"/>
      <c r="O26" s="353"/>
      <c r="P26" s="353"/>
      <c r="Q26" s="353"/>
      <c r="R26" s="353"/>
      <c r="S26" s="353"/>
      <c r="T26" s="353"/>
      <c r="U26" s="353"/>
      <c r="V26" s="353"/>
      <c r="W26" s="353"/>
      <c r="X26" s="353"/>
      <c r="Y26" s="353"/>
      <c r="Z26" s="353"/>
    </row>
    <row r="27" spans="1:26" x14ac:dyDescent="0.25">
      <c r="A27" s="353"/>
      <c r="B27" s="353"/>
      <c r="C27" s="353"/>
      <c r="D27" s="353"/>
      <c r="E27" s="353"/>
      <c r="F27" s="353"/>
      <c r="G27" s="353"/>
      <c r="H27" s="353"/>
      <c r="I27" s="353"/>
      <c r="J27" s="353"/>
      <c r="K27" s="353"/>
      <c r="L27" s="353"/>
      <c r="M27" s="353"/>
      <c r="N27" s="353"/>
      <c r="O27" s="353"/>
      <c r="P27" s="353"/>
      <c r="Q27" s="353"/>
      <c r="R27" s="353"/>
      <c r="S27" s="353"/>
      <c r="T27" s="353"/>
      <c r="U27" s="353"/>
      <c r="V27" s="353"/>
      <c r="W27" s="353"/>
      <c r="X27" s="353"/>
      <c r="Y27" s="353"/>
      <c r="Z27" s="353"/>
    </row>
    <row r="28" spans="1:26" ht="18" x14ac:dyDescent="0.4">
      <c r="A28" s="353"/>
      <c r="B28" s="368" t="s">
        <v>2222</v>
      </c>
      <c r="C28" s="353"/>
      <c r="D28" s="353"/>
      <c r="E28" s="353"/>
      <c r="F28" s="353"/>
      <c r="G28" s="353"/>
      <c r="H28" s="353"/>
      <c r="I28" s="353"/>
      <c r="J28" s="353"/>
      <c r="K28" s="353"/>
      <c r="L28" s="353"/>
      <c r="M28" s="353"/>
      <c r="N28" s="353"/>
      <c r="O28" s="353"/>
      <c r="P28" s="353"/>
      <c r="Q28" s="353"/>
      <c r="R28" s="353"/>
      <c r="S28" s="353"/>
      <c r="T28" s="353"/>
      <c r="U28" s="353"/>
      <c r="V28" s="353"/>
      <c r="W28" s="353"/>
      <c r="X28" s="353"/>
      <c r="Y28" s="353"/>
      <c r="Z28" s="353"/>
    </row>
    <row r="29" spans="1:26" x14ac:dyDescent="0.25">
      <c r="A29" s="353"/>
      <c r="B29" s="353"/>
      <c r="C29" s="353"/>
      <c r="D29" s="353"/>
      <c r="E29" s="353"/>
      <c r="F29" s="353"/>
      <c r="G29" s="353"/>
      <c r="H29" s="353"/>
      <c r="I29" s="353"/>
      <c r="J29" s="353"/>
      <c r="K29" s="353"/>
      <c r="L29" s="353"/>
      <c r="M29" s="353"/>
      <c r="N29" s="353"/>
      <c r="O29" s="353"/>
      <c r="P29" s="353"/>
      <c r="Q29" s="353"/>
      <c r="R29" s="353"/>
      <c r="S29" s="353"/>
      <c r="T29" s="353"/>
      <c r="U29" s="353"/>
      <c r="V29" s="353"/>
      <c r="W29" s="353"/>
      <c r="X29" s="353"/>
      <c r="Y29" s="353"/>
      <c r="Z29" s="353"/>
    </row>
    <row r="30" spans="1:26" ht="15.5" x14ac:dyDescent="0.35">
      <c r="A30" s="353"/>
      <c r="B30" s="354" t="s">
        <v>2223</v>
      </c>
      <c r="C30" s="353"/>
      <c r="D30" s="353"/>
      <c r="E30" s="353"/>
      <c r="F30" s="353"/>
      <c r="G30" s="353"/>
      <c r="H30" s="353"/>
      <c r="I30" s="353"/>
      <c r="J30" s="353"/>
      <c r="K30" s="353"/>
      <c r="L30" s="353"/>
      <c r="M30" s="353"/>
      <c r="N30" s="353"/>
      <c r="O30" s="353"/>
      <c r="P30" s="353"/>
      <c r="Q30" s="353"/>
      <c r="R30" s="353"/>
      <c r="S30" s="353"/>
      <c r="T30" s="353"/>
      <c r="U30" s="353"/>
      <c r="V30" s="353"/>
      <c r="W30" s="353"/>
      <c r="X30" s="353"/>
      <c r="Y30" s="353"/>
      <c r="Z30" s="353"/>
    </row>
    <row r="31" spans="1:26" ht="15.5" x14ac:dyDescent="0.35">
      <c r="A31" s="353"/>
      <c r="B31" s="354" t="s">
        <v>2217</v>
      </c>
      <c r="C31" s="353"/>
      <c r="D31" s="353"/>
      <c r="E31" s="353"/>
      <c r="F31" s="353"/>
      <c r="G31" s="353"/>
      <c r="H31" s="353"/>
      <c r="I31" s="353"/>
      <c r="J31" s="353"/>
      <c r="K31" s="353"/>
      <c r="L31" s="353"/>
      <c r="M31" s="353"/>
      <c r="N31" s="353"/>
      <c r="O31" s="353"/>
      <c r="P31" s="353"/>
      <c r="Q31" s="353"/>
      <c r="R31" s="353"/>
      <c r="S31" s="353"/>
      <c r="T31" s="353"/>
      <c r="U31" s="353"/>
      <c r="V31" s="353"/>
      <c r="W31" s="353"/>
      <c r="X31" s="353"/>
      <c r="Y31" s="353"/>
      <c r="Z31" s="353"/>
    </row>
    <row r="32" spans="1:26" ht="15.5" x14ac:dyDescent="0.35">
      <c r="A32" s="353"/>
      <c r="B32" s="358"/>
      <c r="C32" s="353"/>
      <c r="D32" s="353"/>
      <c r="E32" s="353"/>
      <c r="F32" s="353"/>
      <c r="G32" s="353"/>
      <c r="H32" s="353"/>
      <c r="I32" s="353"/>
      <c r="J32" s="353"/>
      <c r="K32" s="353"/>
      <c r="L32" s="353"/>
      <c r="M32" s="353"/>
      <c r="N32" s="353"/>
      <c r="O32" s="353"/>
      <c r="P32" s="353"/>
      <c r="Q32" s="353"/>
      <c r="R32" s="353"/>
      <c r="S32" s="353"/>
      <c r="T32" s="353"/>
      <c r="U32" s="353"/>
      <c r="V32" s="353"/>
      <c r="W32" s="353"/>
      <c r="X32" s="353"/>
      <c r="Y32" s="353"/>
      <c r="Z32" s="353"/>
    </row>
    <row r="33" spans="1:26" ht="18.5" thickBot="1" x14ac:dyDescent="0.45">
      <c r="A33" s="353"/>
      <c r="B33" s="355" t="s">
        <v>2224</v>
      </c>
      <c r="C33" s="353"/>
      <c r="D33" s="353"/>
      <c r="E33" s="353"/>
      <c r="F33" s="353"/>
      <c r="G33" s="353"/>
      <c r="H33" s="353"/>
      <c r="I33" s="353"/>
      <c r="J33" s="353"/>
      <c r="K33" s="353"/>
      <c r="L33" s="353"/>
      <c r="M33" s="353"/>
      <c r="N33" s="353"/>
      <c r="O33" s="353"/>
      <c r="P33" s="353"/>
      <c r="Q33" s="353"/>
      <c r="R33" s="353"/>
      <c r="S33" s="353"/>
      <c r="T33" s="353"/>
      <c r="U33" s="353"/>
      <c r="V33" s="353"/>
      <c r="W33" s="353"/>
      <c r="X33" s="353"/>
      <c r="Y33" s="353"/>
      <c r="Z33" s="353"/>
    </row>
    <row r="34" spans="1:26" ht="40.5" thickBot="1" x14ac:dyDescent="0.45">
      <c r="A34" s="353"/>
      <c r="B34" s="359" t="s">
        <v>2219</v>
      </c>
      <c r="C34" s="424" t="s">
        <v>2225</v>
      </c>
      <c r="D34" s="353"/>
      <c r="E34" s="353"/>
      <c r="F34" s="353"/>
      <c r="G34" s="353"/>
      <c r="H34" s="353"/>
      <c r="I34" s="353"/>
      <c r="J34" s="353"/>
      <c r="K34" s="353"/>
      <c r="L34" s="353"/>
      <c r="M34" s="353"/>
      <c r="N34" s="353"/>
      <c r="O34" s="353"/>
      <c r="P34" s="353"/>
      <c r="Q34" s="353"/>
      <c r="R34" s="353"/>
      <c r="S34" s="353"/>
      <c r="T34" s="353"/>
      <c r="U34" s="353"/>
      <c r="V34" s="353"/>
      <c r="W34" s="353"/>
      <c r="X34" s="353"/>
      <c r="Y34" s="353"/>
      <c r="Z34" s="353"/>
    </row>
    <row r="35" spans="1:26" ht="15.5" x14ac:dyDescent="0.25">
      <c r="A35" s="353"/>
      <c r="B35" s="419"/>
      <c r="C35" s="421"/>
      <c r="D35" s="353"/>
      <c r="E35" s="353"/>
      <c r="F35" s="353"/>
      <c r="G35" s="353"/>
      <c r="H35" s="353"/>
      <c r="I35" s="353"/>
      <c r="J35" s="353"/>
      <c r="K35" s="353"/>
      <c r="L35" s="353"/>
      <c r="M35" s="353"/>
      <c r="N35" s="353"/>
      <c r="O35" s="353"/>
      <c r="P35" s="353"/>
      <c r="Q35" s="353"/>
      <c r="R35" s="353"/>
      <c r="S35" s="353"/>
      <c r="T35" s="353"/>
      <c r="U35" s="353"/>
      <c r="V35" s="353"/>
      <c r="W35" s="353"/>
      <c r="X35" s="353"/>
      <c r="Y35" s="353"/>
      <c r="Z35" s="353"/>
    </row>
    <row r="36" spans="1:26" ht="15.5" x14ac:dyDescent="0.25">
      <c r="A36" s="353"/>
      <c r="B36" s="419"/>
      <c r="C36" s="421"/>
      <c r="D36" s="353"/>
      <c r="E36" s="353"/>
      <c r="F36" s="353"/>
      <c r="G36" s="353"/>
      <c r="H36" s="353"/>
      <c r="I36" s="353"/>
      <c r="J36" s="353"/>
      <c r="K36" s="353"/>
      <c r="L36" s="353"/>
      <c r="M36" s="353"/>
      <c r="N36" s="353"/>
      <c r="O36" s="353"/>
      <c r="P36" s="353"/>
      <c r="Q36" s="353"/>
      <c r="R36" s="353"/>
      <c r="S36" s="353"/>
      <c r="T36" s="353"/>
      <c r="U36" s="353"/>
      <c r="V36" s="353"/>
      <c r="W36" s="353"/>
      <c r="X36" s="353"/>
      <c r="Y36" s="353"/>
      <c r="Z36" s="353"/>
    </row>
    <row r="37" spans="1:26" ht="15.5" x14ac:dyDescent="0.25">
      <c r="A37" s="353"/>
      <c r="B37" s="419"/>
      <c r="C37" s="421"/>
      <c r="D37" s="353"/>
      <c r="E37" s="353"/>
      <c r="F37" s="353"/>
      <c r="G37" s="353"/>
      <c r="H37" s="353"/>
      <c r="I37" s="353"/>
      <c r="J37" s="353"/>
      <c r="K37" s="353"/>
      <c r="L37" s="353"/>
      <c r="M37" s="353"/>
      <c r="N37" s="353"/>
      <c r="O37" s="353"/>
      <c r="P37" s="353"/>
      <c r="Q37" s="353"/>
      <c r="R37" s="353"/>
      <c r="S37" s="353"/>
      <c r="T37" s="353"/>
      <c r="U37" s="353"/>
      <c r="V37" s="353"/>
      <c r="W37" s="353"/>
      <c r="X37" s="353"/>
      <c r="Y37" s="353"/>
      <c r="Z37" s="353"/>
    </row>
    <row r="38" spans="1:26" ht="15.5" x14ac:dyDescent="0.25">
      <c r="A38" s="353"/>
      <c r="B38" s="419"/>
      <c r="C38" s="421"/>
      <c r="D38" s="353"/>
      <c r="E38" s="353"/>
      <c r="F38" s="353"/>
      <c r="G38" s="353"/>
      <c r="H38" s="353"/>
      <c r="I38" s="353"/>
      <c r="J38" s="353"/>
      <c r="K38" s="353"/>
      <c r="L38" s="353"/>
      <c r="M38" s="353"/>
      <c r="N38" s="353"/>
      <c r="O38" s="353"/>
      <c r="P38" s="353"/>
      <c r="Q38" s="353"/>
      <c r="R38" s="353"/>
      <c r="S38" s="353"/>
      <c r="T38" s="353"/>
      <c r="U38" s="353"/>
      <c r="V38" s="353"/>
      <c r="W38" s="353"/>
      <c r="X38" s="353"/>
      <c r="Y38" s="353"/>
      <c r="Z38" s="353"/>
    </row>
    <row r="39" spans="1:26" ht="15.5" x14ac:dyDescent="0.25">
      <c r="A39" s="353"/>
      <c r="B39" s="419"/>
      <c r="C39" s="421"/>
      <c r="D39" s="353"/>
      <c r="E39" s="353"/>
      <c r="F39" s="353"/>
      <c r="G39" s="353"/>
      <c r="H39" s="353"/>
      <c r="I39" s="353"/>
      <c r="J39" s="353"/>
      <c r="K39" s="353"/>
      <c r="L39" s="353"/>
      <c r="M39" s="353"/>
      <c r="N39" s="353"/>
      <c r="O39" s="353"/>
      <c r="P39" s="353"/>
      <c r="Q39" s="353"/>
      <c r="R39" s="353"/>
      <c r="S39" s="353"/>
      <c r="T39" s="353"/>
      <c r="U39" s="353"/>
      <c r="V39" s="353"/>
      <c r="W39" s="353"/>
      <c r="X39" s="353"/>
      <c r="Y39" s="353"/>
      <c r="Z39" s="353"/>
    </row>
    <row r="40" spans="1:26" ht="15.5" x14ac:dyDescent="0.25">
      <c r="A40" s="353"/>
      <c r="B40" s="419"/>
      <c r="C40" s="421"/>
      <c r="D40" s="353"/>
      <c r="E40" s="353"/>
      <c r="F40" s="353"/>
      <c r="G40" s="353"/>
      <c r="H40" s="353"/>
      <c r="I40" s="353"/>
      <c r="J40" s="353"/>
      <c r="K40" s="353"/>
      <c r="L40" s="353"/>
      <c r="M40" s="353"/>
      <c r="N40" s="353"/>
      <c r="O40" s="353"/>
      <c r="P40" s="353"/>
      <c r="Q40" s="353"/>
      <c r="R40" s="353"/>
      <c r="S40" s="353"/>
      <c r="T40" s="353"/>
      <c r="U40" s="353"/>
      <c r="V40" s="353"/>
      <c r="W40" s="353"/>
      <c r="X40" s="353"/>
      <c r="Y40" s="353"/>
      <c r="Z40" s="353"/>
    </row>
    <row r="41" spans="1:26" ht="15.5" x14ac:dyDescent="0.25">
      <c r="A41" s="353"/>
      <c r="B41" s="419"/>
      <c r="C41" s="421"/>
      <c r="D41" s="353"/>
      <c r="E41" s="353"/>
      <c r="F41" s="353"/>
      <c r="G41" s="353"/>
      <c r="H41" s="353"/>
      <c r="I41" s="353"/>
      <c r="J41" s="353"/>
      <c r="K41" s="353"/>
      <c r="L41" s="353"/>
      <c r="M41" s="353"/>
      <c r="N41" s="353"/>
      <c r="O41" s="353"/>
      <c r="P41" s="353"/>
      <c r="Q41" s="353"/>
      <c r="R41" s="353"/>
      <c r="S41" s="353"/>
      <c r="T41" s="353"/>
      <c r="U41" s="353"/>
      <c r="V41" s="353"/>
      <c r="W41" s="353"/>
      <c r="X41" s="353"/>
      <c r="Y41" s="353"/>
      <c r="Z41" s="353"/>
    </row>
    <row r="42" spans="1:26" ht="15.5" x14ac:dyDescent="0.25">
      <c r="A42" s="353"/>
      <c r="B42" s="419"/>
      <c r="C42" s="421"/>
      <c r="D42" s="353"/>
      <c r="E42" s="353"/>
      <c r="F42" s="353"/>
      <c r="G42" s="353"/>
      <c r="H42" s="353"/>
      <c r="I42" s="353"/>
      <c r="J42" s="353"/>
      <c r="K42" s="353"/>
      <c r="L42" s="353"/>
      <c r="M42" s="353"/>
      <c r="N42" s="353"/>
      <c r="O42" s="353"/>
      <c r="P42" s="353"/>
      <c r="Q42" s="353"/>
      <c r="R42" s="353"/>
      <c r="S42" s="353"/>
      <c r="T42" s="353"/>
      <c r="U42" s="353"/>
      <c r="V42" s="353"/>
      <c r="W42" s="353"/>
      <c r="X42" s="353"/>
      <c r="Y42" s="353"/>
      <c r="Z42" s="353"/>
    </row>
    <row r="43" spans="1:26" ht="15.5" x14ac:dyDescent="0.25">
      <c r="A43" s="353"/>
      <c r="B43" s="419"/>
      <c r="C43" s="421"/>
      <c r="D43" s="353"/>
      <c r="E43" s="353"/>
      <c r="F43" s="353"/>
      <c r="G43" s="353"/>
      <c r="H43" s="353"/>
      <c r="I43" s="353"/>
      <c r="J43" s="353"/>
      <c r="K43" s="353"/>
      <c r="L43" s="353"/>
      <c r="M43" s="353"/>
      <c r="N43" s="353"/>
      <c r="O43" s="353"/>
      <c r="P43" s="353"/>
      <c r="Q43" s="353"/>
      <c r="R43" s="353"/>
      <c r="S43" s="353"/>
      <c r="T43" s="353"/>
      <c r="U43" s="353"/>
      <c r="V43" s="353"/>
      <c r="W43" s="353"/>
      <c r="X43" s="353"/>
      <c r="Y43" s="353"/>
      <c r="Z43" s="353"/>
    </row>
    <row r="44" spans="1:26" ht="15.5" x14ac:dyDescent="0.25">
      <c r="A44" s="353"/>
      <c r="B44" s="420"/>
      <c r="C44" s="679"/>
      <c r="D44" s="353"/>
      <c r="E44" s="353"/>
      <c r="F44" s="353"/>
      <c r="G44" s="353"/>
      <c r="H44" s="353"/>
      <c r="I44" s="353"/>
      <c r="J44" s="353"/>
      <c r="K44" s="353"/>
      <c r="L44" s="353"/>
      <c r="M44" s="353"/>
      <c r="N44" s="353"/>
      <c r="O44" s="353"/>
      <c r="P44" s="353"/>
      <c r="Q44" s="353"/>
      <c r="R44" s="353"/>
      <c r="S44" s="353"/>
      <c r="T44" s="353"/>
      <c r="U44" s="353"/>
      <c r="V44" s="353"/>
      <c r="W44" s="353"/>
      <c r="X44" s="353"/>
      <c r="Y44" s="353"/>
      <c r="Z44" s="353"/>
    </row>
    <row r="45" spans="1:26" ht="15.5" x14ac:dyDescent="0.25">
      <c r="A45" s="353"/>
      <c r="B45" s="1142"/>
      <c r="C45" s="1146"/>
      <c r="D45" s="353"/>
      <c r="E45" s="353"/>
      <c r="F45" s="353"/>
      <c r="G45" s="353"/>
      <c r="H45" s="353"/>
      <c r="I45" s="353"/>
      <c r="J45" s="353"/>
      <c r="K45" s="353"/>
      <c r="L45" s="353"/>
      <c r="M45" s="353"/>
      <c r="N45" s="353"/>
      <c r="O45" s="353"/>
      <c r="P45" s="353"/>
      <c r="Q45" s="353"/>
      <c r="R45" s="353"/>
      <c r="S45" s="353"/>
      <c r="T45" s="353"/>
      <c r="U45" s="353"/>
      <c r="V45" s="353"/>
      <c r="W45" s="353"/>
      <c r="X45" s="353"/>
      <c r="Y45" s="353"/>
      <c r="Z45" s="353"/>
    </row>
    <row r="46" spans="1:26" ht="15.5" x14ac:dyDescent="0.25">
      <c r="A46" s="353"/>
      <c r="B46" s="1142"/>
      <c r="C46" s="1146"/>
      <c r="D46" s="353"/>
      <c r="E46" s="353"/>
      <c r="F46" s="353"/>
      <c r="G46" s="353"/>
      <c r="H46" s="353"/>
      <c r="I46" s="353"/>
      <c r="J46" s="353"/>
      <c r="K46" s="353"/>
      <c r="L46" s="353"/>
      <c r="M46" s="353"/>
      <c r="N46" s="353"/>
      <c r="O46" s="353"/>
      <c r="P46" s="353"/>
      <c r="Q46" s="353"/>
      <c r="R46" s="353"/>
      <c r="S46" s="353"/>
      <c r="T46" s="353"/>
      <c r="U46" s="353"/>
      <c r="V46" s="353"/>
      <c r="W46" s="353"/>
      <c r="X46" s="353"/>
      <c r="Y46" s="353"/>
      <c r="Z46" s="353"/>
    </row>
    <row r="47" spans="1:26" ht="15.5" x14ac:dyDescent="0.25">
      <c r="A47" s="353"/>
      <c r="B47" s="1142"/>
      <c r="C47" s="1146"/>
      <c r="D47" s="353"/>
      <c r="E47" s="353"/>
      <c r="F47" s="353"/>
      <c r="G47" s="353"/>
      <c r="H47" s="353"/>
      <c r="I47" s="353"/>
      <c r="J47" s="353"/>
      <c r="K47" s="353"/>
      <c r="L47" s="353"/>
      <c r="M47" s="353"/>
      <c r="N47" s="353"/>
      <c r="O47" s="353"/>
      <c r="P47" s="353"/>
      <c r="Q47" s="353"/>
      <c r="R47" s="353"/>
      <c r="S47" s="353"/>
      <c r="T47" s="353"/>
      <c r="U47" s="353"/>
      <c r="V47" s="353"/>
      <c r="W47" s="353"/>
      <c r="X47" s="353"/>
      <c r="Y47" s="353"/>
      <c r="Z47" s="353"/>
    </row>
    <row r="48" spans="1:26" ht="15.5" x14ac:dyDescent="0.25">
      <c r="A48" s="353"/>
      <c r="B48" s="1142"/>
      <c r="C48" s="1146"/>
      <c r="D48" s="353"/>
      <c r="E48" s="353"/>
      <c r="F48" s="353"/>
      <c r="G48" s="353"/>
      <c r="H48" s="353"/>
      <c r="I48" s="353"/>
      <c r="J48" s="353"/>
      <c r="K48" s="353"/>
      <c r="L48" s="353"/>
      <c r="M48" s="353"/>
      <c r="N48" s="353"/>
      <c r="O48" s="353"/>
      <c r="P48" s="353"/>
      <c r="Q48" s="353"/>
      <c r="R48" s="353"/>
      <c r="S48" s="353"/>
      <c r="T48" s="353"/>
      <c r="U48" s="353"/>
      <c r="V48" s="353"/>
      <c r="W48" s="353"/>
      <c r="X48" s="353"/>
      <c r="Y48" s="353"/>
      <c r="Z48" s="353"/>
    </row>
    <row r="49" spans="1:26" ht="16" thickBot="1" x14ac:dyDescent="0.3">
      <c r="A49" s="353"/>
      <c r="B49" s="1144"/>
      <c r="C49" s="1147"/>
      <c r="D49" s="353"/>
      <c r="E49" s="353"/>
      <c r="F49" s="353"/>
      <c r="G49" s="353"/>
      <c r="H49" s="353"/>
      <c r="I49" s="353"/>
      <c r="J49" s="353"/>
      <c r="K49" s="353"/>
      <c r="L49" s="353"/>
      <c r="M49" s="353"/>
      <c r="N49" s="353"/>
      <c r="O49" s="353"/>
      <c r="P49" s="353"/>
      <c r="Q49" s="353"/>
      <c r="R49" s="353"/>
      <c r="S49" s="353"/>
      <c r="T49" s="353"/>
      <c r="U49" s="353"/>
      <c r="V49" s="353"/>
      <c r="W49" s="353"/>
      <c r="X49" s="353"/>
      <c r="Y49" s="353"/>
      <c r="Z49" s="353"/>
    </row>
    <row r="50" spans="1:26" ht="16" thickBot="1" x14ac:dyDescent="0.4">
      <c r="A50" s="353"/>
      <c r="B50" s="418" t="s">
        <v>2221</v>
      </c>
      <c r="C50" s="357">
        <f>SUM(C35:C49)</f>
        <v>0</v>
      </c>
      <c r="D50" s="353"/>
      <c r="E50" s="353"/>
      <c r="F50" s="353"/>
      <c r="G50" s="353"/>
      <c r="H50" s="353"/>
      <c r="I50" s="353"/>
      <c r="J50" s="353"/>
      <c r="K50" s="353"/>
      <c r="L50" s="353"/>
      <c r="M50" s="353"/>
      <c r="N50" s="353"/>
      <c r="O50" s="353"/>
      <c r="P50" s="353"/>
      <c r="Q50" s="353"/>
      <c r="R50" s="353"/>
      <c r="S50" s="353"/>
      <c r="T50" s="353"/>
      <c r="U50" s="353"/>
      <c r="V50" s="353"/>
      <c r="W50" s="353"/>
      <c r="X50" s="353"/>
      <c r="Y50" s="353"/>
      <c r="Z50" s="353"/>
    </row>
    <row r="51" spans="1:26" ht="13" x14ac:dyDescent="0.3">
      <c r="A51" s="353"/>
      <c r="B51" s="353"/>
      <c r="C51" s="479" t="str">
        <f>IF(C50&lt;&gt;-RS!E53,"This needs to match your total income in RS line 724","")</f>
        <v/>
      </c>
      <c r="D51" s="353"/>
      <c r="E51" s="353"/>
      <c r="F51" s="353"/>
      <c r="G51" s="353"/>
      <c r="H51" s="353"/>
      <c r="I51" s="353"/>
      <c r="J51" s="353"/>
      <c r="K51" s="353"/>
      <c r="L51" s="353"/>
      <c r="M51" s="353"/>
      <c r="N51" s="353"/>
      <c r="O51" s="353"/>
      <c r="P51" s="353"/>
      <c r="Q51" s="353"/>
      <c r="R51" s="353"/>
      <c r="S51" s="353"/>
      <c r="T51" s="353"/>
      <c r="U51" s="353"/>
      <c r="V51" s="353"/>
      <c r="W51" s="353"/>
      <c r="X51" s="353"/>
      <c r="Y51" s="353"/>
      <c r="Z51" s="353"/>
    </row>
    <row r="52" spans="1:26" x14ac:dyDescent="0.25">
      <c r="A52" s="353"/>
      <c r="B52" s="353"/>
      <c r="C52" s="353"/>
      <c r="D52" s="353"/>
      <c r="E52" s="353"/>
      <c r="F52" s="353"/>
      <c r="G52" s="353"/>
      <c r="H52" s="353"/>
      <c r="I52" s="353"/>
      <c r="J52" s="353"/>
      <c r="K52" s="353"/>
      <c r="L52" s="353"/>
      <c r="M52" s="353"/>
      <c r="N52" s="353"/>
      <c r="O52" s="353"/>
      <c r="P52" s="353"/>
      <c r="Q52" s="353"/>
      <c r="R52" s="353"/>
      <c r="S52" s="353"/>
      <c r="T52" s="353"/>
      <c r="U52" s="353"/>
      <c r="V52" s="353"/>
      <c r="W52" s="353"/>
      <c r="X52" s="353"/>
      <c r="Y52" s="353"/>
      <c r="Z52" s="353"/>
    </row>
    <row r="53" spans="1:26" x14ac:dyDescent="0.25">
      <c r="A53" s="353"/>
      <c r="B53" s="353"/>
      <c r="C53" s="353"/>
      <c r="D53" s="353"/>
      <c r="E53" s="353"/>
      <c r="F53" s="353"/>
      <c r="G53" s="353"/>
      <c r="H53" s="353"/>
      <c r="I53" s="353"/>
      <c r="J53" s="353"/>
      <c r="K53" s="353"/>
      <c r="L53" s="353"/>
      <c r="M53" s="353"/>
      <c r="N53" s="353"/>
      <c r="O53" s="353"/>
      <c r="P53" s="353"/>
      <c r="Q53" s="353"/>
      <c r="R53" s="353"/>
      <c r="S53" s="353"/>
      <c r="T53" s="353"/>
      <c r="U53" s="353"/>
      <c r="V53" s="353"/>
      <c r="W53" s="353"/>
      <c r="X53" s="353"/>
      <c r="Y53" s="353"/>
      <c r="Z53" s="353"/>
    </row>
    <row r="54" spans="1:26" x14ac:dyDescent="0.25">
      <c r="A54" s="353"/>
      <c r="B54" s="353"/>
      <c r="C54" s="353"/>
      <c r="D54" s="353"/>
      <c r="E54" s="353"/>
      <c r="F54" s="353"/>
      <c r="G54" s="353"/>
      <c r="H54" s="353"/>
      <c r="I54" s="353"/>
      <c r="J54" s="353"/>
      <c r="K54" s="353"/>
      <c r="L54" s="353"/>
      <c r="M54" s="353"/>
      <c r="N54" s="353"/>
      <c r="O54" s="353"/>
      <c r="P54" s="353"/>
      <c r="Q54" s="353"/>
      <c r="R54" s="353"/>
      <c r="S54" s="353"/>
      <c r="T54" s="353"/>
      <c r="U54" s="353"/>
      <c r="V54" s="353"/>
      <c r="W54" s="353"/>
      <c r="X54" s="353"/>
      <c r="Y54" s="353"/>
      <c r="Z54" s="353"/>
    </row>
    <row r="55" spans="1:26" x14ac:dyDescent="0.25">
      <c r="A55" s="353"/>
      <c r="B55" s="353"/>
      <c r="C55" s="353"/>
      <c r="D55" s="353"/>
      <c r="E55" s="353"/>
      <c r="F55" s="353"/>
      <c r="G55" s="353"/>
      <c r="H55" s="353"/>
      <c r="I55" s="353"/>
      <c r="J55" s="353"/>
      <c r="K55" s="353"/>
      <c r="L55" s="353"/>
      <c r="M55" s="353"/>
      <c r="N55" s="353"/>
      <c r="O55" s="353"/>
      <c r="P55" s="353"/>
      <c r="Q55" s="353"/>
      <c r="R55" s="353"/>
      <c r="S55" s="353"/>
      <c r="T55" s="353"/>
      <c r="U55" s="353"/>
      <c r="V55" s="353"/>
      <c r="W55" s="353"/>
      <c r="X55" s="353"/>
      <c r="Y55" s="353"/>
      <c r="Z55" s="353"/>
    </row>
    <row r="56" spans="1:26" x14ac:dyDescent="0.25">
      <c r="A56" s="353"/>
      <c r="B56" s="353"/>
      <c r="C56" s="353"/>
      <c r="D56" s="353"/>
      <c r="E56" s="353"/>
      <c r="F56" s="353"/>
      <c r="G56" s="353"/>
      <c r="H56" s="353"/>
      <c r="I56" s="353"/>
      <c r="J56" s="353"/>
      <c r="K56" s="353"/>
      <c r="L56" s="353"/>
      <c r="M56" s="353"/>
      <c r="N56" s="353"/>
      <c r="O56" s="353"/>
      <c r="P56" s="353"/>
      <c r="Q56" s="353"/>
      <c r="R56" s="353"/>
      <c r="S56" s="353"/>
      <c r="T56" s="353"/>
      <c r="U56" s="353"/>
      <c r="V56" s="353"/>
      <c r="W56" s="353"/>
      <c r="X56" s="353"/>
      <c r="Y56" s="353"/>
      <c r="Z56" s="353"/>
    </row>
    <row r="57" spans="1:26" x14ac:dyDescent="0.25">
      <c r="A57" s="353"/>
      <c r="B57" s="353"/>
      <c r="C57" s="353"/>
      <c r="D57" s="353"/>
      <c r="E57" s="353"/>
      <c r="F57" s="353"/>
      <c r="G57" s="353"/>
      <c r="H57" s="353"/>
      <c r="I57" s="353"/>
      <c r="J57" s="353"/>
      <c r="K57" s="353"/>
      <c r="L57" s="353"/>
      <c r="M57" s="353"/>
      <c r="N57" s="353"/>
      <c r="O57" s="353"/>
      <c r="P57" s="353"/>
      <c r="Q57" s="353"/>
      <c r="R57" s="353"/>
      <c r="S57" s="353"/>
      <c r="T57" s="353"/>
      <c r="U57" s="353"/>
      <c r="V57" s="353"/>
      <c r="W57" s="353"/>
      <c r="X57" s="353"/>
      <c r="Y57" s="353"/>
      <c r="Z57" s="353"/>
    </row>
    <row r="58" spans="1:26" x14ac:dyDescent="0.25">
      <c r="A58" s="353"/>
      <c r="B58" s="353"/>
      <c r="C58" s="353"/>
      <c r="D58" s="353"/>
      <c r="E58" s="353"/>
      <c r="F58" s="353"/>
      <c r="G58" s="353"/>
      <c r="H58" s="353"/>
      <c r="I58" s="353"/>
      <c r="J58" s="353"/>
      <c r="K58" s="353"/>
      <c r="L58" s="353"/>
      <c r="M58" s="353"/>
      <c r="N58" s="353"/>
      <c r="O58" s="353"/>
      <c r="P58" s="353"/>
      <c r="Q58" s="353"/>
      <c r="R58" s="353"/>
      <c r="S58" s="353"/>
      <c r="T58" s="353"/>
      <c r="U58" s="353"/>
      <c r="V58" s="353"/>
      <c r="W58" s="353"/>
      <c r="X58" s="353"/>
      <c r="Y58" s="353"/>
      <c r="Z58" s="353"/>
    </row>
    <row r="59" spans="1:26" hidden="1" x14ac:dyDescent="0.25">
      <c r="A59" s="353"/>
      <c r="B59" s="353"/>
      <c r="C59" s="353"/>
      <c r="D59" s="353"/>
      <c r="E59" s="353"/>
      <c r="F59" s="353"/>
      <c r="G59" s="353"/>
      <c r="H59" s="353"/>
      <c r="I59" s="353"/>
      <c r="J59" s="353"/>
      <c r="K59" s="353"/>
      <c r="L59" s="353"/>
      <c r="M59" s="353"/>
      <c r="N59" s="353"/>
      <c r="O59" s="353"/>
      <c r="P59" s="353"/>
      <c r="Q59" s="353"/>
      <c r="R59" s="353"/>
      <c r="S59" s="353"/>
      <c r="T59" s="353"/>
      <c r="U59" s="353"/>
      <c r="V59" s="353"/>
      <c r="W59" s="353"/>
      <c r="X59" s="353"/>
      <c r="Y59" s="353"/>
      <c r="Z59" s="353"/>
    </row>
    <row r="60" spans="1:26" hidden="1" x14ac:dyDescent="0.25">
      <c r="A60" s="353"/>
      <c r="B60" s="353"/>
      <c r="C60" s="353"/>
      <c r="D60" s="353"/>
      <c r="E60" s="353"/>
      <c r="F60" s="353"/>
      <c r="G60" s="353"/>
      <c r="H60" s="353"/>
      <c r="I60" s="353"/>
      <c r="J60" s="353"/>
      <c r="K60" s="353"/>
      <c r="L60" s="353"/>
      <c r="M60" s="353"/>
      <c r="N60" s="353"/>
      <c r="O60" s="353"/>
      <c r="P60" s="353"/>
      <c r="Q60" s="353"/>
      <c r="R60" s="353"/>
      <c r="S60" s="353"/>
      <c r="T60" s="353"/>
      <c r="U60" s="353"/>
      <c r="V60" s="353"/>
      <c r="W60" s="353"/>
      <c r="X60" s="353"/>
      <c r="Y60" s="353"/>
      <c r="Z60" s="353"/>
    </row>
    <row r="61" spans="1:26" hidden="1" x14ac:dyDescent="0.25">
      <c r="A61" s="353"/>
      <c r="B61" s="353"/>
      <c r="C61" s="353"/>
      <c r="D61" s="353"/>
      <c r="E61" s="353"/>
      <c r="F61" s="353"/>
      <c r="G61" s="353"/>
      <c r="H61" s="353"/>
      <c r="I61" s="353"/>
      <c r="J61" s="353"/>
      <c r="K61" s="353"/>
      <c r="L61" s="353"/>
      <c r="M61" s="353"/>
      <c r="N61" s="353"/>
      <c r="O61" s="353"/>
      <c r="P61" s="353"/>
      <c r="Q61" s="353"/>
      <c r="R61" s="353"/>
      <c r="S61" s="353"/>
      <c r="T61" s="353"/>
      <c r="U61" s="353"/>
      <c r="V61" s="353"/>
      <c r="W61" s="353"/>
      <c r="X61" s="353"/>
      <c r="Y61" s="353"/>
      <c r="Z61" s="353"/>
    </row>
    <row r="62" spans="1:26" hidden="1" x14ac:dyDescent="0.25">
      <c r="A62" s="353"/>
      <c r="B62" s="353"/>
      <c r="C62" s="353"/>
      <c r="D62" s="353"/>
      <c r="E62" s="353"/>
      <c r="F62" s="353"/>
      <c r="G62" s="353"/>
      <c r="H62" s="353"/>
      <c r="I62" s="353"/>
      <c r="J62" s="353"/>
      <c r="K62" s="353"/>
      <c r="L62" s="353"/>
      <c r="M62" s="353"/>
      <c r="N62" s="353"/>
      <c r="O62" s="353"/>
      <c r="P62" s="353"/>
      <c r="Q62" s="353"/>
      <c r="R62" s="353"/>
      <c r="S62" s="353"/>
      <c r="T62" s="353"/>
      <c r="U62" s="353"/>
      <c r="V62" s="353"/>
      <c r="W62" s="353"/>
      <c r="X62" s="353"/>
      <c r="Y62" s="353"/>
      <c r="Z62" s="353"/>
    </row>
    <row r="63" spans="1:26" hidden="1" x14ac:dyDescent="0.25">
      <c r="A63" s="353"/>
      <c r="B63" s="353"/>
      <c r="C63" s="353"/>
      <c r="D63" s="353"/>
      <c r="E63" s="353"/>
      <c r="F63" s="353"/>
      <c r="G63" s="353"/>
      <c r="H63" s="353"/>
      <c r="I63" s="353"/>
      <c r="J63" s="353"/>
      <c r="K63" s="353"/>
      <c r="L63" s="353"/>
      <c r="M63" s="353"/>
      <c r="N63" s="353"/>
      <c r="O63" s="353"/>
      <c r="P63" s="353"/>
      <c r="Q63" s="353"/>
      <c r="R63" s="353"/>
      <c r="S63" s="353"/>
      <c r="T63" s="353"/>
      <c r="U63" s="353"/>
      <c r="V63" s="353"/>
      <c r="W63" s="353"/>
      <c r="X63" s="353"/>
      <c r="Y63" s="353"/>
      <c r="Z63" s="353"/>
    </row>
    <row r="64" spans="1:26" hidden="1" x14ac:dyDescent="0.25">
      <c r="A64" s="353"/>
      <c r="B64" s="353"/>
      <c r="C64" s="353"/>
      <c r="D64" s="353"/>
      <c r="E64" s="353"/>
      <c r="F64" s="353"/>
      <c r="G64" s="353"/>
      <c r="H64" s="353"/>
      <c r="I64" s="353"/>
      <c r="J64" s="353"/>
      <c r="K64" s="353"/>
      <c r="L64" s="353"/>
      <c r="M64" s="353"/>
      <c r="N64" s="353"/>
      <c r="O64" s="353"/>
      <c r="P64" s="353"/>
      <c r="Q64" s="353"/>
      <c r="R64" s="353"/>
      <c r="S64" s="353"/>
      <c r="T64" s="353"/>
      <c r="U64" s="353"/>
      <c r="V64" s="353"/>
      <c r="W64" s="353"/>
      <c r="X64" s="353"/>
      <c r="Y64" s="353"/>
      <c r="Z64" s="353"/>
    </row>
    <row r="65" spans="1:26" hidden="1" x14ac:dyDescent="0.25">
      <c r="A65" s="353"/>
      <c r="B65" s="353"/>
      <c r="C65" s="353"/>
      <c r="D65" s="353"/>
      <c r="E65" s="353"/>
      <c r="F65" s="353"/>
      <c r="G65" s="353"/>
      <c r="H65" s="353"/>
      <c r="I65" s="353"/>
      <c r="J65" s="353"/>
      <c r="K65" s="353"/>
      <c r="L65" s="353"/>
      <c r="M65" s="353"/>
      <c r="N65" s="353"/>
      <c r="O65" s="353"/>
      <c r="P65" s="353"/>
      <c r="Q65" s="353"/>
      <c r="R65" s="353"/>
      <c r="S65" s="353"/>
      <c r="T65" s="353"/>
      <c r="U65" s="353"/>
      <c r="V65" s="353"/>
      <c r="W65" s="353"/>
      <c r="X65" s="353"/>
      <c r="Y65" s="353"/>
      <c r="Z65" s="353"/>
    </row>
    <row r="66" spans="1:26" hidden="1" x14ac:dyDescent="0.25">
      <c r="A66" s="353"/>
      <c r="B66" s="353"/>
      <c r="C66" s="353"/>
      <c r="D66" s="353"/>
      <c r="E66" s="353"/>
      <c r="F66" s="353"/>
      <c r="G66" s="353"/>
      <c r="H66" s="353"/>
      <c r="I66" s="353"/>
      <c r="J66" s="353"/>
      <c r="K66" s="353"/>
      <c r="L66" s="353"/>
      <c r="M66" s="353"/>
      <c r="N66" s="353"/>
      <c r="O66" s="353"/>
      <c r="P66" s="353"/>
      <c r="Q66" s="353"/>
      <c r="R66" s="353"/>
      <c r="S66" s="353"/>
      <c r="T66" s="353"/>
      <c r="U66" s="353"/>
      <c r="V66" s="353"/>
      <c r="W66" s="353"/>
      <c r="X66" s="353"/>
      <c r="Y66" s="353"/>
      <c r="Z66" s="353"/>
    </row>
    <row r="67" spans="1:26" hidden="1" x14ac:dyDescent="0.25">
      <c r="A67" s="353"/>
      <c r="B67" s="353"/>
      <c r="C67" s="353"/>
      <c r="D67" s="353"/>
      <c r="E67" s="353"/>
      <c r="F67" s="353"/>
      <c r="G67" s="353"/>
      <c r="H67" s="353"/>
      <c r="I67" s="353"/>
      <c r="J67" s="353"/>
      <c r="K67" s="353"/>
      <c r="L67" s="353"/>
      <c r="M67" s="353"/>
      <c r="N67" s="353"/>
      <c r="O67" s="353"/>
      <c r="P67" s="353"/>
      <c r="Q67" s="353"/>
      <c r="R67" s="353"/>
      <c r="S67" s="353"/>
      <c r="T67" s="353"/>
      <c r="U67" s="353"/>
      <c r="V67" s="353"/>
      <c r="W67" s="353"/>
      <c r="X67" s="353"/>
      <c r="Y67" s="353"/>
      <c r="Z67" s="353"/>
    </row>
    <row r="68" spans="1:26" hidden="1" x14ac:dyDescent="0.25">
      <c r="A68" s="353"/>
      <c r="B68" s="353"/>
      <c r="C68" s="353"/>
      <c r="D68" s="353"/>
      <c r="E68" s="353"/>
      <c r="F68" s="353"/>
      <c r="G68" s="353"/>
      <c r="H68" s="353"/>
      <c r="I68" s="353"/>
      <c r="J68" s="353"/>
      <c r="K68" s="353"/>
      <c r="L68" s="353"/>
      <c r="M68" s="353"/>
      <c r="N68" s="353"/>
      <c r="O68" s="353"/>
      <c r="P68" s="353"/>
      <c r="Q68" s="353"/>
      <c r="R68" s="353"/>
      <c r="S68" s="353"/>
      <c r="T68" s="353"/>
      <c r="U68" s="353"/>
      <c r="V68" s="353"/>
      <c r="W68" s="353"/>
      <c r="X68" s="353"/>
      <c r="Y68" s="353"/>
      <c r="Z68" s="353"/>
    </row>
    <row r="69" spans="1:26" hidden="1" x14ac:dyDescent="0.25">
      <c r="A69" s="353"/>
      <c r="B69" s="353"/>
      <c r="C69" s="353"/>
      <c r="D69" s="353"/>
      <c r="E69" s="353"/>
      <c r="F69" s="353"/>
      <c r="G69" s="353"/>
      <c r="H69" s="353"/>
      <c r="I69" s="353"/>
      <c r="J69" s="353"/>
      <c r="K69" s="353"/>
      <c r="L69" s="353"/>
      <c r="M69" s="353"/>
      <c r="N69" s="353"/>
      <c r="O69" s="353"/>
      <c r="P69" s="353"/>
      <c r="Q69" s="353"/>
      <c r="R69" s="353"/>
      <c r="S69" s="353"/>
      <c r="T69" s="353"/>
      <c r="U69" s="353"/>
      <c r="V69" s="353"/>
      <c r="W69" s="353"/>
      <c r="X69" s="353"/>
      <c r="Y69" s="353"/>
      <c r="Z69" s="353"/>
    </row>
    <row r="70" spans="1:26" hidden="1" x14ac:dyDescent="0.25">
      <c r="A70" s="353"/>
      <c r="B70" s="353"/>
      <c r="C70" s="353"/>
      <c r="D70" s="353"/>
      <c r="E70" s="353"/>
      <c r="F70" s="353"/>
      <c r="G70" s="353"/>
      <c r="H70" s="353"/>
      <c r="I70" s="353"/>
      <c r="J70" s="353"/>
      <c r="K70" s="353"/>
      <c r="L70" s="353"/>
      <c r="M70" s="353"/>
      <c r="N70" s="353"/>
      <c r="O70" s="353"/>
      <c r="P70" s="353"/>
      <c r="Q70" s="353"/>
      <c r="R70" s="353"/>
      <c r="S70" s="353"/>
      <c r="T70" s="353"/>
      <c r="U70" s="353"/>
      <c r="V70" s="353"/>
      <c r="W70" s="353"/>
      <c r="X70" s="353"/>
      <c r="Y70" s="353"/>
      <c r="Z70" s="353"/>
    </row>
    <row r="71" spans="1:26" hidden="1" x14ac:dyDescent="0.25">
      <c r="A71" s="353"/>
      <c r="B71" s="353"/>
      <c r="C71" s="353"/>
      <c r="D71" s="353"/>
      <c r="E71" s="353"/>
      <c r="F71" s="353"/>
      <c r="G71" s="353"/>
      <c r="H71" s="353"/>
      <c r="I71" s="353"/>
      <c r="J71" s="353"/>
      <c r="K71" s="353"/>
      <c r="L71" s="353"/>
      <c r="M71" s="353"/>
      <c r="N71" s="353"/>
      <c r="O71" s="353"/>
      <c r="P71" s="353"/>
      <c r="Q71" s="353"/>
      <c r="R71" s="353"/>
      <c r="S71" s="353"/>
      <c r="T71" s="353"/>
      <c r="U71" s="353"/>
      <c r="V71" s="353"/>
      <c r="W71" s="353"/>
      <c r="X71" s="353"/>
      <c r="Y71" s="353"/>
      <c r="Z71" s="353"/>
    </row>
    <row r="72" spans="1:26" hidden="1" x14ac:dyDescent="0.25">
      <c r="A72" s="353"/>
      <c r="B72" s="353"/>
      <c r="C72" s="353"/>
      <c r="D72" s="353"/>
      <c r="E72" s="353"/>
      <c r="F72" s="353"/>
      <c r="G72" s="353"/>
      <c r="H72" s="353"/>
      <c r="I72" s="353"/>
      <c r="J72" s="353"/>
      <c r="K72" s="353"/>
      <c r="L72" s="353"/>
      <c r="M72" s="353"/>
      <c r="N72" s="353"/>
      <c r="O72" s="353"/>
      <c r="P72" s="353"/>
      <c r="Q72" s="353"/>
      <c r="R72" s="353"/>
      <c r="S72" s="353"/>
      <c r="T72" s="353"/>
      <c r="U72" s="353"/>
      <c r="V72" s="353"/>
      <c r="W72" s="353"/>
      <c r="X72" s="353"/>
      <c r="Y72" s="353"/>
      <c r="Z72" s="353"/>
    </row>
    <row r="73" spans="1:26" hidden="1" x14ac:dyDescent="0.25">
      <c r="A73" s="353"/>
      <c r="B73" s="353"/>
      <c r="C73" s="353"/>
      <c r="D73" s="353"/>
      <c r="E73" s="353"/>
      <c r="F73" s="353"/>
      <c r="G73" s="353"/>
      <c r="H73" s="353"/>
      <c r="I73" s="353"/>
      <c r="J73" s="353"/>
      <c r="K73" s="353"/>
      <c r="L73" s="353"/>
      <c r="M73" s="353"/>
      <c r="N73" s="353"/>
      <c r="O73" s="353"/>
      <c r="P73" s="353"/>
      <c r="Q73" s="353"/>
      <c r="R73" s="353"/>
      <c r="S73" s="353"/>
      <c r="T73" s="353"/>
      <c r="U73" s="353"/>
      <c r="V73" s="353"/>
      <c r="W73" s="353"/>
      <c r="X73" s="353"/>
      <c r="Y73" s="353"/>
      <c r="Z73" s="353"/>
    </row>
    <row r="74" spans="1:26" hidden="1" x14ac:dyDescent="0.25">
      <c r="A74" s="353"/>
      <c r="B74" s="353"/>
      <c r="C74" s="353"/>
      <c r="D74" s="353"/>
      <c r="E74" s="353"/>
      <c r="F74" s="353"/>
      <c r="G74" s="353"/>
      <c r="H74" s="353"/>
      <c r="I74" s="353"/>
      <c r="J74" s="353"/>
      <c r="K74" s="353"/>
      <c r="L74" s="353"/>
      <c r="M74" s="353"/>
      <c r="N74" s="353"/>
      <c r="O74" s="353"/>
      <c r="P74" s="353"/>
      <c r="Q74" s="353"/>
      <c r="R74" s="353"/>
      <c r="S74" s="353"/>
      <c r="T74" s="353"/>
      <c r="U74" s="353"/>
      <c r="V74" s="353"/>
      <c r="W74" s="353"/>
      <c r="X74" s="353"/>
      <c r="Y74" s="353"/>
      <c r="Z74" s="353"/>
    </row>
    <row r="75" spans="1:26" hidden="1" x14ac:dyDescent="0.25">
      <c r="A75" s="353"/>
      <c r="B75" s="353"/>
      <c r="C75" s="353"/>
      <c r="D75" s="353"/>
      <c r="E75" s="353"/>
      <c r="F75" s="353"/>
      <c r="G75" s="353"/>
      <c r="H75" s="353"/>
      <c r="I75" s="353"/>
      <c r="J75" s="353"/>
      <c r="K75" s="353"/>
      <c r="L75" s="353"/>
      <c r="M75" s="353"/>
      <c r="N75" s="353"/>
      <c r="O75" s="353"/>
      <c r="P75" s="353"/>
      <c r="Q75" s="353"/>
      <c r="R75" s="353"/>
      <c r="S75" s="353"/>
      <c r="T75" s="353"/>
      <c r="U75" s="353"/>
      <c r="V75" s="353"/>
      <c r="W75" s="353"/>
      <c r="X75" s="353"/>
      <c r="Y75" s="353"/>
      <c r="Z75" s="353"/>
    </row>
    <row r="76" spans="1:26" hidden="1" x14ac:dyDescent="0.25">
      <c r="A76" s="353"/>
      <c r="B76" s="353"/>
      <c r="C76" s="353"/>
      <c r="D76" s="353"/>
      <c r="E76" s="353"/>
      <c r="F76" s="353"/>
      <c r="G76" s="353"/>
      <c r="H76" s="353"/>
      <c r="I76" s="353"/>
      <c r="J76" s="353"/>
      <c r="K76" s="353"/>
      <c r="L76" s="353"/>
      <c r="M76" s="353"/>
      <c r="N76" s="353"/>
      <c r="O76" s="353"/>
      <c r="P76" s="353"/>
      <c r="Q76" s="353"/>
      <c r="R76" s="353"/>
      <c r="S76" s="353"/>
      <c r="T76" s="353"/>
      <c r="U76" s="353"/>
      <c r="V76" s="353"/>
      <c r="W76" s="353"/>
      <c r="X76" s="353"/>
      <c r="Y76" s="353"/>
      <c r="Z76" s="353"/>
    </row>
    <row r="77" spans="1:26" hidden="1" x14ac:dyDescent="0.25">
      <c r="A77" s="353"/>
      <c r="B77" s="353"/>
      <c r="C77" s="353"/>
      <c r="D77" s="353"/>
      <c r="E77" s="353"/>
      <c r="F77" s="353"/>
      <c r="G77" s="353"/>
      <c r="H77" s="353"/>
      <c r="I77" s="353"/>
      <c r="J77" s="353"/>
      <c r="K77" s="353"/>
      <c r="L77" s="353"/>
      <c r="M77" s="353"/>
      <c r="N77" s="353"/>
      <c r="O77" s="353"/>
      <c r="P77" s="353"/>
      <c r="Q77" s="353"/>
      <c r="R77" s="353"/>
      <c r="S77" s="353"/>
      <c r="T77" s="353"/>
      <c r="U77" s="353"/>
      <c r="V77" s="353"/>
      <c r="W77" s="353"/>
      <c r="X77" s="353"/>
      <c r="Y77" s="353"/>
      <c r="Z77" s="353"/>
    </row>
    <row r="78" spans="1:26" hidden="1" x14ac:dyDescent="0.25">
      <c r="A78" s="353"/>
      <c r="B78" s="353"/>
      <c r="C78" s="353"/>
      <c r="D78" s="353"/>
      <c r="E78" s="353"/>
      <c r="F78" s="353"/>
      <c r="G78" s="353"/>
      <c r="H78" s="353"/>
      <c r="I78" s="353"/>
      <c r="J78" s="353"/>
      <c r="K78" s="353"/>
      <c r="L78" s="353"/>
      <c r="M78" s="353"/>
      <c r="N78" s="353"/>
      <c r="O78" s="353"/>
      <c r="P78" s="353"/>
      <c r="Q78" s="353"/>
      <c r="R78" s="353"/>
      <c r="S78" s="353"/>
      <c r="T78" s="353"/>
      <c r="U78" s="353"/>
      <c r="V78" s="353"/>
      <c r="W78" s="353"/>
      <c r="X78" s="353"/>
      <c r="Y78" s="353"/>
      <c r="Z78" s="353"/>
    </row>
    <row r="79" spans="1:26" hidden="1" x14ac:dyDescent="0.25">
      <c r="A79" s="353"/>
      <c r="B79" s="353"/>
      <c r="C79" s="353"/>
      <c r="D79" s="353"/>
      <c r="E79" s="353"/>
      <c r="F79" s="353"/>
      <c r="G79" s="353"/>
      <c r="H79" s="353"/>
      <c r="I79" s="353"/>
      <c r="J79" s="353"/>
      <c r="K79" s="353"/>
      <c r="L79" s="353"/>
      <c r="M79" s="353"/>
      <c r="N79" s="353"/>
      <c r="O79" s="353"/>
      <c r="P79" s="353"/>
      <c r="Q79" s="353"/>
      <c r="R79" s="353"/>
      <c r="S79" s="353"/>
      <c r="T79" s="353"/>
      <c r="U79" s="353"/>
      <c r="V79" s="353"/>
      <c r="W79" s="353"/>
      <c r="X79" s="353"/>
      <c r="Y79" s="353"/>
      <c r="Z79" s="353"/>
    </row>
    <row r="80" spans="1:26" hidden="1" x14ac:dyDescent="0.25">
      <c r="A80" s="353"/>
      <c r="B80" s="353"/>
      <c r="C80" s="353"/>
      <c r="D80" s="353"/>
      <c r="E80" s="353"/>
      <c r="F80" s="353"/>
      <c r="G80" s="353"/>
      <c r="H80" s="353"/>
      <c r="I80" s="353"/>
      <c r="J80" s="353"/>
      <c r="K80" s="353"/>
      <c r="L80" s="353"/>
      <c r="M80" s="353"/>
      <c r="N80" s="353"/>
      <c r="O80" s="353"/>
      <c r="P80" s="353"/>
      <c r="Q80" s="353"/>
      <c r="R80" s="353"/>
      <c r="S80" s="353"/>
      <c r="T80" s="353"/>
      <c r="U80" s="353"/>
      <c r="V80" s="353"/>
      <c r="W80" s="353"/>
      <c r="X80" s="353"/>
      <c r="Y80" s="353"/>
      <c r="Z80" s="353"/>
    </row>
    <row r="81" spans="1:26" hidden="1" x14ac:dyDescent="0.25">
      <c r="A81" s="353"/>
      <c r="B81" s="353"/>
      <c r="C81" s="353"/>
      <c r="D81" s="353"/>
      <c r="E81" s="353"/>
      <c r="F81" s="353"/>
      <c r="G81" s="353"/>
      <c r="H81" s="353"/>
      <c r="I81" s="353"/>
      <c r="J81" s="353"/>
      <c r="K81" s="353"/>
      <c r="L81" s="353"/>
      <c r="M81" s="353"/>
      <c r="N81" s="353"/>
      <c r="O81" s="353"/>
      <c r="P81" s="353"/>
      <c r="Q81" s="353"/>
      <c r="R81" s="353"/>
      <c r="S81" s="353"/>
      <c r="T81" s="353"/>
      <c r="U81" s="353"/>
      <c r="V81" s="353"/>
      <c r="W81" s="353"/>
      <c r="X81" s="353"/>
      <c r="Y81" s="353"/>
      <c r="Z81" s="353"/>
    </row>
    <row r="82" spans="1:26" hidden="1" x14ac:dyDescent="0.25">
      <c r="A82" s="353"/>
      <c r="B82" s="353"/>
      <c r="C82" s="353"/>
      <c r="D82" s="353"/>
      <c r="E82" s="353"/>
      <c r="F82" s="353"/>
      <c r="G82" s="353"/>
      <c r="H82" s="353"/>
      <c r="I82" s="353"/>
      <c r="J82" s="353"/>
      <c r="K82" s="353"/>
      <c r="L82" s="353"/>
      <c r="M82" s="353"/>
      <c r="N82" s="353"/>
      <c r="O82" s="353"/>
      <c r="P82" s="353"/>
      <c r="Q82" s="353"/>
      <c r="R82" s="353"/>
      <c r="S82" s="353"/>
      <c r="T82" s="353"/>
      <c r="U82" s="353"/>
      <c r="V82" s="353"/>
      <c r="W82" s="353"/>
      <c r="X82" s="353"/>
      <c r="Y82" s="353"/>
      <c r="Z82" s="353"/>
    </row>
    <row r="83" spans="1:26" hidden="1" x14ac:dyDescent="0.25">
      <c r="A83" s="353"/>
      <c r="B83" s="353"/>
      <c r="C83" s="353"/>
      <c r="D83" s="353"/>
      <c r="E83" s="353"/>
      <c r="F83" s="353"/>
      <c r="G83" s="353"/>
      <c r="H83" s="353"/>
      <c r="I83" s="353"/>
      <c r="J83" s="353"/>
      <c r="K83" s="353"/>
      <c r="L83" s="353"/>
      <c r="M83" s="353"/>
      <c r="N83" s="353"/>
      <c r="O83" s="353"/>
      <c r="P83" s="353"/>
      <c r="Q83" s="353"/>
      <c r="R83" s="353"/>
      <c r="S83" s="353"/>
      <c r="T83" s="353"/>
      <c r="U83" s="353"/>
      <c r="V83" s="353"/>
      <c r="W83" s="353"/>
      <c r="X83" s="353"/>
      <c r="Y83" s="353"/>
      <c r="Z83" s="353"/>
    </row>
    <row r="84" spans="1:26" hidden="1" x14ac:dyDescent="0.25">
      <c r="A84" s="353"/>
      <c r="B84" s="353"/>
      <c r="C84" s="353"/>
      <c r="D84" s="353"/>
      <c r="E84" s="353"/>
      <c r="F84" s="353"/>
      <c r="G84" s="353"/>
      <c r="H84" s="353"/>
      <c r="I84" s="353"/>
      <c r="J84" s="353"/>
      <c r="K84" s="353"/>
      <c r="L84" s="353"/>
      <c r="M84" s="353"/>
      <c r="N84" s="353"/>
      <c r="O84" s="353"/>
      <c r="P84" s="353"/>
      <c r="Q84" s="353"/>
      <c r="R84" s="353"/>
      <c r="S84" s="353"/>
      <c r="T84" s="353"/>
      <c r="U84" s="353"/>
      <c r="V84" s="353"/>
      <c r="W84" s="353"/>
      <c r="X84" s="353"/>
      <c r="Y84" s="353"/>
      <c r="Z84" s="353"/>
    </row>
    <row r="85" spans="1:26" hidden="1" x14ac:dyDescent="0.25">
      <c r="A85" s="353"/>
      <c r="B85" s="353"/>
      <c r="C85" s="353"/>
      <c r="D85" s="353"/>
      <c r="E85" s="353"/>
      <c r="F85" s="353"/>
      <c r="G85" s="353"/>
      <c r="H85" s="353"/>
      <c r="I85" s="353"/>
      <c r="J85" s="353"/>
      <c r="K85" s="353"/>
      <c r="L85" s="353"/>
      <c r="M85" s="353"/>
      <c r="N85" s="353"/>
      <c r="O85" s="353"/>
      <c r="P85" s="353"/>
      <c r="Q85" s="353"/>
      <c r="R85" s="353"/>
      <c r="S85" s="353"/>
      <c r="T85" s="353"/>
      <c r="U85" s="353"/>
      <c r="V85" s="353"/>
      <c r="W85" s="353"/>
      <c r="X85" s="353"/>
      <c r="Y85" s="353"/>
      <c r="Z85" s="353"/>
    </row>
    <row r="86" spans="1:26" hidden="1" x14ac:dyDescent="0.25">
      <c r="A86" s="353"/>
      <c r="B86" s="353"/>
      <c r="C86" s="353"/>
      <c r="D86" s="353"/>
      <c r="E86" s="353"/>
      <c r="F86" s="353"/>
      <c r="G86" s="353"/>
      <c r="H86" s="353"/>
      <c r="I86" s="353"/>
      <c r="J86" s="353"/>
      <c r="K86" s="353"/>
      <c r="L86" s="353"/>
      <c r="M86" s="353"/>
      <c r="N86" s="353"/>
      <c r="O86" s="353"/>
      <c r="P86" s="353"/>
      <c r="Q86" s="353"/>
      <c r="R86" s="353"/>
      <c r="S86" s="353"/>
      <c r="T86" s="353"/>
      <c r="U86" s="353"/>
      <c r="V86" s="353"/>
      <c r="W86" s="353"/>
      <c r="X86" s="353"/>
      <c r="Y86" s="353"/>
      <c r="Z86" s="353"/>
    </row>
    <row r="87" spans="1:26" hidden="1" x14ac:dyDescent="0.25">
      <c r="A87" s="353"/>
      <c r="B87" s="353"/>
      <c r="C87" s="353"/>
      <c r="D87" s="353"/>
      <c r="E87" s="353"/>
      <c r="F87" s="353"/>
      <c r="G87" s="353"/>
      <c r="H87" s="353"/>
      <c r="I87" s="353"/>
      <c r="J87" s="353"/>
      <c r="K87" s="353"/>
      <c r="L87" s="353"/>
      <c r="M87" s="353"/>
      <c r="N87" s="353"/>
      <c r="O87" s="353"/>
      <c r="P87" s="353"/>
      <c r="Q87" s="353"/>
      <c r="R87" s="353"/>
      <c r="S87" s="353"/>
      <c r="T87" s="353"/>
      <c r="U87" s="353"/>
      <c r="V87" s="353"/>
      <c r="W87" s="353"/>
      <c r="X87" s="353"/>
      <c r="Y87" s="353"/>
      <c r="Z87" s="353"/>
    </row>
    <row r="88" spans="1:26" hidden="1" x14ac:dyDescent="0.25">
      <c r="A88" s="353"/>
      <c r="B88" s="353"/>
      <c r="C88" s="353"/>
      <c r="D88" s="353"/>
      <c r="E88" s="353"/>
      <c r="F88" s="353"/>
      <c r="G88" s="353"/>
      <c r="H88" s="353"/>
      <c r="I88" s="353"/>
      <c r="J88" s="353"/>
      <c r="K88" s="353"/>
      <c r="L88" s="353"/>
      <c r="M88" s="353"/>
      <c r="N88" s="353"/>
      <c r="O88" s="353"/>
      <c r="P88" s="353"/>
      <c r="Q88" s="353"/>
      <c r="R88" s="353"/>
      <c r="S88" s="353"/>
      <c r="T88" s="353"/>
      <c r="U88" s="353"/>
      <c r="V88" s="353"/>
      <c r="W88" s="353"/>
      <c r="X88" s="353"/>
      <c r="Y88" s="353"/>
      <c r="Z88" s="353"/>
    </row>
    <row r="89" spans="1:26" hidden="1" x14ac:dyDescent="0.25">
      <c r="A89" s="353"/>
      <c r="B89" s="353"/>
      <c r="C89" s="353"/>
      <c r="D89" s="353"/>
      <c r="E89" s="353"/>
      <c r="F89" s="353"/>
      <c r="G89" s="353"/>
      <c r="H89" s="353"/>
      <c r="I89" s="353"/>
      <c r="J89" s="353"/>
      <c r="K89" s="353"/>
      <c r="L89" s="353"/>
      <c r="M89" s="353"/>
      <c r="N89" s="353"/>
      <c r="O89" s="353"/>
      <c r="P89" s="353"/>
      <c r="Q89" s="353"/>
      <c r="R89" s="353"/>
      <c r="S89" s="353"/>
      <c r="T89" s="353"/>
      <c r="U89" s="353"/>
      <c r="V89" s="353"/>
      <c r="W89" s="353"/>
      <c r="X89" s="353"/>
      <c r="Y89" s="353"/>
      <c r="Z89" s="353"/>
    </row>
    <row r="90" spans="1:26" hidden="1" x14ac:dyDescent="0.25">
      <c r="A90" s="353"/>
      <c r="B90" s="353"/>
      <c r="C90" s="353"/>
      <c r="D90" s="353"/>
      <c r="E90" s="353"/>
      <c r="F90" s="353"/>
      <c r="G90" s="353"/>
      <c r="H90" s="353"/>
      <c r="I90" s="353"/>
      <c r="J90" s="353"/>
      <c r="K90" s="353"/>
      <c r="L90" s="353"/>
      <c r="M90" s="353"/>
      <c r="N90" s="353"/>
      <c r="O90" s="353"/>
      <c r="P90" s="353"/>
      <c r="Q90" s="353"/>
      <c r="R90" s="353"/>
      <c r="S90" s="353"/>
      <c r="T90" s="353"/>
      <c r="U90" s="353"/>
      <c r="V90" s="353"/>
      <c r="W90" s="353"/>
      <c r="X90" s="353"/>
      <c r="Y90" s="353"/>
      <c r="Z90" s="353"/>
    </row>
    <row r="91" spans="1:26" hidden="1" x14ac:dyDescent="0.25">
      <c r="A91" s="353"/>
      <c r="B91" s="353"/>
      <c r="C91" s="353"/>
      <c r="D91" s="353"/>
      <c r="E91" s="353"/>
      <c r="F91" s="353"/>
      <c r="G91" s="353"/>
      <c r="H91" s="353"/>
      <c r="I91" s="353"/>
      <c r="J91" s="353"/>
      <c r="K91" s="353"/>
      <c r="L91" s="353"/>
      <c r="M91" s="353"/>
      <c r="N91" s="353"/>
      <c r="O91" s="353"/>
      <c r="P91" s="353"/>
      <c r="Q91" s="353"/>
      <c r="R91" s="353"/>
      <c r="S91" s="353"/>
      <c r="T91" s="353"/>
      <c r="U91" s="353"/>
      <c r="V91" s="353"/>
      <c r="W91" s="353"/>
      <c r="X91" s="353"/>
      <c r="Y91" s="353"/>
      <c r="Z91" s="353"/>
    </row>
    <row r="92" spans="1:26" hidden="1" x14ac:dyDescent="0.25">
      <c r="A92" s="353"/>
      <c r="B92" s="353"/>
      <c r="C92" s="353"/>
      <c r="D92" s="353"/>
      <c r="E92" s="353"/>
      <c r="F92" s="353"/>
      <c r="G92" s="353"/>
      <c r="H92" s="353"/>
      <c r="I92" s="353"/>
      <c r="J92" s="353"/>
      <c r="K92" s="353"/>
      <c r="L92" s="353"/>
      <c r="M92" s="353"/>
      <c r="N92" s="353"/>
      <c r="O92" s="353"/>
      <c r="P92" s="353"/>
      <c r="Q92" s="353"/>
      <c r="R92" s="353"/>
      <c r="S92" s="353"/>
      <c r="T92" s="353"/>
      <c r="U92" s="353"/>
      <c r="V92" s="353"/>
      <c r="W92" s="353"/>
      <c r="X92" s="353"/>
      <c r="Y92" s="353"/>
      <c r="Z92" s="353"/>
    </row>
  </sheetData>
  <sheetProtection sheet="1" objects="1" scenarios="1"/>
  <protectedRanges>
    <protectedRange sqref="C35:C50 C10:C25" name="Range1"/>
  </protectedRanges>
  <mergeCells count="1">
    <mergeCell ref="A1:K1"/>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theme="8" tint="-0.249977111117893"/>
  </sheetPr>
  <dimension ref="A1:Q752"/>
  <sheetViews>
    <sheetView showGridLines="0" zoomScale="80" zoomScaleNormal="80" workbookViewId="0">
      <pane ySplit="1" topLeftCell="A2" activePane="bottomLeft" state="frozen"/>
      <selection activeCell="B1" sqref="B1"/>
      <selection pane="bottomLeft" activeCell="B1" sqref="B1:M1"/>
    </sheetView>
  </sheetViews>
  <sheetFormatPr defaultColWidth="0" defaultRowHeight="12.5" zeroHeight="1" x14ac:dyDescent="0.25"/>
  <cols>
    <col min="1" max="1" width="41.7265625" style="970" hidden="1" customWidth="1"/>
    <col min="2" max="2" width="15.81640625" style="48" customWidth="1"/>
    <col min="3" max="3" width="6.7265625" style="48" customWidth="1"/>
    <col min="4" max="4" width="85.7265625" style="48" customWidth="1"/>
    <col min="5" max="8" width="16.7265625" style="48" customWidth="1"/>
    <col min="9" max="12" width="16.7265625" style="19" customWidth="1"/>
    <col min="13" max="13" width="2.7265625" style="19" customWidth="1"/>
    <col min="14" max="14" width="16.7265625" style="19" customWidth="1"/>
    <col min="15" max="15" width="2.7265625" style="19" customWidth="1"/>
    <col min="16" max="16" width="9.26953125" style="19" customWidth="1"/>
    <col min="17" max="17" width="9.26953125" style="19" hidden="1" customWidth="1"/>
    <col min="18" max="16384" width="8.7265625" style="19" hidden="1"/>
  </cols>
  <sheetData>
    <row r="1" spans="1:16" customFormat="1" ht="36" customHeight="1" x14ac:dyDescent="0.25">
      <c r="A1" s="126"/>
      <c r="B1" s="1235" t="str">
        <f>ContactDetails!A36</f>
        <v>IMPORTANT: Please DO NOT alter this spreadsheet by inserting/deleting, merging any cells, or even using cut &amp; paste, as the data from this spreadsheet are directly transferred into the DLUHC database by a macro and these could break the references in the form.</v>
      </c>
      <c r="C1" s="1235"/>
      <c r="D1" s="1236"/>
      <c r="E1" s="1236"/>
      <c r="F1" s="1236"/>
      <c r="G1" s="1236"/>
      <c r="H1" s="1236"/>
      <c r="I1" s="1236"/>
      <c r="J1" s="1236"/>
      <c r="K1" s="1236"/>
      <c r="L1" s="1236"/>
      <c r="M1" s="1236"/>
    </row>
    <row r="2" spans="1:16" x14ac:dyDescent="0.25">
      <c r="B2" s="19"/>
      <c r="C2" s="19"/>
      <c r="D2" s="19"/>
      <c r="E2" s="19"/>
      <c r="F2" s="19"/>
      <c r="G2" s="19"/>
      <c r="H2" s="19"/>
    </row>
    <row r="3" spans="1:16" ht="27.75" customHeight="1" x14ac:dyDescent="0.6">
      <c r="B3" s="19"/>
      <c r="C3" s="19"/>
      <c r="D3" s="19"/>
      <c r="E3" s="19"/>
      <c r="F3" s="19"/>
      <c r="G3" s="19"/>
      <c r="H3" s="19"/>
      <c r="N3" s="26" t="str">
        <f>"RO "&amp;fyear</f>
        <v>RO 2022-23</v>
      </c>
    </row>
    <row r="4" spans="1:16" x14ac:dyDescent="0.25">
      <c r="B4" s="19"/>
      <c r="C4" s="19"/>
      <c r="D4" s="19"/>
      <c r="E4" s="19"/>
      <c r="F4" s="19"/>
      <c r="G4" s="19"/>
      <c r="H4" s="19"/>
    </row>
    <row r="5" spans="1:16" x14ac:dyDescent="0.25">
      <c r="B5" s="19"/>
      <c r="C5" s="19"/>
      <c r="D5" s="19"/>
      <c r="E5" s="19"/>
      <c r="F5" s="19"/>
      <c r="G5" s="19"/>
      <c r="H5" s="19"/>
    </row>
    <row r="6" spans="1:16" x14ac:dyDescent="0.25">
      <c r="B6" s="19"/>
      <c r="C6" s="19"/>
      <c r="D6" s="19"/>
      <c r="E6" s="19"/>
      <c r="F6" s="19"/>
      <c r="G6" s="19"/>
      <c r="H6" s="19"/>
    </row>
    <row r="7" spans="1:16" x14ac:dyDescent="0.25">
      <c r="B7" s="19"/>
      <c r="C7" s="19"/>
      <c r="D7" s="19"/>
      <c r="E7" s="19"/>
      <c r="F7" s="19"/>
      <c r="G7" s="19"/>
      <c r="H7" s="19"/>
    </row>
    <row r="8" spans="1:16" ht="12.75" customHeight="1" x14ac:dyDescent="0.25">
      <c r="B8" s="162"/>
      <c r="C8" s="162"/>
      <c r="D8" s="162"/>
      <c r="E8" s="162"/>
      <c r="F8" s="162"/>
      <c r="G8" s="162"/>
      <c r="H8" s="162"/>
      <c r="I8" s="162"/>
      <c r="J8" s="162"/>
      <c r="K8" s="162"/>
      <c r="L8" s="162"/>
      <c r="M8" s="162"/>
      <c r="N8" s="162"/>
    </row>
    <row r="9" spans="1:16" ht="33" customHeight="1" x14ac:dyDescent="0.6">
      <c r="B9" s="1237" t="str">
        <f>"General Fund Revenue Account "&amp;fyear</f>
        <v>General Fund Revenue Account 2022-23</v>
      </c>
      <c r="C9" s="1237"/>
      <c r="D9" s="1237"/>
      <c r="E9" s="1237"/>
      <c r="F9" s="1237"/>
      <c r="G9" s="1237"/>
      <c r="H9" s="1237"/>
      <c r="I9" s="1237"/>
      <c r="J9" s="1237"/>
      <c r="K9" s="1237"/>
      <c r="L9" s="1237"/>
      <c r="M9" s="1237"/>
      <c r="N9" s="1237"/>
      <c r="O9" s="161"/>
    </row>
    <row r="10" spans="1:16" ht="33" customHeight="1" x14ac:dyDescent="0.25">
      <c r="B10" s="1237" t="s">
        <v>2</v>
      </c>
      <c r="C10" s="1237"/>
      <c r="D10" s="1237"/>
      <c r="E10" s="1237"/>
      <c r="F10" s="1237"/>
      <c r="G10" s="1237"/>
      <c r="H10" s="1237"/>
      <c r="I10" s="1237"/>
      <c r="J10" s="1237"/>
      <c r="K10" s="1237"/>
      <c r="L10" s="1237"/>
      <c r="M10" s="1237"/>
      <c r="N10" s="1237"/>
      <c r="O10" s="162"/>
    </row>
    <row r="11" spans="1:16" customFormat="1" ht="14.15" customHeight="1" x14ac:dyDescent="0.35">
      <c r="A11" s="126"/>
      <c r="B11" s="1"/>
      <c r="C11" s="1"/>
      <c r="D11" s="1"/>
      <c r="E11" s="7"/>
      <c r="F11" s="2"/>
      <c r="G11" s="3"/>
      <c r="H11" s="3"/>
    </row>
    <row r="12" spans="1:16" customFormat="1" ht="18.75" customHeight="1" x14ac:dyDescent="0.4">
      <c r="A12" s="126"/>
      <c r="B12" s="1165"/>
      <c r="C12" s="1165"/>
      <c r="D12" s="1165"/>
      <c r="E12" s="1165"/>
      <c r="F12" s="1165"/>
      <c r="G12" s="1165"/>
      <c r="H12" s="1165"/>
      <c r="I12" s="1165"/>
      <c r="J12" s="1165"/>
      <c r="K12" s="1165"/>
      <c r="L12" s="1165"/>
      <c r="M12" s="1165"/>
      <c r="N12" s="1165"/>
    </row>
    <row r="13" spans="1:16" customFormat="1" ht="12" customHeight="1" x14ac:dyDescent="0.3">
      <c r="A13" s="126"/>
      <c r="B13" s="29"/>
      <c r="C13" s="29"/>
      <c r="D13" s="29"/>
      <c r="E13" s="29"/>
      <c r="F13" s="29"/>
      <c r="G13" s="29"/>
      <c r="H13" s="29"/>
      <c r="I13" s="29"/>
      <c r="J13" s="29"/>
      <c r="K13" s="28"/>
      <c r="L13" s="28"/>
      <c r="M13" s="29"/>
      <c r="N13" s="29"/>
      <c r="O13" s="29"/>
      <c r="P13" s="29"/>
    </row>
    <row r="14" spans="1:16" ht="13.5" x14ac:dyDescent="0.25">
      <c r="B14" s="19"/>
      <c r="C14" s="19"/>
      <c r="D14" s="20"/>
      <c r="E14" s="19"/>
      <c r="F14" s="19"/>
      <c r="G14" s="19"/>
      <c r="H14" s="19"/>
    </row>
    <row r="15" spans="1:16" ht="25" x14ac:dyDescent="0.5">
      <c r="B15" s="137" t="str">
        <f>RS!$A$20</f>
        <v>Please select your authority name on Title page</v>
      </c>
      <c r="C15" s="19"/>
      <c r="D15" s="19"/>
      <c r="E15" s="19"/>
      <c r="F15" s="19"/>
      <c r="G15" s="19"/>
      <c r="H15" s="19"/>
    </row>
    <row r="16" spans="1:16" ht="18" x14ac:dyDescent="0.4">
      <c r="B16" s="139" t="str">
        <f>ContactDetails!C25</f>
        <v>E-code</v>
      </c>
      <c r="C16" s="19"/>
      <c r="D16" s="19"/>
      <c r="E16" s="19"/>
      <c r="F16" s="19"/>
      <c r="G16" s="19"/>
      <c r="H16" s="19"/>
    </row>
    <row r="17" spans="1:15" ht="15.5" x14ac:dyDescent="0.35">
      <c r="B17" s="580"/>
      <c r="C17" s="19"/>
      <c r="D17" s="19"/>
      <c r="E17" s="19"/>
      <c r="F17" s="19"/>
      <c r="G17" s="19"/>
      <c r="H17" s="19"/>
    </row>
    <row r="18" spans="1:15" ht="18" x14ac:dyDescent="0.4">
      <c r="B18" s="163" t="s">
        <v>2226</v>
      </c>
      <c r="C18" s="19"/>
      <c r="D18" s="19"/>
      <c r="E18" s="19"/>
      <c r="F18" s="19"/>
      <c r="G18" s="19"/>
      <c r="H18" s="19"/>
    </row>
    <row r="19" spans="1:15" customFormat="1" ht="13" thickBot="1" x14ac:dyDescent="0.3">
      <c r="A19" s="126"/>
      <c r="B19" s="21"/>
      <c r="C19" s="21"/>
      <c r="D19" s="21"/>
      <c r="E19" s="21"/>
      <c r="F19" s="21"/>
      <c r="G19" s="21"/>
      <c r="H19" s="21"/>
      <c r="I19" s="21"/>
      <c r="J19" s="21"/>
      <c r="K19" s="21"/>
      <c r="L19" s="21"/>
      <c r="M19" s="21"/>
      <c r="N19" s="21"/>
      <c r="O19" s="21"/>
    </row>
    <row r="20" spans="1:15" customFormat="1" x14ac:dyDescent="0.25">
      <c r="A20" s="126"/>
      <c r="B20" s="48"/>
      <c r="C20" s="48"/>
      <c r="D20" s="48"/>
      <c r="E20" s="48"/>
      <c r="F20" s="48"/>
      <c r="G20" s="48"/>
      <c r="H20" s="48"/>
      <c r="I20" s="581"/>
      <c r="J20" s="581"/>
      <c r="K20" s="581"/>
      <c r="L20" s="581"/>
      <c r="M20" s="581"/>
      <c r="N20" s="581"/>
      <c r="O20" s="581"/>
    </row>
    <row r="21" spans="1:15" s="22" customFormat="1" x14ac:dyDescent="0.25">
      <c r="A21" s="970"/>
      <c r="B21" s="48"/>
      <c r="C21" s="48"/>
      <c r="D21" s="48"/>
      <c r="E21" s="48"/>
      <c r="F21" s="48"/>
      <c r="G21" s="48"/>
      <c r="H21" s="48"/>
      <c r="I21" s="581"/>
      <c r="J21" s="581"/>
      <c r="K21" s="581"/>
      <c r="L21" s="581"/>
      <c r="M21" s="581"/>
      <c r="N21" s="581"/>
      <c r="O21" s="581"/>
    </row>
    <row r="22" spans="1:15" s="22" customFormat="1" x14ac:dyDescent="0.25">
      <c r="A22" s="970"/>
      <c r="B22" s="48"/>
      <c r="C22" s="48"/>
      <c r="D22" s="48"/>
      <c r="E22" s="48"/>
      <c r="F22" s="48"/>
      <c r="G22" s="48"/>
      <c r="H22" s="48"/>
      <c r="I22" s="581"/>
      <c r="J22" s="581"/>
      <c r="K22" s="581"/>
      <c r="L22" s="581"/>
      <c r="M22" s="581"/>
      <c r="N22" s="581"/>
      <c r="O22" s="581"/>
    </row>
    <row r="23" spans="1:15" s="22" customFormat="1" x14ac:dyDescent="0.25">
      <c r="A23" s="970"/>
      <c r="B23" s="48"/>
      <c r="C23" s="48"/>
      <c r="D23" s="48"/>
      <c r="E23" s="48"/>
      <c r="F23" s="48"/>
      <c r="G23" s="48"/>
      <c r="H23" s="48"/>
      <c r="I23" s="581"/>
      <c r="J23" s="581"/>
      <c r="K23" s="581"/>
      <c r="L23" s="581"/>
      <c r="M23" s="581"/>
      <c r="N23" s="581"/>
      <c r="O23" s="581"/>
    </row>
    <row r="24" spans="1:15" s="22" customFormat="1" x14ac:dyDescent="0.25">
      <c r="A24" s="970"/>
      <c r="B24" s="48"/>
      <c r="C24" s="48"/>
      <c r="D24" s="48"/>
      <c r="E24" s="48"/>
      <c r="F24" s="48"/>
      <c r="G24" s="48"/>
      <c r="H24" s="48"/>
      <c r="I24" s="581"/>
      <c r="J24" s="581"/>
      <c r="K24" s="581"/>
      <c r="L24" s="581"/>
      <c r="M24" s="581"/>
      <c r="N24" s="581"/>
      <c r="O24" s="581"/>
    </row>
    <row r="25" spans="1:15" s="22" customFormat="1" x14ac:dyDescent="0.25">
      <c r="A25" s="970"/>
      <c r="B25" s="48"/>
      <c r="C25" s="48"/>
      <c r="D25" s="48"/>
      <c r="E25" s="48"/>
      <c r="F25" s="48"/>
      <c r="G25" s="48"/>
      <c r="H25" s="48"/>
      <c r="I25" s="581"/>
      <c r="J25" s="581"/>
      <c r="K25" s="581"/>
      <c r="L25" s="581"/>
      <c r="M25" s="581"/>
      <c r="N25" s="581"/>
      <c r="O25" s="581"/>
    </row>
    <row r="26" spans="1:15" s="22" customFormat="1" x14ac:dyDescent="0.25">
      <c r="A26" s="970"/>
      <c r="B26" s="48"/>
      <c r="C26" s="48"/>
      <c r="D26" s="48"/>
      <c r="E26" s="48"/>
      <c r="F26" s="48"/>
      <c r="G26" s="48"/>
      <c r="H26" s="48"/>
      <c r="I26" s="581"/>
      <c r="J26" s="581"/>
      <c r="K26" s="581"/>
      <c r="L26" s="581"/>
      <c r="M26" s="581"/>
      <c r="N26" s="581"/>
      <c r="O26" s="581"/>
    </row>
    <row r="27" spans="1:15" s="22" customFormat="1" x14ac:dyDescent="0.25">
      <c r="A27" s="970"/>
      <c r="B27" s="48"/>
      <c r="C27" s="48"/>
      <c r="D27" s="48"/>
      <c r="E27" s="48"/>
      <c r="F27" s="48"/>
      <c r="G27" s="48"/>
      <c r="H27" s="48"/>
      <c r="I27" s="581"/>
      <c r="J27" s="581"/>
      <c r="K27" s="581"/>
      <c r="L27" s="581"/>
      <c r="M27" s="581"/>
      <c r="N27" s="581"/>
      <c r="O27" s="581"/>
    </row>
    <row r="28" spans="1:15" s="22" customFormat="1" x14ac:dyDescent="0.25">
      <c r="A28" s="970"/>
      <c r="B28" s="48"/>
      <c r="C28" s="48"/>
      <c r="D28" s="48"/>
      <c r="E28" s="48"/>
      <c r="F28" s="48"/>
      <c r="G28" s="48"/>
      <c r="H28" s="48"/>
      <c r="I28" s="581"/>
      <c r="J28" s="581"/>
      <c r="K28" s="581"/>
      <c r="L28" s="581"/>
      <c r="M28" s="581"/>
      <c r="N28" s="581"/>
      <c r="O28" s="581"/>
    </row>
    <row r="29" spans="1:15" s="22" customFormat="1" x14ac:dyDescent="0.25">
      <c r="A29" s="970"/>
      <c r="B29" s="48"/>
      <c r="C29" s="48"/>
      <c r="D29" s="48"/>
      <c r="E29" s="48"/>
      <c r="F29" s="48"/>
      <c r="G29" s="48"/>
      <c r="H29" s="48"/>
      <c r="I29" s="581"/>
      <c r="J29" s="581"/>
      <c r="K29" s="581"/>
      <c r="L29" s="581"/>
      <c r="M29" s="581"/>
      <c r="N29" s="581"/>
      <c r="O29" s="581"/>
    </row>
    <row r="30" spans="1:15" s="22" customFormat="1" x14ac:dyDescent="0.25">
      <c r="A30" s="970"/>
      <c r="B30" s="48"/>
      <c r="C30" s="48"/>
      <c r="D30" s="48"/>
      <c r="E30" s="48"/>
      <c r="F30" s="48"/>
      <c r="G30" s="48"/>
      <c r="H30" s="48"/>
      <c r="I30" s="581"/>
      <c r="J30" s="581"/>
      <c r="K30" s="581"/>
      <c r="L30" s="581"/>
      <c r="M30" s="581"/>
      <c r="N30" s="581"/>
      <c r="O30" s="581"/>
    </row>
    <row r="31" spans="1:15" s="22" customFormat="1" ht="56.25" customHeight="1" x14ac:dyDescent="0.4">
      <c r="A31" s="970"/>
      <c r="B31" s="1241" t="s">
        <v>2227</v>
      </c>
      <c r="C31" s="1242"/>
      <c r="D31" s="1242"/>
      <c r="E31" s="1242"/>
      <c r="F31" s="1242"/>
      <c r="G31" s="1242"/>
      <c r="H31" s="1242"/>
      <c r="I31" s="1242"/>
      <c r="J31" s="1242"/>
      <c r="K31" s="1242"/>
      <c r="L31" s="1242"/>
      <c r="M31" s="581"/>
      <c r="N31" s="581"/>
      <c r="O31" s="581"/>
    </row>
    <row r="32" spans="1:15" s="22" customFormat="1" ht="13" thickBot="1" x14ac:dyDescent="0.3">
      <c r="A32" s="970"/>
      <c r="B32" s="21"/>
      <c r="C32" s="21"/>
      <c r="D32" s="21"/>
      <c r="E32" s="21"/>
      <c r="F32" s="21"/>
      <c r="G32" s="21"/>
      <c r="H32" s="21"/>
      <c r="I32" s="21"/>
      <c r="J32" s="21"/>
      <c r="K32" s="21"/>
      <c r="L32" s="21"/>
      <c r="M32" s="21"/>
      <c r="N32" s="21"/>
      <c r="O32" s="21"/>
    </row>
    <row r="33" spans="1:12" s="22" customFormat="1" x14ac:dyDescent="0.25">
      <c r="A33" s="970"/>
      <c r="B33" s="48"/>
      <c r="C33" s="48"/>
      <c r="D33" s="48"/>
      <c r="E33" s="48"/>
      <c r="F33" s="48"/>
      <c r="G33" s="48"/>
      <c r="H33" s="48"/>
      <c r="I33" s="581"/>
      <c r="J33" s="581"/>
      <c r="K33" s="581"/>
      <c r="L33" s="581"/>
    </row>
    <row r="34" spans="1:12" s="22" customFormat="1" ht="15.5" x14ac:dyDescent="0.35">
      <c r="A34" s="970"/>
      <c r="B34" s="696" t="s">
        <v>2228</v>
      </c>
      <c r="C34" s="696" t="s">
        <v>2229</v>
      </c>
      <c r="D34" s="1238" t="s">
        <v>2230</v>
      </c>
      <c r="E34" s="1239"/>
      <c r="F34" s="1239"/>
      <c r="G34" s="1239"/>
      <c r="H34" s="1239"/>
      <c r="I34" s="1239"/>
      <c r="J34" s="1239"/>
      <c r="K34" s="1240"/>
      <c r="L34" s="697"/>
    </row>
    <row r="35" spans="1:12" s="22" customFormat="1" ht="15.5" x14ac:dyDescent="0.35">
      <c r="A35" s="643" t="s">
        <v>2231</v>
      </c>
      <c r="B35" s="1148">
        <v>190</v>
      </c>
      <c r="C35" s="1149" t="s">
        <v>2232</v>
      </c>
      <c r="D35" s="1230"/>
      <c r="E35" s="1231"/>
      <c r="F35" s="1231"/>
      <c r="G35" s="1231"/>
      <c r="H35" s="1231"/>
      <c r="I35" s="1231"/>
      <c r="J35" s="1231"/>
      <c r="K35" s="1232"/>
      <c r="L35" s="969" t="s">
        <v>2233</v>
      </c>
    </row>
    <row r="36" spans="1:12" s="22" customFormat="1" ht="15.5" x14ac:dyDescent="0.35">
      <c r="A36" s="643" t="s">
        <v>2234</v>
      </c>
      <c r="B36" s="768">
        <v>290</v>
      </c>
      <c r="C36" s="769" t="s">
        <v>2232</v>
      </c>
      <c r="D36" s="1230"/>
      <c r="E36" s="1231"/>
      <c r="F36" s="1231"/>
      <c r="G36" s="1231"/>
      <c r="H36" s="1231"/>
      <c r="I36" s="1231"/>
      <c r="J36" s="1231"/>
      <c r="K36" s="1232"/>
      <c r="L36" s="969" t="s">
        <v>2233</v>
      </c>
    </row>
    <row r="37" spans="1:12" s="22" customFormat="1" ht="15.5" x14ac:dyDescent="0.35">
      <c r="A37" s="643" t="s">
        <v>2235</v>
      </c>
      <c r="B37" s="768">
        <v>330</v>
      </c>
      <c r="C37" s="769" t="s">
        <v>2232</v>
      </c>
      <c r="D37" s="1230"/>
      <c r="E37" s="1231"/>
      <c r="F37" s="1231"/>
      <c r="G37" s="1231"/>
      <c r="H37" s="1231"/>
      <c r="I37" s="1231"/>
      <c r="J37" s="1231"/>
      <c r="K37" s="1232"/>
      <c r="L37" s="969" t="s">
        <v>2233</v>
      </c>
    </row>
    <row r="38" spans="1:12" s="22" customFormat="1" ht="15.5" x14ac:dyDescent="0.35">
      <c r="A38" s="643" t="s">
        <v>2236</v>
      </c>
      <c r="B38" s="768">
        <v>360</v>
      </c>
      <c r="C38" s="769" t="s">
        <v>2232</v>
      </c>
      <c r="D38" s="1230"/>
      <c r="E38" s="1231"/>
      <c r="F38" s="1231"/>
      <c r="G38" s="1231"/>
      <c r="H38" s="1231"/>
      <c r="I38" s="1231"/>
      <c r="J38" s="1231"/>
      <c r="K38" s="1232"/>
      <c r="L38" s="969" t="s">
        <v>2233</v>
      </c>
    </row>
    <row r="39" spans="1:12" s="22" customFormat="1" ht="15.5" x14ac:dyDescent="0.35">
      <c r="A39" s="643" t="s">
        <v>2237</v>
      </c>
      <c r="B39" s="768">
        <v>390</v>
      </c>
      <c r="C39" s="769" t="s">
        <v>2232</v>
      </c>
      <c r="D39" s="1230"/>
      <c r="E39" s="1231"/>
      <c r="F39" s="1231"/>
      <c r="G39" s="1231"/>
      <c r="H39" s="1231"/>
      <c r="I39" s="1231"/>
      <c r="J39" s="1231"/>
      <c r="K39" s="1232"/>
      <c r="L39" s="969" t="s">
        <v>2233</v>
      </c>
    </row>
    <row r="40" spans="1:12" s="22" customFormat="1" ht="15.5" x14ac:dyDescent="0.35">
      <c r="A40" s="643" t="s">
        <v>2238</v>
      </c>
      <c r="B40" s="768">
        <v>490</v>
      </c>
      <c r="C40" s="769" t="s">
        <v>2232</v>
      </c>
      <c r="D40" s="1230"/>
      <c r="E40" s="1231"/>
      <c r="F40" s="1231"/>
      <c r="G40" s="1231"/>
      <c r="H40" s="1231"/>
      <c r="I40" s="1231"/>
      <c r="J40" s="1231"/>
      <c r="K40" s="1232"/>
      <c r="L40" s="969" t="s">
        <v>2233</v>
      </c>
    </row>
    <row r="41" spans="1:12" s="22" customFormat="1" ht="15.5" x14ac:dyDescent="0.35">
      <c r="A41" s="643" t="s">
        <v>2239</v>
      </c>
      <c r="B41" s="768">
        <v>509</v>
      </c>
      <c r="C41" s="769" t="s">
        <v>2232</v>
      </c>
      <c r="D41" s="1230"/>
      <c r="E41" s="1231"/>
      <c r="F41" s="1231"/>
      <c r="G41" s="1231"/>
      <c r="H41" s="1231"/>
      <c r="I41" s="1231"/>
      <c r="J41" s="1231"/>
      <c r="K41" s="1232"/>
      <c r="L41" s="969" t="s">
        <v>2233</v>
      </c>
    </row>
    <row r="42" spans="1:12" s="22" customFormat="1" ht="15.5" x14ac:dyDescent="0.35">
      <c r="A42" s="643" t="s">
        <v>2240</v>
      </c>
      <c r="B42" s="768">
        <v>590</v>
      </c>
      <c r="C42" s="769" t="s">
        <v>2232</v>
      </c>
      <c r="D42" s="1230"/>
      <c r="E42" s="1231"/>
      <c r="F42" s="1231"/>
      <c r="G42" s="1231"/>
      <c r="H42" s="1231"/>
      <c r="I42" s="1231"/>
      <c r="J42" s="1231"/>
      <c r="K42" s="1232"/>
      <c r="L42" s="969" t="s">
        <v>2233</v>
      </c>
    </row>
    <row r="43" spans="1:12" s="22" customFormat="1" ht="15.5" x14ac:dyDescent="0.35">
      <c r="A43" s="643" t="s">
        <v>2241</v>
      </c>
      <c r="B43" s="768">
        <v>599</v>
      </c>
      <c r="C43" s="769" t="s">
        <v>2232</v>
      </c>
      <c r="D43" s="1230"/>
      <c r="E43" s="1231"/>
      <c r="F43" s="1231"/>
      <c r="G43" s="1231"/>
      <c r="H43" s="1231"/>
      <c r="I43" s="1231"/>
      <c r="J43" s="1231"/>
      <c r="K43" s="1232"/>
      <c r="L43" s="969" t="s">
        <v>2233</v>
      </c>
    </row>
    <row r="44" spans="1:12" s="22" customFormat="1" ht="15.5" x14ac:dyDescent="0.35">
      <c r="A44" s="643" t="s">
        <v>2242</v>
      </c>
      <c r="B44" s="768">
        <v>601</v>
      </c>
      <c r="C44" s="769" t="s">
        <v>2232</v>
      </c>
      <c r="D44" s="1230"/>
      <c r="E44" s="1231"/>
      <c r="F44" s="1231"/>
      <c r="G44" s="1231"/>
      <c r="H44" s="1231"/>
      <c r="I44" s="1231"/>
      <c r="J44" s="1231"/>
      <c r="K44" s="1232"/>
      <c r="L44" s="969" t="s">
        <v>2233</v>
      </c>
    </row>
    <row r="45" spans="1:12" s="22" customFormat="1" ht="15.5" x14ac:dyDescent="0.35">
      <c r="A45" s="643" t="s">
        <v>2243</v>
      </c>
      <c r="B45" s="768">
        <v>602</v>
      </c>
      <c r="C45" s="769" t="s">
        <v>2232</v>
      </c>
      <c r="D45" s="1230"/>
      <c r="E45" s="1231"/>
      <c r="F45" s="1231"/>
      <c r="G45" s="1231"/>
      <c r="H45" s="1231"/>
      <c r="I45" s="1231"/>
      <c r="J45" s="1231"/>
      <c r="K45" s="1232"/>
      <c r="L45" s="969" t="s">
        <v>2233</v>
      </c>
    </row>
    <row r="46" spans="1:12" s="22" customFormat="1" ht="15.5" x14ac:dyDescent="0.35">
      <c r="A46" s="643" t="s">
        <v>2244</v>
      </c>
      <c r="B46" s="768">
        <v>690</v>
      </c>
      <c r="C46" s="769" t="s">
        <v>2232</v>
      </c>
      <c r="D46" s="1230"/>
      <c r="E46" s="1231"/>
      <c r="F46" s="1231"/>
      <c r="G46" s="1231"/>
      <c r="H46" s="1231"/>
      <c r="I46" s="1231"/>
      <c r="J46" s="1231"/>
      <c r="K46" s="1232"/>
      <c r="L46" s="969" t="s">
        <v>2233</v>
      </c>
    </row>
    <row r="47" spans="1:12" s="22" customFormat="1" ht="15.5" x14ac:dyDescent="0.35">
      <c r="A47" s="643" t="s">
        <v>2245</v>
      </c>
      <c r="B47" s="768">
        <v>698</v>
      </c>
      <c r="C47" s="769" t="s">
        <v>2232</v>
      </c>
      <c r="D47" s="1230"/>
      <c r="E47" s="1231"/>
      <c r="F47" s="1231"/>
      <c r="G47" s="1231"/>
      <c r="H47" s="1231"/>
      <c r="I47" s="1231"/>
      <c r="J47" s="1231"/>
      <c r="K47" s="1232"/>
      <c r="L47" s="969" t="s">
        <v>2233</v>
      </c>
    </row>
    <row r="48" spans="1:12" s="22" customFormat="1" ht="15.5" x14ac:dyDescent="0.35">
      <c r="A48" s="643" t="s">
        <v>2246</v>
      </c>
      <c r="B48" s="768">
        <v>699</v>
      </c>
      <c r="C48" s="769" t="s">
        <v>2232</v>
      </c>
      <c r="D48" s="1230"/>
      <c r="E48" s="1231"/>
      <c r="F48" s="1231"/>
      <c r="G48" s="1231"/>
      <c r="H48" s="1231"/>
      <c r="I48" s="1231"/>
      <c r="J48" s="1231"/>
      <c r="K48" s="1232"/>
      <c r="L48" s="969" t="s">
        <v>2233</v>
      </c>
    </row>
    <row r="49" spans="1:12" s="22" customFormat="1" ht="15.5" x14ac:dyDescent="0.35">
      <c r="A49" s="643" t="s">
        <v>2247</v>
      </c>
      <c r="B49" s="768">
        <v>711</v>
      </c>
      <c r="C49" s="769" t="s">
        <v>2232</v>
      </c>
      <c r="D49" s="1230"/>
      <c r="E49" s="1231"/>
      <c r="F49" s="1231"/>
      <c r="G49" s="1231"/>
      <c r="H49" s="1231"/>
      <c r="I49" s="1231"/>
      <c r="J49" s="1231"/>
      <c r="K49" s="1232"/>
      <c r="L49" s="969" t="s">
        <v>2233</v>
      </c>
    </row>
    <row r="50" spans="1:12" s="22" customFormat="1" ht="15.5" x14ac:dyDescent="0.35">
      <c r="A50" s="643" t="s">
        <v>2248</v>
      </c>
      <c r="B50" s="768">
        <v>712</v>
      </c>
      <c r="C50" s="769" t="s">
        <v>2232</v>
      </c>
      <c r="D50" s="1230"/>
      <c r="E50" s="1231"/>
      <c r="F50" s="1231"/>
      <c r="G50" s="1231"/>
      <c r="H50" s="1231"/>
      <c r="I50" s="1231"/>
      <c r="J50" s="1231"/>
      <c r="K50" s="1232"/>
      <c r="L50" s="969" t="s">
        <v>2233</v>
      </c>
    </row>
    <row r="51" spans="1:12" s="22" customFormat="1" ht="15.5" x14ac:dyDescent="0.35">
      <c r="A51" s="643" t="s">
        <v>2249</v>
      </c>
      <c r="B51" s="768">
        <v>713</v>
      </c>
      <c r="C51" s="769" t="s">
        <v>2232</v>
      </c>
      <c r="D51" s="1230"/>
      <c r="E51" s="1231"/>
      <c r="F51" s="1231"/>
      <c r="G51" s="1231"/>
      <c r="H51" s="1231"/>
      <c r="I51" s="1231"/>
      <c r="J51" s="1231"/>
      <c r="K51" s="1232"/>
      <c r="L51" s="969" t="s">
        <v>2233</v>
      </c>
    </row>
    <row r="52" spans="1:12" s="22" customFormat="1" ht="15.5" x14ac:dyDescent="0.35">
      <c r="A52" s="643" t="s">
        <v>2250</v>
      </c>
      <c r="B52" s="768">
        <v>714</v>
      </c>
      <c r="C52" s="769" t="s">
        <v>2232</v>
      </c>
      <c r="D52" s="1230"/>
      <c r="E52" s="1231"/>
      <c r="F52" s="1231"/>
      <c r="G52" s="1231"/>
      <c r="H52" s="1231"/>
      <c r="I52" s="1231"/>
      <c r="J52" s="1231"/>
      <c r="K52" s="1232"/>
      <c r="L52" s="969" t="s">
        <v>2233</v>
      </c>
    </row>
    <row r="53" spans="1:12" s="22" customFormat="1" ht="15.5" x14ac:dyDescent="0.35">
      <c r="A53" s="643" t="s">
        <v>2251</v>
      </c>
      <c r="B53" s="768">
        <v>718</v>
      </c>
      <c r="C53" s="769" t="s">
        <v>2232</v>
      </c>
      <c r="D53" s="1230"/>
      <c r="E53" s="1231"/>
      <c r="F53" s="1231"/>
      <c r="G53" s="1231"/>
      <c r="H53" s="1231"/>
      <c r="I53" s="1231"/>
      <c r="J53" s="1231"/>
      <c r="K53" s="1232"/>
      <c r="L53" s="969" t="s">
        <v>2233</v>
      </c>
    </row>
    <row r="54" spans="1:12" s="22" customFormat="1" ht="15.5" x14ac:dyDescent="0.35">
      <c r="A54" s="643" t="s">
        <v>2252</v>
      </c>
      <c r="B54" s="768">
        <v>721</v>
      </c>
      <c r="C54" s="769" t="s">
        <v>2232</v>
      </c>
      <c r="D54" s="1230"/>
      <c r="E54" s="1231"/>
      <c r="F54" s="1231"/>
      <c r="G54" s="1231"/>
      <c r="H54" s="1231"/>
      <c r="I54" s="1231"/>
      <c r="J54" s="1231"/>
      <c r="K54" s="1232"/>
      <c r="L54" s="969" t="s">
        <v>2233</v>
      </c>
    </row>
    <row r="55" spans="1:12" s="22" customFormat="1" ht="15.5" x14ac:dyDescent="0.35">
      <c r="A55" s="643" t="s">
        <v>2253</v>
      </c>
      <c r="B55" s="768">
        <v>722</v>
      </c>
      <c r="C55" s="769" t="s">
        <v>2232</v>
      </c>
      <c r="D55" s="1230"/>
      <c r="E55" s="1231"/>
      <c r="F55" s="1231"/>
      <c r="G55" s="1231"/>
      <c r="H55" s="1231"/>
      <c r="I55" s="1231"/>
      <c r="J55" s="1231"/>
      <c r="K55" s="1232"/>
      <c r="L55" s="969" t="s">
        <v>2233</v>
      </c>
    </row>
    <row r="56" spans="1:12" s="22" customFormat="1" ht="15.5" x14ac:dyDescent="0.35">
      <c r="A56" s="643" t="s">
        <v>2254</v>
      </c>
      <c r="B56" s="768">
        <v>724</v>
      </c>
      <c r="C56" s="769" t="s">
        <v>2232</v>
      </c>
      <c r="D56" s="1230"/>
      <c r="E56" s="1231"/>
      <c r="F56" s="1231"/>
      <c r="G56" s="1231"/>
      <c r="H56" s="1231"/>
      <c r="I56" s="1231"/>
      <c r="J56" s="1231"/>
      <c r="K56" s="1232"/>
      <c r="L56" s="969" t="s">
        <v>2233</v>
      </c>
    </row>
    <row r="57" spans="1:12" s="22" customFormat="1" ht="15.5" x14ac:dyDescent="0.35">
      <c r="A57" s="643" t="s">
        <v>2255</v>
      </c>
      <c r="B57" s="768">
        <v>727</v>
      </c>
      <c r="C57" s="769" t="s">
        <v>2232</v>
      </c>
      <c r="D57" s="1230"/>
      <c r="E57" s="1231"/>
      <c r="F57" s="1231"/>
      <c r="G57" s="1231"/>
      <c r="H57" s="1231"/>
      <c r="I57" s="1231"/>
      <c r="J57" s="1231"/>
      <c r="K57" s="1232"/>
      <c r="L57" s="969" t="s">
        <v>2233</v>
      </c>
    </row>
    <row r="58" spans="1:12" s="22" customFormat="1" ht="15.5" x14ac:dyDescent="0.35">
      <c r="A58" s="643" t="s">
        <v>2256</v>
      </c>
      <c r="B58" s="768">
        <v>728</v>
      </c>
      <c r="C58" s="769" t="s">
        <v>2232</v>
      </c>
      <c r="D58" s="1230"/>
      <c r="E58" s="1231"/>
      <c r="F58" s="1231"/>
      <c r="G58" s="1231"/>
      <c r="H58" s="1231"/>
      <c r="I58" s="1231"/>
      <c r="J58" s="1231"/>
      <c r="K58" s="1232"/>
      <c r="L58" s="969" t="s">
        <v>2233</v>
      </c>
    </row>
    <row r="59" spans="1:12" s="22" customFormat="1" ht="15.5" x14ac:dyDescent="0.35">
      <c r="A59" s="643" t="s">
        <v>2257</v>
      </c>
      <c r="B59" s="768">
        <v>731</v>
      </c>
      <c r="C59" s="769" t="s">
        <v>2232</v>
      </c>
      <c r="D59" s="1230"/>
      <c r="E59" s="1231"/>
      <c r="F59" s="1231"/>
      <c r="G59" s="1231"/>
      <c r="H59" s="1231"/>
      <c r="I59" s="1231"/>
      <c r="J59" s="1231"/>
      <c r="K59" s="1232"/>
      <c r="L59" s="969" t="s">
        <v>2233</v>
      </c>
    </row>
    <row r="60" spans="1:12" s="22" customFormat="1" ht="15.5" x14ac:dyDescent="0.35">
      <c r="A60" s="643" t="s">
        <v>2258</v>
      </c>
      <c r="B60" s="768">
        <v>732</v>
      </c>
      <c r="C60" s="769" t="s">
        <v>2232</v>
      </c>
      <c r="D60" s="1230"/>
      <c r="E60" s="1231"/>
      <c r="F60" s="1231"/>
      <c r="G60" s="1231"/>
      <c r="H60" s="1231"/>
      <c r="I60" s="1231"/>
      <c r="J60" s="1231"/>
      <c r="K60" s="1232"/>
      <c r="L60" s="969" t="s">
        <v>2233</v>
      </c>
    </row>
    <row r="61" spans="1:12" s="22" customFormat="1" ht="15.5" x14ac:dyDescent="0.35">
      <c r="A61" s="643" t="s">
        <v>2259</v>
      </c>
      <c r="B61" s="768">
        <v>741</v>
      </c>
      <c r="C61" s="769" t="s">
        <v>2232</v>
      </c>
      <c r="D61" s="1230"/>
      <c r="E61" s="1231"/>
      <c r="F61" s="1231"/>
      <c r="G61" s="1231"/>
      <c r="H61" s="1231"/>
      <c r="I61" s="1231"/>
      <c r="J61" s="1231"/>
      <c r="K61" s="1232"/>
      <c r="L61" s="969" t="s">
        <v>2233</v>
      </c>
    </row>
    <row r="62" spans="1:12" s="22" customFormat="1" ht="15.5" x14ac:dyDescent="0.35">
      <c r="A62" s="643" t="s">
        <v>2260</v>
      </c>
      <c r="B62" s="768">
        <v>742</v>
      </c>
      <c r="C62" s="769" t="s">
        <v>2232</v>
      </c>
      <c r="D62" s="1230"/>
      <c r="E62" s="1231"/>
      <c r="F62" s="1231"/>
      <c r="G62" s="1231"/>
      <c r="H62" s="1231"/>
      <c r="I62" s="1231"/>
      <c r="J62" s="1231"/>
      <c r="K62" s="1232"/>
      <c r="L62" s="969" t="s">
        <v>2233</v>
      </c>
    </row>
    <row r="63" spans="1:12" s="22" customFormat="1" ht="15.5" x14ac:dyDescent="0.35">
      <c r="A63" s="643" t="s">
        <v>2261</v>
      </c>
      <c r="B63" s="768">
        <v>747</v>
      </c>
      <c r="C63" s="769" t="s">
        <v>2232</v>
      </c>
      <c r="D63" s="1230"/>
      <c r="E63" s="1231"/>
      <c r="F63" s="1231"/>
      <c r="G63" s="1231"/>
      <c r="H63" s="1231"/>
      <c r="I63" s="1231"/>
      <c r="J63" s="1231"/>
      <c r="K63" s="1232"/>
      <c r="L63" s="969" t="s">
        <v>2233</v>
      </c>
    </row>
    <row r="64" spans="1:12" s="22" customFormat="1" ht="15.5" x14ac:dyDescent="0.35">
      <c r="A64" s="643" t="s">
        <v>2262</v>
      </c>
      <c r="B64" s="768">
        <v>748</v>
      </c>
      <c r="C64" s="769" t="s">
        <v>2232</v>
      </c>
      <c r="D64" s="1230"/>
      <c r="E64" s="1231"/>
      <c r="F64" s="1231"/>
      <c r="G64" s="1231"/>
      <c r="H64" s="1231"/>
      <c r="I64" s="1231"/>
      <c r="J64" s="1231"/>
      <c r="K64" s="1232"/>
      <c r="L64" s="969" t="s">
        <v>2233</v>
      </c>
    </row>
    <row r="65" spans="1:12" s="22" customFormat="1" ht="15.5" x14ac:dyDescent="0.35">
      <c r="A65" s="643" t="s">
        <v>2263</v>
      </c>
      <c r="B65" s="768">
        <v>749</v>
      </c>
      <c r="C65" s="769" t="s">
        <v>2232</v>
      </c>
      <c r="D65" s="1230"/>
      <c r="E65" s="1231"/>
      <c r="F65" s="1231"/>
      <c r="G65" s="1231"/>
      <c r="H65" s="1231"/>
      <c r="I65" s="1231"/>
      <c r="J65" s="1231"/>
      <c r="K65" s="1232"/>
      <c r="L65" s="969" t="s">
        <v>2233</v>
      </c>
    </row>
    <row r="66" spans="1:12" s="22" customFormat="1" ht="15.5" x14ac:dyDescent="0.35">
      <c r="A66" s="643" t="s">
        <v>2264</v>
      </c>
      <c r="B66" s="768">
        <v>759</v>
      </c>
      <c r="C66" s="769" t="s">
        <v>2232</v>
      </c>
      <c r="D66" s="1230"/>
      <c r="E66" s="1231"/>
      <c r="F66" s="1231"/>
      <c r="G66" s="1231"/>
      <c r="H66" s="1231"/>
      <c r="I66" s="1231"/>
      <c r="J66" s="1231"/>
      <c r="K66" s="1232"/>
      <c r="L66" s="969" t="s">
        <v>2233</v>
      </c>
    </row>
    <row r="67" spans="1:12" s="22" customFormat="1" ht="15.5" x14ac:dyDescent="0.35">
      <c r="A67" s="643" t="s">
        <v>2265</v>
      </c>
      <c r="B67" s="768">
        <v>765</v>
      </c>
      <c r="C67" s="769" t="s">
        <v>2232</v>
      </c>
      <c r="D67" s="1230"/>
      <c r="E67" s="1231"/>
      <c r="F67" s="1231"/>
      <c r="G67" s="1231"/>
      <c r="H67" s="1231"/>
      <c r="I67" s="1231"/>
      <c r="J67" s="1231"/>
      <c r="K67" s="1232"/>
      <c r="L67" s="969" t="s">
        <v>2233</v>
      </c>
    </row>
    <row r="68" spans="1:12" s="22" customFormat="1" ht="15.5" x14ac:dyDescent="0.35">
      <c r="A68" s="643" t="s">
        <v>2266</v>
      </c>
      <c r="B68" s="768">
        <v>766</v>
      </c>
      <c r="C68" s="769" t="s">
        <v>2232</v>
      </c>
      <c r="D68" s="1230"/>
      <c r="E68" s="1231"/>
      <c r="F68" s="1231"/>
      <c r="G68" s="1231"/>
      <c r="H68" s="1231"/>
      <c r="I68" s="1231"/>
      <c r="J68" s="1231"/>
      <c r="K68" s="1232"/>
      <c r="L68" s="969" t="s">
        <v>2233</v>
      </c>
    </row>
    <row r="69" spans="1:12" s="22" customFormat="1" ht="15.5" x14ac:dyDescent="0.35">
      <c r="A69" s="643" t="s">
        <v>2267</v>
      </c>
      <c r="B69" s="768">
        <v>767</v>
      </c>
      <c r="C69" s="769" t="s">
        <v>2232</v>
      </c>
      <c r="D69" s="1230"/>
      <c r="E69" s="1231"/>
      <c r="F69" s="1231"/>
      <c r="G69" s="1231"/>
      <c r="H69" s="1231"/>
      <c r="I69" s="1231"/>
      <c r="J69" s="1231"/>
      <c r="K69" s="1232"/>
      <c r="L69" s="969" t="s">
        <v>2233</v>
      </c>
    </row>
    <row r="70" spans="1:12" s="22" customFormat="1" ht="15.5" x14ac:dyDescent="0.35">
      <c r="A70" s="643" t="s">
        <v>2268</v>
      </c>
      <c r="B70" s="768">
        <v>768</v>
      </c>
      <c r="C70" s="769" t="s">
        <v>2232</v>
      </c>
      <c r="D70" s="1230"/>
      <c r="E70" s="1231"/>
      <c r="F70" s="1231"/>
      <c r="G70" s="1231"/>
      <c r="H70" s="1231"/>
      <c r="I70" s="1231"/>
      <c r="J70" s="1231"/>
      <c r="K70" s="1232"/>
      <c r="L70" s="969" t="s">
        <v>2233</v>
      </c>
    </row>
    <row r="71" spans="1:12" s="22" customFormat="1" ht="15.5" x14ac:dyDescent="0.35">
      <c r="A71" s="643" t="s">
        <v>2269</v>
      </c>
      <c r="B71" s="768">
        <v>771</v>
      </c>
      <c r="C71" s="769" t="s">
        <v>2232</v>
      </c>
      <c r="D71" s="1230"/>
      <c r="E71" s="1231"/>
      <c r="F71" s="1231"/>
      <c r="G71" s="1231"/>
      <c r="H71" s="1231"/>
      <c r="I71" s="1231"/>
      <c r="J71" s="1231"/>
      <c r="K71" s="1232"/>
      <c r="L71" s="969" t="s">
        <v>2233</v>
      </c>
    </row>
    <row r="72" spans="1:12" s="22" customFormat="1" ht="15.5" x14ac:dyDescent="0.35">
      <c r="A72" s="643" t="s">
        <v>2270</v>
      </c>
      <c r="B72" s="768">
        <v>773</v>
      </c>
      <c r="C72" s="769" t="s">
        <v>2232</v>
      </c>
      <c r="D72" s="1230"/>
      <c r="E72" s="1231"/>
      <c r="F72" s="1231"/>
      <c r="G72" s="1231"/>
      <c r="H72" s="1231"/>
      <c r="I72" s="1231"/>
      <c r="J72" s="1231"/>
      <c r="K72" s="1232"/>
      <c r="L72" s="969" t="s">
        <v>2233</v>
      </c>
    </row>
    <row r="73" spans="1:12" s="22" customFormat="1" ht="15.5" x14ac:dyDescent="0.35">
      <c r="A73" s="643" t="s">
        <v>2271</v>
      </c>
      <c r="B73" s="768">
        <v>776</v>
      </c>
      <c r="C73" s="769" t="s">
        <v>2232</v>
      </c>
      <c r="D73" s="1230"/>
      <c r="E73" s="1231"/>
      <c r="F73" s="1231"/>
      <c r="G73" s="1231"/>
      <c r="H73" s="1231"/>
      <c r="I73" s="1231"/>
      <c r="J73" s="1231"/>
      <c r="K73" s="1232"/>
      <c r="L73" s="969" t="s">
        <v>2233</v>
      </c>
    </row>
    <row r="74" spans="1:12" s="22" customFormat="1" ht="15.5" x14ac:dyDescent="0.35">
      <c r="A74" s="643" t="s">
        <v>2272</v>
      </c>
      <c r="B74" s="768">
        <v>781</v>
      </c>
      <c r="C74" s="769" t="s">
        <v>2232</v>
      </c>
      <c r="D74" s="1230"/>
      <c r="E74" s="1231"/>
      <c r="F74" s="1231"/>
      <c r="G74" s="1231"/>
      <c r="H74" s="1231"/>
      <c r="I74" s="1231"/>
      <c r="J74" s="1231"/>
      <c r="K74" s="1232"/>
      <c r="L74" s="969" t="s">
        <v>2233</v>
      </c>
    </row>
    <row r="75" spans="1:12" s="22" customFormat="1" ht="15.5" x14ac:dyDescent="0.35">
      <c r="A75" s="643" t="s">
        <v>2273</v>
      </c>
      <c r="B75" s="768">
        <v>783</v>
      </c>
      <c r="C75" s="769" t="s">
        <v>2232</v>
      </c>
      <c r="D75" s="1230"/>
      <c r="E75" s="1231"/>
      <c r="F75" s="1231"/>
      <c r="G75" s="1231"/>
      <c r="H75" s="1231"/>
      <c r="I75" s="1231"/>
      <c r="J75" s="1231"/>
      <c r="K75" s="1232"/>
      <c r="L75" s="969" t="s">
        <v>2233</v>
      </c>
    </row>
    <row r="76" spans="1:12" s="22" customFormat="1" ht="15.5" x14ac:dyDescent="0.35">
      <c r="A76" s="643" t="s">
        <v>2274</v>
      </c>
      <c r="B76" s="768">
        <v>785</v>
      </c>
      <c r="C76" s="769" t="s">
        <v>2232</v>
      </c>
      <c r="D76" s="1230"/>
      <c r="E76" s="1231"/>
      <c r="F76" s="1231"/>
      <c r="G76" s="1231"/>
      <c r="H76" s="1231"/>
      <c r="I76" s="1231"/>
      <c r="J76" s="1231"/>
      <c r="K76" s="1232"/>
      <c r="L76" s="969" t="s">
        <v>2233</v>
      </c>
    </row>
    <row r="77" spans="1:12" s="22" customFormat="1" ht="15.5" x14ac:dyDescent="0.35">
      <c r="A77" s="643" t="s">
        <v>2275</v>
      </c>
      <c r="B77" s="768">
        <v>786</v>
      </c>
      <c r="C77" s="769" t="s">
        <v>2232</v>
      </c>
      <c r="D77" s="1230"/>
      <c r="E77" s="1231"/>
      <c r="F77" s="1231"/>
      <c r="G77" s="1231"/>
      <c r="H77" s="1231"/>
      <c r="I77" s="1231"/>
      <c r="J77" s="1231"/>
      <c r="K77" s="1232"/>
      <c r="L77" s="969" t="s">
        <v>2233</v>
      </c>
    </row>
    <row r="78" spans="1:12" s="22" customFormat="1" ht="15.5" x14ac:dyDescent="0.35">
      <c r="A78" s="643" t="s">
        <v>2276</v>
      </c>
      <c r="B78" s="768">
        <v>820</v>
      </c>
      <c r="C78" s="769" t="s">
        <v>2232</v>
      </c>
      <c r="D78" s="1230"/>
      <c r="E78" s="1231"/>
      <c r="F78" s="1231"/>
      <c r="G78" s="1231"/>
      <c r="H78" s="1231"/>
      <c r="I78" s="1231"/>
      <c r="J78" s="1231"/>
      <c r="K78" s="1232"/>
      <c r="L78" s="969" t="s">
        <v>2233</v>
      </c>
    </row>
    <row r="79" spans="1:12" s="22" customFormat="1" ht="15.5" x14ac:dyDescent="0.35">
      <c r="A79" s="643" t="s">
        <v>2277</v>
      </c>
      <c r="B79" s="768">
        <v>821</v>
      </c>
      <c r="C79" s="769" t="s">
        <v>2232</v>
      </c>
      <c r="D79" s="1230"/>
      <c r="E79" s="1231"/>
      <c r="F79" s="1231"/>
      <c r="G79" s="1231"/>
      <c r="H79" s="1231"/>
      <c r="I79" s="1231"/>
      <c r="J79" s="1231"/>
      <c r="K79" s="1232"/>
      <c r="L79" s="969" t="s">
        <v>2233</v>
      </c>
    </row>
    <row r="80" spans="1:12" s="22" customFormat="1" ht="15.5" x14ac:dyDescent="0.35">
      <c r="A80" s="643" t="s">
        <v>2278</v>
      </c>
      <c r="B80" s="768">
        <v>822</v>
      </c>
      <c r="C80" s="769" t="s">
        <v>2232</v>
      </c>
      <c r="D80" s="1230"/>
      <c r="E80" s="1231"/>
      <c r="F80" s="1231"/>
      <c r="G80" s="1231"/>
      <c r="H80" s="1231"/>
      <c r="I80" s="1231"/>
      <c r="J80" s="1231"/>
      <c r="K80" s="1232"/>
      <c r="L80" s="969" t="s">
        <v>2233</v>
      </c>
    </row>
    <row r="81" spans="1:12" s="22" customFormat="1" ht="15.5" x14ac:dyDescent="0.35">
      <c r="A81" s="643" t="s">
        <v>2279</v>
      </c>
      <c r="B81" s="768">
        <v>823</v>
      </c>
      <c r="C81" s="769" t="s">
        <v>2232</v>
      </c>
      <c r="D81" s="1230"/>
      <c r="E81" s="1231"/>
      <c r="F81" s="1231"/>
      <c r="G81" s="1231"/>
      <c r="H81" s="1231"/>
      <c r="I81" s="1231"/>
      <c r="J81" s="1231"/>
      <c r="K81" s="1232"/>
      <c r="L81" s="969" t="s">
        <v>2233</v>
      </c>
    </row>
    <row r="82" spans="1:12" s="22" customFormat="1" ht="15.5" x14ac:dyDescent="0.35">
      <c r="A82" s="643" t="s">
        <v>2280</v>
      </c>
      <c r="B82" s="768">
        <v>824</v>
      </c>
      <c r="C82" s="769" t="s">
        <v>2232</v>
      </c>
      <c r="D82" s="1230"/>
      <c r="E82" s="1231"/>
      <c r="F82" s="1231"/>
      <c r="G82" s="1231"/>
      <c r="H82" s="1231"/>
      <c r="I82" s="1231"/>
      <c r="J82" s="1231"/>
      <c r="K82" s="1232"/>
      <c r="L82" s="969" t="s">
        <v>2233</v>
      </c>
    </row>
    <row r="83" spans="1:12" s="22" customFormat="1" ht="15.5" x14ac:dyDescent="0.35">
      <c r="A83" s="643" t="s">
        <v>2281</v>
      </c>
      <c r="B83" s="768">
        <v>825</v>
      </c>
      <c r="C83" s="769" t="s">
        <v>2232</v>
      </c>
      <c r="D83" s="1230"/>
      <c r="E83" s="1231"/>
      <c r="F83" s="1231"/>
      <c r="G83" s="1231"/>
      <c r="H83" s="1231"/>
      <c r="I83" s="1231"/>
      <c r="J83" s="1231"/>
      <c r="K83" s="1232"/>
      <c r="L83" s="969" t="s">
        <v>2233</v>
      </c>
    </row>
    <row r="84" spans="1:12" s="22" customFormat="1" ht="15.5" x14ac:dyDescent="0.35">
      <c r="A84" s="643" t="s">
        <v>2282</v>
      </c>
      <c r="B84" s="768">
        <v>826</v>
      </c>
      <c r="C84" s="769" t="s">
        <v>2232</v>
      </c>
      <c r="D84" s="1230"/>
      <c r="E84" s="1231"/>
      <c r="F84" s="1231"/>
      <c r="G84" s="1231"/>
      <c r="H84" s="1231"/>
      <c r="I84" s="1231"/>
      <c r="J84" s="1231"/>
      <c r="K84" s="1232"/>
      <c r="L84" s="969" t="s">
        <v>2233</v>
      </c>
    </row>
    <row r="85" spans="1:12" s="22" customFormat="1" ht="15.5" x14ac:dyDescent="0.35">
      <c r="A85" s="643" t="s">
        <v>2283</v>
      </c>
      <c r="B85" s="768">
        <v>827</v>
      </c>
      <c r="C85" s="769" t="s">
        <v>2232</v>
      </c>
      <c r="D85" s="1230"/>
      <c r="E85" s="1231"/>
      <c r="F85" s="1231"/>
      <c r="G85" s="1231"/>
      <c r="H85" s="1231"/>
      <c r="I85" s="1231"/>
      <c r="J85" s="1231"/>
      <c r="K85" s="1232"/>
      <c r="L85" s="969" t="s">
        <v>2233</v>
      </c>
    </row>
    <row r="86" spans="1:12" s="22" customFormat="1" ht="15.5" x14ac:dyDescent="0.35">
      <c r="A86" s="643" t="s">
        <v>2284</v>
      </c>
      <c r="B86" s="768">
        <v>828</v>
      </c>
      <c r="C86" s="769" t="s">
        <v>2232</v>
      </c>
      <c r="D86" s="1230"/>
      <c r="E86" s="1231"/>
      <c r="F86" s="1231"/>
      <c r="G86" s="1231"/>
      <c r="H86" s="1231"/>
      <c r="I86" s="1231"/>
      <c r="J86" s="1231"/>
      <c r="K86" s="1232"/>
      <c r="L86" s="969" t="s">
        <v>2233</v>
      </c>
    </row>
    <row r="87" spans="1:12" s="22" customFormat="1" ht="15.5" x14ac:dyDescent="0.35">
      <c r="A87" s="643" t="s">
        <v>2285</v>
      </c>
      <c r="B87" s="768">
        <v>829</v>
      </c>
      <c r="C87" s="769" t="s">
        <v>2232</v>
      </c>
      <c r="D87" s="1230"/>
      <c r="E87" s="1231"/>
      <c r="F87" s="1231"/>
      <c r="G87" s="1231"/>
      <c r="H87" s="1231"/>
      <c r="I87" s="1231"/>
      <c r="J87" s="1231"/>
      <c r="K87" s="1232"/>
      <c r="L87" s="969" t="s">
        <v>2233</v>
      </c>
    </row>
    <row r="88" spans="1:12" s="22" customFormat="1" ht="15.5" x14ac:dyDescent="0.35">
      <c r="A88" s="643" t="s">
        <v>2286</v>
      </c>
      <c r="B88" s="768">
        <v>788</v>
      </c>
      <c r="C88" s="769" t="s">
        <v>2232</v>
      </c>
      <c r="D88" s="1230"/>
      <c r="E88" s="1231"/>
      <c r="F88" s="1231"/>
      <c r="G88" s="1231"/>
      <c r="H88" s="1231"/>
      <c r="I88" s="1231"/>
      <c r="J88" s="1231"/>
      <c r="K88" s="1232"/>
      <c r="L88" s="969" t="s">
        <v>2233</v>
      </c>
    </row>
    <row r="89" spans="1:12" s="22" customFormat="1" ht="15.5" x14ac:dyDescent="0.35">
      <c r="A89" s="643" t="s">
        <v>2287</v>
      </c>
      <c r="B89" s="768">
        <v>789</v>
      </c>
      <c r="C89" s="769" t="s">
        <v>2232</v>
      </c>
      <c r="D89" s="1230"/>
      <c r="E89" s="1231"/>
      <c r="F89" s="1231"/>
      <c r="G89" s="1231"/>
      <c r="H89" s="1231"/>
      <c r="I89" s="1231"/>
      <c r="J89" s="1231"/>
      <c r="K89" s="1232"/>
      <c r="L89" s="969" t="s">
        <v>2233</v>
      </c>
    </row>
    <row r="90" spans="1:12" s="22" customFormat="1" ht="15.5" x14ac:dyDescent="0.35">
      <c r="A90" s="643" t="s">
        <v>2288</v>
      </c>
      <c r="B90" s="768">
        <v>790</v>
      </c>
      <c r="C90" s="769" t="s">
        <v>2232</v>
      </c>
      <c r="D90" s="1230"/>
      <c r="E90" s="1231"/>
      <c r="F90" s="1231"/>
      <c r="G90" s="1231"/>
      <c r="H90" s="1231"/>
      <c r="I90" s="1231"/>
      <c r="J90" s="1231"/>
      <c r="K90" s="1232"/>
      <c r="L90" s="969" t="s">
        <v>2233</v>
      </c>
    </row>
    <row r="91" spans="1:12" s="22" customFormat="1" ht="15.5" x14ac:dyDescent="0.35">
      <c r="A91" s="643" t="s">
        <v>2289</v>
      </c>
      <c r="B91" s="768">
        <v>791</v>
      </c>
      <c r="C91" s="769" t="s">
        <v>2232</v>
      </c>
      <c r="D91" s="1230"/>
      <c r="E91" s="1231"/>
      <c r="F91" s="1231"/>
      <c r="G91" s="1231"/>
      <c r="H91" s="1231"/>
      <c r="I91" s="1231"/>
      <c r="J91" s="1231"/>
      <c r="K91" s="1232"/>
      <c r="L91" s="969" t="s">
        <v>2233</v>
      </c>
    </row>
    <row r="92" spans="1:12" s="22" customFormat="1" ht="15.5" x14ac:dyDescent="0.35">
      <c r="A92" s="643" t="s">
        <v>2290</v>
      </c>
      <c r="B92" s="768">
        <v>793</v>
      </c>
      <c r="C92" s="769" t="s">
        <v>2232</v>
      </c>
      <c r="D92" s="1230"/>
      <c r="E92" s="1231"/>
      <c r="F92" s="1231"/>
      <c r="G92" s="1231"/>
      <c r="H92" s="1231"/>
      <c r="I92" s="1231"/>
      <c r="J92" s="1231"/>
      <c r="K92" s="1232"/>
      <c r="L92" s="969" t="s">
        <v>2233</v>
      </c>
    </row>
    <row r="93" spans="1:12" s="22" customFormat="1" ht="15.5" x14ac:dyDescent="0.35">
      <c r="A93" s="643" t="s">
        <v>2291</v>
      </c>
      <c r="B93" s="768">
        <v>794</v>
      </c>
      <c r="C93" s="769" t="s">
        <v>2232</v>
      </c>
      <c r="D93" s="1230"/>
      <c r="E93" s="1231"/>
      <c r="F93" s="1231"/>
      <c r="G93" s="1231"/>
      <c r="H93" s="1231"/>
      <c r="I93" s="1231"/>
      <c r="J93" s="1231"/>
      <c r="K93" s="1232"/>
      <c r="L93" s="969" t="s">
        <v>2233</v>
      </c>
    </row>
    <row r="94" spans="1:12" s="22" customFormat="1" ht="15.5" x14ac:dyDescent="0.35">
      <c r="A94" s="643" t="s">
        <v>2292</v>
      </c>
      <c r="B94" s="768">
        <v>795</v>
      </c>
      <c r="C94" s="769" t="s">
        <v>2232</v>
      </c>
      <c r="D94" s="1230"/>
      <c r="E94" s="1231"/>
      <c r="F94" s="1231"/>
      <c r="G94" s="1231"/>
      <c r="H94" s="1231"/>
      <c r="I94" s="1231"/>
      <c r="J94" s="1231"/>
      <c r="K94" s="1232"/>
      <c r="L94" s="969" t="s">
        <v>2233</v>
      </c>
    </row>
    <row r="95" spans="1:12" s="22" customFormat="1" ht="15.5" x14ac:dyDescent="0.35">
      <c r="A95" s="643" t="s">
        <v>2293</v>
      </c>
      <c r="B95" s="768">
        <v>796</v>
      </c>
      <c r="C95" s="769" t="s">
        <v>2232</v>
      </c>
      <c r="D95" s="1230"/>
      <c r="E95" s="1231"/>
      <c r="F95" s="1231"/>
      <c r="G95" s="1231"/>
      <c r="H95" s="1231"/>
      <c r="I95" s="1231"/>
      <c r="J95" s="1231"/>
      <c r="K95" s="1232"/>
      <c r="L95" s="969" t="s">
        <v>2233</v>
      </c>
    </row>
    <row r="96" spans="1:12" s="22" customFormat="1" ht="15.5" x14ac:dyDescent="0.35">
      <c r="A96" s="643" t="s">
        <v>2294</v>
      </c>
      <c r="B96" s="768">
        <v>797</v>
      </c>
      <c r="C96" s="769" t="s">
        <v>2232</v>
      </c>
      <c r="D96" s="1230"/>
      <c r="E96" s="1231"/>
      <c r="F96" s="1231"/>
      <c r="G96" s="1231"/>
      <c r="H96" s="1231"/>
      <c r="I96" s="1231"/>
      <c r="J96" s="1231"/>
      <c r="K96" s="1232"/>
      <c r="L96" s="969" t="s">
        <v>2233</v>
      </c>
    </row>
    <row r="97" spans="1:12" s="22" customFormat="1" ht="15.5" x14ac:dyDescent="0.35">
      <c r="A97" s="643" t="s">
        <v>2295</v>
      </c>
      <c r="B97" s="768">
        <v>800</v>
      </c>
      <c r="C97" s="769" t="s">
        <v>2232</v>
      </c>
      <c r="D97" s="1230"/>
      <c r="E97" s="1231"/>
      <c r="F97" s="1231"/>
      <c r="G97" s="1231"/>
      <c r="H97" s="1231"/>
      <c r="I97" s="1231"/>
      <c r="J97" s="1231"/>
      <c r="K97" s="1232"/>
      <c r="L97" s="969" t="s">
        <v>2233</v>
      </c>
    </row>
    <row r="98" spans="1:12" s="22" customFormat="1" ht="15.5" x14ac:dyDescent="0.35">
      <c r="A98" s="643" t="s">
        <v>2296</v>
      </c>
      <c r="B98" s="768">
        <v>803</v>
      </c>
      <c r="C98" s="769" t="s">
        <v>2232</v>
      </c>
      <c r="D98" s="1230"/>
      <c r="E98" s="1231"/>
      <c r="F98" s="1231"/>
      <c r="G98" s="1231"/>
      <c r="H98" s="1231"/>
      <c r="I98" s="1231"/>
      <c r="J98" s="1231"/>
      <c r="K98" s="1232"/>
      <c r="L98" s="969" t="s">
        <v>2233</v>
      </c>
    </row>
    <row r="99" spans="1:12" s="22" customFormat="1" ht="15.5" x14ac:dyDescent="0.35">
      <c r="A99" s="643" t="s">
        <v>2297</v>
      </c>
      <c r="B99" s="768">
        <v>804</v>
      </c>
      <c r="C99" s="769" t="s">
        <v>2232</v>
      </c>
      <c r="D99" s="1230"/>
      <c r="E99" s="1231"/>
      <c r="F99" s="1231"/>
      <c r="G99" s="1231"/>
      <c r="H99" s="1231"/>
      <c r="I99" s="1231"/>
      <c r="J99" s="1231"/>
      <c r="K99" s="1232"/>
      <c r="L99" s="969" t="s">
        <v>2233</v>
      </c>
    </row>
    <row r="100" spans="1:12" s="22" customFormat="1" ht="15.5" x14ac:dyDescent="0.35">
      <c r="A100" s="643" t="s">
        <v>2298</v>
      </c>
      <c r="B100" s="768">
        <v>805</v>
      </c>
      <c r="C100" s="769" t="s">
        <v>2232</v>
      </c>
      <c r="D100" s="1230"/>
      <c r="E100" s="1231"/>
      <c r="F100" s="1231"/>
      <c r="G100" s="1231"/>
      <c r="H100" s="1231"/>
      <c r="I100" s="1231"/>
      <c r="J100" s="1231"/>
      <c r="K100" s="1232"/>
      <c r="L100" s="969" t="s">
        <v>2233</v>
      </c>
    </row>
    <row r="101" spans="1:12" s="22" customFormat="1" ht="15.5" x14ac:dyDescent="0.35">
      <c r="A101" s="643" t="s">
        <v>2299</v>
      </c>
      <c r="B101" s="768">
        <v>806</v>
      </c>
      <c r="C101" s="769" t="s">
        <v>2232</v>
      </c>
      <c r="D101" s="1230"/>
      <c r="E101" s="1231"/>
      <c r="F101" s="1231"/>
      <c r="G101" s="1231"/>
      <c r="H101" s="1231"/>
      <c r="I101" s="1231"/>
      <c r="J101" s="1231"/>
      <c r="K101" s="1232"/>
      <c r="L101" s="969" t="s">
        <v>2233</v>
      </c>
    </row>
    <row r="102" spans="1:12" s="22" customFormat="1" ht="15.5" x14ac:dyDescent="0.35">
      <c r="A102" s="643" t="s">
        <v>2300</v>
      </c>
      <c r="B102" s="768">
        <v>811</v>
      </c>
      <c r="C102" s="769" t="s">
        <v>2232</v>
      </c>
      <c r="D102" s="1230"/>
      <c r="E102" s="1231"/>
      <c r="F102" s="1231"/>
      <c r="G102" s="1231"/>
      <c r="H102" s="1231"/>
      <c r="I102" s="1231"/>
      <c r="J102" s="1231"/>
      <c r="K102" s="1232"/>
      <c r="L102" s="969" t="s">
        <v>2233</v>
      </c>
    </row>
    <row r="103" spans="1:12" s="22" customFormat="1" ht="15.5" x14ac:dyDescent="0.35">
      <c r="A103" s="643" t="s">
        <v>2301</v>
      </c>
      <c r="B103" s="768">
        <v>813</v>
      </c>
      <c r="C103" s="769" t="s">
        <v>2232</v>
      </c>
      <c r="D103" s="1230"/>
      <c r="E103" s="1231"/>
      <c r="F103" s="1231"/>
      <c r="G103" s="1231"/>
      <c r="H103" s="1231"/>
      <c r="I103" s="1231"/>
      <c r="J103" s="1231"/>
      <c r="K103" s="1232"/>
      <c r="L103" s="969" t="s">
        <v>2233</v>
      </c>
    </row>
    <row r="104" spans="1:12" s="22" customFormat="1" ht="15.5" x14ac:dyDescent="0.35">
      <c r="A104" s="643" t="s">
        <v>2302</v>
      </c>
      <c r="B104" s="768">
        <v>814</v>
      </c>
      <c r="C104" s="769" t="s">
        <v>2232</v>
      </c>
      <c r="D104" s="1230"/>
      <c r="E104" s="1231"/>
      <c r="F104" s="1231"/>
      <c r="G104" s="1231"/>
      <c r="H104" s="1231"/>
      <c r="I104" s="1231"/>
      <c r="J104" s="1231"/>
      <c r="K104" s="1232"/>
      <c r="L104" s="969" t="s">
        <v>2233</v>
      </c>
    </row>
    <row r="105" spans="1:12" s="22" customFormat="1" ht="15.5" x14ac:dyDescent="0.35">
      <c r="A105" s="643" t="s">
        <v>2303</v>
      </c>
      <c r="B105" s="768">
        <v>815</v>
      </c>
      <c r="C105" s="769" t="s">
        <v>2232</v>
      </c>
      <c r="D105" s="1230"/>
      <c r="E105" s="1231"/>
      <c r="F105" s="1231"/>
      <c r="G105" s="1231"/>
      <c r="H105" s="1231"/>
      <c r="I105" s="1231"/>
      <c r="J105" s="1231"/>
      <c r="K105" s="1232"/>
      <c r="L105" s="969" t="s">
        <v>2233</v>
      </c>
    </row>
    <row r="106" spans="1:12" s="22" customFormat="1" ht="15.5" x14ac:dyDescent="0.35">
      <c r="A106" s="126" t="s">
        <v>2304</v>
      </c>
      <c r="B106" s="768" t="s">
        <v>1483</v>
      </c>
      <c r="C106" s="769" t="s">
        <v>2232</v>
      </c>
      <c r="D106" s="966"/>
      <c r="E106" s="967"/>
      <c r="F106" s="967"/>
      <c r="G106" s="967"/>
      <c r="H106" s="967"/>
      <c r="I106" s="967"/>
      <c r="J106" s="967"/>
      <c r="K106" s="968"/>
      <c r="L106" s="969" t="s">
        <v>2233</v>
      </c>
    </row>
    <row r="107" spans="1:12" s="22" customFormat="1" ht="15.5" x14ac:dyDescent="0.35">
      <c r="A107" s="126" t="s">
        <v>2305</v>
      </c>
      <c r="B107" s="768" t="s">
        <v>1485</v>
      </c>
      <c r="C107" s="769" t="s">
        <v>2232</v>
      </c>
      <c r="D107" s="1230"/>
      <c r="E107" s="1231"/>
      <c r="F107" s="1231"/>
      <c r="G107" s="1231"/>
      <c r="H107" s="1231"/>
      <c r="I107" s="1231"/>
      <c r="J107" s="1231"/>
      <c r="K107" s="1232"/>
      <c r="L107" s="969" t="s">
        <v>2233</v>
      </c>
    </row>
    <row r="108" spans="1:12" s="22" customFormat="1" ht="15.5" x14ac:dyDescent="0.35">
      <c r="A108" s="643" t="s">
        <v>2306</v>
      </c>
      <c r="B108" s="768">
        <v>816</v>
      </c>
      <c r="C108" s="769" t="s">
        <v>2232</v>
      </c>
      <c r="D108" s="1230"/>
      <c r="E108" s="1231"/>
      <c r="F108" s="1231"/>
      <c r="G108" s="1231"/>
      <c r="H108" s="1231"/>
      <c r="I108" s="1231"/>
      <c r="J108" s="1231"/>
      <c r="K108" s="1232"/>
      <c r="L108" s="969" t="s">
        <v>2233</v>
      </c>
    </row>
    <row r="109" spans="1:12" s="22" customFormat="1" ht="15.5" x14ac:dyDescent="0.35">
      <c r="A109" s="643" t="s">
        <v>2307</v>
      </c>
      <c r="B109" s="768">
        <v>851</v>
      </c>
      <c r="C109" s="769" t="s">
        <v>2232</v>
      </c>
      <c r="D109" s="1230"/>
      <c r="E109" s="1231"/>
      <c r="F109" s="1231"/>
      <c r="G109" s="1231"/>
      <c r="H109" s="1231"/>
      <c r="I109" s="1231"/>
      <c r="J109" s="1231"/>
      <c r="K109" s="1232"/>
      <c r="L109" s="969" t="s">
        <v>2233</v>
      </c>
    </row>
    <row r="110" spans="1:12" s="22" customFormat="1" ht="15.5" x14ac:dyDescent="0.35">
      <c r="A110" s="643" t="s">
        <v>2308</v>
      </c>
      <c r="B110" s="768">
        <v>856</v>
      </c>
      <c r="C110" s="769" t="s">
        <v>2232</v>
      </c>
      <c r="D110" s="1230"/>
      <c r="E110" s="1231"/>
      <c r="F110" s="1231"/>
      <c r="G110" s="1231"/>
      <c r="H110" s="1231"/>
      <c r="I110" s="1231"/>
      <c r="J110" s="1231"/>
      <c r="K110" s="1232"/>
      <c r="L110" s="969" t="s">
        <v>2233</v>
      </c>
    </row>
    <row r="111" spans="1:12" s="22" customFormat="1" ht="15.5" x14ac:dyDescent="0.35">
      <c r="A111" s="643" t="s">
        <v>2309</v>
      </c>
      <c r="B111" s="768">
        <v>870</v>
      </c>
      <c r="C111" s="769" t="s">
        <v>2232</v>
      </c>
      <c r="D111" s="1230"/>
      <c r="E111" s="1231"/>
      <c r="F111" s="1231"/>
      <c r="G111" s="1231"/>
      <c r="H111" s="1231"/>
      <c r="I111" s="1231"/>
      <c r="J111" s="1231"/>
      <c r="K111" s="1232"/>
      <c r="L111" s="969" t="s">
        <v>2233</v>
      </c>
    </row>
    <row r="112" spans="1:12" s="22" customFormat="1" ht="15.5" x14ac:dyDescent="0.35">
      <c r="A112" s="643" t="s">
        <v>2310</v>
      </c>
      <c r="B112" s="768">
        <v>880</v>
      </c>
      <c r="C112" s="769" t="s">
        <v>2232</v>
      </c>
      <c r="D112" s="1230"/>
      <c r="E112" s="1231"/>
      <c r="F112" s="1231"/>
      <c r="G112" s="1231"/>
      <c r="H112" s="1231"/>
      <c r="I112" s="1231"/>
      <c r="J112" s="1231"/>
      <c r="K112" s="1232"/>
      <c r="L112" s="969" t="s">
        <v>2233</v>
      </c>
    </row>
    <row r="113" spans="1:12" s="22" customFormat="1" ht="15.5" x14ac:dyDescent="0.35">
      <c r="A113" s="643" t="s">
        <v>2311</v>
      </c>
      <c r="B113" s="768">
        <v>885</v>
      </c>
      <c r="C113" s="769" t="s">
        <v>2232</v>
      </c>
      <c r="D113" s="1230"/>
      <c r="E113" s="1231"/>
      <c r="F113" s="1231"/>
      <c r="G113" s="1231"/>
      <c r="H113" s="1231"/>
      <c r="I113" s="1231"/>
      <c r="J113" s="1231"/>
      <c r="K113" s="1232"/>
      <c r="L113" s="969" t="s">
        <v>2233</v>
      </c>
    </row>
    <row r="114" spans="1:12" s="22" customFormat="1" ht="15.5" x14ac:dyDescent="0.35">
      <c r="A114" s="643" t="s">
        <v>2312</v>
      </c>
      <c r="B114" s="768">
        <v>890</v>
      </c>
      <c r="C114" s="769" t="s">
        <v>2232</v>
      </c>
      <c r="D114" s="1230"/>
      <c r="E114" s="1231"/>
      <c r="F114" s="1231"/>
      <c r="G114" s="1231"/>
      <c r="H114" s="1231"/>
      <c r="I114" s="1231"/>
      <c r="J114" s="1231"/>
      <c r="K114" s="1232"/>
      <c r="L114" s="969" t="s">
        <v>2233</v>
      </c>
    </row>
    <row r="115" spans="1:12" s="22" customFormat="1" ht="15.5" x14ac:dyDescent="0.35">
      <c r="A115" s="643" t="s">
        <v>2313</v>
      </c>
      <c r="B115" s="768">
        <v>911</v>
      </c>
      <c r="C115" s="769" t="s">
        <v>2232</v>
      </c>
      <c r="D115" s="1230"/>
      <c r="E115" s="1231"/>
      <c r="F115" s="1231"/>
      <c r="G115" s="1231"/>
      <c r="H115" s="1231"/>
      <c r="I115" s="1231"/>
      <c r="J115" s="1231"/>
      <c r="K115" s="1232"/>
      <c r="L115" s="969" t="s">
        <v>2233</v>
      </c>
    </row>
    <row r="116" spans="1:12" s="22" customFormat="1" ht="15.5" x14ac:dyDescent="0.35">
      <c r="A116" s="125" t="s">
        <v>2314</v>
      </c>
      <c r="B116" s="768">
        <v>912</v>
      </c>
      <c r="C116" s="769" t="s">
        <v>2232</v>
      </c>
      <c r="D116" s="966"/>
      <c r="E116" s="967"/>
      <c r="F116" s="967"/>
      <c r="G116" s="967"/>
      <c r="H116" s="967"/>
      <c r="I116" s="967"/>
      <c r="J116" s="967"/>
      <c r="K116" s="968"/>
      <c r="L116" s="969" t="s">
        <v>2233</v>
      </c>
    </row>
    <row r="117" spans="1:12" s="22" customFormat="1" ht="15.5" x14ac:dyDescent="0.35">
      <c r="A117" s="643" t="s">
        <v>2315</v>
      </c>
      <c r="B117" s="768">
        <v>913</v>
      </c>
      <c r="C117" s="769" t="s">
        <v>2232</v>
      </c>
      <c r="D117" s="1230"/>
      <c r="E117" s="1231"/>
      <c r="F117" s="1231"/>
      <c r="G117" s="1231"/>
      <c r="H117" s="1231"/>
      <c r="I117" s="1231"/>
      <c r="J117" s="1231"/>
      <c r="K117" s="1232"/>
      <c r="L117" s="969" t="s">
        <v>2233</v>
      </c>
    </row>
    <row r="118" spans="1:12" s="22" customFormat="1" ht="15.5" x14ac:dyDescent="0.35">
      <c r="A118" s="643" t="s">
        <v>2316</v>
      </c>
      <c r="B118" s="768">
        <v>914</v>
      </c>
      <c r="C118" s="769" t="s">
        <v>2232</v>
      </c>
      <c r="D118" s="1230"/>
      <c r="E118" s="1231"/>
      <c r="F118" s="1231"/>
      <c r="G118" s="1231"/>
      <c r="H118" s="1231"/>
      <c r="I118" s="1231"/>
      <c r="J118" s="1231"/>
      <c r="K118" s="1232"/>
      <c r="L118" s="969" t="s">
        <v>2233</v>
      </c>
    </row>
    <row r="119" spans="1:12" s="22" customFormat="1" ht="15.5" x14ac:dyDescent="0.35">
      <c r="A119" s="643" t="s">
        <v>2317</v>
      </c>
      <c r="B119" s="768">
        <v>915</v>
      </c>
      <c r="C119" s="769" t="s">
        <v>2232</v>
      </c>
      <c r="D119" s="1230"/>
      <c r="E119" s="1231"/>
      <c r="F119" s="1231"/>
      <c r="G119" s="1231"/>
      <c r="H119" s="1231"/>
      <c r="I119" s="1231"/>
      <c r="J119" s="1231"/>
      <c r="K119" s="1232"/>
      <c r="L119" s="969" t="s">
        <v>2233</v>
      </c>
    </row>
    <row r="120" spans="1:12" s="22" customFormat="1" ht="15.5" x14ac:dyDescent="0.35">
      <c r="A120" s="643" t="s">
        <v>2318</v>
      </c>
      <c r="B120" s="768">
        <v>1023</v>
      </c>
      <c r="C120" s="769" t="s">
        <v>2232</v>
      </c>
      <c r="D120" s="1230"/>
      <c r="E120" s="1231"/>
      <c r="F120" s="1231"/>
      <c r="G120" s="1231"/>
      <c r="H120" s="1231"/>
      <c r="I120" s="1231"/>
      <c r="J120" s="1231"/>
      <c r="K120" s="1232"/>
      <c r="L120" s="969" t="s">
        <v>2233</v>
      </c>
    </row>
    <row r="121" spans="1:12" s="22" customFormat="1" ht="15.5" x14ac:dyDescent="0.35">
      <c r="A121" s="643" t="s">
        <v>2319</v>
      </c>
      <c r="B121" s="768">
        <v>1024</v>
      </c>
      <c r="C121" s="769" t="s">
        <v>2232</v>
      </c>
      <c r="D121" s="1230"/>
      <c r="E121" s="1231"/>
      <c r="F121" s="1231"/>
      <c r="G121" s="1231"/>
      <c r="H121" s="1231"/>
      <c r="I121" s="1231"/>
      <c r="J121" s="1231"/>
      <c r="K121" s="1232"/>
      <c r="L121" s="969" t="s">
        <v>2233</v>
      </c>
    </row>
    <row r="122" spans="1:12" s="22" customFormat="1" ht="15.5" x14ac:dyDescent="0.35">
      <c r="A122" s="643" t="s">
        <v>2320</v>
      </c>
      <c r="B122" s="768">
        <v>1025</v>
      </c>
      <c r="C122" s="769" t="s">
        <v>2232</v>
      </c>
      <c r="D122" s="1230"/>
      <c r="E122" s="1231"/>
      <c r="F122" s="1231"/>
      <c r="G122" s="1231"/>
      <c r="H122" s="1231"/>
      <c r="I122" s="1231"/>
      <c r="J122" s="1231"/>
      <c r="K122" s="1232"/>
      <c r="L122" s="969" t="s">
        <v>2233</v>
      </c>
    </row>
    <row r="123" spans="1:12" s="22" customFormat="1" ht="15.5" x14ac:dyDescent="0.35">
      <c r="A123" s="643" t="s">
        <v>2321</v>
      </c>
      <c r="B123" s="768">
        <v>1026</v>
      </c>
      <c r="C123" s="769" t="s">
        <v>2232</v>
      </c>
      <c r="D123" s="1230"/>
      <c r="E123" s="1231"/>
      <c r="F123" s="1231"/>
      <c r="G123" s="1231"/>
      <c r="H123" s="1231"/>
      <c r="I123" s="1231"/>
      <c r="J123" s="1231"/>
      <c r="K123" s="1232"/>
      <c r="L123" s="969" t="s">
        <v>2233</v>
      </c>
    </row>
    <row r="124" spans="1:12" s="22" customFormat="1" ht="15.5" x14ac:dyDescent="0.35">
      <c r="A124" s="643" t="s">
        <v>2322</v>
      </c>
      <c r="B124" s="768">
        <v>1027</v>
      </c>
      <c r="C124" s="769" t="s">
        <v>2232</v>
      </c>
      <c r="D124" s="1230"/>
      <c r="E124" s="1231"/>
      <c r="F124" s="1231"/>
      <c r="G124" s="1231"/>
      <c r="H124" s="1231"/>
      <c r="I124" s="1231"/>
      <c r="J124" s="1231"/>
      <c r="K124" s="1232"/>
      <c r="L124" s="969" t="s">
        <v>2233</v>
      </c>
    </row>
    <row r="125" spans="1:12" s="22" customFormat="1" ht="15.5" x14ac:dyDescent="0.35">
      <c r="A125" s="126" t="s">
        <v>2323</v>
      </c>
      <c r="B125" s="768">
        <v>1028</v>
      </c>
      <c r="C125" s="769" t="s">
        <v>2232</v>
      </c>
      <c r="D125" s="1230"/>
      <c r="E125" s="1231"/>
      <c r="F125" s="1231"/>
      <c r="G125" s="1231"/>
      <c r="H125" s="1231"/>
      <c r="I125" s="1231"/>
      <c r="J125" s="1231"/>
      <c r="K125" s="1232"/>
      <c r="L125" s="969" t="s">
        <v>2233</v>
      </c>
    </row>
    <row r="126" spans="1:12" s="22" customFormat="1" ht="15.5" x14ac:dyDescent="0.35">
      <c r="A126" s="126" t="s">
        <v>2324</v>
      </c>
      <c r="B126" s="768">
        <v>1029</v>
      </c>
      <c r="C126" s="769" t="s">
        <v>2232</v>
      </c>
      <c r="D126" s="1230"/>
      <c r="E126" s="1231"/>
      <c r="F126" s="1231"/>
      <c r="G126" s="1231"/>
      <c r="H126" s="1231"/>
      <c r="I126" s="1231"/>
      <c r="J126" s="1231"/>
      <c r="K126" s="1232"/>
      <c r="L126" s="969" t="s">
        <v>2233</v>
      </c>
    </row>
    <row r="127" spans="1:12" s="22" customFormat="1" ht="15.5" x14ac:dyDescent="0.35">
      <c r="A127" s="126" t="s">
        <v>2325</v>
      </c>
      <c r="B127" s="768">
        <v>1030</v>
      </c>
      <c r="C127" s="769" t="s">
        <v>2232</v>
      </c>
      <c r="D127" s="1230"/>
      <c r="E127" s="1233"/>
      <c r="F127" s="1233"/>
      <c r="G127" s="1233"/>
      <c r="H127" s="1233"/>
      <c r="I127" s="1233"/>
      <c r="J127" s="1233"/>
      <c r="K127" s="1234"/>
      <c r="L127" s="969" t="s">
        <v>2233</v>
      </c>
    </row>
    <row r="128" spans="1:12" s="22" customFormat="1" ht="15.5" x14ac:dyDescent="0.35">
      <c r="A128" s="643" t="s">
        <v>2326</v>
      </c>
      <c r="B128" s="768">
        <v>916</v>
      </c>
      <c r="C128" s="769" t="s">
        <v>2232</v>
      </c>
      <c r="D128" s="1230"/>
      <c r="E128" s="1231"/>
      <c r="F128" s="1231"/>
      <c r="G128" s="1231"/>
      <c r="H128" s="1231"/>
      <c r="I128" s="1231"/>
      <c r="J128" s="1231"/>
      <c r="K128" s="1232"/>
      <c r="L128" s="969" t="s">
        <v>2233</v>
      </c>
    </row>
    <row r="129" spans="1:12" s="22" customFormat="1" ht="15.5" x14ac:dyDescent="0.35">
      <c r="A129" s="643" t="s">
        <v>2327</v>
      </c>
      <c r="B129" s="768">
        <v>920</v>
      </c>
      <c r="C129" s="769" t="s">
        <v>2232</v>
      </c>
      <c r="D129" s="1230"/>
      <c r="E129" s="1231"/>
      <c r="F129" s="1231"/>
      <c r="G129" s="1231"/>
      <c r="H129" s="1231"/>
      <c r="I129" s="1231"/>
      <c r="J129" s="1231"/>
      <c r="K129" s="1232"/>
      <c r="L129" s="969" t="s">
        <v>2233</v>
      </c>
    </row>
    <row r="130" spans="1:12" s="22" customFormat="1" ht="15.5" x14ac:dyDescent="0.35">
      <c r="A130" s="643" t="s">
        <v>2328</v>
      </c>
      <c r="B130" s="768">
        <v>931</v>
      </c>
      <c r="C130" s="769" t="s">
        <v>2232</v>
      </c>
      <c r="D130" s="1230"/>
      <c r="E130" s="1231"/>
      <c r="F130" s="1231"/>
      <c r="G130" s="1231"/>
      <c r="H130" s="1231"/>
      <c r="I130" s="1231"/>
      <c r="J130" s="1231"/>
      <c r="K130" s="1232"/>
      <c r="L130" s="969" t="s">
        <v>2233</v>
      </c>
    </row>
    <row r="131" spans="1:12" s="22" customFormat="1" ht="15.5" x14ac:dyDescent="0.35">
      <c r="A131" s="643" t="s">
        <v>2329</v>
      </c>
      <c r="B131" s="768">
        <v>933</v>
      </c>
      <c r="C131" s="769" t="s">
        <v>2232</v>
      </c>
      <c r="D131" s="1230"/>
      <c r="E131" s="1231"/>
      <c r="F131" s="1231"/>
      <c r="G131" s="1231"/>
      <c r="H131" s="1231"/>
      <c r="I131" s="1231"/>
      <c r="J131" s="1231"/>
      <c r="K131" s="1232"/>
      <c r="L131" s="969" t="s">
        <v>2233</v>
      </c>
    </row>
    <row r="132" spans="1:12" s="22" customFormat="1" ht="15.5" x14ac:dyDescent="0.35">
      <c r="A132" s="643" t="s">
        <v>2330</v>
      </c>
      <c r="B132" s="768">
        <v>943</v>
      </c>
      <c r="C132" s="769" t="s">
        <v>2232</v>
      </c>
      <c r="D132" s="1230"/>
      <c r="E132" s="1231"/>
      <c r="F132" s="1231"/>
      <c r="G132" s="1231"/>
      <c r="H132" s="1231"/>
      <c r="I132" s="1231"/>
      <c r="J132" s="1231"/>
      <c r="K132" s="1232"/>
      <c r="L132" s="969" t="s">
        <v>2233</v>
      </c>
    </row>
    <row r="133" spans="1:12" s="22" customFormat="1" ht="15.5" x14ac:dyDescent="0.35">
      <c r="A133" s="643" t="s">
        <v>2331</v>
      </c>
      <c r="B133" s="768">
        <v>944</v>
      </c>
      <c r="C133" s="769" t="s">
        <v>2232</v>
      </c>
      <c r="D133" s="1230"/>
      <c r="E133" s="1231"/>
      <c r="F133" s="1231"/>
      <c r="G133" s="1231"/>
      <c r="H133" s="1231"/>
      <c r="I133" s="1231"/>
      <c r="J133" s="1231"/>
      <c r="K133" s="1232"/>
      <c r="L133" s="969" t="s">
        <v>2233</v>
      </c>
    </row>
    <row r="134" spans="1:12" s="22" customFormat="1" ht="15.5" x14ac:dyDescent="0.35">
      <c r="A134" s="643" t="s">
        <v>2332</v>
      </c>
      <c r="B134" s="768">
        <v>934</v>
      </c>
      <c r="C134" s="769" t="s">
        <v>2232</v>
      </c>
      <c r="D134" s="1230"/>
      <c r="E134" s="1231"/>
      <c r="F134" s="1231"/>
      <c r="G134" s="1231"/>
      <c r="H134" s="1231"/>
      <c r="I134" s="1231"/>
      <c r="J134" s="1231"/>
      <c r="K134" s="1232"/>
      <c r="L134" s="969" t="s">
        <v>2233</v>
      </c>
    </row>
    <row r="135" spans="1:12" s="22" customFormat="1" ht="15.5" x14ac:dyDescent="0.35">
      <c r="A135" s="643" t="s">
        <v>2333</v>
      </c>
      <c r="B135" s="768">
        <v>945</v>
      </c>
      <c r="C135" s="769" t="s">
        <v>2232</v>
      </c>
      <c r="D135" s="1230"/>
      <c r="E135" s="1231"/>
      <c r="F135" s="1231"/>
      <c r="G135" s="1231"/>
      <c r="H135" s="1231"/>
      <c r="I135" s="1231"/>
      <c r="J135" s="1231"/>
      <c r="K135" s="1232"/>
      <c r="L135" s="969" t="s">
        <v>2233</v>
      </c>
    </row>
    <row r="136" spans="1:12" s="22" customFormat="1" ht="15.5" x14ac:dyDescent="0.35">
      <c r="A136" s="643" t="s">
        <v>2334</v>
      </c>
      <c r="B136" s="768">
        <v>946</v>
      </c>
      <c r="C136" s="769" t="s">
        <v>2232</v>
      </c>
      <c r="D136" s="1230"/>
      <c r="E136" s="1231"/>
      <c r="F136" s="1231"/>
      <c r="G136" s="1231"/>
      <c r="H136" s="1231"/>
      <c r="I136" s="1231"/>
      <c r="J136" s="1231"/>
      <c r="K136" s="1232"/>
      <c r="L136" s="969" t="s">
        <v>2233</v>
      </c>
    </row>
    <row r="137" spans="1:12" s="22" customFormat="1" ht="15.5" x14ac:dyDescent="0.35">
      <c r="A137" s="643" t="s">
        <v>2335</v>
      </c>
      <c r="B137" s="768">
        <v>947</v>
      </c>
      <c r="C137" s="769" t="s">
        <v>2232</v>
      </c>
      <c r="D137" s="1230"/>
      <c r="E137" s="1231"/>
      <c r="F137" s="1231"/>
      <c r="G137" s="1231"/>
      <c r="H137" s="1231"/>
      <c r="I137" s="1231"/>
      <c r="J137" s="1231"/>
      <c r="K137" s="1232"/>
      <c r="L137" s="969" t="s">
        <v>2233</v>
      </c>
    </row>
    <row r="138" spans="1:12" s="22" customFormat="1" ht="15.5" x14ac:dyDescent="0.35">
      <c r="A138" s="643" t="s">
        <v>2336</v>
      </c>
      <c r="B138" s="768">
        <v>948</v>
      </c>
      <c r="C138" s="769" t="s">
        <v>2232</v>
      </c>
      <c r="D138" s="1230"/>
      <c r="E138" s="1231"/>
      <c r="F138" s="1231"/>
      <c r="G138" s="1231"/>
      <c r="H138" s="1231"/>
      <c r="I138" s="1231"/>
      <c r="J138" s="1231"/>
      <c r="K138" s="1232"/>
      <c r="L138" s="969" t="s">
        <v>2233</v>
      </c>
    </row>
    <row r="139" spans="1:12" s="22" customFormat="1" ht="15.5" x14ac:dyDescent="0.35">
      <c r="A139" s="643" t="s">
        <v>2337</v>
      </c>
      <c r="B139" s="768">
        <v>935</v>
      </c>
      <c r="C139" s="769" t="s">
        <v>2232</v>
      </c>
      <c r="D139" s="1230"/>
      <c r="E139" s="1231"/>
      <c r="F139" s="1231"/>
      <c r="G139" s="1231"/>
      <c r="H139" s="1231"/>
      <c r="I139" s="1231"/>
      <c r="J139" s="1231"/>
      <c r="K139" s="1232"/>
      <c r="L139" s="969" t="s">
        <v>2233</v>
      </c>
    </row>
    <row r="140" spans="1:12" s="22" customFormat="1" ht="15.5" x14ac:dyDescent="0.35">
      <c r="A140" s="643" t="s">
        <v>2338</v>
      </c>
      <c r="B140" s="768">
        <v>936</v>
      </c>
      <c r="C140" s="769" t="s">
        <v>2232</v>
      </c>
      <c r="D140" s="1230"/>
      <c r="E140" s="1231"/>
      <c r="F140" s="1231"/>
      <c r="G140" s="1231"/>
      <c r="H140" s="1231"/>
      <c r="I140" s="1231"/>
      <c r="J140" s="1231"/>
      <c r="K140" s="1232"/>
      <c r="L140" s="969" t="s">
        <v>2233</v>
      </c>
    </row>
    <row r="141" spans="1:12" s="22" customFormat="1" ht="15.5" x14ac:dyDescent="0.35">
      <c r="A141" s="643" t="s">
        <v>2339</v>
      </c>
      <c r="B141" s="768">
        <v>939</v>
      </c>
      <c r="C141" s="769" t="s">
        <v>2232</v>
      </c>
      <c r="D141" s="1230"/>
      <c r="E141" s="1231"/>
      <c r="F141" s="1231"/>
      <c r="G141" s="1231"/>
      <c r="H141" s="1231"/>
      <c r="I141" s="1231"/>
      <c r="J141" s="1231"/>
      <c r="K141" s="1232"/>
      <c r="L141" s="969" t="s">
        <v>2233</v>
      </c>
    </row>
    <row r="142" spans="1:12" s="22" customFormat="1" ht="15.5" x14ac:dyDescent="0.35">
      <c r="A142" s="643" t="s">
        <v>2340</v>
      </c>
      <c r="B142" s="768">
        <v>941</v>
      </c>
      <c r="C142" s="769" t="s">
        <v>2232</v>
      </c>
      <c r="D142" s="1230"/>
      <c r="E142" s="1231"/>
      <c r="F142" s="1231"/>
      <c r="G142" s="1231"/>
      <c r="H142" s="1231"/>
      <c r="I142" s="1231"/>
      <c r="J142" s="1231"/>
      <c r="K142" s="1232"/>
      <c r="L142" s="969" t="s">
        <v>2233</v>
      </c>
    </row>
    <row r="143" spans="1:12" s="22" customFormat="1" ht="15.5" x14ac:dyDescent="0.35">
      <c r="A143" s="643" t="s">
        <v>2341</v>
      </c>
      <c r="B143" s="768">
        <v>942</v>
      </c>
      <c r="C143" s="769" t="s">
        <v>2232</v>
      </c>
      <c r="D143" s="1230"/>
      <c r="E143" s="1231"/>
      <c r="F143" s="1231"/>
      <c r="G143" s="1231"/>
      <c r="H143" s="1231"/>
      <c r="I143" s="1231"/>
      <c r="J143" s="1231"/>
      <c r="K143" s="1232"/>
      <c r="L143" s="969" t="s">
        <v>2233</v>
      </c>
    </row>
    <row r="144" spans="1:12" s="22" customFormat="1" ht="15.5" x14ac:dyDescent="0.35">
      <c r="A144" s="643" t="s">
        <v>2342</v>
      </c>
      <c r="B144" s="768">
        <v>960</v>
      </c>
      <c r="C144" s="769" t="s">
        <v>2232</v>
      </c>
      <c r="D144" s="1230"/>
      <c r="E144" s="1231"/>
      <c r="F144" s="1231"/>
      <c r="G144" s="1231"/>
      <c r="H144" s="1231"/>
      <c r="I144" s="1231"/>
      <c r="J144" s="1231"/>
      <c r="K144" s="1232"/>
      <c r="L144" s="969" t="s">
        <v>2233</v>
      </c>
    </row>
    <row r="145" spans="1:12" s="22" customFormat="1" ht="15.5" x14ac:dyDescent="0.35">
      <c r="A145" s="643" t="s">
        <v>2343</v>
      </c>
      <c r="B145" s="768">
        <v>980</v>
      </c>
      <c r="C145" s="769" t="s">
        <v>2232</v>
      </c>
      <c r="D145" s="1230"/>
      <c r="E145" s="1231"/>
      <c r="F145" s="1231"/>
      <c r="G145" s="1231"/>
      <c r="H145" s="1231"/>
      <c r="I145" s="1231"/>
      <c r="J145" s="1231"/>
      <c r="K145" s="1232"/>
      <c r="L145" s="969" t="s">
        <v>2233</v>
      </c>
    </row>
    <row r="146" spans="1:12" s="22" customFormat="1" ht="15.5" x14ac:dyDescent="0.35">
      <c r="A146" s="643" t="s">
        <v>2344</v>
      </c>
      <c r="B146" s="768">
        <v>981</v>
      </c>
      <c r="C146" s="769" t="s">
        <v>2232</v>
      </c>
      <c r="D146" s="1230"/>
      <c r="E146" s="1231"/>
      <c r="F146" s="1231"/>
      <c r="G146" s="1231"/>
      <c r="H146" s="1231"/>
      <c r="I146" s="1231"/>
      <c r="J146" s="1231"/>
      <c r="K146" s="1232"/>
      <c r="L146" s="969" t="s">
        <v>2233</v>
      </c>
    </row>
    <row r="147" spans="1:12" s="22" customFormat="1" ht="15.5" x14ac:dyDescent="0.35">
      <c r="A147" s="643" t="s">
        <v>2345</v>
      </c>
      <c r="B147" s="768">
        <v>982</v>
      </c>
      <c r="C147" s="769" t="s">
        <v>2232</v>
      </c>
      <c r="D147" s="1230"/>
      <c r="E147" s="1231"/>
      <c r="F147" s="1231"/>
      <c r="G147" s="1231"/>
      <c r="H147" s="1231"/>
      <c r="I147" s="1231"/>
      <c r="J147" s="1231"/>
      <c r="K147" s="1232"/>
      <c r="L147" s="969" t="s">
        <v>2233</v>
      </c>
    </row>
    <row r="148" spans="1:12" s="22" customFormat="1" ht="15.5" x14ac:dyDescent="0.35">
      <c r="A148" s="643" t="s">
        <v>2346</v>
      </c>
      <c r="B148" s="768">
        <v>983</v>
      </c>
      <c r="C148" s="769" t="s">
        <v>2232</v>
      </c>
      <c r="D148" s="1230"/>
      <c r="E148" s="1231"/>
      <c r="F148" s="1231"/>
      <c r="G148" s="1231"/>
      <c r="H148" s="1231"/>
      <c r="I148" s="1231"/>
      <c r="J148" s="1231"/>
      <c r="K148" s="1232"/>
      <c r="L148" s="969" t="s">
        <v>2233</v>
      </c>
    </row>
    <row r="149" spans="1:12" s="22" customFormat="1" ht="15.5" x14ac:dyDescent="0.35">
      <c r="A149" s="643" t="s">
        <v>2347</v>
      </c>
      <c r="B149" s="768">
        <v>994</v>
      </c>
      <c r="C149" s="769" t="s">
        <v>2232</v>
      </c>
      <c r="D149" s="1230"/>
      <c r="E149" s="1231"/>
      <c r="F149" s="1231"/>
      <c r="G149" s="1231"/>
      <c r="H149" s="1231"/>
      <c r="I149" s="1231"/>
      <c r="J149" s="1231"/>
      <c r="K149" s="1232"/>
      <c r="L149" s="969" t="s">
        <v>2233</v>
      </c>
    </row>
    <row r="150" spans="1:12" s="22" customFormat="1" ht="15.5" x14ac:dyDescent="0.35">
      <c r="A150" s="643" t="s">
        <v>2348</v>
      </c>
      <c r="B150" s="768">
        <v>995</v>
      </c>
      <c r="C150" s="769" t="s">
        <v>2232</v>
      </c>
      <c r="D150" s="1230"/>
      <c r="E150" s="1231"/>
      <c r="F150" s="1231"/>
      <c r="G150" s="1231"/>
      <c r="H150" s="1231"/>
      <c r="I150" s="1231"/>
      <c r="J150" s="1231"/>
      <c r="K150" s="1232"/>
      <c r="L150" s="969" t="s">
        <v>2233</v>
      </c>
    </row>
    <row r="151" spans="1:12" s="22" customFormat="1" ht="15.5" x14ac:dyDescent="0.35">
      <c r="A151" s="643" t="s">
        <v>2349</v>
      </c>
      <c r="B151" s="768">
        <v>996</v>
      </c>
      <c r="C151" s="769" t="s">
        <v>2232</v>
      </c>
      <c r="D151" s="1230"/>
      <c r="E151" s="1231"/>
      <c r="F151" s="1231"/>
      <c r="G151" s="1231"/>
      <c r="H151" s="1231"/>
      <c r="I151" s="1231"/>
      <c r="J151" s="1231"/>
      <c r="K151" s="1232"/>
      <c r="L151" s="969" t="s">
        <v>2233</v>
      </c>
    </row>
    <row r="152" spans="1:12" s="22" customFormat="1" ht="15.5" x14ac:dyDescent="0.35">
      <c r="A152" s="643" t="s">
        <v>2350</v>
      </c>
      <c r="B152" s="768">
        <v>997</v>
      </c>
      <c r="C152" s="769" t="s">
        <v>2232</v>
      </c>
      <c r="D152" s="1230"/>
      <c r="E152" s="1231"/>
      <c r="F152" s="1231"/>
      <c r="G152" s="1231"/>
      <c r="H152" s="1231"/>
      <c r="I152" s="1231"/>
      <c r="J152" s="1231"/>
      <c r="K152" s="1232"/>
      <c r="L152" s="969" t="s">
        <v>2233</v>
      </c>
    </row>
    <row r="153" spans="1:12" s="22" customFormat="1" ht="15.5" x14ac:dyDescent="0.35">
      <c r="A153" s="643" t="s">
        <v>2351</v>
      </c>
      <c r="B153" s="768">
        <v>190</v>
      </c>
      <c r="C153" s="769" t="s">
        <v>2352</v>
      </c>
      <c r="D153" s="1230"/>
      <c r="E153" s="1231"/>
      <c r="F153" s="1231"/>
      <c r="G153" s="1231"/>
      <c r="H153" s="1231"/>
      <c r="I153" s="1231"/>
      <c r="J153" s="1231"/>
      <c r="K153" s="1232"/>
      <c r="L153" s="767" t="s">
        <v>2233</v>
      </c>
    </row>
    <row r="154" spans="1:12" s="22" customFormat="1" ht="15.5" x14ac:dyDescent="0.35">
      <c r="A154" s="643" t="s">
        <v>2353</v>
      </c>
      <c r="B154" s="768">
        <v>290</v>
      </c>
      <c r="C154" s="769" t="s">
        <v>2352</v>
      </c>
      <c r="D154" s="1230"/>
      <c r="E154" s="1231"/>
      <c r="F154" s="1231"/>
      <c r="G154" s="1231"/>
      <c r="H154" s="1231"/>
      <c r="I154" s="1231"/>
      <c r="J154" s="1231"/>
      <c r="K154" s="1232"/>
      <c r="L154" s="767" t="s">
        <v>2233</v>
      </c>
    </row>
    <row r="155" spans="1:12" s="22" customFormat="1" ht="15.5" x14ac:dyDescent="0.35">
      <c r="A155" s="643" t="s">
        <v>2354</v>
      </c>
      <c r="B155" s="768">
        <v>330</v>
      </c>
      <c r="C155" s="769" t="s">
        <v>2352</v>
      </c>
      <c r="D155" s="1230"/>
      <c r="E155" s="1231"/>
      <c r="F155" s="1231"/>
      <c r="G155" s="1231"/>
      <c r="H155" s="1231"/>
      <c r="I155" s="1231"/>
      <c r="J155" s="1231"/>
      <c r="K155" s="1232"/>
      <c r="L155" s="767" t="s">
        <v>2233</v>
      </c>
    </row>
    <row r="156" spans="1:12" s="22" customFormat="1" ht="15.5" x14ac:dyDescent="0.35">
      <c r="A156" s="643" t="s">
        <v>2355</v>
      </c>
      <c r="B156" s="768">
        <v>360</v>
      </c>
      <c r="C156" s="769" t="s">
        <v>2352</v>
      </c>
      <c r="D156" s="1230"/>
      <c r="E156" s="1231"/>
      <c r="F156" s="1231"/>
      <c r="G156" s="1231"/>
      <c r="H156" s="1231"/>
      <c r="I156" s="1231"/>
      <c r="J156" s="1231"/>
      <c r="K156" s="1232"/>
      <c r="L156" s="767" t="s">
        <v>2233</v>
      </c>
    </row>
    <row r="157" spans="1:12" s="22" customFormat="1" ht="15.5" x14ac:dyDescent="0.35">
      <c r="A157" s="643" t="s">
        <v>2356</v>
      </c>
      <c r="B157" s="768">
        <v>390</v>
      </c>
      <c r="C157" s="769" t="s">
        <v>2352</v>
      </c>
      <c r="D157" s="1230"/>
      <c r="E157" s="1231"/>
      <c r="F157" s="1231"/>
      <c r="G157" s="1231"/>
      <c r="H157" s="1231"/>
      <c r="I157" s="1231"/>
      <c r="J157" s="1231"/>
      <c r="K157" s="1232"/>
      <c r="L157" s="767" t="s">
        <v>2233</v>
      </c>
    </row>
    <row r="158" spans="1:12" s="22" customFormat="1" ht="15.5" x14ac:dyDescent="0.35">
      <c r="A158" s="643" t="s">
        <v>2357</v>
      </c>
      <c r="B158" s="768">
        <v>490</v>
      </c>
      <c r="C158" s="769" t="s">
        <v>2352</v>
      </c>
      <c r="D158" s="1230"/>
      <c r="E158" s="1231"/>
      <c r="F158" s="1231"/>
      <c r="G158" s="1231"/>
      <c r="H158" s="1231"/>
      <c r="I158" s="1231"/>
      <c r="J158" s="1231"/>
      <c r="K158" s="1232"/>
      <c r="L158" s="767" t="s">
        <v>2233</v>
      </c>
    </row>
    <row r="159" spans="1:12" s="22" customFormat="1" ht="15.5" x14ac:dyDescent="0.35">
      <c r="A159" s="643" t="s">
        <v>2358</v>
      </c>
      <c r="B159" s="768">
        <v>509</v>
      </c>
      <c r="C159" s="769" t="s">
        <v>2352</v>
      </c>
      <c r="D159" s="1230"/>
      <c r="E159" s="1231"/>
      <c r="F159" s="1231"/>
      <c r="G159" s="1231"/>
      <c r="H159" s="1231"/>
      <c r="I159" s="1231"/>
      <c r="J159" s="1231"/>
      <c r="K159" s="1232"/>
      <c r="L159" s="767" t="s">
        <v>2233</v>
      </c>
    </row>
    <row r="160" spans="1:12" s="22" customFormat="1" ht="15.5" x14ac:dyDescent="0.35">
      <c r="A160" s="643" t="s">
        <v>2359</v>
      </c>
      <c r="B160" s="768">
        <v>590</v>
      </c>
      <c r="C160" s="769" t="s">
        <v>2352</v>
      </c>
      <c r="D160" s="1230"/>
      <c r="E160" s="1231"/>
      <c r="F160" s="1231"/>
      <c r="G160" s="1231"/>
      <c r="H160" s="1231"/>
      <c r="I160" s="1231"/>
      <c r="J160" s="1231"/>
      <c r="K160" s="1232"/>
      <c r="L160" s="767" t="s">
        <v>2233</v>
      </c>
    </row>
    <row r="161" spans="1:12" s="22" customFormat="1" ht="15.5" x14ac:dyDescent="0.35">
      <c r="A161" s="643" t="s">
        <v>2360</v>
      </c>
      <c r="B161" s="768">
        <v>599</v>
      </c>
      <c r="C161" s="769" t="s">
        <v>2352</v>
      </c>
      <c r="D161" s="1230"/>
      <c r="E161" s="1231"/>
      <c r="F161" s="1231"/>
      <c r="G161" s="1231"/>
      <c r="H161" s="1231"/>
      <c r="I161" s="1231"/>
      <c r="J161" s="1231"/>
      <c r="K161" s="1232"/>
      <c r="L161" s="767" t="s">
        <v>2233</v>
      </c>
    </row>
    <row r="162" spans="1:12" s="22" customFormat="1" ht="15.5" x14ac:dyDescent="0.35">
      <c r="A162" s="643" t="s">
        <v>2361</v>
      </c>
      <c r="B162" s="768">
        <v>601</v>
      </c>
      <c r="C162" s="769" t="s">
        <v>2352</v>
      </c>
      <c r="D162" s="1230"/>
      <c r="E162" s="1231"/>
      <c r="F162" s="1231"/>
      <c r="G162" s="1231"/>
      <c r="H162" s="1231"/>
      <c r="I162" s="1231"/>
      <c r="J162" s="1231"/>
      <c r="K162" s="1232"/>
      <c r="L162" s="767" t="s">
        <v>2233</v>
      </c>
    </row>
    <row r="163" spans="1:12" s="22" customFormat="1" ht="15.5" x14ac:dyDescent="0.35">
      <c r="A163" s="643" t="s">
        <v>2362</v>
      </c>
      <c r="B163" s="768">
        <v>602</v>
      </c>
      <c r="C163" s="769" t="s">
        <v>2352</v>
      </c>
      <c r="D163" s="1230"/>
      <c r="E163" s="1231"/>
      <c r="F163" s="1231"/>
      <c r="G163" s="1231"/>
      <c r="H163" s="1231"/>
      <c r="I163" s="1231"/>
      <c r="J163" s="1231"/>
      <c r="K163" s="1232"/>
      <c r="L163" s="767" t="s">
        <v>2233</v>
      </c>
    </row>
    <row r="164" spans="1:12" s="22" customFormat="1" ht="15.5" x14ac:dyDescent="0.35">
      <c r="A164" s="643" t="s">
        <v>2363</v>
      </c>
      <c r="B164" s="768">
        <v>690</v>
      </c>
      <c r="C164" s="769" t="s">
        <v>2352</v>
      </c>
      <c r="D164" s="1230"/>
      <c r="E164" s="1231"/>
      <c r="F164" s="1231"/>
      <c r="G164" s="1231"/>
      <c r="H164" s="1231"/>
      <c r="I164" s="1231"/>
      <c r="J164" s="1231"/>
      <c r="K164" s="1232"/>
      <c r="L164" s="767" t="s">
        <v>2233</v>
      </c>
    </row>
    <row r="165" spans="1:12" s="22" customFormat="1" ht="15.5" x14ac:dyDescent="0.35">
      <c r="A165" s="643" t="s">
        <v>2364</v>
      </c>
      <c r="B165" s="768">
        <v>698</v>
      </c>
      <c r="C165" s="769" t="s">
        <v>2352</v>
      </c>
      <c r="D165" s="1230"/>
      <c r="E165" s="1231"/>
      <c r="F165" s="1231"/>
      <c r="G165" s="1231"/>
      <c r="H165" s="1231"/>
      <c r="I165" s="1231"/>
      <c r="J165" s="1231"/>
      <c r="K165" s="1232"/>
      <c r="L165" s="767" t="s">
        <v>2233</v>
      </c>
    </row>
    <row r="166" spans="1:12" s="22" customFormat="1" ht="15.5" x14ac:dyDescent="0.35">
      <c r="A166" s="643" t="s">
        <v>2365</v>
      </c>
      <c r="B166" s="768">
        <v>699</v>
      </c>
      <c r="C166" s="769" t="s">
        <v>2352</v>
      </c>
      <c r="D166" s="1230"/>
      <c r="E166" s="1231"/>
      <c r="F166" s="1231"/>
      <c r="G166" s="1231"/>
      <c r="H166" s="1231"/>
      <c r="I166" s="1231"/>
      <c r="J166" s="1231"/>
      <c r="K166" s="1232"/>
      <c r="L166" s="767" t="s">
        <v>2233</v>
      </c>
    </row>
    <row r="167" spans="1:12" s="22" customFormat="1" ht="15.5" x14ac:dyDescent="0.35">
      <c r="A167" s="643" t="s">
        <v>2366</v>
      </c>
      <c r="B167" s="768">
        <v>102</v>
      </c>
      <c r="C167" s="769" t="s">
        <v>2367</v>
      </c>
      <c r="D167" s="1230"/>
      <c r="E167" s="1231"/>
      <c r="F167" s="1231"/>
      <c r="G167" s="1231"/>
      <c r="H167" s="1231"/>
      <c r="I167" s="1231"/>
      <c r="J167" s="1231"/>
      <c r="K167" s="1232"/>
      <c r="L167" s="969" t="s">
        <v>2233</v>
      </c>
    </row>
    <row r="168" spans="1:12" s="22" customFormat="1" ht="15.5" x14ac:dyDescent="0.35">
      <c r="A168" s="643" t="s">
        <v>2368</v>
      </c>
      <c r="B168" s="768">
        <v>103</v>
      </c>
      <c r="C168" s="769" t="s">
        <v>2367</v>
      </c>
      <c r="D168" s="1230"/>
      <c r="E168" s="1231"/>
      <c r="F168" s="1231"/>
      <c r="G168" s="1231"/>
      <c r="H168" s="1231"/>
      <c r="I168" s="1231"/>
      <c r="J168" s="1231"/>
      <c r="K168" s="1232"/>
      <c r="L168" s="969" t="s">
        <v>2233</v>
      </c>
    </row>
    <row r="169" spans="1:12" s="22" customFormat="1" ht="18" customHeight="1" x14ac:dyDescent="0.35">
      <c r="A169" s="643" t="s">
        <v>2369</v>
      </c>
      <c r="B169" s="768">
        <v>107</v>
      </c>
      <c r="C169" s="769" t="s">
        <v>2367</v>
      </c>
      <c r="D169" s="1230"/>
      <c r="E169" s="1231"/>
      <c r="F169" s="1231"/>
      <c r="G169" s="1231"/>
      <c r="H169" s="1231"/>
      <c r="I169" s="1231"/>
      <c r="J169" s="1231"/>
      <c r="K169" s="1232"/>
      <c r="L169" s="969" t="s">
        <v>2233</v>
      </c>
    </row>
    <row r="170" spans="1:12" s="22" customFormat="1" ht="15.5" x14ac:dyDescent="0.35">
      <c r="A170" s="643" t="s">
        <v>2370</v>
      </c>
      <c r="B170" s="768">
        <v>313</v>
      </c>
      <c r="C170" s="769" t="s">
        <v>2367</v>
      </c>
      <c r="D170" s="1230"/>
      <c r="E170" s="1231"/>
      <c r="F170" s="1231"/>
      <c r="G170" s="1231"/>
      <c r="H170" s="1231"/>
      <c r="I170" s="1231"/>
      <c r="J170" s="1231"/>
      <c r="K170" s="1232"/>
      <c r="L170" s="969" t="s">
        <v>2233</v>
      </c>
    </row>
    <row r="171" spans="1:12" s="22" customFormat="1" ht="15.5" x14ac:dyDescent="0.35">
      <c r="A171" s="643" t="s">
        <v>2371</v>
      </c>
      <c r="B171" s="768">
        <v>315</v>
      </c>
      <c r="C171" s="769" t="s">
        <v>2367</v>
      </c>
      <c r="D171" s="966"/>
      <c r="E171" s="967"/>
      <c r="F171" s="967"/>
      <c r="G171" s="967"/>
      <c r="H171" s="967"/>
      <c r="I171" s="967"/>
      <c r="J171" s="967"/>
      <c r="K171" s="968"/>
      <c r="L171" s="969" t="s">
        <v>2233</v>
      </c>
    </row>
    <row r="172" spans="1:12" s="22" customFormat="1" ht="15.5" x14ac:dyDescent="0.35">
      <c r="A172" s="643" t="s">
        <v>2372</v>
      </c>
      <c r="B172" s="768">
        <v>317</v>
      </c>
      <c r="C172" s="769" t="s">
        <v>2367</v>
      </c>
      <c r="D172" s="1230"/>
      <c r="E172" s="1231"/>
      <c r="F172" s="1231"/>
      <c r="G172" s="1231"/>
      <c r="H172" s="1231"/>
      <c r="I172" s="1231"/>
      <c r="J172" s="1231"/>
      <c r="K172" s="1232"/>
      <c r="L172" s="969" t="s">
        <v>2233</v>
      </c>
    </row>
    <row r="173" spans="1:12" s="22" customFormat="1" ht="15.5" x14ac:dyDescent="0.35">
      <c r="A173" s="643" t="s">
        <v>2373</v>
      </c>
      <c r="B173" s="768">
        <v>323</v>
      </c>
      <c r="C173" s="769" t="s">
        <v>2367</v>
      </c>
      <c r="D173" s="1230"/>
      <c r="E173" s="1231"/>
      <c r="F173" s="1231"/>
      <c r="G173" s="1231"/>
      <c r="H173" s="1231"/>
      <c r="I173" s="1231"/>
      <c r="J173" s="1231"/>
      <c r="K173" s="1232"/>
      <c r="L173" s="969" t="s">
        <v>2233</v>
      </c>
    </row>
    <row r="174" spans="1:12" s="22" customFormat="1" ht="15.5" x14ac:dyDescent="0.35">
      <c r="A174" s="643" t="s">
        <v>2374</v>
      </c>
      <c r="B174" s="768">
        <v>329</v>
      </c>
      <c r="C174" s="769" t="s">
        <v>2367</v>
      </c>
      <c r="D174" s="1230"/>
      <c r="E174" s="1231"/>
      <c r="F174" s="1231"/>
      <c r="G174" s="1231"/>
      <c r="H174" s="1231"/>
      <c r="I174" s="1231"/>
      <c r="J174" s="1231"/>
      <c r="K174" s="1232"/>
      <c r="L174" s="969" t="s">
        <v>2233</v>
      </c>
    </row>
    <row r="175" spans="1:12" s="22" customFormat="1" ht="15.5" x14ac:dyDescent="0.35">
      <c r="A175" s="643" t="s">
        <v>2375</v>
      </c>
      <c r="B175" s="768">
        <v>330</v>
      </c>
      <c r="C175" s="769" t="s">
        <v>2367</v>
      </c>
      <c r="D175" s="1230"/>
      <c r="E175" s="1231"/>
      <c r="F175" s="1231"/>
      <c r="G175" s="1231"/>
      <c r="H175" s="1231"/>
      <c r="I175" s="1231"/>
      <c r="J175" s="1231"/>
      <c r="K175" s="1232"/>
      <c r="L175" s="969" t="s">
        <v>2233</v>
      </c>
    </row>
    <row r="176" spans="1:12" s="22" customFormat="1" ht="15.5" x14ac:dyDescent="0.35">
      <c r="A176" s="971" t="s">
        <v>2376</v>
      </c>
      <c r="B176" s="768">
        <v>331</v>
      </c>
      <c r="C176" s="769" t="s">
        <v>2367</v>
      </c>
      <c r="D176" s="966"/>
      <c r="E176" s="967"/>
      <c r="F176" s="967"/>
      <c r="G176" s="967"/>
      <c r="H176" s="967"/>
      <c r="I176" s="967"/>
      <c r="J176" s="967"/>
      <c r="K176" s="968"/>
      <c r="L176" s="969" t="s">
        <v>2233</v>
      </c>
    </row>
    <row r="177" spans="1:12" s="22" customFormat="1" ht="15.5" x14ac:dyDescent="0.35">
      <c r="A177" s="971" t="s">
        <v>2377</v>
      </c>
      <c r="B177" s="768">
        <v>338</v>
      </c>
      <c r="C177" s="769" t="s">
        <v>2367</v>
      </c>
      <c r="D177" s="966"/>
      <c r="E177" s="967"/>
      <c r="F177" s="967"/>
      <c r="G177" s="967"/>
      <c r="H177" s="967"/>
      <c r="I177" s="967"/>
      <c r="J177" s="967"/>
      <c r="K177" s="968"/>
      <c r="L177" s="969" t="s">
        <v>2233</v>
      </c>
    </row>
    <row r="178" spans="1:12" s="22" customFormat="1" ht="15.5" x14ac:dyDescent="0.35">
      <c r="A178" s="643" t="s">
        <v>2378</v>
      </c>
      <c r="B178" s="768">
        <v>401</v>
      </c>
      <c r="C178" s="769" t="s">
        <v>2367</v>
      </c>
      <c r="D178" s="1230"/>
      <c r="E178" s="1231"/>
      <c r="F178" s="1231"/>
      <c r="G178" s="1231"/>
      <c r="H178" s="1231"/>
      <c r="I178" s="1231"/>
      <c r="J178" s="1231"/>
      <c r="K178" s="1232"/>
      <c r="L178" s="969" t="s">
        <v>2233</v>
      </c>
    </row>
    <row r="179" spans="1:12" s="22" customFormat="1" ht="15.5" x14ac:dyDescent="0.35">
      <c r="A179" s="643" t="s">
        <v>2379</v>
      </c>
      <c r="B179" s="768">
        <v>406</v>
      </c>
      <c r="C179" s="769" t="s">
        <v>2367</v>
      </c>
      <c r="D179" s="1230"/>
      <c r="E179" s="1231"/>
      <c r="F179" s="1231"/>
      <c r="G179" s="1231"/>
      <c r="H179" s="1231"/>
      <c r="I179" s="1231"/>
      <c r="J179" s="1231"/>
      <c r="K179" s="1232"/>
      <c r="L179" s="969" t="s">
        <v>2233</v>
      </c>
    </row>
    <row r="180" spans="1:12" s="22" customFormat="1" ht="15.5" x14ac:dyDescent="0.35">
      <c r="A180" s="643" t="s">
        <v>2380</v>
      </c>
      <c r="B180" s="768">
        <v>540</v>
      </c>
      <c r="C180" s="769" t="s">
        <v>2367</v>
      </c>
      <c r="D180" s="1230"/>
      <c r="E180" s="1231"/>
      <c r="F180" s="1231"/>
      <c r="G180" s="1231"/>
      <c r="H180" s="1231"/>
      <c r="I180" s="1231"/>
      <c r="J180" s="1231"/>
      <c r="K180" s="1232"/>
      <c r="L180" s="969" t="s">
        <v>2233</v>
      </c>
    </row>
    <row r="181" spans="1:12" s="22" customFormat="1" ht="15.5" x14ac:dyDescent="0.35">
      <c r="A181" s="643" t="s">
        <v>2381</v>
      </c>
      <c r="B181" s="768">
        <v>543</v>
      </c>
      <c r="C181" s="769" t="s">
        <v>2367</v>
      </c>
      <c r="D181" s="1230"/>
      <c r="E181" s="1231"/>
      <c r="F181" s="1231"/>
      <c r="G181" s="1231"/>
      <c r="H181" s="1231"/>
      <c r="I181" s="1231"/>
      <c r="J181" s="1231"/>
      <c r="K181" s="1232"/>
      <c r="L181" s="969" t="s">
        <v>2233</v>
      </c>
    </row>
    <row r="182" spans="1:12" s="22" customFormat="1" ht="15.5" x14ac:dyDescent="0.35">
      <c r="A182" s="643" t="s">
        <v>2382</v>
      </c>
      <c r="B182" s="768">
        <v>545</v>
      </c>
      <c r="C182" s="769" t="s">
        <v>2367</v>
      </c>
      <c r="D182" s="690"/>
      <c r="E182" s="690"/>
      <c r="F182" s="690"/>
      <c r="G182" s="690"/>
      <c r="H182" s="690"/>
      <c r="I182" s="690"/>
      <c r="J182" s="690"/>
      <c r="K182" s="690"/>
      <c r="L182" s="969" t="s">
        <v>2233</v>
      </c>
    </row>
    <row r="183" spans="1:12" s="22" customFormat="1" ht="15.5" x14ac:dyDescent="0.35">
      <c r="A183" s="125" t="s">
        <v>2383</v>
      </c>
      <c r="B183" s="768">
        <v>656</v>
      </c>
      <c r="C183" s="769" t="s">
        <v>2367</v>
      </c>
      <c r="D183" s="690"/>
      <c r="E183" s="690"/>
      <c r="F183" s="690"/>
      <c r="G183" s="690"/>
      <c r="H183" s="690"/>
      <c r="I183" s="690"/>
      <c r="J183" s="690"/>
      <c r="K183" s="690"/>
      <c r="L183" s="969" t="s">
        <v>2233</v>
      </c>
    </row>
    <row r="184" spans="1:12" s="22" customFormat="1" ht="15.5" x14ac:dyDescent="0.35">
      <c r="A184" s="643" t="s">
        <v>2384</v>
      </c>
      <c r="B184" s="768">
        <v>698</v>
      </c>
      <c r="C184" s="769" t="s">
        <v>2367</v>
      </c>
      <c r="D184" s="1230"/>
      <c r="E184" s="1231"/>
      <c r="F184" s="1231"/>
      <c r="G184" s="1231"/>
      <c r="H184" s="1231"/>
      <c r="I184" s="1231"/>
      <c r="J184" s="1231"/>
      <c r="K184" s="1232"/>
      <c r="L184" s="969" t="s">
        <v>2233</v>
      </c>
    </row>
    <row r="185" spans="1:12" s="22" customFormat="1" ht="15.5" x14ac:dyDescent="0.35">
      <c r="A185" s="643" t="s">
        <v>2385</v>
      </c>
      <c r="B185" s="768">
        <v>699</v>
      </c>
      <c r="C185" s="769" t="s">
        <v>2367</v>
      </c>
      <c r="D185" s="1230"/>
      <c r="E185" s="1231"/>
      <c r="F185" s="1231"/>
      <c r="G185" s="1231"/>
      <c r="H185" s="1231"/>
      <c r="I185" s="1231"/>
      <c r="J185" s="1231"/>
      <c r="K185" s="1232"/>
      <c r="L185" s="969" t="s">
        <v>2233</v>
      </c>
    </row>
    <row r="186" spans="1:12" s="22" customFormat="1" ht="15.5" x14ac:dyDescent="0.35">
      <c r="A186" s="643" t="s">
        <v>2386</v>
      </c>
      <c r="B186" s="768">
        <v>715</v>
      </c>
      <c r="C186" s="769" t="s">
        <v>2367</v>
      </c>
      <c r="D186" s="1230"/>
      <c r="E186" s="1231"/>
      <c r="F186" s="1231"/>
      <c r="G186" s="1231"/>
      <c r="H186" s="1231"/>
      <c r="I186" s="1231"/>
      <c r="J186" s="1231"/>
      <c r="K186" s="1232"/>
      <c r="L186" s="969" t="s">
        <v>2233</v>
      </c>
    </row>
    <row r="187" spans="1:12" s="22" customFormat="1" ht="15.5" x14ac:dyDescent="0.35">
      <c r="A187" s="643" t="s">
        <v>2387</v>
      </c>
      <c r="B187" s="768">
        <v>716</v>
      </c>
      <c r="C187" s="769" t="s">
        <v>2367</v>
      </c>
      <c r="D187" s="1230"/>
      <c r="E187" s="1231"/>
      <c r="F187" s="1231"/>
      <c r="G187" s="1231"/>
      <c r="H187" s="1231"/>
      <c r="I187" s="1231"/>
      <c r="J187" s="1231"/>
      <c r="K187" s="1232"/>
      <c r="L187" s="969" t="s">
        <v>2233</v>
      </c>
    </row>
    <row r="188" spans="1:12" s="22" customFormat="1" ht="15.5" x14ac:dyDescent="0.35">
      <c r="A188" s="643" t="s">
        <v>2388</v>
      </c>
      <c r="B188" s="768">
        <v>745</v>
      </c>
      <c r="C188" s="769" t="s">
        <v>2367</v>
      </c>
      <c r="D188" s="1230"/>
      <c r="E188" s="1231"/>
      <c r="F188" s="1231"/>
      <c r="G188" s="1231"/>
      <c r="H188" s="1231"/>
      <c r="I188" s="1231"/>
      <c r="J188" s="1231"/>
      <c r="K188" s="1232"/>
      <c r="L188" s="969" t="s">
        <v>2233</v>
      </c>
    </row>
    <row r="189" spans="1:12" s="22" customFormat="1" ht="15.5" x14ac:dyDescent="0.35">
      <c r="A189" s="643" t="s">
        <v>2389</v>
      </c>
      <c r="B189" s="768">
        <v>746</v>
      </c>
      <c r="C189" s="769" t="s">
        <v>2367</v>
      </c>
      <c r="D189" s="1230"/>
      <c r="E189" s="1231"/>
      <c r="F189" s="1231"/>
      <c r="G189" s="1231"/>
      <c r="H189" s="1231"/>
      <c r="I189" s="1231"/>
      <c r="J189" s="1231"/>
      <c r="K189" s="1232"/>
      <c r="L189" s="969" t="s">
        <v>2233</v>
      </c>
    </row>
    <row r="190" spans="1:12" s="22" customFormat="1" ht="15.5" x14ac:dyDescent="0.35">
      <c r="A190" s="643" t="s">
        <v>2390</v>
      </c>
      <c r="B190" s="768">
        <v>747</v>
      </c>
      <c r="C190" s="769" t="s">
        <v>2367</v>
      </c>
      <c r="D190" s="1230"/>
      <c r="E190" s="1231"/>
      <c r="F190" s="1231"/>
      <c r="G190" s="1231"/>
      <c r="H190" s="1231"/>
      <c r="I190" s="1231"/>
      <c r="J190" s="1231"/>
      <c r="K190" s="1232"/>
      <c r="L190" s="969" t="s">
        <v>2233</v>
      </c>
    </row>
    <row r="191" spans="1:12" s="22" customFormat="1" ht="15.5" x14ac:dyDescent="0.35">
      <c r="A191" s="643" t="s">
        <v>2391</v>
      </c>
      <c r="B191" s="768">
        <v>798</v>
      </c>
      <c r="C191" s="769" t="s">
        <v>2367</v>
      </c>
      <c r="D191" s="1230"/>
      <c r="E191" s="1231"/>
      <c r="F191" s="1231"/>
      <c r="G191" s="1231"/>
      <c r="H191" s="1231"/>
      <c r="I191" s="1231"/>
      <c r="J191" s="1231"/>
      <c r="K191" s="1232"/>
      <c r="L191" s="969" t="s">
        <v>2233</v>
      </c>
    </row>
    <row r="192" spans="1:12" s="22" customFormat="1" ht="15.5" x14ac:dyDescent="0.35">
      <c r="A192" s="643" t="s">
        <v>2392</v>
      </c>
      <c r="B192" s="768">
        <v>799</v>
      </c>
      <c r="C192" s="769" t="s">
        <v>2367</v>
      </c>
      <c r="D192" s="1230"/>
      <c r="E192" s="1231"/>
      <c r="F192" s="1231"/>
      <c r="G192" s="1231"/>
      <c r="H192" s="1231"/>
      <c r="I192" s="1231"/>
      <c r="J192" s="1231"/>
      <c r="K192" s="1232"/>
      <c r="L192" s="969" t="s">
        <v>2233</v>
      </c>
    </row>
    <row r="193" spans="1:12" s="22" customFormat="1" ht="15.5" x14ac:dyDescent="0.35">
      <c r="A193" s="643" t="s">
        <v>2393</v>
      </c>
      <c r="B193" s="768">
        <v>800</v>
      </c>
      <c r="C193" s="769" t="s">
        <v>2367</v>
      </c>
      <c r="D193" s="1230"/>
      <c r="E193" s="1231"/>
      <c r="F193" s="1231"/>
      <c r="G193" s="1231"/>
      <c r="H193" s="1231"/>
      <c r="I193" s="1231"/>
      <c r="J193" s="1231"/>
      <c r="K193" s="1232"/>
      <c r="L193" s="969" t="s">
        <v>2233</v>
      </c>
    </row>
    <row r="194" spans="1:12" s="22" customFormat="1" ht="15.5" x14ac:dyDescent="0.35">
      <c r="A194" s="643" t="s">
        <v>2394</v>
      </c>
      <c r="B194" s="768">
        <v>801</v>
      </c>
      <c r="C194" s="769" t="s">
        <v>2367</v>
      </c>
      <c r="D194" s="1230"/>
      <c r="E194" s="1231"/>
      <c r="F194" s="1231"/>
      <c r="G194" s="1231"/>
      <c r="H194" s="1231"/>
      <c r="I194" s="1231"/>
      <c r="J194" s="1231"/>
      <c r="K194" s="1232"/>
      <c r="L194" s="969" t="s">
        <v>2233</v>
      </c>
    </row>
    <row r="195" spans="1:12" s="22" customFormat="1" ht="15.5" x14ac:dyDescent="0.35">
      <c r="A195" s="643" t="s">
        <v>2395</v>
      </c>
      <c r="B195" s="768">
        <v>802</v>
      </c>
      <c r="C195" s="769" t="s">
        <v>2367</v>
      </c>
      <c r="D195" s="1230"/>
      <c r="E195" s="1231"/>
      <c r="F195" s="1231"/>
      <c r="G195" s="1231"/>
      <c r="H195" s="1231"/>
      <c r="I195" s="1231"/>
      <c r="J195" s="1231"/>
      <c r="K195" s="1232"/>
      <c r="L195" s="969" t="s">
        <v>2233</v>
      </c>
    </row>
    <row r="196" spans="1:12" s="22" customFormat="1" ht="15.5" x14ac:dyDescent="0.35">
      <c r="A196" s="643" t="s">
        <v>2396</v>
      </c>
      <c r="B196" s="768">
        <v>803</v>
      </c>
      <c r="C196" s="769" t="s">
        <v>2367</v>
      </c>
      <c r="D196" s="1230"/>
      <c r="E196" s="1231"/>
      <c r="F196" s="1231"/>
      <c r="G196" s="1231"/>
      <c r="H196" s="1231"/>
      <c r="I196" s="1231"/>
      <c r="J196" s="1231"/>
      <c r="K196" s="1232"/>
      <c r="L196" s="969" t="s">
        <v>2233</v>
      </c>
    </row>
    <row r="197" spans="1:12" s="22" customFormat="1" ht="15.5" x14ac:dyDescent="0.35">
      <c r="A197" s="643" t="s">
        <v>2397</v>
      </c>
      <c r="B197" s="768">
        <v>804</v>
      </c>
      <c r="C197" s="769" t="s">
        <v>2367</v>
      </c>
      <c r="D197" s="1230"/>
      <c r="E197" s="1231"/>
      <c r="F197" s="1231"/>
      <c r="G197" s="1231"/>
      <c r="H197" s="1231"/>
      <c r="I197" s="1231"/>
      <c r="J197" s="1231"/>
      <c r="K197" s="1232"/>
      <c r="L197" s="969" t="s">
        <v>2233</v>
      </c>
    </row>
    <row r="198" spans="1:12" s="22" customFormat="1" ht="15.5" x14ac:dyDescent="0.35">
      <c r="A198" s="643" t="s">
        <v>2398</v>
      </c>
      <c r="B198" s="768">
        <v>805</v>
      </c>
      <c r="C198" s="769" t="s">
        <v>2367</v>
      </c>
      <c r="D198" s="1230"/>
      <c r="E198" s="1231"/>
      <c r="F198" s="1231"/>
      <c r="G198" s="1231"/>
      <c r="H198" s="1231"/>
      <c r="I198" s="1231"/>
      <c r="J198" s="1231"/>
      <c r="K198" s="1232"/>
      <c r="L198" s="969" t="s">
        <v>2233</v>
      </c>
    </row>
    <row r="199" spans="1:12" s="22" customFormat="1" ht="15.5" x14ac:dyDescent="0.35">
      <c r="A199" s="643" t="s">
        <v>2399</v>
      </c>
      <c r="B199" s="768">
        <v>806</v>
      </c>
      <c r="C199" s="769" t="s">
        <v>2367</v>
      </c>
      <c r="D199" s="1230"/>
      <c r="E199" s="1231"/>
      <c r="F199" s="1231"/>
      <c r="G199" s="1231"/>
      <c r="H199" s="1231"/>
      <c r="I199" s="1231"/>
      <c r="J199" s="1231"/>
      <c r="K199" s="1232"/>
      <c r="L199" s="969" t="s">
        <v>2233</v>
      </c>
    </row>
    <row r="200" spans="1:12" s="22" customFormat="1" ht="15.5" x14ac:dyDescent="0.35">
      <c r="A200" s="643" t="s">
        <v>2400</v>
      </c>
      <c r="B200" s="768">
        <v>807</v>
      </c>
      <c r="C200" s="769" t="s">
        <v>2367</v>
      </c>
      <c r="D200" s="1230"/>
      <c r="E200" s="1231"/>
      <c r="F200" s="1231"/>
      <c r="G200" s="1231"/>
      <c r="H200" s="1231"/>
      <c r="I200" s="1231"/>
      <c r="J200" s="1231"/>
      <c r="K200" s="1232"/>
      <c r="L200" s="969" t="s">
        <v>2233</v>
      </c>
    </row>
    <row r="201" spans="1:12" s="22" customFormat="1" ht="15.5" x14ac:dyDescent="0.35">
      <c r="A201" s="643" t="s">
        <v>2401</v>
      </c>
      <c r="B201" s="768">
        <v>808</v>
      </c>
      <c r="C201" s="769" t="s">
        <v>2367</v>
      </c>
      <c r="D201" s="1230"/>
      <c r="E201" s="1231"/>
      <c r="F201" s="1231"/>
      <c r="G201" s="1231"/>
      <c r="H201" s="1231"/>
      <c r="I201" s="1231"/>
      <c r="J201" s="1231"/>
      <c r="K201" s="1232"/>
      <c r="L201" s="969" t="s">
        <v>2233</v>
      </c>
    </row>
    <row r="202" spans="1:12" s="22" customFormat="1" ht="15.5" x14ac:dyDescent="0.35">
      <c r="A202" s="643" t="s">
        <v>2402</v>
      </c>
      <c r="B202" s="768">
        <v>809</v>
      </c>
      <c r="C202" s="769" t="s">
        <v>2367</v>
      </c>
      <c r="D202" s="1230"/>
      <c r="E202" s="1231"/>
      <c r="F202" s="1231"/>
      <c r="G202" s="1231"/>
      <c r="H202" s="1231"/>
      <c r="I202" s="1231"/>
      <c r="J202" s="1231"/>
      <c r="K202" s="1232"/>
      <c r="L202" s="969" t="s">
        <v>2233</v>
      </c>
    </row>
    <row r="203" spans="1:12" s="22" customFormat="1" ht="15.5" x14ac:dyDescent="0.35">
      <c r="A203" s="643" t="s">
        <v>2403</v>
      </c>
      <c r="B203" s="768">
        <v>810</v>
      </c>
      <c r="C203" s="769" t="s">
        <v>2367</v>
      </c>
      <c r="D203" s="1230"/>
      <c r="E203" s="1231"/>
      <c r="F203" s="1231"/>
      <c r="G203" s="1231"/>
      <c r="H203" s="1231"/>
      <c r="I203" s="1231"/>
      <c r="J203" s="1231"/>
      <c r="K203" s="1232"/>
      <c r="L203" s="969" t="s">
        <v>2233</v>
      </c>
    </row>
    <row r="204" spans="1:12" s="22" customFormat="1" ht="15.5" x14ac:dyDescent="0.35">
      <c r="A204" s="643" t="s">
        <v>2404</v>
      </c>
      <c r="B204" s="768">
        <v>811</v>
      </c>
      <c r="C204" s="769" t="s">
        <v>2367</v>
      </c>
      <c r="D204" s="1230"/>
      <c r="E204" s="1231"/>
      <c r="F204" s="1231"/>
      <c r="G204" s="1231"/>
      <c r="H204" s="1231"/>
      <c r="I204" s="1231"/>
      <c r="J204" s="1231"/>
      <c r="K204" s="1232"/>
      <c r="L204" s="969" t="s">
        <v>2233</v>
      </c>
    </row>
    <row r="205" spans="1:12" s="22" customFormat="1" ht="15.5" x14ac:dyDescent="0.35">
      <c r="A205" s="643" t="s">
        <v>2405</v>
      </c>
      <c r="B205" s="768">
        <v>812</v>
      </c>
      <c r="C205" s="769" t="s">
        <v>2367</v>
      </c>
      <c r="D205" s="1230"/>
      <c r="E205" s="1231"/>
      <c r="F205" s="1231"/>
      <c r="G205" s="1231"/>
      <c r="H205" s="1231"/>
      <c r="I205" s="1231"/>
      <c r="J205" s="1231"/>
      <c r="K205" s="1232"/>
      <c r="L205" s="969" t="s">
        <v>2233</v>
      </c>
    </row>
    <row r="206" spans="1:12" s="22" customFormat="1" ht="15.5" x14ac:dyDescent="0.35">
      <c r="A206" s="643" t="s">
        <v>2406</v>
      </c>
      <c r="B206" s="768">
        <v>813</v>
      </c>
      <c r="C206" s="769" t="s">
        <v>2367</v>
      </c>
      <c r="D206" s="1230"/>
      <c r="E206" s="1231"/>
      <c r="F206" s="1231"/>
      <c r="G206" s="1231"/>
      <c r="H206" s="1231"/>
      <c r="I206" s="1231"/>
      <c r="J206" s="1231"/>
      <c r="K206" s="1232"/>
      <c r="L206" s="969" t="s">
        <v>2233</v>
      </c>
    </row>
    <row r="207" spans="1:12" s="22" customFormat="1" ht="15.5" x14ac:dyDescent="0.35">
      <c r="A207" s="643" t="s">
        <v>2407</v>
      </c>
      <c r="B207" s="768">
        <v>814</v>
      </c>
      <c r="C207" s="769" t="s">
        <v>2367</v>
      </c>
      <c r="D207" s="1230"/>
      <c r="E207" s="1231"/>
      <c r="F207" s="1231"/>
      <c r="G207" s="1231"/>
      <c r="H207" s="1231"/>
      <c r="I207" s="1231"/>
      <c r="J207" s="1231"/>
      <c r="K207" s="1232"/>
      <c r="L207" s="969" t="s">
        <v>2233</v>
      </c>
    </row>
    <row r="208" spans="1:12" s="22" customFormat="1" ht="15.5" x14ac:dyDescent="0.35">
      <c r="A208" s="643" t="s">
        <v>2408</v>
      </c>
      <c r="B208" s="768">
        <v>815</v>
      </c>
      <c r="C208" s="769" t="s">
        <v>2367</v>
      </c>
      <c r="D208" s="1230"/>
      <c r="E208" s="1231"/>
      <c r="F208" s="1231"/>
      <c r="G208" s="1231"/>
      <c r="H208" s="1231"/>
      <c r="I208" s="1231"/>
      <c r="J208" s="1231"/>
      <c r="K208" s="1232"/>
      <c r="L208" s="969" t="s">
        <v>2233</v>
      </c>
    </row>
    <row r="209" spans="1:12" s="22" customFormat="1" ht="15.5" x14ac:dyDescent="0.35">
      <c r="A209" s="643" t="s">
        <v>2409</v>
      </c>
      <c r="B209" s="768">
        <v>816</v>
      </c>
      <c r="C209" s="769" t="s">
        <v>2367</v>
      </c>
      <c r="D209" s="1230"/>
      <c r="E209" s="1231"/>
      <c r="F209" s="1231"/>
      <c r="G209" s="1231"/>
      <c r="H209" s="1231"/>
      <c r="I209" s="1231"/>
      <c r="J209" s="1231"/>
      <c r="K209" s="1232"/>
      <c r="L209" s="969" t="s">
        <v>2233</v>
      </c>
    </row>
    <row r="210" spans="1:12" s="22" customFormat="1" ht="15.5" x14ac:dyDescent="0.35">
      <c r="A210" s="643" t="s">
        <v>2410</v>
      </c>
      <c r="B210" s="768">
        <v>817</v>
      </c>
      <c r="C210" s="769" t="s">
        <v>2367</v>
      </c>
      <c r="D210" s="1230"/>
      <c r="E210" s="1231"/>
      <c r="F210" s="1231"/>
      <c r="G210" s="1231"/>
      <c r="H210" s="1231"/>
      <c r="I210" s="1231"/>
      <c r="J210" s="1231"/>
      <c r="K210" s="1232"/>
      <c r="L210" s="969" t="s">
        <v>2233</v>
      </c>
    </row>
    <row r="211" spans="1:12" s="22" customFormat="1" ht="15.5" x14ac:dyDescent="0.35">
      <c r="A211" s="643" t="s">
        <v>2411</v>
      </c>
      <c r="B211" s="768">
        <v>818</v>
      </c>
      <c r="C211" s="769" t="s">
        <v>2367</v>
      </c>
      <c r="D211" s="1230"/>
      <c r="E211" s="1231"/>
      <c r="F211" s="1231"/>
      <c r="G211" s="1231"/>
      <c r="H211" s="1231"/>
      <c r="I211" s="1231"/>
      <c r="J211" s="1231"/>
      <c r="K211" s="1232"/>
      <c r="L211" s="969" t="s">
        <v>2233</v>
      </c>
    </row>
    <row r="212" spans="1:12" s="22" customFormat="1" ht="15.5" x14ac:dyDescent="0.35">
      <c r="A212" s="643" t="s">
        <v>2412</v>
      </c>
      <c r="B212" s="768">
        <v>819</v>
      </c>
      <c r="C212" s="769" t="s">
        <v>2367</v>
      </c>
      <c r="D212" s="1230"/>
      <c r="E212" s="1231"/>
      <c r="F212" s="1231"/>
      <c r="G212" s="1231"/>
      <c r="H212" s="1231"/>
      <c r="I212" s="1231"/>
      <c r="J212" s="1231"/>
      <c r="K212" s="1232"/>
      <c r="L212" s="969" t="s">
        <v>2233</v>
      </c>
    </row>
    <row r="213" spans="1:12" s="22" customFormat="1" ht="15.5" x14ac:dyDescent="0.35">
      <c r="A213" s="643" t="s">
        <v>2413</v>
      </c>
      <c r="B213" s="768">
        <v>820</v>
      </c>
      <c r="C213" s="769" t="s">
        <v>2367</v>
      </c>
      <c r="D213" s="1230"/>
      <c r="E213" s="1231"/>
      <c r="F213" s="1231"/>
      <c r="G213" s="1231"/>
      <c r="H213" s="1231"/>
      <c r="I213" s="1231"/>
      <c r="J213" s="1231"/>
      <c r="K213" s="1232"/>
      <c r="L213" s="969" t="s">
        <v>2233</v>
      </c>
    </row>
    <row r="214" spans="1:12" s="22" customFormat="1" ht="15.5" x14ac:dyDescent="0.35">
      <c r="A214" s="643" t="s">
        <v>2414</v>
      </c>
      <c r="B214" s="768">
        <v>821</v>
      </c>
      <c r="C214" s="769" t="s">
        <v>2367</v>
      </c>
      <c r="D214" s="1230"/>
      <c r="E214" s="1231"/>
      <c r="F214" s="1231"/>
      <c r="G214" s="1231"/>
      <c r="H214" s="1231"/>
      <c r="I214" s="1231"/>
      <c r="J214" s="1231"/>
      <c r="K214" s="1232"/>
      <c r="L214" s="969" t="s">
        <v>2233</v>
      </c>
    </row>
    <row r="215" spans="1:12" s="22" customFormat="1" ht="15.5" x14ac:dyDescent="0.35">
      <c r="A215" s="643" t="s">
        <v>2415</v>
      </c>
      <c r="B215" s="768">
        <v>823</v>
      </c>
      <c r="C215" s="769" t="s">
        <v>2367</v>
      </c>
      <c r="D215" s="1230"/>
      <c r="E215" s="1231"/>
      <c r="F215" s="1231"/>
      <c r="G215" s="1231"/>
      <c r="H215" s="1231"/>
      <c r="I215" s="1231"/>
      <c r="J215" s="1231"/>
      <c r="K215" s="1232"/>
      <c r="L215" s="969" t="s">
        <v>2233</v>
      </c>
    </row>
    <row r="216" spans="1:12" s="22" customFormat="1" ht="15.5" x14ac:dyDescent="0.35">
      <c r="A216" s="643" t="s">
        <v>2416</v>
      </c>
      <c r="B216" s="768">
        <v>824</v>
      </c>
      <c r="C216" s="769" t="s">
        <v>2367</v>
      </c>
      <c r="D216" s="1230"/>
      <c r="E216" s="1231"/>
      <c r="F216" s="1231"/>
      <c r="G216" s="1231"/>
      <c r="H216" s="1231"/>
      <c r="I216" s="1231"/>
      <c r="J216" s="1231"/>
      <c r="K216" s="1232"/>
      <c r="L216" s="969" t="s">
        <v>2233</v>
      </c>
    </row>
    <row r="217" spans="1:12" s="22" customFormat="1" ht="15.5" x14ac:dyDescent="0.35">
      <c r="A217" s="643" t="s">
        <v>2417</v>
      </c>
      <c r="B217" s="768">
        <v>825</v>
      </c>
      <c r="C217" s="769" t="s">
        <v>2367</v>
      </c>
      <c r="D217" s="1230"/>
      <c r="E217" s="1231"/>
      <c r="F217" s="1231"/>
      <c r="G217" s="1231"/>
      <c r="H217" s="1231"/>
      <c r="I217" s="1231"/>
      <c r="J217" s="1231"/>
      <c r="K217" s="1232"/>
      <c r="L217" s="969" t="s">
        <v>2233</v>
      </c>
    </row>
    <row r="218" spans="1:12" s="22" customFormat="1" ht="15.5" x14ac:dyDescent="0.35">
      <c r="A218" s="643" t="s">
        <v>2418</v>
      </c>
      <c r="B218" s="768">
        <v>826</v>
      </c>
      <c r="C218" s="769" t="s">
        <v>2367</v>
      </c>
      <c r="D218" s="1230"/>
      <c r="E218" s="1231"/>
      <c r="F218" s="1231"/>
      <c r="G218" s="1231"/>
      <c r="H218" s="1231"/>
      <c r="I218" s="1231"/>
      <c r="J218" s="1231"/>
      <c r="K218" s="1232"/>
      <c r="L218" s="969" t="s">
        <v>2233</v>
      </c>
    </row>
    <row r="219" spans="1:12" s="22" customFormat="1" ht="15.5" x14ac:dyDescent="0.35">
      <c r="A219" s="643" t="s">
        <v>2419</v>
      </c>
      <c r="B219" s="768">
        <v>827</v>
      </c>
      <c r="C219" s="769" t="s">
        <v>2367</v>
      </c>
      <c r="D219" s="1230"/>
      <c r="E219" s="1231"/>
      <c r="F219" s="1231"/>
      <c r="G219" s="1231"/>
      <c r="H219" s="1231"/>
      <c r="I219" s="1231"/>
      <c r="J219" s="1231"/>
      <c r="K219" s="1232"/>
      <c r="L219" s="969" t="s">
        <v>2233</v>
      </c>
    </row>
    <row r="220" spans="1:12" s="22" customFormat="1" ht="15.5" x14ac:dyDescent="0.35">
      <c r="A220" s="643" t="s">
        <v>2420</v>
      </c>
      <c r="B220" s="768">
        <v>829</v>
      </c>
      <c r="C220" s="769" t="s">
        <v>2367</v>
      </c>
      <c r="D220" s="1230"/>
      <c r="E220" s="1231"/>
      <c r="F220" s="1231"/>
      <c r="G220" s="1231"/>
      <c r="H220" s="1231"/>
      <c r="I220" s="1231"/>
      <c r="J220" s="1231"/>
      <c r="K220" s="1232"/>
      <c r="L220" s="969" t="s">
        <v>2233</v>
      </c>
    </row>
    <row r="221" spans="1:12" s="22" customFormat="1" ht="15.5" x14ac:dyDescent="0.35">
      <c r="A221" s="643" t="s">
        <v>2421</v>
      </c>
      <c r="B221" s="768">
        <v>830</v>
      </c>
      <c r="C221" s="769" t="s">
        <v>2367</v>
      </c>
      <c r="D221" s="1230"/>
      <c r="E221" s="1231"/>
      <c r="F221" s="1231"/>
      <c r="G221" s="1231"/>
      <c r="H221" s="1231"/>
      <c r="I221" s="1231"/>
      <c r="J221" s="1231"/>
      <c r="K221" s="1232"/>
      <c r="L221" s="969" t="s">
        <v>2233</v>
      </c>
    </row>
    <row r="222" spans="1:12" s="22" customFormat="1" ht="15.5" x14ac:dyDescent="0.35">
      <c r="A222" s="643" t="s">
        <v>2422</v>
      </c>
      <c r="B222" s="768">
        <v>831</v>
      </c>
      <c r="C222" s="769" t="s">
        <v>2367</v>
      </c>
      <c r="D222" s="1230"/>
      <c r="E222" s="1231"/>
      <c r="F222" s="1231"/>
      <c r="G222" s="1231"/>
      <c r="H222" s="1231"/>
      <c r="I222" s="1231"/>
      <c r="J222" s="1231"/>
      <c r="K222" s="1232"/>
      <c r="L222" s="969" t="s">
        <v>2233</v>
      </c>
    </row>
    <row r="223" spans="1:12" s="22" customFormat="1" ht="15.5" x14ac:dyDescent="0.35">
      <c r="A223" s="643" t="s">
        <v>2423</v>
      </c>
      <c r="B223" s="768">
        <v>832</v>
      </c>
      <c r="C223" s="769" t="s">
        <v>2367</v>
      </c>
      <c r="D223" s="1230"/>
      <c r="E223" s="1231"/>
      <c r="F223" s="1231"/>
      <c r="G223" s="1231"/>
      <c r="H223" s="1231"/>
      <c r="I223" s="1231"/>
      <c r="J223" s="1231"/>
      <c r="K223" s="1232"/>
      <c r="L223" s="969" t="s">
        <v>2233</v>
      </c>
    </row>
    <row r="224" spans="1:12" s="22" customFormat="1" ht="15.5" x14ac:dyDescent="0.35">
      <c r="A224" s="643" t="s">
        <v>2424</v>
      </c>
      <c r="B224" s="768">
        <v>833</v>
      </c>
      <c r="C224" s="769" t="s">
        <v>2367</v>
      </c>
      <c r="D224" s="1230"/>
      <c r="E224" s="1231"/>
      <c r="F224" s="1231"/>
      <c r="G224" s="1231"/>
      <c r="H224" s="1231"/>
      <c r="I224" s="1231"/>
      <c r="J224" s="1231"/>
      <c r="K224" s="1232"/>
      <c r="L224" s="969" t="s">
        <v>2233</v>
      </c>
    </row>
    <row r="225" spans="1:12" s="22" customFormat="1" ht="15.5" x14ac:dyDescent="0.35">
      <c r="A225" s="643" t="s">
        <v>2425</v>
      </c>
      <c r="B225" s="768">
        <v>834</v>
      </c>
      <c r="C225" s="769" t="s">
        <v>2367</v>
      </c>
      <c r="D225" s="1230"/>
      <c r="E225" s="1231"/>
      <c r="F225" s="1231"/>
      <c r="G225" s="1231"/>
      <c r="H225" s="1231"/>
      <c r="I225" s="1231"/>
      <c r="J225" s="1231"/>
      <c r="K225" s="1232"/>
      <c r="L225" s="969" t="s">
        <v>2233</v>
      </c>
    </row>
    <row r="226" spans="1:12" s="22" customFormat="1" ht="15.5" x14ac:dyDescent="0.35">
      <c r="A226" s="643" t="s">
        <v>2426</v>
      </c>
      <c r="B226" s="768">
        <v>835</v>
      </c>
      <c r="C226" s="769" t="s">
        <v>2367</v>
      </c>
      <c r="D226" s="1230"/>
      <c r="E226" s="1231"/>
      <c r="F226" s="1231"/>
      <c r="G226" s="1231"/>
      <c r="H226" s="1231"/>
      <c r="I226" s="1231"/>
      <c r="J226" s="1231"/>
      <c r="K226" s="1232"/>
      <c r="L226" s="969" t="s">
        <v>2233</v>
      </c>
    </row>
    <row r="227" spans="1:12" s="22" customFormat="1" ht="15.5" x14ac:dyDescent="0.35">
      <c r="A227" s="643" t="s">
        <v>2427</v>
      </c>
      <c r="B227" s="768">
        <v>836</v>
      </c>
      <c r="C227" s="769" t="s">
        <v>2367</v>
      </c>
      <c r="D227" s="1230"/>
      <c r="E227" s="1231"/>
      <c r="F227" s="1231"/>
      <c r="G227" s="1231"/>
      <c r="H227" s="1231"/>
      <c r="I227" s="1231"/>
      <c r="J227" s="1231"/>
      <c r="K227" s="1232"/>
      <c r="L227" s="969" t="s">
        <v>2233</v>
      </c>
    </row>
    <row r="228" spans="1:12" s="22" customFormat="1" ht="15.5" x14ac:dyDescent="0.35">
      <c r="A228" s="643" t="s">
        <v>2428</v>
      </c>
      <c r="B228" s="768">
        <v>837</v>
      </c>
      <c r="C228" s="769" t="s">
        <v>2367</v>
      </c>
      <c r="D228" s="1230"/>
      <c r="E228" s="1231"/>
      <c r="F228" s="1231"/>
      <c r="G228" s="1231"/>
      <c r="H228" s="1231"/>
      <c r="I228" s="1231"/>
      <c r="J228" s="1231"/>
      <c r="K228" s="1232"/>
      <c r="L228" s="969" t="s">
        <v>2233</v>
      </c>
    </row>
    <row r="229" spans="1:12" s="22" customFormat="1" ht="15.5" x14ac:dyDescent="0.35">
      <c r="A229" s="643" t="s">
        <v>2429</v>
      </c>
      <c r="B229" s="768">
        <v>838</v>
      </c>
      <c r="C229" s="769" t="s">
        <v>2367</v>
      </c>
      <c r="D229" s="1230"/>
      <c r="E229" s="1231"/>
      <c r="F229" s="1231"/>
      <c r="G229" s="1231"/>
      <c r="H229" s="1231"/>
      <c r="I229" s="1231"/>
      <c r="J229" s="1231"/>
      <c r="K229" s="1232"/>
      <c r="L229" s="969" t="s">
        <v>2233</v>
      </c>
    </row>
    <row r="230" spans="1:12" s="22" customFormat="1" ht="15.5" x14ac:dyDescent="0.35">
      <c r="A230" s="643" t="s">
        <v>2430</v>
      </c>
      <c r="B230" s="768">
        <v>839</v>
      </c>
      <c r="C230" s="769" t="s">
        <v>2367</v>
      </c>
      <c r="D230" s="1230"/>
      <c r="E230" s="1231"/>
      <c r="F230" s="1231"/>
      <c r="G230" s="1231"/>
      <c r="H230" s="1231"/>
      <c r="I230" s="1231"/>
      <c r="J230" s="1231"/>
      <c r="K230" s="1232"/>
      <c r="L230" s="969" t="s">
        <v>2233</v>
      </c>
    </row>
    <row r="231" spans="1:12" s="22" customFormat="1" ht="15.5" x14ac:dyDescent="0.35">
      <c r="A231" s="643" t="s">
        <v>2431</v>
      </c>
      <c r="B231" s="768">
        <v>840</v>
      </c>
      <c r="C231" s="769" t="s">
        <v>2367</v>
      </c>
      <c r="D231" s="1230"/>
      <c r="E231" s="1231"/>
      <c r="F231" s="1231"/>
      <c r="G231" s="1231"/>
      <c r="H231" s="1231"/>
      <c r="I231" s="1231"/>
      <c r="J231" s="1231"/>
      <c r="K231" s="1232"/>
      <c r="L231" s="969" t="s">
        <v>2233</v>
      </c>
    </row>
    <row r="232" spans="1:12" s="22" customFormat="1" ht="15.5" x14ac:dyDescent="0.35">
      <c r="A232" s="643" t="s">
        <v>2432</v>
      </c>
      <c r="B232" s="768">
        <v>841</v>
      </c>
      <c r="C232" s="769" t="s">
        <v>2367</v>
      </c>
      <c r="D232" s="1230"/>
      <c r="E232" s="1231"/>
      <c r="F232" s="1231"/>
      <c r="G232" s="1231"/>
      <c r="H232" s="1231"/>
      <c r="I232" s="1231"/>
      <c r="J232" s="1231"/>
      <c r="K232" s="1232"/>
      <c r="L232" s="969" t="s">
        <v>2233</v>
      </c>
    </row>
    <row r="233" spans="1:12" s="22" customFormat="1" ht="15.5" x14ac:dyDescent="0.35">
      <c r="A233" s="643" t="s">
        <v>2433</v>
      </c>
      <c r="B233" s="768">
        <v>842</v>
      </c>
      <c r="C233" s="769" t="s">
        <v>2367</v>
      </c>
      <c r="D233" s="1230"/>
      <c r="E233" s="1231"/>
      <c r="F233" s="1231"/>
      <c r="G233" s="1231"/>
      <c r="H233" s="1231"/>
      <c r="I233" s="1231"/>
      <c r="J233" s="1231"/>
      <c r="K233" s="1232"/>
      <c r="L233" s="969" t="s">
        <v>2233</v>
      </c>
    </row>
    <row r="234" spans="1:12" s="22" customFormat="1" ht="15.5" x14ac:dyDescent="0.35">
      <c r="A234" s="643" t="s">
        <v>2434</v>
      </c>
      <c r="B234" s="768">
        <v>843</v>
      </c>
      <c r="C234" s="769" t="s">
        <v>2367</v>
      </c>
      <c r="D234" s="1230"/>
      <c r="E234" s="1231"/>
      <c r="F234" s="1231"/>
      <c r="G234" s="1231"/>
      <c r="H234" s="1231"/>
      <c r="I234" s="1231"/>
      <c r="J234" s="1231"/>
      <c r="K234" s="1232"/>
      <c r="L234" s="969" t="s">
        <v>2233</v>
      </c>
    </row>
    <row r="235" spans="1:12" s="22" customFormat="1" ht="15.5" x14ac:dyDescent="0.35">
      <c r="A235" s="643" t="s">
        <v>2435</v>
      </c>
      <c r="B235" s="768">
        <v>844</v>
      </c>
      <c r="C235" s="769" t="s">
        <v>2367</v>
      </c>
      <c r="D235" s="1230"/>
      <c r="E235" s="1231"/>
      <c r="F235" s="1231"/>
      <c r="G235" s="1231"/>
      <c r="H235" s="1231"/>
      <c r="I235" s="1231"/>
      <c r="J235" s="1231"/>
      <c r="K235" s="1232"/>
      <c r="L235" s="969" t="s">
        <v>2233</v>
      </c>
    </row>
    <row r="236" spans="1:12" s="22" customFormat="1" ht="15.5" x14ac:dyDescent="0.35">
      <c r="A236" s="643" t="s">
        <v>2436</v>
      </c>
      <c r="B236" s="768">
        <v>845</v>
      </c>
      <c r="C236" s="769" t="s">
        <v>2367</v>
      </c>
      <c r="D236" s="1230"/>
      <c r="E236" s="1231"/>
      <c r="F236" s="1231"/>
      <c r="G236" s="1231"/>
      <c r="H236" s="1231"/>
      <c r="I236" s="1231"/>
      <c r="J236" s="1231"/>
      <c r="K236" s="1232"/>
      <c r="L236" s="969" t="s">
        <v>2233</v>
      </c>
    </row>
    <row r="237" spans="1:12" s="22" customFormat="1" ht="15.5" x14ac:dyDescent="0.35">
      <c r="A237" s="643" t="s">
        <v>2437</v>
      </c>
      <c r="B237" s="768">
        <v>846</v>
      </c>
      <c r="C237" s="769" t="s">
        <v>2367</v>
      </c>
      <c r="D237" s="1230"/>
      <c r="E237" s="1231"/>
      <c r="F237" s="1231"/>
      <c r="G237" s="1231"/>
      <c r="H237" s="1231"/>
      <c r="I237" s="1231"/>
      <c r="J237" s="1231"/>
      <c r="K237" s="1232"/>
      <c r="L237" s="969" t="s">
        <v>2233</v>
      </c>
    </row>
    <row r="238" spans="1:12" s="22" customFormat="1" ht="15.5" x14ac:dyDescent="0.35">
      <c r="A238" s="643" t="s">
        <v>2438</v>
      </c>
      <c r="B238" s="768">
        <v>847</v>
      </c>
      <c r="C238" s="769" t="s">
        <v>2367</v>
      </c>
      <c r="D238" s="1230"/>
      <c r="E238" s="1231"/>
      <c r="F238" s="1231"/>
      <c r="G238" s="1231"/>
      <c r="H238" s="1231"/>
      <c r="I238" s="1231"/>
      <c r="J238" s="1231"/>
      <c r="K238" s="1232"/>
      <c r="L238" s="969" t="s">
        <v>2233</v>
      </c>
    </row>
    <row r="239" spans="1:12" s="22" customFormat="1" ht="15.5" x14ac:dyDescent="0.35">
      <c r="A239" s="643" t="s">
        <v>2439</v>
      </c>
      <c r="B239" s="768">
        <v>848</v>
      </c>
      <c r="C239" s="769" t="s">
        <v>2367</v>
      </c>
      <c r="D239" s="1230"/>
      <c r="E239" s="1231"/>
      <c r="F239" s="1231"/>
      <c r="G239" s="1231"/>
      <c r="H239" s="1231"/>
      <c r="I239" s="1231"/>
      <c r="J239" s="1231"/>
      <c r="K239" s="1232"/>
      <c r="L239" s="969" t="s">
        <v>2233</v>
      </c>
    </row>
    <row r="240" spans="1:12" s="22" customFormat="1" ht="15.5" x14ac:dyDescent="0.35">
      <c r="A240" s="643" t="s">
        <v>2440</v>
      </c>
      <c r="B240" s="768">
        <v>849</v>
      </c>
      <c r="C240" s="769" t="s">
        <v>2367</v>
      </c>
      <c r="D240" s="1230"/>
      <c r="E240" s="1231"/>
      <c r="F240" s="1231"/>
      <c r="G240" s="1231"/>
      <c r="H240" s="1231"/>
      <c r="I240" s="1231"/>
      <c r="J240" s="1231"/>
      <c r="K240" s="1232"/>
      <c r="L240" s="969" t="s">
        <v>2233</v>
      </c>
    </row>
    <row r="241" spans="1:12" s="22" customFormat="1" ht="15.5" x14ac:dyDescent="0.35">
      <c r="A241" s="643" t="s">
        <v>2441</v>
      </c>
      <c r="B241" s="768">
        <v>850</v>
      </c>
      <c r="C241" s="769" t="s">
        <v>2367</v>
      </c>
      <c r="D241" s="1230"/>
      <c r="E241" s="1231"/>
      <c r="F241" s="1231"/>
      <c r="G241" s="1231"/>
      <c r="H241" s="1231"/>
      <c r="I241" s="1231"/>
      <c r="J241" s="1231"/>
      <c r="K241" s="1232"/>
      <c r="L241" s="969" t="s">
        <v>2233</v>
      </c>
    </row>
    <row r="242" spans="1:12" s="22" customFormat="1" ht="15.5" x14ac:dyDescent="0.35">
      <c r="A242" s="643" t="s">
        <v>2442</v>
      </c>
      <c r="B242" s="768">
        <v>851</v>
      </c>
      <c r="C242" s="769" t="s">
        <v>2367</v>
      </c>
      <c r="D242" s="1230"/>
      <c r="E242" s="1231"/>
      <c r="F242" s="1231"/>
      <c r="G242" s="1231"/>
      <c r="H242" s="1231"/>
      <c r="I242" s="1231"/>
      <c r="J242" s="1231"/>
      <c r="K242" s="1232"/>
      <c r="L242" s="969" t="s">
        <v>2233</v>
      </c>
    </row>
    <row r="243" spans="1:12" s="22" customFormat="1" ht="15.5" x14ac:dyDescent="0.35">
      <c r="A243" s="643" t="s">
        <v>2443</v>
      </c>
      <c r="B243" s="768">
        <v>852</v>
      </c>
      <c r="C243" s="769" t="s">
        <v>2367</v>
      </c>
      <c r="D243" s="1230"/>
      <c r="E243" s="1231"/>
      <c r="F243" s="1231"/>
      <c r="G243" s="1231"/>
      <c r="H243" s="1231"/>
      <c r="I243" s="1231"/>
      <c r="J243" s="1231"/>
      <c r="K243" s="1232"/>
      <c r="L243" s="969" t="s">
        <v>2233</v>
      </c>
    </row>
    <row r="244" spans="1:12" s="22" customFormat="1" ht="15.5" x14ac:dyDescent="0.35">
      <c r="A244" s="643" t="s">
        <v>2444</v>
      </c>
      <c r="B244" s="768">
        <v>853</v>
      </c>
      <c r="C244" s="769" t="s">
        <v>2367</v>
      </c>
      <c r="D244" s="1230"/>
      <c r="E244" s="1231"/>
      <c r="F244" s="1231"/>
      <c r="G244" s="1231"/>
      <c r="H244" s="1231"/>
      <c r="I244" s="1231"/>
      <c r="J244" s="1231"/>
      <c r="K244" s="1232"/>
      <c r="L244" s="969" t="s">
        <v>2233</v>
      </c>
    </row>
    <row r="245" spans="1:12" s="22" customFormat="1" ht="15.5" x14ac:dyDescent="0.35">
      <c r="A245" s="643" t="s">
        <v>2445</v>
      </c>
      <c r="B245" s="768">
        <v>854</v>
      </c>
      <c r="C245" s="769" t="s">
        <v>2367</v>
      </c>
      <c r="D245" s="1230"/>
      <c r="E245" s="1231"/>
      <c r="F245" s="1231"/>
      <c r="G245" s="1231"/>
      <c r="H245" s="1231"/>
      <c r="I245" s="1231"/>
      <c r="J245" s="1231"/>
      <c r="K245" s="1232"/>
      <c r="L245" s="969" t="s">
        <v>2233</v>
      </c>
    </row>
    <row r="246" spans="1:12" s="22" customFormat="1" ht="15.5" x14ac:dyDescent="0.35">
      <c r="A246" s="643" t="s">
        <v>2446</v>
      </c>
      <c r="B246" s="768">
        <v>855</v>
      </c>
      <c r="C246" s="769" t="s">
        <v>2367</v>
      </c>
      <c r="D246" s="1230"/>
      <c r="E246" s="1231"/>
      <c r="F246" s="1231"/>
      <c r="G246" s="1231"/>
      <c r="H246" s="1231"/>
      <c r="I246" s="1231"/>
      <c r="J246" s="1231"/>
      <c r="K246" s="1232"/>
      <c r="L246" s="969" t="s">
        <v>2233</v>
      </c>
    </row>
    <row r="247" spans="1:12" s="22" customFormat="1" ht="15.5" x14ac:dyDescent="0.35">
      <c r="A247" s="643" t="s">
        <v>2447</v>
      </c>
      <c r="B247" s="768">
        <v>856</v>
      </c>
      <c r="C247" s="769" t="s">
        <v>2367</v>
      </c>
      <c r="D247" s="1230"/>
      <c r="E247" s="1231"/>
      <c r="F247" s="1231"/>
      <c r="G247" s="1231"/>
      <c r="H247" s="1231"/>
      <c r="I247" s="1231"/>
      <c r="J247" s="1231"/>
      <c r="K247" s="1232"/>
      <c r="L247" s="969" t="s">
        <v>2233</v>
      </c>
    </row>
    <row r="248" spans="1:12" s="22" customFormat="1" ht="15.5" x14ac:dyDescent="0.35">
      <c r="A248" s="643" t="s">
        <v>2448</v>
      </c>
      <c r="B248" s="768">
        <v>857</v>
      </c>
      <c r="C248" s="769" t="s">
        <v>2367</v>
      </c>
      <c r="D248" s="1230"/>
      <c r="E248" s="1231"/>
      <c r="F248" s="1231"/>
      <c r="G248" s="1231"/>
      <c r="H248" s="1231"/>
      <c r="I248" s="1231"/>
      <c r="J248" s="1231"/>
      <c r="K248" s="1232"/>
      <c r="L248" s="969" t="s">
        <v>2233</v>
      </c>
    </row>
    <row r="249" spans="1:12" s="22" customFormat="1" ht="15.5" x14ac:dyDescent="0.35">
      <c r="A249" s="643" t="s">
        <v>2449</v>
      </c>
      <c r="B249" s="768">
        <v>858</v>
      </c>
      <c r="C249" s="769" t="s">
        <v>2367</v>
      </c>
      <c r="D249" s="1230"/>
      <c r="E249" s="1231"/>
      <c r="F249" s="1231"/>
      <c r="G249" s="1231"/>
      <c r="H249" s="1231"/>
      <c r="I249" s="1231"/>
      <c r="J249" s="1231"/>
      <c r="K249" s="1232"/>
      <c r="L249" s="969" t="s">
        <v>2233</v>
      </c>
    </row>
    <row r="250" spans="1:12" s="22" customFormat="1" ht="15.5" x14ac:dyDescent="0.35">
      <c r="A250" s="643" t="s">
        <v>2450</v>
      </c>
      <c r="B250" s="768">
        <v>859</v>
      </c>
      <c r="C250" s="769" t="s">
        <v>2367</v>
      </c>
      <c r="D250" s="1230"/>
      <c r="E250" s="1231"/>
      <c r="F250" s="1231"/>
      <c r="G250" s="1231"/>
      <c r="H250" s="1231"/>
      <c r="I250" s="1231"/>
      <c r="J250" s="1231"/>
      <c r="K250" s="1232"/>
      <c r="L250" s="969" t="s">
        <v>2233</v>
      </c>
    </row>
    <row r="251" spans="1:12" s="22" customFormat="1" ht="15.5" x14ac:dyDescent="0.35">
      <c r="A251" s="643" t="s">
        <v>2451</v>
      </c>
      <c r="B251" s="768">
        <v>860</v>
      </c>
      <c r="C251" s="769" t="s">
        <v>2367</v>
      </c>
      <c r="D251" s="1230"/>
      <c r="E251" s="1231"/>
      <c r="F251" s="1231"/>
      <c r="G251" s="1231"/>
      <c r="H251" s="1231"/>
      <c r="I251" s="1231"/>
      <c r="J251" s="1231"/>
      <c r="K251" s="1232"/>
      <c r="L251" s="969" t="s">
        <v>2233</v>
      </c>
    </row>
    <row r="252" spans="1:12" s="22" customFormat="1" ht="15.5" x14ac:dyDescent="0.35">
      <c r="A252" s="643" t="s">
        <v>2452</v>
      </c>
      <c r="B252" s="768">
        <v>861</v>
      </c>
      <c r="C252" s="769" t="s">
        <v>2367</v>
      </c>
      <c r="D252" s="1230"/>
      <c r="E252" s="1231"/>
      <c r="F252" s="1231"/>
      <c r="G252" s="1231"/>
      <c r="H252" s="1231"/>
      <c r="I252" s="1231"/>
      <c r="J252" s="1231"/>
      <c r="K252" s="1232"/>
      <c r="L252" s="969" t="s">
        <v>2233</v>
      </c>
    </row>
    <row r="253" spans="1:12" s="22" customFormat="1" ht="15.5" x14ac:dyDescent="0.35">
      <c r="A253" s="643" t="s">
        <v>2453</v>
      </c>
      <c r="B253" s="768">
        <v>862</v>
      </c>
      <c r="C253" s="769" t="s">
        <v>2367</v>
      </c>
      <c r="D253" s="1230"/>
      <c r="E253" s="1231"/>
      <c r="F253" s="1231"/>
      <c r="G253" s="1231"/>
      <c r="H253" s="1231"/>
      <c r="I253" s="1231"/>
      <c r="J253" s="1231"/>
      <c r="K253" s="1232"/>
      <c r="L253" s="969" t="s">
        <v>2233</v>
      </c>
    </row>
    <row r="254" spans="1:12" s="22" customFormat="1" ht="15.5" x14ac:dyDescent="0.35">
      <c r="A254" s="643" t="s">
        <v>2454</v>
      </c>
      <c r="B254" s="768">
        <v>863</v>
      </c>
      <c r="C254" s="769" t="s">
        <v>2367</v>
      </c>
      <c r="D254" s="1230"/>
      <c r="E254" s="1231"/>
      <c r="F254" s="1231"/>
      <c r="G254" s="1231"/>
      <c r="H254" s="1231"/>
      <c r="I254" s="1231"/>
      <c r="J254" s="1231"/>
      <c r="K254" s="1232"/>
      <c r="L254" s="969" t="s">
        <v>2233</v>
      </c>
    </row>
    <row r="255" spans="1:12" s="22" customFormat="1" ht="15.5" x14ac:dyDescent="0.35">
      <c r="A255" s="643" t="s">
        <v>2455</v>
      </c>
      <c r="B255" s="768">
        <v>864</v>
      </c>
      <c r="C255" s="769" t="s">
        <v>2367</v>
      </c>
      <c r="D255" s="1230"/>
      <c r="E255" s="1231"/>
      <c r="F255" s="1231"/>
      <c r="G255" s="1231"/>
      <c r="H255" s="1231"/>
      <c r="I255" s="1231"/>
      <c r="J255" s="1231"/>
      <c r="K255" s="1232"/>
      <c r="L255" s="969" t="s">
        <v>2233</v>
      </c>
    </row>
    <row r="256" spans="1:12" s="22" customFormat="1" ht="15.5" x14ac:dyDescent="0.35">
      <c r="A256" s="643" t="s">
        <v>2456</v>
      </c>
      <c r="B256" s="768">
        <v>865</v>
      </c>
      <c r="C256" s="769" t="s">
        <v>2367</v>
      </c>
      <c r="D256" s="1230"/>
      <c r="E256" s="1231"/>
      <c r="F256" s="1231"/>
      <c r="G256" s="1231"/>
      <c r="H256" s="1231"/>
      <c r="I256" s="1231"/>
      <c r="J256" s="1231"/>
      <c r="K256" s="1232"/>
      <c r="L256" s="969" t="s">
        <v>2233</v>
      </c>
    </row>
    <row r="257" spans="1:12" s="22" customFormat="1" ht="15.5" x14ac:dyDescent="0.35">
      <c r="A257" s="643" t="s">
        <v>2457</v>
      </c>
      <c r="B257" s="768">
        <v>866</v>
      </c>
      <c r="C257" s="769" t="s">
        <v>2367</v>
      </c>
      <c r="D257" s="1230"/>
      <c r="E257" s="1231"/>
      <c r="F257" s="1231"/>
      <c r="G257" s="1231"/>
      <c r="H257" s="1231"/>
      <c r="I257" s="1231"/>
      <c r="J257" s="1231"/>
      <c r="K257" s="1232"/>
      <c r="L257" s="969" t="s">
        <v>2233</v>
      </c>
    </row>
    <row r="258" spans="1:12" s="22" customFormat="1" ht="15.5" x14ac:dyDescent="0.35">
      <c r="A258" s="643" t="s">
        <v>2458</v>
      </c>
      <c r="B258" s="768">
        <v>867</v>
      </c>
      <c r="C258" s="769" t="s">
        <v>2367</v>
      </c>
      <c r="D258" s="1230"/>
      <c r="E258" s="1231"/>
      <c r="F258" s="1231"/>
      <c r="G258" s="1231"/>
      <c r="H258" s="1231"/>
      <c r="I258" s="1231"/>
      <c r="J258" s="1231"/>
      <c r="K258" s="1232"/>
      <c r="L258" s="969" t="s">
        <v>2233</v>
      </c>
    </row>
    <row r="259" spans="1:12" s="22" customFormat="1" ht="15.5" x14ac:dyDescent="0.35">
      <c r="A259" s="643" t="s">
        <v>2459</v>
      </c>
      <c r="B259" s="768">
        <v>868</v>
      </c>
      <c r="C259" s="769" t="s">
        <v>2367</v>
      </c>
      <c r="D259" s="1230"/>
      <c r="E259" s="1231"/>
      <c r="F259" s="1231"/>
      <c r="G259" s="1231"/>
      <c r="H259" s="1231"/>
      <c r="I259" s="1231"/>
      <c r="J259" s="1231"/>
      <c r="K259" s="1232"/>
      <c r="L259" s="969" t="s">
        <v>2233</v>
      </c>
    </row>
    <row r="260" spans="1:12" s="22" customFormat="1" ht="15.5" x14ac:dyDescent="0.35">
      <c r="A260" s="643" t="s">
        <v>2460</v>
      </c>
      <c r="B260" s="768">
        <v>869</v>
      </c>
      <c r="C260" s="769" t="s">
        <v>2367</v>
      </c>
      <c r="D260" s="1230"/>
      <c r="E260" s="1231"/>
      <c r="F260" s="1231"/>
      <c r="G260" s="1231"/>
      <c r="H260" s="1231"/>
      <c r="I260" s="1231"/>
      <c r="J260" s="1231"/>
      <c r="K260" s="1232"/>
      <c r="L260" s="969" t="s">
        <v>2233</v>
      </c>
    </row>
    <row r="261" spans="1:12" s="22" customFormat="1" ht="15.5" x14ac:dyDescent="0.35">
      <c r="A261" s="643" t="s">
        <v>2461</v>
      </c>
      <c r="B261" s="768">
        <v>898</v>
      </c>
      <c r="C261" s="769" t="s">
        <v>2367</v>
      </c>
      <c r="D261" s="1230"/>
      <c r="E261" s="1231"/>
      <c r="F261" s="1231"/>
      <c r="G261" s="1231"/>
      <c r="H261" s="1231"/>
      <c r="I261" s="1231"/>
      <c r="J261" s="1231"/>
      <c r="K261" s="1232"/>
      <c r="L261" s="969" t="s">
        <v>2233</v>
      </c>
    </row>
    <row r="262" spans="1:12" s="22" customFormat="1" ht="15.5" x14ac:dyDescent="0.35">
      <c r="A262" s="643" t="s">
        <v>2462</v>
      </c>
      <c r="B262" s="768">
        <v>899</v>
      </c>
      <c r="C262" s="769" t="s">
        <v>2367</v>
      </c>
      <c r="D262" s="1230"/>
      <c r="E262" s="1231"/>
      <c r="F262" s="1231"/>
      <c r="G262" s="1231"/>
      <c r="H262" s="1231"/>
      <c r="I262" s="1231"/>
      <c r="J262" s="1231"/>
      <c r="K262" s="1232"/>
      <c r="L262" s="969" t="s">
        <v>2233</v>
      </c>
    </row>
    <row r="263" spans="1:12" s="22" customFormat="1" ht="15.5" x14ac:dyDescent="0.35">
      <c r="A263" s="643" t="s">
        <v>2463</v>
      </c>
      <c r="B263" s="768">
        <v>901</v>
      </c>
      <c r="C263" s="769" t="s">
        <v>2367</v>
      </c>
      <c r="D263" s="1230"/>
      <c r="E263" s="1231"/>
      <c r="F263" s="1231"/>
      <c r="G263" s="1231"/>
      <c r="H263" s="1231"/>
      <c r="I263" s="1231"/>
      <c r="J263" s="1231"/>
      <c r="K263" s="1232"/>
      <c r="L263" s="969" t="s">
        <v>2233</v>
      </c>
    </row>
    <row r="264" spans="1:12" s="22" customFormat="1" ht="15.5" x14ac:dyDescent="0.35">
      <c r="A264" s="643" t="s">
        <v>2464</v>
      </c>
      <c r="B264" s="768">
        <v>902</v>
      </c>
      <c r="C264" s="769" t="s">
        <v>2367</v>
      </c>
      <c r="D264" s="1230"/>
      <c r="E264" s="1231"/>
      <c r="F264" s="1231"/>
      <c r="G264" s="1231"/>
      <c r="H264" s="1231"/>
      <c r="I264" s="1231"/>
      <c r="J264" s="1231"/>
      <c r="K264" s="1232"/>
      <c r="L264" s="969" t="s">
        <v>2233</v>
      </c>
    </row>
    <row r="265" spans="1:12" s="22" customFormat="1" ht="15.5" x14ac:dyDescent="0.35">
      <c r="A265" s="643" t="s">
        <v>2465</v>
      </c>
      <c r="B265" s="768">
        <v>903</v>
      </c>
      <c r="C265" s="769" t="s">
        <v>2367</v>
      </c>
      <c r="D265" s="1230"/>
      <c r="E265" s="1231"/>
      <c r="F265" s="1231"/>
      <c r="G265" s="1231"/>
      <c r="H265" s="1231"/>
      <c r="I265" s="1231"/>
      <c r="J265" s="1231"/>
      <c r="K265" s="1232"/>
      <c r="L265" s="969" t="s">
        <v>2233</v>
      </c>
    </row>
    <row r="266" spans="1:12" s="22" customFormat="1" ht="15.5" x14ac:dyDescent="0.35">
      <c r="A266" s="643" t="s">
        <v>2466</v>
      </c>
      <c r="B266" s="768">
        <v>904</v>
      </c>
      <c r="C266" s="769" t="s">
        <v>2367</v>
      </c>
      <c r="D266" s="1230"/>
      <c r="E266" s="1231"/>
      <c r="F266" s="1231"/>
      <c r="G266" s="1231"/>
      <c r="H266" s="1231"/>
      <c r="I266" s="1231"/>
      <c r="J266" s="1231"/>
      <c r="K266" s="1232"/>
      <c r="L266" s="969" t="s">
        <v>2233</v>
      </c>
    </row>
    <row r="267" spans="1:12" s="22" customFormat="1" ht="15.5" x14ac:dyDescent="0.35">
      <c r="A267" s="643" t="s">
        <v>2467</v>
      </c>
      <c r="B267" s="768">
        <v>905</v>
      </c>
      <c r="C267" s="769" t="s">
        <v>2367</v>
      </c>
      <c r="D267" s="1230"/>
      <c r="E267" s="1231"/>
      <c r="F267" s="1231"/>
      <c r="G267" s="1231"/>
      <c r="H267" s="1231"/>
      <c r="I267" s="1231"/>
      <c r="J267" s="1231"/>
      <c r="K267" s="1232"/>
      <c r="L267" s="969" t="s">
        <v>2233</v>
      </c>
    </row>
    <row r="268" spans="1:12" s="22" customFormat="1" ht="15.5" x14ac:dyDescent="0.35">
      <c r="A268" s="643" t="s">
        <v>2468</v>
      </c>
      <c r="B268" s="768">
        <v>906</v>
      </c>
      <c r="C268" s="769" t="s">
        <v>2367</v>
      </c>
      <c r="D268" s="1230"/>
      <c r="E268" s="1231"/>
      <c r="F268" s="1231"/>
      <c r="G268" s="1231"/>
      <c r="H268" s="1231"/>
      <c r="I268" s="1231"/>
      <c r="J268" s="1231"/>
      <c r="K268" s="1232"/>
      <c r="L268" s="969" t="s">
        <v>2233</v>
      </c>
    </row>
    <row r="269" spans="1:12" s="22" customFormat="1" ht="15.5" x14ac:dyDescent="0.35">
      <c r="A269" s="643" t="s">
        <v>2469</v>
      </c>
      <c r="B269" s="768">
        <v>907</v>
      </c>
      <c r="C269" s="769" t="s">
        <v>2367</v>
      </c>
      <c r="D269" s="1230"/>
      <c r="E269" s="1231"/>
      <c r="F269" s="1231"/>
      <c r="G269" s="1231"/>
      <c r="H269" s="1231"/>
      <c r="I269" s="1231"/>
      <c r="J269" s="1231"/>
      <c r="K269" s="1232"/>
      <c r="L269" s="969" t="s">
        <v>2233</v>
      </c>
    </row>
    <row r="270" spans="1:12" s="22" customFormat="1" ht="15.5" x14ac:dyDescent="0.35">
      <c r="A270" s="643" t="s">
        <v>2470</v>
      </c>
      <c r="B270" s="768">
        <v>908</v>
      </c>
      <c r="C270" s="769" t="s">
        <v>2367</v>
      </c>
      <c r="D270" s="1230"/>
      <c r="E270" s="1231"/>
      <c r="F270" s="1231"/>
      <c r="G270" s="1231"/>
      <c r="H270" s="1231"/>
      <c r="I270" s="1231"/>
      <c r="J270" s="1231"/>
      <c r="K270" s="1232"/>
      <c r="L270" s="969" t="s">
        <v>2233</v>
      </c>
    </row>
    <row r="271" spans="1:12" s="22" customFormat="1" ht="15.5" x14ac:dyDescent="0.35">
      <c r="A271" s="643" t="s">
        <v>2471</v>
      </c>
      <c r="B271" s="768">
        <v>910</v>
      </c>
      <c r="C271" s="769" t="s">
        <v>2367</v>
      </c>
      <c r="D271" s="1230"/>
      <c r="E271" s="1231"/>
      <c r="F271" s="1231"/>
      <c r="G271" s="1231"/>
      <c r="H271" s="1231"/>
      <c r="I271" s="1231"/>
      <c r="J271" s="1231"/>
      <c r="K271" s="1232"/>
      <c r="L271" s="969" t="s">
        <v>2233</v>
      </c>
    </row>
    <row r="272" spans="1:12" s="22" customFormat="1" ht="15.5" x14ac:dyDescent="0.35">
      <c r="A272" s="643" t="s">
        <v>2472</v>
      </c>
      <c r="B272" s="768">
        <v>911</v>
      </c>
      <c r="C272" s="769" t="s">
        <v>2367</v>
      </c>
      <c r="D272" s="1230"/>
      <c r="E272" s="1231"/>
      <c r="F272" s="1231"/>
      <c r="G272" s="1231"/>
      <c r="H272" s="1231"/>
      <c r="I272" s="1231"/>
      <c r="J272" s="1231"/>
      <c r="K272" s="1232"/>
      <c r="L272" s="969" t="s">
        <v>2233</v>
      </c>
    </row>
    <row r="273" spans="1:12" s="22" customFormat="1" ht="15.5" x14ac:dyDescent="0.35">
      <c r="A273" s="643" t="s">
        <v>2473</v>
      </c>
      <c r="B273" s="768">
        <v>912</v>
      </c>
      <c r="C273" s="769" t="s">
        <v>2367</v>
      </c>
      <c r="D273" s="1230"/>
      <c r="E273" s="1231"/>
      <c r="F273" s="1231"/>
      <c r="G273" s="1231"/>
      <c r="H273" s="1231"/>
      <c r="I273" s="1231"/>
      <c r="J273" s="1231"/>
      <c r="K273" s="1232"/>
      <c r="L273" s="969" t="s">
        <v>2233</v>
      </c>
    </row>
    <row r="274" spans="1:12" s="22" customFormat="1" ht="15.5" x14ac:dyDescent="0.35">
      <c r="A274" s="643" t="s">
        <v>2474</v>
      </c>
      <c r="B274" s="768">
        <v>913</v>
      </c>
      <c r="C274" s="769" t="s">
        <v>2367</v>
      </c>
      <c r="D274" s="1230"/>
      <c r="E274" s="1231"/>
      <c r="F274" s="1231"/>
      <c r="G274" s="1231"/>
      <c r="H274" s="1231"/>
      <c r="I274" s="1231"/>
      <c r="J274" s="1231"/>
      <c r="K274" s="1232"/>
      <c r="L274" s="969" t="s">
        <v>2233</v>
      </c>
    </row>
    <row r="275" spans="1:12" s="22" customFormat="1" ht="15.5" x14ac:dyDescent="0.35">
      <c r="A275" s="643" t="s">
        <v>2475</v>
      </c>
      <c r="B275" s="768">
        <v>914</v>
      </c>
      <c r="C275" s="769" t="s">
        <v>2367</v>
      </c>
      <c r="D275" s="1230"/>
      <c r="E275" s="1231"/>
      <c r="F275" s="1231"/>
      <c r="G275" s="1231"/>
      <c r="H275" s="1231"/>
      <c r="I275" s="1231"/>
      <c r="J275" s="1231"/>
      <c r="K275" s="1232"/>
      <c r="L275" s="969" t="s">
        <v>2233</v>
      </c>
    </row>
    <row r="276" spans="1:12" s="22" customFormat="1" ht="15.5" x14ac:dyDescent="0.35">
      <c r="A276" s="643" t="s">
        <v>2476</v>
      </c>
      <c r="B276" s="768">
        <v>915</v>
      </c>
      <c r="C276" s="769" t="s">
        <v>2367</v>
      </c>
      <c r="D276" s="1230"/>
      <c r="E276" s="1231"/>
      <c r="F276" s="1231"/>
      <c r="G276" s="1231"/>
      <c r="H276" s="1231"/>
      <c r="I276" s="1231"/>
      <c r="J276" s="1231"/>
      <c r="K276" s="1232"/>
      <c r="L276" s="969" t="s">
        <v>2233</v>
      </c>
    </row>
    <row r="277" spans="1:12" s="22" customFormat="1" ht="15.5" x14ac:dyDescent="0.35">
      <c r="A277" s="643" t="s">
        <v>2477</v>
      </c>
      <c r="B277" s="768">
        <v>916</v>
      </c>
      <c r="C277" s="769" t="s">
        <v>2367</v>
      </c>
      <c r="D277" s="1230"/>
      <c r="E277" s="1231"/>
      <c r="F277" s="1231"/>
      <c r="G277" s="1231"/>
      <c r="H277" s="1231"/>
      <c r="I277" s="1231"/>
      <c r="J277" s="1231"/>
      <c r="K277" s="1232"/>
      <c r="L277" s="969" t="s">
        <v>2233</v>
      </c>
    </row>
    <row r="278" spans="1:12" s="22" customFormat="1" ht="15.5" x14ac:dyDescent="0.35">
      <c r="A278" s="643" t="s">
        <v>2478</v>
      </c>
      <c r="B278" s="768">
        <v>917</v>
      </c>
      <c r="C278" s="769" t="s">
        <v>2367</v>
      </c>
      <c r="D278" s="1230"/>
      <c r="E278" s="1231"/>
      <c r="F278" s="1231"/>
      <c r="G278" s="1231"/>
      <c r="H278" s="1231"/>
      <c r="I278" s="1231"/>
      <c r="J278" s="1231"/>
      <c r="K278" s="1232"/>
      <c r="L278" s="969" t="s">
        <v>2233</v>
      </c>
    </row>
    <row r="279" spans="1:12" s="22" customFormat="1" ht="15.5" x14ac:dyDescent="0.35">
      <c r="A279" s="643" t="s">
        <v>2479</v>
      </c>
      <c r="B279" s="768">
        <v>918</v>
      </c>
      <c r="C279" s="769" t="s">
        <v>2367</v>
      </c>
      <c r="D279" s="1230"/>
      <c r="E279" s="1231"/>
      <c r="F279" s="1231"/>
      <c r="G279" s="1231"/>
      <c r="H279" s="1231"/>
      <c r="I279" s="1231"/>
      <c r="J279" s="1231"/>
      <c r="K279" s="1232"/>
      <c r="L279" s="969" t="s">
        <v>2233</v>
      </c>
    </row>
    <row r="280" spans="1:12" s="22" customFormat="1" ht="15.5" x14ac:dyDescent="0.35">
      <c r="A280" s="643" t="s">
        <v>2480</v>
      </c>
      <c r="B280" s="768">
        <v>919</v>
      </c>
      <c r="C280" s="769" t="s">
        <v>2367</v>
      </c>
      <c r="D280" s="1230"/>
      <c r="E280" s="1231"/>
      <c r="F280" s="1231"/>
      <c r="G280" s="1231"/>
      <c r="H280" s="1231"/>
      <c r="I280" s="1231"/>
      <c r="J280" s="1231"/>
      <c r="K280" s="1232"/>
      <c r="L280" s="969" t="s">
        <v>2233</v>
      </c>
    </row>
    <row r="281" spans="1:12" s="22" customFormat="1" ht="15.5" x14ac:dyDescent="0.35">
      <c r="A281" s="643" t="s">
        <v>2481</v>
      </c>
      <c r="B281" s="768">
        <v>920</v>
      </c>
      <c r="C281" s="769" t="s">
        <v>2367</v>
      </c>
      <c r="D281" s="1230"/>
      <c r="E281" s="1231"/>
      <c r="F281" s="1231"/>
      <c r="G281" s="1231"/>
      <c r="H281" s="1231"/>
      <c r="I281" s="1231"/>
      <c r="J281" s="1231"/>
      <c r="K281" s="1232"/>
      <c r="L281" s="969" t="s">
        <v>2233</v>
      </c>
    </row>
    <row r="282" spans="1:12" s="22" customFormat="1" ht="15.5" x14ac:dyDescent="0.35">
      <c r="A282" s="643" t="s">
        <v>2482</v>
      </c>
      <c r="B282" s="768">
        <v>921</v>
      </c>
      <c r="C282" s="769" t="s">
        <v>2367</v>
      </c>
      <c r="D282" s="1230"/>
      <c r="E282" s="1231"/>
      <c r="F282" s="1231"/>
      <c r="G282" s="1231"/>
      <c r="H282" s="1231"/>
      <c r="I282" s="1231"/>
      <c r="J282" s="1231"/>
      <c r="K282" s="1232"/>
      <c r="L282" s="969" t="s">
        <v>2233</v>
      </c>
    </row>
    <row r="283" spans="1:12" s="22" customFormat="1" ht="15.5" x14ac:dyDescent="0.35">
      <c r="A283" s="643" t="s">
        <v>2483</v>
      </c>
      <c r="B283" s="768">
        <v>922</v>
      </c>
      <c r="C283" s="769" t="s">
        <v>2367</v>
      </c>
      <c r="D283" s="1230"/>
      <c r="E283" s="1231"/>
      <c r="F283" s="1231"/>
      <c r="G283" s="1231"/>
      <c r="H283" s="1231"/>
      <c r="I283" s="1231"/>
      <c r="J283" s="1231"/>
      <c r="K283" s="1232"/>
      <c r="L283" s="969" t="s">
        <v>2233</v>
      </c>
    </row>
    <row r="284" spans="1:12" s="22" customFormat="1" ht="15.5" x14ac:dyDescent="0.35">
      <c r="A284" s="643" t="s">
        <v>2484</v>
      </c>
      <c r="B284" s="768">
        <v>923</v>
      </c>
      <c r="C284" s="769" t="s">
        <v>2367</v>
      </c>
      <c r="D284" s="1230"/>
      <c r="E284" s="1231"/>
      <c r="F284" s="1231"/>
      <c r="G284" s="1231"/>
      <c r="H284" s="1231"/>
      <c r="I284" s="1231"/>
      <c r="J284" s="1231"/>
      <c r="K284" s="1232"/>
      <c r="L284" s="969" t="s">
        <v>2233</v>
      </c>
    </row>
    <row r="285" spans="1:12" s="22" customFormat="1" ht="15.5" x14ac:dyDescent="0.35">
      <c r="A285" s="643" t="s">
        <v>2485</v>
      </c>
      <c r="B285" s="768">
        <v>924</v>
      </c>
      <c r="C285" s="769" t="s">
        <v>2367</v>
      </c>
      <c r="D285" s="1230"/>
      <c r="E285" s="1231"/>
      <c r="F285" s="1231"/>
      <c r="G285" s="1231"/>
      <c r="H285" s="1231"/>
      <c r="I285" s="1231"/>
      <c r="J285" s="1231"/>
      <c r="K285" s="1232"/>
      <c r="L285" s="969" t="s">
        <v>2233</v>
      </c>
    </row>
    <row r="286" spans="1:12" s="22" customFormat="1" ht="15.5" x14ac:dyDescent="0.35">
      <c r="A286" s="643" t="s">
        <v>2486</v>
      </c>
      <c r="B286" s="768">
        <v>925</v>
      </c>
      <c r="C286" s="769" t="s">
        <v>2367</v>
      </c>
      <c r="D286" s="1230"/>
      <c r="E286" s="1231"/>
      <c r="F286" s="1231"/>
      <c r="G286" s="1231"/>
      <c r="H286" s="1231"/>
      <c r="I286" s="1231"/>
      <c r="J286" s="1231"/>
      <c r="K286" s="1232"/>
      <c r="L286" s="969" t="s">
        <v>2233</v>
      </c>
    </row>
    <row r="287" spans="1:12" s="22" customFormat="1" ht="15.5" x14ac:dyDescent="0.35">
      <c r="A287" s="643" t="s">
        <v>2487</v>
      </c>
      <c r="B287" s="768">
        <v>998</v>
      </c>
      <c r="C287" s="769" t="s">
        <v>2367</v>
      </c>
      <c r="D287" s="1230"/>
      <c r="E287" s="1231"/>
      <c r="F287" s="1231"/>
      <c r="G287" s="1231"/>
      <c r="H287" s="1231"/>
      <c r="I287" s="1231"/>
      <c r="J287" s="1231"/>
      <c r="K287" s="1232"/>
      <c r="L287" s="969" t="s">
        <v>2233</v>
      </c>
    </row>
    <row r="288" spans="1:12" s="22" customFormat="1" ht="15.5" x14ac:dyDescent="0.35">
      <c r="A288" s="643" t="s">
        <v>2488</v>
      </c>
      <c r="B288" s="768">
        <v>999</v>
      </c>
      <c r="C288" s="769" t="s">
        <v>2367</v>
      </c>
      <c r="D288" s="1230"/>
      <c r="E288" s="1231"/>
      <c r="F288" s="1231"/>
      <c r="G288" s="1231"/>
      <c r="H288" s="1231"/>
      <c r="I288" s="1231"/>
      <c r="J288" s="1231"/>
      <c r="K288" s="1232"/>
      <c r="L288" s="969" t="s">
        <v>2233</v>
      </c>
    </row>
    <row r="289" spans="1:12" s="22" customFormat="1" ht="15.5" x14ac:dyDescent="0.35">
      <c r="A289" s="643" t="s">
        <v>2489</v>
      </c>
      <c r="B289" s="768">
        <v>10</v>
      </c>
      <c r="C289" s="769" t="s">
        <v>2490</v>
      </c>
      <c r="D289" s="1230"/>
      <c r="E289" s="1231"/>
      <c r="F289" s="1231"/>
      <c r="G289" s="1231"/>
      <c r="H289" s="1231"/>
      <c r="I289" s="1231"/>
      <c r="J289" s="1231"/>
      <c r="K289" s="1232"/>
      <c r="L289" s="969" t="s">
        <v>2233</v>
      </c>
    </row>
    <row r="290" spans="1:12" s="22" customFormat="1" ht="15.5" x14ac:dyDescent="0.35">
      <c r="A290" s="643" t="s">
        <v>2491</v>
      </c>
      <c r="B290" s="768">
        <v>20</v>
      </c>
      <c r="C290" s="769" t="s">
        <v>2490</v>
      </c>
      <c r="D290" s="1230"/>
      <c r="E290" s="1231"/>
      <c r="F290" s="1231"/>
      <c r="G290" s="1231"/>
      <c r="H290" s="1231"/>
      <c r="I290" s="1231"/>
      <c r="J290" s="1231"/>
      <c r="K290" s="1232"/>
      <c r="L290" s="969" t="s">
        <v>2233</v>
      </c>
    </row>
    <row r="291" spans="1:12" s="22" customFormat="1" ht="15.5" x14ac:dyDescent="0.35">
      <c r="A291" s="643" t="s">
        <v>2492</v>
      </c>
      <c r="B291" s="768">
        <v>30</v>
      </c>
      <c r="C291" s="769" t="s">
        <v>2490</v>
      </c>
      <c r="D291" s="1230"/>
      <c r="E291" s="1231"/>
      <c r="F291" s="1231"/>
      <c r="G291" s="1231"/>
      <c r="H291" s="1231"/>
      <c r="I291" s="1231"/>
      <c r="J291" s="1231"/>
      <c r="K291" s="1232"/>
      <c r="L291" s="969" t="s">
        <v>2233</v>
      </c>
    </row>
    <row r="292" spans="1:12" s="22" customFormat="1" ht="15.5" x14ac:dyDescent="0.35">
      <c r="A292" s="643" t="s">
        <v>2493</v>
      </c>
      <c r="B292" s="768">
        <v>40</v>
      </c>
      <c r="C292" s="769" t="s">
        <v>2490</v>
      </c>
      <c r="D292" s="1230"/>
      <c r="E292" s="1231"/>
      <c r="F292" s="1231"/>
      <c r="G292" s="1231"/>
      <c r="H292" s="1231"/>
      <c r="I292" s="1231"/>
      <c r="J292" s="1231"/>
      <c r="K292" s="1232"/>
      <c r="L292" s="969" t="s">
        <v>2233</v>
      </c>
    </row>
    <row r="293" spans="1:12" s="22" customFormat="1" ht="15.5" x14ac:dyDescent="0.35">
      <c r="A293" s="643" t="s">
        <v>2494</v>
      </c>
      <c r="B293" s="768">
        <v>45</v>
      </c>
      <c r="C293" s="769" t="s">
        <v>2490</v>
      </c>
      <c r="D293" s="1230"/>
      <c r="E293" s="1231"/>
      <c r="F293" s="1231"/>
      <c r="G293" s="1231"/>
      <c r="H293" s="1231"/>
      <c r="I293" s="1231"/>
      <c r="J293" s="1231"/>
      <c r="K293" s="1232"/>
      <c r="L293" s="969" t="s">
        <v>2233</v>
      </c>
    </row>
    <row r="294" spans="1:12" s="22" customFormat="1" ht="15.5" x14ac:dyDescent="0.35">
      <c r="A294" s="643" t="s">
        <v>2495</v>
      </c>
      <c r="B294" s="768">
        <v>65</v>
      </c>
      <c r="C294" s="769" t="s">
        <v>2490</v>
      </c>
      <c r="D294" s="1230"/>
      <c r="E294" s="1231"/>
      <c r="F294" s="1231"/>
      <c r="G294" s="1231"/>
      <c r="H294" s="1231"/>
      <c r="I294" s="1231"/>
      <c r="J294" s="1231"/>
      <c r="K294" s="1232"/>
      <c r="L294" s="969" t="s">
        <v>2233</v>
      </c>
    </row>
    <row r="295" spans="1:12" s="22" customFormat="1" ht="15.5" x14ac:dyDescent="0.35">
      <c r="A295" s="643" t="s">
        <v>2496</v>
      </c>
      <c r="B295" s="768">
        <v>90</v>
      </c>
      <c r="C295" s="769" t="s">
        <v>2490</v>
      </c>
      <c r="D295" s="1230"/>
      <c r="E295" s="1231"/>
      <c r="F295" s="1231"/>
      <c r="G295" s="1231"/>
      <c r="H295" s="1231"/>
      <c r="I295" s="1231"/>
      <c r="J295" s="1231"/>
      <c r="K295" s="1232"/>
      <c r="L295" s="969" t="s">
        <v>2233</v>
      </c>
    </row>
    <row r="296" spans="1:12" s="22" customFormat="1" ht="15.5" x14ac:dyDescent="0.35">
      <c r="A296" s="125" t="s">
        <v>2497</v>
      </c>
      <c r="B296" s="768">
        <v>1901</v>
      </c>
      <c r="C296" s="769" t="s">
        <v>2490</v>
      </c>
      <c r="D296" s="966"/>
      <c r="E296" s="967"/>
      <c r="F296" s="967"/>
      <c r="G296" s="967"/>
      <c r="H296" s="967"/>
      <c r="I296" s="967"/>
      <c r="J296" s="967"/>
      <c r="K296" s="968"/>
      <c r="L296" s="969" t="s">
        <v>2233</v>
      </c>
    </row>
    <row r="297" spans="1:12" s="22" customFormat="1" ht="15.5" x14ac:dyDescent="0.35">
      <c r="A297" s="643" t="s">
        <v>2498</v>
      </c>
      <c r="B297" s="768">
        <v>11</v>
      </c>
      <c r="C297" s="769" t="s">
        <v>2499</v>
      </c>
      <c r="D297" s="1230"/>
      <c r="E297" s="1231"/>
      <c r="F297" s="1231"/>
      <c r="G297" s="1231"/>
      <c r="H297" s="1231"/>
      <c r="I297" s="1231"/>
      <c r="J297" s="1231"/>
      <c r="K297" s="1232"/>
      <c r="L297" s="969" t="s">
        <v>2233</v>
      </c>
    </row>
    <row r="298" spans="1:12" s="22" customFormat="1" ht="15.5" x14ac:dyDescent="0.35">
      <c r="A298" s="643" t="s">
        <v>2500</v>
      </c>
      <c r="B298" s="768">
        <v>12</v>
      </c>
      <c r="C298" s="769" t="s">
        <v>2499</v>
      </c>
      <c r="D298" s="1230"/>
      <c r="E298" s="1231"/>
      <c r="F298" s="1231"/>
      <c r="G298" s="1231"/>
      <c r="H298" s="1231"/>
      <c r="I298" s="1231"/>
      <c r="J298" s="1231"/>
      <c r="K298" s="1232"/>
      <c r="L298" s="969" t="s">
        <v>2233</v>
      </c>
    </row>
    <row r="299" spans="1:12" s="22" customFormat="1" ht="15.5" x14ac:dyDescent="0.35">
      <c r="A299" s="643" t="s">
        <v>2501</v>
      </c>
      <c r="B299" s="768">
        <v>31</v>
      </c>
      <c r="C299" s="769" t="s">
        <v>2499</v>
      </c>
      <c r="D299" s="1230"/>
      <c r="E299" s="1231"/>
      <c r="F299" s="1231"/>
      <c r="G299" s="1231"/>
      <c r="H299" s="1231"/>
      <c r="I299" s="1231"/>
      <c r="J299" s="1231"/>
      <c r="K299" s="1232"/>
      <c r="L299" s="969" t="s">
        <v>2233</v>
      </c>
    </row>
    <row r="300" spans="1:12" s="22" customFormat="1" ht="15.5" x14ac:dyDescent="0.35">
      <c r="A300" s="643" t="s">
        <v>2502</v>
      </c>
      <c r="B300" s="768">
        <v>32</v>
      </c>
      <c r="C300" s="769" t="s">
        <v>2499</v>
      </c>
      <c r="D300" s="1230"/>
      <c r="E300" s="1231"/>
      <c r="F300" s="1231"/>
      <c r="G300" s="1231"/>
      <c r="H300" s="1231"/>
      <c r="I300" s="1231"/>
      <c r="J300" s="1231"/>
      <c r="K300" s="1232"/>
      <c r="L300" s="969" t="s">
        <v>2233</v>
      </c>
    </row>
    <row r="301" spans="1:12" s="22" customFormat="1" ht="15.5" x14ac:dyDescent="0.35">
      <c r="A301" s="643" t="s">
        <v>2503</v>
      </c>
      <c r="B301" s="768">
        <v>33</v>
      </c>
      <c r="C301" s="769" t="s">
        <v>2499</v>
      </c>
      <c r="D301" s="1230"/>
      <c r="E301" s="1231"/>
      <c r="F301" s="1231"/>
      <c r="G301" s="1231"/>
      <c r="H301" s="1231"/>
      <c r="I301" s="1231"/>
      <c r="J301" s="1231"/>
      <c r="K301" s="1232"/>
      <c r="L301" s="969" t="s">
        <v>2233</v>
      </c>
    </row>
    <row r="302" spans="1:12" s="22" customFormat="1" ht="15.5" x14ac:dyDescent="0.35">
      <c r="A302" s="643" t="s">
        <v>2504</v>
      </c>
      <c r="B302" s="768">
        <v>41</v>
      </c>
      <c r="C302" s="769" t="s">
        <v>2499</v>
      </c>
      <c r="D302" s="1230"/>
      <c r="E302" s="1231"/>
      <c r="F302" s="1231"/>
      <c r="G302" s="1231"/>
      <c r="H302" s="1231"/>
      <c r="I302" s="1231"/>
      <c r="J302" s="1231"/>
      <c r="K302" s="1232"/>
      <c r="L302" s="969" t="s">
        <v>2233</v>
      </c>
    </row>
    <row r="303" spans="1:12" s="22" customFormat="1" ht="15.5" x14ac:dyDescent="0.35">
      <c r="A303" s="643" t="s">
        <v>2505</v>
      </c>
      <c r="B303" s="768">
        <v>44</v>
      </c>
      <c r="C303" s="769" t="s">
        <v>2499</v>
      </c>
      <c r="D303" s="1230"/>
      <c r="E303" s="1231"/>
      <c r="F303" s="1231"/>
      <c r="G303" s="1231"/>
      <c r="H303" s="1231"/>
      <c r="I303" s="1231"/>
      <c r="J303" s="1231"/>
      <c r="K303" s="1232"/>
      <c r="L303" s="969" t="s">
        <v>2233</v>
      </c>
    </row>
    <row r="304" spans="1:12" s="22" customFormat="1" ht="15.5" x14ac:dyDescent="0.35">
      <c r="A304" s="643" t="s">
        <v>2506</v>
      </c>
      <c r="B304" s="768">
        <v>48</v>
      </c>
      <c r="C304" s="769" t="s">
        <v>2499</v>
      </c>
      <c r="D304" s="1230"/>
      <c r="E304" s="1231"/>
      <c r="F304" s="1231"/>
      <c r="G304" s="1231"/>
      <c r="H304" s="1231"/>
      <c r="I304" s="1231"/>
      <c r="J304" s="1231"/>
      <c r="K304" s="1232"/>
      <c r="L304" s="969" t="s">
        <v>2233</v>
      </c>
    </row>
    <row r="305" spans="1:12" s="22" customFormat="1" ht="15.5" x14ac:dyDescent="0.35">
      <c r="A305" s="643" t="s">
        <v>2507</v>
      </c>
      <c r="B305" s="768">
        <v>49</v>
      </c>
      <c r="C305" s="769" t="s">
        <v>2499</v>
      </c>
      <c r="D305" s="1230"/>
      <c r="E305" s="1231"/>
      <c r="F305" s="1231"/>
      <c r="G305" s="1231"/>
      <c r="H305" s="1231"/>
      <c r="I305" s="1231"/>
      <c r="J305" s="1231"/>
      <c r="K305" s="1232"/>
      <c r="L305" s="969" t="s">
        <v>2233</v>
      </c>
    </row>
    <row r="306" spans="1:12" s="22" customFormat="1" ht="15.5" x14ac:dyDescent="0.35">
      <c r="A306" s="643" t="s">
        <v>2508</v>
      </c>
      <c r="B306" s="768">
        <v>51</v>
      </c>
      <c r="C306" s="769" t="s">
        <v>2499</v>
      </c>
      <c r="D306" s="1230"/>
      <c r="E306" s="1231"/>
      <c r="F306" s="1231"/>
      <c r="G306" s="1231"/>
      <c r="H306" s="1231"/>
      <c r="I306" s="1231"/>
      <c r="J306" s="1231"/>
      <c r="K306" s="1232"/>
      <c r="L306" s="969" t="s">
        <v>2233</v>
      </c>
    </row>
    <row r="307" spans="1:12" s="22" customFormat="1" ht="15.5" x14ac:dyDescent="0.35">
      <c r="A307" s="643" t="s">
        <v>2509</v>
      </c>
      <c r="B307" s="768">
        <v>52</v>
      </c>
      <c r="C307" s="769" t="s">
        <v>2499</v>
      </c>
      <c r="D307" s="1230"/>
      <c r="E307" s="1231"/>
      <c r="F307" s="1231"/>
      <c r="G307" s="1231"/>
      <c r="H307" s="1231"/>
      <c r="I307" s="1231"/>
      <c r="J307" s="1231"/>
      <c r="K307" s="1232"/>
      <c r="L307" s="969" t="s">
        <v>2233</v>
      </c>
    </row>
    <row r="308" spans="1:12" s="22" customFormat="1" ht="15.5" x14ac:dyDescent="0.35">
      <c r="A308" s="643" t="s">
        <v>2510</v>
      </c>
      <c r="B308" s="768">
        <v>54</v>
      </c>
      <c r="C308" s="769" t="s">
        <v>2499</v>
      </c>
      <c r="D308" s="1230"/>
      <c r="E308" s="1231"/>
      <c r="F308" s="1231"/>
      <c r="G308" s="1231"/>
      <c r="H308" s="1231"/>
      <c r="I308" s="1231"/>
      <c r="J308" s="1231"/>
      <c r="K308" s="1232"/>
      <c r="L308" s="969" t="s">
        <v>2233</v>
      </c>
    </row>
    <row r="309" spans="1:12" s="22" customFormat="1" ht="15.5" x14ac:dyDescent="0.35">
      <c r="A309" s="643" t="s">
        <v>2511</v>
      </c>
      <c r="B309" s="768">
        <v>58</v>
      </c>
      <c r="C309" s="769" t="s">
        <v>2499</v>
      </c>
      <c r="D309" s="1230"/>
      <c r="E309" s="1231"/>
      <c r="F309" s="1231"/>
      <c r="G309" s="1231"/>
      <c r="H309" s="1231"/>
      <c r="I309" s="1231"/>
      <c r="J309" s="1231"/>
      <c r="K309" s="1232"/>
      <c r="L309" s="969" t="s">
        <v>2233</v>
      </c>
    </row>
    <row r="310" spans="1:12" s="22" customFormat="1" ht="15.5" x14ac:dyDescent="0.35">
      <c r="A310" s="643" t="s">
        <v>2512</v>
      </c>
      <c r="B310" s="768">
        <v>61</v>
      </c>
      <c r="C310" s="769" t="s">
        <v>2499</v>
      </c>
      <c r="D310" s="1230"/>
      <c r="E310" s="1231"/>
      <c r="F310" s="1231"/>
      <c r="G310" s="1231"/>
      <c r="H310" s="1231"/>
      <c r="I310" s="1231"/>
      <c r="J310" s="1231"/>
      <c r="K310" s="1232"/>
      <c r="L310" s="969" t="s">
        <v>2233</v>
      </c>
    </row>
    <row r="311" spans="1:12" s="22" customFormat="1" ht="15.5" x14ac:dyDescent="0.35">
      <c r="A311" s="643" t="s">
        <v>2513</v>
      </c>
      <c r="B311" s="768">
        <v>62</v>
      </c>
      <c r="C311" s="769" t="s">
        <v>2499</v>
      </c>
      <c r="D311" s="1230"/>
      <c r="E311" s="1231"/>
      <c r="F311" s="1231"/>
      <c r="G311" s="1231"/>
      <c r="H311" s="1231"/>
      <c r="I311" s="1231"/>
      <c r="J311" s="1231"/>
      <c r="K311" s="1232"/>
      <c r="L311" s="969" t="s">
        <v>2233</v>
      </c>
    </row>
    <row r="312" spans="1:12" s="22" customFormat="1" ht="15.5" x14ac:dyDescent="0.35">
      <c r="A312" s="643" t="s">
        <v>2514</v>
      </c>
      <c r="B312" s="768">
        <v>71</v>
      </c>
      <c r="C312" s="769" t="s">
        <v>2499</v>
      </c>
      <c r="D312" s="1230"/>
      <c r="E312" s="1231"/>
      <c r="F312" s="1231"/>
      <c r="G312" s="1231"/>
      <c r="H312" s="1231"/>
      <c r="I312" s="1231"/>
      <c r="J312" s="1231"/>
      <c r="K312" s="1232"/>
      <c r="L312" s="969" t="s">
        <v>2233</v>
      </c>
    </row>
    <row r="313" spans="1:12" s="22" customFormat="1" ht="15.5" x14ac:dyDescent="0.35">
      <c r="A313" s="643" t="s">
        <v>2515</v>
      </c>
      <c r="B313" s="768">
        <v>72</v>
      </c>
      <c r="C313" s="769" t="s">
        <v>2499</v>
      </c>
      <c r="D313" s="1230"/>
      <c r="E313" s="1231"/>
      <c r="F313" s="1231"/>
      <c r="G313" s="1231"/>
      <c r="H313" s="1231"/>
      <c r="I313" s="1231"/>
      <c r="J313" s="1231"/>
      <c r="K313" s="1232"/>
      <c r="L313" s="969" t="s">
        <v>2233</v>
      </c>
    </row>
    <row r="314" spans="1:12" s="22" customFormat="1" ht="15.5" x14ac:dyDescent="0.35">
      <c r="A314" s="643" t="s">
        <v>2516</v>
      </c>
      <c r="B314" s="768">
        <v>73</v>
      </c>
      <c r="C314" s="769" t="s">
        <v>2499</v>
      </c>
      <c r="D314" s="1230"/>
      <c r="E314" s="1231"/>
      <c r="F314" s="1231"/>
      <c r="G314" s="1231"/>
      <c r="H314" s="1231"/>
      <c r="I314" s="1231"/>
      <c r="J314" s="1231"/>
      <c r="K314" s="1232"/>
      <c r="L314" s="969" t="s">
        <v>2233</v>
      </c>
    </row>
    <row r="315" spans="1:12" s="22" customFormat="1" ht="15.5" x14ac:dyDescent="0.35">
      <c r="A315" s="643" t="s">
        <v>2517</v>
      </c>
      <c r="B315" s="768">
        <v>74</v>
      </c>
      <c r="C315" s="769" t="s">
        <v>2499</v>
      </c>
      <c r="D315" s="1230"/>
      <c r="E315" s="1231"/>
      <c r="F315" s="1231"/>
      <c r="G315" s="1231"/>
      <c r="H315" s="1231"/>
      <c r="I315" s="1231"/>
      <c r="J315" s="1231"/>
      <c r="K315" s="1232"/>
      <c r="L315" s="969" t="s">
        <v>2233</v>
      </c>
    </row>
    <row r="316" spans="1:12" s="22" customFormat="1" ht="15.5" x14ac:dyDescent="0.35">
      <c r="A316" s="643" t="s">
        <v>2518</v>
      </c>
      <c r="B316" s="768">
        <v>75</v>
      </c>
      <c r="C316" s="769" t="s">
        <v>2499</v>
      </c>
      <c r="D316" s="1230"/>
      <c r="E316" s="1231"/>
      <c r="F316" s="1231"/>
      <c r="G316" s="1231"/>
      <c r="H316" s="1231"/>
      <c r="I316" s="1231"/>
      <c r="J316" s="1231"/>
      <c r="K316" s="1232"/>
      <c r="L316" s="969" t="s">
        <v>2233</v>
      </c>
    </row>
    <row r="317" spans="1:12" s="22" customFormat="1" ht="15.5" x14ac:dyDescent="0.35">
      <c r="A317" s="643" t="s">
        <v>2519</v>
      </c>
      <c r="B317" s="768">
        <v>76</v>
      </c>
      <c r="C317" s="769" t="s">
        <v>2499</v>
      </c>
      <c r="D317" s="1230"/>
      <c r="E317" s="1231"/>
      <c r="F317" s="1231"/>
      <c r="G317" s="1231"/>
      <c r="H317" s="1231"/>
      <c r="I317" s="1231"/>
      <c r="J317" s="1231"/>
      <c r="K317" s="1232"/>
      <c r="L317" s="969" t="s">
        <v>2233</v>
      </c>
    </row>
    <row r="318" spans="1:12" s="22" customFormat="1" ht="15.5" x14ac:dyDescent="0.35">
      <c r="A318" s="643" t="s">
        <v>2520</v>
      </c>
      <c r="B318" s="768">
        <v>80</v>
      </c>
      <c r="C318" s="769" t="s">
        <v>2499</v>
      </c>
      <c r="D318" s="1230"/>
      <c r="E318" s="1231"/>
      <c r="F318" s="1231"/>
      <c r="G318" s="1231"/>
      <c r="H318" s="1231"/>
      <c r="I318" s="1231"/>
      <c r="J318" s="1231"/>
      <c r="K318" s="1232"/>
      <c r="L318" s="969" t="s">
        <v>2233</v>
      </c>
    </row>
    <row r="319" spans="1:12" s="22" customFormat="1" ht="15.5" x14ac:dyDescent="0.35">
      <c r="A319" s="643" t="s">
        <v>2521</v>
      </c>
      <c r="B319" s="768">
        <v>90</v>
      </c>
      <c r="C319" s="769" t="s">
        <v>2499</v>
      </c>
      <c r="D319" s="1230"/>
      <c r="E319" s="1231"/>
      <c r="F319" s="1231"/>
      <c r="G319" s="1231"/>
      <c r="H319" s="1231"/>
      <c r="I319" s="1231"/>
      <c r="J319" s="1231"/>
      <c r="K319" s="1232"/>
      <c r="L319" s="969" t="s">
        <v>2233</v>
      </c>
    </row>
    <row r="320" spans="1:12" s="22" customFormat="1" ht="15.5" x14ac:dyDescent="0.35">
      <c r="A320" s="643" t="s">
        <v>2522</v>
      </c>
      <c r="B320" s="768">
        <v>130</v>
      </c>
      <c r="C320" s="769" t="s">
        <v>2499</v>
      </c>
      <c r="D320" s="1230"/>
      <c r="E320" s="1231"/>
      <c r="F320" s="1231"/>
      <c r="G320" s="1231"/>
      <c r="H320" s="1231"/>
      <c r="I320" s="1231"/>
      <c r="J320" s="1231"/>
      <c r="K320" s="1232"/>
      <c r="L320" s="969" t="s">
        <v>2233</v>
      </c>
    </row>
    <row r="321" spans="1:12" s="22" customFormat="1" ht="15.5" x14ac:dyDescent="0.35">
      <c r="A321" s="643" t="s">
        <v>2523</v>
      </c>
      <c r="B321" s="768">
        <v>172</v>
      </c>
      <c r="C321" s="769" t="s">
        <v>2499</v>
      </c>
      <c r="D321" s="1230"/>
      <c r="E321" s="1231"/>
      <c r="F321" s="1231"/>
      <c r="G321" s="1231"/>
      <c r="H321" s="1231"/>
      <c r="I321" s="1231"/>
      <c r="J321" s="1231"/>
      <c r="K321" s="1232"/>
      <c r="L321" s="969" t="s">
        <v>2233</v>
      </c>
    </row>
    <row r="322" spans="1:12" s="22" customFormat="1" ht="15.5" x14ac:dyDescent="0.35">
      <c r="A322" s="643" t="s">
        <v>2524</v>
      </c>
      <c r="B322" s="768">
        <v>173</v>
      </c>
      <c r="C322" s="769" t="s">
        <v>2499</v>
      </c>
      <c r="D322" s="1230"/>
      <c r="E322" s="1231"/>
      <c r="F322" s="1231"/>
      <c r="G322" s="1231"/>
      <c r="H322" s="1231"/>
      <c r="I322" s="1231"/>
      <c r="J322" s="1231"/>
      <c r="K322" s="1232"/>
      <c r="L322" s="969" t="s">
        <v>2233</v>
      </c>
    </row>
    <row r="323" spans="1:12" s="22" customFormat="1" ht="15.5" x14ac:dyDescent="0.35">
      <c r="A323" s="643" t="s">
        <v>2525</v>
      </c>
      <c r="B323" s="768">
        <v>174</v>
      </c>
      <c r="C323" s="769" t="s">
        <v>2499</v>
      </c>
      <c r="D323" s="1230"/>
      <c r="E323" s="1231"/>
      <c r="F323" s="1231"/>
      <c r="G323" s="1231"/>
      <c r="H323" s="1231"/>
      <c r="I323" s="1231"/>
      <c r="J323" s="1231"/>
      <c r="K323" s="1232"/>
      <c r="L323" s="969" t="s">
        <v>2233</v>
      </c>
    </row>
    <row r="324" spans="1:12" s="22" customFormat="1" ht="15.5" x14ac:dyDescent="0.35">
      <c r="A324" s="643" t="s">
        <v>2526</v>
      </c>
      <c r="B324" s="768">
        <v>141</v>
      </c>
      <c r="C324" s="769" t="s">
        <v>2499</v>
      </c>
      <c r="D324" s="1230"/>
      <c r="E324" s="1231"/>
      <c r="F324" s="1231"/>
      <c r="G324" s="1231"/>
      <c r="H324" s="1231"/>
      <c r="I324" s="1231"/>
      <c r="J324" s="1231"/>
      <c r="K324" s="1232"/>
      <c r="L324" s="969" t="s">
        <v>2233</v>
      </c>
    </row>
    <row r="325" spans="1:12" s="22" customFormat="1" ht="15.5" x14ac:dyDescent="0.35">
      <c r="A325" s="643" t="s">
        <v>2527</v>
      </c>
      <c r="B325" s="768">
        <v>144</v>
      </c>
      <c r="C325" s="769" t="s">
        <v>2499</v>
      </c>
      <c r="D325" s="1230"/>
      <c r="E325" s="1231"/>
      <c r="F325" s="1231"/>
      <c r="G325" s="1231"/>
      <c r="H325" s="1231"/>
      <c r="I325" s="1231"/>
      <c r="J325" s="1231"/>
      <c r="K325" s="1232"/>
      <c r="L325" s="969" t="s">
        <v>2233</v>
      </c>
    </row>
    <row r="326" spans="1:12" s="22" customFormat="1" ht="15.5" x14ac:dyDescent="0.35">
      <c r="A326" s="643" t="s">
        <v>2528</v>
      </c>
      <c r="B326" s="768">
        <v>161</v>
      </c>
      <c r="C326" s="769" t="s">
        <v>2499</v>
      </c>
      <c r="D326" s="1230"/>
      <c r="E326" s="1231"/>
      <c r="F326" s="1231"/>
      <c r="G326" s="1231"/>
      <c r="H326" s="1231"/>
      <c r="I326" s="1231"/>
      <c r="J326" s="1231"/>
      <c r="K326" s="1232"/>
      <c r="L326" s="969" t="s">
        <v>2233</v>
      </c>
    </row>
    <row r="327" spans="1:12" s="22" customFormat="1" ht="15.5" x14ac:dyDescent="0.35">
      <c r="A327" s="643" t="s">
        <v>2529</v>
      </c>
      <c r="B327" s="768">
        <v>162</v>
      </c>
      <c r="C327" s="769" t="s">
        <v>2499</v>
      </c>
      <c r="D327" s="1230"/>
      <c r="E327" s="1231"/>
      <c r="F327" s="1231"/>
      <c r="G327" s="1231"/>
      <c r="H327" s="1231"/>
      <c r="I327" s="1231"/>
      <c r="J327" s="1231"/>
      <c r="K327" s="1232"/>
      <c r="L327" s="969" t="s">
        <v>2233</v>
      </c>
    </row>
    <row r="328" spans="1:12" s="22" customFormat="1" ht="15.5" x14ac:dyDescent="0.35">
      <c r="A328" s="643" t="s">
        <v>2530</v>
      </c>
      <c r="B328" s="768">
        <v>101</v>
      </c>
      <c r="C328" s="769" t="s">
        <v>2499</v>
      </c>
      <c r="D328" s="1230"/>
      <c r="E328" s="1231"/>
      <c r="F328" s="1231"/>
      <c r="G328" s="1231"/>
      <c r="H328" s="1231"/>
      <c r="I328" s="1231"/>
      <c r="J328" s="1231"/>
      <c r="K328" s="1232"/>
      <c r="L328" s="969" t="s">
        <v>2233</v>
      </c>
    </row>
    <row r="329" spans="1:12" s="22" customFormat="1" ht="15.5" x14ac:dyDescent="0.35">
      <c r="A329" s="643" t="s">
        <v>2531</v>
      </c>
      <c r="B329" s="768">
        <v>102</v>
      </c>
      <c r="C329" s="769" t="s">
        <v>2499</v>
      </c>
      <c r="D329" s="1230"/>
      <c r="E329" s="1231"/>
      <c r="F329" s="1231"/>
      <c r="G329" s="1231"/>
      <c r="H329" s="1231"/>
      <c r="I329" s="1231"/>
      <c r="J329" s="1231"/>
      <c r="K329" s="1232"/>
      <c r="L329" s="969" t="s">
        <v>2233</v>
      </c>
    </row>
    <row r="330" spans="1:12" s="22" customFormat="1" ht="15.5" x14ac:dyDescent="0.35">
      <c r="A330" s="643" t="s">
        <v>2532</v>
      </c>
      <c r="B330" s="768">
        <v>103</v>
      </c>
      <c r="C330" s="769" t="s">
        <v>2499</v>
      </c>
      <c r="D330" s="1230"/>
      <c r="E330" s="1231"/>
      <c r="F330" s="1231"/>
      <c r="G330" s="1231"/>
      <c r="H330" s="1231"/>
      <c r="I330" s="1231"/>
      <c r="J330" s="1231"/>
      <c r="K330" s="1232"/>
      <c r="L330" s="969" t="s">
        <v>2233</v>
      </c>
    </row>
    <row r="331" spans="1:12" s="22" customFormat="1" ht="15.5" x14ac:dyDescent="0.35">
      <c r="A331" s="643" t="s">
        <v>2533</v>
      </c>
      <c r="B331" s="768">
        <v>104</v>
      </c>
      <c r="C331" s="769" t="s">
        <v>2499</v>
      </c>
      <c r="D331" s="1230"/>
      <c r="E331" s="1231"/>
      <c r="F331" s="1231"/>
      <c r="G331" s="1231"/>
      <c r="H331" s="1231"/>
      <c r="I331" s="1231"/>
      <c r="J331" s="1231"/>
      <c r="K331" s="1232"/>
      <c r="L331" s="969" t="s">
        <v>2233</v>
      </c>
    </row>
    <row r="332" spans="1:12" s="22" customFormat="1" ht="15.5" x14ac:dyDescent="0.35">
      <c r="A332" s="971" t="s">
        <v>2534</v>
      </c>
      <c r="B332" s="768">
        <v>1901</v>
      </c>
      <c r="C332" s="769" t="s">
        <v>2499</v>
      </c>
      <c r="D332" s="966"/>
      <c r="E332" s="967"/>
      <c r="F332" s="967"/>
      <c r="G332" s="967"/>
      <c r="H332" s="967"/>
      <c r="I332" s="967"/>
      <c r="J332" s="967"/>
      <c r="K332" s="968"/>
      <c r="L332" s="969" t="s">
        <v>2233</v>
      </c>
    </row>
    <row r="333" spans="1:12" s="22" customFormat="1" ht="15.5" x14ac:dyDescent="0.35">
      <c r="A333" s="643" t="s">
        <v>2535</v>
      </c>
      <c r="B333" s="768">
        <v>10</v>
      </c>
      <c r="C333" s="769" t="s">
        <v>2536</v>
      </c>
      <c r="D333" s="1230"/>
      <c r="E333" s="1231"/>
      <c r="F333" s="1231"/>
      <c r="G333" s="1231"/>
      <c r="H333" s="1231"/>
      <c r="I333" s="1231"/>
      <c r="J333" s="1231"/>
      <c r="K333" s="1232"/>
      <c r="L333" s="969" t="s">
        <v>2233</v>
      </c>
    </row>
    <row r="334" spans="1:12" s="22" customFormat="1" ht="15.5" x14ac:dyDescent="0.35">
      <c r="A334" s="643" t="s">
        <v>2537</v>
      </c>
      <c r="B334" s="768">
        <v>13</v>
      </c>
      <c r="C334" s="769" t="s">
        <v>2536</v>
      </c>
      <c r="D334" s="1230"/>
      <c r="E334" s="1231"/>
      <c r="F334" s="1231"/>
      <c r="G334" s="1231"/>
      <c r="H334" s="1231"/>
      <c r="I334" s="1231"/>
      <c r="J334" s="1231"/>
      <c r="K334" s="1232"/>
      <c r="L334" s="969" t="s">
        <v>2233</v>
      </c>
    </row>
    <row r="335" spans="1:12" s="22" customFormat="1" ht="15.5" x14ac:dyDescent="0.35">
      <c r="A335" s="643" t="s">
        <v>2538</v>
      </c>
      <c r="B335" s="768">
        <v>15</v>
      </c>
      <c r="C335" s="769" t="s">
        <v>2536</v>
      </c>
      <c r="D335" s="1230"/>
      <c r="E335" s="1231"/>
      <c r="F335" s="1231"/>
      <c r="G335" s="1231"/>
      <c r="H335" s="1231"/>
      <c r="I335" s="1231"/>
      <c r="J335" s="1231"/>
      <c r="K335" s="1232"/>
      <c r="L335" s="969" t="s">
        <v>2233</v>
      </c>
    </row>
    <row r="336" spans="1:12" s="22" customFormat="1" ht="15.5" x14ac:dyDescent="0.35">
      <c r="A336" s="125" t="s">
        <v>2539</v>
      </c>
      <c r="B336" s="768">
        <v>16</v>
      </c>
      <c r="C336" s="769" t="s">
        <v>2536</v>
      </c>
      <c r="D336" s="966"/>
      <c r="E336" s="967"/>
      <c r="F336" s="967"/>
      <c r="G336" s="967"/>
      <c r="H336" s="967"/>
      <c r="I336" s="967"/>
      <c r="J336" s="967"/>
      <c r="K336" s="968"/>
      <c r="L336" s="969" t="s">
        <v>2233</v>
      </c>
    </row>
    <row r="337" spans="1:12" s="22" customFormat="1" ht="15.5" x14ac:dyDescent="0.35">
      <c r="A337" s="125" t="s">
        <v>2540</v>
      </c>
      <c r="B337" s="768">
        <v>17</v>
      </c>
      <c r="C337" s="769" t="s">
        <v>2536</v>
      </c>
      <c r="D337" s="966"/>
      <c r="E337" s="967"/>
      <c r="F337" s="967"/>
      <c r="G337" s="967"/>
      <c r="H337" s="967"/>
      <c r="I337" s="967"/>
      <c r="J337" s="967"/>
      <c r="K337" s="968"/>
      <c r="L337" s="969" t="s">
        <v>2233</v>
      </c>
    </row>
    <row r="338" spans="1:12" s="22" customFormat="1" ht="15.5" x14ac:dyDescent="0.35">
      <c r="A338" s="125" t="s">
        <v>2541</v>
      </c>
      <c r="B338" s="768">
        <v>18</v>
      </c>
      <c r="C338" s="769" t="s">
        <v>2536</v>
      </c>
      <c r="D338" s="966"/>
      <c r="E338" s="967"/>
      <c r="F338" s="967"/>
      <c r="G338" s="967"/>
      <c r="H338" s="967"/>
      <c r="I338" s="967"/>
      <c r="J338" s="967"/>
      <c r="K338" s="968"/>
      <c r="L338" s="969" t="s">
        <v>2233</v>
      </c>
    </row>
    <row r="339" spans="1:12" s="22" customFormat="1" ht="15.5" x14ac:dyDescent="0.35">
      <c r="A339" s="125" t="s">
        <v>2542</v>
      </c>
      <c r="B339" s="768">
        <v>19</v>
      </c>
      <c r="C339" s="769" t="s">
        <v>2536</v>
      </c>
      <c r="D339" s="966"/>
      <c r="E339" s="967"/>
      <c r="F339" s="967"/>
      <c r="G339" s="967"/>
      <c r="H339" s="967"/>
      <c r="I339" s="967"/>
      <c r="J339" s="967"/>
      <c r="K339" s="968"/>
      <c r="L339" s="969" t="s">
        <v>2233</v>
      </c>
    </row>
    <row r="340" spans="1:12" s="22" customFormat="1" ht="15.5" x14ac:dyDescent="0.35">
      <c r="A340" s="643" t="s">
        <v>2543</v>
      </c>
      <c r="B340" s="768">
        <v>22</v>
      </c>
      <c r="C340" s="769" t="s">
        <v>2536</v>
      </c>
      <c r="D340" s="1230"/>
      <c r="E340" s="1231"/>
      <c r="F340" s="1231"/>
      <c r="G340" s="1231"/>
      <c r="H340" s="1231"/>
      <c r="I340" s="1231"/>
      <c r="J340" s="1231"/>
      <c r="K340" s="1232"/>
      <c r="L340" s="969" t="s">
        <v>2233</v>
      </c>
    </row>
    <row r="341" spans="1:12" s="22" customFormat="1" ht="15.5" x14ac:dyDescent="0.35">
      <c r="A341" s="643" t="s">
        <v>2544</v>
      </c>
      <c r="B341" s="768">
        <v>23</v>
      </c>
      <c r="C341" s="769" t="s">
        <v>2536</v>
      </c>
      <c r="D341" s="1230"/>
      <c r="E341" s="1231"/>
      <c r="F341" s="1231"/>
      <c r="G341" s="1231"/>
      <c r="H341" s="1231"/>
      <c r="I341" s="1231"/>
      <c r="J341" s="1231"/>
      <c r="K341" s="1232"/>
      <c r="L341" s="969" t="s">
        <v>2233</v>
      </c>
    </row>
    <row r="342" spans="1:12" s="22" customFormat="1" ht="15.5" x14ac:dyDescent="0.35">
      <c r="A342" s="643" t="s">
        <v>2545</v>
      </c>
      <c r="B342" s="768">
        <v>25</v>
      </c>
      <c r="C342" s="769" t="s">
        <v>2536</v>
      </c>
      <c r="D342" s="1230"/>
      <c r="E342" s="1231"/>
      <c r="F342" s="1231"/>
      <c r="G342" s="1231"/>
      <c r="H342" s="1231"/>
      <c r="I342" s="1231"/>
      <c r="J342" s="1231"/>
      <c r="K342" s="1232"/>
      <c r="L342" s="969" t="s">
        <v>2233</v>
      </c>
    </row>
    <row r="343" spans="1:12" s="22" customFormat="1" ht="15.5" x14ac:dyDescent="0.35">
      <c r="A343" s="643" t="s">
        <v>2546</v>
      </c>
      <c r="B343" s="768">
        <v>26</v>
      </c>
      <c r="C343" s="769" t="s">
        <v>2536</v>
      </c>
      <c r="D343" s="1230"/>
      <c r="E343" s="1231"/>
      <c r="F343" s="1231"/>
      <c r="G343" s="1231"/>
      <c r="H343" s="1231"/>
      <c r="I343" s="1231"/>
      <c r="J343" s="1231"/>
      <c r="K343" s="1232"/>
      <c r="L343" s="969" t="s">
        <v>2233</v>
      </c>
    </row>
    <row r="344" spans="1:12" ht="15.5" x14ac:dyDescent="0.35">
      <c r="A344" s="643" t="s">
        <v>2547</v>
      </c>
      <c r="B344" s="768">
        <v>27</v>
      </c>
      <c r="C344" s="769" t="s">
        <v>2536</v>
      </c>
      <c r="D344" s="1230"/>
      <c r="E344" s="1231"/>
      <c r="F344" s="1231"/>
      <c r="G344" s="1231"/>
      <c r="H344" s="1231"/>
      <c r="I344" s="1231"/>
      <c r="J344" s="1231"/>
      <c r="K344" s="1232"/>
      <c r="L344" s="969" t="s">
        <v>2233</v>
      </c>
    </row>
    <row r="345" spans="1:12" ht="15.5" x14ac:dyDescent="0.35">
      <c r="A345" s="643" t="s">
        <v>2548</v>
      </c>
      <c r="B345" s="768">
        <v>30</v>
      </c>
      <c r="C345" s="769" t="s">
        <v>2536</v>
      </c>
      <c r="D345" s="1230"/>
      <c r="E345" s="1231"/>
      <c r="F345" s="1231"/>
      <c r="G345" s="1231"/>
      <c r="H345" s="1231"/>
      <c r="I345" s="1231"/>
      <c r="J345" s="1231"/>
      <c r="K345" s="1232"/>
      <c r="L345" s="969" t="s">
        <v>2233</v>
      </c>
    </row>
    <row r="346" spans="1:12" ht="15.5" x14ac:dyDescent="0.35">
      <c r="A346" s="971" t="s">
        <v>2549</v>
      </c>
      <c r="B346" s="768">
        <v>301</v>
      </c>
      <c r="C346" s="769" t="s">
        <v>2536</v>
      </c>
      <c r="D346" s="966"/>
      <c r="E346" s="967"/>
      <c r="F346" s="967"/>
      <c r="G346" s="967"/>
      <c r="H346" s="967"/>
      <c r="I346" s="967"/>
      <c r="J346" s="967"/>
      <c r="K346" s="968"/>
      <c r="L346" s="969" t="s">
        <v>2233</v>
      </c>
    </row>
    <row r="347" spans="1:12" ht="15.5" x14ac:dyDescent="0.35">
      <c r="A347" s="643" t="s">
        <v>2550</v>
      </c>
      <c r="B347" s="768">
        <v>32</v>
      </c>
      <c r="C347" s="769" t="s">
        <v>2536</v>
      </c>
      <c r="D347" s="1230"/>
      <c r="E347" s="1231"/>
      <c r="F347" s="1231"/>
      <c r="G347" s="1231"/>
      <c r="H347" s="1231"/>
      <c r="I347" s="1231"/>
      <c r="J347" s="1231"/>
      <c r="K347" s="1232"/>
      <c r="L347" s="969" t="s">
        <v>2233</v>
      </c>
    </row>
    <row r="348" spans="1:12" ht="15.5" x14ac:dyDescent="0.35">
      <c r="A348" s="643" t="s">
        <v>2551</v>
      </c>
      <c r="B348" s="768">
        <v>33</v>
      </c>
      <c r="C348" s="769" t="s">
        <v>2536</v>
      </c>
      <c r="D348" s="1230"/>
      <c r="E348" s="1231"/>
      <c r="F348" s="1231"/>
      <c r="G348" s="1231"/>
      <c r="H348" s="1231"/>
      <c r="I348" s="1231"/>
      <c r="J348" s="1231"/>
      <c r="K348" s="1232"/>
      <c r="L348" s="969" t="s">
        <v>2233</v>
      </c>
    </row>
    <row r="349" spans="1:12" ht="15.5" x14ac:dyDescent="0.35">
      <c r="A349" s="643" t="s">
        <v>2552</v>
      </c>
      <c r="B349" s="768">
        <v>34</v>
      </c>
      <c r="C349" s="769" t="s">
        <v>2536</v>
      </c>
      <c r="D349" s="1230"/>
      <c r="E349" s="1231"/>
      <c r="F349" s="1231"/>
      <c r="G349" s="1231"/>
      <c r="H349" s="1231"/>
      <c r="I349" s="1231"/>
      <c r="J349" s="1231"/>
      <c r="K349" s="1232"/>
      <c r="L349" s="969" t="s">
        <v>2233</v>
      </c>
    </row>
    <row r="350" spans="1:12" ht="15.5" x14ac:dyDescent="0.35">
      <c r="A350" s="643" t="s">
        <v>2553</v>
      </c>
      <c r="B350" s="768">
        <v>35</v>
      </c>
      <c r="C350" s="769" t="s">
        <v>2536</v>
      </c>
      <c r="D350" s="1230"/>
      <c r="E350" s="1231"/>
      <c r="F350" s="1231"/>
      <c r="G350" s="1231"/>
      <c r="H350" s="1231"/>
      <c r="I350" s="1231"/>
      <c r="J350" s="1231"/>
      <c r="K350" s="1232"/>
      <c r="L350" s="969" t="s">
        <v>2233</v>
      </c>
    </row>
    <row r="351" spans="1:12" ht="15.5" x14ac:dyDescent="0.35">
      <c r="A351" s="643" t="s">
        <v>2554</v>
      </c>
      <c r="B351" s="768">
        <v>36</v>
      </c>
      <c r="C351" s="769" t="s">
        <v>2536</v>
      </c>
      <c r="D351" s="1230"/>
      <c r="E351" s="1231"/>
      <c r="F351" s="1231"/>
      <c r="G351" s="1231"/>
      <c r="H351" s="1231"/>
      <c r="I351" s="1231"/>
      <c r="J351" s="1231"/>
      <c r="K351" s="1232"/>
      <c r="L351" s="969" t="s">
        <v>2233</v>
      </c>
    </row>
    <row r="352" spans="1:12" ht="15.5" x14ac:dyDescent="0.35">
      <c r="A352" s="643" t="s">
        <v>2555</v>
      </c>
      <c r="B352" s="768">
        <v>37</v>
      </c>
      <c r="C352" s="769" t="s">
        <v>2536</v>
      </c>
      <c r="D352" s="1230"/>
      <c r="E352" s="1231"/>
      <c r="F352" s="1231"/>
      <c r="G352" s="1231"/>
      <c r="H352" s="1231"/>
      <c r="I352" s="1231"/>
      <c r="J352" s="1231"/>
      <c r="K352" s="1232"/>
      <c r="L352" s="969" t="s">
        <v>2233</v>
      </c>
    </row>
    <row r="353" spans="1:12" ht="15.5" x14ac:dyDescent="0.35">
      <c r="A353" s="643" t="s">
        <v>2556</v>
      </c>
      <c r="B353" s="768">
        <v>40</v>
      </c>
      <c r="C353" s="769" t="s">
        <v>2536</v>
      </c>
      <c r="D353" s="1230"/>
      <c r="E353" s="1231"/>
      <c r="F353" s="1231"/>
      <c r="G353" s="1231"/>
      <c r="H353" s="1231"/>
      <c r="I353" s="1231"/>
      <c r="J353" s="1231"/>
      <c r="K353" s="1232"/>
      <c r="L353" s="969" t="s">
        <v>2233</v>
      </c>
    </row>
    <row r="354" spans="1:12" ht="15.5" x14ac:dyDescent="0.35">
      <c r="A354" s="643" t="s">
        <v>2557</v>
      </c>
      <c r="B354" s="768">
        <v>41</v>
      </c>
      <c r="C354" s="769" t="s">
        <v>2536</v>
      </c>
      <c r="D354" s="1230"/>
      <c r="E354" s="1231"/>
      <c r="F354" s="1231"/>
      <c r="G354" s="1231"/>
      <c r="H354" s="1231"/>
      <c r="I354" s="1231"/>
      <c r="J354" s="1231"/>
      <c r="K354" s="1232"/>
      <c r="L354" s="969" t="s">
        <v>2233</v>
      </c>
    </row>
    <row r="355" spans="1:12" ht="15.5" x14ac:dyDescent="0.35">
      <c r="A355" s="643" t="s">
        <v>2558</v>
      </c>
      <c r="B355" s="768">
        <v>44</v>
      </c>
      <c r="C355" s="769" t="s">
        <v>2536</v>
      </c>
      <c r="D355" s="1230"/>
      <c r="E355" s="1231"/>
      <c r="F355" s="1231"/>
      <c r="G355" s="1231"/>
      <c r="H355" s="1231"/>
      <c r="I355" s="1231"/>
      <c r="J355" s="1231"/>
      <c r="K355" s="1232"/>
      <c r="L355" s="969" t="s">
        <v>2233</v>
      </c>
    </row>
    <row r="356" spans="1:12" ht="15.5" x14ac:dyDescent="0.35">
      <c r="A356" s="643" t="s">
        <v>2559</v>
      </c>
      <c r="B356" s="768">
        <v>45</v>
      </c>
      <c r="C356" s="769" t="s">
        <v>2536</v>
      </c>
      <c r="D356" s="1230"/>
      <c r="E356" s="1231"/>
      <c r="F356" s="1231"/>
      <c r="G356" s="1231"/>
      <c r="H356" s="1231"/>
      <c r="I356" s="1231"/>
      <c r="J356" s="1231"/>
      <c r="K356" s="1232"/>
      <c r="L356" s="969" t="s">
        <v>2233</v>
      </c>
    </row>
    <row r="357" spans="1:12" ht="15.5" x14ac:dyDescent="0.35">
      <c r="A357" s="643" t="s">
        <v>2560</v>
      </c>
      <c r="B357" s="768">
        <v>48</v>
      </c>
      <c r="C357" s="769" t="s">
        <v>2536</v>
      </c>
      <c r="D357" s="1230"/>
      <c r="E357" s="1231"/>
      <c r="F357" s="1231"/>
      <c r="G357" s="1231"/>
      <c r="H357" s="1231"/>
      <c r="I357" s="1231"/>
      <c r="J357" s="1231"/>
      <c r="K357" s="1232"/>
      <c r="L357" s="969" t="s">
        <v>2233</v>
      </c>
    </row>
    <row r="358" spans="1:12" ht="15.5" x14ac:dyDescent="0.35">
      <c r="A358" s="643" t="s">
        <v>2561</v>
      </c>
      <c r="B358" s="768">
        <v>49</v>
      </c>
      <c r="C358" s="769" t="s">
        <v>2536</v>
      </c>
      <c r="D358" s="1230"/>
      <c r="E358" s="1231"/>
      <c r="F358" s="1231"/>
      <c r="G358" s="1231"/>
      <c r="H358" s="1231"/>
      <c r="I358" s="1231"/>
      <c r="J358" s="1231"/>
      <c r="K358" s="1232"/>
      <c r="L358" s="969" t="s">
        <v>2233</v>
      </c>
    </row>
    <row r="359" spans="1:12" ht="15.5" x14ac:dyDescent="0.35">
      <c r="A359" s="643" t="s">
        <v>2562</v>
      </c>
      <c r="B359" s="768">
        <v>50</v>
      </c>
      <c r="C359" s="769" t="s">
        <v>2536</v>
      </c>
      <c r="D359" s="1230"/>
      <c r="E359" s="1231"/>
      <c r="F359" s="1231"/>
      <c r="G359" s="1231"/>
      <c r="H359" s="1231"/>
      <c r="I359" s="1231"/>
      <c r="J359" s="1231"/>
      <c r="K359" s="1232"/>
      <c r="L359" s="969" t="s">
        <v>2233</v>
      </c>
    </row>
    <row r="360" spans="1:12" ht="15.5" x14ac:dyDescent="0.35">
      <c r="A360" s="643" t="s">
        <v>2563</v>
      </c>
      <c r="B360" s="768">
        <v>51</v>
      </c>
      <c r="C360" s="769" t="s">
        <v>2536</v>
      </c>
      <c r="D360" s="1230"/>
      <c r="E360" s="1231"/>
      <c r="F360" s="1231"/>
      <c r="G360" s="1231"/>
      <c r="H360" s="1231"/>
      <c r="I360" s="1231"/>
      <c r="J360" s="1231"/>
      <c r="K360" s="1232"/>
      <c r="L360" s="969" t="s">
        <v>2233</v>
      </c>
    </row>
    <row r="361" spans="1:12" ht="15.5" x14ac:dyDescent="0.35">
      <c r="A361" s="643" t="s">
        <v>2564</v>
      </c>
      <c r="B361" s="768">
        <v>53</v>
      </c>
      <c r="C361" s="769" t="s">
        <v>2536</v>
      </c>
      <c r="D361" s="1230"/>
      <c r="E361" s="1231"/>
      <c r="F361" s="1231"/>
      <c r="G361" s="1231"/>
      <c r="H361" s="1231"/>
      <c r="I361" s="1231"/>
      <c r="J361" s="1231"/>
      <c r="K361" s="1232"/>
      <c r="L361" s="969" t="s">
        <v>2233</v>
      </c>
    </row>
    <row r="362" spans="1:12" ht="15.5" x14ac:dyDescent="0.35">
      <c r="A362" s="643" t="s">
        <v>2565</v>
      </c>
      <c r="B362" s="768">
        <v>54</v>
      </c>
      <c r="C362" s="769" t="s">
        <v>2536</v>
      </c>
      <c r="D362" s="1230"/>
      <c r="E362" s="1231"/>
      <c r="F362" s="1231"/>
      <c r="G362" s="1231"/>
      <c r="H362" s="1231"/>
      <c r="I362" s="1231"/>
      <c r="J362" s="1231"/>
      <c r="K362" s="1232"/>
      <c r="L362" s="969" t="s">
        <v>2233</v>
      </c>
    </row>
    <row r="363" spans="1:12" ht="15.5" x14ac:dyDescent="0.35">
      <c r="A363" s="643" t="s">
        <v>2566</v>
      </c>
      <c r="B363" s="768">
        <v>55</v>
      </c>
      <c r="C363" s="769" t="s">
        <v>2536</v>
      </c>
      <c r="D363" s="1230"/>
      <c r="E363" s="1231"/>
      <c r="F363" s="1231"/>
      <c r="G363" s="1231"/>
      <c r="H363" s="1231"/>
      <c r="I363" s="1231"/>
      <c r="J363" s="1231"/>
      <c r="K363" s="1232"/>
      <c r="L363" s="969" t="s">
        <v>2233</v>
      </c>
    </row>
    <row r="364" spans="1:12" ht="15.5" x14ac:dyDescent="0.35">
      <c r="A364" s="643" t="s">
        <v>2567</v>
      </c>
      <c r="B364" s="768">
        <v>56</v>
      </c>
      <c r="C364" s="769" t="s">
        <v>2536</v>
      </c>
      <c r="D364" s="1230"/>
      <c r="E364" s="1231"/>
      <c r="F364" s="1231"/>
      <c r="G364" s="1231"/>
      <c r="H364" s="1231"/>
      <c r="I364" s="1231"/>
      <c r="J364" s="1231"/>
      <c r="K364" s="1232"/>
      <c r="L364" s="969" t="s">
        <v>2233</v>
      </c>
    </row>
    <row r="365" spans="1:12" ht="15.5" x14ac:dyDescent="0.35">
      <c r="A365" s="643" t="s">
        <v>2568</v>
      </c>
      <c r="B365" s="768">
        <v>8</v>
      </c>
      <c r="C365" s="769" t="s">
        <v>2536</v>
      </c>
      <c r="D365" s="1230"/>
      <c r="E365" s="1231"/>
      <c r="F365" s="1231"/>
      <c r="G365" s="1231"/>
      <c r="H365" s="1231"/>
      <c r="I365" s="1231"/>
      <c r="J365" s="1231"/>
      <c r="K365" s="1232"/>
      <c r="L365" s="969" t="s">
        <v>2233</v>
      </c>
    </row>
    <row r="366" spans="1:12" ht="15.5" x14ac:dyDescent="0.35">
      <c r="A366" s="643" t="s">
        <v>2569</v>
      </c>
      <c r="B366" s="768">
        <v>9</v>
      </c>
      <c r="C366" s="769" t="s">
        <v>2536</v>
      </c>
      <c r="D366" s="1230"/>
      <c r="E366" s="1231"/>
      <c r="F366" s="1231"/>
      <c r="G366" s="1231"/>
      <c r="H366" s="1231"/>
      <c r="I366" s="1231"/>
      <c r="J366" s="1231"/>
      <c r="K366" s="1232"/>
      <c r="L366" s="969" t="s">
        <v>2233</v>
      </c>
    </row>
    <row r="367" spans="1:12" ht="15.5" x14ac:dyDescent="0.35">
      <c r="A367" s="643" t="s">
        <v>2570</v>
      </c>
      <c r="B367" s="768">
        <v>60</v>
      </c>
      <c r="C367" s="769" t="s">
        <v>2536</v>
      </c>
      <c r="D367" s="1230"/>
      <c r="E367" s="1231"/>
      <c r="F367" s="1231"/>
      <c r="G367" s="1231"/>
      <c r="H367" s="1231"/>
      <c r="I367" s="1231"/>
      <c r="J367" s="1231"/>
      <c r="K367" s="1232"/>
      <c r="L367" s="969" t="s">
        <v>2233</v>
      </c>
    </row>
    <row r="368" spans="1:12" ht="15.5" x14ac:dyDescent="0.35">
      <c r="A368" s="971" t="s">
        <v>2571</v>
      </c>
      <c r="B368" s="768">
        <v>601</v>
      </c>
      <c r="C368" s="769" t="s">
        <v>2536</v>
      </c>
      <c r="D368" s="966"/>
      <c r="E368" s="967"/>
      <c r="F368" s="967"/>
      <c r="G368" s="967"/>
      <c r="H368" s="967"/>
      <c r="I368" s="967"/>
      <c r="J368" s="967"/>
      <c r="K368" s="968"/>
      <c r="L368" s="969" t="s">
        <v>2233</v>
      </c>
    </row>
    <row r="369" spans="1:12" ht="15.5" x14ac:dyDescent="0.35">
      <c r="A369" s="643" t="s">
        <v>2572</v>
      </c>
      <c r="B369" s="768">
        <v>61</v>
      </c>
      <c r="C369" s="769" t="s">
        <v>2536</v>
      </c>
      <c r="D369" s="1230"/>
      <c r="E369" s="1231"/>
      <c r="F369" s="1231"/>
      <c r="G369" s="1231"/>
      <c r="H369" s="1231"/>
      <c r="I369" s="1231"/>
      <c r="J369" s="1231"/>
      <c r="K369" s="1232"/>
      <c r="L369" s="969" t="s">
        <v>2233</v>
      </c>
    </row>
    <row r="370" spans="1:12" ht="15.5" x14ac:dyDescent="0.35">
      <c r="A370" s="643" t="s">
        <v>2573</v>
      </c>
      <c r="B370" s="768">
        <v>62</v>
      </c>
      <c r="C370" s="769" t="s">
        <v>2536</v>
      </c>
      <c r="D370" s="1230"/>
      <c r="E370" s="1231"/>
      <c r="F370" s="1231"/>
      <c r="G370" s="1231"/>
      <c r="H370" s="1231"/>
      <c r="I370" s="1231"/>
      <c r="J370" s="1231"/>
      <c r="K370" s="1232"/>
      <c r="L370" s="969" t="s">
        <v>2233</v>
      </c>
    </row>
    <row r="371" spans="1:12" ht="15.5" x14ac:dyDescent="0.35">
      <c r="A371" s="643" t="s">
        <v>2574</v>
      </c>
      <c r="B371" s="768">
        <v>63</v>
      </c>
      <c r="C371" s="769" t="s">
        <v>2536</v>
      </c>
      <c r="D371" s="1230"/>
      <c r="E371" s="1231"/>
      <c r="F371" s="1231"/>
      <c r="G371" s="1231"/>
      <c r="H371" s="1231"/>
      <c r="I371" s="1231"/>
      <c r="J371" s="1231"/>
      <c r="K371" s="1232"/>
      <c r="L371" s="969" t="s">
        <v>2233</v>
      </c>
    </row>
    <row r="372" spans="1:12" ht="15.5" x14ac:dyDescent="0.35">
      <c r="A372" s="643" t="s">
        <v>2575</v>
      </c>
      <c r="B372" s="768">
        <v>65</v>
      </c>
      <c r="C372" s="769" t="s">
        <v>2536</v>
      </c>
      <c r="D372" s="1230"/>
      <c r="E372" s="1231"/>
      <c r="F372" s="1231"/>
      <c r="G372" s="1231"/>
      <c r="H372" s="1231"/>
      <c r="I372" s="1231"/>
      <c r="J372" s="1231"/>
      <c r="K372" s="1232"/>
      <c r="L372" s="969" t="s">
        <v>2233</v>
      </c>
    </row>
    <row r="373" spans="1:12" ht="15.5" x14ac:dyDescent="0.35">
      <c r="A373" s="643" t="s">
        <v>2576</v>
      </c>
      <c r="B373" s="768">
        <v>66</v>
      </c>
      <c r="C373" s="769" t="s">
        <v>2536</v>
      </c>
      <c r="D373" s="1230"/>
      <c r="E373" s="1231"/>
      <c r="F373" s="1231"/>
      <c r="G373" s="1231"/>
      <c r="H373" s="1231"/>
      <c r="I373" s="1231"/>
      <c r="J373" s="1231"/>
      <c r="K373" s="1232"/>
      <c r="L373" s="969" t="s">
        <v>2233</v>
      </c>
    </row>
    <row r="374" spans="1:12" ht="15.5" x14ac:dyDescent="0.35">
      <c r="A374" s="643" t="s">
        <v>2577</v>
      </c>
      <c r="B374" s="768">
        <v>68</v>
      </c>
      <c r="C374" s="769" t="s">
        <v>2536</v>
      </c>
      <c r="D374" s="1230"/>
      <c r="E374" s="1231"/>
      <c r="F374" s="1231"/>
      <c r="G374" s="1231"/>
      <c r="H374" s="1231"/>
      <c r="I374" s="1231"/>
      <c r="J374" s="1231"/>
      <c r="K374" s="1232"/>
      <c r="L374" s="969" t="s">
        <v>2233</v>
      </c>
    </row>
    <row r="375" spans="1:12" ht="15.5" x14ac:dyDescent="0.35">
      <c r="A375" s="643" t="s">
        <v>2578</v>
      </c>
      <c r="B375" s="768">
        <v>70</v>
      </c>
      <c r="C375" s="769" t="s">
        <v>2536</v>
      </c>
      <c r="D375" s="1230"/>
      <c r="E375" s="1231"/>
      <c r="F375" s="1231"/>
      <c r="G375" s="1231"/>
      <c r="H375" s="1231"/>
      <c r="I375" s="1231"/>
      <c r="J375" s="1231"/>
      <c r="K375" s="1232"/>
      <c r="L375" s="969" t="s">
        <v>2233</v>
      </c>
    </row>
    <row r="376" spans="1:12" ht="15.5" x14ac:dyDescent="0.35">
      <c r="A376" s="643" t="s">
        <v>2579</v>
      </c>
      <c r="B376" s="768">
        <v>71</v>
      </c>
      <c r="C376" s="769" t="s">
        <v>2536</v>
      </c>
      <c r="D376" s="1230"/>
      <c r="E376" s="1231"/>
      <c r="F376" s="1231"/>
      <c r="G376" s="1231"/>
      <c r="H376" s="1231"/>
      <c r="I376" s="1231"/>
      <c r="J376" s="1231"/>
      <c r="K376" s="1232"/>
      <c r="L376" s="969" t="s">
        <v>2233</v>
      </c>
    </row>
    <row r="377" spans="1:12" ht="15.5" x14ac:dyDescent="0.35">
      <c r="A377" s="643" t="s">
        <v>2580</v>
      </c>
      <c r="B377" s="768">
        <v>72</v>
      </c>
      <c r="C377" s="769" t="s">
        <v>2536</v>
      </c>
      <c r="D377" s="1230"/>
      <c r="E377" s="1231"/>
      <c r="F377" s="1231"/>
      <c r="G377" s="1231"/>
      <c r="H377" s="1231"/>
      <c r="I377" s="1231"/>
      <c r="J377" s="1231"/>
      <c r="K377" s="1232"/>
      <c r="L377" s="969" t="s">
        <v>2233</v>
      </c>
    </row>
    <row r="378" spans="1:12" ht="15.5" x14ac:dyDescent="0.35">
      <c r="A378" s="643" t="s">
        <v>2581</v>
      </c>
      <c r="B378" s="768">
        <v>73</v>
      </c>
      <c r="C378" s="769" t="s">
        <v>2536</v>
      </c>
      <c r="D378" s="1230"/>
      <c r="E378" s="1231"/>
      <c r="F378" s="1231"/>
      <c r="G378" s="1231"/>
      <c r="H378" s="1231"/>
      <c r="I378" s="1231"/>
      <c r="J378" s="1231"/>
      <c r="K378" s="1232"/>
      <c r="L378" s="969" t="s">
        <v>2233</v>
      </c>
    </row>
    <row r="379" spans="1:12" ht="15.5" x14ac:dyDescent="0.35">
      <c r="A379" s="643" t="s">
        <v>2582</v>
      </c>
      <c r="B379" s="768">
        <v>74</v>
      </c>
      <c r="C379" s="769" t="s">
        <v>2536</v>
      </c>
      <c r="D379" s="1230"/>
      <c r="E379" s="1231"/>
      <c r="F379" s="1231"/>
      <c r="G379" s="1231"/>
      <c r="H379" s="1231"/>
      <c r="I379" s="1231"/>
      <c r="J379" s="1231"/>
      <c r="K379" s="1232"/>
      <c r="L379" s="969" t="s">
        <v>2233</v>
      </c>
    </row>
    <row r="380" spans="1:12" ht="15.5" x14ac:dyDescent="0.35">
      <c r="A380" s="643" t="s">
        <v>2583</v>
      </c>
      <c r="B380" s="768">
        <v>76</v>
      </c>
      <c r="C380" s="769" t="s">
        <v>2536</v>
      </c>
      <c r="D380" s="1230"/>
      <c r="E380" s="1231"/>
      <c r="F380" s="1231"/>
      <c r="G380" s="1231"/>
      <c r="H380" s="1231"/>
      <c r="I380" s="1231"/>
      <c r="J380" s="1231"/>
      <c r="K380" s="1232"/>
      <c r="L380" s="969" t="s">
        <v>2233</v>
      </c>
    </row>
    <row r="381" spans="1:12" ht="15.5" x14ac:dyDescent="0.35">
      <c r="A381" s="643" t="s">
        <v>2584</v>
      </c>
      <c r="B381" s="768">
        <v>77</v>
      </c>
      <c r="C381" s="769" t="s">
        <v>2536</v>
      </c>
      <c r="D381" s="1230"/>
      <c r="E381" s="1231"/>
      <c r="F381" s="1231"/>
      <c r="G381" s="1231"/>
      <c r="H381" s="1231"/>
      <c r="I381" s="1231"/>
      <c r="J381" s="1231"/>
      <c r="K381" s="1232"/>
      <c r="L381" s="969" t="s">
        <v>2233</v>
      </c>
    </row>
    <row r="382" spans="1:12" ht="15.5" x14ac:dyDescent="0.35">
      <c r="A382" s="643" t="s">
        <v>2585</v>
      </c>
      <c r="B382" s="768">
        <v>78</v>
      </c>
      <c r="C382" s="769" t="s">
        <v>2536</v>
      </c>
      <c r="D382" s="1230"/>
      <c r="E382" s="1231"/>
      <c r="F382" s="1231"/>
      <c r="G382" s="1231"/>
      <c r="H382" s="1231"/>
      <c r="I382" s="1231"/>
      <c r="J382" s="1231"/>
      <c r="K382" s="1232"/>
      <c r="L382" s="969" t="s">
        <v>2233</v>
      </c>
    </row>
    <row r="383" spans="1:12" ht="15.5" x14ac:dyDescent="0.35">
      <c r="A383" s="643" t="s">
        <v>2586</v>
      </c>
      <c r="B383" s="768">
        <v>79</v>
      </c>
      <c r="C383" s="769" t="s">
        <v>2536</v>
      </c>
      <c r="D383" s="1230"/>
      <c r="E383" s="1231"/>
      <c r="F383" s="1231"/>
      <c r="G383" s="1231"/>
      <c r="H383" s="1231"/>
      <c r="I383" s="1231"/>
      <c r="J383" s="1231"/>
      <c r="K383" s="1232"/>
      <c r="L383" s="969" t="s">
        <v>2233</v>
      </c>
    </row>
    <row r="384" spans="1:12" ht="15.5" x14ac:dyDescent="0.35">
      <c r="A384" s="643" t="s">
        <v>2587</v>
      </c>
      <c r="B384" s="768">
        <v>80</v>
      </c>
      <c r="C384" s="769" t="s">
        <v>2536</v>
      </c>
      <c r="D384" s="1230"/>
      <c r="E384" s="1231"/>
      <c r="F384" s="1231"/>
      <c r="G384" s="1231"/>
      <c r="H384" s="1231"/>
      <c r="I384" s="1231"/>
      <c r="J384" s="1231"/>
      <c r="K384" s="1232"/>
      <c r="L384" s="969" t="s">
        <v>2233</v>
      </c>
    </row>
    <row r="385" spans="1:12" ht="15.5" x14ac:dyDescent="0.35">
      <c r="A385" s="643" t="s">
        <v>2588</v>
      </c>
      <c r="B385" s="768">
        <v>81</v>
      </c>
      <c r="C385" s="769" t="s">
        <v>2536</v>
      </c>
      <c r="D385" s="1230"/>
      <c r="E385" s="1231"/>
      <c r="F385" s="1231"/>
      <c r="G385" s="1231"/>
      <c r="H385" s="1231"/>
      <c r="I385" s="1231"/>
      <c r="J385" s="1231"/>
      <c r="K385" s="1232"/>
      <c r="L385" s="969" t="s">
        <v>2233</v>
      </c>
    </row>
    <row r="386" spans="1:12" ht="15.5" x14ac:dyDescent="0.35">
      <c r="A386" s="643" t="s">
        <v>2589</v>
      </c>
      <c r="B386" s="768">
        <v>82</v>
      </c>
      <c r="C386" s="769" t="s">
        <v>2536</v>
      </c>
      <c r="D386" s="1230"/>
      <c r="E386" s="1231"/>
      <c r="F386" s="1231"/>
      <c r="G386" s="1231"/>
      <c r="H386" s="1231"/>
      <c r="I386" s="1231"/>
      <c r="J386" s="1231"/>
      <c r="K386" s="1232"/>
      <c r="L386" s="969" t="s">
        <v>2233</v>
      </c>
    </row>
    <row r="387" spans="1:12" ht="15.5" x14ac:dyDescent="0.35">
      <c r="A387" s="643" t="s">
        <v>2590</v>
      </c>
      <c r="B387" s="768">
        <v>83</v>
      </c>
      <c r="C387" s="769" t="s">
        <v>2536</v>
      </c>
      <c r="D387" s="1230"/>
      <c r="E387" s="1231"/>
      <c r="F387" s="1231"/>
      <c r="G387" s="1231"/>
      <c r="H387" s="1231"/>
      <c r="I387" s="1231"/>
      <c r="J387" s="1231"/>
      <c r="K387" s="1232"/>
      <c r="L387" s="969" t="s">
        <v>2233</v>
      </c>
    </row>
    <row r="388" spans="1:12" ht="15.5" x14ac:dyDescent="0.35">
      <c r="A388" s="643" t="s">
        <v>2591</v>
      </c>
      <c r="B388" s="768">
        <v>84</v>
      </c>
      <c r="C388" s="769" t="s">
        <v>2536</v>
      </c>
      <c r="D388" s="1230"/>
      <c r="E388" s="1231"/>
      <c r="F388" s="1231"/>
      <c r="G388" s="1231"/>
      <c r="H388" s="1231"/>
      <c r="I388" s="1231"/>
      <c r="J388" s="1231"/>
      <c r="K388" s="1232"/>
      <c r="L388" s="969" t="s">
        <v>2233</v>
      </c>
    </row>
    <row r="389" spans="1:12" ht="15.5" x14ac:dyDescent="0.35">
      <c r="A389" s="643" t="s">
        <v>2592</v>
      </c>
      <c r="B389" s="768">
        <v>85</v>
      </c>
      <c r="C389" s="769" t="s">
        <v>2536</v>
      </c>
      <c r="D389" s="1230"/>
      <c r="E389" s="1231"/>
      <c r="F389" s="1231"/>
      <c r="G389" s="1231"/>
      <c r="H389" s="1231"/>
      <c r="I389" s="1231"/>
      <c r="J389" s="1231"/>
      <c r="K389" s="1232"/>
      <c r="L389" s="969" t="s">
        <v>2233</v>
      </c>
    </row>
    <row r="390" spans="1:12" ht="15.5" x14ac:dyDescent="0.35">
      <c r="A390" s="643" t="s">
        <v>2593</v>
      </c>
      <c r="B390" s="768">
        <v>86</v>
      </c>
      <c r="C390" s="769" t="s">
        <v>2536</v>
      </c>
      <c r="D390" s="1230"/>
      <c r="E390" s="1231"/>
      <c r="F390" s="1231"/>
      <c r="G390" s="1231"/>
      <c r="H390" s="1231"/>
      <c r="I390" s="1231"/>
      <c r="J390" s="1231"/>
      <c r="K390" s="1232"/>
      <c r="L390" s="969" t="s">
        <v>2233</v>
      </c>
    </row>
    <row r="391" spans="1:12" ht="15.5" x14ac:dyDescent="0.35">
      <c r="A391" s="643" t="s">
        <v>2594</v>
      </c>
      <c r="B391" s="768">
        <v>87</v>
      </c>
      <c r="C391" s="769" t="s">
        <v>2536</v>
      </c>
      <c r="D391" s="1230"/>
      <c r="E391" s="1231"/>
      <c r="F391" s="1231"/>
      <c r="G391" s="1231"/>
      <c r="H391" s="1231"/>
      <c r="I391" s="1231"/>
      <c r="J391" s="1231"/>
      <c r="K391" s="1232"/>
      <c r="L391" s="969" t="s">
        <v>2233</v>
      </c>
    </row>
    <row r="392" spans="1:12" ht="15.5" x14ac:dyDescent="0.35">
      <c r="A392" s="643" t="s">
        <v>2595</v>
      </c>
      <c r="B392" s="768">
        <v>89</v>
      </c>
      <c r="C392" s="769" t="s">
        <v>2536</v>
      </c>
      <c r="D392" s="1230"/>
      <c r="E392" s="1231"/>
      <c r="F392" s="1231"/>
      <c r="G392" s="1231"/>
      <c r="H392" s="1231"/>
      <c r="I392" s="1231"/>
      <c r="J392" s="1231"/>
      <c r="K392" s="1232"/>
      <c r="L392" s="969" t="s">
        <v>2233</v>
      </c>
    </row>
    <row r="393" spans="1:12" ht="15.5" x14ac:dyDescent="0.35">
      <c r="A393" s="643" t="s">
        <v>2596</v>
      </c>
      <c r="B393" s="768">
        <v>91</v>
      </c>
      <c r="C393" s="769" t="s">
        <v>2536</v>
      </c>
      <c r="D393" s="1230"/>
      <c r="E393" s="1231"/>
      <c r="F393" s="1231"/>
      <c r="G393" s="1231"/>
      <c r="H393" s="1231"/>
      <c r="I393" s="1231"/>
      <c r="J393" s="1231"/>
      <c r="K393" s="1232"/>
      <c r="L393" s="969" t="s">
        <v>2233</v>
      </c>
    </row>
    <row r="394" spans="1:12" ht="15.5" x14ac:dyDescent="0.35">
      <c r="A394" s="643" t="s">
        <v>2597</v>
      </c>
      <c r="B394" s="768">
        <v>92</v>
      </c>
      <c r="C394" s="769" t="s">
        <v>2536</v>
      </c>
      <c r="D394" s="1230"/>
      <c r="E394" s="1231"/>
      <c r="F394" s="1231"/>
      <c r="G394" s="1231"/>
      <c r="H394" s="1231"/>
      <c r="I394" s="1231"/>
      <c r="J394" s="1231"/>
      <c r="K394" s="1232"/>
      <c r="L394" s="969" t="s">
        <v>2233</v>
      </c>
    </row>
    <row r="395" spans="1:12" ht="15.5" x14ac:dyDescent="0.35">
      <c r="A395" s="643" t="s">
        <v>2598</v>
      </c>
      <c r="B395" s="768">
        <v>90</v>
      </c>
      <c r="C395" s="769" t="s">
        <v>2536</v>
      </c>
      <c r="D395" s="1230"/>
      <c r="E395" s="1231"/>
      <c r="F395" s="1231"/>
      <c r="G395" s="1231"/>
      <c r="H395" s="1231"/>
      <c r="I395" s="1231"/>
      <c r="J395" s="1231"/>
      <c r="K395" s="1232"/>
      <c r="L395" s="969" t="s">
        <v>2233</v>
      </c>
    </row>
    <row r="396" spans="1:12" ht="15.5" x14ac:dyDescent="0.35">
      <c r="A396" s="971" t="s">
        <v>2599</v>
      </c>
      <c r="B396" s="768">
        <v>1901</v>
      </c>
      <c r="C396" s="769" t="s">
        <v>2536</v>
      </c>
      <c r="D396" s="966"/>
      <c r="E396" s="967"/>
      <c r="F396" s="967"/>
      <c r="G396" s="967"/>
      <c r="H396" s="967"/>
      <c r="I396" s="967"/>
      <c r="J396" s="967"/>
      <c r="K396" s="968"/>
      <c r="L396" s="969" t="s">
        <v>2233</v>
      </c>
    </row>
    <row r="397" spans="1:12" ht="15.5" x14ac:dyDescent="0.35">
      <c r="A397" s="643" t="s">
        <v>2600</v>
      </c>
      <c r="B397" s="768">
        <v>93</v>
      </c>
      <c r="C397" s="769" t="s">
        <v>2536</v>
      </c>
      <c r="D397" s="1230"/>
      <c r="E397" s="1231"/>
      <c r="F397" s="1231"/>
      <c r="G397" s="1231"/>
      <c r="H397" s="1231"/>
      <c r="I397" s="1231"/>
      <c r="J397" s="1231"/>
      <c r="K397" s="1232"/>
      <c r="L397" s="969" t="s">
        <v>2233</v>
      </c>
    </row>
    <row r="398" spans="1:12" ht="15.5" x14ac:dyDescent="0.35">
      <c r="A398" s="643" t="s">
        <v>2601</v>
      </c>
      <c r="B398" s="768">
        <v>94</v>
      </c>
      <c r="C398" s="769" t="s">
        <v>2536</v>
      </c>
      <c r="D398" s="1230"/>
      <c r="E398" s="1231"/>
      <c r="F398" s="1231"/>
      <c r="G398" s="1231"/>
      <c r="H398" s="1231"/>
      <c r="I398" s="1231"/>
      <c r="J398" s="1231"/>
      <c r="K398" s="1232"/>
      <c r="L398" s="969" t="s">
        <v>2233</v>
      </c>
    </row>
    <row r="399" spans="1:12" ht="15.5" x14ac:dyDescent="0.35">
      <c r="A399" s="643" t="s">
        <v>2602</v>
      </c>
      <c r="B399" s="768">
        <v>95</v>
      </c>
      <c r="C399" s="769" t="s">
        <v>2536</v>
      </c>
      <c r="D399" s="1230"/>
      <c r="E399" s="1231"/>
      <c r="F399" s="1231"/>
      <c r="G399" s="1231"/>
      <c r="H399" s="1231"/>
      <c r="I399" s="1231"/>
      <c r="J399" s="1231"/>
      <c r="K399" s="1232"/>
      <c r="L399" s="969" t="s">
        <v>2233</v>
      </c>
    </row>
    <row r="400" spans="1:12" ht="15.5" x14ac:dyDescent="0.35">
      <c r="A400" s="643" t="s">
        <v>2603</v>
      </c>
      <c r="B400" s="768">
        <v>96</v>
      </c>
      <c r="C400" s="769" t="s">
        <v>2536</v>
      </c>
      <c r="D400" s="1230"/>
      <c r="E400" s="1231"/>
      <c r="F400" s="1231"/>
      <c r="G400" s="1231"/>
      <c r="H400" s="1231"/>
      <c r="I400" s="1231"/>
      <c r="J400" s="1231"/>
      <c r="K400" s="1232"/>
      <c r="L400" s="969" t="s">
        <v>2233</v>
      </c>
    </row>
    <row r="401" spans="1:12" ht="15.5" x14ac:dyDescent="0.35">
      <c r="A401" s="643" t="s">
        <v>2604</v>
      </c>
      <c r="B401" s="768">
        <v>98</v>
      </c>
      <c r="C401" s="769" t="s">
        <v>2536</v>
      </c>
      <c r="D401" s="1230"/>
      <c r="E401" s="1231"/>
      <c r="F401" s="1231"/>
      <c r="G401" s="1231"/>
      <c r="H401" s="1231"/>
      <c r="I401" s="1231"/>
      <c r="J401" s="1231"/>
      <c r="K401" s="1232"/>
      <c r="L401" s="969" t="s">
        <v>2233</v>
      </c>
    </row>
    <row r="402" spans="1:12" ht="15.5" x14ac:dyDescent="0.35">
      <c r="A402" s="643" t="s">
        <v>2605</v>
      </c>
      <c r="B402" s="768">
        <v>99</v>
      </c>
      <c r="C402" s="769" t="s">
        <v>2536</v>
      </c>
      <c r="D402" s="966"/>
      <c r="E402" s="967"/>
      <c r="F402" s="967"/>
      <c r="G402" s="967"/>
      <c r="H402" s="967"/>
      <c r="I402" s="967"/>
      <c r="J402" s="967"/>
      <c r="K402" s="968"/>
      <c r="L402" s="969" t="s">
        <v>2233</v>
      </c>
    </row>
    <row r="403" spans="1:12" ht="15.5" x14ac:dyDescent="0.35">
      <c r="A403" s="643" t="s">
        <v>2606</v>
      </c>
      <c r="B403" s="768">
        <v>10</v>
      </c>
      <c r="C403" s="769" t="s">
        <v>2607</v>
      </c>
      <c r="D403" s="1230"/>
      <c r="E403" s="1231"/>
      <c r="F403" s="1231"/>
      <c r="G403" s="1231"/>
      <c r="H403" s="1231"/>
      <c r="I403" s="1231"/>
      <c r="J403" s="1231"/>
      <c r="K403" s="1232"/>
      <c r="L403" s="767" t="s">
        <v>2233</v>
      </c>
    </row>
    <row r="404" spans="1:12" ht="15.5" x14ac:dyDescent="0.35">
      <c r="A404" s="643" t="s">
        <v>2608</v>
      </c>
      <c r="B404" s="768">
        <v>20</v>
      </c>
      <c r="C404" s="769" t="s">
        <v>2607</v>
      </c>
      <c r="D404" s="1230"/>
      <c r="E404" s="1231"/>
      <c r="F404" s="1231"/>
      <c r="G404" s="1231"/>
      <c r="H404" s="1231"/>
      <c r="I404" s="1231"/>
      <c r="J404" s="1231"/>
      <c r="K404" s="1232"/>
      <c r="L404" s="767" t="s">
        <v>2233</v>
      </c>
    </row>
    <row r="405" spans="1:12" ht="15.5" x14ac:dyDescent="0.35">
      <c r="A405" s="643" t="s">
        <v>2609</v>
      </c>
      <c r="B405" s="768">
        <v>31</v>
      </c>
      <c r="C405" s="769" t="s">
        <v>2607</v>
      </c>
      <c r="D405" s="1230"/>
      <c r="E405" s="1231"/>
      <c r="F405" s="1231"/>
      <c r="G405" s="1231"/>
      <c r="H405" s="1231"/>
      <c r="I405" s="1231"/>
      <c r="J405" s="1231"/>
      <c r="K405" s="1232"/>
      <c r="L405" s="767" t="s">
        <v>2233</v>
      </c>
    </row>
    <row r="406" spans="1:12" ht="15.5" x14ac:dyDescent="0.35">
      <c r="A406" s="643" t="s">
        <v>2610</v>
      </c>
      <c r="B406" s="768">
        <v>38</v>
      </c>
      <c r="C406" s="769" t="s">
        <v>2607</v>
      </c>
      <c r="D406" s="1230"/>
      <c r="E406" s="1231"/>
      <c r="F406" s="1231"/>
      <c r="G406" s="1231"/>
      <c r="H406" s="1231"/>
      <c r="I406" s="1231"/>
      <c r="J406" s="1231"/>
      <c r="K406" s="1232"/>
      <c r="L406" s="767" t="s">
        <v>2233</v>
      </c>
    </row>
    <row r="407" spans="1:12" ht="15.5" x14ac:dyDescent="0.35">
      <c r="A407" s="643" t="s">
        <v>2611</v>
      </c>
      <c r="B407" s="768">
        <v>80</v>
      </c>
      <c r="C407" s="769" t="s">
        <v>2607</v>
      </c>
      <c r="D407" s="1230"/>
      <c r="E407" s="1231"/>
      <c r="F407" s="1231"/>
      <c r="G407" s="1231"/>
      <c r="H407" s="1231"/>
      <c r="I407" s="1231"/>
      <c r="J407" s="1231"/>
      <c r="K407" s="1232"/>
      <c r="L407" s="767" t="s">
        <v>2233</v>
      </c>
    </row>
    <row r="408" spans="1:12" ht="15.5" x14ac:dyDescent="0.35">
      <c r="A408" s="643" t="s">
        <v>2612</v>
      </c>
      <c r="B408" s="768">
        <v>81</v>
      </c>
      <c r="C408" s="769" t="s">
        <v>2607</v>
      </c>
      <c r="D408" s="1230"/>
      <c r="E408" s="1231"/>
      <c r="F408" s="1231"/>
      <c r="G408" s="1231"/>
      <c r="H408" s="1231"/>
      <c r="I408" s="1231"/>
      <c r="J408" s="1231"/>
      <c r="K408" s="1232"/>
      <c r="L408" s="767" t="s">
        <v>2233</v>
      </c>
    </row>
    <row r="409" spans="1:12" ht="15.5" x14ac:dyDescent="0.35">
      <c r="A409" s="643" t="s">
        <v>2613</v>
      </c>
      <c r="B409" s="768">
        <v>82</v>
      </c>
      <c r="C409" s="769" t="s">
        <v>2607</v>
      </c>
      <c r="D409" s="1230"/>
      <c r="E409" s="1231"/>
      <c r="F409" s="1231"/>
      <c r="G409" s="1231"/>
      <c r="H409" s="1231"/>
      <c r="I409" s="1231"/>
      <c r="J409" s="1231"/>
      <c r="K409" s="1232"/>
      <c r="L409" s="767" t="s">
        <v>2233</v>
      </c>
    </row>
    <row r="410" spans="1:12" ht="15.5" x14ac:dyDescent="0.35">
      <c r="A410" s="643" t="s">
        <v>2614</v>
      </c>
      <c r="B410" s="768">
        <v>83</v>
      </c>
      <c r="C410" s="769" t="s">
        <v>2607</v>
      </c>
      <c r="D410" s="1230"/>
      <c r="E410" s="1231"/>
      <c r="F410" s="1231"/>
      <c r="G410" s="1231"/>
      <c r="H410" s="1231"/>
      <c r="I410" s="1231"/>
      <c r="J410" s="1231"/>
      <c r="K410" s="1232"/>
      <c r="L410" s="767" t="s">
        <v>2233</v>
      </c>
    </row>
    <row r="411" spans="1:12" ht="15.5" x14ac:dyDescent="0.35">
      <c r="A411" s="643" t="s">
        <v>2615</v>
      </c>
      <c r="B411" s="768">
        <v>84</v>
      </c>
      <c r="C411" s="769" t="s">
        <v>2607</v>
      </c>
      <c r="D411" s="1230"/>
      <c r="E411" s="1231"/>
      <c r="F411" s="1231"/>
      <c r="G411" s="1231"/>
      <c r="H411" s="1231"/>
      <c r="I411" s="1231"/>
      <c r="J411" s="1231"/>
      <c r="K411" s="1232"/>
      <c r="L411" s="767" t="s">
        <v>2233</v>
      </c>
    </row>
    <row r="412" spans="1:12" ht="15.5" x14ac:dyDescent="0.35">
      <c r="A412" s="643" t="s">
        <v>2616</v>
      </c>
      <c r="B412" s="768">
        <v>85</v>
      </c>
      <c r="C412" s="769" t="s">
        <v>2607</v>
      </c>
      <c r="D412" s="1230"/>
      <c r="E412" s="1231"/>
      <c r="F412" s="1231"/>
      <c r="G412" s="1231"/>
      <c r="H412" s="1231"/>
      <c r="I412" s="1231"/>
      <c r="J412" s="1231"/>
      <c r="K412" s="1232"/>
      <c r="L412" s="767" t="s">
        <v>2233</v>
      </c>
    </row>
    <row r="413" spans="1:12" ht="15.5" x14ac:dyDescent="0.35">
      <c r="A413" s="643" t="s">
        <v>2617</v>
      </c>
      <c r="B413" s="768">
        <v>86</v>
      </c>
      <c r="C413" s="769" t="s">
        <v>2607</v>
      </c>
      <c r="D413" s="1230"/>
      <c r="E413" s="1231"/>
      <c r="F413" s="1231"/>
      <c r="G413" s="1231"/>
      <c r="H413" s="1231"/>
      <c r="I413" s="1231"/>
      <c r="J413" s="1231"/>
      <c r="K413" s="1232"/>
      <c r="L413" s="767" t="s">
        <v>2233</v>
      </c>
    </row>
    <row r="414" spans="1:12" ht="15.5" x14ac:dyDescent="0.35">
      <c r="A414" s="643" t="s">
        <v>2618</v>
      </c>
      <c r="B414" s="768">
        <v>87</v>
      </c>
      <c r="C414" s="769" t="s">
        <v>2607</v>
      </c>
      <c r="D414" s="1230"/>
      <c r="E414" s="1231"/>
      <c r="F414" s="1231"/>
      <c r="G414" s="1231"/>
      <c r="H414" s="1231"/>
      <c r="I414" s="1231"/>
      <c r="J414" s="1231"/>
      <c r="K414" s="1232"/>
      <c r="L414" s="767" t="s">
        <v>2233</v>
      </c>
    </row>
    <row r="415" spans="1:12" ht="15.5" x14ac:dyDescent="0.35">
      <c r="A415" s="643" t="s">
        <v>2619</v>
      </c>
      <c r="B415" s="768">
        <v>88</v>
      </c>
      <c r="C415" s="769" t="s">
        <v>2607</v>
      </c>
      <c r="D415" s="1230"/>
      <c r="E415" s="1231"/>
      <c r="F415" s="1231"/>
      <c r="G415" s="1231"/>
      <c r="H415" s="1231"/>
      <c r="I415" s="1231"/>
      <c r="J415" s="1231"/>
      <c r="K415" s="1232"/>
      <c r="L415" s="767" t="s">
        <v>2233</v>
      </c>
    </row>
    <row r="416" spans="1:12" ht="15.5" x14ac:dyDescent="0.35">
      <c r="A416" s="643" t="s">
        <v>2620</v>
      </c>
      <c r="B416" s="768">
        <v>89</v>
      </c>
      <c r="C416" s="769" t="s">
        <v>2607</v>
      </c>
      <c r="D416" s="1230"/>
      <c r="E416" s="1231"/>
      <c r="F416" s="1231"/>
      <c r="G416" s="1231"/>
      <c r="H416" s="1231"/>
      <c r="I416" s="1231"/>
      <c r="J416" s="1231"/>
      <c r="K416" s="1232"/>
      <c r="L416" s="767" t="s">
        <v>2233</v>
      </c>
    </row>
    <row r="417" spans="1:12" ht="15.5" x14ac:dyDescent="0.35">
      <c r="A417" s="643" t="s">
        <v>2621</v>
      </c>
      <c r="B417" s="768">
        <v>51</v>
      </c>
      <c r="C417" s="769" t="s">
        <v>2607</v>
      </c>
      <c r="D417" s="1230"/>
      <c r="E417" s="1231"/>
      <c r="F417" s="1231"/>
      <c r="G417" s="1231"/>
      <c r="H417" s="1231"/>
      <c r="I417" s="1231"/>
      <c r="J417" s="1231"/>
      <c r="K417" s="1232"/>
      <c r="L417" s="767" t="s">
        <v>2233</v>
      </c>
    </row>
    <row r="418" spans="1:12" ht="15.5" x14ac:dyDescent="0.35">
      <c r="A418" s="643" t="s">
        <v>2622</v>
      </c>
      <c r="B418" s="768">
        <v>52</v>
      </c>
      <c r="C418" s="769" t="s">
        <v>2607</v>
      </c>
      <c r="D418" s="1230"/>
      <c r="E418" s="1231"/>
      <c r="F418" s="1231"/>
      <c r="G418" s="1231"/>
      <c r="H418" s="1231"/>
      <c r="I418" s="1231"/>
      <c r="J418" s="1231"/>
      <c r="K418" s="1232"/>
      <c r="L418" s="767" t="s">
        <v>2233</v>
      </c>
    </row>
    <row r="419" spans="1:12" ht="15.5" x14ac:dyDescent="0.35">
      <c r="A419" s="643" t="s">
        <v>2623</v>
      </c>
      <c r="B419" s="768">
        <v>53</v>
      </c>
      <c r="C419" s="769" t="s">
        <v>2607</v>
      </c>
      <c r="D419" s="1230"/>
      <c r="E419" s="1231"/>
      <c r="F419" s="1231"/>
      <c r="G419" s="1231"/>
      <c r="H419" s="1231"/>
      <c r="I419" s="1231"/>
      <c r="J419" s="1231"/>
      <c r="K419" s="1232"/>
      <c r="L419" s="767" t="s">
        <v>2233</v>
      </c>
    </row>
    <row r="420" spans="1:12" ht="15.5" x14ac:dyDescent="0.35">
      <c r="A420" s="643" t="s">
        <v>2624</v>
      </c>
      <c r="B420" s="768">
        <v>57</v>
      </c>
      <c r="C420" s="769" t="s">
        <v>2607</v>
      </c>
      <c r="D420" s="1230"/>
      <c r="E420" s="1231"/>
      <c r="F420" s="1231"/>
      <c r="G420" s="1231"/>
      <c r="H420" s="1231"/>
      <c r="I420" s="1231"/>
      <c r="J420" s="1231"/>
      <c r="K420" s="1232"/>
      <c r="L420" s="767" t="s">
        <v>2233</v>
      </c>
    </row>
    <row r="421" spans="1:12" ht="15.5" x14ac:dyDescent="0.35">
      <c r="A421" s="643" t="s">
        <v>2625</v>
      </c>
      <c r="B421" s="768">
        <v>60</v>
      </c>
      <c r="C421" s="769" t="s">
        <v>2607</v>
      </c>
      <c r="D421" s="1230"/>
      <c r="E421" s="1231"/>
      <c r="F421" s="1231"/>
      <c r="G421" s="1231"/>
      <c r="H421" s="1231"/>
      <c r="I421" s="1231"/>
      <c r="J421" s="1231"/>
      <c r="K421" s="1232"/>
      <c r="L421" s="767" t="s">
        <v>2233</v>
      </c>
    </row>
    <row r="422" spans="1:12" ht="15.5" x14ac:dyDescent="0.35">
      <c r="A422" s="643" t="s">
        <v>2626</v>
      </c>
      <c r="B422" s="768">
        <v>75</v>
      </c>
      <c r="C422" s="769" t="s">
        <v>2607</v>
      </c>
      <c r="D422" s="1230"/>
      <c r="E422" s="1231"/>
      <c r="F422" s="1231"/>
      <c r="G422" s="1231"/>
      <c r="H422" s="1231"/>
      <c r="I422" s="1231"/>
      <c r="J422" s="1231"/>
      <c r="K422" s="1232"/>
      <c r="L422" s="767" t="s">
        <v>2233</v>
      </c>
    </row>
    <row r="423" spans="1:12" ht="15.5" x14ac:dyDescent="0.35">
      <c r="A423" s="643" t="s">
        <v>2627</v>
      </c>
      <c r="B423" s="768">
        <v>78</v>
      </c>
      <c r="C423" s="769" t="s">
        <v>2607</v>
      </c>
      <c r="D423" s="1230"/>
      <c r="E423" s="1231"/>
      <c r="F423" s="1231"/>
      <c r="G423" s="1231"/>
      <c r="H423" s="1231"/>
      <c r="I423" s="1231"/>
      <c r="J423" s="1231"/>
      <c r="K423" s="1232"/>
      <c r="L423" s="767" t="s">
        <v>2233</v>
      </c>
    </row>
    <row r="424" spans="1:12" ht="15.5" x14ac:dyDescent="0.35">
      <c r="A424" s="643" t="s">
        <v>2628</v>
      </c>
      <c r="B424" s="768">
        <v>90</v>
      </c>
      <c r="C424" s="769" t="s">
        <v>2607</v>
      </c>
      <c r="D424" s="1230"/>
      <c r="E424" s="1231"/>
      <c r="F424" s="1231"/>
      <c r="G424" s="1231"/>
      <c r="H424" s="1231"/>
      <c r="I424" s="1231"/>
      <c r="J424" s="1231"/>
      <c r="K424" s="1232"/>
      <c r="L424" s="767" t="s">
        <v>2233</v>
      </c>
    </row>
    <row r="425" spans="1:12" ht="15.5" x14ac:dyDescent="0.35">
      <c r="A425" s="125" t="s">
        <v>2629</v>
      </c>
      <c r="B425" s="768">
        <v>1901</v>
      </c>
      <c r="C425" s="769" t="s">
        <v>2607</v>
      </c>
      <c r="D425" s="966"/>
      <c r="E425" s="967"/>
      <c r="F425" s="967"/>
      <c r="G425" s="967"/>
      <c r="H425" s="967"/>
      <c r="I425" s="967"/>
      <c r="J425" s="967"/>
      <c r="K425" s="968"/>
      <c r="L425" s="767" t="s">
        <v>2233</v>
      </c>
    </row>
    <row r="426" spans="1:12" ht="15.5" x14ac:dyDescent="0.35">
      <c r="A426" s="643" t="s">
        <v>2630</v>
      </c>
      <c r="B426" s="768">
        <v>101</v>
      </c>
      <c r="C426" s="769" t="s">
        <v>2607</v>
      </c>
      <c r="D426" s="1230"/>
      <c r="E426" s="1231"/>
      <c r="F426" s="1231"/>
      <c r="G426" s="1231"/>
      <c r="H426" s="1231"/>
      <c r="I426" s="1231"/>
      <c r="J426" s="1231"/>
      <c r="K426" s="1232"/>
      <c r="L426" s="767" t="s">
        <v>2233</v>
      </c>
    </row>
    <row r="427" spans="1:12" ht="15.5" x14ac:dyDescent="0.35">
      <c r="A427" s="643" t="s">
        <v>2631</v>
      </c>
      <c r="B427" s="768">
        <v>102</v>
      </c>
      <c r="C427" s="769" t="s">
        <v>2607</v>
      </c>
      <c r="D427" s="1230"/>
      <c r="E427" s="1231"/>
      <c r="F427" s="1231"/>
      <c r="G427" s="1231"/>
      <c r="H427" s="1231"/>
      <c r="I427" s="1231"/>
      <c r="J427" s="1231"/>
      <c r="K427" s="1232"/>
      <c r="L427" s="767" t="s">
        <v>2233</v>
      </c>
    </row>
    <row r="428" spans="1:12" ht="15.5" x14ac:dyDescent="0.35">
      <c r="A428" s="643" t="s">
        <v>2632</v>
      </c>
      <c r="B428" s="768">
        <v>103</v>
      </c>
      <c r="C428" s="769" t="s">
        <v>2607</v>
      </c>
      <c r="D428" s="1230"/>
      <c r="E428" s="1231"/>
      <c r="F428" s="1231"/>
      <c r="G428" s="1231"/>
      <c r="H428" s="1231"/>
      <c r="I428" s="1231"/>
      <c r="J428" s="1231"/>
      <c r="K428" s="1232"/>
      <c r="L428" s="767" t="s">
        <v>2233</v>
      </c>
    </row>
    <row r="429" spans="1:12" ht="15.5" x14ac:dyDescent="0.35">
      <c r="A429" s="643" t="s">
        <v>2633</v>
      </c>
      <c r="B429" s="768">
        <v>104</v>
      </c>
      <c r="C429" s="769" t="s">
        <v>2607</v>
      </c>
      <c r="D429" s="1230"/>
      <c r="E429" s="1231"/>
      <c r="F429" s="1231"/>
      <c r="G429" s="1231"/>
      <c r="H429" s="1231"/>
      <c r="I429" s="1231"/>
      <c r="J429" s="1231"/>
      <c r="K429" s="1232"/>
      <c r="L429" s="767" t="s">
        <v>2233</v>
      </c>
    </row>
    <row r="430" spans="1:12" ht="15.5" x14ac:dyDescent="0.35">
      <c r="A430" s="643" t="s">
        <v>2634</v>
      </c>
      <c r="B430" s="768">
        <v>105</v>
      </c>
      <c r="C430" s="769" t="s">
        <v>2607</v>
      </c>
      <c r="D430" s="1230"/>
      <c r="E430" s="1231"/>
      <c r="F430" s="1231"/>
      <c r="G430" s="1231"/>
      <c r="H430" s="1231"/>
      <c r="I430" s="1231"/>
      <c r="J430" s="1231"/>
      <c r="K430" s="1232"/>
      <c r="L430" s="767" t="s">
        <v>2233</v>
      </c>
    </row>
    <row r="431" spans="1:12" ht="15.5" x14ac:dyDescent="0.35">
      <c r="A431" s="643" t="s">
        <v>2635</v>
      </c>
      <c r="B431" s="768">
        <v>106</v>
      </c>
      <c r="C431" s="769" t="s">
        <v>2607</v>
      </c>
      <c r="D431" s="1230"/>
      <c r="E431" s="1231"/>
      <c r="F431" s="1231"/>
      <c r="G431" s="1231"/>
      <c r="H431" s="1231"/>
      <c r="I431" s="1231"/>
      <c r="J431" s="1231"/>
      <c r="K431" s="1232"/>
      <c r="L431" s="767" t="s">
        <v>2233</v>
      </c>
    </row>
    <row r="432" spans="1:12" ht="15.5" x14ac:dyDescent="0.35">
      <c r="A432" s="643" t="s">
        <v>2636</v>
      </c>
      <c r="B432" s="768">
        <v>107</v>
      </c>
      <c r="C432" s="769" t="s">
        <v>2607</v>
      </c>
      <c r="D432" s="1230"/>
      <c r="E432" s="1231"/>
      <c r="F432" s="1231"/>
      <c r="G432" s="1231"/>
      <c r="H432" s="1231"/>
      <c r="I432" s="1231"/>
      <c r="J432" s="1231"/>
      <c r="K432" s="1232"/>
      <c r="L432" s="767" t="s">
        <v>2233</v>
      </c>
    </row>
    <row r="433" spans="1:12" ht="15.5" x14ac:dyDescent="0.35">
      <c r="A433" s="643" t="s">
        <v>2637</v>
      </c>
      <c r="B433" s="768">
        <v>108</v>
      </c>
      <c r="C433" s="769" t="s">
        <v>2607</v>
      </c>
      <c r="D433" s="1230"/>
      <c r="E433" s="1231"/>
      <c r="F433" s="1231"/>
      <c r="G433" s="1231"/>
      <c r="H433" s="1231"/>
      <c r="I433" s="1231"/>
      <c r="J433" s="1231"/>
      <c r="K433" s="1232"/>
      <c r="L433" s="767" t="s">
        <v>2233</v>
      </c>
    </row>
    <row r="434" spans="1:12" ht="15.5" x14ac:dyDescent="0.35">
      <c r="A434" s="643" t="s">
        <v>2638</v>
      </c>
      <c r="B434" s="768">
        <v>111</v>
      </c>
      <c r="C434" s="769" t="s">
        <v>2607</v>
      </c>
      <c r="D434" s="1230"/>
      <c r="E434" s="1231"/>
      <c r="F434" s="1231"/>
      <c r="G434" s="1231"/>
      <c r="H434" s="1231"/>
      <c r="I434" s="1231"/>
      <c r="J434" s="1231"/>
      <c r="K434" s="1232"/>
      <c r="L434" s="767" t="s">
        <v>2233</v>
      </c>
    </row>
    <row r="435" spans="1:12" ht="15.5" x14ac:dyDescent="0.35">
      <c r="A435" s="643" t="s">
        <v>2639</v>
      </c>
      <c r="B435" s="768">
        <v>115</v>
      </c>
      <c r="C435" s="769" t="s">
        <v>2607</v>
      </c>
      <c r="D435" s="1230"/>
      <c r="E435" s="1231"/>
      <c r="F435" s="1231"/>
      <c r="G435" s="1231"/>
      <c r="H435" s="1231"/>
      <c r="I435" s="1231"/>
      <c r="J435" s="1231"/>
      <c r="K435" s="1232"/>
      <c r="L435" s="767" t="s">
        <v>2233</v>
      </c>
    </row>
    <row r="436" spans="1:12" ht="15.5" x14ac:dyDescent="0.35">
      <c r="A436" s="643" t="s">
        <v>2640</v>
      </c>
      <c r="B436" s="768">
        <v>121</v>
      </c>
      <c r="C436" s="769" t="s">
        <v>2607</v>
      </c>
      <c r="D436" s="1230"/>
      <c r="E436" s="1231"/>
      <c r="F436" s="1231"/>
      <c r="G436" s="1231"/>
      <c r="H436" s="1231"/>
      <c r="I436" s="1231"/>
      <c r="J436" s="1231"/>
      <c r="K436" s="1232"/>
      <c r="L436" s="767" t="s">
        <v>2233</v>
      </c>
    </row>
    <row r="437" spans="1:12" ht="15.5" x14ac:dyDescent="0.35">
      <c r="A437" s="643" t="s">
        <v>2641</v>
      </c>
      <c r="B437" s="768">
        <v>122</v>
      </c>
      <c r="C437" s="769" t="s">
        <v>2607</v>
      </c>
      <c r="D437" s="1230"/>
      <c r="E437" s="1231"/>
      <c r="F437" s="1231"/>
      <c r="G437" s="1231"/>
      <c r="H437" s="1231"/>
      <c r="I437" s="1231"/>
      <c r="J437" s="1231"/>
      <c r="K437" s="1232"/>
      <c r="L437" s="767" t="s">
        <v>2233</v>
      </c>
    </row>
    <row r="438" spans="1:12" ht="15.5" x14ac:dyDescent="0.35">
      <c r="A438" s="643" t="s">
        <v>2642</v>
      </c>
      <c r="B438" s="768">
        <v>123</v>
      </c>
      <c r="C438" s="769" t="s">
        <v>2607</v>
      </c>
      <c r="D438" s="1230"/>
      <c r="E438" s="1231"/>
      <c r="F438" s="1231"/>
      <c r="G438" s="1231"/>
      <c r="H438" s="1231"/>
      <c r="I438" s="1231"/>
      <c r="J438" s="1231"/>
      <c r="K438" s="1232"/>
      <c r="L438" s="767" t="s">
        <v>2233</v>
      </c>
    </row>
    <row r="439" spans="1:12" ht="15.5" x14ac:dyDescent="0.35">
      <c r="A439" s="643" t="s">
        <v>2643</v>
      </c>
      <c r="B439" s="768">
        <v>124</v>
      </c>
      <c r="C439" s="769" t="s">
        <v>2607</v>
      </c>
      <c r="D439" s="1230"/>
      <c r="E439" s="1231"/>
      <c r="F439" s="1231"/>
      <c r="G439" s="1231"/>
      <c r="H439" s="1231"/>
      <c r="I439" s="1231"/>
      <c r="J439" s="1231"/>
      <c r="K439" s="1232"/>
      <c r="L439" s="767" t="s">
        <v>2233</v>
      </c>
    </row>
    <row r="440" spans="1:12" ht="15.5" x14ac:dyDescent="0.35">
      <c r="A440" s="643" t="s">
        <v>2644</v>
      </c>
      <c r="B440" s="768">
        <v>125</v>
      </c>
      <c r="C440" s="769" t="s">
        <v>2607</v>
      </c>
      <c r="D440" s="1230"/>
      <c r="E440" s="1231"/>
      <c r="F440" s="1231"/>
      <c r="G440" s="1231"/>
      <c r="H440" s="1231"/>
      <c r="I440" s="1231"/>
      <c r="J440" s="1231"/>
      <c r="K440" s="1232"/>
      <c r="L440" s="767" t="s">
        <v>2233</v>
      </c>
    </row>
    <row r="441" spans="1:12" ht="15.5" x14ac:dyDescent="0.35">
      <c r="A441" s="643" t="s">
        <v>2645</v>
      </c>
      <c r="B441" s="768">
        <v>126</v>
      </c>
      <c r="C441" s="769" t="s">
        <v>2607</v>
      </c>
      <c r="D441" s="1230"/>
      <c r="E441" s="1231"/>
      <c r="F441" s="1231"/>
      <c r="G441" s="1231"/>
      <c r="H441" s="1231"/>
      <c r="I441" s="1231"/>
      <c r="J441" s="1231"/>
      <c r="K441" s="1232"/>
      <c r="L441" s="767" t="s">
        <v>2233</v>
      </c>
    </row>
    <row r="442" spans="1:12" ht="15.5" x14ac:dyDescent="0.35">
      <c r="A442" s="643" t="s">
        <v>2646</v>
      </c>
      <c r="B442" s="768">
        <v>127</v>
      </c>
      <c r="C442" s="769" t="s">
        <v>2607</v>
      </c>
      <c r="D442" s="1230"/>
      <c r="E442" s="1231"/>
      <c r="F442" s="1231"/>
      <c r="G442" s="1231"/>
      <c r="H442" s="1231"/>
      <c r="I442" s="1231"/>
      <c r="J442" s="1231"/>
      <c r="K442" s="1232"/>
      <c r="L442" s="767" t="s">
        <v>2233</v>
      </c>
    </row>
    <row r="443" spans="1:12" ht="15.5" x14ac:dyDescent="0.35">
      <c r="A443" s="643" t="s">
        <v>2647</v>
      </c>
      <c r="B443" s="768">
        <v>128</v>
      </c>
      <c r="C443" s="769" t="s">
        <v>2607</v>
      </c>
      <c r="D443" s="1230"/>
      <c r="E443" s="1231"/>
      <c r="F443" s="1231"/>
      <c r="G443" s="1231"/>
      <c r="H443" s="1231"/>
      <c r="I443" s="1231"/>
      <c r="J443" s="1231"/>
      <c r="K443" s="1232"/>
      <c r="L443" s="767" t="s">
        <v>2233</v>
      </c>
    </row>
    <row r="444" spans="1:12" ht="15.5" x14ac:dyDescent="0.35">
      <c r="A444" s="643" t="s">
        <v>2648</v>
      </c>
      <c r="B444" s="768">
        <v>129</v>
      </c>
      <c r="C444" s="769" t="s">
        <v>2607</v>
      </c>
      <c r="D444" s="1230"/>
      <c r="E444" s="1231"/>
      <c r="F444" s="1231"/>
      <c r="G444" s="1231"/>
      <c r="H444" s="1231"/>
      <c r="I444" s="1231"/>
      <c r="J444" s="1231"/>
      <c r="K444" s="1232"/>
      <c r="L444" s="767" t="s">
        <v>2233</v>
      </c>
    </row>
    <row r="445" spans="1:12" ht="15.5" x14ac:dyDescent="0.35">
      <c r="A445" s="643" t="s">
        <v>2649</v>
      </c>
      <c r="B445" s="768">
        <v>130</v>
      </c>
      <c r="C445" s="769" t="s">
        <v>2607</v>
      </c>
      <c r="D445" s="1230"/>
      <c r="E445" s="1231"/>
      <c r="F445" s="1231"/>
      <c r="G445" s="1231"/>
      <c r="H445" s="1231"/>
      <c r="I445" s="1231"/>
      <c r="J445" s="1231"/>
      <c r="K445" s="1232"/>
      <c r="L445" s="767" t="s">
        <v>2233</v>
      </c>
    </row>
    <row r="446" spans="1:12" ht="15.5" x14ac:dyDescent="0.35">
      <c r="A446" s="643" t="s">
        <v>2650</v>
      </c>
      <c r="B446" s="768">
        <v>133</v>
      </c>
      <c r="C446" s="769" t="s">
        <v>2607</v>
      </c>
      <c r="D446" s="1230"/>
      <c r="E446" s="1231"/>
      <c r="F446" s="1231"/>
      <c r="G446" s="1231"/>
      <c r="H446" s="1231"/>
      <c r="I446" s="1231"/>
      <c r="J446" s="1231"/>
      <c r="K446" s="1232"/>
      <c r="L446" s="767" t="s">
        <v>2233</v>
      </c>
    </row>
    <row r="447" spans="1:12" ht="15.5" x14ac:dyDescent="0.35">
      <c r="A447" s="643" t="s">
        <v>2651</v>
      </c>
      <c r="B447" s="768">
        <v>135</v>
      </c>
      <c r="C447" s="769" t="s">
        <v>2607</v>
      </c>
      <c r="D447" s="1230"/>
      <c r="E447" s="1231"/>
      <c r="F447" s="1231"/>
      <c r="G447" s="1231"/>
      <c r="H447" s="1231"/>
      <c r="I447" s="1231"/>
      <c r="J447" s="1231"/>
      <c r="K447" s="1232"/>
      <c r="L447" s="767" t="s">
        <v>2233</v>
      </c>
    </row>
    <row r="448" spans="1:12" ht="15.5" x14ac:dyDescent="0.35">
      <c r="A448" s="643" t="s">
        <v>2652</v>
      </c>
      <c r="B448" s="768">
        <v>140</v>
      </c>
      <c r="C448" s="769" t="s">
        <v>2607</v>
      </c>
      <c r="D448" s="1230"/>
      <c r="E448" s="1231"/>
      <c r="F448" s="1231"/>
      <c r="G448" s="1231"/>
      <c r="H448" s="1231"/>
      <c r="I448" s="1231"/>
      <c r="J448" s="1231"/>
      <c r="K448" s="1232"/>
      <c r="L448" s="767" t="s">
        <v>2233</v>
      </c>
    </row>
    <row r="449" spans="1:12" ht="15.5" x14ac:dyDescent="0.35">
      <c r="A449" s="643" t="s">
        <v>2653</v>
      </c>
      <c r="B449" s="768">
        <v>146</v>
      </c>
      <c r="C449" s="769" t="s">
        <v>2607</v>
      </c>
      <c r="D449" s="1230"/>
      <c r="E449" s="1231"/>
      <c r="F449" s="1231"/>
      <c r="G449" s="1231"/>
      <c r="H449" s="1231"/>
      <c r="I449" s="1231"/>
      <c r="J449" s="1231"/>
      <c r="K449" s="1232"/>
      <c r="L449" s="767" t="s">
        <v>2233</v>
      </c>
    </row>
    <row r="450" spans="1:12" ht="15.5" x14ac:dyDescent="0.35">
      <c r="A450" s="643" t="s">
        <v>2654</v>
      </c>
      <c r="B450" s="768">
        <v>111</v>
      </c>
      <c r="C450" s="769" t="s">
        <v>2655</v>
      </c>
      <c r="D450" s="1230"/>
      <c r="E450" s="1231"/>
      <c r="F450" s="1231"/>
      <c r="G450" s="1231"/>
      <c r="H450" s="1231"/>
      <c r="I450" s="1231"/>
      <c r="J450" s="1231"/>
      <c r="K450" s="1232"/>
      <c r="L450" s="969" t="s">
        <v>2233</v>
      </c>
    </row>
    <row r="451" spans="1:12" ht="15.5" x14ac:dyDescent="0.35">
      <c r="A451" s="643" t="s">
        <v>2656</v>
      </c>
      <c r="B451" s="768">
        <v>112</v>
      </c>
      <c r="C451" s="769" t="s">
        <v>2655</v>
      </c>
      <c r="D451" s="1230"/>
      <c r="E451" s="1231"/>
      <c r="F451" s="1231"/>
      <c r="G451" s="1231"/>
      <c r="H451" s="1231"/>
      <c r="I451" s="1231"/>
      <c r="J451" s="1231"/>
      <c r="K451" s="1232"/>
      <c r="L451" s="969" t="s">
        <v>2233</v>
      </c>
    </row>
    <row r="452" spans="1:12" ht="15.5" x14ac:dyDescent="0.35">
      <c r="A452" s="643" t="s">
        <v>2657</v>
      </c>
      <c r="B452" s="768">
        <v>113</v>
      </c>
      <c r="C452" s="769" t="s">
        <v>2655</v>
      </c>
      <c r="D452" s="1230"/>
      <c r="E452" s="1231"/>
      <c r="F452" s="1231"/>
      <c r="G452" s="1231"/>
      <c r="H452" s="1231"/>
      <c r="I452" s="1231"/>
      <c r="J452" s="1231"/>
      <c r="K452" s="1232"/>
      <c r="L452" s="969" t="s">
        <v>2233</v>
      </c>
    </row>
    <row r="453" spans="1:12" ht="15.5" x14ac:dyDescent="0.35">
      <c r="A453" s="643" t="s">
        <v>2658</v>
      </c>
      <c r="B453" s="768">
        <v>114</v>
      </c>
      <c r="C453" s="769" t="s">
        <v>2655</v>
      </c>
      <c r="D453" s="1230"/>
      <c r="E453" s="1231"/>
      <c r="F453" s="1231"/>
      <c r="G453" s="1231"/>
      <c r="H453" s="1231"/>
      <c r="I453" s="1231"/>
      <c r="J453" s="1231"/>
      <c r="K453" s="1232"/>
      <c r="L453" s="969" t="s">
        <v>2233</v>
      </c>
    </row>
    <row r="454" spans="1:12" ht="15.5" x14ac:dyDescent="0.35">
      <c r="A454" s="643" t="s">
        <v>2659</v>
      </c>
      <c r="B454" s="768">
        <v>115</v>
      </c>
      <c r="C454" s="769" t="s">
        <v>2655</v>
      </c>
      <c r="D454" s="1230"/>
      <c r="E454" s="1231"/>
      <c r="F454" s="1231"/>
      <c r="G454" s="1231"/>
      <c r="H454" s="1231"/>
      <c r="I454" s="1231"/>
      <c r="J454" s="1231"/>
      <c r="K454" s="1232"/>
      <c r="L454" s="969" t="s">
        <v>2233</v>
      </c>
    </row>
    <row r="455" spans="1:12" ht="15.5" x14ac:dyDescent="0.35">
      <c r="A455" s="643" t="s">
        <v>2660</v>
      </c>
      <c r="B455" s="768">
        <v>121</v>
      </c>
      <c r="C455" s="769" t="s">
        <v>2655</v>
      </c>
      <c r="D455" s="1230"/>
      <c r="E455" s="1231"/>
      <c r="F455" s="1231"/>
      <c r="G455" s="1231"/>
      <c r="H455" s="1231"/>
      <c r="I455" s="1231"/>
      <c r="J455" s="1231"/>
      <c r="K455" s="1232"/>
      <c r="L455" s="969" t="s">
        <v>2233</v>
      </c>
    </row>
    <row r="456" spans="1:12" ht="15.5" x14ac:dyDescent="0.35">
      <c r="A456" s="643" t="s">
        <v>2661</v>
      </c>
      <c r="B456" s="768">
        <v>122</v>
      </c>
      <c r="C456" s="769" t="s">
        <v>2655</v>
      </c>
      <c r="D456" s="1230"/>
      <c r="E456" s="1231"/>
      <c r="F456" s="1231"/>
      <c r="G456" s="1231"/>
      <c r="H456" s="1231"/>
      <c r="I456" s="1231"/>
      <c r="J456" s="1231"/>
      <c r="K456" s="1232"/>
      <c r="L456" s="969" t="s">
        <v>2233</v>
      </c>
    </row>
    <row r="457" spans="1:12" ht="15.5" x14ac:dyDescent="0.35">
      <c r="A457" s="643" t="s">
        <v>2662</v>
      </c>
      <c r="B457" s="768">
        <v>123</v>
      </c>
      <c r="C457" s="769" t="s">
        <v>2655</v>
      </c>
      <c r="D457" s="1230"/>
      <c r="E457" s="1231"/>
      <c r="F457" s="1231"/>
      <c r="G457" s="1231"/>
      <c r="H457" s="1231"/>
      <c r="I457" s="1231"/>
      <c r="J457" s="1231"/>
      <c r="K457" s="1232"/>
      <c r="L457" s="969" t="s">
        <v>2233</v>
      </c>
    </row>
    <row r="458" spans="1:12" ht="15.5" x14ac:dyDescent="0.35">
      <c r="A458" s="643" t="s">
        <v>2663</v>
      </c>
      <c r="B458" s="768">
        <v>129</v>
      </c>
      <c r="C458" s="769" t="s">
        <v>2655</v>
      </c>
      <c r="D458" s="1230"/>
      <c r="E458" s="1231"/>
      <c r="F458" s="1231"/>
      <c r="G458" s="1231"/>
      <c r="H458" s="1231"/>
      <c r="I458" s="1231"/>
      <c r="J458" s="1231"/>
      <c r="K458" s="1232"/>
      <c r="L458" s="969" t="s">
        <v>2233</v>
      </c>
    </row>
    <row r="459" spans="1:12" ht="15.5" x14ac:dyDescent="0.35">
      <c r="A459" s="643" t="s">
        <v>2664</v>
      </c>
      <c r="B459" s="768">
        <v>131</v>
      </c>
      <c r="C459" s="769" t="s">
        <v>2655</v>
      </c>
      <c r="D459" s="1230"/>
      <c r="E459" s="1231"/>
      <c r="F459" s="1231"/>
      <c r="G459" s="1231"/>
      <c r="H459" s="1231"/>
      <c r="I459" s="1231"/>
      <c r="J459" s="1231"/>
      <c r="K459" s="1232"/>
      <c r="L459" s="969" t="s">
        <v>2233</v>
      </c>
    </row>
    <row r="460" spans="1:12" ht="15.5" x14ac:dyDescent="0.35">
      <c r="A460" s="643" t="s">
        <v>2665</v>
      </c>
      <c r="B460" s="768">
        <v>137</v>
      </c>
      <c r="C460" s="769" t="s">
        <v>2655</v>
      </c>
      <c r="D460" s="1230"/>
      <c r="E460" s="1231"/>
      <c r="F460" s="1231"/>
      <c r="G460" s="1231"/>
      <c r="H460" s="1231"/>
      <c r="I460" s="1231"/>
      <c r="J460" s="1231"/>
      <c r="K460" s="1232"/>
      <c r="L460" s="969" t="s">
        <v>2233</v>
      </c>
    </row>
    <row r="461" spans="1:12" ht="15.5" x14ac:dyDescent="0.35">
      <c r="A461" s="643" t="s">
        <v>2666</v>
      </c>
      <c r="B461" s="768">
        <v>140</v>
      </c>
      <c r="C461" s="769" t="s">
        <v>2655</v>
      </c>
      <c r="D461" s="1230"/>
      <c r="E461" s="1231"/>
      <c r="F461" s="1231"/>
      <c r="G461" s="1231"/>
      <c r="H461" s="1231"/>
      <c r="I461" s="1231"/>
      <c r="J461" s="1231"/>
      <c r="K461" s="1232"/>
      <c r="L461" s="969" t="s">
        <v>2233</v>
      </c>
    </row>
    <row r="462" spans="1:12" ht="15.5" x14ac:dyDescent="0.35">
      <c r="A462" s="643" t="s">
        <v>2667</v>
      </c>
      <c r="B462" s="768">
        <v>150</v>
      </c>
      <c r="C462" s="769" t="s">
        <v>2655</v>
      </c>
      <c r="D462" s="1230"/>
      <c r="E462" s="1231"/>
      <c r="F462" s="1231"/>
      <c r="G462" s="1231"/>
      <c r="H462" s="1231"/>
      <c r="I462" s="1231"/>
      <c r="J462" s="1231"/>
      <c r="K462" s="1232"/>
      <c r="L462" s="969" t="s">
        <v>2233</v>
      </c>
    </row>
    <row r="463" spans="1:12" ht="15.5" x14ac:dyDescent="0.35">
      <c r="A463" s="643" t="s">
        <v>2668</v>
      </c>
      <c r="B463" s="768">
        <v>190</v>
      </c>
      <c r="C463" s="769" t="s">
        <v>2655</v>
      </c>
      <c r="D463" s="1230"/>
      <c r="E463" s="1231"/>
      <c r="F463" s="1231"/>
      <c r="G463" s="1231"/>
      <c r="H463" s="1231"/>
      <c r="I463" s="1231"/>
      <c r="J463" s="1231"/>
      <c r="K463" s="1232"/>
      <c r="L463" s="969" t="s">
        <v>2233</v>
      </c>
    </row>
    <row r="464" spans="1:12" ht="15.5" x14ac:dyDescent="0.35">
      <c r="A464" s="971" t="s">
        <v>2669</v>
      </c>
      <c r="B464" s="768">
        <v>1191</v>
      </c>
      <c r="C464" s="769" t="s">
        <v>2655</v>
      </c>
      <c r="D464" s="966"/>
      <c r="E464" s="967"/>
      <c r="F464" s="967"/>
      <c r="G464" s="967"/>
      <c r="H464" s="967"/>
      <c r="I464" s="967"/>
      <c r="J464" s="967"/>
      <c r="K464" s="968"/>
      <c r="L464" s="969" t="s">
        <v>2233</v>
      </c>
    </row>
    <row r="465" spans="1:12" ht="15.5" x14ac:dyDescent="0.35">
      <c r="A465" s="643" t="s">
        <v>2670</v>
      </c>
      <c r="B465" s="768">
        <v>210</v>
      </c>
      <c r="C465" s="769" t="s">
        <v>2655</v>
      </c>
      <c r="D465" s="1230"/>
      <c r="E465" s="1231"/>
      <c r="F465" s="1231"/>
      <c r="G465" s="1231"/>
      <c r="H465" s="1231"/>
      <c r="I465" s="1231"/>
      <c r="J465" s="1231"/>
      <c r="K465" s="1232"/>
      <c r="L465" s="969" t="s">
        <v>2233</v>
      </c>
    </row>
    <row r="466" spans="1:12" ht="15.5" x14ac:dyDescent="0.35">
      <c r="A466" s="643" t="s">
        <v>2671</v>
      </c>
      <c r="B466" s="768">
        <v>219</v>
      </c>
      <c r="C466" s="769" t="s">
        <v>2655</v>
      </c>
      <c r="D466" s="1230"/>
      <c r="E466" s="1231"/>
      <c r="F466" s="1231"/>
      <c r="G466" s="1231"/>
      <c r="H466" s="1231"/>
      <c r="I466" s="1231"/>
      <c r="J466" s="1231"/>
      <c r="K466" s="1232"/>
      <c r="L466" s="969" t="s">
        <v>2233</v>
      </c>
    </row>
    <row r="467" spans="1:12" ht="15.5" x14ac:dyDescent="0.35">
      <c r="A467" s="643" t="s">
        <v>2672</v>
      </c>
      <c r="B467" s="768">
        <v>220</v>
      </c>
      <c r="C467" s="769" t="s">
        <v>2655</v>
      </c>
      <c r="D467" s="1230"/>
      <c r="E467" s="1231"/>
      <c r="F467" s="1231"/>
      <c r="G467" s="1231"/>
      <c r="H467" s="1231"/>
      <c r="I467" s="1231"/>
      <c r="J467" s="1231"/>
      <c r="K467" s="1232"/>
      <c r="L467" s="969" t="s">
        <v>2233</v>
      </c>
    </row>
    <row r="468" spans="1:12" ht="15.5" x14ac:dyDescent="0.35">
      <c r="A468" s="643" t="s">
        <v>2673</v>
      </c>
      <c r="B468" s="768">
        <v>221</v>
      </c>
      <c r="C468" s="769" t="s">
        <v>2655</v>
      </c>
      <c r="D468" s="1230"/>
      <c r="E468" s="1231"/>
      <c r="F468" s="1231"/>
      <c r="G468" s="1231"/>
      <c r="H468" s="1231"/>
      <c r="I468" s="1231"/>
      <c r="J468" s="1231"/>
      <c r="K468" s="1232"/>
      <c r="L468" s="969" t="s">
        <v>2233</v>
      </c>
    </row>
    <row r="469" spans="1:12" ht="15.5" x14ac:dyDescent="0.35">
      <c r="A469" s="643" t="s">
        <v>2674</v>
      </c>
      <c r="B469" s="768">
        <v>222</v>
      </c>
      <c r="C469" s="769" t="s">
        <v>2655</v>
      </c>
      <c r="D469" s="1230"/>
      <c r="E469" s="1231"/>
      <c r="F469" s="1231"/>
      <c r="G469" s="1231"/>
      <c r="H469" s="1231"/>
      <c r="I469" s="1231"/>
      <c r="J469" s="1231"/>
      <c r="K469" s="1232"/>
      <c r="L469" s="969" t="s">
        <v>2233</v>
      </c>
    </row>
    <row r="470" spans="1:12" ht="15.5" x14ac:dyDescent="0.35">
      <c r="A470" s="643" t="s">
        <v>2675</v>
      </c>
      <c r="B470" s="768">
        <v>223</v>
      </c>
      <c r="C470" s="769" t="s">
        <v>2655</v>
      </c>
      <c r="D470" s="1230"/>
      <c r="E470" s="1231"/>
      <c r="F470" s="1231"/>
      <c r="G470" s="1231"/>
      <c r="H470" s="1231"/>
      <c r="I470" s="1231"/>
      <c r="J470" s="1231"/>
      <c r="K470" s="1232"/>
      <c r="L470" s="969" t="s">
        <v>2233</v>
      </c>
    </row>
    <row r="471" spans="1:12" ht="15.5" x14ac:dyDescent="0.35">
      <c r="A471" s="643" t="s">
        <v>2676</v>
      </c>
      <c r="B471" s="768">
        <v>224</v>
      </c>
      <c r="C471" s="769" t="s">
        <v>2655</v>
      </c>
      <c r="D471" s="1230"/>
      <c r="E471" s="1231"/>
      <c r="F471" s="1231"/>
      <c r="G471" s="1231"/>
      <c r="H471" s="1231"/>
      <c r="I471" s="1231"/>
      <c r="J471" s="1231"/>
      <c r="K471" s="1232"/>
      <c r="L471" s="969" t="s">
        <v>2233</v>
      </c>
    </row>
    <row r="472" spans="1:12" ht="15.5" x14ac:dyDescent="0.35">
      <c r="A472" s="643" t="s">
        <v>2677</v>
      </c>
      <c r="B472" s="768">
        <v>225</v>
      </c>
      <c r="C472" s="769" t="s">
        <v>2655</v>
      </c>
      <c r="D472" s="1230"/>
      <c r="E472" s="1231"/>
      <c r="F472" s="1231"/>
      <c r="G472" s="1231"/>
      <c r="H472" s="1231"/>
      <c r="I472" s="1231"/>
      <c r="J472" s="1231"/>
      <c r="K472" s="1232"/>
      <c r="L472" s="969" t="s">
        <v>2233</v>
      </c>
    </row>
    <row r="473" spans="1:12" ht="15.5" x14ac:dyDescent="0.35">
      <c r="A473" s="643" t="s">
        <v>2678</v>
      </c>
      <c r="B473" s="768">
        <v>226</v>
      </c>
      <c r="C473" s="769" t="s">
        <v>2655</v>
      </c>
      <c r="D473" s="1230"/>
      <c r="E473" s="1231"/>
      <c r="F473" s="1231"/>
      <c r="G473" s="1231"/>
      <c r="H473" s="1231"/>
      <c r="I473" s="1231"/>
      <c r="J473" s="1231"/>
      <c r="K473" s="1232"/>
      <c r="L473" s="969" t="s">
        <v>2233</v>
      </c>
    </row>
    <row r="474" spans="1:12" ht="15.5" x14ac:dyDescent="0.35">
      <c r="A474" s="643" t="s">
        <v>2679</v>
      </c>
      <c r="B474" s="768">
        <v>227</v>
      </c>
      <c r="C474" s="769" t="s">
        <v>2655</v>
      </c>
      <c r="D474" s="1230"/>
      <c r="E474" s="1231"/>
      <c r="F474" s="1231"/>
      <c r="G474" s="1231"/>
      <c r="H474" s="1231"/>
      <c r="I474" s="1231"/>
      <c r="J474" s="1231"/>
      <c r="K474" s="1232"/>
      <c r="L474" s="969" t="s">
        <v>2233</v>
      </c>
    </row>
    <row r="475" spans="1:12" ht="15.5" x14ac:dyDescent="0.35">
      <c r="A475" s="643" t="s">
        <v>2680</v>
      </c>
      <c r="B475" s="768">
        <v>228</v>
      </c>
      <c r="C475" s="769" t="s">
        <v>2655</v>
      </c>
      <c r="D475" s="1230"/>
      <c r="E475" s="1231"/>
      <c r="F475" s="1231"/>
      <c r="G475" s="1231"/>
      <c r="H475" s="1231"/>
      <c r="I475" s="1231"/>
      <c r="J475" s="1231"/>
      <c r="K475" s="1232"/>
      <c r="L475" s="969" t="s">
        <v>2233</v>
      </c>
    </row>
    <row r="476" spans="1:12" ht="15.5" x14ac:dyDescent="0.35">
      <c r="A476" s="643" t="s">
        <v>2681</v>
      </c>
      <c r="B476" s="768">
        <v>229</v>
      </c>
      <c r="C476" s="769" t="s">
        <v>2655</v>
      </c>
      <c r="D476" s="1230"/>
      <c r="E476" s="1231"/>
      <c r="F476" s="1231"/>
      <c r="G476" s="1231"/>
      <c r="H476" s="1231"/>
      <c r="I476" s="1231"/>
      <c r="J476" s="1231"/>
      <c r="K476" s="1232"/>
      <c r="L476" s="969" t="s">
        <v>2233</v>
      </c>
    </row>
    <row r="477" spans="1:12" ht="15.5" x14ac:dyDescent="0.35">
      <c r="A477" s="643" t="s">
        <v>2682</v>
      </c>
      <c r="B477" s="768">
        <v>230</v>
      </c>
      <c r="C477" s="769" t="s">
        <v>2655</v>
      </c>
      <c r="D477" s="1230"/>
      <c r="E477" s="1231"/>
      <c r="F477" s="1231"/>
      <c r="G477" s="1231"/>
      <c r="H477" s="1231"/>
      <c r="I477" s="1231"/>
      <c r="J477" s="1231"/>
      <c r="K477" s="1232"/>
      <c r="L477" s="969" t="s">
        <v>2233</v>
      </c>
    </row>
    <row r="478" spans="1:12" ht="15.5" x14ac:dyDescent="0.35">
      <c r="A478" s="643" t="s">
        <v>2683</v>
      </c>
      <c r="B478" s="768">
        <v>231</v>
      </c>
      <c r="C478" s="769" t="s">
        <v>2655</v>
      </c>
      <c r="D478" s="1230"/>
      <c r="E478" s="1231"/>
      <c r="F478" s="1231"/>
      <c r="G478" s="1231"/>
      <c r="H478" s="1231"/>
      <c r="I478" s="1231"/>
      <c r="J478" s="1231"/>
      <c r="K478" s="1232"/>
      <c r="L478" s="969" t="s">
        <v>2233</v>
      </c>
    </row>
    <row r="479" spans="1:12" ht="15.5" x14ac:dyDescent="0.35">
      <c r="A479" s="643" t="s">
        <v>2684</v>
      </c>
      <c r="B479" s="768">
        <v>232</v>
      </c>
      <c r="C479" s="769" t="s">
        <v>2655</v>
      </c>
      <c r="D479" s="1230"/>
      <c r="E479" s="1231"/>
      <c r="F479" s="1231"/>
      <c r="G479" s="1231"/>
      <c r="H479" s="1231"/>
      <c r="I479" s="1231"/>
      <c r="J479" s="1231"/>
      <c r="K479" s="1232"/>
      <c r="L479" s="969" t="s">
        <v>2233</v>
      </c>
    </row>
    <row r="480" spans="1:12" ht="15.5" x14ac:dyDescent="0.35">
      <c r="A480" s="643" t="s">
        <v>2685</v>
      </c>
      <c r="B480" s="768">
        <v>233</v>
      </c>
      <c r="C480" s="769" t="s">
        <v>2655</v>
      </c>
      <c r="D480" s="1230"/>
      <c r="E480" s="1231"/>
      <c r="F480" s="1231"/>
      <c r="G480" s="1231"/>
      <c r="H480" s="1231"/>
      <c r="I480" s="1231"/>
      <c r="J480" s="1231"/>
      <c r="K480" s="1232"/>
      <c r="L480" s="969" t="s">
        <v>2233</v>
      </c>
    </row>
    <row r="481" spans="1:12" ht="15.5" x14ac:dyDescent="0.35">
      <c r="A481" s="643" t="s">
        <v>2686</v>
      </c>
      <c r="B481" s="768">
        <v>241</v>
      </c>
      <c r="C481" s="769" t="s">
        <v>2655</v>
      </c>
      <c r="D481" s="1230"/>
      <c r="E481" s="1231"/>
      <c r="F481" s="1231"/>
      <c r="G481" s="1231"/>
      <c r="H481" s="1231"/>
      <c r="I481" s="1231"/>
      <c r="J481" s="1231"/>
      <c r="K481" s="1232"/>
      <c r="L481" s="969" t="s">
        <v>2233</v>
      </c>
    </row>
    <row r="482" spans="1:12" ht="15.5" x14ac:dyDescent="0.35">
      <c r="A482" s="643" t="s">
        <v>2687</v>
      </c>
      <c r="B482" s="768">
        <v>243</v>
      </c>
      <c r="C482" s="769" t="s">
        <v>2655</v>
      </c>
      <c r="D482" s="1230"/>
      <c r="E482" s="1231"/>
      <c r="F482" s="1231"/>
      <c r="G482" s="1231"/>
      <c r="H482" s="1231"/>
      <c r="I482" s="1231"/>
      <c r="J482" s="1231"/>
      <c r="K482" s="1232"/>
      <c r="L482" s="969" t="s">
        <v>2233</v>
      </c>
    </row>
    <row r="483" spans="1:12" ht="15.5" x14ac:dyDescent="0.35">
      <c r="A483" s="643" t="s">
        <v>2688</v>
      </c>
      <c r="B483" s="768">
        <v>244</v>
      </c>
      <c r="C483" s="769" t="s">
        <v>2655</v>
      </c>
      <c r="D483" s="1230"/>
      <c r="E483" s="1231"/>
      <c r="F483" s="1231"/>
      <c r="G483" s="1231"/>
      <c r="H483" s="1231"/>
      <c r="I483" s="1231"/>
      <c r="J483" s="1231"/>
      <c r="K483" s="1232"/>
      <c r="L483" s="969" t="s">
        <v>2233</v>
      </c>
    </row>
    <row r="484" spans="1:12" ht="15.5" x14ac:dyDescent="0.35">
      <c r="A484" s="643" t="s">
        <v>2689</v>
      </c>
      <c r="B484" s="768">
        <v>247</v>
      </c>
      <c r="C484" s="769" t="s">
        <v>2655</v>
      </c>
      <c r="D484" s="1230"/>
      <c r="E484" s="1231"/>
      <c r="F484" s="1231"/>
      <c r="G484" s="1231"/>
      <c r="H484" s="1231"/>
      <c r="I484" s="1231"/>
      <c r="J484" s="1231"/>
      <c r="K484" s="1232"/>
      <c r="L484" s="969" t="s">
        <v>2233</v>
      </c>
    </row>
    <row r="485" spans="1:12" ht="15.5" x14ac:dyDescent="0.35">
      <c r="A485" s="643" t="s">
        <v>2690</v>
      </c>
      <c r="B485" s="768">
        <v>250</v>
      </c>
      <c r="C485" s="769" t="s">
        <v>2655</v>
      </c>
      <c r="D485" s="1230"/>
      <c r="E485" s="1231"/>
      <c r="F485" s="1231"/>
      <c r="G485" s="1231"/>
      <c r="H485" s="1231"/>
      <c r="I485" s="1231"/>
      <c r="J485" s="1231"/>
      <c r="K485" s="1232"/>
      <c r="L485" s="969" t="s">
        <v>2233</v>
      </c>
    </row>
    <row r="486" spans="1:12" ht="15.5" x14ac:dyDescent="0.35">
      <c r="A486" s="643" t="s">
        <v>2691</v>
      </c>
      <c r="B486" s="768">
        <v>270</v>
      </c>
      <c r="C486" s="769" t="s">
        <v>2655</v>
      </c>
      <c r="D486" s="1230"/>
      <c r="E486" s="1231"/>
      <c r="F486" s="1231"/>
      <c r="G486" s="1231"/>
      <c r="H486" s="1231"/>
      <c r="I486" s="1231"/>
      <c r="J486" s="1231"/>
      <c r="K486" s="1232"/>
      <c r="L486" s="969" t="s">
        <v>2233</v>
      </c>
    </row>
    <row r="487" spans="1:12" ht="15.5" x14ac:dyDescent="0.35">
      <c r="A487" s="643" t="s">
        <v>2692</v>
      </c>
      <c r="B487" s="768">
        <v>281</v>
      </c>
      <c r="C487" s="769" t="s">
        <v>2655</v>
      </c>
      <c r="D487" s="1230"/>
      <c r="E487" s="1231"/>
      <c r="F487" s="1231"/>
      <c r="G487" s="1231"/>
      <c r="H487" s="1231"/>
      <c r="I487" s="1231"/>
      <c r="J487" s="1231"/>
      <c r="K487" s="1232"/>
      <c r="L487" s="969" t="s">
        <v>2233</v>
      </c>
    </row>
    <row r="488" spans="1:12" ht="15.5" x14ac:dyDescent="0.35">
      <c r="A488" s="643" t="s">
        <v>2693</v>
      </c>
      <c r="B488" s="768">
        <v>282</v>
      </c>
      <c r="C488" s="769" t="s">
        <v>2655</v>
      </c>
      <c r="D488" s="1230"/>
      <c r="E488" s="1231"/>
      <c r="F488" s="1231"/>
      <c r="G488" s="1231"/>
      <c r="H488" s="1231"/>
      <c r="I488" s="1231"/>
      <c r="J488" s="1231"/>
      <c r="K488" s="1232"/>
      <c r="L488" s="969" t="s">
        <v>2233</v>
      </c>
    </row>
    <row r="489" spans="1:12" ht="15.5" x14ac:dyDescent="0.35">
      <c r="A489" s="643" t="s">
        <v>2694</v>
      </c>
      <c r="B489" s="768">
        <v>283</v>
      </c>
      <c r="C489" s="769" t="s">
        <v>2655</v>
      </c>
      <c r="D489" s="1230"/>
      <c r="E489" s="1231"/>
      <c r="F489" s="1231"/>
      <c r="G489" s="1231"/>
      <c r="H489" s="1231"/>
      <c r="I489" s="1231"/>
      <c r="J489" s="1231"/>
      <c r="K489" s="1232"/>
      <c r="L489" s="969" t="s">
        <v>2233</v>
      </c>
    </row>
    <row r="490" spans="1:12" ht="15.5" x14ac:dyDescent="0.35">
      <c r="A490" s="643" t="s">
        <v>2695</v>
      </c>
      <c r="B490" s="768">
        <v>284</v>
      </c>
      <c r="C490" s="769" t="s">
        <v>2655</v>
      </c>
      <c r="D490" s="1230"/>
      <c r="E490" s="1231"/>
      <c r="F490" s="1231"/>
      <c r="G490" s="1231"/>
      <c r="H490" s="1231"/>
      <c r="I490" s="1231"/>
      <c r="J490" s="1231"/>
      <c r="K490" s="1232"/>
      <c r="L490" s="969" t="s">
        <v>2233</v>
      </c>
    </row>
    <row r="491" spans="1:12" ht="15.5" x14ac:dyDescent="0.35">
      <c r="A491" s="643" t="s">
        <v>2696</v>
      </c>
      <c r="B491" s="768">
        <v>285</v>
      </c>
      <c r="C491" s="769" t="s">
        <v>2655</v>
      </c>
      <c r="D491" s="1230"/>
      <c r="E491" s="1231"/>
      <c r="F491" s="1231"/>
      <c r="G491" s="1231"/>
      <c r="H491" s="1231"/>
      <c r="I491" s="1231"/>
      <c r="J491" s="1231"/>
      <c r="K491" s="1232"/>
      <c r="L491" s="969" t="s">
        <v>2233</v>
      </c>
    </row>
    <row r="492" spans="1:12" ht="15.5" x14ac:dyDescent="0.35">
      <c r="A492" s="643" t="s">
        <v>2697</v>
      </c>
      <c r="B492" s="768">
        <v>286</v>
      </c>
      <c r="C492" s="769" t="s">
        <v>2655</v>
      </c>
      <c r="D492" s="1230"/>
      <c r="E492" s="1231"/>
      <c r="F492" s="1231"/>
      <c r="G492" s="1231"/>
      <c r="H492" s="1231"/>
      <c r="I492" s="1231"/>
      <c r="J492" s="1231"/>
      <c r="K492" s="1232"/>
      <c r="L492" s="969" t="s">
        <v>2233</v>
      </c>
    </row>
    <row r="493" spans="1:12" ht="15.5" x14ac:dyDescent="0.35">
      <c r="A493" s="643" t="s">
        <v>2698</v>
      </c>
      <c r="B493" s="768">
        <v>290</v>
      </c>
      <c r="C493" s="769" t="s">
        <v>2655</v>
      </c>
      <c r="D493" s="1230"/>
      <c r="E493" s="1231"/>
      <c r="F493" s="1231"/>
      <c r="G493" s="1231"/>
      <c r="H493" s="1231"/>
      <c r="I493" s="1231"/>
      <c r="J493" s="1231"/>
      <c r="K493" s="1232"/>
      <c r="L493" s="969" t="s">
        <v>2233</v>
      </c>
    </row>
    <row r="494" spans="1:12" ht="15.5" x14ac:dyDescent="0.35">
      <c r="A494" s="971" t="s">
        <v>2699</v>
      </c>
      <c r="B494" s="768">
        <v>1291</v>
      </c>
      <c r="C494" s="769" t="s">
        <v>2655</v>
      </c>
      <c r="D494" s="966"/>
      <c r="E494" s="967"/>
      <c r="F494" s="967"/>
      <c r="G494" s="967"/>
      <c r="H494" s="967"/>
      <c r="I494" s="967"/>
      <c r="J494" s="967"/>
      <c r="K494" s="968"/>
      <c r="L494" s="969" t="s">
        <v>2233</v>
      </c>
    </row>
    <row r="495" spans="1:12" ht="15.5" x14ac:dyDescent="0.35">
      <c r="A495" s="643" t="s">
        <v>2700</v>
      </c>
      <c r="B495" s="768">
        <v>310</v>
      </c>
      <c r="C495" s="769" t="s">
        <v>2655</v>
      </c>
      <c r="D495" s="1230"/>
      <c r="E495" s="1231"/>
      <c r="F495" s="1231"/>
      <c r="G495" s="1231"/>
      <c r="H495" s="1231"/>
      <c r="I495" s="1231"/>
      <c r="J495" s="1231"/>
      <c r="K495" s="1232"/>
      <c r="L495" s="969" t="s">
        <v>2233</v>
      </c>
    </row>
    <row r="496" spans="1:12" ht="15.5" x14ac:dyDescent="0.35">
      <c r="A496" s="643" t="s">
        <v>2701</v>
      </c>
      <c r="B496" s="768">
        <v>320</v>
      </c>
      <c r="C496" s="769" t="s">
        <v>2655</v>
      </c>
      <c r="D496" s="1230"/>
      <c r="E496" s="1231"/>
      <c r="F496" s="1231"/>
      <c r="G496" s="1231"/>
      <c r="H496" s="1231"/>
      <c r="I496" s="1231"/>
      <c r="J496" s="1231"/>
      <c r="K496" s="1232"/>
      <c r="L496" s="969" t="s">
        <v>2233</v>
      </c>
    </row>
    <row r="497" spans="1:12" ht="15.5" x14ac:dyDescent="0.35">
      <c r="A497" s="643" t="s">
        <v>2702</v>
      </c>
      <c r="B497" s="768">
        <v>335</v>
      </c>
      <c r="C497" s="769" t="s">
        <v>2655</v>
      </c>
      <c r="D497" s="1230"/>
      <c r="E497" s="1231"/>
      <c r="F497" s="1231"/>
      <c r="G497" s="1231"/>
      <c r="H497" s="1231"/>
      <c r="I497" s="1231"/>
      <c r="J497" s="1231"/>
      <c r="K497" s="1232"/>
      <c r="L497" s="969" t="s">
        <v>2233</v>
      </c>
    </row>
    <row r="498" spans="1:12" ht="15.5" x14ac:dyDescent="0.35">
      <c r="A498" s="643" t="s">
        <v>2703</v>
      </c>
      <c r="B498" s="768">
        <v>338</v>
      </c>
      <c r="C498" s="769" t="s">
        <v>2655</v>
      </c>
      <c r="D498" s="1230"/>
      <c r="E498" s="1231"/>
      <c r="F498" s="1231"/>
      <c r="G498" s="1231"/>
      <c r="H498" s="1231"/>
      <c r="I498" s="1231"/>
      <c r="J498" s="1231"/>
      <c r="K498" s="1232"/>
      <c r="L498" s="969" t="s">
        <v>2233</v>
      </c>
    </row>
    <row r="499" spans="1:12" ht="15.5" x14ac:dyDescent="0.35">
      <c r="A499" s="643" t="s">
        <v>2704</v>
      </c>
      <c r="B499" s="768">
        <v>340</v>
      </c>
      <c r="C499" s="769" t="s">
        <v>2655</v>
      </c>
      <c r="D499" s="1230"/>
      <c r="E499" s="1231"/>
      <c r="F499" s="1231"/>
      <c r="G499" s="1231"/>
      <c r="H499" s="1231"/>
      <c r="I499" s="1231"/>
      <c r="J499" s="1231"/>
      <c r="K499" s="1232"/>
      <c r="L499" s="969" t="s">
        <v>2233</v>
      </c>
    </row>
    <row r="500" spans="1:12" ht="15.5" x14ac:dyDescent="0.35">
      <c r="A500" s="643" t="s">
        <v>2705</v>
      </c>
      <c r="B500" s="768">
        <v>350</v>
      </c>
      <c r="C500" s="769" t="s">
        <v>2655</v>
      </c>
      <c r="D500" s="1230"/>
      <c r="E500" s="1231"/>
      <c r="F500" s="1231"/>
      <c r="G500" s="1231"/>
      <c r="H500" s="1231"/>
      <c r="I500" s="1231"/>
      <c r="J500" s="1231"/>
      <c r="K500" s="1232"/>
      <c r="L500" s="969" t="s">
        <v>2233</v>
      </c>
    </row>
    <row r="501" spans="1:12" ht="15.5" x14ac:dyDescent="0.35">
      <c r="A501" s="643" t="s">
        <v>2706</v>
      </c>
      <c r="B501" s="768">
        <v>351</v>
      </c>
      <c r="C501" s="769" t="s">
        <v>2655</v>
      </c>
      <c r="D501" s="1230"/>
      <c r="E501" s="1231"/>
      <c r="F501" s="1231"/>
      <c r="G501" s="1231"/>
      <c r="H501" s="1231"/>
      <c r="I501" s="1231"/>
      <c r="J501" s="1231"/>
      <c r="K501" s="1232"/>
      <c r="L501" s="969" t="s">
        <v>2233</v>
      </c>
    </row>
    <row r="502" spans="1:12" ht="15.5" x14ac:dyDescent="0.35">
      <c r="A502" s="643" t="s">
        <v>2707</v>
      </c>
      <c r="B502" s="768">
        <v>352</v>
      </c>
      <c r="C502" s="769" t="s">
        <v>2655</v>
      </c>
      <c r="D502" s="1230"/>
      <c r="E502" s="1231"/>
      <c r="F502" s="1231"/>
      <c r="G502" s="1231"/>
      <c r="H502" s="1231"/>
      <c r="I502" s="1231"/>
      <c r="J502" s="1231"/>
      <c r="K502" s="1232"/>
      <c r="L502" s="969" t="s">
        <v>2233</v>
      </c>
    </row>
    <row r="503" spans="1:12" ht="15.5" x14ac:dyDescent="0.35">
      <c r="A503" s="643" t="s">
        <v>2708</v>
      </c>
      <c r="B503" s="768">
        <v>360</v>
      </c>
      <c r="C503" s="769" t="s">
        <v>2655</v>
      </c>
      <c r="D503" s="1230"/>
      <c r="E503" s="1231"/>
      <c r="F503" s="1231"/>
      <c r="G503" s="1231"/>
      <c r="H503" s="1231"/>
      <c r="I503" s="1231"/>
      <c r="J503" s="1231"/>
      <c r="K503" s="1232"/>
      <c r="L503" s="969" t="s">
        <v>2233</v>
      </c>
    </row>
    <row r="504" spans="1:12" ht="15.5" x14ac:dyDescent="0.35">
      <c r="A504" s="643" t="s">
        <v>2709</v>
      </c>
      <c r="B504" s="768">
        <v>390</v>
      </c>
      <c r="C504" s="769" t="s">
        <v>2655</v>
      </c>
      <c r="D504" s="1230"/>
      <c r="E504" s="1231"/>
      <c r="F504" s="1231"/>
      <c r="G504" s="1231"/>
      <c r="H504" s="1231"/>
      <c r="I504" s="1231"/>
      <c r="J504" s="1231"/>
      <c r="K504" s="1232"/>
      <c r="L504" s="969" t="s">
        <v>2233</v>
      </c>
    </row>
    <row r="505" spans="1:12" ht="15.5" x14ac:dyDescent="0.35">
      <c r="A505" s="971" t="s">
        <v>2710</v>
      </c>
      <c r="B505" s="768">
        <v>1391</v>
      </c>
      <c r="C505" s="769" t="s">
        <v>2655</v>
      </c>
      <c r="D505" s="966"/>
      <c r="E505" s="967"/>
      <c r="F505" s="967"/>
      <c r="G505" s="967"/>
      <c r="H505" s="967"/>
      <c r="I505" s="967"/>
      <c r="J505" s="967"/>
      <c r="K505" s="968"/>
      <c r="L505" s="969" t="s">
        <v>2233</v>
      </c>
    </row>
    <row r="506" spans="1:12" ht="15.5" x14ac:dyDescent="0.35">
      <c r="A506" s="643" t="s">
        <v>2711</v>
      </c>
      <c r="B506" s="768">
        <v>400</v>
      </c>
      <c r="C506" s="769" t="s">
        <v>2655</v>
      </c>
      <c r="D506" s="1230"/>
      <c r="E506" s="1231"/>
      <c r="F506" s="1231"/>
      <c r="G506" s="1231"/>
      <c r="H506" s="1231"/>
      <c r="I506" s="1231"/>
      <c r="J506" s="1231"/>
      <c r="K506" s="1232"/>
      <c r="L506" s="969" t="s">
        <v>2233</v>
      </c>
    </row>
    <row r="507" spans="1:12" ht="15.5" x14ac:dyDescent="0.35">
      <c r="A507" s="971" t="s">
        <v>2712</v>
      </c>
      <c r="B507" s="768">
        <v>1401</v>
      </c>
      <c r="C507" s="769" t="s">
        <v>2655</v>
      </c>
      <c r="D507" s="966"/>
      <c r="E507" s="967"/>
      <c r="F507" s="967"/>
      <c r="G507" s="967"/>
      <c r="H507" s="967"/>
      <c r="I507" s="967"/>
      <c r="J507" s="967"/>
      <c r="K507" s="968"/>
      <c r="L507" s="969" t="s">
        <v>2233</v>
      </c>
    </row>
    <row r="508" spans="1:12" ht="15.5" x14ac:dyDescent="0.35">
      <c r="A508" s="643" t="s">
        <v>2713</v>
      </c>
      <c r="B508" s="768">
        <v>100</v>
      </c>
      <c r="C508" s="769" t="s">
        <v>2714</v>
      </c>
      <c r="D508" s="1230"/>
      <c r="E508" s="1231"/>
      <c r="F508" s="1231"/>
      <c r="G508" s="1231"/>
      <c r="H508" s="1231"/>
      <c r="I508" s="1231"/>
      <c r="J508" s="1231"/>
      <c r="K508" s="1232"/>
      <c r="L508" s="969" t="s">
        <v>2233</v>
      </c>
    </row>
    <row r="509" spans="1:12" ht="15.5" x14ac:dyDescent="0.35">
      <c r="A509" s="971" t="s">
        <v>2715</v>
      </c>
      <c r="B509" s="768">
        <v>1291</v>
      </c>
      <c r="C509" s="769" t="s">
        <v>2714</v>
      </c>
      <c r="D509" s="966"/>
      <c r="E509" s="967"/>
      <c r="F509" s="967"/>
      <c r="G509" s="967"/>
      <c r="H509" s="967"/>
      <c r="I509" s="967"/>
      <c r="J509" s="967"/>
      <c r="K509" s="968"/>
      <c r="L509" s="969" t="s">
        <v>2233</v>
      </c>
    </row>
    <row r="510" spans="1:12" ht="15.5" x14ac:dyDescent="0.35">
      <c r="A510" s="643" t="s">
        <v>2716</v>
      </c>
      <c r="B510" s="768">
        <v>210</v>
      </c>
      <c r="C510" s="769" t="s">
        <v>2714</v>
      </c>
      <c r="D510" s="1230"/>
      <c r="E510" s="1231"/>
      <c r="F510" s="1231"/>
      <c r="G510" s="1231"/>
      <c r="H510" s="1231"/>
      <c r="I510" s="1231"/>
      <c r="J510" s="1231"/>
      <c r="K510" s="1232"/>
      <c r="L510" s="969" t="s">
        <v>2233</v>
      </c>
    </row>
    <row r="511" spans="1:12" ht="15.5" x14ac:dyDescent="0.35">
      <c r="A511" s="643" t="s">
        <v>2717</v>
      </c>
      <c r="B511" s="768">
        <v>220</v>
      </c>
      <c r="C511" s="769" t="s">
        <v>2714</v>
      </c>
      <c r="D511" s="1230"/>
      <c r="E511" s="1231"/>
      <c r="F511" s="1231"/>
      <c r="G511" s="1231"/>
      <c r="H511" s="1231"/>
      <c r="I511" s="1231"/>
      <c r="J511" s="1231"/>
      <c r="K511" s="1232"/>
      <c r="L511" s="969" t="s">
        <v>2233</v>
      </c>
    </row>
    <row r="512" spans="1:12" ht="15.5" x14ac:dyDescent="0.35">
      <c r="A512" s="643" t="s">
        <v>2718</v>
      </c>
      <c r="B512" s="768">
        <v>230</v>
      </c>
      <c r="C512" s="769" t="s">
        <v>2714</v>
      </c>
      <c r="D512" s="1230"/>
      <c r="E512" s="1231"/>
      <c r="F512" s="1231"/>
      <c r="G512" s="1231"/>
      <c r="H512" s="1231"/>
      <c r="I512" s="1231"/>
      <c r="J512" s="1231"/>
      <c r="K512" s="1232"/>
      <c r="L512" s="969" t="s">
        <v>2233</v>
      </c>
    </row>
    <row r="513" spans="1:12" ht="15.5" x14ac:dyDescent="0.35">
      <c r="A513" s="643" t="s">
        <v>2719</v>
      </c>
      <c r="B513" s="768">
        <v>290</v>
      </c>
      <c r="C513" s="769" t="s">
        <v>2714</v>
      </c>
      <c r="D513" s="1230"/>
      <c r="E513" s="1231"/>
      <c r="F513" s="1231"/>
      <c r="G513" s="1231"/>
      <c r="H513" s="1231"/>
      <c r="I513" s="1231"/>
      <c r="J513" s="1231"/>
      <c r="K513" s="1232"/>
      <c r="L513" s="969" t="s">
        <v>2233</v>
      </c>
    </row>
    <row r="514" spans="1:12" ht="15.5" x14ac:dyDescent="0.35">
      <c r="A514" s="971" t="s">
        <v>2720</v>
      </c>
      <c r="B514" s="768">
        <v>1391</v>
      </c>
      <c r="C514" s="769" t="s">
        <v>2714</v>
      </c>
      <c r="D514" s="966"/>
      <c r="E514" s="967"/>
      <c r="F514" s="967"/>
      <c r="G514" s="967"/>
      <c r="H514" s="967"/>
      <c r="I514" s="967"/>
      <c r="J514" s="967"/>
      <c r="K514" s="968"/>
      <c r="L514" s="969" t="s">
        <v>2233</v>
      </c>
    </row>
    <row r="515" spans="1:12" ht="15.5" x14ac:dyDescent="0.35">
      <c r="A515" s="643" t="s">
        <v>2721</v>
      </c>
      <c r="B515" s="768">
        <v>410</v>
      </c>
      <c r="C515" s="769" t="s">
        <v>2714</v>
      </c>
      <c r="D515" s="1230"/>
      <c r="E515" s="1231"/>
      <c r="F515" s="1231"/>
      <c r="G515" s="1231"/>
      <c r="H515" s="1231"/>
      <c r="I515" s="1231"/>
      <c r="J515" s="1231"/>
      <c r="K515" s="1232"/>
      <c r="L515" s="969" t="s">
        <v>2233</v>
      </c>
    </row>
    <row r="516" spans="1:12" ht="15.5" x14ac:dyDescent="0.35">
      <c r="A516" s="643" t="s">
        <v>2722</v>
      </c>
      <c r="B516" s="768">
        <v>421</v>
      </c>
      <c r="C516" s="769" t="s">
        <v>2714</v>
      </c>
      <c r="D516" s="1230"/>
      <c r="E516" s="1231"/>
      <c r="F516" s="1231"/>
      <c r="G516" s="1231"/>
      <c r="H516" s="1231"/>
      <c r="I516" s="1231"/>
      <c r="J516" s="1231"/>
      <c r="K516" s="1232"/>
      <c r="L516" s="969" t="s">
        <v>2233</v>
      </c>
    </row>
    <row r="517" spans="1:12" ht="15.5" x14ac:dyDescent="0.35">
      <c r="A517" s="643" t="s">
        <v>2723</v>
      </c>
      <c r="B517" s="768">
        <v>422</v>
      </c>
      <c r="C517" s="769" t="s">
        <v>2714</v>
      </c>
      <c r="D517" s="1230"/>
      <c r="E517" s="1231"/>
      <c r="F517" s="1231"/>
      <c r="G517" s="1231"/>
      <c r="H517" s="1231"/>
      <c r="I517" s="1231"/>
      <c r="J517" s="1231"/>
      <c r="K517" s="1232"/>
      <c r="L517" s="969" t="s">
        <v>2233</v>
      </c>
    </row>
    <row r="518" spans="1:12" ht="15.5" x14ac:dyDescent="0.35">
      <c r="A518" s="643" t="s">
        <v>2724</v>
      </c>
      <c r="B518" s="768">
        <v>423</v>
      </c>
      <c r="C518" s="769" t="s">
        <v>2714</v>
      </c>
      <c r="D518" s="1230"/>
      <c r="E518" s="1231"/>
      <c r="F518" s="1231"/>
      <c r="G518" s="1231"/>
      <c r="H518" s="1231"/>
      <c r="I518" s="1231"/>
      <c r="J518" s="1231"/>
      <c r="K518" s="1232"/>
      <c r="L518" s="969" t="s">
        <v>2233</v>
      </c>
    </row>
    <row r="519" spans="1:12" ht="15.5" x14ac:dyDescent="0.35">
      <c r="A519" s="643" t="s">
        <v>2725</v>
      </c>
      <c r="B519" s="768">
        <v>425</v>
      </c>
      <c r="C519" s="769" t="s">
        <v>2714</v>
      </c>
      <c r="D519" s="1230"/>
      <c r="E519" s="1231"/>
      <c r="F519" s="1231"/>
      <c r="G519" s="1231"/>
      <c r="H519" s="1231"/>
      <c r="I519" s="1231"/>
      <c r="J519" s="1231"/>
      <c r="K519" s="1232"/>
      <c r="L519" s="969" t="s">
        <v>2233</v>
      </c>
    </row>
    <row r="520" spans="1:12" ht="15.5" x14ac:dyDescent="0.35">
      <c r="A520" s="643" t="s">
        <v>2726</v>
      </c>
      <c r="B520" s="768">
        <v>426</v>
      </c>
      <c r="C520" s="769" t="s">
        <v>2714</v>
      </c>
      <c r="D520" s="1230"/>
      <c r="E520" s="1231"/>
      <c r="F520" s="1231"/>
      <c r="G520" s="1231"/>
      <c r="H520" s="1231"/>
      <c r="I520" s="1231"/>
      <c r="J520" s="1231"/>
      <c r="K520" s="1232"/>
      <c r="L520" s="969" t="s">
        <v>2233</v>
      </c>
    </row>
    <row r="521" spans="1:12" ht="15.5" x14ac:dyDescent="0.35">
      <c r="A521" s="643" t="s">
        <v>2727</v>
      </c>
      <c r="B521" s="768">
        <v>428</v>
      </c>
      <c r="C521" s="769" t="s">
        <v>2714</v>
      </c>
      <c r="D521" s="1230"/>
      <c r="E521" s="1231"/>
      <c r="F521" s="1231"/>
      <c r="G521" s="1231"/>
      <c r="H521" s="1231"/>
      <c r="I521" s="1231"/>
      <c r="J521" s="1231"/>
      <c r="K521" s="1232"/>
      <c r="L521" s="969" t="s">
        <v>2233</v>
      </c>
    </row>
    <row r="522" spans="1:12" ht="15.5" x14ac:dyDescent="0.35">
      <c r="A522" s="643" t="s">
        <v>2728</v>
      </c>
      <c r="B522" s="768">
        <v>430</v>
      </c>
      <c r="C522" s="769" t="s">
        <v>2714</v>
      </c>
      <c r="D522" s="1230"/>
      <c r="E522" s="1231"/>
      <c r="F522" s="1231"/>
      <c r="G522" s="1231"/>
      <c r="H522" s="1231"/>
      <c r="I522" s="1231"/>
      <c r="J522" s="1231"/>
      <c r="K522" s="1232"/>
      <c r="L522" s="969" t="s">
        <v>2233</v>
      </c>
    </row>
    <row r="523" spans="1:12" ht="15.5" x14ac:dyDescent="0.35">
      <c r="A523" s="643" t="s">
        <v>2729</v>
      </c>
      <c r="B523" s="768">
        <v>441</v>
      </c>
      <c r="C523" s="769" t="s">
        <v>2714</v>
      </c>
      <c r="D523" s="1230"/>
      <c r="E523" s="1231"/>
      <c r="F523" s="1231"/>
      <c r="G523" s="1231"/>
      <c r="H523" s="1231"/>
      <c r="I523" s="1231"/>
      <c r="J523" s="1231"/>
      <c r="K523" s="1232"/>
      <c r="L523" s="969" t="s">
        <v>2233</v>
      </c>
    </row>
    <row r="524" spans="1:12" ht="15.5" x14ac:dyDescent="0.35">
      <c r="A524" s="643" t="s">
        <v>2730</v>
      </c>
      <c r="B524" s="768">
        <v>442</v>
      </c>
      <c r="C524" s="769" t="s">
        <v>2714</v>
      </c>
      <c r="D524" s="1230"/>
      <c r="E524" s="1231"/>
      <c r="F524" s="1231"/>
      <c r="G524" s="1231"/>
      <c r="H524" s="1231"/>
      <c r="I524" s="1231"/>
      <c r="J524" s="1231"/>
      <c r="K524" s="1232"/>
      <c r="L524" s="969" t="s">
        <v>2233</v>
      </c>
    </row>
    <row r="525" spans="1:12" ht="15.5" x14ac:dyDescent="0.35">
      <c r="A525" s="643" t="s">
        <v>2731</v>
      </c>
      <c r="B525" s="768">
        <v>450</v>
      </c>
      <c r="C525" s="769" t="s">
        <v>2714</v>
      </c>
      <c r="D525" s="1230"/>
      <c r="E525" s="1231"/>
      <c r="F525" s="1231"/>
      <c r="G525" s="1231"/>
      <c r="H525" s="1231"/>
      <c r="I525" s="1231"/>
      <c r="J525" s="1231"/>
      <c r="K525" s="1232"/>
      <c r="L525" s="969" t="s">
        <v>2233</v>
      </c>
    </row>
    <row r="526" spans="1:12" ht="15.5" x14ac:dyDescent="0.35">
      <c r="A526" s="643" t="s">
        <v>2732</v>
      </c>
      <c r="B526" s="768">
        <v>460</v>
      </c>
      <c r="C526" s="769" t="s">
        <v>2714</v>
      </c>
      <c r="D526" s="1230"/>
      <c r="E526" s="1231"/>
      <c r="F526" s="1231"/>
      <c r="G526" s="1231"/>
      <c r="H526" s="1231"/>
      <c r="I526" s="1231"/>
      <c r="J526" s="1231"/>
      <c r="K526" s="1232"/>
      <c r="L526" s="969" t="s">
        <v>2233</v>
      </c>
    </row>
    <row r="527" spans="1:12" ht="15.5" x14ac:dyDescent="0.35">
      <c r="A527" s="643" t="s">
        <v>2733</v>
      </c>
      <c r="B527" s="768">
        <v>465</v>
      </c>
      <c r="C527" s="769" t="s">
        <v>2714</v>
      </c>
      <c r="D527" s="1230"/>
      <c r="E527" s="1231"/>
      <c r="F527" s="1231"/>
      <c r="G527" s="1231"/>
      <c r="H527" s="1231"/>
      <c r="I527" s="1231"/>
      <c r="J527" s="1231"/>
      <c r="K527" s="1232"/>
      <c r="L527" s="969" t="s">
        <v>2233</v>
      </c>
    </row>
    <row r="528" spans="1:12" ht="15.5" x14ac:dyDescent="0.35">
      <c r="A528" s="643" t="s">
        <v>2734</v>
      </c>
      <c r="B528" s="768">
        <v>470</v>
      </c>
      <c r="C528" s="769" t="s">
        <v>2714</v>
      </c>
      <c r="D528" s="1230"/>
      <c r="E528" s="1231"/>
      <c r="F528" s="1231"/>
      <c r="G528" s="1231"/>
      <c r="H528" s="1231"/>
      <c r="I528" s="1231"/>
      <c r="J528" s="1231"/>
      <c r="K528" s="1232"/>
      <c r="L528" s="969" t="s">
        <v>2233</v>
      </c>
    </row>
    <row r="529" spans="1:12" ht="15.5" x14ac:dyDescent="0.35">
      <c r="A529" s="643" t="s">
        <v>2735</v>
      </c>
      <c r="B529" s="768">
        <v>475</v>
      </c>
      <c r="C529" s="769" t="s">
        <v>2714</v>
      </c>
      <c r="D529" s="1230"/>
      <c r="E529" s="1231"/>
      <c r="F529" s="1231"/>
      <c r="G529" s="1231"/>
      <c r="H529" s="1231"/>
      <c r="I529" s="1231"/>
      <c r="J529" s="1231"/>
      <c r="K529" s="1232"/>
      <c r="L529" s="969" t="s">
        <v>2233</v>
      </c>
    </row>
    <row r="530" spans="1:12" ht="15.5" x14ac:dyDescent="0.35">
      <c r="A530" s="643" t="s">
        <v>2736</v>
      </c>
      <c r="B530" s="768">
        <v>476</v>
      </c>
      <c r="C530" s="769" t="s">
        <v>2714</v>
      </c>
      <c r="D530" s="1230"/>
      <c r="E530" s="1231"/>
      <c r="F530" s="1231"/>
      <c r="G530" s="1231"/>
      <c r="H530" s="1231"/>
      <c r="I530" s="1231"/>
      <c r="J530" s="1231"/>
      <c r="K530" s="1232"/>
      <c r="L530" s="969" t="s">
        <v>2233</v>
      </c>
    </row>
    <row r="531" spans="1:12" ht="15.5" x14ac:dyDescent="0.35">
      <c r="A531" s="643" t="s">
        <v>2737</v>
      </c>
      <c r="B531" s="768">
        <v>481</v>
      </c>
      <c r="C531" s="769" t="s">
        <v>2714</v>
      </c>
      <c r="D531" s="1230"/>
      <c r="E531" s="1231"/>
      <c r="F531" s="1231"/>
      <c r="G531" s="1231"/>
      <c r="H531" s="1231"/>
      <c r="I531" s="1231"/>
      <c r="J531" s="1231"/>
      <c r="K531" s="1232"/>
      <c r="L531" s="969" t="s">
        <v>2233</v>
      </c>
    </row>
    <row r="532" spans="1:12" ht="15.5" x14ac:dyDescent="0.35">
      <c r="A532" s="643" t="s">
        <v>2738</v>
      </c>
      <c r="B532" s="768">
        <v>482</v>
      </c>
      <c r="C532" s="769" t="s">
        <v>2714</v>
      </c>
      <c r="D532" s="1230"/>
      <c r="E532" s="1231"/>
      <c r="F532" s="1231"/>
      <c r="G532" s="1231"/>
      <c r="H532" s="1231"/>
      <c r="I532" s="1231"/>
      <c r="J532" s="1231"/>
      <c r="K532" s="1232"/>
      <c r="L532" s="969" t="s">
        <v>2233</v>
      </c>
    </row>
    <row r="533" spans="1:12" ht="15.5" x14ac:dyDescent="0.35">
      <c r="A533" s="643" t="s">
        <v>2739</v>
      </c>
      <c r="B533" s="768">
        <v>484</v>
      </c>
      <c r="C533" s="769" t="s">
        <v>2714</v>
      </c>
      <c r="D533" s="1230"/>
      <c r="E533" s="1231"/>
      <c r="F533" s="1231"/>
      <c r="G533" s="1231"/>
      <c r="H533" s="1231"/>
      <c r="I533" s="1231"/>
      <c r="J533" s="1231"/>
      <c r="K533" s="1232"/>
      <c r="L533" s="969" t="s">
        <v>2233</v>
      </c>
    </row>
    <row r="534" spans="1:12" ht="15.5" x14ac:dyDescent="0.35">
      <c r="A534" s="643" t="s">
        <v>2740</v>
      </c>
      <c r="B534" s="768">
        <v>489</v>
      </c>
      <c r="C534" s="769" t="s">
        <v>2714</v>
      </c>
      <c r="D534" s="1230"/>
      <c r="E534" s="1231"/>
      <c r="F534" s="1231"/>
      <c r="G534" s="1231"/>
      <c r="H534" s="1231"/>
      <c r="I534" s="1231"/>
      <c r="J534" s="1231"/>
      <c r="K534" s="1232"/>
      <c r="L534" s="969" t="s">
        <v>2233</v>
      </c>
    </row>
    <row r="535" spans="1:12" ht="15.5" x14ac:dyDescent="0.35">
      <c r="A535" s="643" t="s">
        <v>2741</v>
      </c>
      <c r="B535" s="768">
        <v>490</v>
      </c>
      <c r="C535" s="769" t="s">
        <v>2714</v>
      </c>
      <c r="D535" s="1230"/>
      <c r="E535" s="1231"/>
      <c r="F535" s="1231"/>
      <c r="G535" s="1231"/>
      <c r="H535" s="1231"/>
      <c r="I535" s="1231"/>
      <c r="J535" s="1231"/>
      <c r="K535" s="1232"/>
      <c r="L535" s="969" t="s">
        <v>2233</v>
      </c>
    </row>
    <row r="536" spans="1:12" ht="15.5" x14ac:dyDescent="0.35">
      <c r="A536" s="971" t="s">
        <v>2742</v>
      </c>
      <c r="B536" s="768">
        <v>1491</v>
      </c>
      <c r="C536" s="769" t="s">
        <v>2714</v>
      </c>
      <c r="D536" s="966"/>
      <c r="E536" s="967"/>
      <c r="F536" s="967"/>
      <c r="G536" s="967"/>
      <c r="H536" s="967"/>
      <c r="I536" s="967"/>
      <c r="J536" s="967"/>
      <c r="K536" s="968"/>
      <c r="L536" s="969" t="s">
        <v>2233</v>
      </c>
    </row>
    <row r="537" spans="1:12" ht="15.5" x14ac:dyDescent="0.35">
      <c r="A537" s="643" t="s">
        <v>2743</v>
      </c>
      <c r="B537" s="768">
        <v>491</v>
      </c>
      <c r="C537" s="769" t="s">
        <v>2714</v>
      </c>
      <c r="D537" s="1230"/>
      <c r="E537" s="1231"/>
      <c r="F537" s="1231"/>
      <c r="G537" s="1231"/>
      <c r="H537" s="1231"/>
      <c r="I537" s="1231"/>
      <c r="J537" s="1231"/>
      <c r="K537" s="1232"/>
      <c r="L537" s="969" t="s">
        <v>2233</v>
      </c>
    </row>
    <row r="538" spans="1:12" ht="15.5" x14ac:dyDescent="0.35">
      <c r="A538" s="643" t="s">
        <v>2744</v>
      </c>
      <c r="B538" s="768">
        <v>492</v>
      </c>
      <c r="C538" s="769" t="s">
        <v>2714</v>
      </c>
      <c r="D538" s="1230"/>
      <c r="E538" s="1231"/>
      <c r="F538" s="1231"/>
      <c r="G538" s="1231"/>
      <c r="H538" s="1231"/>
      <c r="I538" s="1231"/>
      <c r="J538" s="1231"/>
      <c r="K538" s="1232"/>
      <c r="L538" s="969" t="s">
        <v>2233</v>
      </c>
    </row>
    <row r="539" spans="1:12" ht="15.5" x14ac:dyDescent="0.35">
      <c r="A539" s="643" t="s">
        <v>2745</v>
      </c>
      <c r="B539" s="768">
        <v>493</v>
      </c>
      <c r="C539" s="769" t="s">
        <v>2714</v>
      </c>
      <c r="D539" s="1230"/>
      <c r="E539" s="1231"/>
      <c r="F539" s="1231"/>
      <c r="G539" s="1231"/>
      <c r="H539" s="1231"/>
      <c r="I539" s="1231"/>
      <c r="J539" s="1231"/>
      <c r="K539" s="1232"/>
      <c r="L539" s="969" t="s">
        <v>2233</v>
      </c>
    </row>
    <row r="540" spans="1:12" ht="15.5" x14ac:dyDescent="0.35">
      <c r="A540" s="643" t="s">
        <v>2746</v>
      </c>
      <c r="B540" s="768">
        <v>494</v>
      </c>
      <c r="C540" s="769" t="s">
        <v>2714</v>
      </c>
      <c r="D540" s="1230"/>
      <c r="E540" s="1231"/>
      <c r="F540" s="1231"/>
      <c r="G540" s="1231"/>
      <c r="H540" s="1231"/>
      <c r="I540" s="1231"/>
      <c r="J540" s="1231"/>
      <c r="K540" s="1232"/>
      <c r="L540" s="969" t="s">
        <v>2233</v>
      </c>
    </row>
    <row r="541" spans="1:12" ht="15.5" x14ac:dyDescent="0.35">
      <c r="A541" s="643" t="s">
        <v>2747</v>
      </c>
      <c r="B541" s="768">
        <v>495</v>
      </c>
      <c r="C541" s="769" t="s">
        <v>2714</v>
      </c>
      <c r="D541" s="1230"/>
      <c r="E541" s="1231"/>
      <c r="F541" s="1231"/>
      <c r="G541" s="1231"/>
      <c r="H541" s="1231"/>
      <c r="I541" s="1231"/>
      <c r="J541" s="1231"/>
      <c r="K541" s="1232"/>
      <c r="L541" s="969" t="s">
        <v>2233</v>
      </c>
    </row>
    <row r="542" spans="1:12" ht="15.5" x14ac:dyDescent="0.35">
      <c r="A542" s="643" t="s">
        <v>2748</v>
      </c>
      <c r="B542" s="768">
        <v>500</v>
      </c>
      <c r="C542" s="769" t="s">
        <v>2714</v>
      </c>
      <c r="D542" s="1230"/>
      <c r="E542" s="1231"/>
      <c r="F542" s="1231"/>
      <c r="G542" s="1231"/>
      <c r="H542" s="1231"/>
      <c r="I542" s="1231"/>
      <c r="J542" s="1231"/>
      <c r="K542" s="1232"/>
      <c r="L542" s="969" t="s">
        <v>2233</v>
      </c>
    </row>
    <row r="543" spans="1:12" ht="15.5" x14ac:dyDescent="0.35">
      <c r="A543" s="971" t="s">
        <v>2749</v>
      </c>
      <c r="B543" s="768">
        <v>1501</v>
      </c>
      <c r="C543" s="769" t="s">
        <v>2714</v>
      </c>
      <c r="D543" s="966"/>
      <c r="E543" s="967"/>
      <c r="F543" s="967"/>
      <c r="G543" s="967"/>
      <c r="H543" s="967"/>
      <c r="I543" s="967"/>
      <c r="J543" s="967"/>
      <c r="K543" s="968"/>
      <c r="L543" s="969" t="s">
        <v>2233</v>
      </c>
    </row>
    <row r="544" spans="1:12" ht="15.5" x14ac:dyDescent="0.35">
      <c r="A544" s="643" t="s">
        <v>2750</v>
      </c>
      <c r="B544" s="768">
        <v>501</v>
      </c>
      <c r="C544" s="769" t="s">
        <v>2714</v>
      </c>
      <c r="D544" s="1230"/>
      <c r="E544" s="1231"/>
      <c r="F544" s="1231"/>
      <c r="G544" s="1231"/>
      <c r="H544" s="1231"/>
      <c r="I544" s="1231"/>
      <c r="J544" s="1231"/>
      <c r="K544" s="1232"/>
      <c r="L544" s="969" t="s">
        <v>2233</v>
      </c>
    </row>
    <row r="545" spans="1:12" ht="15.5" x14ac:dyDescent="0.35">
      <c r="A545" s="643" t="s">
        <v>2751</v>
      </c>
      <c r="B545" s="768">
        <v>502</v>
      </c>
      <c r="C545" s="769" t="s">
        <v>2714</v>
      </c>
      <c r="D545" s="1230"/>
      <c r="E545" s="1231"/>
      <c r="F545" s="1231"/>
      <c r="G545" s="1231"/>
      <c r="H545" s="1231"/>
      <c r="I545" s="1231"/>
      <c r="J545" s="1231"/>
      <c r="K545" s="1232"/>
      <c r="L545" s="969" t="s">
        <v>2233</v>
      </c>
    </row>
    <row r="546" spans="1:12" ht="15.5" x14ac:dyDescent="0.35">
      <c r="A546" s="643" t="s">
        <v>2752</v>
      </c>
      <c r="B546" s="768">
        <v>503</v>
      </c>
      <c r="C546" s="769" t="s">
        <v>2714</v>
      </c>
      <c r="D546" s="1230"/>
      <c r="E546" s="1231"/>
      <c r="F546" s="1231"/>
      <c r="G546" s="1231"/>
      <c r="H546" s="1231"/>
      <c r="I546" s="1231"/>
      <c r="J546" s="1231"/>
      <c r="K546" s="1232"/>
      <c r="L546" s="969" t="s">
        <v>2233</v>
      </c>
    </row>
    <row r="547" spans="1:12" ht="15.5" x14ac:dyDescent="0.35">
      <c r="A547" s="643" t="s">
        <v>2753</v>
      </c>
      <c r="B547" s="768">
        <v>504</v>
      </c>
      <c r="C547" s="769" t="s">
        <v>2714</v>
      </c>
      <c r="D547" s="1230"/>
      <c r="E547" s="1231"/>
      <c r="F547" s="1231"/>
      <c r="G547" s="1231"/>
      <c r="H547" s="1231"/>
      <c r="I547" s="1231"/>
      <c r="J547" s="1231"/>
      <c r="K547" s="1232"/>
      <c r="L547" s="969" t="s">
        <v>2233</v>
      </c>
    </row>
    <row r="548" spans="1:12" ht="15.5" x14ac:dyDescent="0.35">
      <c r="A548" s="643" t="s">
        <v>2754</v>
      </c>
      <c r="B548" s="768">
        <v>505</v>
      </c>
      <c r="C548" s="769" t="s">
        <v>2714</v>
      </c>
      <c r="D548" s="1230"/>
      <c r="E548" s="1231"/>
      <c r="F548" s="1231"/>
      <c r="G548" s="1231"/>
      <c r="H548" s="1231"/>
      <c r="I548" s="1231"/>
      <c r="J548" s="1231"/>
      <c r="K548" s="1232"/>
      <c r="L548" s="969" t="s">
        <v>2233</v>
      </c>
    </row>
    <row r="549" spans="1:12" ht="15.5" x14ac:dyDescent="0.35">
      <c r="A549" s="643" t="s">
        <v>2755</v>
      </c>
      <c r="B549" s="768">
        <v>506</v>
      </c>
      <c r="C549" s="769" t="s">
        <v>2714</v>
      </c>
      <c r="D549" s="1230"/>
      <c r="E549" s="1231"/>
      <c r="F549" s="1231"/>
      <c r="G549" s="1231"/>
      <c r="H549" s="1231"/>
      <c r="I549" s="1231"/>
      <c r="J549" s="1231"/>
      <c r="K549" s="1232"/>
      <c r="L549" s="969" t="s">
        <v>2233</v>
      </c>
    </row>
    <row r="550" spans="1:12" ht="15.5" x14ac:dyDescent="0.35">
      <c r="A550" s="643" t="s">
        <v>2756</v>
      </c>
      <c r="B550" s="768">
        <v>507</v>
      </c>
      <c r="C550" s="769" t="s">
        <v>2714</v>
      </c>
      <c r="D550" s="1230"/>
      <c r="E550" s="1231"/>
      <c r="F550" s="1231"/>
      <c r="G550" s="1231"/>
      <c r="H550" s="1231"/>
      <c r="I550" s="1231"/>
      <c r="J550" s="1231"/>
      <c r="K550" s="1232"/>
      <c r="L550" s="969" t="s">
        <v>2233</v>
      </c>
    </row>
    <row r="551" spans="1:12" ht="15.5" x14ac:dyDescent="0.35">
      <c r="A551" s="643" t="s">
        <v>2757</v>
      </c>
      <c r="B551" s="768">
        <v>508</v>
      </c>
      <c r="C551" s="769" t="s">
        <v>2714</v>
      </c>
      <c r="D551" s="1230"/>
      <c r="E551" s="1231"/>
      <c r="F551" s="1231"/>
      <c r="G551" s="1231"/>
      <c r="H551" s="1231"/>
      <c r="I551" s="1231"/>
      <c r="J551" s="1231"/>
      <c r="K551" s="1232"/>
      <c r="L551" s="969" t="s">
        <v>2233</v>
      </c>
    </row>
    <row r="552" spans="1:12" ht="15.5" x14ac:dyDescent="0.35">
      <c r="A552" s="643" t="s">
        <v>2758</v>
      </c>
      <c r="B552" s="768">
        <v>509</v>
      </c>
      <c r="C552" s="769" t="s">
        <v>2714</v>
      </c>
      <c r="D552" s="1230"/>
      <c r="E552" s="1231"/>
      <c r="F552" s="1231"/>
      <c r="G552" s="1231"/>
      <c r="H552" s="1231"/>
      <c r="I552" s="1231"/>
      <c r="J552" s="1231"/>
      <c r="K552" s="1232"/>
      <c r="L552" s="969" t="s">
        <v>2233</v>
      </c>
    </row>
    <row r="553" spans="1:12" ht="15.5" x14ac:dyDescent="0.35">
      <c r="A553" s="643" t="s">
        <v>2759</v>
      </c>
      <c r="B553" s="768">
        <v>510</v>
      </c>
      <c r="C553" s="769" t="s">
        <v>2714</v>
      </c>
      <c r="D553" s="1230"/>
      <c r="E553" s="1231"/>
      <c r="F553" s="1231"/>
      <c r="G553" s="1231"/>
      <c r="H553" s="1231"/>
      <c r="I553" s="1231"/>
      <c r="J553" s="1231"/>
      <c r="K553" s="1232"/>
      <c r="L553" s="969" t="s">
        <v>2233</v>
      </c>
    </row>
    <row r="554" spans="1:12" ht="15.5" x14ac:dyDescent="0.35">
      <c r="A554" s="643" t="s">
        <v>2760</v>
      </c>
      <c r="B554" s="768">
        <v>511</v>
      </c>
      <c r="C554" s="769" t="s">
        <v>2714</v>
      </c>
      <c r="D554" s="1230"/>
      <c r="E554" s="1231"/>
      <c r="F554" s="1231"/>
      <c r="G554" s="1231"/>
      <c r="H554" s="1231"/>
      <c r="I554" s="1231"/>
      <c r="J554" s="1231"/>
      <c r="K554" s="1232"/>
      <c r="L554" s="969" t="s">
        <v>2233</v>
      </c>
    </row>
    <row r="555" spans="1:12" ht="15.5" x14ac:dyDescent="0.35">
      <c r="A555" s="643" t="s">
        <v>2761</v>
      </c>
      <c r="B555" s="768">
        <v>512</v>
      </c>
      <c r="C555" s="769" t="s">
        <v>2714</v>
      </c>
      <c r="D555" s="1230"/>
      <c r="E555" s="1231"/>
      <c r="F555" s="1231"/>
      <c r="G555" s="1231"/>
      <c r="H555" s="1231"/>
      <c r="I555" s="1231"/>
      <c r="J555" s="1231"/>
      <c r="K555" s="1232"/>
      <c r="L555" s="969" t="s">
        <v>2233</v>
      </c>
    </row>
    <row r="556" spans="1:12" ht="15.5" x14ac:dyDescent="0.35">
      <c r="A556" s="643" t="s">
        <v>2762</v>
      </c>
      <c r="B556" s="768">
        <v>513</v>
      </c>
      <c r="C556" s="769" t="s">
        <v>2714</v>
      </c>
      <c r="D556" s="1230"/>
      <c r="E556" s="1231"/>
      <c r="F556" s="1231"/>
      <c r="G556" s="1231"/>
      <c r="H556" s="1231"/>
      <c r="I556" s="1231"/>
      <c r="J556" s="1231"/>
      <c r="K556" s="1232"/>
      <c r="L556" s="969" t="s">
        <v>2233</v>
      </c>
    </row>
    <row r="557" spans="1:12" ht="15.5" x14ac:dyDescent="0.35">
      <c r="A557" s="643" t="s">
        <v>2763</v>
      </c>
      <c r="B557" s="768">
        <v>514</v>
      </c>
      <c r="C557" s="769" t="s">
        <v>2714</v>
      </c>
      <c r="D557" s="1230"/>
      <c r="E557" s="1231"/>
      <c r="F557" s="1231"/>
      <c r="G557" s="1231"/>
      <c r="H557" s="1231"/>
      <c r="I557" s="1231"/>
      <c r="J557" s="1231"/>
      <c r="K557" s="1232"/>
      <c r="L557" s="969" t="s">
        <v>2233</v>
      </c>
    </row>
    <row r="558" spans="1:12" ht="15.5" x14ac:dyDescent="0.35">
      <c r="A558" s="643" t="s">
        <v>2764</v>
      </c>
      <c r="B558" s="768">
        <v>515</v>
      </c>
      <c r="C558" s="769" t="s">
        <v>2714</v>
      </c>
      <c r="D558" s="1230"/>
      <c r="E558" s="1231"/>
      <c r="F558" s="1231"/>
      <c r="G558" s="1231"/>
      <c r="H558" s="1231"/>
      <c r="I558" s="1231"/>
      <c r="J558" s="1231"/>
      <c r="K558" s="1232"/>
      <c r="L558" s="969" t="s">
        <v>2233</v>
      </c>
    </row>
    <row r="559" spans="1:12" ht="15.5" x14ac:dyDescent="0.35">
      <c r="A559" s="643" t="s">
        <v>2765</v>
      </c>
      <c r="B559" s="768">
        <v>516</v>
      </c>
      <c r="C559" s="769" t="s">
        <v>2714</v>
      </c>
      <c r="D559" s="1230"/>
      <c r="E559" s="1231"/>
      <c r="F559" s="1231"/>
      <c r="G559" s="1231"/>
      <c r="H559" s="1231"/>
      <c r="I559" s="1231"/>
      <c r="J559" s="1231"/>
      <c r="K559" s="1232"/>
      <c r="L559" s="969" t="s">
        <v>2233</v>
      </c>
    </row>
    <row r="560" spans="1:12" ht="15.5" x14ac:dyDescent="0.35">
      <c r="A560" s="643" t="s">
        <v>2766</v>
      </c>
      <c r="B560" s="768">
        <v>517</v>
      </c>
      <c r="C560" s="769" t="s">
        <v>2714</v>
      </c>
      <c r="D560" s="1230"/>
      <c r="E560" s="1231"/>
      <c r="F560" s="1231"/>
      <c r="G560" s="1231"/>
      <c r="H560" s="1231"/>
      <c r="I560" s="1231"/>
      <c r="J560" s="1231"/>
      <c r="K560" s="1232"/>
      <c r="L560" s="969" t="s">
        <v>2233</v>
      </c>
    </row>
    <row r="561" spans="1:12" ht="15.5" x14ac:dyDescent="0.35">
      <c r="A561" s="643" t="s">
        <v>2767</v>
      </c>
      <c r="B561" s="768">
        <v>518</v>
      </c>
      <c r="C561" s="769" t="s">
        <v>2714</v>
      </c>
      <c r="D561" s="1230"/>
      <c r="E561" s="1231"/>
      <c r="F561" s="1231"/>
      <c r="G561" s="1231"/>
      <c r="H561" s="1231"/>
      <c r="I561" s="1231"/>
      <c r="J561" s="1231"/>
      <c r="K561" s="1232"/>
      <c r="L561" s="969" t="s">
        <v>2233</v>
      </c>
    </row>
    <row r="562" spans="1:12" ht="15.5" x14ac:dyDescent="0.35">
      <c r="A562" s="643" t="s">
        <v>2768</v>
      </c>
      <c r="B562" s="768">
        <v>519</v>
      </c>
      <c r="C562" s="769" t="s">
        <v>2714</v>
      </c>
      <c r="D562" s="1230"/>
      <c r="E562" s="1231"/>
      <c r="F562" s="1231"/>
      <c r="G562" s="1231"/>
      <c r="H562" s="1231"/>
      <c r="I562" s="1231"/>
      <c r="J562" s="1231"/>
      <c r="K562" s="1232"/>
      <c r="L562" s="969" t="s">
        <v>2233</v>
      </c>
    </row>
    <row r="563" spans="1:12" ht="15.5" x14ac:dyDescent="0.35">
      <c r="A563" s="643" t="s">
        <v>2769</v>
      </c>
      <c r="B563" s="768">
        <v>520</v>
      </c>
      <c r="C563" s="769" t="s">
        <v>2714</v>
      </c>
      <c r="D563" s="1230"/>
      <c r="E563" s="1231"/>
      <c r="F563" s="1231"/>
      <c r="G563" s="1231"/>
      <c r="H563" s="1231"/>
      <c r="I563" s="1231"/>
      <c r="J563" s="1231"/>
      <c r="K563" s="1232"/>
      <c r="L563" s="969" t="s">
        <v>2233</v>
      </c>
    </row>
    <row r="564" spans="1:12" ht="15.5" x14ac:dyDescent="0.35">
      <c r="A564" s="643" t="s">
        <v>2770</v>
      </c>
      <c r="B564" s="768">
        <v>590</v>
      </c>
      <c r="C564" s="769" t="s">
        <v>2714</v>
      </c>
      <c r="D564" s="1230"/>
      <c r="E564" s="1231"/>
      <c r="F564" s="1231"/>
      <c r="G564" s="1231"/>
      <c r="H564" s="1231"/>
      <c r="I564" s="1231"/>
      <c r="J564" s="1231"/>
      <c r="K564" s="1232"/>
      <c r="L564" s="969" t="s">
        <v>2233</v>
      </c>
    </row>
    <row r="565" spans="1:12" ht="15.5" x14ac:dyDescent="0.35">
      <c r="A565" s="643" t="s">
        <v>2771</v>
      </c>
      <c r="B565" s="768">
        <v>260</v>
      </c>
      <c r="C565" s="769" t="s">
        <v>2772</v>
      </c>
      <c r="D565" s="1230"/>
      <c r="E565" s="1231"/>
      <c r="F565" s="1231"/>
      <c r="G565" s="1231"/>
      <c r="H565" s="1231"/>
      <c r="I565" s="1231"/>
      <c r="J565" s="1231"/>
      <c r="K565" s="1232"/>
      <c r="L565" s="767" t="s">
        <v>2233</v>
      </c>
    </row>
    <row r="566" spans="1:12" ht="15.5" x14ac:dyDescent="0.35">
      <c r="A566" s="643" t="s">
        <v>2773</v>
      </c>
      <c r="B566" s="768">
        <v>281</v>
      </c>
      <c r="C566" s="769" t="s">
        <v>2772</v>
      </c>
      <c r="D566" s="1230"/>
      <c r="E566" s="1231"/>
      <c r="F566" s="1231"/>
      <c r="G566" s="1231"/>
      <c r="H566" s="1231"/>
      <c r="I566" s="1231"/>
      <c r="J566" s="1231"/>
      <c r="K566" s="1232"/>
      <c r="L566" s="767" t="s">
        <v>2233</v>
      </c>
    </row>
    <row r="567" spans="1:12" ht="15.5" x14ac:dyDescent="0.35">
      <c r="A567" s="643" t="s">
        <v>2774</v>
      </c>
      <c r="B567" s="768">
        <v>282</v>
      </c>
      <c r="C567" s="769" t="s">
        <v>2772</v>
      </c>
      <c r="D567" s="1230"/>
      <c r="E567" s="1231"/>
      <c r="F567" s="1231"/>
      <c r="G567" s="1231"/>
      <c r="H567" s="1231"/>
      <c r="I567" s="1231"/>
      <c r="J567" s="1231"/>
      <c r="K567" s="1232"/>
      <c r="L567" s="767" t="s">
        <v>2233</v>
      </c>
    </row>
    <row r="568" spans="1:12" ht="15.5" x14ac:dyDescent="0.35">
      <c r="A568" s="643" t="s">
        <v>2775</v>
      </c>
      <c r="B568" s="768">
        <v>283</v>
      </c>
      <c r="C568" s="769" t="s">
        <v>2772</v>
      </c>
      <c r="D568" s="1230"/>
      <c r="E568" s="1231"/>
      <c r="F568" s="1231"/>
      <c r="G568" s="1231"/>
      <c r="H568" s="1231"/>
      <c r="I568" s="1231"/>
      <c r="J568" s="1231"/>
      <c r="K568" s="1232"/>
      <c r="L568" s="767" t="s">
        <v>2233</v>
      </c>
    </row>
    <row r="569" spans="1:12" ht="15.5" x14ac:dyDescent="0.35">
      <c r="A569" s="643" t="s">
        <v>2776</v>
      </c>
      <c r="B569" s="768">
        <v>284</v>
      </c>
      <c r="C569" s="769" t="s">
        <v>2772</v>
      </c>
      <c r="D569" s="1230"/>
      <c r="E569" s="1231"/>
      <c r="F569" s="1231"/>
      <c r="G569" s="1231"/>
      <c r="H569" s="1231"/>
      <c r="I569" s="1231"/>
      <c r="J569" s="1231"/>
      <c r="K569" s="1232"/>
      <c r="L569" s="767" t="s">
        <v>2233</v>
      </c>
    </row>
    <row r="570" spans="1:12" ht="15.5" x14ac:dyDescent="0.35">
      <c r="A570" s="643" t="s">
        <v>2777</v>
      </c>
      <c r="B570" s="768">
        <v>514</v>
      </c>
      <c r="C570" s="769" t="s">
        <v>2772</v>
      </c>
      <c r="D570" s="1230"/>
      <c r="E570" s="1231"/>
      <c r="F570" s="1231"/>
      <c r="G570" s="1231"/>
      <c r="H570" s="1231"/>
      <c r="I570" s="1231"/>
      <c r="J570" s="1231"/>
      <c r="K570" s="1232"/>
      <c r="L570" s="767" t="s">
        <v>2233</v>
      </c>
    </row>
    <row r="571" spans="1:12" ht="15.5" x14ac:dyDescent="0.35">
      <c r="A571" s="643" t="s">
        <v>2778</v>
      </c>
      <c r="B571" s="768">
        <v>515</v>
      </c>
      <c r="C571" s="769" t="s">
        <v>2772</v>
      </c>
      <c r="D571" s="1230"/>
      <c r="E571" s="1231"/>
      <c r="F571" s="1231"/>
      <c r="G571" s="1231"/>
      <c r="H571" s="1231"/>
      <c r="I571" s="1231"/>
      <c r="J571" s="1231"/>
      <c r="K571" s="1232"/>
      <c r="L571" s="767" t="s">
        <v>2233</v>
      </c>
    </row>
    <row r="572" spans="1:12" ht="15.5" x14ac:dyDescent="0.35">
      <c r="A572" s="643" t="s">
        <v>2779</v>
      </c>
      <c r="B572" s="768">
        <v>521</v>
      </c>
      <c r="C572" s="769" t="s">
        <v>2772</v>
      </c>
      <c r="D572" s="1230"/>
      <c r="E572" s="1231"/>
      <c r="F572" s="1231"/>
      <c r="G572" s="1231"/>
      <c r="H572" s="1231"/>
      <c r="I572" s="1231"/>
      <c r="J572" s="1231"/>
      <c r="K572" s="1232"/>
      <c r="L572" s="767" t="s">
        <v>2233</v>
      </c>
    </row>
    <row r="573" spans="1:12" ht="15.5" x14ac:dyDescent="0.35">
      <c r="A573" s="643" t="s">
        <v>2780</v>
      </c>
      <c r="B573" s="768">
        <v>525</v>
      </c>
      <c r="C573" s="769" t="s">
        <v>2772</v>
      </c>
      <c r="D573" s="1230"/>
      <c r="E573" s="1231"/>
      <c r="F573" s="1231"/>
      <c r="G573" s="1231"/>
      <c r="H573" s="1231"/>
      <c r="I573" s="1231"/>
      <c r="J573" s="1231"/>
      <c r="K573" s="1232"/>
      <c r="L573" s="767" t="s">
        <v>2233</v>
      </c>
    </row>
    <row r="574" spans="1:12" ht="15.5" x14ac:dyDescent="0.35">
      <c r="A574" s="643" t="s">
        <v>2781</v>
      </c>
      <c r="B574" s="768">
        <v>528</v>
      </c>
      <c r="C574" s="769" t="s">
        <v>2772</v>
      </c>
      <c r="D574" s="1230"/>
      <c r="E574" s="1231"/>
      <c r="F574" s="1231"/>
      <c r="G574" s="1231"/>
      <c r="H574" s="1231"/>
      <c r="I574" s="1231"/>
      <c r="J574" s="1231"/>
      <c r="K574" s="1232"/>
      <c r="L574" s="767" t="s">
        <v>2233</v>
      </c>
    </row>
    <row r="575" spans="1:12" ht="15.5" x14ac:dyDescent="0.35">
      <c r="A575" s="643" t="s">
        <v>2782</v>
      </c>
      <c r="B575" s="768">
        <v>535</v>
      </c>
      <c r="C575" s="769" t="s">
        <v>2772</v>
      </c>
      <c r="D575" s="1230"/>
      <c r="E575" s="1231"/>
      <c r="F575" s="1231"/>
      <c r="G575" s="1231"/>
      <c r="H575" s="1231"/>
      <c r="I575" s="1231"/>
      <c r="J575" s="1231"/>
      <c r="K575" s="1232"/>
      <c r="L575" s="767" t="s">
        <v>2233</v>
      </c>
    </row>
    <row r="576" spans="1:12" ht="15.5" x14ac:dyDescent="0.35">
      <c r="A576" s="643" t="s">
        <v>2783</v>
      </c>
      <c r="B576" s="768">
        <v>550</v>
      </c>
      <c r="C576" s="769" t="s">
        <v>2772</v>
      </c>
      <c r="D576" s="1230"/>
      <c r="E576" s="1231"/>
      <c r="F576" s="1231"/>
      <c r="G576" s="1231"/>
      <c r="H576" s="1231"/>
      <c r="I576" s="1231"/>
      <c r="J576" s="1231"/>
      <c r="K576" s="1232"/>
      <c r="L576" s="767" t="s">
        <v>2233</v>
      </c>
    </row>
    <row r="577" spans="1:12" ht="15.5" x14ac:dyDescent="0.35">
      <c r="A577" s="643" t="s">
        <v>2784</v>
      </c>
      <c r="B577" s="768">
        <v>580</v>
      </c>
      <c r="C577" s="769" t="s">
        <v>2772</v>
      </c>
      <c r="D577" s="1230"/>
      <c r="E577" s="1231"/>
      <c r="F577" s="1231"/>
      <c r="G577" s="1231"/>
      <c r="H577" s="1231"/>
      <c r="I577" s="1231"/>
      <c r="J577" s="1231"/>
      <c r="K577" s="1232"/>
      <c r="L577" s="767" t="s">
        <v>2233</v>
      </c>
    </row>
    <row r="578" spans="1:12" ht="15.5" x14ac:dyDescent="0.35">
      <c r="A578" s="643" t="s">
        <v>2785</v>
      </c>
      <c r="B578" s="768">
        <v>591</v>
      </c>
      <c r="C578" s="769" t="s">
        <v>2772</v>
      </c>
      <c r="D578" s="1230"/>
      <c r="E578" s="1231"/>
      <c r="F578" s="1231"/>
      <c r="G578" s="1231"/>
      <c r="H578" s="1231"/>
      <c r="I578" s="1231"/>
      <c r="J578" s="1231"/>
      <c r="K578" s="1232"/>
      <c r="L578" s="767" t="s">
        <v>2233</v>
      </c>
    </row>
    <row r="579" spans="1:12" ht="15.5" x14ac:dyDescent="0.35">
      <c r="A579" s="643" t="s">
        <v>2786</v>
      </c>
      <c r="B579" s="768">
        <v>594</v>
      </c>
      <c r="C579" s="769" t="s">
        <v>2772</v>
      </c>
      <c r="D579" s="1230"/>
      <c r="E579" s="1231"/>
      <c r="F579" s="1231"/>
      <c r="G579" s="1231"/>
      <c r="H579" s="1231"/>
      <c r="I579" s="1231"/>
      <c r="J579" s="1231"/>
      <c r="K579" s="1232"/>
      <c r="L579" s="767" t="s">
        <v>2233</v>
      </c>
    </row>
    <row r="580" spans="1:12" ht="15.5" x14ac:dyDescent="0.35">
      <c r="A580" s="643" t="s">
        <v>2787</v>
      </c>
      <c r="B580" s="768">
        <v>595</v>
      </c>
      <c r="C580" s="769" t="s">
        <v>2772</v>
      </c>
      <c r="D580" s="1230"/>
      <c r="E580" s="1231"/>
      <c r="F580" s="1231"/>
      <c r="G580" s="1231"/>
      <c r="H580" s="1231"/>
      <c r="I580" s="1231"/>
      <c r="J580" s="1231"/>
      <c r="K580" s="1232"/>
      <c r="L580" s="767" t="s">
        <v>2233</v>
      </c>
    </row>
    <row r="581" spans="1:12" ht="15.5" x14ac:dyDescent="0.35">
      <c r="A581" s="643" t="s">
        <v>2788</v>
      </c>
      <c r="B581" s="768">
        <v>596</v>
      </c>
      <c r="C581" s="769" t="s">
        <v>2772</v>
      </c>
      <c r="D581" s="1230"/>
      <c r="E581" s="1231"/>
      <c r="F581" s="1231"/>
      <c r="G581" s="1231"/>
      <c r="H581" s="1231"/>
      <c r="I581" s="1231"/>
      <c r="J581" s="1231"/>
      <c r="K581" s="1232"/>
      <c r="L581" s="767" t="s">
        <v>2233</v>
      </c>
    </row>
    <row r="582" spans="1:12" ht="15.5" x14ac:dyDescent="0.35">
      <c r="A582" s="643" t="s">
        <v>2789</v>
      </c>
      <c r="B582" s="768">
        <v>597</v>
      </c>
      <c r="C582" s="769" t="s">
        <v>2772</v>
      </c>
      <c r="D582" s="1230"/>
      <c r="E582" s="1231"/>
      <c r="F582" s="1231"/>
      <c r="G582" s="1231"/>
      <c r="H582" s="1231"/>
      <c r="I582" s="1231"/>
      <c r="J582" s="1231"/>
      <c r="K582" s="1232"/>
      <c r="L582" s="767" t="s">
        <v>2233</v>
      </c>
    </row>
    <row r="583" spans="1:12" ht="15.5" x14ac:dyDescent="0.35">
      <c r="A583" s="643" t="s">
        <v>2790</v>
      </c>
      <c r="B583" s="768">
        <v>691</v>
      </c>
      <c r="C583" s="769" t="s">
        <v>2772</v>
      </c>
      <c r="D583" s="1230"/>
      <c r="E583" s="1231"/>
      <c r="F583" s="1231"/>
      <c r="G583" s="1231"/>
      <c r="H583" s="1231"/>
      <c r="I583" s="1231"/>
      <c r="J583" s="1231"/>
      <c r="K583" s="1232"/>
      <c r="L583" s="767" t="s">
        <v>2233</v>
      </c>
    </row>
    <row r="584" spans="1:12" ht="15.5" x14ac:dyDescent="0.35">
      <c r="A584" s="643" t="s">
        <v>2791</v>
      </c>
      <c r="B584" s="768">
        <v>692</v>
      </c>
      <c r="C584" s="769" t="s">
        <v>2772</v>
      </c>
      <c r="D584" s="1230"/>
      <c r="E584" s="1231"/>
      <c r="F584" s="1231"/>
      <c r="G584" s="1231"/>
      <c r="H584" s="1231"/>
      <c r="I584" s="1231"/>
      <c r="J584" s="1231"/>
      <c r="K584" s="1232"/>
      <c r="L584" s="767" t="s">
        <v>2233</v>
      </c>
    </row>
    <row r="585" spans="1:12" ht="15.5" x14ac:dyDescent="0.35">
      <c r="A585" s="643" t="s">
        <v>2792</v>
      </c>
      <c r="B585" s="768">
        <v>693</v>
      </c>
      <c r="C585" s="769" t="s">
        <v>2772</v>
      </c>
      <c r="D585" s="1230"/>
      <c r="E585" s="1231"/>
      <c r="F585" s="1231"/>
      <c r="G585" s="1231"/>
      <c r="H585" s="1231"/>
      <c r="I585" s="1231"/>
      <c r="J585" s="1231"/>
      <c r="K585" s="1232"/>
      <c r="L585" s="767" t="s">
        <v>2233</v>
      </c>
    </row>
    <row r="586" spans="1:12" ht="15.5" x14ac:dyDescent="0.35">
      <c r="A586" s="643" t="s">
        <v>2793</v>
      </c>
      <c r="B586" s="768">
        <v>694</v>
      </c>
      <c r="C586" s="769" t="s">
        <v>2772</v>
      </c>
      <c r="D586" s="1230"/>
      <c r="E586" s="1231"/>
      <c r="F586" s="1231"/>
      <c r="G586" s="1231"/>
      <c r="H586" s="1231"/>
      <c r="I586" s="1231"/>
      <c r="J586" s="1231"/>
      <c r="K586" s="1232"/>
      <c r="L586" s="767" t="s">
        <v>2233</v>
      </c>
    </row>
    <row r="587" spans="1:12" ht="15.5" x14ac:dyDescent="0.35">
      <c r="A587" s="643" t="s">
        <v>2794</v>
      </c>
      <c r="B587" s="768">
        <v>695</v>
      </c>
      <c r="C587" s="769" t="s">
        <v>2772</v>
      </c>
      <c r="D587" s="1230"/>
      <c r="E587" s="1231"/>
      <c r="F587" s="1231"/>
      <c r="G587" s="1231"/>
      <c r="H587" s="1231"/>
      <c r="I587" s="1231"/>
      <c r="J587" s="1231"/>
      <c r="K587" s="1232"/>
      <c r="L587" s="767" t="s">
        <v>2233</v>
      </c>
    </row>
    <row r="588" spans="1:12" ht="15.5" x14ac:dyDescent="0.35">
      <c r="A588" s="643" t="s">
        <v>2795</v>
      </c>
      <c r="B588" s="768">
        <v>696</v>
      </c>
      <c r="C588" s="769" t="s">
        <v>2772</v>
      </c>
      <c r="D588" s="1230"/>
      <c r="E588" s="1231"/>
      <c r="F588" s="1231"/>
      <c r="G588" s="1231"/>
      <c r="H588" s="1231"/>
      <c r="I588" s="1231"/>
      <c r="J588" s="1231"/>
      <c r="K588" s="1232"/>
      <c r="L588" s="767" t="s">
        <v>2233</v>
      </c>
    </row>
    <row r="589" spans="1:12" ht="15.5" x14ac:dyDescent="0.35">
      <c r="A589" s="643" t="s">
        <v>2796</v>
      </c>
      <c r="B589" s="768">
        <v>697</v>
      </c>
      <c r="C589" s="769" t="s">
        <v>2772</v>
      </c>
      <c r="D589" s="1230"/>
      <c r="E589" s="1231"/>
      <c r="F589" s="1231"/>
      <c r="G589" s="1231"/>
      <c r="H589" s="1231"/>
      <c r="I589" s="1231"/>
      <c r="J589" s="1231"/>
      <c r="K589" s="1232"/>
      <c r="L589" s="767" t="s">
        <v>2233</v>
      </c>
    </row>
    <row r="590" spans="1:12" ht="15.5" x14ac:dyDescent="0.35">
      <c r="A590" s="643" t="s">
        <v>2797</v>
      </c>
      <c r="B590" s="768">
        <v>698</v>
      </c>
      <c r="C590" s="769" t="s">
        <v>2772</v>
      </c>
      <c r="D590" s="1230"/>
      <c r="E590" s="1231"/>
      <c r="F590" s="1231"/>
      <c r="G590" s="1231"/>
      <c r="H590" s="1231"/>
      <c r="I590" s="1231"/>
      <c r="J590" s="1231"/>
      <c r="K590" s="1232"/>
      <c r="L590" s="767" t="s">
        <v>2233</v>
      </c>
    </row>
    <row r="591" spans="1:12" ht="15.5" x14ac:dyDescent="0.35">
      <c r="A591" s="643" t="s">
        <v>2798</v>
      </c>
      <c r="B591" s="768">
        <v>716</v>
      </c>
      <c r="C591" s="769" t="s">
        <v>2772</v>
      </c>
      <c r="D591" s="1230"/>
      <c r="E591" s="1231"/>
      <c r="F591" s="1231"/>
      <c r="G591" s="1231"/>
      <c r="H591" s="1231"/>
      <c r="I591" s="1231"/>
      <c r="J591" s="1231"/>
      <c r="K591" s="1232"/>
      <c r="L591" s="767" t="s">
        <v>2233</v>
      </c>
    </row>
    <row r="592" spans="1:12" ht="15.5" x14ac:dyDescent="0.35">
      <c r="A592" s="643" t="s">
        <v>2799</v>
      </c>
      <c r="B592" s="768">
        <v>717</v>
      </c>
      <c r="C592" s="769" t="s">
        <v>2772</v>
      </c>
      <c r="D592" s="1230"/>
      <c r="E592" s="1231"/>
      <c r="F592" s="1231"/>
      <c r="G592" s="1231"/>
      <c r="H592" s="1231"/>
      <c r="I592" s="1231"/>
      <c r="J592" s="1231"/>
      <c r="K592" s="1232"/>
      <c r="L592" s="767" t="s">
        <v>2233</v>
      </c>
    </row>
    <row r="593" spans="1:12" ht="15.5" x14ac:dyDescent="0.35">
      <c r="A593" s="643" t="s">
        <v>2800</v>
      </c>
      <c r="B593" s="768">
        <v>723</v>
      </c>
      <c r="C593" s="769" t="s">
        <v>2772</v>
      </c>
      <c r="D593" s="1230"/>
      <c r="E593" s="1231"/>
      <c r="F593" s="1231"/>
      <c r="G593" s="1231"/>
      <c r="H593" s="1231"/>
      <c r="I593" s="1231"/>
      <c r="J593" s="1231"/>
      <c r="K593" s="1232"/>
      <c r="L593" s="767" t="s">
        <v>2233</v>
      </c>
    </row>
    <row r="594" spans="1:12" ht="15.5" x14ac:dyDescent="0.35">
      <c r="A594" s="643" t="s">
        <v>2801</v>
      </c>
      <c r="B594" s="768">
        <v>726</v>
      </c>
      <c r="C594" s="769" t="s">
        <v>2772</v>
      </c>
      <c r="D594" s="1230"/>
      <c r="E594" s="1231"/>
      <c r="F594" s="1231"/>
      <c r="G594" s="1231"/>
      <c r="H594" s="1231"/>
      <c r="I594" s="1231"/>
      <c r="J594" s="1231"/>
      <c r="K594" s="1232"/>
      <c r="L594" s="767" t="s">
        <v>2233</v>
      </c>
    </row>
    <row r="595" spans="1:12" ht="15.5" x14ac:dyDescent="0.35">
      <c r="A595" s="643" t="s">
        <v>2802</v>
      </c>
      <c r="B595" s="768">
        <v>733</v>
      </c>
      <c r="C595" s="769" t="s">
        <v>2772</v>
      </c>
      <c r="D595" s="1230"/>
      <c r="E595" s="1231"/>
      <c r="F595" s="1231"/>
      <c r="G595" s="1231"/>
      <c r="H595" s="1231"/>
      <c r="I595" s="1231"/>
      <c r="J595" s="1231"/>
      <c r="K595" s="1232"/>
      <c r="L595" s="767" t="s">
        <v>2233</v>
      </c>
    </row>
    <row r="596" spans="1:12" ht="15.5" x14ac:dyDescent="0.35">
      <c r="A596" s="643" t="s">
        <v>2803</v>
      </c>
      <c r="B596" s="768">
        <v>734</v>
      </c>
      <c r="C596" s="769" t="s">
        <v>2772</v>
      </c>
      <c r="D596" s="1230"/>
      <c r="E596" s="1231"/>
      <c r="F596" s="1231"/>
      <c r="G596" s="1231"/>
      <c r="H596" s="1231"/>
      <c r="I596" s="1231"/>
      <c r="J596" s="1231"/>
      <c r="K596" s="1232"/>
      <c r="L596" s="767" t="s">
        <v>2233</v>
      </c>
    </row>
    <row r="597" spans="1:12" ht="15.5" x14ac:dyDescent="0.35">
      <c r="A597" s="643" t="s">
        <v>2804</v>
      </c>
      <c r="B597" s="768">
        <v>741</v>
      </c>
      <c r="C597" s="769" t="s">
        <v>2772</v>
      </c>
      <c r="D597" s="1230"/>
      <c r="E597" s="1231"/>
      <c r="F597" s="1231"/>
      <c r="G597" s="1231"/>
      <c r="H597" s="1231"/>
      <c r="I597" s="1231"/>
      <c r="J597" s="1231"/>
      <c r="K597" s="1232"/>
      <c r="L597" s="767" t="s">
        <v>2233</v>
      </c>
    </row>
    <row r="598" spans="1:12" ht="15.5" x14ac:dyDescent="0.35">
      <c r="A598" s="643" t="s">
        <v>2805</v>
      </c>
      <c r="B598" s="768">
        <v>752</v>
      </c>
      <c r="C598" s="769" t="s">
        <v>2772</v>
      </c>
      <c r="D598" s="1230"/>
      <c r="E598" s="1231"/>
      <c r="F598" s="1231"/>
      <c r="G598" s="1231"/>
      <c r="H598" s="1231"/>
      <c r="I598" s="1231"/>
      <c r="J598" s="1231"/>
      <c r="K598" s="1232"/>
      <c r="L598" s="767" t="s">
        <v>2233</v>
      </c>
    </row>
    <row r="599" spans="1:12" ht="15.5" x14ac:dyDescent="0.35">
      <c r="A599" s="643" t="s">
        <v>2806</v>
      </c>
      <c r="B599" s="768">
        <v>757</v>
      </c>
      <c r="C599" s="769" t="s">
        <v>2772</v>
      </c>
      <c r="D599" s="1230"/>
      <c r="E599" s="1231"/>
      <c r="F599" s="1231"/>
      <c r="G599" s="1231"/>
      <c r="H599" s="1231"/>
      <c r="I599" s="1231"/>
      <c r="J599" s="1231"/>
      <c r="K599" s="1232"/>
      <c r="L599" s="767" t="s">
        <v>2233</v>
      </c>
    </row>
    <row r="600" spans="1:12" ht="15.5" x14ac:dyDescent="0.35">
      <c r="A600" s="643" t="s">
        <v>2807</v>
      </c>
      <c r="B600" s="768">
        <v>810</v>
      </c>
      <c r="C600" s="769" t="s">
        <v>2772</v>
      </c>
      <c r="D600" s="1230"/>
      <c r="E600" s="1231"/>
      <c r="F600" s="1231"/>
      <c r="G600" s="1231"/>
      <c r="H600" s="1231"/>
      <c r="I600" s="1231"/>
      <c r="J600" s="1231"/>
      <c r="K600" s="1232"/>
      <c r="L600" s="767" t="s">
        <v>2233</v>
      </c>
    </row>
    <row r="601" spans="1:12" ht="15.5" x14ac:dyDescent="0.35">
      <c r="A601" s="643" t="s">
        <v>2808</v>
      </c>
      <c r="B601" s="768">
        <v>821</v>
      </c>
      <c r="C601" s="769" t="s">
        <v>2772</v>
      </c>
      <c r="D601" s="1230"/>
      <c r="E601" s="1231"/>
      <c r="F601" s="1231"/>
      <c r="G601" s="1231"/>
      <c r="H601" s="1231"/>
      <c r="I601" s="1231"/>
      <c r="J601" s="1231"/>
      <c r="K601" s="1232"/>
      <c r="L601" s="767" t="s">
        <v>2233</v>
      </c>
    </row>
    <row r="602" spans="1:12" ht="15.5" x14ac:dyDescent="0.35">
      <c r="A602" s="643" t="s">
        <v>2809</v>
      </c>
      <c r="B602" s="768">
        <v>825</v>
      </c>
      <c r="C602" s="769" t="s">
        <v>2772</v>
      </c>
      <c r="D602" s="1230"/>
      <c r="E602" s="1231"/>
      <c r="F602" s="1231"/>
      <c r="G602" s="1231"/>
      <c r="H602" s="1231"/>
      <c r="I602" s="1231"/>
      <c r="J602" s="1231"/>
      <c r="K602" s="1232"/>
      <c r="L602" s="767" t="s">
        <v>2233</v>
      </c>
    </row>
    <row r="603" spans="1:12" ht="15.5" x14ac:dyDescent="0.35">
      <c r="A603" s="643" t="s">
        <v>2810</v>
      </c>
      <c r="B603" s="768">
        <v>830</v>
      </c>
      <c r="C603" s="769" t="s">
        <v>2772</v>
      </c>
      <c r="D603" s="1230"/>
      <c r="E603" s="1231"/>
      <c r="F603" s="1231"/>
      <c r="G603" s="1231"/>
      <c r="H603" s="1231"/>
      <c r="I603" s="1231"/>
      <c r="J603" s="1231"/>
      <c r="K603" s="1232"/>
      <c r="L603" s="767" t="s">
        <v>2233</v>
      </c>
    </row>
    <row r="604" spans="1:12" ht="15.5" x14ac:dyDescent="0.35">
      <c r="A604" s="643" t="s">
        <v>2811</v>
      </c>
      <c r="B604" s="768">
        <v>841</v>
      </c>
      <c r="C604" s="769" t="s">
        <v>2772</v>
      </c>
      <c r="D604" s="1230"/>
      <c r="E604" s="1231"/>
      <c r="F604" s="1231"/>
      <c r="G604" s="1231"/>
      <c r="H604" s="1231"/>
      <c r="I604" s="1231"/>
      <c r="J604" s="1231"/>
      <c r="K604" s="1232"/>
      <c r="L604" s="767" t="s">
        <v>2233</v>
      </c>
    </row>
    <row r="605" spans="1:12" ht="15.5" x14ac:dyDescent="0.35">
      <c r="A605" s="643" t="s">
        <v>2812</v>
      </c>
      <c r="B605" s="768">
        <v>845</v>
      </c>
      <c r="C605" s="769" t="s">
        <v>2772</v>
      </c>
      <c r="D605" s="1230"/>
      <c r="E605" s="1231"/>
      <c r="F605" s="1231"/>
      <c r="G605" s="1231"/>
      <c r="H605" s="1231"/>
      <c r="I605" s="1231"/>
      <c r="J605" s="1231"/>
      <c r="K605" s="1232"/>
      <c r="L605" s="767" t="s">
        <v>2233</v>
      </c>
    </row>
    <row r="606" spans="1:12" ht="15.5" x14ac:dyDescent="0.35">
      <c r="A606" s="643" t="s">
        <v>2813</v>
      </c>
      <c r="B606" s="768">
        <v>850</v>
      </c>
      <c r="C606" s="769" t="s">
        <v>2772</v>
      </c>
      <c r="D606" s="1230"/>
      <c r="E606" s="1231"/>
      <c r="F606" s="1231"/>
      <c r="G606" s="1231"/>
      <c r="H606" s="1231"/>
      <c r="I606" s="1231"/>
      <c r="J606" s="1231"/>
      <c r="K606" s="1232"/>
      <c r="L606" s="767" t="s">
        <v>2233</v>
      </c>
    </row>
    <row r="607" spans="1:12" ht="15.5" x14ac:dyDescent="0.35">
      <c r="A607" s="643" t="s">
        <v>2814</v>
      </c>
      <c r="B607" s="768">
        <v>860</v>
      </c>
      <c r="C607" s="769" t="s">
        <v>2772</v>
      </c>
      <c r="D607" s="1230"/>
      <c r="E607" s="1231"/>
      <c r="F607" s="1231"/>
      <c r="G607" s="1231"/>
      <c r="H607" s="1231"/>
      <c r="I607" s="1231"/>
      <c r="J607" s="1231"/>
      <c r="K607" s="1232"/>
      <c r="L607" s="767" t="s">
        <v>2233</v>
      </c>
    </row>
    <row r="608" spans="1:12" ht="15.5" x14ac:dyDescent="0.35">
      <c r="A608" s="643" t="s">
        <v>2815</v>
      </c>
      <c r="B608" s="768">
        <v>871</v>
      </c>
      <c r="C608" s="769" t="s">
        <v>2772</v>
      </c>
      <c r="D608" s="1230"/>
      <c r="E608" s="1231"/>
      <c r="F608" s="1231"/>
      <c r="G608" s="1231"/>
      <c r="H608" s="1231"/>
      <c r="I608" s="1231"/>
      <c r="J608" s="1231"/>
      <c r="K608" s="1232"/>
      <c r="L608" s="767" t="s">
        <v>2233</v>
      </c>
    </row>
    <row r="609" spans="1:12" ht="15.5" x14ac:dyDescent="0.35">
      <c r="A609" s="643" t="s">
        <v>2816</v>
      </c>
      <c r="B609" s="768">
        <v>872</v>
      </c>
      <c r="C609" s="769" t="s">
        <v>2772</v>
      </c>
      <c r="D609" s="1230"/>
      <c r="E609" s="1231"/>
      <c r="F609" s="1231"/>
      <c r="G609" s="1231"/>
      <c r="H609" s="1231"/>
      <c r="I609" s="1231"/>
      <c r="J609" s="1231"/>
      <c r="K609" s="1232"/>
      <c r="L609" s="767" t="s">
        <v>2233</v>
      </c>
    </row>
    <row r="610" spans="1:12" ht="15.5" x14ac:dyDescent="0.35">
      <c r="A610" s="643" t="s">
        <v>2817</v>
      </c>
      <c r="B610" s="768">
        <v>873</v>
      </c>
      <c r="C610" s="769" t="s">
        <v>2772</v>
      </c>
      <c r="D610" s="1230"/>
      <c r="E610" s="1231"/>
      <c r="F610" s="1231"/>
      <c r="G610" s="1231"/>
      <c r="H610" s="1231"/>
      <c r="I610" s="1231"/>
      <c r="J610" s="1231"/>
      <c r="K610" s="1232"/>
      <c r="L610" s="767" t="s">
        <v>2233</v>
      </c>
    </row>
    <row r="611" spans="1:12" ht="15.5" x14ac:dyDescent="0.35">
      <c r="A611" s="643" t="s">
        <v>2818</v>
      </c>
      <c r="B611" s="768">
        <v>874</v>
      </c>
      <c r="C611" s="769" t="s">
        <v>2772</v>
      </c>
      <c r="D611" s="1230"/>
      <c r="E611" s="1231"/>
      <c r="F611" s="1231"/>
      <c r="G611" s="1231"/>
      <c r="H611" s="1231"/>
      <c r="I611" s="1231"/>
      <c r="J611" s="1231"/>
      <c r="K611" s="1232"/>
      <c r="L611" s="767" t="s">
        <v>2233</v>
      </c>
    </row>
    <row r="612" spans="1:12" ht="15.5" x14ac:dyDescent="0.35">
      <c r="A612" s="643" t="s">
        <v>2819</v>
      </c>
      <c r="B612" s="768">
        <v>875</v>
      </c>
      <c r="C612" s="769" t="s">
        <v>2772</v>
      </c>
      <c r="D612" s="1230"/>
      <c r="E612" s="1231"/>
      <c r="F612" s="1231"/>
      <c r="G612" s="1231"/>
      <c r="H612" s="1231"/>
      <c r="I612" s="1231"/>
      <c r="J612" s="1231"/>
      <c r="K612" s="1232"/>
      <c r="L612" s="767" t="s">
        <v>2233</v>
      </c>
    </row>
    <row r="613" spans="1:12" ht="15.5" x14ac:dyDescent="0.35">
      <c r="A613" s="643" t="s">
        <v>2820</v>
      </c>
      <c r="B613" s="768">
        <v>891</v>
      </c>
      <c r="C613" s="769" t="s">
        <v>2772</v>
      </c>
      <c r="D613" s="1230"/>
      <c r="E613" s="1231"/>
      <c r="F613" s="1231"/>
      <c r="G613" s="1231"/>
      <c r="H613" s="1231"/>
      <c r="I613" s="1231"/>
      <c r="J613" s="1231"/>
      <c r="K613" s="1232"/>
      <c r="L613" s="767" t="s">
        <v>2233</v>
      </c>
    </row>
    <row r="614" spans="1:12" ht="15.5" x14ac:dyDescent="0.35">
      <c r="A614" s="643" t="s">
        <v>2821</v>
      </c>
      <c r="B614" s="768">
        <v>892</v>
      </c>
      <c r="C614" s="769" t="s">
        <v>2772</v>
      </c>
      <c r="D614" s="1230"/>
      <c r="E614" s="1231"/>
      <c r="F614" s="1231"/>
      <c r="G614" s="1231"/>
      <c r="H614" s="1231"/>
      <c r="I614" s="1231"/>
      <c r="J614" s="1231"/>
      <c r="K614" s="1232"/>
      <c r="L614" s="767" t="s">
        <v>2233</v>
      </c>
    </row>
    <row r="615" spans="1:12" ht="15.5" x14ac:dyDescent="0.35">
      <c r="A615" s="643" t="s">
        <v>2822</v>
      </c>
      <c r="B615" s="768">
        <v>893</v>
      </c>
      <c r="C615" s="769" t="s">
        <v>2772</v>
      </c>
      <c r="D615" s="1230"/>
      <c r="E615" s="1231"/>
      <c r="F615" s="1231"/>
      <c r="G615" s="1231"/>
      <c r="H615" s="1231"/>
      <c r="I615" s="1231"/>
      <c r="J615" s="1231"/>
      <c r="K615" s="1232"/>
      <c r="L615" s="767" t="s">
        <v>2233</v>
      </c>
    </row>
    <row r="616" spans="1:12" ht="15.5" x14ac:dyDescent="0.35">
      <c r="A616" s="643" t="s">
        <v>2823</v>
      </c>
      <c r="B616" s="768">
        <v>894</v>
      </c>
      <c r="C616" s="769" t="s">
        <v>2772</v>
      </c>
      <c r="D616" s="1230"/>
      <c r="E616" s="1231"/>
      <c r="F616" s="1231"/>
      <c r="G616" s="1231"/>
      <c r="H616" s="1231"/>
      <c r="I616" s="1231"/>
      <c r="J616" s="1231"/>
      <c r="K616" s="1232"/>
      <c r="L616" s="767" t="s">
        <v>2233</v>
      </c>
    </row>
    <row r="617" spans="1:12" ht="15.5" x14ac:dyDescent="0.35">
      <c r="A617" s="643" t="s">
        <v>2824</v>
      </c>
      <c r="B617" s="768">
        <v>895</v>
      </c>
      <c r="C617" s="769" t="s">
        <v>2772</v>
      </c>
      <c r="D617" s="1230"/>
      <c r="E617" s="1231"/>
      <c r="F617" s="1231"/>
      <c r="G617" s="1231"/>
      <c r="H617" s="1231"/>
      <c r="I617" s="1231"/>
      <c r="J617" s="1231"/>
      <c r="K617" s="1232"/>
      <c r="L617" s="767" t="s">
        <v>2233</v>
      </c>
    </row>
    <row r="618" spans="1:12" ht="15.5" x14ac:dyDescent="0.35">
      <c r="A618" s="643" t="s">
        <v>2825</v>
      </c>
      <c r="B618" s="768">
        <v>896</v>
      </c>
      <c r="C618" s="769" t="s">
        <v>2772</v>
      </c>
      <c r="D618" s="1230"/>
      <c r="E618" s="1231"/>
      <c r="F618" s="1231"/>
      <c r="G618" s="1231"/>
      <c r="H618" s="1231"/>
      <c r="I618" s="1231"/>
      <c r="J618" s="1231"/>
      <c r="K618" s="1232"/>
      <c r="L618" s="767" t="s">
        <v>2233</v>
      </c>
    </row>
    <row r="619" spans="1:12" ht="15.5" x14ac:dyDescent="0.35">
      <c r="A619" s="643" t="s">
        <v>2826</v>
      </c>
      <c r="B619" s="768">
        <v>897</v>
      </c>
      <c r="C619" s="769" t="s">
        <v>2772</v>
      </c>
      <c r="D619" s="1230"/>
      <c r="E619" s="1231"/>
      <c r="F619" s="1231"/>
      <c r="G619" s="1231"/>
      <c r="H619" s="1231"/>
      <c r="I619" s="1231"/>
      <c r="J619" s="1231"/>
      <c r="K619" s="1232"/>
      <c r="L619" s="767" t="s">
        <v>2233</v>
      </c>
    </row>
    <row r="620" spans="1:12" ht="15.5" x14ac:dyDescent="0.35">
      <c r="A620" s="643" t="s">
        <v>2827</v>
      </c>
      <c r="B620" s="768">
        <v>898</v>
      </c>
      <c r="C620" s="769" t="s">
        <v>2772</v>
      </c>
      <c r="D620" s="1230"/>
      <c r="E620" s="1231"/>
      <c r="F620" s="1231"/>
      <c r="G620" s="1231"/>
      <c r="H620" s="1231"/>
      <c r="I620" s="1231"/>
      <c r="J620" s="1231"/>
      <c r="K620" s="1232"/>
      <c r="L620" s="767" t="s">
        <v>2233</v>
      </c>
    </row>
    <row r="621" spans="1:12" ht="15.5" x14ac:dyDescent="0.35">
      <c r="A621" s="643" t="s">
        <v>2828</v>
      </c>
      <c r="B621" s="768">
        <v>931</v>
      </c>
      <c r="C621" s="769" t="s">
        <v>2772</v>
      </c>
      <c r="D621" s="1230"/>
      <c r="E621" s="1231"/>
      <c r="F621" s="1231"/>
      <c r="G621" s="1231"/>
      <c r="H621" s="1231"/>
      <c r="I621" s="1231"/>
      <c r="J621" s="1231"/>
      <c r="K621" s="1232"/>
      <c r="L621" s="767" t="s">
        <v>2233</v>
      </c>
    </row>
    <row r="622" spans="1:12" ht="15.5" x14ac:dyDescent="0.35">
      <c r="A622" s="643" t="s">
        <v>2829</v>
      </c>
      <c r="B622" s="768">
        <v>933</v>
      </c>
      <c r="C622" s="769" t="s">
        <v>2772</v>
      </c>
      <c r="D622" s="1230"/>
      <c r="E622" s="1231"/>
      <c r="F622" s="1231"/>
      <c r="G622" s="1231"/>
      <c r="H622" s="1231"/>
      <c r="I622" s="1231"/>
      <c r="J622" s="1231"/>
      <c r="K622" s="1232"/>
      <c r="L622" s="767" t="s">
        <v>2233</v>
      </c>
    </row>
    <row r="623" spans="1:12" ht="15.5" x14ac:dyDescent="0.35">
      <c r="A623" s="643" t="s">
        <v>2830</v>
      </c>
      <c r="B623" s="768">
        <v>934</v>
      </c>
      <c r="C623" s="769" t="s">
        <v>2772</v>
      </c>
      <c r="D623" s="1230"/>
      <c r="E623" s="1231"/>
      <c r="F623" s="1231"/>
      <c r="G623" s="1231"/>
      <c r="H623" s="1231"/>
      <c r="I623" s="1231"/>
      <c r="J623" s="1231"/>
      <c r="K623" s="1232"/>
      <c r="L623" s="767" t="s">
        <v>2233</v>
      </c>
    </row>
    <row r="624" spans="1:12" ht="15.5" x14ac:dyDescent="0.35">
      <c r="A624" s="643" t="s">
        <v>2831</v>
      </c>
      <c r="B624" s="768">
        <v>935</v>
      </c>
      <c r="C624" s="769" t="s">
        <v>2772</v>
      </c>
      <c r="D624" s="1230"/>
      <c r="E624" s="1231"/>
      <c r="F624" s="1231"/>
      <c r="G624" s="1231"/>
      <c r="H624" s="1231"/>
      <c r="I624" s="1231"/>
      <c r="J624" s="1231"/>
      <c r="K624" s="1232"/>
      <c r="L624" s="767" t="s">
        <v>2233</v>
      </c>
    </row>
    <row r="625" spans="1:12" ht="15.5" x14ac:dyDescent="0.35">
      <c r="A625" s="643" t="s">
        <v>2832</v>
      </c>
      <c r="B625" s="768">
        <v>936</v>
      </c>
      <c r="C625" s="769" t="s">
        <v>2772</v>
      </c>
      <c r="D625" s="1230"/>
      <c r="E625" s="1231"/>
      <c r="F625" s="1231"/>
      <c r="G625" s="1231"/>
      <c r="H625" s="1231"/>
      <c r="I625" s="1231"/>
      <c r="J625" s="1231"/>
      <c r="K625" s="1232"/>
      <c r="L625" s="767" t="s">
        <v>2233</v>
      </c>
    </row>
    <row r="626" spans="1:12" ht="15.5" x14ac:dyDescent="0.35">
      <c r="A626" s="643" t="s">
        <v>2833</v>
      </c>
      <c r="B626" s="768">
        <v>939</v>
      </c>
      <c r="C626" s="769" t="s">
        <v>2772</v>
      </c>
      <c r="D626" s="1230"/>
      <c r="E626" s="1231"/>
      <c r="F626" s="1231"/>
      <c r="G626" s="1231"/>
      <c r="H626" s="1231"/>
      <c r="I626" s="1231"/>
      <c r="J626" s="1231"/>
      <c r="K626" s="1232"/>
      <c r="L626" s="767" t="s">
        <v>2233</v>
      </c>
    </row>
    <row r="627" spans="1:12" ht="15.5" x14ac:dyDescent="0.35">
      <c r="A627" s="643" t="s">
        <v>2834</v>
      </c>
      <c r="B627" s="768">
        <v>1</v>
      </c>
      <c r="C627" s="769" t="s">
        <v>2835</v>
      </c>
      <c r="D627" s="1230"/>
      <c r="E627" s="1231"/>
      <c r="F627" s="1231"/>
      <c r="G627" s="1231"/>
      <c r="H627" s="1231"/>
      <c r="I627" s="1231"/>
      <c r="J627" s="1231"/>
      <c r="K627" s="1232"/>
      <c r="L627" s="767" t="s">
        <v>2233</v>
      </c>
    </row>
    <row r="628" spans="1:12" ht="15.5" x14ac:dyDescent="0.35">
      <c r="A628" s="643" t="s">
        <v>2836</v>
      </c>
      <c r="B628" s="768">
        <v>2</v>
      </c>
      <c r="C628" s="769" t="s">
        <v>2835</v>
      </c>
      <c r="D628" s="1230"/>
      <c r="E628" s="1231"/>
      <c r="F628" s="1231"/>
      <c r="G628" s="1231"/>
      <c r="H628" s="1231"/>
      <c r="I628" s="1231"/>
      <c r="J628" s="1231"/>
      <c r="K628" s="1232"/>
      <c r="L628" s="767" t="s">
        <v>2233</v>
      </c>
    </row>
    <row r="629" spans="1:12" ht="15.5" x14ac:dyDescent="0.35">
      <c r="A629" s="643" t="s">
        <v>2837</v>
      </c>
      <c r="B629" s="768">
        <v>3</v>
      </c>
      <c r="C629" s="769" t="s">
        <v>2835</v>
      </c>
      <c r="D629" s="1230"/>
      <c r="E629" s="1231"/>
      <c r="F629" s="1231"/>
      <c r="G629" s="1231"/>
      <c r="H629" s="1231"/>
      <c r="I629" s="1231"/>
      <c r="J629" s="1231"/>
      <c r="K629" s="1232"/>
      <c r="L629" s="767" t="s">
        <v>2233</v>
      </c>
    </row>
    <row r="630" spans="1:12" ht="15.5" x14ac:dyDescent="0.35">
      <c r="A630" s="643" t="s">
        <v>2838</v>
      </c>
      <c r="B630" s="768">
        <v>4</v>
      </c>
      <c r="C630" s="769" t="s">
        <v>2835</v>
      </c>
      <c r="D630" s="1230"/>
      <c r="E630" s="1231"/>
      <c r="F630" s="1231"/>
      <c r="G630" s="1231"/>
      <c r="H630" s="1231"/>
      <c r="I630" s="1231"/>
      <c r="J630" s="1231"/>
      <c r="K630" s="1232"/>
      <c r="L630" s="767" t="s">
        <v>2233</v>
      </c>
    </row>
    <row r="631" spans="1:12" ht="15.5" x14ac:dyDescent="0.35">
      <c r="A631" s="643" t="s">
        <v>2839</v>
      </c>
      <c r="B631" s="768">
        <v>5</v>
      </c>
      <c r="C631" s="769" t="s">
        <v>2835</v>
      </c>
      <c r="D631" s="1230"/>
      <c r="E631" s="1231"/>
      <c r="F631" s="1231"/>
      <c r="G631" s="1231"/>
      <c r="H631" s="1231"/>
      <c r="I631" s="1231"/>
      <c r="J631" s="1231"/>
      <c r="K631" s="1232"/>
      <c r="L631" s="767" t="s">
        <v>2233</v>
      </c>
    </row>
    <row r="632" spans="1:12" ht="15.5" x14ac:dyDescent="0.35">
      <c r="A632" s="643" t="s">
        <v>2840</v>
      </c>
      <c r="B632" s="768">
        <v>6</v>
      </c>
      <c r="C632" s="769" t="s">
        <v>2835</v>
      </c>
      <c r="D632" s="1230"/>
      <c r="E632" s="1231"/>
      <c r="F632" s="1231"/>
      <c r="G632" s="1231"/>
      <c r="H632" s="1231"/>
      <c r="I632" s="1231"/>
      <c r="J632" s="1231"/>
      <c r="K632" s="1232"/>
      <c r="L632" s="767" t="s">
        <v>2233</v>
      </c>
    </row>
    <row r="633" spans="1:12" ht="15.5" x14ac:dyDescent="0.35">
      <c r="A633" s="643" t="s">
        <v>2841</v>
      </c>
      <c r="B633" s="768">
        <v>7</v>
      </c>
      <c r="C633" s="769" t="s">
        <v>2835</v>
      </c>
      <c r="D633" s="1230"/>
      <c r="E633" s="1231"/>
      <c r="F633" s="1231"/>
      <c r="G633" s="1231"/>
      <c r="H633" s="1231"/>
      <c r="I633" s="1231"/>
      <c r="J633" s="1231"/>
      <c r="K633" s="1232"/>
      <c r="L633" s="767" t="s">
        <v>2233</v>
      </c>
    </row>
    <row r="634" spans="1:12" ht="15.5" x14ac:dyDescent="0.35">
      <c r="A634" s="643" t="s">
        <v>2842</v>
      </c>
      <c r="B634" s="768">
        <v>8</v>
      </c>
      <c r="C634" s="769" t="s">
        <v>2835</v>
      </c>
      <c r="D634" s="1230"/>
      <c r="E634" s="1231"/>
      <c r="F634" s="1231"/>
      <c r="G634" s="1231"/>
      <c r="H634" s="1231"/>
      <c r="I634" s="1231"/>
      <c r="J634" s="1231"/>
      <c r="K634" s="1232"/>
      <c r="L634" s="767" t="s">
        <v>2233</v>
      </c>
    </row>
    <row r="635" spans="1:12" ht="15.5" x14ac:dyDescent="0.35">
      <c r="A635" s="643" t="s">
        <v>2843</v>
      </c>
      <c r="B635" s="768">
        <v>9</v>
      </c>
      <c r="C635" s="769" t="s">
        <v>2835</v>
      </c>
      <c r="D635" s="1230"/>
      <c r="E635" s="1231"/>
      <c r="F635" s="1231"/>
      <c r="G635" s="1231"/>
      <c r="H635" s="1231"/>
      <c r="I635" s="1231"/>
      <c r="J635" s="1231"/>
      <c r="K635" s="1232"/>
      <c r="L635" s="767" t="s">
        <v>2233</v>
      </c>
    </row>
    <row r="636" spans="1:12" ht="15.5" x14ac:dyDescent="0.35">
      <c r="A636" s="643" t="s">
        <v>2844</v>
      </c>
      <c r="B636" s="768">
        <v>10</v>
      </c>
      <c r="C636" s="769" t="s">
        <v>2835</v>
      </c>
      <c r="D636" s="1230"/>
      <c r="E636" s="1231"/>
      <c r="F636" s="1231"/>
      <c r="G636" s="1231"/>
      <c r="H636" s="1231"/>
      <c r="I636" s="1231"/>
      <c r="J636" s="1231"/>
      <c r="K636" s="1232"/>
      <c r="L636" s="767" t="s">
        <v>2233</v>
      </c>
    </row>
    <row r="637" spans="1:12" ht="15.5" x14ac:dyDescent="0.35">
      <c r="A637" s="643" t="s">
        <v>2845</v>
      </c>
      <c r="B637" s="768">
        <v>11</v>
      </c>
      <c r="C637" s="769" t="s">
        <v>2835</v>
      </c>
      <c r="D637" s="1230"/>
      <c r="E637" s="1231"/>
      <c r="F637" s="1231"/>
      <c r="G637" s="1231"/>
      <c r="H637" s="1231"/>
      <c r="I637" s="1231"/>
      <c r="J637" s="1231"/>
      <c r="K637" s="1232"/>
      <c r="L637" s="767" t="s">
        <v>2233</v>
      </c>
    </row>
    <row r="638" spans="1:12" ht="15.5" x14ac:dyDescent="0.35">
      <c r="A638" s="643" t="s">
        <v>2846</v>
      </c>
      <c r="B638" s="768">
        <v>12</v>
      </c>
      <c r="C638" s="769" t="s">
        <v>2835</v>
      </c>
      <c r="D638" s="1230"/>
      <c r="E638" s="1231"/>
      <c r="F638" s="1231"/>
      <c r="G638" s="1231"/>
      <c r="H638" s="1231"/>
      <c r="I638" s="1231"/>
      <c r="J638" s="1231"/>
      <c r="K638" s="1232"/>
      <c r="L638" s="767" t="s">
        <v>2233</v>
      </c>
    </row>
    <row r="639" spans="1:12" ht="15.5" x14ac:dyDescent="0.35">
      <c r="A639" s="643" t="s">
        <v>2847</v>
      </c>
      <c r="B639" s="768">
        <v>13</v>
      </c>
      <c r="C639" s="769" t="s">
        <v>2835</v>
      </c>
      <c r="D639" s="1230"/>
      <c r="E639" s="1231"/>
      <c r="F639" s="1231"/>
      <c r="G639" s="1231"/>
      <c r="H639" s="1231"/>
      <c r="I639" s="1231"/>
      <c r="J639" s="1231"/>
      <c r="K639" s="1232"/>
      <c r="L639" s="767" t="s">
        <v>2233</v>
      </c>
    </row>
    <row r="640" spans="1:12" ht="15.5" x14ac:dyDescent="0.35">
      <c r="A640" s="643" t="s">
        <v>2848</v>
      </c>
      <c r="B640" s="768">
        <v>14</v>
      </c>
      <c r="C640" s="769" t="s">
        <v>2835</v>
      </c>
      <c r="D640" s="1230"/>
      <c r="E640" s="1231"/>
      <c r="F640" s="1231"/>
      <c r="G640" s="1231"/>
      <c r="H640" s="1231"/>
      <c r="I640" s="1231"/>
      <c r="J640" s="1231"/>
      <c r="K640" s="1232"/>
      <c r="L640" s="767" t="s">
        <v>2233</v>
      </c>
    </row>
    <row r="641" spans="1:12" ht="15.5" x14ac:dyDescent="0.35">
      <c r="A641" s="643" t="s">
        <v>2849</v>
      </c>
      <c r="B641" s="768">
        <v>15</v>
      </c>
      <c r="C641" s="769" t="s">
        <v>2835</v>
      </c>
      <c r="D641" s="1230"/>
      <c r="E641" s="1231"/>
      <c r="F641" s="1231"/>
      <c r="G641" s="1231"/>
      <c r="H641" s="1231"/>
      <c r="I641" s="1231"/>
      <c r="J641" s="1231"/>
      <c r="K641" s="1232"/>
      <c r="L641" s="767" t="s">
        <v>2233</v>
      </c>
    </row>
    <row r="642" spans="1:12" ht="15.5" x14ac:dyDescent="0.35">
      <c r="A642" s="643" t="s">
        <v>2850</v>
      </c>
      <c r="B642" s="768">
        <v>16</v>
      </c>
      <c r="C642" s="769" t="s">
        <v>2835</v>
      </c>
      <c r="D642" s="1230"/>
      <c r="E642" s="1231"/>
      <c r="F642" s="1231"/>
      <c r="G642" s="1231"/>
      <c r="H642" s="1231"/>
      <c r="I642" s="1231"/>
      <c r="J642" s="1231"/>
      <c r="K642" s="1232"/>
      <c r="L642" s="767" t="s">
        <v>2233</v>
      </c>
    </row>
    <row r="643" spans="1:12" ht="15.5" x14ac:dyDescent="0.35">
      <c r="A643" s="643" t="s">
        <v>2851</v>
      </c>
      <c r="B643" s="768">
        <v>17</v>
      </c>
      <c r="C643" s="769" t="s">
        <v>2835</v>
      </c>
      <c r="D643" s="1231"/>
      <c r="E643" s="1231"/>
      <c r="F643" s="1231"/>
      <c r="G643" s="1231"/>
      <c r="H643" s="1231"/>
      <c r="I643" s="1231"/>
      <c r="J643" s="1231"/>
      <c r="K643" s="1231"/>
      <c r="L643" s="767" t="s">
        <v>2233</v>
      </c>
    </row>
    <row r="644" spans="1:12" ht="15" customHeight="1" x14ac:dyDescent="0.35">
      <c r="A644" s="643" t="s">
        <v>2852</v>
      </c>
      <c r="B644" s="770">
        <v>18</v>
      </c>
      <c r="C644" s="771" t="s">
        <v>2835</v>
      </c>
      <c r="D644" s="1230"/>
      <c r="E644" s="1231"/>
      <c r="F644" s="1231"/>
      <c r="G644" s="1231"/>
      <c r="H644" s="1231"/>
      <c r="I644" s="1231"/>
      <c r="J644" s="1231"/>
      <c r="K644" s="1232"/>
      <c r="L644" s="767" t="s">
        <v>2233</v>
      </c>
    </row>
    <row r="645" spans="1:12" ht="15" customHeight="1" x14ac:dyDescent="0.35">
      <c r="A645" s="643" t="s">
        <v>2853</v>
      </c>
      <c r="B645" s="770">
        <v>19</v>
      </c>
      <c r="C645" s="771" t="s">
        <v>2835</v>
      </c>
      <c r="D645" s="1230"/>
      <c r="E645" s="1231"/>
      <c r="F645" s="1231"/>
      <c r="G645" s="1231"/>
      <c r="H645" s="1231"/>
      <c r="I645" s="1231"/>
      <c r="J645" s="1231"/>
      <c r="K645" s="1232"/>
      <c r="L645" s="767" t="s">
        <v>2233</v>
      </c>
    </row>
    <row r="646" spans="1:12" ht="15" customHeight="1" x14ac:dyDescent="0.35">
      <c r="A646" s="643" t="s">
        <v>2854</v>
      </c>
      <c r="B646" s="770">
        <v>21</v>
      </c>
      <c r="C646" s="771" t="s">
        <v>2835</v>
      </c>
      <c r="D646" s="1230"/>
      <c r="E646" s="1231"/>
      <c r="F646" s="1231"/>
      <c r="G646" s="1231"/>
      <c r="H646" s="1231"/>
      <c r="I646" s="1231"/>
      <c r="J646" s="1231"/>
      <c r="K646" s="1232"/>
      <c r="L646" s="767" t="s">
        <v>2233</v>
      </c>
    </row>
    <row r="647" spans="1:12" ht="15" customHeight="1" x14ac:dyDescent="0.35">
      <c r="A647" s="643" t="s">
        <v>2855</v>
      </c>
      <c r="B647" s="770">
        <v>22</v>
      </c>
      <c r="C647" s="771" t="s">
        <v>2835</v>
      </c>
      <c r="D647" s="1230"/>
      <c r="E647" s="1231"/>
      <c r="F647" s="1231"/>
      <c r="G647" s="1231"/>
      <c r="H647" s="1231"/>
      <c r="I647" s="1231"/>
      <c r="J647" s="1231"/>
      <c r="K647" s="1232"/>
      <c r="L647" s="767" t="s">
        <v>2233</v>
      </c>
    </row>
    <row r="648" spans="1:12" ht="15" customHeight="1" x14ac:dyDescent="0.35">
      <c r="A648" s="643" t="s">
        <v>2856</v>
      </c>
      <c r="B648" s="770">
        <v>23</v>
      </c>
      <c r="C648" s="771" t="s">
        <v>2835</v>
      </c>
      <c r="D648" s="1230"/>
      <c r="E648" s="1231"/>
      <c r="F648" s="1231"/>
      <c r="G648" s="1231"/>
      <c r="H648" s="1231"/>
      <c r="I648" s="1231"/>
      <c r="J648" s="1231"/>
      <c r="K648" s="1232"/>
      <c r="L648" s="767" t="s">
        <v>2233</v>
      </c>
    </row>
    <row r="649" spans="1:12" ht="15" customHeight="1" x14ac:dyDescent="0.35">
      <c r="A649" s="643" t="s">
        <v>2857</v>
      </c>
      <c r="B649" s="770">
        <v>24</v>
      </c>
      <c r="C649" s="771" t="s">
        <v>2835</v>
      </c>
      <c r="D649" s="1230"/>
      <c r="E649" s="1231"/>
      <c r="F649" s="1231"/>
      <c r="G649" s="1231"/>
      <c r="H649" s="1231"/>
      <c r="I649" s="1231"/>
      <c r="J649" s="1231"/>
      <c r="K649" s="1232"/>
      <c r="L649" s="767" t="s">
        <v>2233</v>
      </c>
    </row>
    <row r="650" spans="1:12" ht="15" customHeight="1" x14ac:dyDescent="0.35">
      <c r="A650" s="643" t="s">
        <v>2858</v>
      </c>
      <c r="B650" s="770">
        <v>25</v>
      </c>
      <c r="C650" s="771" t="s">
        <v>2835</v>
      </c>
      <c r="D650" s="1230"/>
      <c r="E650" s="1231"/>
      <c r="F650" s="1231"/>
      <c r="G650" s="1231"/>
      <c r="H650" s="1231"/>
      <c r="I650" s="1231"/>
      <c r="J650" s="1231"/>
      <c r="K650" s="1232"/>
      <c r="L650" s="767" t="s">
        <v>2233</v>
      </c>
    </row>
    <row r="651" spans="1:12" ht="15" customHeight="1" x14ac:dyDescent="0.35">
      <c r="A651" s="643" t="s">
        <v>2859</v>
      </c>
      <c r="B651" s="770">
        <v>26</v>
      </c>
      <c r="C651" s="771" t="s">
        <v>2835</v>
      </c>
      <c r="D651" s="1230"/>
      <c r="E651" s="1231"/>
      <c r="F651" s="1231"/>
      <c r="G651" s="1231"/>
      <c r="H651" s="1231"/>
      <c r="I651" s="1231"/>
      <c r="J651" s="1231"/>
      <c r="K651" s="1232"/>
      <c r="L651" s="767" t="s">
        <v>2233</v>
      </c>
    </row>
    <row r="652" spans="1:12" ht="15" customHeight="1" x14ac:dyDescent="0.35">
      <c r="A652" s="643" t="s">
        <v>2860</v>
      </c>
      <c r="B652" s="770">
        <v>27</v>
      </c>
      <c r="C652" s="771" t="s">
        <v>2835</v>
      </c>
      <c r="D652" s="1230"/>
      <c r="E652" s="1231"/>
      <c r="F652" s="1231"/>
      <c r="G652" s="1231"/>
      <c r="H652" s="1231"/>
      <c r="I652" s="1231"/>
      <c r="J652" s="1231"/>
      <c r="K652" s="1232"/>
      <c r="L652" s="767" t="s">
        <v>2233</v>
      </c>
    </row>
    <row r="653" spans="1:12" ht="15" customHeight="1" x14ac:dyDescent="0.35">
      <c r="A653" s="643" t="s">
        <v>2861</v>
      </c>
      <c r="B653" s="770">
        <v>28</v>
      </c>
      <c r="C653" s="771" t="s">
        <v>2835</v>
      </c>
      <c r="D653" s="1230"/>
      <c r="E653" s="1231"/>
      <c r="F653" s="1231"/>
      <c r="G653" s="1231"/>
      <c r="H653" s="1231"/>
      <c r="I653" s="1231"/>
      <c r="J653" s="1231"/>
      <c r="K653" s="1232"/>
      <c r="L653" s="767" t="s">
        <v>2233</v>
      </c>
    </row>
    <row r="654" spans="1:12" ht="15" customHeight="1" x14ac:dyDescent="0.35">
      <c r="A654" s="643" t="s">
        <v>2862</v>
      </c>
      <c r="B654" s="770">
        <v>29</v>
      </c>
      <c r="C654" s="771" t="s">
        <v>2835</v>
      </c>
      <c r="D654" s="1230"/>
      <c r="E654" s="1231"/>
      <c r="F654" s="1231"/>
      <c r="G654" s="1231"/>
      <c r="H654" s="1231"/>
      <c r="I654" s="1231"/>
      <c r="J654" s="1231"/>
      <c r="K654" s="1232"/>
      <c r="L654" s="767" t="s">
        <v>2233</v>
      </c>
    </row>
    <row r="655" spans="1:12" ht="15" customHeight="1" x14ac:dyDescent="0.35">
      <c r="A655" s="643" t="s">
        <v>2863</v>
      </c>
      <c r="B655" s="770">
        <v>30</v>
      </c>
      <c r="C655" s="771" t="s">
        <v>2835</v>
      </c>
      <c r="D655" s="1230"/>
      <c r="E655" s="1231"/>
      <c r="F655" s="1231"/>
      <c r="G655" s="1231"/>
      <c r="H655" s="1231"/>
      <c r="I655" s="1231"/>
      <c r="J655" s="1231"/>
      <c r="K655" s="1232"/>
      <c r="L655" s="767" t="s">
        <v>2233</v>
      </c>
    </row>
    <row r="656" spans="1:12" ht="15" customHeight="1" x14ac:dyDescent="0.35">
      <c r="A656" s="643" t="s">
        <v>2864</v>
      </c>
      <c r="B656" s="770">
        <v>32</v>
      </c>
      <c r="C656" s="771" t="s">
        <v>2835</v>
      </c>
      <c r="D656" s="1230"/>
      <c r="E656" s="1231"/>
      <c r="F656" s="1231"/>
      <c r="G656" s="1231"/>
      <c r="H656" s="1231"/>
      <c r="I656" s="1231"/>
      <c r="J656" s="1231"/>
      <c r="K656" s="1232"/>
      <c r="L656" s="767" t="s">
        <v>2233</v>
      </c>
    </row>
    <row r="657" spans="1:12" ht="15" customHeight="1" x14ac:dyDescent="0.35">
      <c r="A657" s="643" t="s">
        <v>2865</v>
      </c>
      <c r="B657" s="770">
        <v>33</v>
      </c>
      <c r="C657" s="771" t="s">
        <v>2835</v>
      </c>
      <c r="D657" s="1230"/>
      <c r="E657" s="1231"/>
      <c r="F657" s="1231"/>
      <c r="G657" s="1231"/>
      <c r="H657" s="1231"/>
      <c r="I657" s="1231"/>
      <c r="J657" s="1231"/>
      <c r="K657" s="1232"/>
      <c r="L657" s="767" t="s">
        <v>2233</v>
      </c>
    </row>
    <row r="658" spans="1:12" ht="15" customHeight="1" x14ac:dyDescent="0.35">
      <c r="A658" s="643" t="s">
        <v>2866</v>
      </c>
      <c r="B658" s="770">
        <v>34</v>
      </c>
      <c r="C658" s="771" t="s">
        <v>2835</v>
      </c>
      <c r="D658" s="1230"/>
      <c r="E658" s="1231"/>
      <c r="F658" s="1231"/>
      <c r="G658" s="1231"/>
      <c r="H658" s="1231"/>
      <c r="I658" s="1231"/>
      <c r="J658" s="1231"/>
      <c r="K658" s="1232"/>
      <c r="L658" s="767" t="s">
        <v>2233</v>
      </c>
    </row>
    <row r="659" spans="1:12" ht="15" customHeight="1" x14ac:dyDescent="0.35">
      <c r="A659" s="643" t="s">
        <v>2867</v>
      </c>
      <c r="B659" s="770">
        <v>35</v>
      </c>
      <c r="C659" s="771" t="s">
        <v>2835</v>
      </c>
      <c r="D659" s="1230"/>
      <c r="E659" s="1231"/>
      <c r="F659" s="1231"/>
      <c r="G659" s="1231"/>
      <c r="H659" s="1231"/>
      <c r="I659" s="1231"/>
      <c r="J659" s="1231"/>
      <c r="K659" s="1232"/>
      <c r="L659" s="767" t="s">
        <v>2233</v>
      </c>
    </row>
    <row r="660" spans="1:12" ht="15" customHeight="1" x14ac:dyDescent="0.35">
      <c r="A660" s="643" t="s">
        <v>2868</v>
      </c>
      <c r="B660" s="770">
        <v>36</v>
      </c>
      <c r="C660" s="771" t="s">
        <v>2835</v>
      </c>
      <c r="D660" s="1230"/>
      <c r="E660" s="1231"/>
      <c r="F660" s="1231"/>
      <c r="G660" s="1231"/>
      <c r="H660" s="1231"/>
      <c r="I660" s="1231"/>
      <c r="J660" s="1231"/>
      <c r="K660" s="1232"/>
      <c r="L660" s="767" t="s">
        <v>2233</v>
      </c>
    </row>
    <row r="661" spans="1:12" ht="15" customHeight="1" x14ac:dyDescent="0.35">
      <c r="A661" s="643" t="s">
        <v>2869</v>
      </c>
      <c r="B661" s="770">
        <v>37</v>
      </c>
      <c r="C661" s="771" t="s">
        <v>2835</v>
      </c>
      <c r="D661" s="1230"/>
      <c r="E661" s="1231"/>
      <c r="F661" s="1231"/>
      <c r="G661" s="1231"/>
      <c r="H661" s="1231"/>
      <c r="I661" s="1231"/>
      <c r="J661" s="1231"/>
      <c r="K661" s="1232"/>
      <c r="L661" s="767" t="s">
        <v>2233</v>
      </c>
    </row>
    <row r="662" spans="1:12" ht="15" customHeight="1" x14ac:dyDescent="0.35">
      <c r="A662" s="643" t="s">
        <v>2870</v>
      </c>
      <c r="B662" s="770">
        <v>38</v>
      </c>
      <c r="C662" s="771" t="s">
        <v>2835</v>
      </c>
      <c r="D662" s="1230"/>
      <c r="E662" s="1231"/>
      <c r="F662" s="1231"/>
      <c r="G662" s="1231"/>
      <c r="H662" s="1231"/>
      <c r="I662" s="1231"/>
      <c r="J662" s="1231"/>
      <c r="K662" s="1232"/>
      <c r="L662" s="767" t="s">
        <v>2233</v>
      </c>
    </row>
    <row r="663" spans="1:12" ht="15" customHeight="1" x14ac:dyDescent="0.35">
      <c r="A663" s="643" t="s">
        <v>2871</v>
      </c>
      <c r="B663" s="770">
        <v>39</v>
      </c>
      <c r="C663" s="771" t="s">
        <v>2835</v>
      </c>
      <c r="D663" s="1230"/>
      <c r="E663" s="1231"/>
      <c r="F663" s="1231"/>
      <c r="G663" s="1231"/>
      <c r="H663" s="1231"/>
      <c r="I663" s="1231"/>
      <c r="J663" s="1231"/>
      <c r="K663" s="1232"/>
      <c r="L663" s="767" t="s">
        <v>2233</v>
      </c>
    </row>
    <row r="664" spans="1:12" ht="15" customHeight="1" x14ac:dyDescent="0.35">
      <c r="A664" s="643" t="s">
        <v>2872</v>
      </c>
      <c r="B664" s="770">
        <v>40</v>
      </c>
      <c r="C664" s="771" t="s">
        <v>2835</v>
      </c>
      <c r="D664" s="1230"/>
      <c r="E664" s="1231"/>
      <c r="F664" s="1231"/>
      <c r="G664" s="1231"/>
      <c r="H664" s="1231"/>
      <c r="I664" s="1231"/>
      <c r="J664" s="1231"/>
      <c r="K664" s="1232"/>
      <c r="L664" s="767" t="s">
        <v>2233</v>
      </c>
    </row>
    <row r="665" spans="1:12" ht="15" customHeight="1" x14ac:dyDescent="0.35">
      <c r="A665" s="643" t="s">
        <v>2873</v>
      </c>
      <c r="B665" s="770">
        <v>41</v>
      </c>
      <c r="C665" s="771" t="s">
        <v>2835</v>
      </c>
      <c r="D665" s="1230"/>
      <c r="E665" s="1231"/>
      <c r="F665" s="1231"/>
      <c r="G665" s="1231"/>
      <c r="H665" s="1231"/>
      <c r="I665" s="1231"/>
      <c r="J665" s="1231"/>
      <c r="K665" s="1232"/>
      <c r="L665" s="767" t="s">
        <v>2233</v>
      </c>
    </row>
    <row r="666" spans="1:12" ht="15" customHeight="1" x14ac:dyDescent="0.35">
      <c r="A666" s="643" t="s">
        <v>2874</v>
      </c>
      <c r="B666" s="770">
        <v>42</v>
      </c>
      <c r="C666" s="771" t="s">
        <v>2835</v>
      </c>
      <c r="D666" s="1230"/>
      <c r="E666" s="1231"/>
      <c r="F666" s="1231"/>
      <c r="G666" s="1231"/>
      <c r="H666" s="1231"/>
      <c r="I666" s="1231"/>
      <c r="J666" s="1231"/>
      <c r="K666" s="1232"/>
      <c r="L666" s="767" t="s">
        <v>2233</v>
      </c>
    </row>
    <row r="667" spans="1:12" ht="15" customHeight="1" x14ac:dyDescent="0.35">
      <c r="A667" s="643" t="s">
        <v>2875</v>
      </c>
      <c r="B667" s="770">
        <v>46</v>
      </c>
      <c r="C667" s="771" t="s">
        <v>2835</v>
      </c>
      <c r="D667" s="1230"/>
      <c r="E667" s="1231"/>
      <c r="F667" s="1231"/>
      <c r="G667" s="1231"/>
      <c r="H667" s="1231"/>
      <c r="I667" s="1231"/>
      <c r="J667" s="1231"/>
      <c r="K667" s="1232"/>
      <c r="L667" s="767" t="s">
        <v>2233</v>
      </c>
    </row>
    <row r="668" spans="1:12" ht="15" customHeight="1" x14ac:dyDescent="0.35">
      <c r="A668" s="643" t="s">
        <v>2876</v>
      </c>
      <c r="B668" s="770">
        <v>47</v>
      </c>
      <c r="C668" s="771" t="s">
        <v>2835</v>
      </c>
      <c r="D668" s="1230"/>
      <c r="E668" s="1231"/>
      <c r="F668" s="1231"/>
      <c r="G668" s="1231"/>
      <c r="H668" s="1231"/>
      <c r="I668" s="1231"/>
      <c r="J668" s="1231"/>
      <c r="K668" s="1232"/>
      <c r="L668" s="767" t="s">
        <v>2233</v>
      </c>
    </row>
    <row r="669" spans="1:12" ht="15" customHeight="1" x14ac:dyDescent="0.35">
      <c r="A669" s="643" t="s">
        <v>2877</v>
      </c>
      <c r="B669" s="770">
        <v>48</v>
      </c>
      <c r="C669" s="771" t="s">
        <v>2835</v>
      </c>
      <c r="D669" s="1230"/>
      <c r="E669" s="1231"/>
      <c r="F669" s="1231"/>
      <c r="G669" s="1231"/>
      <c r="H669" s="1231"/>
      <c r="I669" s="1231"/>
      <c r="J669" s="1231"/>
      <c r="K669" s="1232"/>
      <c r="L669" s="767" t="s">
        <v>2233</v>
      </c>
    </row>
    <row r="670" spans="1:12" ht="15" customHeight="1" x14ac:dyDescent="0.35">
      <c r="A670" s="643" t="s">
        <v>2878</v>
      </c>
      <c r="B670" s="770">
        <v>49</v>
      </c>
      <c r="C670" s="771" t="s">
        <v>2835</v>
      </c>
      <c r="D670" s="1230"/>
      <c r="E670" s="1231"/>
      <c r="F670" s="1231"/>
      <c r="G670" s="1231"/>
      <c r="H670" s="1231"/>
      <c r="I670" s="1231"/>
      <c r="J670" s="1231"/>
      <c r="K670" s="1232"/>
      <c r="L670" s="767" t="s">
        <v>2233</v>
      </c>
    </row>
    <row r="671" spans="1:12" ht="15" customHeight="1" x14ac:dyDescent="0.35">
      <c r="A671" s="643" t="s">
        <v>2879</v>
      </c>
      <c r="B671" s="770">
        <v>50</v>
      </c>
      <c r="C671" s="771" t="s">
        <v>2835</v>
      </c>
      <c r="D671" s="1230"/>
      <c r="E671" s="1231"/>
      <c r="F671" s="1231"/>
      <c r="G671" s="1231"/>
      <c r="H671" s="1231"/>
      <c r="I671" s="1231"/>
      <c r="J671" s="1231"/>
      <c r="K671" s="1232"/>
      <c r="L671" s="767" t="s">
        <v>2233</v>
      </c>
    </row>
    <row r="672" spans="1:12" ht="15" customHeight="1" x14ac:dyDescent="0.35">
      <c r="A672" s="643" t="s">
        <v>2880</v>
      </c>
      <c r="B672" s="770">
        <v>51</v>
      </c>
      <c r="C672" s="771" t="s">
        <v>2835</v>
      </c>
      <c r="D672" s="1230"/>
      <c r="E672" s="1231"/>
      <c r="F672" s="1231"/>
      <c r="G672" s="1231"/>
      <c r="H672" s="1231"/>
      <c r="I672" s="1231"/>
      <c r="J672" s="1231"/>
      <c r="K672" s="1232"/>
      <c r="L672" s="767" t="s">
        <v>2233</v>
      </c>
    </row>
    <row r="673" spans="1:12" ht="15" customHeight="1" x14ac:dyDescent="0.35">
      <c r="A673" s="643" t="s">
        <v>2881</v>
      </c>
      <c r="B673" s="770">
        <v>52</v>
      </c>
      <c r="C673" s="771" t="s">
        <v>2835</v>
      </c>
      <c r="D673" s="1230"/>
      <c r="E673" s="1231"/>
      <c r="F673" s="1231"/>
      <c r="G673" s="1231"/>
      <c r="H673" s="1231"/>
      <c r="I673" s="1231"/>
      <c r="J673" s="1231"/>
      <c r="K673" s="1232"/>
      <c r="L673" s="767" t="s">
        <v>2233</v>
      </c>
    </row>
    <row r="674" spans="1:12" ht="15" customHeight="1" x14ac:dyDescent="0.35">
      <c r="A674" s="643" t="s">
        <v>2882</v>
      </c>
      <c r="B674" s="770">
        <v>53</v>
      </c>
      <c r="C674" s="771" t="s">
        <v>2835</v>
      </c>
      <c r="D674" s="1230"/>
      <c r="E674" s="1231"/>
      <c r="F674" s="1231"/>
      <c r="G674" s="1231"/>
      <c r="H674" s="1231"/>
      <c r="I674" s="1231"/>
      <c r="J674" s="1231"/>
      <c r="K674" s="1232"/>
      <c r="L674" s="767" t="s">
        <v>2233</v>
      </c>
    </row>
    <row r="675" spans="1:12" ht="15" customHeight="1" x14ac:dyDescent="0.35">
      <c r="A675" s="643" t="s">
        <v>2883</v>
      </c>
      <c r="B675" s="770">
        <v>54</v>
      </c>
      <c r="C675" s="771" t="s">
        <v>2835</v>
      </c>
      <c r="D675" s="1230"/>
      <c r="E675" s="1231"/>
      <c r="F675" s="1231"/>
      <c r="G675" s="1231"/>
      <c r="H675" s="1231"/>
      <c r="I675" s="1231"/>
      <c r="J675" s="1231"/>
      <c r="K675" s="1232"/>
      <c r="L675" s="767" t="s">
        <v>2233</v>
      </c>
    </row>
    <row r="676" spans="1:12" ht="15" customHeight="1" x14ac:dyDescent="0.35">
      <c r="A676" s="643" t="s">
        <v>2884</v>
      </c>
      <c r="B676" s="770">
        <v>55</v>
      </c>
      <c r="C676" s="771" t="s">
        <v>2835</v>
      </c>
      <c r="D676" s="1230"/>
      <c r="E676" s="1231"/>
      <c r="F676" s="1231"/>
      <c r="G676" s="1231"/>
      <c r="H676" s="1231"/>
      <c r="I676" s="1231"/>
      <c r="J676" s="1231"/>
      <c r="K676" s="1232"/>
      <c r="L676" s="767" t="s">
        <v>2233</v>
      </c>
    </row>
    <row r="677" spans="1:12" ht="15" customHeight="1" x14ac:dyDescent="0.35">
      <c r="A677" s="643" t="s">
        <v>2885</v>
      </c>
      <c r="B677" s="770">
        <v>56</v>
      </c>
      <c r="C677" s="771" t="s">
        <v>2835</v>
      </c>
      <c r="D677" s="1230"/>
      <c r="E677" s="1231"/>
      <c r="F677" s="1231"/>
      <c r="G677" s="1231"/>
      <c r="H677" s="1231"/>
      <c r="I677" s="1231"/>
      <c r="J677" s="1231"/>
      <c r="K677" s="1232"/>
      <c r="L677" s="767" t="s">
        <v>2233</v>
      </c>
    </row>
    <row r="678" spans="1:12" ht="15" customHeight="1" x14ac:dyDescent="0.35">
      <c r="A678" s="643" t="s">
        <v>2886</v>
      </c>
      <c r="B678" s="770">
        <v>57</v>
      </c>
      <c r="C678" s="771" t="s">
        <v>2835</v>
      </c>
      <c r="D678" s="1230"/>
      <c r="E678" s="1231"/>
      <c r="F678" s="1231"/>
      <c r="G678" s="1231"/>
      <c r="H678" s="1231"/>
      <c r="I678" s="1231"/>
      <c r="J678" s="1231"/>
      <c r="K678" s="1232"/>
      <c r="L678" s="767" t="s">
        <v>2233</v>
      </c>
    </row>
    <row r="679" spans="1:12" ht="15" customHeight="1" x14ac:dyDescent="0.35">
      <c r="A679" s="643" t="s">
        <v>2887</v>
      </c>
      <c r="B679" s="770">
        <v>58</v>
      </c>
      <c r="C679" s="771" t="s">
        <v>2835</v>
      </c>
      <c r="D679" s="1230"/>
      <c r="E679" s="1231"/>
      <c r="F679" s="1231"/>
      <c r="G679" s="1231"/>
      <c r="H679" s="1231"/>
      <c r="I679" s="1231"/>
      <c r="J679" s="1231"/>
      <c r="K679" s="1232"/>
      <c r="L679" s="767" t="s">
        <v>2233</v>
      </c>
    </row>
    <row r="680" spans="1:12" ht="15" customHeight="1" x14ac:dyDescent="0.35">
      <c r="A680" s="643" t="s">
        <v>2888</v>
      </c>
      <c r="B680" s="770">
        <v>59</v>
      </c>
      <c r="C680" s="771" t="s">
        <v>2835</v>
      </c>
      <c r="D680" s="1230"/>
      <c r="E680" s="1231"/>
      <c r="F680" s="1231"/>
      <c r="G680" s="1231"/>
      <c r="H680" s="1231"/>
      <c r="I680" s="1231"/>
      <c r="J680" s="1231"/>
      <c r="K680" s="1232"/>
      <c r="L680" s="767" t="s">
        <v>2233</v>
      </c>
    </row>
    <row r="681" spans="1:12" ht="15" customHeight="1" x14ac:dyDescent="0.35">
      <c r="A681" s="643" t="s">
        <v>2889</v>
      </c>
      <c r="B681" s="770">
        <v>60</v>
      </c>
      <c r="C681" s="771" t="s">
        <v>2835</v>
      </c>
      <c r="D681" s="1230"/>
      <c r="E681" s="1231"/>
      <c r="F681" s="1231"/>
      <c r="G681" s="1231"/>
      <c r="H681" s="1231"/>
      <c r="I681" s="1231"/>
      <c r="J681" s="1231"/>
      <c r="K681" s="1232"/>
      <c r="L681" s="767" t="s">
        <v>2233</v>
      </c>
    </row>
    <row r="682" spans="1:12" ht="15" customHeight="1" x14ac:dyDescent="0.35">
      <c r="A682" s="643" t="s">
        <v>2890</v>
      </c>
      <c r="B682" s="770">
        <v>61</v>
      </c>
      <c r="C682" s="771" t="s">
        <v>2835</v>
      </c>
      <c r="D682" s="1230"/>
      <c r="E682" s="1231"/>
      <c r="F682" s="1231"/>
      <c r="G682" s="1231"/>
      <c r="H682" s="1231"/>
      <c r="I682" s="1231"/>
      <c r="J682" s="1231"/>
      <c r="K682" s="1232"/>
      <c r="L682" s="767" t="s">
        <v>2233</v>
      </c>
    </row>
    <row r="683" spans="1:12" ht="15" customHeight="1" x14ac:dyDescent="0.35">
      <c r="A683" s="643" t="s">
        <v>2891</v>
      </c>
      <c r="B683" s="770">
        <v>62</v>
      </c>
      <c r="C683" s="771" t="s">
        <v>2835</v>
      </c>
      <c r="D683" s="1230"/>
      <c r="E683" s="1231"/>
      <c r="F683" s="1231"/>
      <c r="G683" s="1231"/>
      <c r="H683" s="1231"/>
      <c r="I683" s="1231"/>
      <c r="J683" s="1231"/>
      <c r="K683" s="1232"/>
      <c r="L683" s="767" t="s">
        <v>2233</v>
      </c>
    </row>
    <row r="684" spans="1:12" ht="15" customHeight="1" x14ac:dyDescent="0.35">
      <c r="A684" s="643" t="s">
        <v>2892</v>
      </c>
      <c r="B684" s="770">
        <v>63</v>
      </c>
      <c r="C684" s="771" t="s">
        <v>2835</v>
      </c>
      <c r="D684" s="1230"/>
      <c r="E684" s="1231"/>
      <c r="F684" s="1231"/>
      <c r="G684" s="1231"/>
      <c r="H684" s="1231"/>
      <c r="I684" s="1231"/>
      <c r="J684" s="1231"/>
      <c r="K684" s="1232"/>
      <c r="L684" s="767" t="s">
        <v>2233</v>
      </c>
    </row>
    <row r="685" spans="1:12" ht="15" customHeight="1" x14ac:dyDescent="0.35">
      <c r="A685" s="643" t="s">
        <v>2893</v>
      </c>
      <c r="B685" s="770">
        <v>64</v>
      </c>
      <c r="C685" s="771" t="s">
        <v>2835</v>
      </c>
      <c r="D685" s="1230"/>
      <c r="E685" s="1231"/>
      <c r="F685" s="1231"/>
      <c r="G685" s="1231"/>
      <c r="H685" s="1231"/>
      <c r="I685" s="1231"/>
      <c r="J685" s="1231"/>
      <c r="K685" s="1232"/>
      <c r="L685" s="767" t="s">
        <v>2233</v>
      </c>
    </row>
    <row r="686" spans="1:12" ht="15" customHeight="1" x14ac:dyDescent="0.35">
      <c r="A686" s="643" t="s">
        <v>2894</v>
      </c>
      <c r="B686" s="770">
        <v>65</v>
      </c>
      <c r="C686" s="771" t="s">
        <v>2835</v>
      </c>
      <c r="D686" s="1230"/>
      <c r="E686" s="1231"/>
      <c r="F686" s="1231"/>
      <c r="G686" s="1231"/>
      <c r="H686" s="1231"/>
      <c r="I686" s="1231"/>
      <c r="J686" s="1231"/>
      <c r="K686" s="1232"/>
      <c r="L686" s="767" t="s">
        <v>2233</v>
      </c>
    </row>
    <row r="687" spans="1:12" ht="15" customHeight="1" x14ac:dyDescent="0.35">
      <c r="A687" s="643" t="s">
        <v>2895</v>
      </c>
      <c r="B687" s="770">
        <v>66</v>
      </c>
      <c r="C687" s="771" t="s">
        <v>2835</v>
      </c>
      <c r="D687" s="1230"/>
      <c r="E687" s="1231"/>
      <c r="F687" s="1231"/>
      <c r="G687" s="1231"/>
      <c r="H687" s="1231"/>
      <c r="I687" s="1231"/>
      <c r="J687" s="1231"/>
      <c r="K687" s="1232"/>
      <c r="L687" s="767" t="s">
        <v>2233</v>
      </c>
    </row>
    <row r="688" spans="1:12" ht="15" customHeight="1" x14ac:dyDescent="0.35">
      <c r="A688" s="643" t="s">
        <v>2896</v>
      </c>
      <c r="B688" s="772">
        <v>67</v>
      </c>
      <c r="C688" s="773" t="s">
        <v>2835</v>
      </c>
      <c r="D688" s="1243"/>
      <c r="E688" s="1244"/>
      <c r="F688" s="1244"/>
      <c r="G688" s="1244"/>
      <c r="H688" s="1244"/>
      <c r="I688" s="1244"/>
      <c r="J688" s="1244"/>
      <c r="K688" s="1245"/>
      <c r="L688" s="973" t="s">
        <v>2233</v>
      </c>
    </row>
    <row r="689" spans="12:12" x14ac:dyDescent="0.25">
      <c r="L689"/>
    </row>
    <row r="690" spans="12:12" x14ac:dyDescent="0.25">
      <c r="L690"/>
    </row>
    <row r="691" spans="12:12" x14ac:dyDescent="0.25"/>
    <row r="692" spans="12:12" x14ac:dyDescent="0.25"/>
    <row r="693" spans="12:12" x14ac:dyDescent="0.25"/>
    <row r="694" spans="12:12" x14ac:dyDescent="0.25"/>
    <row r="695" spans="12:12" x14ac:dyDescent="0.25"/>
    <row r="696" spans="12:12" x14ac:dyDescent="0.25"/>
    <row r="697" spans="12:12" x14ac:dyDescent="0.25"/>
    <row r="698" spans="12:12" x14ac:dyDescent="0.25"/>
    <row r="699" spans="12:12" x14ac:dyDescent="0.25"/>
    <row r="700" spans="12:12" x14ac:dyDescent="0.25"/>
    <row r="701" spans="12:12" x14ac:dyDescent="0.25"/>
    <row r="702" spans="12:12" x14ac:dyDescent="0.25"/>
    <row r="703" spans="12:12" x14ac:dyDescent="0.25"/>
    <row r="704" spans="12:12"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sheetData>
  <autoFilter ref="A34:L688" xr:uid="{00000000-0001-0000-0C00-000000000000}">
    <filterColumn colId="3" showButton="0"/>
    <filterColumn colId="4" showButton="0"/>
    <filterColumn colId="5" showButton="0"/>
    <filterColumn colId="6" showButton="0"/>
    <filterColumn colId="7" showButton="0"/>
    <filterColumn colId="8" showButton="0"/>
    <filterColumn colId="9" showButton="0"/>
  </autoFilter>
  <mergeCells count="634">
    <mergeCell ref="D688:K688"/>
    <mergeCell ref="D393:K393"/>
    <mergeCell ref="D394:K394"/>
    <mergeCell ref="D537:K537"/>
    <mergeCell ref="D538:K538"/>
    <mergeCell ref="D539:K539"/>
    <mergeCell ref="D540:K540"/>
    <mergeCell ref="D541:K541"/>
    <mergeCell ref="D642:K642"/>
    <mergeCell ref="D643:K643"/>
    <mergeCell ref="D641:K641"/>
    <mergeCell ref="D632:K632"/>
    <mergeCell ref="D633:K633"/>
    <mergeCell ref="D634:K634"/>
    <mergeCell ref="D604:K604"/>
    <mergeCell ref="D605:K605"/>
    <mergeCell ref="D606:K606"/>
    <mergeCell ref="D626:K626"/>
    <mergeCell ref="D617:K617"/>
    <mergeCell ref="D618:K618"/>
    <mergeCell ref="D619:K619"/>
    <mergeCell ref="D620:K620"/>
    <mergeCell ref="D607:K607"/>
    <mergeCell ref="D608:K608"/>
    <mergeCell ref="D87:K87"/>
    <mergeCell ref="D96:K96"/>
    <mergeCell ref="D103:K103"/>
    <mergeCell ref="D107:K107"/>
    <mergeCell ref="D102:K102"/>
    <mergeCell ref="D104:K104"/>
    <mergeCell ref="D105:K105"/>
    <mergeCell ref="D108:K108"/>
    <mergeCell ref="D109:K109"/>
    <mergeCell ref="D97:K97"/>
    <mergeCell ref="D98:K98"/>
    <mergeCell ref="D99:K99"/>
    <mergeCell ref="D100:K100"/>
    <mergeCell ref="D101:K101"/>
    <mergeCell ref="D91:K91"/>
    <mergeCell ref="D92:K92"/>
    <mergeCell ref="D609:K609"/>
    <mergeCell ref="D610:K610"/>
    <mergeCell ref="D611:K611"/>
    <mergeCell ref="D602:K602"/>
    <mergeCell ref="D603:K603"/>
    <mergeCell ref="D120:K120"/>
    <mergeCell ref="D121:K121"/>
    <mergeCell ref="D122:K122"/>
    <mergeCell ref="D123:K123"/>
    <mergeCell ref="D124:K124"/>
    <mergeCell ref="D125:K125"/>
    <mergeCell ref="D126:K126"/>
    <mergeCell ref="D132:K132"/>
    <mergeCell ref="D133:K133"/>
    <mergeCell ref="D135:K135"/>
    <mergeCell ref="D136:K136"/>
    <mergeCell ref="D137:K137"/>
    <mergeCell ref="D138:K138"/>
    <mergeCell ref="D169:K169"/>
    <mergeCell ref="D600:K600"/>
    <mergeCell ref="D601:K601"/>
    <mergeCell ref="D592:K592"/>
    <mergeCell ref="D597:K597"/>
    <mergeCell ref="D598:K598"/>
    <mergeCell ref="D637:K637"/>
    <mergeCell ref="D638:K638"/>
    <mergeCell ref="D639:K639"/>
    <mergeCell ref="D640:K640"/>
    <mergeCell ref="D635:K635"/>
    <mergeCell ref="D636:K636"/>
    <mergeCell ref="D627:K627"/>
    <mergeCell ref="D628:K628"/>
    <mergeCell ref="D629:K629"/>
    <mergeCell ref="D630:K630"/>
    <mergeCell ref="D631:K631"/>
    <mergeCell ref="D621:K621"/>
    <mergeCell ref="D612:K612"/>
    <mergeCell ref="D613:K613"/>
    <mergeCell ref="D614:K614"/>
    <mergeCell ref="D615:K615"/>
    <mergeCell ref="D616:K616"/>
    <mergeCell ref="D624:K624"/>
    <mergeCell ref="D625:K625"/>
    <mergeCell ref="D623:K623"/>
    <mergeCell ref="D622:K622"/>
    <mergeCell ref="D599:K599"/>
    <mergeCell ref="D582:K582"/>
    <mergeCell ref="D583:K583"/>
    <mergeCell ref="D584:K584"/>
    <mergeCell ref="D585:K585"/>
    <mergeCell ref="D586:K586"/>
    <mergeCell ref="D577:K577"/>
    <mergeCell ref="D578:K578"/>
    <mergeCell ref="D579:K579"/>
    <mergeCell ref="D580:K580"/>
    <mergeCell ref="D581:K581"/>
    <mergeCell ref="D593:K593"/>
    <mergeCell ref="D594:K594"/>
    <mergeCell ref="D595:K595"/>
    <mergeCell ref="D596:K596"/>
    <mergeCell ref="D587:K587"/>
    <mergeCell ref="D588:K588"/>
    <mergeCell ref="D589:K589"/>
    <mergeCell ref="D590:K590"/>
    <mergeCell ref="D591:K591"/>
    <mergeCell ref="D572:K572"/>
    <mergeCell ref="D573:K573"/>
    <mergeCell ref="D574:K574"/>
    <mergeCell ref="D575:K575"/>
    <mergeCell ref="D576:K576"/>
    <mergeCell ref="D567:K567"/>
    <mergeCell ref="D568:K568"/>
    <mergeCell ref="D569:K569"/>
    <mergeCell ref="D570:K570"/>
    <mergeCell ref="D571:K571"/>
    <mergeCell ref="D565:K565"/>
    <mergeCell ref="D566:K566"/>
    <mergeCell ref="D562:K562"/>
    <mergeCell ref="D563:K563"/>
    <mergeCell ref="D564:K564"/>
    <mergeCell ref="D557:K557"/>
    <mergeCell ref="D558:K558"/>
    <mergeCell ref="D559:K559"/>
    <mergeCell ref="D560:K560"/>
    <mergeCell ref="D561:K561"/>
    <mergeCell ref="D552:K552"/>
    <mergeCell ref="D553:K553"/>
    <mergeCell ref="D554:K554"/>
    <mergeCell ref="D555:K555"/>
    <mergeCell ref="D556:K556"/>
    <mergeCell ref="D547:K547"/>
    <mergeCell ref="D548:K548"/>
    <mergeCell ref="D549:K549"/>
    <mergeCell ref="D550:K550"/>
    <mergeCell ref="D551:K551"/>
    <mergeCell ref="D535:K535"/>
    <mergeCell ref="D542:K542"/>
    <mergeCell ref="D544:K544"/>
    <mergeCell ref="D545:K545"/>
    <mergeCell ref="D546:K546"/>
    <mergeCell ref="D530:K530"/>
    <mergeCell ref="D531:K531"/>
    <mergeCell ref="D532:K532"/>
    <mergeCell ref="D533:K533"/>
    <mergeCell ref="D534:K534"/>
    <mergeCell ref="D525:K525"/>
    <mergeCell ref="D526:K526"/>
    <mergeCell ref="D527:K527"/>
    <mergeCell ref="D528:K528"/>
    <mergeCell ref="D529:K529"/>
    <mergeCell ref="D520:K520"/>
    <mergeCell ref="D521:K521"/>
    <mergeCell ref="D522:K522"/>
    <mergeCell ref="D523:K523"/>
    <mergeCell ref="D524:K524"/>
    <mergeCell ref="D515:K515"/>
    <mergeCell ref="D516:K516"/>
    <mergeCell ref="D517:K517"/>
    <mergeCell ref="D518:K518"/>
    <mergeCell ref="D519:K519"/>
    <mergeCell ref="D508:K508"/>
    <mergeCell ref="D510:K510"/>
    <mergeCell ref="D511:K511"/>
    <mergeCell ref="D512:K512"/>
    <mergeCell ref="D513:K513"/>
    <mergeCell ref="D501:K501"/>
    <mergeCell ref="D502:K502"/>
    <mergeCell ref="D503:K503"/>
    <mergeCell ref="D504:K504"/>
    <mergeCell ref="D506:K506"/>
    <mergeCell ref="D496:K496"/>
    <mergeCell ref="D497:K497"/>
    <mergeCell ref="D498:K498"/>
    <mergeCell ref="D499:K499"/>
    <mergeCell ref="D500:K500"/>
    <mergeCell ref="D490:K490"/>
    <mergeCell ref="D491:K491"/>
    <mergeCell ref="D492:K492"/>
    <mergeCell ref="D493:K493"/>
    <mergeCell ref="D495:K495"/>
    <mergeCell ref="D485:K485"/>
    <mergeCell ref="D486:K486"/>
    <mergeCell ref="D487:K487"/>
    <mergeCell ref="D488:K488"/>
    <mergeCell ref="D489:K489"/>
    <mergeCell ref="D480:K480"/>
    <mergeCell ref="D481:K481"/>
    <mergeCell ref="D482:K482"/>
    <mergeCell ref="D483:K483"/>
    <mergeCell ref="D484:K484"/>
    <mergeCell ref="D475:K475"/>
    <mergeCell ref="D476:K476"/>
    <mergeCell ref="D477:K477"/>
    <mergeCell ref="D478:K478"/>
    <mergeCell ref="D479:K479"/>
    <mergeCell ref="D470:K470"/>
    <mergeCell ref="D471:K471"/>
    <mergeCell ref="D472:K472"/>
    <mergeCell ref="D473:K473"/>
    <mergeCell ref="D474:K474"/>
    <mergeCell ref="D465:K465"/>
    <mergeCell ref="D466:K466"/>
    <mergeCell ref="D467:K467"/>
    <mergeCell ref="D468:K468"/>
    <mergeCell ref="D469:K469"/>
    <mergeCell ref="D458:K458"/>
    <mergeCell ref="D459:K459"/>
    <mergeCell ref="D461:K461"/>
    <mergeCell ref="D462:K462"/>
    <mergeCell ref="D463:K463"/>
    <mergeCell ref="D460:K460"/>
    <mergeCell ref="D453:K453"/>
    <mergeCell ref="D454:K454"/>
    <mergeCell ref="D455:K455"/>
    <mergeCell ref="D456:K456"/>
    <mergeCell ref="D457:K457"/>
    <mergeCell ref="D448:K448"/>
    <mergeCell ref="D449:K449"/>
    <mergeCell ref="D450:K450"/>
    <mergeCell ref="D451:K451"/>
    <mergeCell ref="D452:K452"/>
    <mergeCell ref="D443:K443"/>
    <mergeCell ref="D444:K444"/>
    <mergeCell ref="D445:K445"/>
    <mergeCell ref="D446:K446"/>
    <mergeCell ref="D447:K447"/>
    <mergeCell ref="D438:K438"/>
    <mergeCell ref="D439:K439"/>
    <mergeCell ref="D440:K440"/>
    <mergeCell ref="D441:K441"/>
    <mergeCell ref="D442:K442"/>
    <mergeCell ref="D433:K433"/>
    <mergeCell ref="D434:K434"/>
    <mergeCell ref="D435:K435"/>
    <mergeCell ref="D436:K436"/>
    <mergeCell ref="D437:K437"/>
    <mergeCell ref="D428:K428"/>
    <mergeCell ref="D429:K429"/>
    <mergeCell ref="D430:K430"/>
    <mergeCell ref="D431:K431"/>
    <mergeCell ref="D432:K432"/>
    <mergeCell ref="D422:K422"/>
    <mergeCell ref="D423:K423"/>
    <mergeCell ref="D424:K424"/>
    <mergeCell ref="D426:K426"/>
    <mergeCell ref="D427:K427"/>
    <mergeCell ref="D417:K417"/>
    <mergeCell ref="D418:K418"/>
    <mergeCell ref="D419:K419"/>
    <mergeCell ref="D420:K420"/>
    <mergeCell ref="D421:K421"/>
    <mergeCell ref="D408:K408"/>
    <mergeCell ref="D398:K398"/>
    <mergeCell ref="D399:K399"/>
    <mergeCell ref="D400:K400"/>
    <mergeCell ref="D401:K401"/>
    <mergeCell ref="D403:K403"/>
    <mergeCell ref="D414:K414"/>
    <mergeCell ref="D415:K415"/>
    <mergeCell ref="D416:K416"/>
    <mergeCell ref="D410:K410"/>
    <mergeCell ref="D411:K411"/>
    <mergeCell ref="D412:K412"/>
    <mergeCell ref="D413:K413"/>
    <mergeCell ref="D395:K395"/>
    <mergeCell ref="D397:K397"/>
    <mergeCell ref="D409:K409"/>
    <mergeCell ref="D389:K389"/>
    <mergeCell ref="D390:K390"/>
    <mergeCell ref="D391:K391"/>
    <mergeCell ref="D392:K392"/>
    <mergeCell ref="D377:K377"/>
    <mergeCell ref="D378:K378"/>
    <mergeCell ref="D379:K379"/>
    <mergeCell ref="D380:K380"/>
    <mergeCell ref="D388:K388"/>
    <mergeCell ref="D381:K381"/>
    <mergeCell ref="D382:K382"/>
    <mergeCell ref="D383:K383"/>
    <mergeCell ref="D384:K384"/>
    <mergeCell ref="D385:K385"/>
    <mergeCell ref="D386:K386"/>
    <mergeCell ref="D387:K387"/>
    <mergeCell ref="D404:K404"/>
    <mergeCell ref="D405:K405"/>
    <mergeCell ref="D406:K406"/>
    <mergeCell ref="D407:K407"/>
    <mergeCell ref="D372:K372"/>
    <mergeCell ref="D373:K373"/>
    <mergeCell ref="D374:K374"/>
    <mergeCell ref="D375:K375"/>
    <mergeCell ref="D376:K376"/>
    <mergeCell ref="D364:K364"/>
    <mergeCell ref="D367:K367"/>
    <mergeCell ref="D369:K369"/>
    <mergeCell ref="D370:K370"/>
    <mergeCell ref="D371:K371"/>
    <mergeCell ref="D365:K365"/>
    <mergeCell ref="D366:K366"/>
    <mergeCell ref="D359:K359"/>
    <mergeCell ref="D360:K360"/>
    <mergeCell ref="D361:K361"/>
    <mergeCell ref="D362:K362"/>
    <mergeCell ref="D363:K363"/>
    <mergeCell ref="D354:K354"/>
    <mergeCell ref="D355:K355"/>
    <mergeCell ref="D356:K356"/>
    <mergeCell ref="D357:K357"/>
    <mergeCell ref="D358:K358"/>
    <mergeCell ref="D349:K349"/>
    <mergeCell ref="D350:K350"/>
    <mergeCell ref="D351:K351"/>
    <mergeCell ref="D352:K352"/>
    <mergeCell ref="D353:K353"/>
    <mergeCell ref="D343:K343"/>
    <mergeCell ref="D344:K344"/>
    <mergeCell ref="D345:K345"/>
    <mergeCell ref="D347:K347"/>
    <mergeCell ref="D348:K348"/>
    <mergeCell ref="D334:K334"/>
    <mergeCell ref="D335:K335"/>
    <mergeCell ref="D340:K340"/>
    <mergeCell ref="D341:K341"/>
    <mergeCell ref="D342:K342"/>
    <mergeCell ref="D328:K328"/>
    <mergeCell ref="D329:K329"/>
    <mergeCell ref="D330:K330"/>
    <mergeCell ref="D331:K331"/>
    <mergeCell ref="D333:K333"/>
    <mergeCell ref="D323:K323"/>
    <mergeCell ref="D324:K324"/>
    <mergeCell ref="D325:K325"/>
    <mergeCell ref="D326:K326"/>
    <mergeCell ref="D327:K327"/>
    <mergeCell ref="D318:K318"/>
    <mergeCell ref="D319:K319"/>
    <mergeCell ref="D320:K320"/>
    <mergeCell ref="D321:K321"/>
    <mergeCell ref="D322:K322"/>
    <mergeCell ref="D313:K313"/>
    <mergeCell ref="D314:K314"/>
    <mergeCell ref="D315:K315"/>
    <mergeCell ref="D316:K316"/>
    <mergeCell ref="D317:K317"/>
    <mergeCell ref="D308:K308"/>
    <mergeCell ref="D309:K309"/>
    <mergeCell ref="D310:K310"/>
    <mergeCell ref="D311:K311"/>
    <mergeCell ref="D312:K312"/>
    <mergeCell ref="D303:K303"/>
    <mergeCell ref="D304:K304"/>
    <mergeCell ref="D305:K305"/>
    <mergeCell ref="D306:K306"/>
    <mergeCell ref="D307:K307"/>
    <mergeCell ref="D298:K298"/>
    <mergeCell ref="D299:K299"/>
    <mergeCell ref="D300:K300"/>
    <mergeCell ref="D301:K301"/>
    <mergeCell ref="D302:K302"/>
    <mergeCell ref="D292:K292"/>
    <mergeCell ref="D293:K293"/>
    <mergeCell ref="D294:K294"/>
    <mergeCell ref="D295:K295"/>
    <mergeCell ref="D297:K297"/>
    <mergeCell ref="D287:K287"/>
    <mergeCell ref="D288:K288"/>
    <mergeCell ref="D289:K289"/>
    <mergeCell ref="D290:K290"/>
    <mergeCell ref="D291:K291"/>
    <mergeCell ref="D282:K282"/>
    <mergeCell ref="D283:K283"/>
    <mergeCell ref="D284:K284"/>
    <mergeCell ref="D285:K285"/>
    <mergeCell ref="D286:K286"/>
    <mergeCell ref="D277:K277"/>
    <mergeCell ref="D278:K278"/>
    <mergeCell ref="D279:K279"/>
    <mergeCell ref="D280:K280"/>
    <mergeCell ref="D281:K281"/>
    <mergeCell ref="D272:K272"/>
    <mergeCell ref="D273:K273"/>
    <mergeCell ref="D274:K274"/>
    <mergeCell ref="D275:K275"/>
    <mergeCell ref="D276:K276"/>
    <mergeCell ref="D268:K268"/>
    <mergeCell ref="D269:K269"/>
    <mergeCell ref="D270:K270"/>
    <mergeCell ref="D271:K271"/>
    <mergeCell ref="D263:K263"/>
    <mergeCell ref="D264:K264"/>
    <mergeCell ref="D265:K265"/>
    <mergeCell ref="D266:K266"/>
    <mergeCell ref="D267:K267"/>
    <mergeCell ref="D258:K258"/>
    <mergeCell ref="D259:K259"/>
    <mergeCell ref="D260:K260"/>
    <mergeCell ref="D261:K261"/>
    <mergeCell ref="D262:K262"/>
    <mergeCell ref="D253:K253"/>
    <mergeCell ref="D254:K254"/>
    <mergeCell ref="D255:K255"/>
    <mergeCell ref="D256:K256"/>
    <mergeCell ref="D257:K257"/>
    <mergeCell ref="D248:K248"/>
    <mergeCell ref="D249:K249"/>
    <mergeCell ref="D250:K250"/>
    <mergeCell ref="D251:K251"/>
    <mergeCell ref="D252:K252"/>
    <mergeCell ref="D243:K243"/>
    <mergeCell ref="D244:K244"/>
    <mergeCell ref="D245:K245"/>
    <mergeCell ref="D246:K246"/>
    <mergeCell ref="D247:K247"/>
    <mergeCell ref="D238:K238"/>
    <mergeCell ref="D239:K239"/>
    <mergeCell ref="D240:K240"/>
    <mergeCell ref="D241:K241"/>
    <mergeCell ref="D242:K242"/>
    <mergeCell ref="D233:K233"/>
    <mergeCell ref="D234:K234"/>
    <mergeCell ref="D235:K235"/>
    <mergeCell ref="D236:K236"/>
    <mergeCell ref="D237:K237"/>
    <mergeCell ref="D228:K228"/>
    <mergeCell ref="D229:K229"/>
    <mergeCell ref="D230:K230"/>
    <mergeCell ref="D231:K231"/>
    <mergeCell ref="D232:K232"/>
    <mergeCell ref="D223:K223"/>
    <mergeCell ref="D224:K224"/>
    <mergeCell ref="D225:K225"/>
    <mergeCell ref="D226:K226"/>
    <mergeCell ref="D227:K227"/>
    <mergeCell ref="D219:K219"/>
    <mergeCell ref="D220:K220"/>
    <mergeCell ref="D221:K221"/>
    <mergeCell ref="D222:K222"/>
    <mergeCell ref="D215:K215"/>
    <mergeCell ref="D216:K216"/>
    <mergeCell ref="D217:K217"/>
    <mergeCell ref="D218:K218"/>
    <mergeCell ref="D210:K210"/>
    <mergeCell ref="D211:K211"/>
    <mergeCell ref="D212:K212"/>
    <mergeCell ref="D213:K213"/>
    <mergeCell ref="D214:K214"/>
    <mergeCell ref="D206:K206"/>
    <mergeCell ref="D207:K207"/>
    <mergeCell ref="D208:K208"/>
    <mergeCell ref="D209:K209"/>
    <mergeCell ref="D200:K200"/>
    <mergeCell ref="D201:K201"/>
    <mergeCell ref="D202:K202"/>
    <mergeCell ref="D203:K203"/>
    <mergeCell ref="D204:K204"/>
    <mergeCell ref="D197:K197"/>
    <mergeCell ref="D198:K198"/>
    <mergeCell ref="D199:K199"/>
    <mergeCell ref="D190:K190"/>
    <mergeCell ref="D191:K191"/>
    <mergeCell ref="D192:K192"/>
    <mergeCell ref="D193:K193"/>
    <mergeCell ref="D194:K194"/>
    <mergeCell ref="D205:K205"/>
    <mergeCell ref="D186:K186"/>
    <mergeCell ref="D187:K187"/>
    <mergeCell ref="D188:K188"/>
    <mergeCell ref="D189:K189"/>
    <mergeCell ref="D179:K179"/>
    <mergeCell ref="D180:K180"/>
    <mergeCell ref="D184:K184"/>
    <mergeCell ref="D195:K195"/>
    <mergeCell ref="D196:K196"/>
    <mergeCell ref="D181:K181"/>
    <mergeCell ref="D185:K185"/>
    <mergeCell ref="D159:K159"/>
    <mergeCell ref="D160:K160"/>
    <mergeCell ref="D161:K161"/>
    <mergeCell ref="D162:K162"/>
    <mergeCell ref="D163:K163"/>
    <mergeCell ref="D172:K172"/>
    <mergeCell ref="D173:K173"/>
    <mergeCell ref="D175:K175"/>
    <mergeCell ref="D178:K178"/>
    <mergeCell ref="D174:K174"/>
    <mergeCell ref="D170:K170"/>
    <mergeCell ref="D164:K164"/>
    <mergeCell ref="D165:K165"/>
    <mergeCell ref="D166:K166"/>
    <mergeCell ref="D167:K167"/>
    <mergeCell ref="D168:K168"/>
    <mergeCell ref="D69:K69"/>
    <mergeCell ref="D93:K93"/>
    <mergeCell ref="D94:K94"/>
    <mergeCell ref="D95:K95"/>
    <mergeCell ref="D76:K76"/>
    <mergeCell ref="D77:K77"/>
    <mergeCell ref="D88:K88"/>
    <mergeCell ref="D89:K89"/>
    <mergeCell ref="D90:K90"/>
    <mergeCell ref="D71:K71"/>
    <mergeCell ref="D72:K72"/>
    <mergeCell ref="D73:K73"/>
    <mergeCell ref="D74:K74"/>
    <mergeCell ref="D75:K75"/>
    <mergeCell ref="D70:K70"/>
    <mergeCell ref="D78:K78"/>
    <mergeCell ref="D79:K79"/>
    <mergeCell ref="D80:K80"/>
    <mergeCell ref="D81:K81"/>
    <mergeCell ref="D82:K82"/>
    <mergeCell ref="D83:K83"/>
    <mergeCell ref="D84:K84"/>
    <mergeCell ref="D85:K85"/>
    <mergeCell ref="D86:K86"/>
    <mergeCell ref="D64:K64"/>
    <mergeCell ref="D65:K65"/>
    <mergeCell ref="D66:K66"/>
    <mergeCell ref="D67:K67"/>
    <mergeCell ref="D68:K68"/>
    <mergeCell ref="D59:K59"/>
    <mergeCell ref="D60:K60"/>
    <mergeCell ref="D61:K61"/>
    <mergeCell ref="D62:K62"/>
    <mergeCell ref="D63:K63"/>
    <mergeCell ref="D54:K54"/>
    <mergeCell ref="D55:K55"/>
    <mergeCell ref="D56:K56"/>
    <mergeCell ref="D57:K57"/>
    <mergeCell ref="D58:K58"/>
    <mergeCell ref="D49:K49"/>
    <mergeCell ref="D50:K50"/>
    <mergeCell ref="D51:K51"/>
    <mergeCell ref="D52:K52"/>
    <mergeCell ref="D53:K53"/>
    <mergeCell ref="D48:K48"/>
    <mergeCell ref="B1:M1"/>
    <mergeCell ref="B9:N9"/>
    <mergeCell ref="B10:N10"/>
    <mergeCell ref="B12:N12"/>
    <mergeCell ref="D34:K34"/>
    <mergeCell ref="D35:K35"/>
    <mergeCell ref="D36:K36"/>
    <mergeCell ref="D37:K37"/>
    <mergeCell ref="D38:K38"/>
    <mergeCell ref="D39:K39"/>
    <mergeCell ref="D40:K40"/>
    <mergeCell ref="D41:K41"/>
    <mergeCell ref="D42:K42"/>
    <mergeCell ref="B31:L31"/>
    <mergeCell ref="D43:K43"/>
    <mergeCell ref="D44:K44"/>
    <mergeCell ref="D45:K45"/>
    <mergeCell ref="D46:K46"/>
    <mergeCell ref="D47:K47"/>
    <mergeCell ref="D156:K156"/>
    <mergeCell ref="D157:K157"/>
    <mergeCell ref="D158:K158"/>
    <mergeCell ref="D140:K140"/>
    <mergeCell ref="D141:K141"/>
    <mergeCell ref="D149:K149"/>
    <mergeCell ref="D150:K150"/>
    <mergeCell ref="D151:K151"/>
    <mergeCell ref="D152:K152"/>
    <mergeCell ref="D153:K153"/>
    <mergeCell ref="D145:K145"/>
    <mergeCell ref="D146:K146"/>
    <mergeCell ref="D147:K147"/>
    <mergeCell ref="D148:K148"/>
    <mergeCell ref="D154:K154"/>
    <mergeCell ref="D155:K155"/>
    <mergeCell ref="D110:K110"/>
    <mergeCell ref="D111:K111"/>
    <mergeCell ref="D112:K112"/>
    <mergeCell ref="D114:K114"/>
    <mergeCell ref="D115:K115"/>
    <mergeCell ref="D113:K113"/>
    <mergeCell ref="D142:K142"/>
    <mergeCell ref="D143:K143"/>
    <mergeCell ref="D144:K144"/>
    <mergeCell ref="D131:K131"/>
    <mergeCell ref="D134:K134"/>
    <mergeCell ref="D139:K139"/>
    <mergeCell ref="D117:K117"/>
    <mergeCell ref="D127:K127"/>
    <mergeCell ref="D118:K118"/>
    <mergeCell ref="D119:K119"/>
    <mergeCell ref="D128:K128"/>
    <mergeCell ref="D129:K129"/>
    <mergeCell ref="D130:K130"/>
    <mergeCell ref="D644:K644"/>
    <mergeCell ref="D645:K645"/>
    <mergeCell ref="D646:K646"/>
    <mergeCell ref="D647:K647"/>
    <mergeCell ref="D648:K648"/>
    <mergeCell ref="D649:K649"/>
    <mergeCell ref="D650:K650"/>
    <mergeCell ref="D651:K651"/>
    <mergeCell ref="D652:K652"/>
    <mergeCell ref="D653:K653"/>
    <mergeCell ref="D654:K654"/>
    <mergeCell ref="D655:K655"/>
    <mergeCell ref="D656:K656"/>
    <mergeCell ref="D657:K657"/>
    <mergeCell ref="D658:K658"/>
    <mergeCell ref="D659:K659"/>
    <mergeCell ref="D660:K660"/>
    <mergeCell ref="D661:K661"/>
    <mergeCell ref="D662:K662"/>
    <mergeCell ref="D663:K663"/>
    <mergeCell ref="D664:K664"/>
    <mergeCell ref="D665:K665"/>
    <mergeCell ref="D666:K666"/>
    <mergeCell ref="D667:K667"/>
    <mergeCell ref="D668:K668"/>
    <mergeCell ref="D669:K669"/>
    <mergeCell ref="D670:K670"/>
    <mergeCell ref="D671:K671"/>
    <mergeCell ref="D672:K672"/>
    <mergeCell ref="D673:K673"/>
    <mergeCell ref="D674:K674"/>
    <mergeCell ref="D684:K684"/>
    <mergeCell ref="D685:K685"/>
    <mergeCell ref="D686:K686"/>
    <mergeCell ref="D687:K687"/>
    <mergeCell ref="D675:K675"/>
    <mergeCell ref="D676:K676"/>
    <mergeCell ref="D677:K677"/>
    <mergeCell ref="D678:K678"/>
    <mergeCell ref="D679:K679"/>
    <mergeCell ref="D680:K680"/>
    <mergeCell ref="D681:K681"/>
    <mergeCell ref="D682:K682"/>
    <mergeCell ref="D683:K683"/>
  </mergeCells>
  <phoneticPr fontId="0" type="noConversion"/>
  <hyperlinks>
    <hyperlink ref="L627:L643" location="SAR!A1" display="Return to form" xr:uid="{00000000-0004-0000-0C00-00000A000000}"/>
    <hyperlink ref="L35" location="RS!A1" display="Return to form" xr:uid="{639DDE4A-51A2-4D7A-90CA-A6B57A89CE68}"/>
    <hyperlink ref="L167" location="RG!A1" display="Return to form" xr:uid="{BF862FE5-44D5-45B2-8C88-5F8090750F8B}"/>
    <hyperlink ref="L297" location="'RO2'!A1" display="Return to form" xr:uid="{352FF6FD-B096-48CC-A068-3EDC0173E21D}"/>
    <hyperlink ref="L333" location="'RO3'!A1" display="Return to form" xr:uid="{B6880A96-6740-48E9-AF4A-53745FDA741F}"/>
    <hyperlink ref="L450" location="'RO5'!A1" display="Return to form" xr:uid="{D4FC657F-C457-4DDA-9B89-BBFB9193CF7B}"/>
    <hyperlink ref="L508" location="'RO6'!A1" display="Return to form" xr:uid="{90668D94-9489-4882-AC35-BF2B135CC0B4}"/>
    <hyperlink ref="L289" location="'RO1'!A1" display="Return to form" xr:uid="{92156C21-A8AF-496F-913F-76FFF33B3D11}"/>
    <hyperlink ref="L153" location="RSX!A1" display="Return to form" xr:uid="{5EAD3B9F-7F80-4C61-B9E4-3C490918EE44}"/>
    <hyperlink ref="L154:L157" location="RSX!A1" display="Return to form" xr:uid="{80D547BA-ADF1-47F9-8A6B-73FF7FCC5CDE}"/>
    <hyperlink ref="L158" location="RSX!A1" display="Return to form" xr:uid="{38EFCF72-90C2-4BCA-9C8D-951E3619F883}"/>
    <hyperlink ref="L163" location="RSX!A1" display="Return to form" xr:uid="{71CBFB40-1975-4822-9A0C-618E0AA22227}"/>
    <hyperlink ref="L159:L162" location="RSX!A1" display="Return to form" xr:uid="{A6AC4F52-2FCE-4491-8BEA-48511035721E}"/>
    <hyperlink ref="L164:L165" location="RSX!A1" display="Return to form" xr:uid="{62B77155-56F4-489C-9329-320BEBDE420A}"/>
    <hyperlink ref="L166" location="RSX!A1" display="Return to form" xr:uid="{380BE5A4-4427-4799-9698-A80B88A608F1}"/>
    <hyperlink ref="L168:L178" location="RG!A1" display="Return to form" xr:uid="{4242622E-33B6-4640-BB1F-4DBFB1A398C4}"/>
    <hyperlink ref="L179:L288" location="RG!A1" display="Return to form" xr:uid="{300E1680-60E3-4630-8480-A1758C644F5F}"/>
    <hyperlink ref="L290:L295" location="'RO1'!A1" display="Return to form" xr:uid="{B5E73F3E-A2B5-4641-9A7D-C1C55AB3588A}"/>
    <hyperlink ref="L298:L331" location="'RO2'!A1" display="Return to form" xr:uid="{F0ACB590-AC43-4A8E-8EBF-3F5A383C8E1F}"/>
    <hyperlink ref="L334:L401" location="'RO3'!A1" display="Return to form" xr:uid="{C943CBCB-2A38-499E-9A82-2A7E0296D6F5}"/>
    <hyperlink ref="L403" location="'RO4'!A1" display="Return to form" xr:uid="{B75D691D-11E2-4595-9B70-B6F2A8C126DE}"/>
    <hyperlink ref="L404:L449" location="'RO4'!A1" display="Return to form" xr:uid="{AFBFD9B1-0F88-45D1-B782-50DCAED25F48}"/>
    <hyperlink ref="L451:L506" location="'RO5'!A1" display="Return to form" xr:uid="{F2BECF66-7942-43F5-97ED-6BFFCF6AF5D9}"/>
    <hyperlink ref="L510:L564" location="'RO6'!A1" display="Return to form" xr:uid="{CDD89E2C-8658-45BB-AB56-63F2BCA2649B}"/>
    <hyperlink ref="L628:L688" location="SAR!A1" display="Return to form" xr:uid="{1954C0F6-067E-4BE9-9D24-1C9C0377D464}"/>
    <hyperlink ref="L565" location="TSR!A1" display="Return to form" xr:uid="{3C465CC2-4CF7-4E50-8E14-3F68819FD339}"/>
    <hyperlink ref="L566:L626" location="TSR!A1" display="Return to form" xr:uid="{12004CDD-CB8B-4B03-A4D6-4CEE47EEE09D}"/>
    <hyperlink ref="L36:L152" location="RS!A1" display="Return to form" xr:uid="{773A6107-46AD-4F48-97FA-F520A23A18A2}"/>
    <hyperlink ref="L296" location="'RO1'!A1" display="Return to form" xr:uid="{92684F9F-735E-4C98-B8FD-A9F104F09B8C}"/>
    <hyperlink ref="L332" location="'RO2'!A1" display="Return to form" xr:uid="{966B068A-1E43-444B-BA9C-2D6ADDA1E96A}"/>
    <hyperlink ref="L507" location="'RO5'!A1" display="Return to form" xr:uid="{5BA97403-E1CE-4366-B7A9-28F3E4603167}"/>
    <hyperlink ref="L509" location="'RO6'!A1" display="Return to form" xr:uid="{77A027EB-55EB-4701-88FC-E70FD1C7B07D}"/>
    <hyperlink ref="L402" location="'RO3'!A1" display="Return to form" xr:uid="{AD68A990-8514-4748-88EA-DA33E0808459}"/>
  </hyperlinks>
  <pageMargins left="0.75" right="0.75" top="1" bottom="1" header="0.5" footer="0.5"/>
  <pageSetup paperSize="9" scale="60"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B1BAD7-136C-4CE6-AE3E-5825358CE82D}">
  <sheetPr codeName="Sheet13"/>
  <dimension ref="A1:G2682"/>
  <sheetViews>
    <sheetView zoomScaleNormal="100" workbookViewId="0">
      <pane xSplit="1" ySplit="1" topLeftCell="B2" activePane="bottomRight" state="frozen"/>
      <selection pane="topRight" activeCell="B1" sqref="B1"/>
      <selection pane="bottomLeft" activeCell="A2" sqref="A2"/>
      <selection pane="bottomRight"/>
    </sheetView>
  </sheetViews>
  <sheetFormatPr defaultColWidth="8.7265625" defaultRowHeight="12.5" x14ac:dyDescent="0.25"/>
  <cols>
    <col min="1" max="1" width="40.26953125" style="787" customWidth="1"/>
    <col min="2" max="2" width="10.7265625" style="787" customWidth="1"/>
    <col min="3" max="3" width="15.54296875" style="787" customWidth="1"/>
    <col min="4" max="4" width="15" style="787" bestFit="1" customWidth="1"/>
    <col min="5" max="6" width="18.26953125" style="787" bestFit="1" customWidth="1"/>
    <col min="7" max="7" width="15" style="787" bestFit="1" customWidth="1"/>
  </cols>
  <sheetData>
    <row r="1" spans="1:7" x14ac:dyDescent="0.25">
      <c r="A1" s="787" t="s">
        <v>2897</v>
      </c>
      <c r="B1" s="787" t="s">
        <v>2898</v>
      </c>
      <c r="C1" s="787" t="s">
        <v>2899</v>
      </c>
      <c r="D1" s="787" t="s">
        <v>2900</v>
      </c>
      <c r="E1" s="787" t="s">
        <v>2901</v>
      </c>
      <c r="F1" s="787" t="s">
        <v>2902</v>
      </c>
      <c r="G1" s="787" t="s">
        <v>2903</v>
      </c>
    </row>
    <row r="2" spans="1:7" x14ac:dyDescent="0.25">
      <c r="A2" s="787" t="s">
        <v>2229</v>
      </c>
      <c r="B2" s="787" t="s">
        <v>2904</v>
      </c>
    </row>
    <row r="3" spans="1:7" x14ac:dyDescent="0.25">
      <c r="A3" s="787" t="s">
        <v>2905</v>
      </c>
      <c r="B3" s="787">
        <v>1</v>
      </c>
    </row>
    <row r="4" spans="1:7" x14ac:dyDescent="0.25">
      <c r="A4" s="787" t="s">
        <v>2906</v>
      </c>
      <c r="B4" s="787" t="str">
        <f>ContactDetails!E25</f>
        <v>Your Authority ONS Code will appear here !</v>
      </c>
    </row>
    <row r="5" spans="1:7" x14ac:dyDescent="0.25">
      <c r="A5" s="787" t="s">
        <v>2907</v>
      </c>
      <c r="B5" s="964">
        <v>202303</v>
      </c>
    </row>
    <row r="6" spans="1:7" x14ac:dyDescent="0.25">
      <c r="A6" s="787" t="s">
        <v>2908</v>
      </c>
      <c r="B6" s="787" t="str">
        <f>IF(la_contact_name=0,"",la_contact_name)</f>
        <v/>
      </c>
    </row>
    <row r="7" spans="1:7" x14ac:dyDescent="0.25">
      <c r="A7" s="787" t="s">
        <v>2909</v>
      </c>
      <c r="B7" s="787" t="str">
        <f>IF(la_contact_phone=0,"",la_contact_phone)</f>
        <v/>
      </c>
    </row>
    <row r="8" spans="1:7" x14ac:dyDescent="0.25">
      <c r="A8" s="787" t="s">
        <v>2910</v>
      </c>
      <c r="B8" s="787" t="str">
        <f>IF(la_contact_email=0,"",la_contact_email)</f>
        <v/>
      </c>
    </row>
    <row r="9" spans="1:7" x14ac:dyDescent="0.25">
      <c r="A9" s="787" t="s">
        <v>2911</v>
      </c>
      <c r="B9" s="787" t="str">
        <f>IF(la_contact_name_S151=0,"",la_contact_name_S151)</f>
        <v/>
      </c>
    </row>
    <row r="10" spans="1:7" x14ac:dyDescent="0.25">
      <c r="A10" s="787" t="s">
        <v>2912</v>
      </c>
      <c r="B10" s="787" t="str">
        <f>IF(la_contact_phone_S151=0,"",la_contact_phone_S151)</f>
        <v/>
      </c>
    </row>
    <row r="11" spans="1:7" x14ac:dyDescent="0.25">
      <c r="A11" s="787" t="s">
        <v>2913</v>
      </c>
      <c r="B11" s="787" t="str">
        <f>IF(la_contact_email_S151=0,"",la_contact_email_S151)</f>
        <v/>
      </c>
    </row>
    <row r="12" spans="1:7" x14ac:dyDescent="0.25">
      <c r="A12" s="787" t="s">
        <v>2914</v>
      </c>
      <c r="B12" s="787">
        <f>IF(ContactDetails!C61="No, it is a different person",0,1)</f>
        <v>1</v>
      </c>
    </row>
    <row r="13" spans="1:7" x14ac:dyDescent="0.25">
      <c r="A13" s="787" t="s">
        <v>2915</v>
      </c>
      <c r="B13" s="787" t="str">
        <f>IF(la_contact_name_cfo=0,"",la_contact_name_cfo)</f>
        <v/>
      </c>
    </row>
    <row r="14" spans="1:7" x14ac:dyDescent="0.25">
      <c r="A14" s="787" t="s">
        <v>2916</v>
      </c>
      <c r="B14" s="788" t="str">
        <f>IF(la_contact_phone_cfo=0,"",la_contact_phone_cfo)</f>
        <v/>
      </c>
    </row>
    <row r="15" spans="1:7" x14ac:dyDescent="0.25">
      <c r="A15" s="787" t="s">
        <v>2917</v>
      </c>
      <c r="B15" s="787" t="str">
        <f>IF(la_contact_email_cfo=0,"",la_contact_email_cfo)</f>
        <v/>
      </c>
    </row>
    <row r="16" spans="1:7" x14ac:dyDescent="0.25">
      <c r="A16" s="817" t="s">
        <v>2918</v>
      </c>
      <c r="B16" s="817" t="str" cm="1">
        <f t="array" ref="B16">IF(la_contact_name_Cert=0,"",la_contact_name_Cert)</f>
        <v/>
      </c>
    </row>
    <row r="17" spans="1:6" x14ac:dyDescent="0.25">
      <c r="A17" s="817" t="s">
        <v>2919</v>
      </c>
      <c r="B17" s="817" t="str" cm="1">
        <f t="array" ref="B17">IF(la_contact_Sig_Cert=0,"",la_contact_Sig_Cert)</f>
        <v/>
      </c>
    </row>
    <row r="18" spans="1:6" x14ac:dyDescent="0.25">
      <c r="A18" s="817" t="s">
        <v>2920</v>
      </c>
      <c r="B18" s="817" t="str">
        <f>IF(la_contact_Role_Cert=0,"",la_contact_Role_Cert)</f>
        <v>Click on arrow at the right end of this cell to select</v>
      </c>
    </row>
    <row r="19" spans="1:6" x14ac:dyDescent="0.25">
      <c r="A19" s="817" t="s">
        <v>2921</v>
      </c>
      <c r="B19" s="817" t="str" cm="1">
        <f t="array" ref="B19">IF(la_contact_Other_Cert=0,"",la_contact_Other_Cert)</f>
        <v/>
      </c>
    </row>
    <row r="20" spans="1:6" x14ac:dyDescent="0.25">
      <c r="A20" s="817" t="s">
        <v>2922</v>
      </c>
      <c r="B20" s="972" t="str" cm="1">
        <f t="array" ref="B20">IF(la_contact_Date_Cert=0,"",la_contact_Date_Cert)</f>
        <v/>
      </c>
    </row>
    <row r="21" spans="1:6" x14ac:dyDescent="0.25">
      <c r="A21" s="787" t="s">
        <v>2923</v>
      </c>
      <c r="B21" s="789" t="str">
        <f>IF(ISNUMBER(SEARCH("resolve",RS!A2)),RS!A2,"")</f>
        <v/>
      </c>
      <c r="C21" s="789"/>
      <c r="D21" s="789"/>
    </row>
    <row r="22" spans="1:6" x14ac:dyDescent="0.25">
      <c r="A22" s="787" t="s">
        <v>2231</v>
      </c>
      <c r="B22" s="789">
        <f>IF(RS!E29="","",RS!E29)</f>
        <v>0</v>
      </c>
      <c r="C22" s="790">
        <f t="shared" ref="C22:C53" ca="1" si="0">IF(ISERROR(VLOOKUP(A22,INDIRECT("notes_"&amp;LEFT(A22,2)),4,0)),0,VLOOKUP(A22,INDIRECT("notes_"&amp;LEFT(A22,2)),4,0))</f>
        <v>0</v>
      </c>
      <c r="D22" s="789" t="str">
        <f>RS!F29</f>
        <v/>
      </c>
      <c r="E22" s="789" t="e">
        <f>RS!G29</f>
        <v>#N/A</v>
      </c>
      <c r="F22" s="789" t="e">
        <f>RS!H29</f>
        <v>#N/A</v>
      </c>
    </row>
    <row r="23" spans="1:6" x14ac:dyDescent="0.25">
      <c r="A23" s="787" t="s">
        <v>2234</v>
      </c>
      <c r="B23" s="789">
        <f>IF(RS!E30="","",RS!E30)</f>
        <v>0</v>
      </c>
      <c r="C23" s="790">
        <f t="shared" ca="1" si="0"/>
        <v>0</v>
      </c>
      <c r="D23" s="789" t="str">
        <f>RS!F30</f>
        <v/>
      </c>
      <c r="E23" s="789" t="e">
        <f>RS!G30</f>
        <v>#N/A</v>
      </c>
      <c r="F23" s="789" t="e">
        <f>RS!H30</f>
        <v>#N/A</v>
      </c>
    </row>
    <row r="24" spans="1:6" x14ac:dyDescent="0.25">
      <c r="A24" s="787" t="s">
        <v>2235</v>
      </c>
      <c r="B24" s="789">
        <f>IF(RS!E31="","",RS!E31)</f>
        <v>0</v>
      </c>
      <c r="C24" s="790">
        <f t="shared" ca="1" si="0"/>
        <v>0</v>
      </c>
      <c r="D24" s="789" t="str">
        <f>RS!F31</f>
        <v/>
      </c>
      <c r="E24" s="789" t="e">
        <f>RS!G31</f>
        <v>#N/A</v>
      </c>
      <c r="F24" s="789" t="e">
        <f>RS!H31</f>
        <v>#N/A</v>
      </c>
    </row>
    <row r="25" spans="1:6" x14ac:dyDescent="0.25">
      <c r="A25" s="787" t="s">
        <v>2236</v>
      </c>
      <c r="B25" s="789">
        <f>IF(RS!E32="","",RS!E32)</f>
        <v>0</v>
      </c>
      <c r="C25" s="790">
        <f t="shared" ca="1" si="0"/>
        <v>0</v>
      </c>
      <c r="D25" s="789" t="str">
        <f>RS!F32</f>
        <v/>
      </c>
      <c r="E25" s="789" t="e">
        <f>RS!G32</f>
        <v>#N/A</v>
      </c>
      <c r="F25" s="789" t="e">
        <f>RS!H32</f>
        <v>#N/A</v>
      </c>
    </row>
    <row r="26" spans="1:6" x14ac:dyDescent="0.25">
      <c r="A26" s="787" t="s">
        <v>2237</v>
      </c>
      <c r="B26" s="789">
        <f>IF(RS!E33="","",RS!E33)</f>
        <v>0</v>
      </c>
      <c r="C26" s="790">
        <f t="shared" ca="1" si="0"/>
        <v>0</v>
      </c>
      <c r="D26" s="789" t="str">
        <f>RS!F33</f>
        <v/>
      </c>
      <c r="E26" s="789" t="e">
        <f>RS!G33</f>
        <v>#N/A</v>
      </c>
      <c r="F26" s="789" t="e">
        <f>RS!H33</f>
        <v>#N/A</v>
      </c>
    </row>
    <row r="27" spans="1:6" x14ac:dyDescent="0.25">
      <c r="A27" s="787" t="s">
        <v>2238</v>
      </c>
      <c r="B27" s="789">
        <f>IF(RS!E34="","",RS!E34)</f>
        <v>0</v>
      </c>
      <c r="C27" s="790">
        <f t="shared" ca="1" si="0"/>
        <v>0</v>
      </c>
      <c r="D27" s="789" t="str">
        <f>RS!F34</f>
        <v/>
      </c>
      <c r="E27" s="789" t="e">
        <f>RS!G34</f>
        <v>#N/A</v>
      </c>
      <c r="F27" s="789" t="e">
        <f>RS!H34</f>
        <v>#N/A</v>
      </c>
    </row>
    <row r="28" spans="1:6" x14ac:dyDescent="0.25">
      <c r="A28" s="787" t="s">
        <v>2239</v>
      </c>
      <c r="B28" s="789">
        <f>IF(RS!E35="","",RS!E35)</f>
        <v>0</v>
      </c>
      <c r="C28" s="790">
        <f t="shared" ca="1" si="0"/>
        <v>0</v>
      </c>
      <c r="D28" s="789" t="str">
        <f>RS!F35</f>
        <v/>
      </c>
      <c r="E28" s="789" t="e">
        <f>RS!G35</f>
        <v>#N/A</v>
      </c>
      <c r="F28" s="789" t="e">
        <f>RS!H35</f>
        <v>#N/A</v>
      </c>
    </row>
    <row r="29" spans="1:6" x14ac:dyDescent="0.25">
      <c r="A29" s="787" t="s">
        <v>2240</v>
      </c>
      <c r="B29" s="789">
        <f>IF(RS!E36="","",RS!E36)</f>
        <v>0</v>
      </c>
      <c r="C29" s="790">
        <f t="shared" ca="1" si="0"/>
        <v>0</v>
      </c>
      <c r="D29" s="789" t="str">
        <f>RS!F36</f>
        <v/>
      </c>
      <c r="E29" s="789" t="e">
        <f>RS!G36</f>
        <v>#N/A</v>
      </c>
      <c r="F29" s="789" t="e">
        <f>RS!H36</f>
        <v>#N/A</v>
      </c>
    </row>
    <row r="30" spans="1:6" x14ac:dyDescent="0.25">
      <c r="A30" s="787" t="s">
        <v>2241</v>
      </c>
      <c r="B30" s="789">
        <f>IF(RS!E37="","",RS!E37)</f>
        <v>0</v>
      </c>
      <c r="C30" s="790">
        <f t="shared" ca="1" si="0"/>
        <v>0</v>
      </c>
      <c r="D30" s="789" t="str">
        <f>RS!F37</f>
        <v/>
      </c>
      <c r="E30" s="789" t="e">
        <f>RS!G37</f>
        <v>#N/A</v>
      </c>
      <c r="F30" s="789" t="e">
        <f>RS!H37</f>
        <v>#N/A</v>
      </c>
    </row>
    <row r="31" spans="1:6" x14ac:dyDescent="0.25">
      <c r="A31" s="787" t="s">
        <v>2242</v>
      </c>
      <c r="B31" s="789">
        <f>IF(RS!E38="","",RS!E38)</f>
        <v>0</v>
      </c>
      <c r="C31" s="790">
        <f t="shared" ca="1" si="0"/>
        <v>0</v>
      </c>
      <c r="D31" s="789" t="str">
        <f>RS!F38</f>
        <v/>
      </c>
      <c r="E31" s="789" t="e">
        <f>RS!G38</f>
        <v>#N/A</v>
      </c>
      <c r="F31" s="789" t="e">
        <f>RS!H38</f>
        <v>#N/A</v>
      </c>
    </row>
    <row r="32" spans="1:6" x14ac:dyDescent="0.25">
      <c r="A32" s="787" t="s">
        <v>2243</v>
      </c>
      <c r="B32" s="789">
        <f>IF(RS!E39="","",RS!E39)</f>
        <v>0</v>
      </c>
      <c r="C32" s="790">
        <f t="shared" ca="1" si="0"/>
        <v>0</v>
      </c>
      <c r="D32" s="789" t="str">
        <f>RS!F39</f>
        <v/>
      </c>
      <c r="E32" s="789" t="e">
        <f>RS!G39</f>
        <v>#N/A</v>
      </c>
      <c r="F32" s="789" t="e">
        <f>RS!H39</f>
        <v>#N/A</v>
      </c>
    </row>
    <row r="33" spans="1:6" x14ac:dyDescent="0.25">
      <c r="A33" s="787" t="s">
        <v>2244</v>
      </c>
      <c r="B33" s="789">
        <f>IF(RS!E40="","",RS!E40)</f>
        <v>0</v>
      </c>
      <c r="C33" s="790">
        <f t="shared" ca="1" si="0"/>
        <v>0</v>
      </c>
      <c r="D33" s="789" t="str">
        <f>RS!F40</f>
        <v/>
      </c>
      <c r="E33" s="789" t="e">
        <f>RS!G40</f>
        <v>#N/A</v>
      </c>
      <c r="F33" s="789" t="e">
        <f>RS!H40</f>
        <v>#N/A</v>
      </c>
    </row>
    <row r="34" spans="1:6" x14ac:dyDescent="0.25">
      <c r="A34" s="787" t="s">
        <v>2245</v>
      </c>
      <c r="B34" s="789">
        <f>IF(RS!E41="","",RS!E41)</f>
        <v>0</v>
      </c>
      <c r="C34" s="790">
        <f t="shared" ca="1" si="0"/>
        <v>0</v>
      </c>
      <c r="D34" s="789" t="str">
        <f>RS!F41</f>
        <v/>
      </c>
      <c r="E34" s="789" t="str">
        <f>RS!G41</f>
        <v/>
      </c>
      <c r="F34" s="789" t="str">
        <f>RS!H41</f>
        <v/>
      </c>
    </row>
    <row r="35" spans="1:6" x14ac:dyDescent="0.25">
      <c r="A35" s="787" t="s">
        <v>2246</v>
      </c>
      <c r="B35" s="789">
        <f>IF(RS!E42="","",RS!E42)</f>
        <v>0</v>
      </c>
      <c r="C35" s="790">
        <f t="shared" ca="1" si="0"/>
        <v>0</v>
      </c>
      <c r="D35" s="789" t="str">
        <f>RS!F42</f>
        <v/>
      </c>
      <c r="E35" s="789" t="str">
        <f>RS!G42</f>
        <v/>
      </c>
      <c r="F35" s="789" t="str">
        <f>RS!H42</f>
        <v/>
      </c>
    </row>
    <row r="36" spans="1:6" x14ac:dyDescent="0.25">
      <c r="A36" s="787" t="s">
        <v>2247</v>
      </c>
      <c r="B36" s="789" t="str">
        <f>IF(RS!E44="","",RS!E44)</f>
        <v/>
      </c>
      <c r="C36" s="790">
        <f t="shared" ca="1" si="0"/>
        <v>0</v>
      </c>
      <c r="D36" s="789" t="str">
        <f>RS!F44</f>
        <v/>
      </c>
      <c r="E36" s="789" t="e">
        <f>RS!G44</f>
        <v>#N/A</v>
      </c>
      <c r="F36" s="789" t="e">
        <f>RS!H44</f>
        <v>#N/A</v>
      </c>
    </row>
    <row r="37" spans="1:6" x14ac:dyDescent="0.25">
      <c r="A37" s="787" t="s">
        <v>2248</v>
      </c>
      <c r="B37" s="789" t="str">
        <f>IF(RS!E45="","",RS!E45)</f>
        <v/>
      </c>
      <c r="C37" s="790">
        <f t="shared" ca="1" si="0"/>
        <v>0</v>
      </c>
      <c r="D37" s="789" t="str">
        <f>RS!F45</f>
        <v/>
      </c>
      <c r="E37" s="789" t="e">
        <f>RS!G45</f>
        <v>#N/A</v>
      </c>
      <c r="F37" s="789" t="e">
        <f>RS!H45</f>
        <v>#N/A</v>
      </c>
    </row>
    <row r="38" spans="1:6" x14ac:dyDescent="0.25">
      <c r="A38" s="787" t="s">
        <v>2249</v>
      </c>
      <c r="B38" s="789" t="str">
        <f>IF(RS!E46="","",RS!E46)</f>
        <v/>
      </c>
      <c r="C38" s="790">
        <f t="shared" ca="1" si="0"/>
        <v>0</v>
      </c>
      <c r="D38" s="789" t="str">
        <f>RS!F46</f>
        <v/>
      </c>
      <c r="E38" s="789" t="str">
        <f>RS!G46</f>
        <v/>
      </c>
      <c r="F38" s="789" t="str">
        <f>RS!H46</f>
        <v/>
      </c>
    </row>
    <row r="39" spans="1:6" x14ac:dyDescent="0.25">
      <c r="A39" s="787" t="s">
        <v>2250</v>
      </c>
      <c r="B39" s="789" t="str">
        <f>IF(RS!E47="","",RS!E47)</f>
        <v/>
      </c>
      <c r="C39" s="790">
        <f t="shared" ca="1" si="0"/>
        <v>0</v>
      </c>
      <c r="D39" s="789" t="str">
        <f>RS!F47</f>
        <v/>
      </c>
      <c r="E39" s="789" t="str">
        <f>RS!G47</f>
        <v/>
      </c>
      <c r="F39" s="789" t="str">
        <f>RS!H47</f>
        <v/>
      </c>
    </row>
    <row r="40" spans="1:6" x14ac:dyDescent="0.25">
      <c r="A40" s="787" t="s">
        <v>2251</v>
      </c>
      <c r="B40" s="789" t="str">
        <f>IF(RS!E48="","",RS!E48)</f>
        <v/>
      </c>
      <c r="C40" s="790">
        <f t="shared" ca="1" si="0"/>
        <v>0</v>
      </c>
      <c r="D40" s="789" t="str">
        <f>RS!F48</f>
        <v/>
      </c>
      <c r="E40" s="789" t="str">
        <f>RS!G48</f>
        <v/>
      </c>
      <c r="F40" s="789" t="str">
        <f>RS!H48</f>
        <v/>
      </c>
    </row>
    <row r="41" spans="1:6" x14ac:dyDescent="0.25">
      <c r="A41" s="787" t="s">
        <v>2252</v>
      </c>
      <c r="B41" s="789">
        <f>IF(RS!E51="","",RS!E51)</f>
        <v>0</v>
      </c>
      <c r="C41" s="790">
        <f t="shared" ca="1" si="0"/>
        <v>0</v>
      </c>
      <c r="D41" s="789" t="str">
        <f>RS!F51</f>
        <v/>
      </c>
      <c r="E41" s="789" t="e">
        <f>RS!G51</f>
        <v>#N/A</v>
      </c>
      <c r="F41" s="789" t="e">
        <f>RS!H51</f>
        <v>#N/A</v>
      </c>
    </row>
    <row r="42" spans="1:6" x14ac:dyDescent="0.25">
      <c r="A42" s="787" t="s">
        <v>2253</v>
      </c>
      <c r="B42" s="789" t="str">
        <f>IF(RS!E52="","",RS!E52)</f>
        <v/>
      </c>
      <c r="C42" s="790">
        <f t="shared" ca="1" si="0"/>
        <v>0</v>
      </c>
      <c r="D42" s="789" t="str">
        <f>RS!F52</f>
        <v/>
      </c>
      <c r="E42" s="789" t="str">
        <f>RS!G52</f>
        <v/>
      </c>
      <c r="F42" s="789" t="str">
        <f>RS!H52</f>
        <v/>
      </c>
    </row>
    <row r="43" spans="1:6" x14ac:dyDescent="0.25">
      <c r="A43" s="787" t="s">
        <v>2254</v>
      </c>
      <c r="B43" s="789" t="str">
        <f>IF(RS!E53="","",RS!E53)</f>
        <v/>
      </c>
      <c r="C43" s="790">
        <f t="shared" ca="1" si="0"/>
        <v>0</v>
      </c>
      <c r="D43" s="789" t="str">
        <f>RS!F53</f>
        <v/>
      </c>
      <c r="E43" s="789" t="str">
        <f>RS!G53</f>
        <v/>
      </c>
      <c r="F43" s="789" t="str">
        <f>RS!H53</f>
        <v/>
      </c>
    </row>
    <row r="44" spans="1:6" x14ac:dyDescent="0.25">
      <c r="A44" s="787" t="s">
        <v>2255</v>
      </c>
      <c r="B44" s="789" t="str">
        <f>IF(RS!E54="","",RS!E54)</f>
        <v/>
      </c>
      <c r="C44" s="790">
        <f t="shared" ca="1" si="0"/>
        <v>0</v>
      </c>
      <c r="D44" s="789" t="str">
        <f>RS!F54</f>
        <v/>
      </c>
      <c r="E44" s="789" t="e">
        <f>RS!G54</f>
        <v>#N/A</v>
      </c>
      <c r="F44" s="789" t="e">
        <f>RS!H54</f>
        <v>#N/A</v>
      </c>
    </row>
    <row r="45" spans="1:6" x14ac:dyDescent="0.25">
      <c r="A45" s="787" t="s">
        <v>2256</v>
      </c>
      <c r="B45" s="789" t="str">
        <f>IF(RS!E55="","",RS!E55)</f>
        <v/>
      </c>
      <c r="C45" s="790">
        <f t="shared" ca="1" si="0"/>
        <v>0</v>
      </c>
      <c r="D45" s="789" t="str">
        <f>RS!F55</f>
        <v/>
      </c>
      <c r="E45" s="789" t="str">
        <f>RS!G55</f>
        <v/>
      </c>
      <c r="F45" s="789" t="str">
        <f>RS!H55</f>
        <v/>
      </c>
    </row>
    <row r="46" spans="1:6" x14ac:dyDescent="0.25">
      <c r="A46" s="787" t="s">
        <v>2257</v>
      </c>
      <c r="B46" s="789">
        <f>IF(RS!E56="","",RS!E56)</f>
        <v>0</v>
      </c>
      <c r="C46" s="790">
        <f t="shared" ca="1" si="0"/>
        <v>0</v>
      </c>
      <c r="D46" s="789" t="str">
        <f>RS!F56</f>
        <v/>
      </c>
      <c r="E46" s="789" t="str">
        <f>RS!G56</f>
        <v/>
      </c>
      <c r="F46" s="789" t="str">
        <f>RS!H56</f>
        <v/>
      </c>
    </row>
    <row r="47" spans="1:6" x14ac:dyDescent="0.25">
      <c r="A47" s="787" t="s">
        <v>2258</v>
      </c>
      <c r="B47" s="789">
        <f>IF(RS!E57="","",RS!E57)</f>
        <v>0</v>
      </c>
      <c r="C47" s="790">
        <f t="shared" ca="1" si="0"/>
        <v>0</v>
      </c>
      <c r="D47" s="789" t="str">
        <f>RS!F57</f>
        <v/>
      </c>
      <c r="E47" s="789" t="str">
        <f>RS!G57</f>
        <v/>
      </c>
      <c r="F47" s="789" t="str">
        <f>RS!H57</f>
        <v/>
      </c>
    </row>
    <row r="48" spans="1:6" x14ac:dyDescent="0.25">
      <c r="A48" s="787" t="s">
        <v>2259</v>
      </c>
      <c r="B48" s="789">
        <f>IF(RS!E58="","",RS!E58)</f>
        <v>0</v>
      </c>
      <c r="C48" s="790">
        <f t="shared" ca="1" si="0"/>
        <v>0</v>
      </c>
      <c r="D48" s="789" t="str">
        <f>RS!F58</f>
        <v/>
      </c>
      <c r="E48" s="789" t="str">
        <f>RS!G58</f>
        <v/>
      </c>
      <c r="F48" s="789" t="str">
        <f>RS!H58</f>
        <v/>
      </c>
    </row>
    <row r="49" spans="1:7" x14ac:dyDescent="0.25">
      <c r="A49" s="787" t="s">
        <v>2260</v>
      </c>
      <c r="B49" s="789">
        <f>IF(RS!E59="","",RS!E59)</f>
        <v>0</v>
      </c>
      <c r="C49" s="790">
        <f t="shared" ca="1" si="0"/>
        <v>0</v>
      </c>
      <c r="D49" s="789" t="str">
        <f>RS!F59</f>
        <v/>
      </c>
      <c r="E49" s="789" t="str">
        <f>RS!G59</f>
        <v/>
      </c>
      <c r="F49" s="789" t="str">
        <f>RS!H59</f>
        <v/>
      </c>
    </row>
    <row r="50" spans="1:7" x14ac:dyDescent="0.25">
      <c r="A50" s="787" t="s">
        <v>2261</v>
      </c>
      <c r="B50" s="789" t="str">
        <f>IF(RS!E60="","",RS!E60)</f>
        <v/>
      </c>
      <c r="C50" s="790">
        <f t="shared" ca="1" si="0"/>
        <v>0</v>
      </c>
      <c r="D50" s="789" t="str">
        <f>RS!F60</f>
        <v/>
      </c>
      <c r="E50" s="789" t="str">
        <f>RS!G60</f>
        <v/>
      </c>
      <c r="F50" s="789" t="str">
        <f>RS!H60</f>
        <v/>
      </c>
    </row>
    <row r="51" spans="1:7" x14ac:dyDescent="0.25">
      <c r="A51" s="787" t="s">
        <v>2262</v>
      </c>
      <c r="B51" s="789" t="str">
        <f>IF(RS!E61="","",RS!E61)</f>
        <v/>
      </c>
      <c r="C51" s="790">
        <f t="shared" ca="1" si="0"/>
        <v>0</v>
      </c>
      <c r="D51" s="789" t="str">
        <f>RS!F61</f>
        <v/>
      </c>
      <c r="E51" s="789" t="str">
        <f>RS!G61</f>
        <v/>
      </c>
      <c r="F51" s="789" t="str">
        <f>RS!H61</f>
        <v/>
      </c>
    </row>
    <row r="52" spans="1:7" x14ac:dyDescent="0.25">
      <c r="A52" s="787" t="s">
        <v>2263</v>
      </c>
      <c r="B52" s="789">
        <f>IF(RS!E62="","",RS!E62)</f>
        <v>0</v>
      </c>
      <c r="C52" s="790">
        <f t="shared" ca="1" si="0"/>
        <v>0</v>
      </c>
      <c r="D52" s="789" t="str">
        <f>RS!F62</f>
        <v/>
      </c>
      <c r="E52" s="789" t="str">
        <f>RS!G62</f>
        <v/>
      </c>
      <c r="F52" s="789">
        <f>RS!H62</f>
        <v>0</v>
      </c>
    </row>
    <row r="53" spans="1:7" x14ac:dyDescent="0.25">
      <c r="A53" s="787" t="s">
        <v>2264</v>
      </c>
      <c r="B53" s="789" t="str">
        <f>IF(RS!E64="","",RS!E64)</f>
        <v/>
      </c>
      <c r="C53" s="790">
        <f t="shared" ca="1" si="0"/>
        <v>0</v>
      </c>
      <c r="D53" s="789" t="str">
        <f>RS!F64</f>
        <v/>
      </c>
      <c r="E53" s="789" t="e">
        <f>RS!G64</f>
        <v>#N/A</v>
      </c>
      <c r="F53" s="789" t="e">
        <f>RS!H64</f>
        <v>#N/A</v>
      </c>
    </row>
    <row r="54" spans="1:7" x14ac:dyDescent="0.25">
      <c r="A54" s="787" t="s">
        <v>2265</v>
      </c>
      <c r="B54" s="789" t="str">
        <f>IF(RS!E65="","",RS!E65)</f>
        <v/>
      </c>
      <c r="C54" s="790">
        <f t="shared" ref="C54:C85" ca="1" si="1">IF(ISERROR(VLOOKUP(A54,INDIRECT("notes_"&amp;LEFT(A54,2)),4,0)),0,VLOOKUP(A54,INDIRECT("notes_"&amp;LEFT(A54,2)),4,0))</f>
        <v>0</v>
      </c>
      <c r="D54" s="789" t="str">
        <f>RS!F65</f>
        <v/>
      </c>
      <c r="E54" s="789" t="e">
        <f>RS!G65</f>
        <v>#N/A</v>
      </c>
      <c r="F54" s="789" t="e">
        <f>RS!I65</f>
        <v>#N/A</v>
      </c>
    </row>
    <row r="55" spans="1:7" x14ac:dyDescent="0.25">
      <c r="A55" s="787" t="s">
        <v>2266</v>
      </c>
      <c r="B55" s="789" t="str">
        <f>IF(RS!E66="","",RS!E66)</f>
        <v/>
      </c>
      <c r="C55" s="790">
        <f t="shared" ca="1" si="1"/>
        <v>0</v>
      </c>
      <c r="D55" s="789" t="str">
        <f>RS!F66</f>
        <v/>
      </c>
      <c r="E55" s="789" t="str">
        <f>RS!G66</f>
        <v/>
      </c>
      <c r="F55" s="789" t="str">
        <f>RS!H66</f>
        <v/>
      </c>
    </row>
    <row r="56" spans="1:7" x14ac:dyDescent="0.25">
      <c r="A56" s="787" t="s">
        <v>2267</v>
      </c>
      <c r="B56" s="789" t="str">
        <f>IF(RS!E67="","",RS!E67)</f>
        <v/>
      </c>
      <c r="C56" s="790">
        <f t="shared" ca="1" si="1"/>
        <v>0</v>
      </c>
      <c r="D56" s="789" t="str">
        <f>RS!F67</f>
        <v/>
      </c>
      <c r="E56" s="789" t="str">
        <f>RS!G67</f>
        <v/>
      </c>
      <c r="F56" s="789" t="str">
        <f>RS!H67</f>
        <v/>
      </c>
    </row>
    <row r="57" spans="1:7" x14ac:dyDescent="0.25">
      <c r="A57" s="787" t="s">
        <v>2268</v>
      </c>
      <c r="B57" s="789" t="str">
        <f>IF(RS!E68="","",RS!E68)</f>
        <v/>
      </c>
      <c r="C57" s="790">
        <f t="shared" ca="1" si="1"/>
        <v>0</v>
      </c>
      <c r="D57" s="789" t="str">
        <f>RS!F68</f>
        <v/>
      </c>
      <c r="E57" s="789" t="str">
        <f>RS!G68</f>
        <v/>
      </c>
      <c r="F57" s="789" t="str">
        <f>RS!H68</f>
        <v/>
      </c>
    </row>
    <row r="58" spans="1:7" x14ac:dyDescent="0.25">
      <c r="A58" s="787" t="s">
        <v>2269</v>
      </c>
      <c r="B58" s="789" t="str">
        <f>IF(RS!E69="","",RS!E69)</f>
        <v/>
      </c>
      <c r="C58" s="790">
        <f t="shared" ca="1" si="1"/>
        <v>0</v>
      </c>
      <c r="D58" s="789" t="str">
        <f>RS!F69</f>
        <v/>
      </c>
      <c r="E58" s="787" t="str">
        <f>RS!G69</f>
        <v/>
      </c>
      <c r="F58" s="787" t="str">
        <f>RS!H69</f>
        <v/>
      </c>
    </row>
    <row r="59" spans="1:7" x14ac:dyDescent="0.25">
      <c r="A59" s="787" t="s">
        <v>2270</v>
      </c>
      <c r="B59" s="789" t="str">
        <f>IF(RS!E70="","",RS!E70)</f>
        <v/>
      </c>
      <c r="C59" s="790">
        <f t="shared" ca="1" si="1"/>
        <v>0</v>
      </c>
      <c r="D59" s="789" t="str">
        <f>RS!F70</f>
        <v/>
      </c>
      <c r="E59" s="787" t="str">
        <f>RS!G70</f>
        <v/>
      </c>
      <c r="F59" s="787" t="str">
        <f>RS!H70</f>
        <v/>
      </c>
    </row>
    <row r="60" spans="1:7" x14ac:dyDescent="0.25">
      <c r="A60" s="787" t="s">
        <v>2271</v>
      </c>
      <c r="B60" s="789" t="str">
        <f>IF(RS!E71="","",RS!E71)</f>
        <v/>
      </c>
      <c r="C60" s="790">
        <f t="shared" ca="1" si="1"/>
        <v>0</v>
      </c>
      <c r="D60" s="789" t="str">
        <f>RS!F71</f>
        <v/>
      </c>
      <c r="E60" s="787" t="str">
        <f>RS!G71</f>
        <v/>
      </c>
      <c r="F60" s="787" t="str">
        <f>RS!H71</f>
        <v/>
      </c>
    </row>
    <row r="61" spans="1:7" x14ac:dyDescent="0.25">
      <c r="A61" s="787" t="s">
        <v>2272</v>
      </c>
      <c r="B61" s="789">
        <f>IF(RS!E72="","",RS!E72)</f>
        <v>0</v>
      </c>
      <c r="C61" s="790">
        <f t="shared" ca="1" si="1"/>
        <v>0</v>
      </c>
      <c r="D61" s="789" t="str">
        <f>RS!F72</f>
        <v/>
      </c>
      <c r="E61" s="787" t="e">
        <f>RS!G72</f>
        <v>#N/A</v>
      </c>
      <c r="F61" s="787" t="e">
        <f>RS!H72</f>
        <v>#N/A</v>
      </c>
      <c r="G61" s="787" t="e">
        <f>RS!I72</f>
        <v>#N/A</v>
      </c>
    </row>
    <row r="62" spans="1:7" x14ac:dyDescent="0.25">
      <c r="A62" s="787" t="s">
        <v>2273</v>
      </c>
      <c r="B62" s="789" t="str">
        <f>IF(RS!E73="","",RS!E73)</f>
        <v/>
      </c>
      <c r="C62" s="790">
        <f t="shared" ca="1" si="1"/>
        <v>0</v>
      </c>
      <c r="D62" s="789" t="str">
        <f>RS!F73</f>
        <v/>
      </c>
      <c r="E62" s="787" t="str">
        <f>RS!G73</f>
        <v/>
      </c>
      <c r="F62" s="787" t="str">
        <f>RS!H73</f>
        <v/>
      </c>
    </row>
    <row r="63" spans="1:7" x14ac:dyDescent="0.25">
      <c r="A63" s="787" t="s">
        <v>2274</v>
      </c>
      <c r="B63" s="789">
        <f>IF(RS!E74="","",RS!E74)</f>
        <v>0</v>
      </c>
      <c r="C63" s="790">
        <f t="shared" ca="1" si="1"/>
        <v>0</v>
      </c>
      <c r="D63" s="789"/>
    </row>
    <row r="64" spans="1:7" x14ac:dyDescent="0.25">
      <c r="A64" s="787" t="s">
        <v>2275</v>
      </c>
      <c r="B64" s="789">
        <f>IF(RS!E75="","",RS!E75)</f>
        <v>0</v>
      </c>
      <c r="C64" s="790">
        <f t="shared" ca="1" si="1"/>
        <v>0</v>
      </c>
      <c r="D64" s="789" t="str">
        <f>RS!F75</f>
        <v/>
      </c>
      <c r="E64" s="789" t="str">
        <f>RS!G75</f>
        <v/>
      </c>
      <c r="F64" s="789" t="str">
        <f>RS!H75</f>
        <v/>
      </c>
    </row>
    <row r="65" spans="1:6" x14ac:dyDescent="0.25">
      <c r="A65" s="787" t="s">
        <v>2276</v>
      </c>
      <c r="B65" s="789" t="str">
        <f>IF(RS!E76="","",RS!E76)</f>
        <v/>
      </c>
      <c r="C65" s="790">
        <f t="shared" ca="1" si="1"/>
        <v>0</v>
      </c>
      <c r="D65" s="789" t="str">
        <f>RS!F76</f>
        <v/>
      </c>
      <c r="E65" s="789" t="str">
        <f>RS!G76</f>
        <v/>
      </c>
      <c r="F65" s="789" t="str">
        <f>RS!H76</f>
        <v/>
      </c>
    </row>
    <row r="66" spans="1:6" x14ac:dyDescent="0.25">
      <c r="A66" s="787" t="s">
        <v>2277</v>
      </c>
      <c r="B66" s="789">
        <f>IF(RS!E77="","",RS!E77)</f>
        <v>0</v>
      </c>
      <c r="C66" s="790">
        <f t="shared" ca="1" si="1"/>
        <v>0</v>
      </c>
      <c r="D66" s="789" t="str">
        <f>RS!F77</f>
        <v/>
      </c>
      <c r="E66" s="789" t="str">
        <f>RS!G77</f>
        <v/>
      </c>
      <c r="F66" s="789" t="str">
        <f>RS!H77</f>
        <v/>
      </c>
    </row>
    <row r="67" spans="1:6" x14ac:dyDescent="0.25">
      <c r="A67" s="787" t="s">
        <v>2278</v>
      </c>
      <c r="B67" s="789" t="str">
        <f>IF(RS!E78="","",RS!E78)</f>
        <v/>
      </c>
      <c r="C67" s="790">
        <f t="shared" ca="1" si="1"/>
        <v>0</v>
      </c>
      <c r="D67" s="789" t="str">
        <f>RS!F78</f>
        <v/>
      </c>
      <c r="E67" s="789" t="str">
        <f>RS!G78</f>
        <v/>
      </c>
      <c r="F67" s="789" t="str">
        <f>RS!H78</f>
        <v/>
      </c>
    </row>
    <row r="68" spans="1:6" x14ac:dyDescent="0.25">
      <c r="A68" s="787" t="s">
        <v>2279</v>
      </c>
      <c r="B68" s="789" t="str">
        <f>IF(RS!E79="","",RS!E79)</f>
        <v/>
      </c>
      <c r="C68" s="790">
        <f t="shared" ca="1" si="1"/>
        <v>0</v>
      </c>
      <c r="D68" s="789" t="str">
        <f>RS!F79</f>
        <v/>
      </c>
      <c r="E68" s="789" t="str">
        <f>RS!G79</f>
        <v/>
      </c>
      <c r="F68" s="789" t="str">
        <f>RS!H79</f>
        <v/>
      </c>
    </row>
    <row r="69" spans="1:6" x14ac:dyDescent="0.25">
      <c r="A69" s="787" t="s">
        <v>2280</v>
      </c>
      <c r="B69" s="789" t="str">
        <f>IF(RS!E80="","",RS!E80)</f>
        <v/>
      </c>
      <c r="C69" s="790">
        <f t="shared" ca="1" si="1"/>
        <v>0</v>
      </c>
      <c r="D69" s="789" t="str">
        <f>RS!F80</f>
        <v/>
      </c>
      <c r="E69" s="789" t="str">
        <f>RS!G80</f>
        <v/>
      </c>
      <c r="F69" s="789" t="str">
        <f>RS!H80</f>
        <v/>
      </c>
    </row>
    <row r="70" spans="1:6" x14ac:dyDescent="0.25">
      <c r="A70" s="787" t="s">
        <v>2281</v>
      </c>
      <c r="B70" s="789" t="str">
        <f>IF(RS!E81="","",RS!E81)</f>
        <v/>
      </c>
      <c r="C70" s="790">
        <f t="shared" ca="1" si="1"/>
        <v>0</v>
      </c>
      <c r="D70" s="789" t="str">
        <f>RS!F81</f>
        <v/>
      </c>
      <c r="E70" s="789" t="str">
        <f>RS!G81</f>
        <v/>
      </c>
      <c r="F70" s="789" t="str">
        <f>RS!H81</f>
        <v/>
      </c>
    </row>
    <row r="71" spans="1:6" x14ac:dyDescent="0.25">
      <c r="A71" s="787" t="s">
        <v>2282</v>
      </c>
      <c r="B71" s="789" t="str">
        <f>IF(RS!E82="","",RS!E82)</f>
        <v/>
      </c>
      <c r="C71" s="790">
        <f t="shared" ca="1" si="1"/>
        <v>0</v>
      </c>
      <c r="D71" s="789" t="str">
        <f>RS!F82</f>
        <v/>
      </c>
      <c r="E71" s="789" t="str">
        <f>RS!G82</f>
        <v/>
      </c>
      <c r="F71" s="789" t="str">
        <f>RS!H82</f>
        <v/>
      </c>
    </row>
    <row r="72" spans="1:6" x14ac:dyDescent="0.25">
      <c r="A72" s="787" t="s">
        <v>2283</v>
      </c>
      <c r="B72" s="789" t="str">
        <f>IF(RS!E83="","",RS!E83)</f>
        <v/>
      </c>
      <c r="C72" s="790">
        <f t="shared" ca="1" si="1"/>
        <v>0</v>
      </c>
      <c r="D72" s="789" t="str">
        <f>RS!F83</f>
        <v/>
      </c>
      <c r="E72" s="789" t="str">
        <f>RS!G83</f>
        <v/>
      </c>
      <c r="F72" s="789" t="str">
        <f>RS!H83</f>
        <v/>
      </c>
    </row>
    <row r="73" spans="1:6" x14ac:dyDescent="0.25">
      <c r="A73" s="787" t="s">
        <v>2284</v>
      </c>
      <c r="B73" s="789" t="str">
        <f>IF(RS!E84="","",RS!E84)</f>
        <v/>
      </c>
      <c r="C73" s="790">
        <f t="shared" ca="1" si="1"/>
        <v>0</v>
      </c>
      <c r="D73" s="789" t="str">
        <f>RS!F84</f>
        <v/>
      </c>
      <c r="E73" s="789" t="str">
        <f>RS!G84</f>
        <v/>
      </c>
      <c r="F73" s="789" t="str">
        <f>RS!H84</f>
        <v/>
      </c>
    </row>
    <row r="74" spans="1:6" x14ac:dyDescent="0.25">
      <c r="A74" s="787" t="s">
        <v>2285</v>
      </c>
      <c r="B74" s="789" t="str">
        <f>IF(RS!E85="","",RS!E85)</f>
        <v/>
      </c>
      <c r="C74" s="790">
        <f t="shared" ca="1" si="1"/>
        <v>0</v>
      </c>
      <c r="D74" s="789" t="str">
        <f>RS!F85</f>
        <v/>
      </c>
      <c r="E74" s="789" t="str">
        <f>RS!G85</f>
        <v/>
      </c>
      <c r="F74" s="789" t="str">
        <f>RS!H85</f>
        <v/>
      </c>
    </row>
    <row r="75" spans="1:6" x14ac:dyDescent="0.25">
      <c r="A75" s="787" t="s">
        <v>2286</v>
      </c>
      <c r="B75" s="789" t="str">
        <f>IF(RS!E86="","",RS!E86)</f>
        <v/>
      </c>
      <c r="C75" s="790">
        <f t="shared" ca="1" si="1"/>
        <v>0</v>
      </c>
      <c r="D75" s="789" t="str">
        <f>RS!F86</f>
        <v/>
      </c>
      <c r="E75" s="789" t="str">
        <f>RS!G86</f>
        <v/>
      </c>
      <c r="F75" s="789" t="str">
        <f>RS!H86</f>
        <v/>
      </c>
    </row>
    <row r="76" spans="1:6" x14ac:dyDescent="0.25">
      <c r="A76" s="787" t="s">
        <v>2287</v>
      </c>
      <c r="B76" s="789" t="str">
        <f>IF(RS!E87="","",RS!E87)</f>
        <v/>
      </c>
      <c r="C76" s="790">
        <f t="shared" ca="1" si="1"/>
        <v>0</v>
      </c>
      <c r="D76" s="789" t="str">
        <f>RS!F87</f>
        <v/>
      </c>
      <c r="E76" s="789" t="str">
        <f>RS!G87</f>
        <v/>
      </c>
      <c r="F76" s="789" t="str">
        <f>RS!H87</f>
        <v/>
      </c>
    </row>
    <row r="77" spans="1:6" x14ac:dyDescent="0.25">
      <c r="A77" s="787" t="s">
        <v>2288</v>
      </c>
      <c r="B77" s="789" t="str">
        <f>IF(RS!E88="","",RS!E88)</f>
        <v/>
      </c>
      <c r="C77" s="790">
        <f t="shared" ca="1" si="1"/>
        <v>0</v>
      </c>
      <c r="D77" s="789" t="str">
        <f>RS!F88</f>
        <v/>
      </c>
      <c r="E77" s="789" t="str">
        <f>RS!G88</f>
        <v/>
      </c>
      <c r="F77" s="789" t="str">
        <f>RS!H88</f>
        <v/>
      </c>
    </row>
    <row r="78" spans="1:6" x14ac:dyDescent="0.25">
      <c r="A78" s="787" t="s">
        <v>2289</v>
      </c>
      <c r="B78" s="789">
        <f>IF(RS!E89="","",RS!E89)</f>
        <v>0</v>
      </c>
      <c r="C78" s="790">
        <f t="shared" ca="1" si="1"/>
        <v>0</v>
      </c>
      <c r="D78" s="789" t="str">
        <f>RS!F89</f>
        <v/>
      </c>
      <c r="E78" s="789" t="str">
        <f>RS!G89</f>
        <v/>
      </c>
      <c r="F78" s="789" t="str">
        <f>RS!H89</f>
        <v/>
      </c>
    </row>
    <row r="79" spans="1:6" x14ac:dyDescent="0.25">
      <c r="A79" s="787" t="s">
        <v>2290</v>
      </c>
      <c r="B79" s="789" t="str">
        <f>IF(RS!E90="","",RS!E90)</f>
        <v/>
      </c>
      <c r="C79" s="790">
        <f t="shared" ca="1" si="1"/>
        <v>0</v>
      </c>
      <c r="D79" s="789" t="str">
        <f>RS!F90</f>
        <v/>
      </c>
      <c r="E79" s="789" t="str">
        <f>RS!G90</f>
        <v/>
      </c>
      <c r="F79" s="789" t="str">
        <f>RS!H90</f>
        <v/>
      </c>
    </row>
    <row r="80" spans="1:6" x14ac:dyDescent="0.25">
      <c r="A80" s="787" t="s">
        <v>2291</v>
      </c>
      <c r="B80" s="789" t="str">
        <f>IF(RS!E91="","",RS!E91)</f>
        <v/>
      </c>
      <c r="C80" s="790">
        <f t="shared" ca="1" si="1"/>
        <v>0</v>
      </c>
      <c r="D80" s="789" t="str">
        <f>RS!F91</f>
        <v/>
      </c>
      <c r="E80" s="789" t="str">
        <f>RS!G91</f>
        <v/>
      </c>
      <c r="F80" s="789" t="str">
        <f>RS!H91</f>
        <v/>
      </c>
    </row>
    <row r="81" spans="1:7" x14ac:dyDescent="0.25">
      <c r="A81" s="787" t="s">
        <v>2292</v>
      </c>
      <c r="B81" s="789" t="str">
        <f>IF(RS!E92="","",RS!E92)</f>
        <v/>
      </c>
      <c r="C81" s="790">
        <f t="shared" ca="1" si="1"/>
        <v>0</v>
      </c>
      <c r="D81" s="789" t="str">
        <f>RS!F92</f>
        <v/>
      </c>
      <c r="E81" s="789" t="str">
        <f>RS!G92</f>
        <v/>
      </c>
      <c r="F81" s="789" t="str">
        <f>RS!H92</f>
        <v/>
      </c>
    </row>
    <row r="82" spans="1:7" x14ac:dyDescent="0.25">
      <c r="A82" s="787" t="s">
        <v>2293</v>
      </c>
      <c r="B82" s="789" t="str">
        <f>IF(RS!E93="","",RS!E93)</f>
        <v/>
      </c>
      <c r="C82" s="790">
        <f t="shared" ca="1" si="1"/>
        <v>0</v>
      </c>
      <c r="D82" s="789" t="str">
        <f>RS!F93</f>
        <v/>
      </c>
      <c r="E82" s="789" t="str">
        <f>RS!G93</f>
        <v/>
      </c>
      <c r="F82" s="789" t="str">
        <f>RS!H93</f>
        <v/>
      </c>
    </row>
    <row r="83" spans="1:7" x14ac:dyDescent="0.25">
      <c r="A83" s="787" t="s">
        <v>2294</v>
      </c>
      <c r="B83" s="789" t="str">
        <f>IF(RS!E94="","",RS!E94)</f>
        <v/>
      </c>
      <c r="C83" s="791">
        <f t="shared" ca="1" si="1"/>
        <v>0</v>
      </c>
      <c r="D83" s="789"/>
      <c r="E83" s="789"/>
      <c r="F83" s="789"/>
    </row>
    <row r="84" spans="1:7" x14ac:dyDescent="0.25">
      <c r="A84" s="787" t="s">
        <v>2295</v>
      </c>
      <c r="B84" s="789">
        <f>IF(RS!E95="","",RS!E95)</f>
        <v>0</v>
      </c>
      <c r="C84" s="790">
        <f t="shared" ca="1" si="1"/>
        <v>0</v>
      </c>
      <c r="D84" s="789" t="str">
        <f>RS!F95</f>
        <v/>
      </c>
    </row>
    <row r="85" spans="1:7" x14ac:dyDescent="0.25">
      <c r="A85" s="787" t="s">
        <v>2296</v>
      </c>
      <c r="B85" s="789" t="str">
        <f>IF(RS!E97="","",RS!E97)</f>
        <v/>
      </c>
      <c r="C85" s="790">
        <f t="shared" ca="1" si="1"/>
        <v>0</v>
      </c>
      <c r="D85" s="789" t="str">
        <f>RS!F97</f>
        <v/>
      </c>
      <c r="E85" s="789" t="str">
        <f>RS!G97</f>
        <v/>
      </c>
      <c r="F85" s="789" t="str">
        <f>RS!H97</f>
        <v/>
      </c>
    </row>
    <row r="86" spans="1:7" x14ac:dyDescent="0.25">
      <c r="A86" s="787" t="s">
        <v>2297</v>
      </c>
      <c r="B86" s="789">
        <f>IF(RS!E98="","",RS!E98)</f>
        <v>0</v>
      </c>
      <c r="C86" s="790">
        <f t="shared" ref="C86:C101" ca="1" si="2">IF(ISERROR(VLOOKUP(A86,INDIRECT("notes_"&amp;LEFT(A86,2)),4,0)),0,VLOOKUP(A86,INDIRECT("notes_"&amp;LEFT(A86,2)),4,0))</f>
        <v>0</v>
      </c>
      <c r="D86" s="789" t="str">
        <f>RS!F98</f>
        <v/>
      </c>
      <c r="E86" s="789" t="str">
        <f>RS!G98</f>
        <v/>
      </c>
      <c r="F86" s="789" t="str">
        <f>RS!H98</f>
        <v/>
      </c>
    </row>
    <row r="87" spans="1:7" x14ac:dyDescent="0.25">
      <c r="A87" s="787" t="s">
        <v>2298</v>
      </c>
      <c r="B87" s="789">
        <f>IF(RS!E99="","",RS!E99)</f>
        <v>0</v>
      </c>
      <c r="C87" s="790">
        <f t="shared" ca="1" si="2"/>
        <v>0</v>
      </c>
      <c r="D87" s="789"/>
    </row>
    <row r="88" spans="1:7" x14ac:dyDescent="0.25">
      <c r="A88" s="787" t="s">
        <v>2299</v>
      </c>
      <c r="B88" s="789" t="str">
        <f>IF(RS!E100="","",RS!E100)</f>
        <v/>
      </c>
      <c r="C88" s="790">
        <f t="shared" ca="1" si="2"/>
        <v>0</v>
      </c>
      <c r="D88" s="789" t="str">
        <f>RS!F100</f>
        <v/>
      </c>
      <c r="E88" s="789" t="str">
        <f>RS!G100</f>
        <v/>
      </c>
      <c r="F88" s="789" t="str">
        <f>RS!H100</f>
        <v/>
      </c>
    </row>
    <row r="89" spans="1:7" x14ac:dyDescent="0.25">
      <c r="A89" s="787" t="s">
        <v>2300</v>
      </c>
      <c r="B89" s="789" t="str">
        <f>IF(RS!E101="","",RS!E101)</f>
        <v/>
      </c>
      <c r="C89" s="790">
        <f t="shared" ca="1" si="2"/>
        <v>0</v>
      </c>
      <c r="D89" s="789" t="str">
        <f>RS!F101</f>
        <v/>
      </c>
      <c r="E89" s="789" t="str">
        <f>RS!G101</f>
        <v/>
      </c>
      <c r="F89" s="789" t="str">
        <f>RS!H101</f>
        <v/>
      </c>
    </row>
    <row r="90" spans="1:7" x14ac:dyDescent="0.25">
      <c r="A90" s="787" t="s">
        <v>2301</v>
      </c>
      <c r="B90" s="789" t="str">
        <f>IF(RS!E102="","",RS!E102)</f>
        <v/>
      </c>
      <c r="C90" s="790">
        <f t="shared" ca="1" si="2"/>
        <v>0</v>
      </c>
      <c r="D90" s="789" t="str">
        <f>RS!F102</f>
        <v/>
      </c>
      <c r="E90" s="789" t="str">
        <f>RS!G102</f>
        <v/>
      </c>
      <c r="F90" s="789" t="str">
        <f>RS!H102</f>
        <v/>
      </c>
    </row>
    <row r="91" spans="1:7" x14ac:dyDescent="0.25">
      <c r="A91" s="787" t="s">
        <v>2302</v>
      </c>
      <c r="B91" s="789" t="str">
        <f>IF(RS!E103="","",RS!E103)</f>
        <v/>
      </c>
      <c r="C91" s="790">
        <f t="shared" ca="1" si="2"/>
        <v>0</v>
      </c>
      <c r="D91" s="789" t="str">
        <f>RS!F103</f>
        <v/>
      </c>
      <c r="E91" s="789" t="str">
        <f>RS!G103</f>
        <v/>
      </c>
      <c r="F91" s="789" t="str">
        <f>RS!H103</f>
        <v/>
      </c>
    </row>
    <row r="92" spans="1:7" s="839" customFormat="1" x14ac:dyDescent="0.25">
      <c r="A92" s="836" t="s">
        <v>2303</v>
      </c>
      <c r="B92" s="837">
        <f>IF(RS!E104="","",RS!E104)</f>
        <v>0</v>
      </c>
      <c r="C92" s="838">
        <f t="shared" ca="1" si="2"/>
        <v>0</v>
      </c>
      <c r="D92" s="837" t="str">
        <f>RS!F104</f>
        <v/>
      </c>
      <c r="E92" s="837" t="str">
        <f>RS!G104</f>
        <v/>
      </c>
      <c r="F92" s="837" t="str">
        <f>RS!H104</f>
        <v/>
      </c>
      <c r="G92" s="836"/>
    </row>
    <row r="93" spans="1:7" x14ac:dyDescent="0.25">
      <c r="A93" s="787" t="s">
        <v>2304</v>
      </c>
      <c r="B93" s="789" t="str">
        <f>IF(RS!E105="","",RS!E105)</f>
        <v/>
      </c>
      <c r="C93" s="791">
        <f t="shared" ca="1" si="2"/>
        <v>0</v>
      </c>
      <c r="D93" s="789"/>
      <c r="E93" s="789"/>
      <c r="F93" s="789"/>
    </row>
    <row r="94" spans="1:7" s="839" customFormat="1" x14ac:dyDescent="0.25">
      <c r="A94" s="836" t="s">
        <v>2305</v>
      </c>
      <c r="B94" s="837">
        <f>IF(RS!E106="","",RS!E106)</f>
        <v>0</v>
      </c>
      <c r="C94" s="838">
        <f t="shared" ca="1" si="2"/>
        <v>0</v>
      </c>
      <c r="D94" s="837" t="str">
        <f>RS!F106</f>
        <v/>
      </c>
      <c r="E94" s="837" t="str">
        <f>RS!G106</f>
        <v/>
      </c>
      <c r="F94" s="837" t="str">
        <f>RS!H106</f>
        <v/>
      </c>
      <c r="G94" s="836"/>
    </row>
    <row r="95" spans="1:7" x14ac:dyDescent="0.25">
      <c r="A95" s="787" t="s">
        <v>2306</v>
      </c>
      <c r="B95" s="789" t="str">
        <f>IF(RS!E107="","",RS!E107)</f>
        <v/>
      </c>
      <c r="C95" s="790">
        <f t="shared" ca="1" si="2"/>
        <v>0</v>
      </c>
      <c r="D95" s="789" t="str">
        <f>RS!F107</f>
        <v/>
      </c>
      <c r="E95" s="789" t="str">
        <f>RS!G107</f>
        <v/>
      </c>
      <c r="F95" s="789" t="str">
        <f>RS!H107</f>
        <v/>
      </c>
    </row>
    <row r="96" spans="1:7" x14ac:dyDescent="0.25">
      <c r="A96" s="787" t="s">
        <v>2307</v>
      </c>
      <c r="B96" s="789">
        <f>IF(RS!E108="","",RS!E108)</f>
        <v>0</v>
      </c>
      <c r="C96" s="790">
        <f t="shared" ca="1" si="2"/>
        <v>0</v>
      </c>
      <c r="D96" s="789" t="str">
        <f>RS!F108</f>
        <v/>
      </c>
      <c r="E96" s="789" t="e">
        <f>RS!G108</f>
        <v>#N/A</v>
      </c>
      <c r="F96" s="789" t="e">
        <f>RS!H108</f>
        <v>#N/A</v>
      </c>
    </row>
    <row r="97" spans="1:7" x14ac:dyDescent="0.25">
      <c r="A97" s="787" t="s">
        <v>2308</v>
      </c>
      <c r="B97" s="789">
        <f>IF(RS!E109="","",RS!E109)</f>
        <v>0</v>
      </c>
      <c r="C97" s="790">
        <f t="shared" ca="1" si="2"/>
        <v>0</v>
      </c>
      <c r="D97" s="789" t="str">
        <f>RS!F109</f>
        <v/>
      </c>
      <c r="E97" s="789" t="e">
        <f>RS!G109</f>
        <v>#N/A</v>
      </c>
      <c r="F97" s="789" t="e">
        <f>RS!H109</f>
        <v>#N/A</v>
      </c>
    </row>
    <row r="98" spans="1:7" x14ac:dyDescent="0.25">
      <c r="A98" s="787" t="s">
        <v>2309</v>
      </c>
      <c r="B98" s="789" t="str">
        <f>IF(RS!E110="","",RS!E110)</f>
        <v/>
      </c>
      <c r="C98" s="790">
        <f t="shared" ca="1" si="2"/>
        <v>0</v>
      </c>
      <c r="D98" s="789" t="str">
        <f>RS!F110</f>
        <v/>
      </c>
      <c r="E98" s="789" t="b">
        <f>RS!G110</f>
        <v>0</v>
      </c>
      <c r="F98" s="789" t="str">
        <f>RS!H110</f>
        <v/>
      </c>
      <c r="G98" s="789" t="str">
        <f>RS!I110</f>
        <v>=" Your authority provided the figure "&amp;TEXT(VLOOKUP(LA_code,LA_Data,37,FALSE),"#,##0")&amp;" in your RA 22-23 return"</v>
      </c>
    </row>
    <row r="99" spans="1:7" x14ac:dyDescent="0.25">
      <c r="A99" s="787" t="s">
        <v>2310</v>
      </c>
      <c r="B99" s="789" t="str">
        <f>IF(RS!E111="","",RS!E111)</f>
        <v/>
      </c>
      <c r="C99" s="790">
        <f t="shared" ca="1" si="2"/>
        <v>0</v>
      </c>
      <c r="D99" s="789" t="str">
        <f>RS!F111</f>
        <v/>
      </c>
      <c r="E99" s="789">
        <f>RS!G111</f>
        <v>0</v>
      </c>
      <c r="F99" s="789">
        <f>RS!H111</f>
        <v>0</v>
      </c>
    </row>
    <row r="100" spans="1:7" x14ac:dyDescent="0.25">
      <c r="A100" s="787" t="s">
        <v>2311</v>
      </c>
      <c r="B100" s="789" t="str">
        <f>IF(RS!E112="","",RS!E112)</f>
        <v/>
      </c>
      <c r="C100" s="790">
        <f t="shared" ca="1" si="2"/>
        <v>0</v>
      </c>
      <c r="D100" s="789" t="str">
        <f>RS!F112</f>
        <v/>
      </c>
      <c r="E100" s="789" t="str">
        <f>RS!G112</f>
        <v/>
      </c>
      <c r="F100" s="789" t="str">
        <f>RS!H112</f>
        <v/>
      </c>
    </row>
    <row r="101" spans="1:7" s="839" customFormat="1" x14ac:dyDescent="0.25">
      <c r="A101" s="836" t="s">
        <v>2312</v>
      </c>
      <c r="B101" s="837">
        <f>IF(RS!E113="","",RS!E113)</f>
        <v>0</v>
      </c>
      <c r="C101" s="838">
        <f t="shared" ca="1" si="2"/>
        <v>0</v>
      </c>
      <c r="D101" s="837" t="str">
        <f>RS!F113</f>
        <v/>
      </c>
      <c r="E101" s="837" t="e">
        <f>RS!G113</f>
        <v>#N/A</v>
      </c>
      <c r="F101" s="837" t="e">
        <f>RS!H113</f>
        <v>#N/A</v>
      </c>
      <c r="G101" s="836"/>
    </row>
    <row r="102" spans="1:7" x14ac:dyDescent="0.25">
      <c r="A102" s="787" t="s">
        <v>2924</v>
      </c>
      <c r="B102" s="789" t="e">
        <f>IF(RS!E121="","",RS!E121)</f>
        <v>#N/A</v>
      </c>
      <c r="C102" s="790">
        <f ca="1">IF(ISERROR(VLOOKUP($A$117,INDIRECT("notes_"&amp;LEFT($A$117,2)),4,0)),0,VLOOKUP($A$117,INDIRECT("notes_"&amp;LEFT($A$117,2)),4,0))</f>
        <v>0</v>
      </c>
      <c r="D102" s="789" t="e">
        <f>RS!G121</f>
        <v>#N/A</v>
      </c>
      <c r="E102" s="789" t="e">
        <f>RS!H121</f>
        <v>#N/A</v>
      </c>
      <c r="F102" s="789" t="e">
        <f>RS!J121</f>
        <v>#N/A</v>
      </c>
    </row>
    <row r="103" spans="1:7" x14ac:dyDescent="0.25">
      <c r="A103" s="817" t="s">
        <v>2925</v>
      </c>
      <c r="B103" s="818" t="str">
        <f>IF(RS!E122="","",RS!E122)</f>
        <v/>
      </c>
      <c r="C103" s="819">
        <f ca="1">IF(ISERROR(VLOOKUP($A$118,INDIRECT("notes_"&amp;LEFT($A$118,2)),4,0)),0,VLOOKUP($A$118,INDIRECT("notes_"&amp;LEFT($A$118,2)),4,0))</f>
        <v>0</v>
      </c>
      <c r="D103" s="818" t="str">
        <f>RS!G122</f>
        <v/>
      </c>
      <c r="E103" s="818" t="str">
        <f>RS!H122</f>
        <v/>
      </c>
      <c r="F103" s="818">
        <f>RS!J122</f>
        <v>0</v>
      </c>
    </row>
    <row r="104" spans="1:7" x14ac:dyDescent="0.25">
      <c r="A104" s="787" t="s">
        <v>2926</v>
      </c>
      <c r="B104" s="789" t="e">
        <f>IF(RS!E123="","",RS!E123)</f>
        <v>#N/A</v>
      </c>
      <c r="C104" s="790">
        <f ca="1">IF(ISERROR(VLOOKUP($A$119,INDIRECT("notes_"&amp;LEFT($A$119,2)),4,0)),0,VLOOKUP($A$119,INDIRECT("notes_"&amp;LEFT($A$119,2)),4,0))</f>
        <v>0</v>
      </c>
      <c r="D104" s="789" t="e">
        <f>RS!G123</f>
        <v>#N/A</v>
      </c>
      <c r="E104" s="789" t="e">
        <f>RS!H123</f>
        <v>#N/A</v>
      </c>
      <c r="F104" s="789" t="e">
        <f>RS!J123</f>
        <v>#N/A</v>
      </c>
    </row>
    <row r="105" spans="1:7" x14ac:dyDescent="0.25">
      <c r="A105" s="787" t="s">
        <v>2927</v>
      </c>
      <c r="B105" s="789" t="e">
        <f>IF(RS!E124="","",RS!E124)</f>
        <v>#N/A</v>
      </c>
      <c r="C105" s="790">
        <f ca="1">IF(ISERROR(VLOOKUP($A$120,INDIRECT("notes_"&amp;LEFT($A$120,2)),4,0)),0,VLOOKUP($A$120,INDIRECT("notes_"&amp;LEFT($A$120,2)),4,0))</f>
        <v>0</v>
      </c>
      <c r="D105" s="789" t="e">
        <f>RS!G124</f>
        <v>#N/A</v>
      </c>
      <c r="E105" s="789" t="e">
        <f>RS!H124</f>
        <v>#N/A</v>
      </c>
      <c r="F105" s="789" t="e">
        <f>RS!J124</f>
        <v>#N/A</v>
      </c>
    </row>
    <row r="106" spans="1:7" s="839" customFormat="1" x14ac:dyDescent="0.25">
      <c r="A106" s="836" t="s">
        <v>2928</v>
      </c>
      <c r="B106" s="837" t="e">
        <f>IF(RS!E125="","",RS!E125)</f>
        <v>#VALUE!</v>
      </c>
      <c r="C106" s="838">
        <f ca="1">IF(ISERROR(VLOOKUP($A$121,INDIRECT("notes_"&amp;LEFT($A$121,2)),4,0)),0,VLOOKUP($A$121,INDIRECT("notes_"&amp;LEFT($A$121,2)),4,0))</f>
        <v>0</v>
      </c>
      <c r="D106" s="837" t="e">
        <f>RS!G125</f>
        <v>#VALUE!</v>
      </c>
      <c r="E106" s="837" t="e">
        <f>RS!H125</f>
        <v>#VALUE!</v>
      </c>
      <c r="F106" s="837" t="e">
        <f>RS!J125</f>
        <v>#VALUE!</v>
      </c>
      <c r="G106" s="836"/>
    </row>
    <row r="107" spans="1:7" x14ac:dyDescent="0.25">
      <c r="A107" s="787" t="s">
        <v>2929</v>
      </c>
      <c r="B107" s="789" t="e">
        <f>IF(RS!E128="","",RS!E128)</f>
        <v>#VALUE!</v>
      </c>
      <c r="C107" s="791">
        <f ca="1">IF(ISERROR(VLOOKUP($A$122,INDIRECT("notes_"&amp;LEFT($A$122,2)),4,0)),0,VLOOKUP($A$122,INDIRECT("notes_"&amp;LEFT($A$122,2)),4,0))</f>
        <v>0</v>
      </c>
      <c r="D107" s="789" t="e">
        <f>RS!G128</f>
        <v>#VALUE!</v>
      </c>
      <c r="E107" s="789" t="e">
        <f>RS!H128</f>
        <v>#VALUE!</v>
      </c>
      <c r="F107" s="789"/>
    </row>
    <row r="108" spans="1:7" x14ac:dyDescent="0.25">
      <c r="A108" s="787" t="s">
        <v>2930</v>
      </c>
      <c r="B108" s="789" t="e">
        <f>IF(RS!E129="","",RS!E129)</f>
        <v>#VALUE!</v>
      </c>
      <c r="C108" s="791">
        <f ca="1">IF(ISERROR(VLOOKUP($A$123,INDIRECT("notes_"&amp;LEFT($A$123,2)),4,0)),0,VLOOKUP($A$123,INDIRECT("notes_"&amp;LEFT($A$123,2)),4,0))</f>
        <v>0</v>
      </c>
      <c r="D108" s="789" t="e">
        <f>RS!G129</f>
        <v>#VALUE!</v>
      </c>
      <c r="E108" s="789" t="e">
        <f>RS!H129</f>
        <v>#VALUE!</v>
      </c>
      <c r="F108" s="789"/>
    </row>
    <row r="109" spans="1:7" x14ac:dyDescent="0.25">
      <c r="A109" s="787" t="s">
        <v>2931</v>
      </c>
      <c r="B109" s="789" t="e">
        <f>IF(RS!E130="","",RS!E130)</f>
        <v>#VALUE!</v>
      </c>
      <c r="C109" s="791">
        <f ca="1">IF(ISERROR(VLOOKUP($A$124,INDIRECT("notes_"&amp;LEFT($A$124,2)),4,0)),0,VLOOKUP($A$124,INDIRECT("notes_"&amp;LEFT($A$124,2)),4,0))</f>
        <v>0</v>
      </c>
      <c r="D109" s="789" t="e">
        <f>RS!G130</f>
        <v>#VALUE!</v>
      </c>
      <c r="E109" s="789" t="e">
        <f>RS!H130</f>
        <v>#VALUE!</v>
      </c>
      <c r="F109" s="789"/>
    </row>
    <row r="110" spans="1:7" x14ac:dyDescent="0.25">
      <c r="A110" s="787" t="s">
        <v>2932</v>
      </c>
      <c r="B110" s="789" t="e">
        <f>IF(RS!E131="","",RS!E131)</f>
        <v>#VALUE!</v>
      </c>
      <c r="C110" s="791">
        <f ca="1">IF(ISERROR(VLOOKUP($A$125,INDIRECT("notes_"&amp;LEFT($A$125,2)),4,0)),0,VLOOKUP($A$125,INDIRECT("notes_"&amp;LEFT($A$125,2)),4,0))</f>
        <v>0</v>
      </c>
      <c r="D110" s="789" t="e">
        <f>RS!G131</f>
        <v>#VALUE!</v>
      </c>
      <c r="E110" s="789" t="e">
        <f>RS!H131</f>
        <v>#VALUE!</v>
      </c>
      <c r="F110" s="789"/>
    </row>
    <row r="111" spans="1:7" x14ac:dyDescent="0.25">
      <c r="A111" s="787" t="s">
        <v>2933</v>
      </c>
      <c r="B111" s="789" t="e">
        <f>IF(RS!E132="","",RS!E132)</f>
        <v>#VALUE!</v>
      </c>
      <c r="C111" s="791">
        <f ca="1">IF(ISERROR(VLOOKUP($A$126,INDIRECT("notes_"&amp;LEFT($A$126,2)),4,0)),0,VLOOKUP($A$126,INDIRECT("notes_"&amp;LEFT($A$126,2)),4,0))</f>
        <v>0</v>
      </c>
      <c r="D111" s="789" t="e">
        <f>RS!G132</f>
        <v>#VALUE!</v>
      </c>
      <c r="E111" s="789" t="e">
        <f>RS!H132</f>
        <v>#VALUE!</v>
      </c>
      <c r="F111" s="789"/>
    </row>
    <row r="112" spans="1:7" x14ac:dyDescent="0.25">
      <c r="A112" s="787" t="s">
        <v>2934</v>
      </c>
      <c r="B112" s="789">
        <f>IF(RS!E134="","",RS!E134)</f>
        <v>0</v>
      </c>
      <c r="C112" s="791">
        <f ca="1">IF(ISERROR(VLOOKUP($A127,INDIRECT("notes_"&amp;LEFT($A$127,2)),4,0)),0,VLOOKUP($A127,INDIRECT("notes_"&amp;LEFT($A127,2)),4,0))</f>
        <v>0</v>
      </c>
      <c r="D112" s="789" t="str">
        <f>RS!G134</f>
        <v/>
      </c>
      <c r="E112" s="789" t="str">
        <f>RS!H134</f>
        <v/>
      </c>
      <c r="F112" s="789"/>
    </row>
    <row r="113" spans="1:7" x14ac:dyDescent="0.25">
      <c r="A113" s="787" t="s">
        <v>2935</v>
      </c>
      <c r="B113" s="789">
        <f>IF(RS!E135="","",RS!E135)</f>
        <v>0</v>
      </c>
      <c r="C113" s="791">
        <f ca="1">IF(ISERROR(VLOOKUP($A128,INDIRECT("notes_"&amp;LEFT($A$128,2)),4,0)),0,VLOOKUP($A128,INDIRECT("notes_"&amp;LEFT($A128,2)),4,0))</f>
        <v>0</v>
      </c>
      <c r="D113" s="789" t="str">
        <f>RS!G135</f>
        <v/>
      </c>
      <c r="E113" s="789" t="str">
        <f>RS!H135</f>
        <v/>
      </c>
      <c r="F113" s="789"/>
    </row>
    <row r="114" spans="1:7" x14ac:dyDescent="0.25">
      <c r="A114" s="787" t="s">
        <v>2936</v>
      </c>
      <c r="B114" s="789" t="e">
        <f>IF(RS!E136="","",RS!E136)</f>
        <v>#VALUE!</v>
      </c>
      <c r="C114" s="791">
        <f ca="1">IF(ISERROR(VLOOKUP($A129,INDIRECT("notes_"&amp;LEFT($A$129,2)),4,0)),0,VLOOKUP($A129,INDIRECT("notes_"&amp;LEFT($A129,2)),4,0))</f>
        <v>0</v>
      </c>
      <c r="D114" s="789" t="e">
        <f>RS!G136</f>
        <v>#VALUE!</v>
      </c>
      <c r="E114" s="789" t="e">
        <f>RS!H136</f>
        <v>#VALUE!</v>
      </c>
      <c r="F114" s="789"/>
      <c r="G114" s="792" t="str">
        <f>RS!B137</f>
        <v>type description of amounts recorded in line 1030</v>
      </c>
    </row>
    <row r="115" spans="1:7" x14ac:dyDescent="0.25">
      <c r="A115" s="787" t="s">
        <v>2937</v>
      </c>
      <c r="B115" s="789" t="e">
        <f>IF(RS!E138="","",RS!E138)</f>
        <v>#N/A</v>
      </c>
      <c r="C115" s="790">
        <f ca="1">IF(ISERROR(VLOOKUP($A$130,INDIRECT("notes_"&amp;LEFT($A$130,2)),4,0)),0,VLOOKUP($A$130,INDIRECT("notes_"&amp;LEFT($A$130,2)),4,0))</f>
        <v>0</v>
      </c>
      <c r="D115" s="789" t="e">
        <f>RS!G138</f>
        <v>#N/A</v>
      </c>
      <c r="E115" s="789" t="e">
        <f>RS!H138</f>
        <v>#N/A</v>
      </c>
      <c r="F115" s="789" t="e">
        <f>RS!J138</f>
        <v>#N/A</v>
      </c>
    </row>
    <row r="116" spans="1:7" x14ac:dyDescent="0.25">
      <c r="A116" s="787" t="s">
        <v>2327</v>
      </c>
      <c r="B116" s="789" t="str">
        <f>IF(RS!E139="","",RS!E139)</f>
        <v/>
      </c>
      <c r="C116" s="790">
        <f ca="1">IF(ISERROR(VLOOKUP(A116,INDIRECT("notes_"&amp;LEFT(A116,2)),4,0)),0,VLOOKUP(A116,INDIRECT("notes_"&amp;LEFT(A116,2)),4,0))</f>
        <v>0</v>
      </c>
      <c r="D116" s="789">
        <f>RS!G139</f>
        <v>0</v>
      </c>
      <c r="E116" s="789">
        <f>RS!H139</f>
        <v>0</v>
      </c>
      <c r="F116" s="789" t="str">
        <f>RS!J139</f>
        <v/>
      </c>
    </row>
    <row r="117" spans="1:7" x14ac:dyDescent="0.25">
      <c r="A117" s="787" t="s">
        <v>2313</v>
      </c>
      <c r="B117" s="789" t="e">
        <f>IF(RS!F121="","",RS!F121)</f>
        <v>#N/A</v>
      </c>
      <c r="C117" s="790">
        <f ca="1">IF(ISERROR(VLOOKUP($A$117,INDIRECT("notes_"&amp;LEFT($A$117,2)),4,0)),0,VLOOKUP($A$117,INDIRECT("notes_"&amp;LEFT($A$117,2)),4,0))</f>
        <v>0</v>
      </c>
      <c r="D117" s="789" t="e">
        <f>RS!G121</f>
        <v>#N/A</v>
      </c>
      <c r="E117" s="789" t="e">
        <f>RS!H121</f>
        <v>#N/A</v>
      </c>
      <c r="F117" s="789" t="e">
        <f>RS!I121</f>
        <v>#N/A</v>
      </c>
      <c r="G117" s="789" t="str">
        <f>RS!L121</f>
        <v/>
      </c>
    </row>
    <row r="118" spans="1:7" x14ac:dyDescent="0.25">
      <c r="A118" s="817" t="s">
        <v>2314</v>
      </c>
      <c r="B118" s="818">
        <f>IF(RS!F122="","",RS!F122)</f>
        <v>0</v>
      </c>
      <c r="C118" s="819">
        <f ca="1">IF(ISERROR(VLOOKUP($A$118,INDIRECT("notes_"&amp;LEFT($A$118,2)),4,0)),0,VLOOKUP($A$118,INDIRECT("notes_"&amp;LEFT($A$118,2)),4,0))</f>
        <v>0</v>
      </c>
      <c r="D118" s="818" t="str">
        <f>RS!G122</f>
        <v/>
      </c>
      <c r="E118" s="818" t="str">
        <f>RS!H122</f>
        <v/>
      </c>
      <c r="F118" s="818" t="str">
        <f>RS!I122</f>
        <v/>
      </c>
      <c r="G118" s="789"/>
    </row>
    <row r="119" spans="1:7" x14ac:dyDescent="0.25">
      <c r="A119" s="787" t="s">
        <v>2315</v>
      </c>
      <c r="B119" s="789" t="e">
        <f>IF(RS!F123="","",RS!F123)</f>
        <v>#N/A</v>
      </c>
      <c r="C119" s="790">
        <f ca="1">IF(ISERROR(VLOOKUP($A$119,INDIRECT("notes_"&amp;LEFT($A$119,2)),4,0)),0,VLOOKUP($A$119,INDIRECT("notes_"&amp;LEFT($A$119,2)),4,0))</f>
        <v>0</v>
      </c>
      <c r="D119" s="789" t="e">
        <f>RS!G123</f>
        <v>#N/A</v>
      </c>
      <c r="E119" s="789" t="e">
        <f>RS!H123</f>
        <v>#N/A</v>
      </c>
      <c r="F119" s="789" t="e">
        <f>RS!I123</f>
        <v>#N/A</v>
      </c>
      <c r="G119" s="789" t="str">
        <f>RS!L123</f>
        <v/>
      </c>
    </row>
    <row r="120" spans="1:7" x14ac:dyDescent="0.25">
      <c r="A120" s="787" t="s">
        <v>2316</v>
      </c>
      <c r="B120" s="789" t="e">
        <f>IF(RS!F124="","",RS!F124)</f>
        <v>#N/A</v>
      </c>
      <c r="C120" s="790">
        <f ca="1">IF(ISERROR(VLOOKUP($A$120,INDIRECT("notes_"&amp;LEFT($A$120,2)),4,0)),0,VLOOKUP($A$120,INDIRECT("notes_"&amp;LEFT($A$120,2)),4,0))</f>
        <v>0</v>
      </c>
      <c r="D120" s="789" t="e">
        <f>RS!G124</f>
        <v>#N/A</v>
      </c>
      <c r="E120" s="789" t="e">
        <f>RS!H124</f>
        <v>#N/A</v>
      </c>
      <c r="F120" s="789" t="e">
        <f>RS!I124</f>
        <v>#N/A</v>
      </c>
      <c r="G120" s="789" t="str">
        <f>RS!L124</f>
        <v/>
      </c>
    </row>
    <row r="121" spans="1:7" s="839" customFormat="1" x14ac:dyDescent="0.25">
      <c r="A121" s="836" t="s">
        <v>2317</v>
      </c>
      <c r="B121" s="837" t="e">
        <f>IF(RS!F125="","",RS!F125)</f>
        <v>#VALUE!</v>
      </c>
      <c r="C121" s="838">
        <f ca="1">IF(ISERROR(VLOOKUP($A$121,INDIRECT("notes_"&amp;LEFT($A$121,2)),4,0)),0,VLOOKUP($A$121,INDIRECT("notes_"&amp;LEFT($A$121,2)),4,0))</f>
        <v>0</v>
      </c>
      <c r="D121" s="837" t="e">
        <f>RS!G125</f>
        <v>#VALUE!</v>
      </c>
      <c r="E121" s="837" t="e">
        <f>RS!H125</f>
        <v>#VALUE!</v>
      </c>
      <c r="F121" s="837" t="e">
        <f>RS!I125</f>
        <v>#VALUE!</v>
      </c>
      <c r="G121" s="837" t="str">
        <f>RS!L125</f>
        <v/>
      </c>
    </row>
    <row r="122" spans="1:7" x14ac:dyDescent="0.25">
      <c r="A122" s="787" t="s">
        <v>2318</v>
      </c>
      <c r="B122" s="789" t="str">
        <f>IF(RS!F128="","",RS!F128)</f>
        <v/>
      </c>
      <c r="C122" s="791">
        <f ca="1">IF(ISERROR(VLOOKUP($A$122,INDIRECT("notes_"&amp;LEFT($A$122,2)),4,0)),0,VLOOKUP($A$122,INDIRECT("notes_"&amp;LEFT($A$122,2)),4,0))</f>
        <v>0</v>
      </c>
      <c r="D122" s="789" t="e">
        <f>RS!G128</f>
        <v>#VALUE!</v>
      </c>
      <c r="E122" s="789" t="e">
        <f>RS!H128</f>
        <v>#VALUE!</v>
      </c>
      <c r="F122" s="789"/>
      <c r="G122" s="789"/>
    </row>
    <row r="123" spans="1:7" x14ac:dyDescent="0.25">
      <c r="A123" s="787" t="s">
        <v>2319</v>
      </c>
      <c r="B123" s="789" t="str">
        <f>IF(RS!F129="","",RS!F129)</f>
        <v/>
      </c>
      <c r="C123" s="791">
        <f ca="1">IF(ISERROR(VLOOKUP($A$123,INDIRECT("notes_"&amp;LEFT($A$123,2)),4,0)),0,VLOOKUP($A$123,INDIRECT("notes_"&amp;LEFT($A$123,2)),4,0))</f>
        <v>0</v>
      </c>
      <c r="D123" s="789" t="e">
        <f>RS!G129</f>
        <v>#VALUE!</v>
      </c>
      <c r="E123" s="789" t="e">
        <f>RS!H129</f>
        <v>#VALUE!</v>
      </c>
      <c r="F123" s="789"/>
      <c r="G123" s="789"/>
    </row>
    <row r="124" spans="1:7" x14ac:dyDescent="0.25">
      <c r="A124" s="787" t="s">
        <v>2320</v>
      </c>
      <c r="B124" s="789" t="str">
        <f>IF(RS!F130="","",RS!F130)</f>
        <v/>
      </c>
      <c r="C124" s="791">
        <f ca="1">IF(ISERROR(VLOOKUP($A$124,INDIRECT("notes_"&amp;LEFT($A$124,2)),4,0)),0,VLOOKUP($A$124,INDIRECT("notes_"&amp;LEFT($A$124,2)),4,0))</f>
        <v>0</v>
      </c>
      <c r="D124" s="789" t="e">
        <f>RS!G130</f>
        <v>#VALUE!</v>
      </c>
      <c r="E124" s="789" t="e">
        <f>RS!H130</f>
        <v>#VALUE!</v>
      </c>
      <c r="F124" s="789"/>
      <c r="G124" s="789"/>
    </row>
    <row r="125" spans="1:7" x14ac:dyDescent="0.25">
      <c r="A125" s="787" t="s">
        <v>2321</v>
      </c>
      <c r="B125" s="789" t="str">
        <f>IF(RS!F131="","",RS!F131)</f>
        <v/>
      </c>
      <c r="C125" s="791">
        <f ca="1">IF(ISERROR(VLOOKUP($A$125,INDIRECT("notes_"&amp;LEFT($A$125,2)),4,0)),0,VLOOKUP($A$125,INDIRECT("notes_"&amp;LEFT($A$125,2)),4,0))</f>
        <v>0</v>
      </c>
      <c r="D125" s="789" t="e">
        <f>RS!G131</f>
        <v>#VALUE!</v>
      </c>
      <c r="E125" s="789" t="e">
        <f>RS!H131</f>
        <v>#VALUE!</v>
      </c>
      <c r="F125" s="789"/>
      <c r="G125" s="789"/>
    </row>
    <row r="126" spans="1:7" x14ac:dyDescent="0.25">
      <c r="A126" s="787" t="s">
        <v>2322</v>
      </c>
      <c r="B126" s="789">
        <f>IF(RS!F132="","",RS!F132)</f>
        <v>0</v>
      </c>
      <c r="C126" s="791">
        <f ca="1">IF(ISERROR(VLOOKUP($A$126,INDIRECT("notes_"&amp;LEFT($A$126,2)),4,0)),0,VLOOKUP($A$126,INDIRECT("notes_"&amp;LEFT($A$126,2)),4,0))</f>
        <v>0</v>
      </c>
      <c r="D126" s="789" t="e">
        <f>RS!G132</f>
        <v>#VALUE!</v>
      </c>
      <c r="E126" s="789" t="e">
        <f>RS!H132</f>
        <v>#VALUE!</v>
      </c>
      <c r="F126" s="789"/>
      <c r="G126" s="789"/>
    </row>
    <row r="127" spans="1:7" x14ac:dyDescent="0.25">
      <c r="A127" s="787" t="s">
        <v>2323</v>
      </c>
      <c r="B127" s="789" t="str">
        <f>IF(RS!F134="","",RS!F134)</f>
        <v/>
      </c>
      <c r="C127" s="791">
        <f ca="1">IF(ISERROR(VLOOKUP($A127,INDIRECT("notes_"&amp;LEFT($A$127,2)),4,0)),0,VLOOKUP($A127,INDIRECT("notes_"&amp;LEFT($A127,2)),4,0))</f>
        <v>0</v>
      </c>
      <c r="D127" s="789" t="str">
        <f>RS!G134</f>
        <v/>
      </c>
      <c r="E127" s="789" t="str">
        <f>RS!H134</f>
        <v/>
      </c>
      <c r="F127" s="789"/>
      <c r="G127" s="789"/>
    </row>
    <row r="128" spans="1:7" x14ac:dyDescent="0.25">
      <c r="A128" s="787" t="s">
        <v>2324</v>
      </c>
      <c r="B128" s="789" t="str">
        <f>IF(RS!F135="","",RS!F135)</f>
        <v/>
      </c>
      <c r="C128" s="791">
        <f ca="1">IF(ISERROR(VLOOKUP($A128,INDIRECT("notes_"&amp;LEFT($A$128,2)),4,0)),0,VLOOKUP($A128,INDIRECT("notes_"&amp;LEFT($A128,2)),4,0))</f>
        <v>0</v>
      </c>
      <c r="D128" s="789" t="str">
        <f>RS!G135</f>
        <v/>
      </c>
      <c r="E128" s="789" t="str">
        <f>RS!H135</f>
        <v/>
      </c>
      <c r="F128" s="789"/>
      <c r="G128" s="789"/>
    </row>
    <row r="129" spans="1:7" x14ac:dyDescent="0.25">
      <c r="A129" s="787" t="s">
        <v>2325</v>
      </c>
      <c r="B129" s="789" t="str">
        <f>IF(RS!F136="","",RS!F136)</f>
        <v/>
      </c>
      <c r="C129" s="791">
        <f ca="1">IF(ISERROR(VLOOKUP($A129,INDIRECT("notes_"&amp;LEFT($A$129,2)),4,0)),0,VLOOKUP($A129,INDIRECT("notes_"&amp;LEFT($A129,2)),4,0))</f>
        <v>0</v>
      </c>
      <c r="D129" s="789" t="e">
        <f>RS!G136</f>
        <v>#VALUE!</v>
      </c>
      <c r="E129" s="789" t="e">
        <f>RS!H136</f>
        <v>#VALUE!</v>
      </c>
      <c r="F129" s="789"/>
      <c r="G129" s="789" t="str">
        <f>RS!B137</f>
        <v>type description of amounts recorded in line 1030</v>
      </c>
    </row>
    <row r="130" spans="1:7" x14ac:dyDescent="0.25">
      <c r="A130" s="787" t="s">
        <v>2326</v>
      </c>
      <c r="B130" s="789" t="e">
        <f>IF(RS!F138="","",RS!F138)</f>
        <v>#N/A</v>
      </c>
      <c r="C130" s="790">
        <f ca="1">IF(ISERROR(VLOOKUP($A$130,INDIRECT("notes_"&amp;LEFT($A$130,2)),4,0)),0,VLOOKUP($A$130,INDIRECT("notes_"&amp;LEFT($A$130,2)),4,0))</f>
        <v>0</v>
      </c>
      <c r="D130" s="789" t="e">
        <f>RS!G138</f>
        <v>#N/A</v>
      </c>
      <c r="E130" s="789" t="e">
        <f>RS!H138</f>
        <v>#N/A</v>
      </c>
      <c r="F130" s="789" t="e">
        <f>RS!I138</f>
        <v>#N/A</v>
      </c>
      <c r="G130" s="789" t="str">
        <f>RS!L138</f>
        <v/>
      </c>
    </row>
    <row r="131" spans="1:7" x14ac:dyDescent="0.25">
      <c r="A131" s="787" t="s">
        <v>2328</v>
      </c>
      <c r="B131" s="789" t="str">
        <f>IF(RS!E144="","",RS!E144)</f>
        <v/>
      </c>
      <c r="C131" s="790">
        <f t="shared" ref="C131:C148" ca="1" si="3">IF(ISERROR(VLOOKUP(A131,INDIRECT("notes_"&amp;LEFT(A131,2)),4,0)),0,VLOOKUP(A131,INDIRECT("notes_"&amp;LEFT(A131,2)),4,0))</f>
        <v>0</v>
      </c>
      <c r="D131" s="789" t="str">
        <f>RS!F144</f>
        <v/>
      </c>
      <c r="E131" s="789" t="str">
        <f>RS!G144</f>
        <v/>
      </c>
      <c r="F131" s="789" t="str">
        <f>RS!H144</f>
        <v/>
      </c>
    </row>
    <row r="132" spans="1:7" x14ac:dyDescent="0.25">
      <c r="A132" s="787" t="s">
        <v>2329</v>
      </c>
      <c r="B132" s="789" t="str">
        <f>IF(RS!E145="","",RS!E145)</f>
        <v/>
      </c>
      <c r="C132" s="790">
        <f t="shared" ca="1" si="3"/>
        <v>0</v>
      </c>
      <c r="D132" s="789" t="str">
        <f>RS!F145</f>
        <v/>
      </c>
      <c r="E132" s="789" t="str">
        <f>RS!G145</f>
        <v/>
      </c>
      <c r="F132" s="789" t="str">
        <f>RS!H145</f>
        <v/>
      </c>
    </row>
    <row r="133" spans="1:7" x14ac:dyDescent="0.25">
      <c r="A133" s="787" t="s">
        <v>2330</v>
      </c>
      <c r="B133" s="789" t="str">
        <f>IF(RS!E146="","",RS!E146)</f>
        <v/>
      </c>
      <c r="C133" s="790">
        <f t="shared" ca="1" si="3"/>
        <v>0</v>
      </c>
      <c r="D133" s="789"/>
      <c r="E133" s="789"/>
      <c r="F133" s="789"/>
    </row>
    <row r="134" spans="1:7" x14ac:dyDescent="0.25">
      <c r="A134" s="787" t="s">
        <v>2331</v>
      </c>
      <c r="B134" s="789" t="str">
        <f>IF(RS!E147="","",RS!E147)</f>
        <v/>
      </c>
      <c r="C134" s="790">
        <f t="shared" ca="1" si="3"/>
        <v>0</v>
      </c>
      <c r="D134" s="789"/>
      <c r="E134" s="789"/>
      <c r="F134" s="789"/>
    </row>
    <row r="135" spans="1:7" x14ac:dyDescent="0.25">
      <c r="A135" s="787" t="s">
        <v>2332</v>
      </c>
      <c r="B135" s="789" t="str">
        <f>IF(RS!E148="","",RS!E148)</f>
        <v/>
      </c>
      <c r="C135" s="790">
        <f t="shared" ca="1" si="3"/>
        <v>0</v>
      </c>
      <c r="D135" s="789" t="str">
        <f>RS!F148</f>
        <v/>
      </c>
      <c r="E135" s="789" t="str">
        <f>RS!G148</f>
        <v/>
      </c>
      <c r="F135" s="789" t="str">
        <f>RS!H148</f>
        <v/>
      </c>
    </row>
    <row r="136" spans="1:7" x14ac:dyDescent="0.25">
      <c r="A136" s="787" t="s">
        <v>2333</v>
      </c>
      <c r="B136" s="789" t="str">
        <f>IF(RS!E149="","",RS!E149)</f>
        <v/>
      </c>
      <c r="C136" s="790">
        <f t="shared" ca="1" si="3"/>
        <v>0</v>
      </c>
      <c r="D136" s="789"/>
      <c r="E136" s="789"/>
      <c r="F136" s="789"/>
    </row>
    <row r="137" spans="1:7" x14ac:dyDescent="0.25">
      <c r="A137" s="787" t="s">
        <v>2334</v>
      </c>
      <c r="B137" s="789" t="str">
        <f>IF(RS!E150="","",RS!E150)</f>
        <v/>
      </c>
      <c r="C137" s="790">
        <f t="shared" ca="1" si="3"/>
        <v>0</v>
      </c>
      <c r="D137" s="789"/>
      <c r="E137" s="789"/>
      <c r="F137" s="789"/>
    </row>
    <row r="138" spans="1:7" x14ac:dyDescent="0.25">
      <c r="A138" s="787" t="s">
        <v>2335</v>
      </c>
      <c r="B138" s="789" t="str">
        <f>IF(RS!E151="","",RS!E151)</f>
        <v/>
      </c>
      <c r="C138" s="790">
        <f t="shared" ca="1" si="3"/>
        <v>0</v>
      </c>
      <c r="D138" s="789"/>
      <c r="E138" s="789"/>
      <c r="F138" s="789"/>
    </row>
    <row r="139" spans="1:7" x14ac:dyDescent="0.25">
      <c r="A139" s="787" t="s">
        <v>2336</v>
      </c>
      <c r="B139" s="789" t="str">
        <f>IF(RS!E152="","",RS!E152)</f>
        <v/>
      </c>
      <c r="C139" s="790">
        <f t="shared" ca="1" si="3"/>
        <v>0</v>
      </c>
      <c r="D139" s="789"/>
      <c r="E139" s="789"/>
      <c r="F139" s="789"/>
    </row>
    <row r="140" spans="1:7" x14ac:dyDescent="0.25">
      <c r="A140" s="787" t="s">
        <v>2337</v>
      </c>
      <c r="B140" s="789" t="str">
        <f>IF(RS!E153="","",RS!E153)</f>
        <v/>
      </c>
      <c r="C140" s="790">
        <f t="shared" ca="1" si="3"/>
        <v>0</v>
      </c>
      <c r="D140" s="789" t="str">
        <f>RS!F153</f>
        <v/>
      </c>
      <c r="E140" s="789" t="str">
        <f>RS!G153</f>
        <v/>
      </c>
      <c r="F140" s="789" t="str">
        <f>RS!H153</f>
        <v/>
      </c>
    </row>
    <row r="141" spans="1:7" x14ac:dyDescent="0.25">
      <c r="A141" s="787" t="s">
        <v>2338</v>
      </c>
      <c r="B141" s="789" t="str">
        <f>IF(RS!E154="","",RS!E154)</f>
        <v/>
      </c>
      <c r="C141" s="790">
        <f t="shared" ca="1" si="3"/>
        <v>0</v>
      </c>
      <c r="D141" s="789" t="str">
        <f>RS!F154</f>
        <v/>
      </c>
      <c r="E141" s="789" t="str">
        <f>RS!G154</f>
        <v/>
      </c>
      <c r="F141" s="789" t="str">
        <f>RS!H154</f>
        <v/>
      </c>
    </row>
    <row r="142" spans="1:7" x14ac:dyDescent="0.25">
      <c r="A142" s="787" t="s">
        <v>2339</v>
      </c>
      <c r="B142" s="789">
        <f>IF(RS!E155="","",RS!E155)</f>
        <v>0</v>
      </c>
      <c r="C142" s="790">
        <f t="shared" ca="1" si="3"/>
        <v>0</v>
      </c>
      <c r="D142" s="789" t="str">
        <f>RS!F155</f>
        <v/>
      </c>
    </row>
    <row r="143" spans="1:7" x14ac:dyDescent="0.25">
      <c r="A143" s="787" t="s">
        <v>2340</v>
      </c>
      <c r="B143" s="789" t="str">
        <f>IF(RS!E160="","",RS!E160)</f>
        <v/>
      </c>
      <c r="C143" s="790">
        <f t="shared" ca="1" si="3"/>
        <v>0</v>
      </c>
      <c r="D143" s="789" t="str">
        <f>RS!F160</f>
        <v/>
      </c>
      <c r="E143" s="789" t="str">
        <f>RS!G160</f>
        <v/>
      </c>
      <c r="F143" s="789" t="str">
        <f>RS!H160</f>
        <v/>
      </c>
    </row>
    <row r="144" spans="1:7" x14ac:dyDescent="0.25">
      <c r="A144" s="787" t="s">
        <v>2341</v>
      </c>
      <c r="B144" s="789" t="str">
        <f>IF(RS!E161="","",RS!E161)</f>
        <v/>
      </c>
      <c r="C144" s="790">
        <f t="shared" ca="1" si="3"/>
        <v>0</v>
      </c>
      <c r="D144" s="789" t="str">
        <f>RS!F161</f>
        <v/>
      </c>
      <c r="E144" s="789" t="str">
        <f>RS!G161</f>
        <v/>
      </c>
      <c r="F144" s="789" t="str">
        <f>RS!H161</f>
        <v/>
      </c>
    </row>
    <row r="145" spans="1:6" x14ac:dyDescent="0.25">
      <c r="A145" s="787" t="s">
        <v>2342</v>
      </c>
      <c r="B145" s="789">
        <f>IF(RS!E164="NO",0,1)</f>
        <v>0</v>
      </c>
      <c r="C145" s="790">
        <f t="shared" ca="1" si="3"/>
        <v>0</v>
      </c>
      <c r="D145" s="789" t="str">
        <f>RS!F164</f>
        <v/>
      </c>
      <c r="E145" s="789" t="str">
        <f>RS!G164</f>
        <v>Information</v>
      </c>
      <c r="F145" s="789" t="str">
        <f>RS!H164</f>
        <v xml:space="preserve">Please confirm the RO suite of forms are completed on non-IAS19 and PFI Off-Balance Sheet basis </v>
      </c>
    </row>
    <row r="146" spans="1:6" x14ac:dyDescent="0.25">
      <c r="A146" s="787" t="s">
        <v>2343</v>
      </c>
      <c r="B146" s="789">
        <f>IF(RS!E172="","",RS!E172)</f>
        <v>0</v>
      </c>
      <c r="C146" s="790">
        <f t="shared" ca="1" si="3"/>
        <v>0</v>
      </c>
      <c r="D146" s="789" t="str">
        <f>RS!F172</f>
        <v/>
      </c>
      <c r="E146" s="789" t="str">
        <f>RS!G172</f>
        <v/>
      </c>
      <c r="F146" s="789" t="str">
        <f>RS!H172</f>
        <v/>
      </c>
    </row>
    <row r="147" spans="1:6" x14ac:dyDescent="0.25">
      <c r="A147" s="787" t="s">
        <v>2344</v>
      </c>
      <c r="B147" s="789">
        <f>IF(RS!E173="","",RS!E173)</f>
        <v>0</v>
      </c>
      <c r="C147" s="790">
        <f t="shared" ca="1" si="3"/>
        <v>0</v>
      </c>
      <c r="D147" s="789" t="str">
        <f>RS!F173</f>
        <v/>
      </c>
      <c r="E147" s="789" t="str">
        <f>RS!G173</f>
        <v/>
      </c>
      <c r="F147" s="789" t="str">
        <f>RS!H173</f>
        <v/>
      </c>
    </row>
    <row r="148" spans="1:6" x14ac:dyDescent="0.25">
      <c r="A148" s="787" t="s">
        <v>2345</v>
      </c>
      <c r="B148" s="789">
        <f>IF(RS!E174="","",RS!E174)</f>
        <v>0</v>
      </c>
      <c r="C148" s="790">
        <f t="shared" ca="1" si="3"/>
        <v>0</v>
      </c>
      <c r="D148" s="789" t="str">
        <f>RS!F174</f>
        <v/>
      </c>
      <c r="E148" s="789" t="str">
        <f>RS!G174</f>
        <v/>
      </c>
      <c r="F148" s="789" t="str">
        <f>RS!H174</f>
        <v/>
      </c>
    </row>
    <row r="149" spans="1:6" x14ac:dyDescent="0.25">
      <c r="A149" s="787" t="s">
        <v>2346</v>
      </c>
      <c r="B149" s="789" t="e">
        <f>IF(RS!E179="","",RS!E179)</f>
        <v>#N/A</v>
      </c>
      <c r="C149" s="790">
        <f ca="1">IF(ISERROR(VLOOKUP($A$149,INDIRECT("notes_"&amp;LEFT($A$149,2)),4,0)),0,VLOOKUP($A$149,INDIRECT("notes_"&amp;LEFT($A$149,2)),4,0))</f>
        <v>0</v>
      </c>
      <c r="D149" s="789" t="str">
        <f>RS!G179</f>
        <v/>
      </c>
      <c r="E149" s="789" t="e">
        <f>RS!H179</f>
        <v>#N/A</v>
      </c>
      <c r="F149" s="789" t="e">
        <f>RS!I179</f>
        <v>#N/A</v>
      </c>
    </row>
    <row r="150" spans="1:6" x14ac:dyDescent="0.25">
      <c r="A150" s="787" t="s">
        <v>2938</v>
      </c>
      <c r="B150" s="789" t="e">
        <f>IF(RS!F179="","",RS!F179)</f>
        <v>#N/A</v>
      </c>
      <c r="C150" s="790">
        <f ca="1">IF(ISERROR(VLOOKUP($A$149,INDIRECT("notes_"&amp;LEFT($A$149,2)),4,0)),0,VLOOKUP($A$149,INDIRECT("notes_"&amp;LEFT($A$149,2)),4,0))</f>
        <v>0</v>
      </c>
      <c r="D150" s="789" t="str">
        <f>RS!G179</f>
        <v/>
      </c>
      <c r="E150" s="789" t="e">
        <f>RS!H179</f>
        <v>#N/A</v>
      </c>
      <c r="F150" s="789" t="e">
        <f>RS!I180</f>
        <v>#N/A</v>
      </c>
    </row>
    <row r="151" spans="1:6" x14ac:dyDescent="0.25">
      <c r="A151" s="787" t="s">
        <v>2347</v>
      </c>
      <c r="B151" s="789" t="str">
        <f>IF(RS!E184="","",RS!E184)</f>
        <v/>
      </c>
      <c r="C151" s="790">
        <f ca="1">IF(ISERROR(VLOOKUP(A151,INDIRECT("notes_"&amp;LEFT(A151,2)),4,0)),0,VLOOKUP(A151,INDIRECT("notes_"&amp;LEFT(A151,2)),4,0))</f>
        <v>0</v>
      </c>
      <c r="D151" s="789" t="str">
        <f>RS!F184</f>
        <v/>
      </c>
      <c r="E151" s="789" t="str">
        <f>RS!G184</f>
        <v/>
      </c>
      <c r="F151" s="789" t="str">
        <f>RS!H184</f>
        <v/>
      </c>
    </row>
    <row r="152" spans="1:6" x14ac:dyDescent="0.25">
      <c r="A152" s="787" t="s">
        <v>2348</v>
      </c>
      <c r="B152" s="789" t="str">
        <f>IF(RS!E185="","",RS!E185)</f>
        <v/>
      </c>
      <c r="C152" s="790">
        <f ca="1">IF(ISERROR(VLOOKUP(A152,INDIRECT("notes_"&amp;LEFT(A152,2)),4,0)),0,VLOOKUP(A152,INDIRECT("notes_"&amp;LEFT(A152,2)),4,0))</f>
        <v>0</v>
      </c>
      <c r="D152" s="789" t="str">
        <f>RS!F185</f>
        <v/>
      </c>
      <c r="E152" s="789" t="str">
        <f>RS!G185</f>
        <v/>
      </c>
      <c r="F152" s="789" t="str">
        <f>RS!H185</f>
        <v/>
      </c>
    </row>
    <row r="153" spans="1:6" x14ac:dyDescent="0.25">
      <c r="A153" s="787" t="s">
        <v>2349</v>
      </c>
      <c r="B153" s="789">
        <f>IF(RS!E186="","",RS!E186)</f>
        <v>0</v>
      </c>
      <c r="C153" s="790">
        <f ca="1">IF(ISERROR(VLOOKUP(A153,INDIRECT("notes_"&amp;LEFT(A153,2)),4,0)),0,VLOOKUP(A153,INDIRECT("notes_"&amp;LEFT(A153,2)),4,0))</f>
        <v>0</v>
      </c>
      <c r="D153" s="789" t="str">
        <f>RS!F186</f>
        <v/>
      </c>
      <c r="E153" s="789" t="str">
        <f>RS!G186</f>
        <v/>
      </c>
      <c r="F153" s="789" t="str">
        <f>RS!H186</f>
        <v/>
      </c>
    </row>
    <row r="154" spans="1:6" x14ac:dyDescent="0.25">
      <c r="A154" s="787" t="s">
        <v>2350</v>
      </c>
      <c r="B154" s="789" t="str">
        <f>IF(RS!E189="","",RS!E189)</f>
        <v/>
      </c>
      <c r="C154" s="790">
        <f ca="1">IF(ISERROR(VLOOKUP(A154,INDIRECT("notes_"&amp;LEFT(A154,2)),4,0)),0,VLOOKUP(A154,INDIRECT("notes_"&amp;LEFT(A154,2)),4,0))</f>
        <v>0</v>
      </c>
      <c r="D154" s="789" t="str">
        <f>RS!F189</f>
        <v/>
      </c>
      <c r="E154" s="789" t="str">
        <f>RS!G189</f>
        <v/>
      </c>
      <c r="F154" s="789" t="str">
        <f>RS!H189</f>
        <v/>
      </c>
    </row>
    <row r="155" spans="1:6" x14ac:dyDescent="0.25">
      <c r="A155" s="817" t="s">
        <v>2939</v>
      </c>
      <c r="B155" s="818" t="str">
        <f>IF(RSm!B24="","",RSm!B24)</f>
        <v>Click To Select</v>
      </c>
      <c r="C155" s="790"/>
      <c r="D155" s="789"/>
      <c r="E155" s="789"/>
      <c r="F155" s="789"/>
    </row>
    <row r="156" spans="1:6" x14ac:dyDescent="0.25">
      <c r="A156" s="787" t="s">
        <v>2940</v>
      </c>
      <c r="B156" s="789">
        <f>IF(RSm!D33="","",RSm!D33)</f>
        <v>0</v>
      </c>
      <c r="C156" s="789"/>
      <c r="D156" s="789"/>
      <c r="E156" s="789"/>
      <c r="F156" s="789"/>
    </row>
    <row r="157" spans="1:6" x14ac:dyDescent="0.25">
      <c r="A157" s="787" t="s">
        <v>2941</v>
      </c>
      <c r="B157" s="789" t="str">
        <f>IF(RSm!D30="","",RSm!D30)</f>
        <v/>
      </c>
      <c r="C157" s="789"/>
      <c r="D157" s="789"/>
      <c r="E157" s="789"/>
      <c r="F157" s="789"/>
    </row>
    <row r="158" spans="1:6" x14ac:dyDescent="0.25">
      <c r="A158" s="787" t="s">
        <v>2942</v>
      </c>
      <c r="B158" s="789" t="str">
        <f>IF(RSm!D31="","",RSm!D31)</f>
        <v/>
      </c>
      <c r="C158" s="789"/>
      <c r="D158" s="789"/>
      <c r="E158" s="789"/>
      <c r="F158" s="789"/>
    </row>
    <row r="159" spans="1:6" x14ac:dyDescent="0.25">
      <c r="A159" s="787" t="s">
        <v>2943</v>
      </c>
      <c r="B159" s="789" t="str">
        <f>IF(RSm!D32="","",RSm!D32)</f>
        <v/>
      </c>
      <c r="C159" s="789"/>
      <c r="D159" s="789"/>
      <c r="E159" s="789"/>
      <c r="F159" s="789"/>
    </row>
    <row r="160" spans="1:6" x14ac:dyDescent="0.25">
      <c r="A160" s="787" t="s">
        <v>2944</v>
      </c>
      <c r="B160" s="789">
        <f>IF(RSm!E33="","",RSm!E33)</f>
        <v>0</v>
      </c>
      <c r="C160" s="789"/>
      <c r="D160" s="789"/>
      <c r="E160" s="789"/>
      <c r="F160" s="789"/>
    </row>
    <row r="161" spans="1:6" x14ac:dyDescent="0.25">
      <c r="A161" s="787" t="s">
        <v>2945</v>
      </c>
      <c r="B161" s="789" t="str">
        <f>IF(RSm!E30="","",RSm!E30)</f>
        <v/>
      </c>
      <c r="C161" s="789"/>
      <c r="D161" s="789"/>
      <c r="E161" s="789"/>
      <c r="F161" s="789"/>
    </row>
    <row r="162" spans="1:6" x14ac:dyDescent="0.25">
      <c r="A162" s="787" t="s">
        <v>2946</v>
      </c>
      <c r="B162" s="789" t="str">
        <f>IF(RSm!E31="","",RSm!E31)</f>
        <v/>
      </c>
      <c r="C162" s="789"/>
      <c r="D162" s="789"/>
      <c r="E162" s="789"/>
      <c r="F162" s="789"/>
    </row>
    <row r="163" spans="1:6" x14ac:dyDescent="0.25">
      <c r="A163" s="787" t="s">
        <v>2947</v>
      </c>
      <c r="B163" s="789" t="str">
        <f>IF(RSm!E32="","",RSm!E32)</f>
        <v/>
      </c>
      <c r="C163" s="789"/>
      <c r="D163" s="789"/>
      <c r="E163" s="789"/>
      <c r="F163" s="789"/>
    </row>
    <row r="164" spans="1:6" x14ac:dyDescent="0.25">
      <c r="A164" s="787" t="s">
        <v>2948</v>
      </c>
      <c r="B164" s="789">
        <f>IF(RSm!F33="","",RSm!F33)</f>
        <v>0</v>
      </c>
      <c r="C164" s="789"/>
      <c r="D164" s="789"/>
      <c r="E164" s="789"/>
      <c r="F164" s="789"/>
    </row>
    <row r="165" spans="1:6" x14ac:dyDescent="0.25">
      <c r="A165" s="787" t="s">
        <v>2949</v>
      </c>
      <c r="B165" s="789" t="str">
        <f>IF(RSm!F30="","",RSm!F30)</f>
        <v/>
      </c>
      <c r="C165" s="789"/>
      <c r="D165" s="789"/>
      <c r="E165" s="789"/>
      <c r="F165" s="789"/>
    </row>
    <row r="166" spans="1:6" x14ac:dyDescent="0.25">
      <c r="A166" s="787" t="s">
        <v>2950</v>
      </c>
      <c r="B166" s="789" t="str">
        <f>IF(RSm!F31="","",RSm!F31)</f>
        <v/>
      </c>
      <c r="C166" s="789"/>
      <c r="D166" s="789"/>
      <c r="E166" s="789"/>
      <c r="F166" s="789"/>
    </row>
    <row r="167" spans="1:6" x14ac:dyDescent="0.25">
      <c r="A167" s="787" t="s">
        <v>2951</v>
      </c>
      <c r="B167" s="789" t="str">
        <f>IF(RSm!F32="","",RSm!F32)</f>
        <v/>
      </c>
      <c r="C167" s="789"/>
      <c r="D167" s="789"/>
      <c r="E167" s="789"/>
      <c r="F167" s="789"/>
    </row>
    <row r="168" spans="1:6" x14ac:dyDescent="0.25">
      <c r="A168" s="787" t="s">
        <v>2952</v>
      </c>
      <c r="B168" s="789">
        <f>IF(RSm!G33="","",RSm!G33)</f>
        <v>0</v>
      </c>
      <c r="C168" s="789"/>
      <c r="D168" s="789"/>
      <c r="E168" s="789"/>
      <c r="F168" s="789"/>
    </row>
    <row r="169" spans="1:6" x14ac:dyDescent="0.25">
      <c r="A169" s="787" t="s">
        <v>2953</v>
      </c>
      <c r="B169" s="789" t="str">
        <f>IF(RSm!G30="","",RSm!G30)</f>
        <v/>
      </c>
      <c r="C169" s="789"/>
      <c r="D169" s="789"/>
      <c r="E169" s="789"/>
      <c r="F169" s="789"/>
    </row>
    <row r="170" spans="1:6" x14ac:dyDescent="0.25">
      <c r="A170" s="787" t="s">
        <v>2954</v>
      </c>
      <c r="B170" s="789" t="str">
        <f>IF(RSm!G31="","",RSm!G31)</f>
        <v/>
      </c>
      <c r="C170" s="789"/>
      <c r="D170" s="789"/>
      <c r="E170" s="789"/>
      <c r="F170" s="789"/>
    </row>
    <row r="171" spans="1:6" x14ac:dyDescent="0.25">
      <c r="A171" s="787" t="s">
        <v>2955</v>
      </c>
      <c r="B171" s="789" t="str">
        <f>IF(RSm!G32="","",RSm!G32)</f>
        <v/>
      </c>
      <c r="C171" s="789"/>
      <c r="D171" s="789"/>
      <c r="E171" s="789"/>
      <c r="F171" s="789"/>
    </row>
    <row r="172" spans="1:6" x14ac:dyDescent="0.25">
      <c r="A172" s="787" t="s">
        <v>2956</v>
      </c>
      <c r="B172" s="789">
        <f>IF(RSm!H33="","",RSm!H33)</f>
        <v>0</v>
      </c>
      <c r="C172" s="789"/>
      <c r="D172" s="789"/>
      <c r="E172" s="789"/>
      <c r="F172" s="789"/>
    </row>
    <row r="173" spans="1:6" x14ac:dyDescent="0.25">
      <c r="A173" s="787" t="s">
        <v>2957</v>
      </c>
      <c r="B173" s="789">
        <f>IF(RSm!H30="","",RSm!H30)</f>
        <v>0</v>
      </c>
      <c r="C173" s="789"/>
      <c r="D173" s="789"/>
      <c r="E173" s="789"/>
      <c r="F173" s="789"/>
    </row>
    <row r="174" spans="1:6" x14ac:dyDescent="0.25">
      <c r="A174" s="787" t="s">
        <v>2958</v>
      </c>
      <c r="B174" s="789">
        <f>IF(RSm!H31="","",RSm!H31)</f>
        <v>0</v>
      </c>
      <c r="C174" s="789"/>
      <c r="D174" s="789"/>
      <c r="E174" s="789"/>
      <c r="F174" s="789"/>
    </row>
    <row r="175" spans="1:6" x14ac:dyDescent="0.25">
      <c r="A175" s="787" t="s">
        <v>2959</v>
      </c>
      <c r="B175" s="789">
        <f>IF(RSm!H32="","",RSm!H32)</f>
        <v>0</v>
      </c>
      <c r="C175" s="789"/>
      <c r="D175" s="789"/>
      <c r="E175" s="789"/>
      <c r="F175" s="789"/>
    </row>
    <row r="176" spans="1:6" x14ac:dyDescent="0.25">
      <c r="A176" s="787" t="s">
        <v>2960</v>
      </c>
      <c r="B176" s="789">
        <f>IF(RSm!I33="","",RSm!I33)</f>
        <v>0</v>
      </c>
      <c r="C176" s="789"/>
      <c r="D176" s="789"/>
      <c r="E176" s="789"/>
      <c r="F176" s="789"/>
    </row>
    <row r="177" spans="1:7" x14ac:dyDescent="0.25">
      <c r="A177" s="787" t="s">
        <v>2961</v>
      </c>
      <c r="B177" s="789">
        <f>IF(RSm!I30="","",RSm!I30)</f>
        <v>0</v>
      </c>
      <c r="C177" s="789"/>
      <c r="D177" s="789"/>
      <c r="E177" s="789"/>
      <c r="F177" s="789"/>
    </row>
    <row r="178" spans="1:7" x14ac:dyDescent="0.25">
      <c r="A178" s="787" t="s">
        <v>2962</v>
      </c>
      <c r="B178" s="789">
        <f>IF(RSm!I31="","",RSm!I31)</f>
        <v>0</v>
      </c>
      <c r="C178" s="789"/>
      <c r="D178" s="789"/>
      <c r="E178" s="789"/>
      <c r="F178" s="789"/>
    </row>
    <row r="179" spans="1:7" x14ac:dyDescent="0.25">
      <c r="A179" s="787" t="s">
        <v>2963</v>
      </c>
      <c r="B179" s="789">
        <f>IF(RSm!I32="","",RSm!I32)</f>
        <v>0</v>
      </c>
      <c r="C179" s="789"/>
      <c r="D179" s="789"/>
      <c r="E179" s="789"/>
      <c r="F179" s="789"/>
      <c r="G179" s="789" t="str">
        <f>IF(RSm!B36="","",RSm!B36)</f>
        <v/>
      </c>
    </row>
    <row r="180" spans="1:7" x14ac:dyDescent="0.25">
      <c r="A180" s="787" t="s">
        <v>2964</v>
      </c>
      <c r="C180" s="789" t="str">
        <f>IF(RSm!B40="","",RSm!B40)</f>
        <v/>
      </c>
      <c r="D180" s="789"/>
      <c r="E180" s="789"/>
      <c r="F180" s="789"/>
    </row>
    <row r="181" spans="1:7" x14ac:dyDescent="0.25">
      <c r="A181" s="787" t="s">
        <v>2965</v>
      </c>
      <c r="B181" s="789" t="str">
        <f>IF(ISNUMBER(SEARCH("resolve",RSX!A17)),RSX!A17,"")</f>
        <v/>
      </c>
      <c r="C181" s="790"/>
    </row>
    <row r="182" spans="1:7" x14ac:dyDescent="0.25">
      <c r="A182" s="787" t="s">
        <v>2966</v>
      </c>
      <c r="B182" s="789">
        <f>IF(RSX!D$31="","",RSX!D$31)</f>
        <v>0</v>
      </c>
      <c r="C182" s="790">
        <f ca="1">IF(ISERROR(VLOOKUP($A$266,INDIRECT("notes_"&amp;LEFT($A$266,3)),4,0)),0,VLOOKUP($A$266,INDIRECT("notes_"&amp;LEFT($A$266,3)),4,0))</f>
        <v>0</v>
      </c>
    </row>
    <row r="183" spans="1:7" x14ac:dyDescent="0.25">
      <c r="A183" s="787" t="s">
        <v>2967</v>
      </c>
      <c r="B183" s="789">
        <f>IF(RSX!D$32="","",RSX!D$32)</f>
        <v>0</v>
      </c>
      <c r="C183" s="790">
        <f ca="1">IF(ISERROR(VLOOKUP($A$267,INDIRECT("notes_"&amp;LEFT($A$267,3)),4,0)),0,VLOOKUP($A$267,INDIRECT("notes_"&amp;LEFT($A$267,3)),4,0))</f>
        <v>0</v>
      </c>
    </row>
    <row r="184" spans="1:7" x14ac:dyDescent="0.25">
      <c r="A184" s="787" t="s">
        <v>2968</v>
      </c>
      <c r="B184" s="789">
        <f>IF(RSX!D$33="","",RSX!D$33)</f>
        <v>0</v>
      </c>
      <c r="C184" s="790">
        <f ca="1">IF(ISERROR(VLOOKUP($A$268,INDIRECT("notes_"&amp;LEFT($A$268,3)),4,0)),0,VLOOKUP($A$268,INDIRECT("notes_"&amp;LEFT($A$268,3)),4,0))</f>
        <v>0</v>
      </c>
    </row>
    <row r="185" spans="1:7" x14ac:dyDescent="0.25">
      <c r="A185" s="787" t="s">
        <v>2969</v>
      </c>
      <c r="B185" s="789">
        <f>IF(RSX!D$34="","",RSX!D$34)</f>
        <v>0</v>
      </c>
      <c r="C185" s="790">
        <f ca="1">IF(ISERROR(VLOOKUP($A$269,INDIRECT("notes_"&amp;LEFT($A$269,3)),4,0)),0,VLOOKUP($A$269,INDIRECT("notes_"&amp;LEFT($A$269,3)),4,0))</f>
        <v>0</v>
      </c>
    </row>
    <row r="186" spans="1:7" x14ac:dyDescent="0.25">
      <c r="A186" s="787" t="s">
        <v>2970</v>
      </c>
      <c r="B186" s="789">
        <f>IF(RSX!D$35="","",RSX!D$35)</f>
        <v>0</v>
      </c>
      <c r="C186" s="790">
        <f ca="1">IF(ISERROR(VLOOKUP($A$270,INDIRECT("notes_"&amp;LEFT($A$270,3)),4,0)),0,VLOOKUP($A$270,INDIRECT("notes_"&amp;LEFT($A$270,3)),4,0))</f>
        <v>0</v>
      </c>
    </row>
    <row r="187" spans="1:7" x14ac:dyDescent="0.25">
      <c r="A187" s="787" t="s">
        <v>2971</v>
      </c>
      <c r="B187" s="789">
        <f>IF(RSX!D$36="","",RSX!D$36)</f>
        <v>0</v>
      </c>
      <c r="C187" s="790">
        <f ca="1">IF(ISERROR(VLOOKUP($A$271,INDIRECT("notes_"&amp;LEFT($A$271,3)),4,0)),0,VLOOKUP($A$271,INDIRECT("notes_"&amp;LEFT($A$271,3)),4,0))</f>
        <v>0</v>
      </c>
    </row>
    <row r="188" spans="1:7" x14ac:dyDescent="0.25">
      <c r="A188" s="787" t="s">
        <v>2972</v>
      </c>
      <c r="B188" s="789">
        <f>IF(RSX!D$37="","",RSX!D$37)</f>
        <v>0</v>
      </c>
      <c r="C188" s="790">
        <f ca="1">IF(ISERROR(VLOOKUP($A$272,INDIRECT("notes_"&amp;LEFT($A$272,3)),4,0)),0,VLOOKUP($A$272,INDIRECT("notes_"&amp;LEFT($A$272,3)),4,0))</f>
        <v>0</v>
      </c>
    </row>
    <row r="189" spans="1:7" x14ac:dyDescent="0.25">
      <c r="A189" s="787" t="s">
        <v>2973</v>
      </c>
      <c r="B189" s="789">
        <f>IF(RSX!D$38="","",RSX!D$38)</f>
        <v>0</v>
      </c>
      <c r="C189" s="790">
        <f ca="1">IF(ISERROR(VLOOKUP($A$273,INDIRECT("notes_"&amp;LEFT($A$273,3)),4,0)),0,VLOOKUP($A$273,INDIRECT("notes_"&amp;LEFT($A$273,3)),4,0))</f>
        <v>0</v>
      </c>
    </row>
    <row r="190" spans="1:7" x14ac:dyDescent="0.25">
      <c r="A190" s="787" t="s">
        <v>2974</v>
      </c>
      <c r="B190" s="789">
        <f>IF(RSX!D$39="","",RSX!D$39)</f>
        <v>0</v>
      </c>
      <c r="C190" s="790">
        <f ca="1">IF(ISERROR(VLOOKUP($A$274,INDIRECT("notes_"&amp;LEFT($A$274,3)),4,0)),0,VLOOKUP($A$274,INDIRECT("notes_"&amp;LEFT($A$274,3)),4,0))</f>
        <v>0</v>
      </c>
    </row>
    <row r="191" spans="1:7" x14ac:dyDescent="0.25">
      <c r="A191" s="787" t="s">
        <v>2975</v>
      </c>
      <c r="B191" s="789">
        <f>IF(RSX!D$40="","",RSX!D$40)</f>
        <v>0</v>
      </c>
      <c r="C191" s="790">
        <f ca="1">IF(ISERROR(VLOOKUP($A$275,INDIRECT("notes_"&amp;LEFT($A$275,3)),4,0)),0,VLOOKUP($A$275,INDIRECT("notes_"&amp;LEFT($A$275,3)),4,0))</f>
        <v>0</v>
      </c>
    </row>
    <row r="192" spans="1:7" x14ac:dyDescent="0.25">
      <c r="A192" s="787" t="s">
        <v>2976</v>
      </c>
      <c r="B192" s="789">
        <f>IF(RSX!D$41="","",RSX!D$41)</f>
        <v>0</v>
      </c>
      <c r="C192" s="790">
        <f ca="1">IF(ISERROR(VLOOKUP($A$276,INDIRECT("notes_"&amp;LEFT($A$276,3)),4,0)),0,VLOOKUP($A$276,INDIRECT("notes_"&amp;LEFT($A$276,3)),4,0))</f>
        <v>0</v>
      </c>
    </row>
    <row r="193" spans="1:3" x14ac:dyDescent="0.25">
      <c r="A193" s="787" t="s">
        <v>2977</v>
      </c>
      <c r="B193" s="789">
        <f>IF(RSX!D$42="","",RSX!D$42)</f>
        <v>0</v>
      </c>
      <c r="C193" s="790">
        <f ca="1">IF(ISERROR(VLOOKUP($A$277,INDIRECT("notes_"&amp;LEFT($A$277,3)),4,0)),0,VLOOKUP($A$277,INDIRECT("notes_"&amp;LEFT($A$277,3)),4,0))</f>
        <v>0</v>
      </c>
    </row>
    <row r="194" spans="1:3" x14ac:dyDescent="0.25">
      <c r="A194" s="787" t="s">
        <v>2978</v>
      </c>
      <c r="B194" s="789">
        <f>IF(RSX!D$43="","",RSX!D$43)</f>
        <v>0</v>
      </c>
      <c r="C194" s="790">
        <f ca="1">IF(ISERROR(VLOOKUP($A$278,INDIRECT("notes_"&amp;LEFT($A$278,3)),4,0)),0,VLOOKUP($A$278,INDIRECT("notes_"&amp;LEFT($A$278,3)),4,0))</f>
        <v>0</v>
      </c>
    </row>
    <row r="195" spans="1:3" x14ac:dyDescent="0.25">
      <c r="A195" s="787" t="s">
        <v>2979</v>
      </c>
      <c r="B195" s="789">
        <f>IF(RSX!D$44="","",RSX!D$44)</f>
        <v>0</v>
      </c>
      <c r="C195" s="790">
        <f ca="1">IF(ISERROR(VLOOKUP($A$279,INDIRECT("notes_"&amp;LEFT($A$279,3)),4,0)),0,VLOOKUP($A$279,INDIRECT("notes_"&amp;LEFT($A$279,3)),4,0))</f>
        <v>0</v>
      </c>
    </row>
    <row r="196" spans="1:3" x14ac:dyDescent="0.25">
      <c r="A196" s="787" t="s">
        <v>2980</v>
      </c>
      <c r="B196" s="789">
        <f>IF(RSX!E$31="","",RSX!E$31)</f>
        <v>0</v>
      </c>
      <c r="C196" s="790">
        <f ca="1">IF(ISERROR(VLOOKUP($A$266,INDIRECT("notes_"&amp;LEFT($A$266,3)),4,0)),0,VLOOKUP($A$266,INDIRECT("notes_"&amp;LEFT($A$266,3)),4,0))</f>
        <v>0</v>
      </c>
    </row>
    <row r="197" spans="1:3" x14ac:dyDescent="0.25">
      <c r="A197" s="787" t="s">
        <v>2981</v>
      </c>
      <c r="B197" s="789">
        <f>IF(RSX!E$32="","",RSX!E$32)</f>
        <v>0</v>
      </c>
      <c r="C197" s="790">
        <f ca="1">IF(ISERROR(VLOOKUP($A$267,INDIRECT("notes_"&amp;LEFT($A$267,3)),4,0)),0,VLOOKUP($A$267,INDIRECT("notes_"&amp;LEFT($A$267,3)),4,0))</f>
        <v>0</v>
      </c>
    </row>
    <row r="198" spans="1:3" x14ac:dyDescent="0.25">
      <c r="A198" s="787" t="s">
        <v>2982</v>
      </c>
      <c r="B198" s="789">
        <f>IF(RSX!E$33="","",RSX!E$33)</f>
        <v>0</v>
      </c>
      <c r="C198" s="790">
        <f ca="1">IF(ISERROR(VLOOKUP($A$268,INDIRECT("notes_"&amp;LEFT($A$268,3)),4,0)),0,VLOOKUP($A$268,INDIRECT("notes_"&amp;LEFT($A$268,3)),4,0))</f>
        <v>0</v>
      </c>
    </row>
    <row r="199" spans="1:3" x14ac:dyDescent="0.25">
      <c r="A199" s="787" t="s">
        <v>2983</v>
      </c>
      <c r="B199" s="789">
        <f>IF(RSX!E$34="","",RSX!E$34)</f>
        <v>0</v>
      </c>
      <c r="C199" s="790">
        <f ca="1">IF(ISERROR(VLOOKUP($A$269,INDIRECT("notes_"&amp;LEFT($A$269,3)),4,0)),0,VLOOKUP($A$269,INDIRECT("notes_"&amp;LEFT($A$269,3)),4,0))</f>
        <v>0</v>
      </c>
    </row>
    <row r="200" spans="1:3" x14ac:dyDescent="0.25">
      <c r="A200" s="787" t="s">
        <v>2984</v>
      </c>
      <c r="B200" s="789">
        <f>IF(RSX!E$35="","",RSX!E$35)</f>
        <v>0</v>
      </c>
      <c r="C200" s="790">
        <f ca="1">IF(ISERROR(VLOOKUP($A$270,INDIRECT("notes_"&amp;LEFT($A$270,3)),4,0)),0,VLOOKUP($A$270,INDIRECT("notes_"&amp;LEFT($A$270,3)),4,0))</f>
        <v>0</v>
      </c>
    </row>
    <row r="201" spans="1:3" x14ac:dyDescent="0.25">
      <c r="A201" s="787" t="s">
        <v>2985</v>
      </c>
      <c r="B201" s="789">
        <f>IF(RSX!E$36="","",RSX!E$36)</f>
        <v>0</v>
      </c>
      <c r="C201" s="790">
        <f ca="1">IF(ISERROR(VLOOKUP($A$271,INDIRECT("notes_"&amp;LEFT($A$271,3)),4,0)),0,VLOOKUP($A$271,INDIRECT("notes_"&amp;LEFT($A$271,3)),4,0))</f>
        <v>0</v>
      </c>
    </row>
    <row r="202" spans="1:3" x14ac:dyDescent="0.25">
      <c r="A202" s="787" t="s">
        <v>2986</v>
      </c>
      <c r="B202" s="789">
        <f>IF(RSX!E$37="","",RSX!E$37)</f>
        <v>0</v>
      </c>
      <c r="C202" s="790">
        <f ca="1">IF(ISERROR(VLOOKUP($A$272,INDIRECT("notes_"&amp;LEFT($A$272,3)),4,0)),0,VLOOKUP($A$272,INDIRECT("notes_"&amp;LEFT($A$272,3)),4,0))</f>
        <v>0</v>
      </c>
    </row>
    <row r="203" spans="1:3" x14ac:dyDescent="0.25">
      <c r="A203" s="787" t="s">
        <v>2987</v>
      </c>
      <c r="B203" s="789">
        <f>IF(RSX!E$38="","",RSX!E$38)</f>
        <v>0</v>
      </c>
      <c r="C203" s="790">
        <f ca="1">IF(ISERROR(VLOOKUP($A$273,INDIRECT("notes_"&amp;LEFT($A$273,3)),4,0)),0,VLOOKUP($A$273,INDIRECT("notes_"&amp;LEFT($A$273,3)),4,0))</f>
        <v>0</v>
      </c>
    </row>
    <row r="204" spans="1:3" x14ac:dyDescent="0.25">
      <c r="A204" s="787" t="s">
        <v>2988</v>
      </c>
      <c r="B204" s="789">
        <f>IF(RSX!E$39="","",RSX!E$39)</f>
        <v>0</v>
      </c>
      <c r="C204" s="790">
        <f ca="1">IF(ISERROR(VLOOKUP($A$274,INDIRECT("notes_"&amp;LEFT($A$274,3)),4,0)),0,VLOOKUP($A$274,INDIRECT("notes_"&amp;LEFT($A$274,3)),4,0))</f>
        <v>0</v>
      </c>
    </row>
    <row r="205" spans="1:3" x14ac:dyDescent="0.25">
      <c r="A205" s="787" t="s">
        <v>2989</v>
      </c>
      <c r="B205" s="789">
        <f>IF(RSX!E$40="","",RSX!E$40)</f>
        <v>0</v>
      </c>
      <c r="C205" s="790">
        <f ca="1">IF(ISERROR(VLOOKUP($A$275,INDIRECT("notes_"&amp;LEFT($A$275,3)),4,0)),0,VLOOKUP($A$275,INDIRECT("notes_"&amp;LEFT($A$275,3)),4,0))</f>
        <v>0</v>
      </c>
    </row>
    <row r="206" spans="1:3" x14ac:dyDescent="0.25">
      <c r="A206" s="787" t="s">
        <v>2990</v>
      </c>
      <c r="B206" s="789">
        <f>IF(RSX!E$41="","",RSX!E$41)</f>
        <v>0</v>
      </c>
      <c r="C206" s="790">
        <f ca="1">IF(ISERROR(VLOOKUP($A$276,INDIRECT("notes_"&amp;LEFT($A$276,3)),4,0)),0,VLOOKUP($A$276,INDIRECT("notes_"&amp;LEFT($A$276,3)),4,0))</f>
        <v>0</v>
      </c>
    </row>
    <row r="207" spans="1:3" x14ac:dyDescent="0.25">
      <c r="A207" s="787" t="s">
        <v>2991</v>
      </c>
      <c r="B207" s="789">
        <f>IF(RSX!E$42="","",RSX!E$42)</f>
        <v>0</v>
      </c>
      <c r="C207" s="790">
        <f ca="1">IF(ISERROR(VLOOKUP($A$277,INDIRECT("notes_"&amp;LEFT($A$277,3)),4,0)),0,VLOOKUP($A$277,INDIRECT("notes_"&amp;LEFT($A$277,3)),4,0))</f>
        <v>0</v>
      </c>
    </row>
    <row r="208" spans="1:3" x14ac:dyDescent="0.25">
      <c r="A208" s="787" t="s">
        <v>2992</v>
      </c>
      <c r="B208" s="789">
        <f>IF(RSX!E$43="","",RSX!E$43)</f>
        <v>0</v>
      </c>
      <c r="C208" s="790">
        <f ca="1">IF(ISERROR(VLOOKUP($A$278,INDIRECT("notes_"&amp;LEFT($A$278,3)),4,0)),0,VLOOKUP($A$278,INDIRECT("notes_"&amp;LEFT($A$278,3)),4,0))</f>
        <v>0</v>
      </c>
    </row>
    <row r="209" spans="1:3" x14ac:dyDescent="0.25">
      <c r="A209" s="787" t="s">
        <v>2993</v>
      </c>
      <c r="B209" s="789">
        <f>IF(RSX!E$44="","",RSX!E$44)</f>
        <v>0</v>
      </c>
      <c r="C209" s="790">
        <f ca="1">IF(ISERROR(VLOOKUP($A$279,INDIRECT("notes_"&amp;LEFT($A$279,3)),4,0)),0,VLOOKUP($A$279,INDIRECT("notes_"&amp;LEFT($A$279,3)),4,0))</f>
        <v>0</v>
      </c>
    </row>
    <row r="210" spans="1:3" x14ac:dyDescent="0.25">
      <c r="A210" s="787" t="s">
        <v>2994</v>
      </c>
      <c r="B210" s="789">
        <f>IF(RSX!F$31="","",RSX!F$31)</f>
        <v>0</v>
      </c>
      <c r="C210" s="790">
        <f ca="1">IF(ISERROR(VLOOKUP($A$266,INDIRECT("notes_"&amp;LEFT($A$266,3)),4,0)),0,VLOOKUP($A$266,INDIRECT("notes_"&amp;LEFT($A$266,3)),4,0))</f>
        <v>0</v>
      </c>
    </row>
    <row r="211" spans="1:3" x14ac:dyDescent="0.25">
      <c r="A211" s="787" t="s">
        <v>2995</v>
      </c>
      <c r="B211" s="789">
        <f>IF(RSX!F$32="","",RSX!F$32)</f>
        <v>0</v>
      </c>
      <c r="C211" s="790">
        <f ca="1">IF(ISERROR(VLOOKUP($A$267,INDIRECT("notes_"&amp;LEFT($A$267,3)),4,0)),0,VLOOKUP($A$267,INDIRECT("notes_"&amp;LEFT($A$267,3)),4,0))</f>
        <v>0</v>
      </c>
    </row>
    <row r="212" spans="1:3" x14ac:dyDescent="0.25">
      <c r="A212" s="787" t="s">
        <v>2996</v>
      </c>
      <c r="B212" s="789">
        <f>IF(RSX!F$33="","",RSX!F$33)</f>
        <v>0</v>
      </c>
      <c r="C212" s="790">
        <f ca="1">IF(ISERROR(VLOOKUP($A$268,INDIRECT("notes_"&amp;LEFT($A$268,3)),4,0)),0,VLOOKUP($A$268,INDIRECT("notes_"&amp;LEFT($A$268,3)),4,0))</f>
        <v>0</v>
      </c>
    </row>
    <row r="213" spans="1:3" x14ac:dyDescent="0.25">
      <c r="A213" s="787" t="s">
        <v>2997</v>
      </c>
      <c r="B213" s="789">
        <f>IF(RSX!F$34="","",RSX!F$34)</f>
        <v>0</v>
      </c>
      <c r="C213" s="790">
        <f ca="1">IF(ISERROR(VLOOKUP($A$269,INDIRECT("notes_"&amp;LEFT($A$269,3)),4,0)),0,VLOOKUP($A$269,INDIRECT("notes_"&amp;LEFT($A$269,3)),4,0))</f>
        <v>0</v>
      </c>
    </row>
    <row r="214" spans="1:3" x14ac:dyDescent="0.25">
      <c r="A214" s="787" t="s">
        <v>2998</v>
      </c>
      <c r="B214" s="789">
        <f>IF(RSX!F$35="","",RSX!F$35)</f>
        <v>0</v>
      </c>
      <c r="C214" s="790">
        <f ca="1">IF(ISERROR(VLOOKUP($A$270,INDIRECT("notes_"&amp;LEFT($A$270,3)),4,0)),0,VLOOKUP($A$270,INDIRECT("notes_"&amp;LEFT($A$270,3)),4,0))</f>
        <v>0</v>
      </c>
    </row>
    <row r="215" spans="1:3" x14ac:dyDescent="0.25">
      <c r="A215" s="787" t="s">
        <v>2999</v>
      </c>
      <c r="B215" s="789">
        <f>IF(RSX!F$36="","",RSX!F$36)</f>
        <v>0</v>
      </c>
      <c r="C215" s="790">
        <f ca="1">IF(ISERROR(VLOOKUP($A$271,INDIRECT("notes_"&amp;LEFT($A$271,3)),4,0)),0,VLOOKUP($A$271,INDIRECT("notes_"&amp;LEFT($A$271,3)),4,0))</f>
        <v>0</v>
      </c>
    </row>
    <row r="216" spans="1:3" x14ac:dyDescent="0.25">
      <c r="A216" s="787" t="s">
        <v>3000</v>
      </c>
      <c r="B216" s="789">
        <f>IF(RSX!F$37="","",RSX!F$37)</f>
        <v>0</v>
      </c>
      <c r="C216" s="790">
        <f ca="1">IF(ISERROR(VLOOKUP($A$272,INDIRECT("notes_"&amp;LEFT($A$272,3)),4,0)),0,VLOOKUP($A$272,INDIRECT("notes_"&amp;LEFT($A$272,3)),4,0))</f>
        <v>0</v>
      </c>
    </row>
    <row r="217" spans="1:3" x14ac:dyDescent="0.25">
      <c r="A217" s="787" t="s">
        <v>3001</v>
      </c>
      <c r="B217" s="789">
        <f>IF(RSX!F$38="","",RSX!F$38)</f>
        <v>0</v>
      </c>
      <c r="C217" s="790">
        <f ca="1">IF(ISERROR(VLOOKUP($A$273,INDIRECT("notes_"&amp;LEFT($A$273,3)),4,0)),0,VLOOKUP($A$273,INDIRECT("notes_"&amp;LEFT($A$273,3)),4,0))</f>
        <v>0</v>
      </c>
    </row>
    <row r="218" spans="1:3" x14ac:dyDescent="0.25">
      <c r="A218" s="787" t="s">
        <v>3002</v>
      </c>
      <c r="B218" s="789">
        <f>IF(RSX!F$39="","",RSX!F$39)</f>
        <v>0</v>
      </c>
      <c r="C218" s="790">
        <f ca="1">IF(ISERROR(VLOOKUP($A$274,INDIRECT("notes_"&amp;LEFT($A$274,3)),4,0)),0,VLOOKUP($A$274,INDIRECT("notes_"&amp;LEFT($A$274,3)),4,0))</f>
        <v>0</v>
      </c>
    </row>
    <row r="219" spans="1:3" x14ac:dyDescent="0.25">
      <c r="A219" s="787" t="s">
        <v>3003</v>
      </c>
      <c r="B219" s="789">
        <f>IF(RSX!F$40="","",RSX!F$40)</f>
        <v>0</v>
      </c>
      <c r="C219" s="790">
        <f ca="1">IF(ISERROR(VLOOKUP($A$275,INDIRECT("notes_"&amp;LEFT($A$275,3)),4,0)),0,VLOOKUP($A$275,INDIRECT("notes_"&amp;LEFT($A$275,3)),4,0))</f>
        <v>0</v>
      </c>
    </row>
    <row r="220" spans="1:3" x14ac:dyDescent="0.25">
      <c r="A220" s="787" t="s">
        <v>3004</v>
      </c>
      <c r="B220" s="789">
        <f>IF(RSX!F$41="","",RSX!F$41)</f>
        <v>0</v>
      </c>
      <c r="C220" s="790">
        <f ca="1">IF(ISERROR(VLOOKUP($A$276,INDIRECT("notes_"&amp;LEFT($A$276,3)),4,0)),0,VLOOKUP($A$276,INDIRECT("notes_"&amp;LEFT($A$276,3)),4,0))</f>
        <v>0</v>
      </c>
    </row>
    <row r="221" spans="1:3" x14ac:dyDescent="0.25">
      <c r="A221" s="787" t="s">
        <v>3005</v>
      </c>
      <c r="B221" s="789">
        <f>IF(RSX!F$42="","",RSX!F$42)</f>
        <v>0</v>
      </c>
      <c r="C221" s="790">
        <f ca="1">IF(ISERROR(VLOOKUP($A$277,INDIRECT("notes_"&amp;LEFT($A$277,3)),4,0)),0,VLOOKUP($A$277,INDIRECT("notes_"&amp;LEFT($A$277,3)),4,0))</f>
        <v>0</v>
      </c>
    </row>
    <row r="222" spans="1:3" x14ac:dyDescent="0.25">
      <c r="A222" s="787" t="s">
        <v>3006</v>
      </c>
      <c r="B222" s="789">
        <f>IF(RSX!F$43="","",RSX!F$43)</f>
        <v>0</v>
      </c>
      <c r="C222" s="790">
        <f ca="1">IF(ISERROR(VLOOKUP($A$278,INDIRECT("notes_"&amp;LEFT($A$278,3)),4,0)),0,VLOOKUP($A$278,INDIRECT("notes_"&amp;LEFT($A$278,3)),4,0))</f>
        <v>0</v>
      </c>
    </row>
    <row r="223" spans="1:3" x14ac:dyDescent="0.25">
      <c r="A223" s="787" t="s">
        <v>3007</v>
      </c>
      <c r="B223" s="789">
        <f>IF(RSX!F$44="","",RSX!F$44)</f>
        <v>0</v>
      </c>
      <c r="C223" s="790">
        <f ca="1">IF(ISERROR(VLOOKUP($A$279,INDIRECT("notes_"&amp;LEFT($A$279,3)),4,0)),0,VLOOKUP($A$279,INDIRECT("notes_"&amp;LEFT($A$279,3)),4,0))</f>
        <v>0</v>
      </c>
    </row>
    <row r="224" spans="1:3" x14ac:dyDescent="0.25">
      <c r="A224" s="787" t="s">
        <v>3008</v>
      </c>
      <c r="B224" s="789">
        <f>IF(RSX!G$31="","",RSX!G$31)</f>
        <v>0</v>
      </c>
      <c r="C224" s="790">
        <f ca="1">IF(ISERROR(VLOOKUP($A$266,INDIRECT("notes_"&amp;LEFT($A$266,3)),4,0)),0,VLOOKUP($A$266,INDIRECT("notes_"&amp;LEFT($A$266,3)),4,0))</f>
        <v>0</v>
      </c>
    </row>
    <row r="225" spans="1:3" x14ac:dyDescent="0.25">
      <c r="A225" s="787" t="s">
        <v>3009</v>
      </c>
      <c r="B225" s="789">
        <f>IF(RSX!G$32="","",RSX!G$32)</f>
        <v>0</v>
      </c>
      <c r="C225" s="790">
        <f ca="1">IF(ISERROR(VLOOKUP($A$267,INDIRECT("notes_"&amp;LEFT($A$267,3)),4,0)),0,VLOOKUP($A$267,INDIRECT("notes_"&amp;LEFT($A$267,3)),4,0))</f>
        <v>0</v>
      </c>
    </row>
    <row r="226" spans="1:3" x14ac:dyDescent="0.25">
      <c r="A226" s="787" t="s">
        <v>3010</v>
      </c>
      <c r="B226" s="789">
        <f>IF(RSX!G$33="","",RSX!G$33)</f>
        <v>0</v>
      </c>
      <c r="C226" s="790">
        <f ca="1">IF(ISERROR(VLOOKUP($A$268,INDIRECT("notes_"&amp;LEFT($A$268,3)),4,0)),0,VLOOKUP($A$268,INDIRECT("notes_"&amp;LEFT($A$268,3)),4,0))</f>
        <v>0</v>
      </c>
    </row>
    <row r="227" spans="1:3" x14ac:dyDescent="0.25">
      <c r="A227" s="787" t="s">
        <v>3011</v>
      </c>
      <c r="B227" s="789">
        <f>IF(RSX!G$34="","",RSX!G$34)</f>
        <v>0</v>
      </c>
      <c r="C227" s="790">
        <f ca="1">IF(ISERROR(VLOOKUP($A$269,INDIRECT("notes_"&amp;LEFT($A$269,3)),4,0)),0,VLOOKUP($A$269,INDIRECT("notes_"&amp;LEFT($A$269,3)),4,0))</f>
        <v>0</v>
      </c>
    </row>
    <row r="228" spans="1:3" x14ac:dyDescent="0.25">
      <c r="A228" s="787" t="s">
        <v>3012</v>
      </c>
      <c r="B228" s="789">
        <f>IF(RSX!G$35="","",RSX!G$35)</f>
        <v>0</v>
      </c>
      <c r="C228" s="790">
        <f ca="1">IF(ISERROR(VLOOKUP($A$270,INDIRECT("notes_"&amp;LEFT($A$270,3)),4,0)),0,VLOOKUP($A$270,INDIRECT("notes_"&amp;LEFT($A$270,3)),4,0))</f>
        <v>0</v>
      </c>
    </row>
    <row r="229" spans="1:3" x14ac:dyDescent="0.25">
      <c r="A229" s="787" t="s">
        <v>3013</v>
      </c>
      <c r="B229" s="789">
        <f>IF(RSX!G$36="","",RSX!G$36)</f>
        <v>0</v>
      </c>
      <c r="C229" s="790">
        <f ca="1">IF(ISERROR(VLOOKUP($A$271,INDIRECT("notes_"&amp;LEFT($A$271,3)),4,0)),0,VLOOKUP($A$271,INDIRECT("notes_"&amp;LEFT($A$271,3)),4,0))</f>
        <v>0</v>
      </c>
    </row>
    <row r="230" spans="1:3" x14ac:dyDescent="0.25">
      <c r="A230" s="787" t="s">
        <v>3014</v>
      </c>
      <c r="B230" s="789">
        <f>IF(RSX!G$37="","",RSX!G$37)</f>
        <v>0</v>
      </c>
      <c r="C230" s="790">
        <f ca="1">IF(ISERROR(VLOOKUP($A$272,INDIRECT("notes_"&amp;LEFT($A$272,3)),4,0)),0,VLOOKUP($A$272,INDIRECT("notes_"&amp;LEFT($A$272,3)),4,0))</f>
        <v>0</v>
      </c>
    </row>
    <row r="231" spans="1:3" x14ac:dyDescent="0.25">
      <c r="A231" s="787" t="s">
        <v>3015</v>
      </c>
      <c r="B231" s="789">
        <f>IF(RSX!G$38="","",RSX!G$38)</f>
        <v>0</v>
      </c>
      <c r="C231" s="790">
        <f ca="1">IF(ISERROR(VLOOKUP($A$273,INDIRECT("notes_"&amp;LEFT($A$273,3)),4,0)),0,VLOOKUP($A$273,INDIRECT("notes_"&amp;LEFT($A$273,3)),4,0))</f>
        <v>0</v>
      </c>
    </row>
    <row r="232" spans="1:3" x14ac:dyDescent="0.25">
      <c r="A232" s="787" t="s">
        <v>3016</v>
      </c>
      <c r="B232" s="789">
        <f>IF(RSX!G$39="","",RSX!G$39)</f>
        <v>0</v>
      </c>
      <c r="C232" s="790">
        <f ca="1">IF(ISERROR(VLOOKUP($A$274,INDIRECT("notes_"&amp;LEFT($A$274,3)),4,0)),0,VLOOKUP($A$274,INDIRECT("notes_"&amp;LEFT($A$274,3)),4,0))</f>
        <v>0</v>
      </c>
    </row>
    <row r="233" spans="1:3" x14ac:dyDescent="0.25">
      <c r="A233" s="787" t="s">
        <v>3017</v>
      </c>
      <c r="B233" s="789">
        <f>IF(RSX!G$40="","",RSX!G$40)</f>
        <v>0</v>
      </c>
      <c r="C233" s="790">
        <f ca="1">IF(ISERROR(VLOOKUP($A$275,INDIRECT("notes_"&amp;LEFT($A$275,3)),4,0)),0,VLOOKUP($A$275,INDIRECT("notes_"&amp;LEFT($A$275,3)),4,0))</f>
        <v>0</v>
      </c>
    </row>
    <row r="234" spans="1:3" x14ac:dyDescent="0.25">
      <c r="A234" s="787" t="s">
        <v>3018</v>
      </c>
      <c r="B234" s="789">
        <f>IF(RSX!G$41="","",RSX!G$41)</f>
        <v>0</v>
      </c>
      <c r="C234" s="790">
        <f ca="1">IF(ISERROR(VLOOKUP($A$276,INDIRECT("notes_"&amp;LEFT($A$276,3)),4,0)),0,VLOOKUP($A$276,INDIRECT("notes_"&amp;LEFT($A$276,3)),4,0))</f>
        <v>0</v>
      </c>
    </row>
    <row r="235" spans="1:3" x14ac:dyDescent="0.25">
      <c r="A235" s="787" t="s">
        <v>3019</v>
      </c>
      <c r="B235" s="789">
        <f>IF(RSX!G$42="","",RSX!G$42)</f>
        <v>0</v>
      </c>
      <c r="C235" s="790">
        <f ca="1">IF(ISERROR(VLOOKUP($A$277,INDIRECT("notes_"&amp;LEFT($A$277,3)),4,0)),0,VLOOKUP($A$277,INDIRECT("notes_"&amp;LEFT($A$277,3)),4,0))</f>
        <v>0</v>
      </c>
    </row>
    <row r="236" spans="1:3" x14ac:dyDescent="0.25">
      <c r="A236" s="787" t="s">
        <v>3020</v>
      </c>
      <c r="B236" s="789">
        <f>IF(RSX!G$43="","",RSX!G$43)</f>
        <v>0</v>
      </c>
      <c r="C236" s="790">
        <f ca="1">IF(ISERROR(VLOOKUP($A$278,INDIRECT("notes_"&amp;LEFT($A$278,3)),4,0)),0,VLOOKUP($A$278,INDIRECT("notes_"&amp;LEFT($A$278,3)),4,0))</f>
        <v>0</v>
      </c>
    </row>
    <row r="237" spans="1:3" x14ac:dyDescent="0.25">
      <c r="A237" s="787" t="s">
        <v>3021</v>
      </c>
      <c r="B237" s="789">
        <f>IF(RSX!G$44="","",RSX!G$44)</f>
        <v>0</v>
      </c>
      <c r="C237" s="790">
        <f ca="1">IF(ISERROR(VLOOKUP($A$279,INDIRECT("notes_"&amp;LEFT($A$279,3)),4,0)),0,VLOOKUP($A$279,INDIRECT("notes_"&amp;LEFT($A$279,3)),4,0))</f>
        <v>0</v>
      </c>
    </row>
    <row r="238" spans="1:3" x14ac:dyDescent="0.25">
      <c r="A238" s="787" t="s">
        <v>3022</v>
      </c>
      <c r="B238" s="789">
        <f>IF(RSX!H$31="","",RSX!H$31)</f>
        <v>0</v>
      </c>
      <c r="C238" s="790">
        <f ca="1">IF(ISERROR(VLOOKUP($A$266,INDIRECT("notes_"&amp;LEFT($A$266,3)),4,0)),0,VLOOKUP($A$266,INDIRECT("notes_"&amp;LEFT($A$266,3)),4,0))</f>
        <v>0</v>
      </c>
    </row>
    <row r="239" spans="1:3" x14ac:dyDescent="0.25">
      <c r="A239" s="787" t="s">
        <v>3023</v>
      </c>
      <c r="B239" s="789">
        <f>IF(RSX!H$32="","",RSX!H$32)</f>
        <v>0</v>
      </c>
      <c r="C239" s="790">
        <f ca="1">IF(ISERROR(VLOOKUP($A$267,INDIRECT("notes_"&amp;LEFT($A$267,3)),4,0)),0,VLOOKUP($A$267,INDIRECT("notes_"&amp;LEFT($A$267,3)),4,0))</f>
        <v>0</v>
      </c>
    </row>
    <row r="240" spans="1:3" x14ac:dyDescent="0.25">
      <c r="A240" s="787" t="s">
        <v>3024</v>
      </c>
      <c r="B240" s="789">
        <f>IF(RSX!H$33="","",RSX!H$33)</f>
        <v>0</v>
      </c>
      <c r="C240" s="790">
        <f ca="1">IF(ISERROR(VLOOKUP($A$268,INDIRECT("notes_"&amp;LEFT($A$268,3)),4,0)),0,VLOOKUP($A$268,INDIRECT("notes_"&amp;LEFT($A$268,3)),4,0))</f>
        <v>0</v>
      </c>
    </row>
    <row r="241" spans="1:3" x14ac:dyDescent="0.25">
      <c r="A241" s="787" t="s">
        <v>3025</v>
      </c>
      <c r="B241" s="789">
        <f>IF(RSX!H$34="","",RSX!H$34)</f>
        <v>0</v>
      </c>
      <c r="C241" s="790">
        <f ca="1">IF(ISERROR(VLOOKUP($A$269,INDIRECT("notes_"&amp;LEFT($A$269,3)),4,0)),0,VLOOKUP($A$269,INDIRECT("notes_"&amp;LEFT($A$269,3)),4,0))</f>
        <v>0</v>
      </c>
    </row>
    <row r="242" spans="1:3" x14ac:dyDescent="0.25">
      <c r="A242" s="787" t="s">
        <v>3026</v>
      </c>
      <c r="B242" s="789">
        <f>IF(RSX!H$35="","",RSX!H$35)</f>
        <v>0</v>
      </c>
      <c r="C242" s="790">
        <f ca="1">IF(ISERROR(VLOOKUP($A$270,INDIRECT("notes_"&amp;LEFT($A$270,3)),4,0)),0,VLOOKUP($A$270,INDIRECT("notes_"&amp;LEFT($A$270,3)),4,0))</f>
        <v>0</v>
      </c>
    </row>
    <row r="243" spans="1:3" x14ac:dyDescent="0.25">
      <c r="A243" s="787" t="s">
        <v>3027</v>
      </c>
      <c r="B243" s="789">
        <f>IF(RSX!H$36="","",RSX!H$36)</f>
        <v>0</v>
      </c>
      <c r="C243" s="790">
        <f ca="1">IF(ISERROR(VLOOKUP($A$271,INDIRECT("notes_"&amp;LEFT($A$271,3)),4,0)),0,VLOOKUP($A$271,INDIRECT("notes_"&amp;LEFT($A$271,3)),4,0))</f>
        <v>0</v>
      </c>
    </row>
    <row r="244" spans="1:3" x14ac:dyDescent="0.25">
      <c r="A244" s="787" t="s">
        <v>3028</v>
      </c>
      <c r="B244" s="789">
        <f>IF(RSX!H$37="","",RSX!H$37)</f>
        <v>0</v>
      </c>
      <c r="C244" s="790">
        <f ca="1">IF(ISERROR(VLOOKUP($A$272,INDIRECT("notes_"&amp;LEFT($A$272,3)),4,0)),0,VLOOKUP($A$272,INDIRECT("notes_"&amp;LEFT($A$272,3)),4,0))</f>
        <v>0</v>
      </c>
    </row>
    <row r="245" spans="1:3" x14ac:dyDescent="0.25">
      <c r="A245" s="787" t="s">
        <v>3029</v>
      </c>
      <c r="B245" s="789">
        <f>IF(RSX!H$38="","",RSX!H$38)</f>
        <v>0</v>
      </c>
      <c r="C245" s="790">
        <f ca="1">IF(ISERROR(VLOOKUP($A$273,INDIRECT("notes_"&amp;LEFT($A$273,3)),4,0)),0,VLOOKUP($A$273,INDIRECT("notes_"&amp;LEFT($A$273,3)),4,0))</f>
        <v>0</v>
      </c>
    </row>
    <row r="246" spans="1:3" x14ac:dyDescent="0.25">
      <c r="A246" s="787" t="s">
        <v>3030</v>
      </c>
      <c r="B246" s="789">
        <f>IF(RSX!H$39="","",RSX!H$39)</f>
        <v>0</v>
      </c>
      <c r="C246" s="790">
        <f ca="1">IF(ISERROR(VLOOKUP($A$274,INDIRECT("notes_"&amp;LEFT($A$274,3)),4,0)),0,VLOOKUP($A$274,INDIRECT("notes_"&amp;LEFT($A$274,3)),4,0))</f>
        <v>0</v>
      </c>
    </row>
    <row r="247" spans="1:3" x14ac:dyDescent="0.25">
      <c r="A247" s="787" t="s">
        <v>3031</v>
      </c>
      <c r="B247" s="789">
        <f>IF(RSX!H$40="","",RSX!H$40)</f>
        <v>0</v>
      </c>
      <c r="C247" s="790">
        <f ca="1">IF(ISERROR(VLOOKUP($A$275,INDIRECT("notes_"&amp;LEFT($A$275,3)),4,0)),0,VLOOKUP($A$275,INDIRECT("notes_"&amp;LEFT($A$275,3)),4,0))</f>
        <v>0</v>
      </c>
    </row>
    <row r="248" spans="1:3" x14ac:dyDescent="0.25">
      <c r="A248" s="787" t="s">
        <v>3032</v>
      </c>
      <c r="B248" s="789">
        <f>IF(RSX!H$41="","",RSX!H$41)</f>
        <v>0</v>
      </c>
      <c r="C248" s="790">
        <f ca="1">IF(ISERROR(VLOOKUP($A$276,INDIRECT("notes_"&amp;LEFT($A$276,3)),4,0)),0,VLOOKUP($A$276,INDIRECT("notes_"&amp;LEFT($A$276,3)),4,0))</f>
        <v>0</v>
      </c>
    </row>
    <row r="249" spans="1:3" x14ac:dyDescent="0.25">
      <c r="A249" s="787" t="s">
        <v>3033</v>
      </c>
      <c r="B249" s="789">
        <f>IF(RSX!H$42="","",RSX!H$42)</f>
        <v>0</v>
      </c>
      <c r="C249" s="790">
        <f ca="1">IF(ISERROR(VLOOKUP($A$277,INDIRECT("notes_"&amp;LEFT($A$277,3)),4,0)),0,VLOOKUP($A$277,INDIRECT("notes_"&amp;LEFT($A$277,3)),4,0))</f>
        <v>0</v>
      </c>
    </row>
    <row r="250" spans="1:3" x14ac:dyDescent="0.25">
      <c r="A250" s="787" t="s">
        <v>3034</v>
      </c>
      <c r="B250" s="789">
        <f>IF(RSX!H$43="","",RSX!H$43)</f>
        <v>0</v>
      </c>
      <c r="C250" s="790">
        <f ca="1">IF(ISERROR(VLOOKUP($A$278,INDIRECT("notes_"&amp;LEFT($A$278,3)),4,0)),0,VLOOKUP($A$278,INDIRECT("notes_"&amp;LEFT($A$278,3)),4,0))</f>
        <v>0</v>
      </c>
    </row>
    <row r="251" spans="1:3" x14ac:dyDescent="0.25">
      <c r="A251" s="787" t="s">
        <v>3035</v>
      </c>
      <c r="B251" s="789">
        <f>IF(RSX!H$44="","",RSX!H$44)</f>
        <v>0</v>
      </c>
      <c r="C251" s="790">
        <f ca="1">IF(ISERROR(VLOOKUP($A$279,INDIRECT("notes_"&amp;LEFT($A$279,3)),4,0)),0,VLOOKUP($A$279,INDIRECT("notes_"&amp;LEFT($A$279,3)),4,0))</f>
        <v>0</v>
      </c>
    </row>
    <row r="252" spans="1:3" x14ac:dyDescent="0.25">
      <c r="A252" s="787" t="s">
        <v>3036</v>
      </c>
      <c r="B252" s="789">
        <f>IF(RSX!I$31="","",RSX!I$31)</f>
        <v>0</v>
      </c>
      <c r="C252" s="790">
        <f ca="1">IF(ISERROR(VLOOKUP($A$266,INDIRECT("notes_"&amp;LEFT($A$266,3)),4,0)),0,VLOOKUP($A$266,INDIRECT("notes_"&amp;LEFT($A$266,3)),4,0))</f>
        <v>0</v>
      </c>
    </row>
    <row r="253" spans="1:3" x14ac:dyDescent="0.25">
      <c r="A253" s="787" t="s">
        <v>3037</v>
      </c>
      <c r="B253" s="789">
        <f>IF(RSX!I$32="","",RSX!I$32)</f>
        <v>0</v>
      </c>
      <c r="C253" s="790">
        <f ca="1">IF(ISERROR(VLOOKUP($A$267,INDIRECT("notes_"&amp;LEFT($A$267,3)),4,0)),0,VLOOKUP($A$267,INDIRECT("notes_"&amp;LEFT($A$267,3)),4,0))</f>
        <v>0</v>
      </c>
    </row>
    <row r="254" spans="1:3" x14ac:dyDescent="0.25">
      <c r="A254" s="787" t="s">
        <v>3038</v>
      </c>
      <c r="B254" s="789">
        <f>IF(RSX!I$33="","",RSX!I$33)</f>
        <v>0</v>
      </c>
      <c r="C254" s="790">
        <f ca="1">IF(ISERROR(VLOOKUP($A$268,INDIRECT("notes_"&amp;LEFT($A$268,3)),4,0)),0,VLOOKUP($A$268,INDIRECT("notes_"&amp;LEFT($A$268,3)),4,0))</f>
        <v>0</v>
      </c>
    </row>
    <row r="255" spans="1:3" x14ac:dyDescent="0.25">
      <c r="A255" s="787" t="s">
        <v>3039</v>
      </c>
      <c r="B255" s="789">
        <f>IF(RSX!I$34="","",RSX!I$34)</f>
        <v>0</v>
      </c>
      <c r="C255" s="790">
        <f ca="1">IF(ISERROR(VLOOKUP($A$269,INDIRECT("notes_"&amp;LEFT($A$269,3)),4,0)),0,VLOOKUP($A$269,INDIRECT("notes_"&amp;LEFT($A$269,3)),4,0))</f>
        <v>0</v>
      </c>
    </row>
    <row r="256" spans="1:3" x14ac:dyDescent="0.25">
      <c r="A256" s="787" t="s">
        <v>3040</v>
      </c>
      <c r="B256" s="789">
        <f>IF(RSX!I$35="","",RSX!I$35)</f>
        <v>0</v>
      </c>
      <c r="C256" s="790">
        <f ca="1">IF(ISERROR(VLOOKUP($A$270,INDIRECT("notes_"&amp;LEFT($A$270,3)),4,0)),0,VLOOKUP($A$270,INDIRECT("notes_"&amp;LEFT($A$270,3)),4,0))</f>
        <v>0</v>
      </c>
    </row>
    <row r="257" spans="1:6" x14ac:dyDescent="0.25">
      <c r="A257" s="787" t="s">
        <v>3041</v>
      </c>
      <c r="B257" s="789">
        <f>IF(RSX!I$36="","",RSX!I$36)</f>
        <v>0</v>
      </c>
      <c r="C257" s="790">
        <f ca="1">IF(ISERROR(VLOOKUP($A$271,INDIRECT("notes_"&amp;LEFT($A$271,3)),4,0)),0,VLOOKUP($A$271,INDIRECT("notes_"&amp;LEFT($A$271,3)),4,0))</f>
        <v>0</v>
      </c>
    </row>
    <row r="258" spans="1:6" x14ac:dyDescent="0.25">
      <c r="A258" s="787" t="s">
        <v>3042</v>
      </c>
      <c r="B258" s="789">
        <f>IF(RSX!I$37="","",RSX!I$37)</f>
        <v>0</v>
      </c>
      <c r="C258" s="790">
        <f ca="1">IF(ISERROR(VLOOKUP($A$272,INDIRECT("notes_"&amp;LEFT($A$272,3)),4,0)),0,VLOOKUP($A$272,INDIRECT("notes_"&amp;LEFT($A$272,3)),4,0))</f>
        <v>0</v>
      </c>
    </row>
    <row r="259" spans="1:6" x14ac:dyDescent="0.25">
      <c r="A259" s="787" t="s">
        <v>3043</v>
      </c>
      <c r="B259" s="789">
        <f>IF(RSX!I$38="","",RSX!I$38)</f>
        <v>0</v>
      </c>
      <c r="C259" s="790">
        <f ca="1">IF(ISERROR(VLOOKUP($A$273,INDIRECT("notes_"&amp;LEFT($A$273,3)),4,0)),0,VLOOKUP($A$273,INDIRECT("notes_"&amp;LEFT($A$273,3)),4,0))</f>
        <v>0</v>
      </c>
    </row>
    <row r="260" spans="1:6" x14ac:dyDescent="0.25">
      <c r="A260" s="787" t="s">
        <v>3044</v>
      </c>
      <c r="B260" s="789">
        <f>IF(RSX!I$39="","",RSX!I$39)</f>
        <v>0</v>
      </c>
      <c r="C260" s="790">
        <f ca="1">IF(ISERROR(VLOOKUP($A$274,INDIRECT("notes_"&amp;LEFT($A$274,3)),4,0)),0,VLOOKUP($A$274,INDIRECT("notes_"&amp;LEFT($A$274,3)),4,0))</f>
        <v>0</v>
      </c>
    </row>
    <row r="261" spans="1:6" x14ac:dyDescent="0.25">
      <c r="A261" s="787" t="s">
        <v>3045</v>
      </c>
      <c r="B261" s="789">
        <f>IF(RSX!I$40="","",RSX!I$40)</f>
        <v>0</v>
      </c>
      <c r="C261" s="790">
        <f ca="1">IF(ISERROR(VLOOKUP($A$275,INDIRECT("notes_"&amp;LEFT($A$275,3)),4,0)),0,VLOOKUP($A$275,INDIRECT("notes_"&amp;LEFT($A$275,3)),4,0))</f>
        <v>0</v>
      </c>
    </row>
    <row r="262" spans="1:6" x14ac:dyDescent="0.25">
      <c r="A262" s="787" t="s">
        <v>3046</v>
      </c>
      <c r="B262" s="789">
        <f>IF(RSX!I$41="","",RSX!I$41)</f>
        <v>0</v>
      </c>
      <c r="C262" s="790">
        <f ca="1">IF(ISERROR(VLOOKUP($A$276,INDIRECT("notes_"&amp;LEFT($A$276,3)),4,0)),0,VLOOKUP($A$276,INDIRECT("notes_"&amp;LEFT($A$276,3)),4,0))</f>
        <v>0</v>
      </c>
    </row>
    <row r="263" spans="1:6" x14ac:dyDescent="0.25">
      <c r="A263" s="787" t="s">
        <v>3047</v>
      </c>
      <c r="B263" s="789">
        <f>IF(RSX!I$42="","",RSX!I$42)</f>
        <v>0</v>
      </c>
      <c r="C263" s="790">
        <f ca="1">IF(ISERROR(VLOOKUP($A$277,INDIRECT("notes_"&amp;LEFT($A$277,3)),4,0)),0,VLOOKUP($A$277,INDIRECT("notes_"&amp;LEFT($A$277,3)),4,0))</f>
        <v>0</v>
      </c>
    </row>
    <row r="264" spans="1:6" x14ac:dyDescent="0.25">
      <c r="A264" s="787" t="s">
        <v>3048</v>
      </c>
      <c r="B264" s="789">
        <f>IF(RSX!I$43="","",RSX!I$43)</f>
        <v>0</v>
      </c>
      <c r="C264" s="790">
        <f ca="1">IF(ISERROR(VLOOKUP($A$278,INDIRECT("notes_"&amp;LEFT($A$278,3)),4,0)),0,VLOOKUP($A$278,INDIRECT("notes_"&amp;LEFT($A$278,3)),4,0))</f>
        <v>0</v>
      </c>
    </row>
    <row r="265" spans="1:6" x14ac:dyDescent="0.25">
      <c r="A265" s="787" t="s">
        <v>3049</v>
      </c>
      <c r="B265" s="789">
        <f>IF(RSX!I$44="","",RSX!I$44)</f>
        <v>0</v>
      </c>
      <c r="C265" s="790">
        <f ca="1">IF(ISERROR(VLOOKUP($A$279,INDIRECT("notes_"&amp;LEFT($A$279,3)),4,0)),0,VLOOKUP($A$279,INDIRECT("notes_"&amp;LEFT($A$279,3)),4,0))</f>
        <v>0</v>
      </c>
    </row>
    <row r="266" spans="1:6" x14ac:dyDescent="0.25">
      <c r="A266" s="787" t="s">
        <v>2351</v>
      </c>
      <c r="B266" s="789">
        <f>IF(RSX!J$31="","",RSX!J$31)</f>
        <v>0</v>
      </c>
      <c r="C266" s="790">
        <f ca="1">IF(ISERROR(VLOOKUP($A$266,INDIRECT("notes_"&amp;LEFT($A$266,3)),4,0)),0,VLOOKUP($A$266,INDIRECT("notes_"&amp;LEFT($A$266,3)),4,0))</f>
        <v>0</v>
      </c>
      <c r="E266" s="787" t="str">
        <f>RSX!M31</f>
        <v/>
      </c>
      <c r="F266" s="787" t="str">
        <f>RSX!O31</f>
        <v/>
      </c>
    </row>
    <row r="267" spans="1:6" x14ac:dyDescent="0.25">
      <c r="A267" s="787" t="s">
        <v>2353</v>
      </c>
      <c r="B267" s="789">
        <f>IF(RSX!J$32="","",RSX!J$32)</f>
        <v>0</v>
      </c>
      <c r="C267" s="790">
        <f ca="1">IF(ISERROR(VLOOKUP($A$267,INDIRECT("notes_"&amp;LEFT($A$267,3)),4,0)),0,VLOOKUP($A$267,INDIRECT("notes_"&amp;LEFT($A$267,3)),4,0))</f>
        <v>0</v>
      </c>
      <c r="E267" s="787" t="str">
        <f>RSX!M32</f>
        <v/>
      </c>
      <c r="F267" s="787" t="str">
        <f>RSX!O32</f>
        <v/>
      </c>
    </row>
    <row r="268" spans="1:6" x14ac:dyDescent="0.25">
      <c r="A268" s="787" t="s">
        <v>2354</v>
      </c>
      <c r="B268" s="789">
        <f>IF(RSX!J$33="","",RSX!J$33)</f>
        <v>0</v>
      </c>
      <c r="C268" s="790">
        <f ca="1">IF(ISERROR(VLOOKUP($A$268,INDIRECT("notes_"&amp;LEFT($A$268,3)),4,0)),0,VLOOKUP($A$268,INDIRECT("notes_"&amp;LEFT($A$268,3)),4,0))</f>
        <v>0</v>
      </c>
      <c r="E268" s="787" t="str">
        <f>RSX!M33</f>
        <v/>
      </c>
      <c r="F268" s="787" t="str">
        <f>RSX!O33</f>
        <v/>
      </c>
    </row>
    <row r="269" spans="1:6" x14ac:dyDescent="0.25">
      <c r="A269" s="787" t="s">
        <v>2355</v>
      </c>
      <c r="B269" s="789">
        <f>IF(RSX!J$34="","",RSX!J$34)</f>
        <v>0</v>
      </c>
      <c r="C269" s="790">
        <f ca="1">IF(ISERROR(VLOOKUP($A$269,INDIRECT("notes_"&amp;LEFT($A$269,3)),4,0)),0,VLOOKUP($A$269,INDIRECT("notes_"&amp;LEFT($A$269,3)),4,0))</f>
        <v>0</v>
      </c>
      <c r="E269" s="787" t="str">
        <f>RSX!M34</f>
        <v/>
      </c>
      <c r="F269" s="787" t="str">
        <f>RSX!O34</f>
        <v/>
      </c>
    </row>
    <row r="270" spans="1:6" x14ac:dyDescent="0.25">
      <c r="A270" s="787" t="s">
        <v>2356</v>
      </c>
      <c r="B270" s="789">
        <f>IF(RSX!J$35="","",RSX!J$35)</f>
        <v>0</v>
      </c>
      <c r="C270" s="790">
        <f ca="1">IF(ISERROR(VLOOKUP($A$270,INDIRECT("notes_"&amp;LEFT($A$270,3)),4,0)),0,VLOOKUP($A$270,INDIRECT("notes_"&amp;LEFT($A$270,3)),4,0))</f>
        <v>0</v>
      </c>
      <c r="E270" s="787" t="str">
        <f>RSX!M35</f>
        <v/>
      </c>
      <c r="F270" s="787" t="str">
        <f>RSX!O35</f>
        <v/>
      </c>
    </row>
    <row r="271" spans="1:6" x14ac:dyDescent="0.25">
      <c r="A271" s="787" t="s">
        <v>2357</v>
      </c>
      <c r="B271" s="789">
        <f>IF(RSX!J$36="","",RSX!J$36)</f>
        <v>0</v>
      </c>
      <c r="C271" s="790">
        <f ca="1">IF(ISERROR(VLOOKUP($A$271,INDIRECT("notes_"&amp;LEFT($A$271,3)),4,0)),0,VLOOKUP($A$271,INDIRECT("notes_"&amp;LEFT($A$271,3)),4,0))</f>
        <v>0</v>
      </c>
      <c r="E271" s="787" t="str">
        <f>RSX!M36</f>
        <v/>
      </c>
      <c r="F271" s="787" t="str">
        <f>RSX!O36</f>
        <v/>
      </c>
    </row>
    <row r="272" spans="1:6" x14ac:dyDescent="0.25">
      <c r="A272" s="787" t="s">
        <v>2358</v>
      </c>
      <c r="B272" s="789">
        <f>IF(RSX!J$37="","",RSX!J$37)</f>
        <v>0</v>
      </c>
      <c r="C272" s="790">
        <f ca="1">IF(ISERROR(VLOOKUP($A$272,INDIRECT("notes_"&amp;LEFT($A$272,3)),4,0)),0,VLOOKUP($A$272,INDIRECT("notes_"&amp;LEFT($A$272,3)),4,0))</f>
        <v>0</v>
      </c>
      <c r="E272" s="787" t="str">
        <f>RSX!M37</f>
        <v/>
      </c>
      <c r="F272" s="787" t="str">
        <f>RSX!O37</f>
        <v/>
      </c>
    </row>
    <row r="273" spans="1:6" x14ac:dyDescent="0.25">
      <c r="A273" s="787" t="s">
        <v>2359</v>
      </c>
      <c r="B273" s="789">
        <f>IF(RSX!J$38="","",RSX!J$38)</f>
        <v>0</v>
      </c>
      <c r="C273" s="790">
        <f ca="1">IF(ISERROR(VLOOKUP($A$273,INDIRECT("notes_"&amp;LEFT($A$273,3)),4,0)),0,VLOOKUP($A$273,INDIRECT("notes_"&amp;LEFT($A$273,3)),4,0))</f>
        <v>0</v>
      </c>
      <c r="E273" s="787" t="str">
        <f>RSX!M38</f>
        <v/>
      </c>
      <c r="F273" s="787" t="str">
        <f>RSX!O38</f>
        <v/>
      </c>
    </row>
    <row r="274" spans="1:6" x14ac:dyDescent="0.25">
      <c r="A274" s="787" t="s">
        <v>2360</v>
      </c>
      <c r="B274" s="789">
        <f>IF(RSX!J$39="","",RSX!J$39)</f>
        <v>0</v>
      </c>
      <c r="C274" s="790">
        <f ca="1">IF(ISERROR(VLOOKUP($A$274,INDIRECT("notes_"&amp;LEFT($A$274,3)),4,0)),0,VLOOKUP($A$274,INDIRECT("notes_"&amp;LEFT($A$274,3)),4,0))</f>
        <v>0</v>
      </c>
      <c r="E274" s="787" t="str">
        <f>RSX!M39</f>
        <v/>
      </c>
      <c r="F274" s="787" t="str">
        <f>RSX!O39</f>
        <v/>
      </c>
    </row>
    <row r="275" spans="1:6" x14ac:dyDescent="0.25">
      <c r="A275" s="787" t="s">
        <v>2361</v>
      </c>
      <c r="B275" s="789">
        <f>IF(RSX!J$40="","",RSX!J$40)</f>
        <v>0</v>
      </c>
      <c r="C275" s="790">
        <f ca="1">IF(ISERROR(VLOOKUP($A$275,INDIRECT("notes_"&amp;LEFT($A$275,3)),4,0)),0,VLOOKUP($A$275,INDIRECT("notes_"&amp;LEFT($A$275,3)),4,0))</f>
        <v>0</v>
      </c>
      <c r="E275" s="787" t="str">
        <f>RSX!M40</f>
        <v/>
      </c>
      <c r="F275" s="787" t="str">
        <f>RSX!O40</f>
        <v/>
      </c>
    </row>
    <row r="276" spans="1:6" x14ac:dyDescent="0.25">
      <c r="A276" s="787" t="s">
        <v>2362</v>
      </c>
      <c r="B276" s="789">
        <f>IF(RSX!J$41="","",RSX!J$41)</f>
        <v>0</v>
      </c>
      <c r="C276" s="790">
        <f ca="1">IF(ISERROR(VLOOKUP($A$276,INDIRECT("notes_"&amp;LEFT($A$276,3)),4,0)),0,VLOOKUP($A$276,INDIRECT("notes_"&amp;LEFT($A$276,3)),4,0))</f>
        <v>0</v>
      </c>
      <c r="E276" s="787" t="str">
        <f>RSX!M41</f>
        <v/>
      </c>
      <c r="F276" s="787" t="str">
        <f>RSX!O41</f>
        <v/>
      </c>
    </row>
    <row r="277" spans="1:6" x14ac:dyDescent="0.25">
      <c r="A277" s="787" t="s">
        <v>2363</v>
      </c>
      <c r="B277" s="789">
        <f>IF(RSX!J$42="","",RSX!J$42)</f>
        <v>0</v>
      </c>
      <c r="C277" s="790">
        <f ca="1">IF(ISERROR(VLOOKUP($A$277,INDIRECT("notes_"&amp;LEFT($A$277,3)),4,0)),0,VLOOKUP($A$277,INDIRECT("notes_"&amp;LEFT($A$277,3)),4,0))</f>
        <v>0</v>
      </c>
      <c r="E277" s="787" t="str">
        <f>RSX!M42</f>
        <v/>
      </c>
      <c r="F277" s="787" t="str">
        <f>RSX!O42</f>
        <v/>
      </c>
    </row>
    <row r="278" spans="1:6" x14ac:dyDescent="0.25">
      <c r="A278" s="787" t="s">
        <v>2364</v>
      </c>
      <c r="B278" s="789">
        <f>IF(RSX!J$43="","",RSX!J$43)</f>
        <v>0</v>
      </c>
      <c r="C278" s="790">
        <f ca="1">IF(ISERROR(VLOOKUP($A$278,INDIRECT("notes_"&amp;LEFT($A$278,3)),4,0)),0,VLOOKUP($A$278,INDIRECT("notes_"&amp;LEFT($A$278,3)),4,0))</f>
        <v>0</v>
      </c>
      <c r="E278" s="787" t="str">
        <f>RSX!M43</f>
        <v/>
      </c>
      <c r="F278" s="787" t="str">
        <f>RSX!O43</f>
        <v/>
      </c>
    </row>
    <row r="279" spans="1:6" x14ac:dyDescent="0.25">
      <c r="A279" s="787" t="s">
        <v>2365</v>
      </c>
      <c r="B279" s="789">
        <f>IF(RSX!J$44="","",RSX!J$44)</f>
        <v>0</v>
      </c>
      <c r="C279" s="790">
        <f ca="1">IF(ISERROR(VLOOKUP($A$279,INDIRECT("notes_"&amp;LEFT($A$279,3)),4,0)),0,VLOOKUP($A$279,INDIRECT("notes_"&amp;LEFT($A$279,3)),4,0))</f>
        <v>0</v>
      </c>
      <c r="E279" s="787" t="str">
        <f>RSX!M44</f>
        <v/>
      </c>
      <c r="F279" s="787" t="str">
        <f>RSX!O44</f>
        <v/>
      </c>
    </row>
    <row r="280" spans="1:6" x14ac:dyDescent="0.25">
      <c r="A280" s="787" t="s">
        <v>3050</v>
      </c>
      <c r="B280" s="789" t="str">
        <f>IF(ISNUMBER(SEARCH("resolve",'RO1'!A17)),'RO1'!A17,"")</f>
        <v/>
      </c>
      <c r="C280" s="790"/>
    </row>
    <row r="281" spans="1:6" x14ac:dyDescent="0.25">
      <c r="A281" s="787" t="s">
        <v>3051</v>
      </c>
      <c r="B281" s="789" t="str">
        <f>IF('RO1'!D$31="","",'RO1'!D$31)</f>
        <v/>
      </c>
      <c r="C281" s="790">
        <f ca="1">IF(ISERROR(VLOOKUP($A$324,INDIRECT("notes_"&amp;LEFT($A$324,3)),4,0)),0,VLOOKUP($A$324,INDIRECT("notes_"&amp;LEFT($A$324,3)),4,0))</f>
        <v>0</v>
      </c>
    </row>
    <row r="282" spans="1:6" x14ac:dyDescent="0.25">
      <c r="A282" s="787" t="s">
        <v>3052</v>
      </c>
      <c r="B282" s="789" t="str">
        <f>IF('RO1'!D$32="","",'RO1'!D$32)</f>
        <v/>
      </c>
      <c r="C282" s="790">
        <f ca="1">IF(ISERROR(VLOOKUP($A$325,INDIRECT("notes_"&amp;LEFT($A$325,3)),4,0)),0,VLOOKUP($A$325,INDIRECT("notes_"&amp;LEFT($A$325,3)),4,0))</f>
        <v>0</v>
      </c>
    </row>
    <row r="283" spans="1:6" x14ac:dyDescent="0.25">
      <c r="A283" s="787" t="s">
        <v>3053</v>
      </c>
      <c r="B283" s="789" t="str">
        <f>IF('RO1'!D$33="","",'RO1'!D$33)</f>
        <v/>
      </c>
      <c r="C283" s="790">
        <f ca="1">IF(ISERROR(VLOOKUP($A$326,INDIRECT("notes_"&amp;LEFT($A$326,3)),4,0)),0,VLOOKUP($A$326,INDIRECT("notes_"&amp;LEFT($A$326,3)),4,0))</f>
        <v>0</v>
      </c>
    </row>
    <row r="284" spans="1:6" x14ac:dyDescent="0.25">
      <c r="A284" s="787" t="s">
        <v>3054</v>
      </c>
      <c r="B284" s="789" t="str">
        <f>IF('RO1'!D$34="","",'RO1'!D$34)</f>
        <v/>
      </c>
      <c r="C284" s="790">
        <f ca="1">IF(ISERROR(VLOOKUP($A$327,INDIRECT("notes_"&amp;LEFT($A$327,3)),4,0)),0,VLOOKUP($A$327,INDIRECT("notes_"&amp;LEFT($A$327,3)),4,0))</f>
        <v>0</v>
      </c>
    </row>
    <row r="285" spans="1:6" x14ac:dyDescent="0.25">
      <c r="A285" s="787" t="s">
        <v>3055</v>
      </c>
      <c r="B285" s="789" t="str">
        <f>IF('RO1'!D$36="","",'RO1'!D$36)</f>
        <v/>
      </c>
      <c r="C285" s="790">
        <f ca="1">IF(ISERROR(VLOOKUP($A$328,INDIRECT("notes_"&amp;LEFT($A$328,3)),4,0)),0,VLOOKUP($A$328,INDIRECT("notes_"&amp;LEFT($A$328,3)),4,0))</f>
        <v>0</v>
      </c>
    </row>
    <row r="286" spans="1:6" x14ac:dyDescent="0.25">
      <c r="A286" s="787" t="s">
        <v>3056</v>
      </c>
      <c r="B286" s="789" t="str">
        <f>IF('RO1'!D$37="","",'RO1'!D$37)</f>
        <v/>
      </c>
      <c r="C286" s="790">
        <f ca="1">IF(ISERROR(VLOOKUP($A$329,INDIRECT("notes_"&amp;LEFT($A$329,3)),4,0)),0,VLOOKUP($A$329,INDIRECT("notes_"&amp;LEFT($A$329,3)),4,0))</f>
        <v>0</v>
      </c>
    </row>
    <row r="287" spans="1:6" x14ac:dyDescent="0.25">
      <c r="A287" s="787" t="s">
        <v>3057</v>
      </c>
      <c r="B287" s="789">
        <f>IF('RO1'!D$40="","",'RO1'!D$40)</f>
        <v>0</v>
      </c>
      <c r="C287" s="790">
        <f ca="1">IF(ISERROR(VLOOKUP($A$330,INDIRECT("notes_"&amp;LEFT($A$330,3)),4,0)),0,VLOOKUP($A$330,INDIRECT("notes_"&amp;LEFT($A$330,3)),4,0))</f>
        <v>0</v>
      </c>
    </row>
    <row r="288" spans="1:6" x14ac:dyDescent="0.25">
      <c r="A288" s="787" t="s">
        <v>3058</v>
      </c>
      <c r="B288" s="789" t="str">
        <f>IF('RO1'!E$31="","",'RO1'!E$31)</f>
        <v/>
      </c>
      <c r="C288" s="790">
        <f ca="1">IF(ISERROR(VLOOKUP($A$324,INDIRECT("notes_"&amp;LEFT($A$324,3)),4,0)),0,VLOOKUP($A$324,INDIRECT("notes_"&amp;LEFT($A$324,3)),4,0))</f>
        <v>0</v>
      </c>
    </row>
    <row r="289" spans="1:3" x14ac:dyDescent="0.25">
      <c r="A289" s="787" t="s">
        <v>3059</v>
      </c>
      <c r="B289" s="789" t="str">
        <f>IF('RO1'!E$32="","",'RO1'!E$32)</f>
        <v/>
      </c>
      <c r="C289" s="790">
        <f ca="1">IF(ISERROR(VLOOKUP($A$325,INDIRECT("notes_"&amp;LEFT($A$325,3)),4,0)),0,VLOOKUP($A$325,INDIRECT("notes_"&amp;LEFT($A$325,3)),4,0))</f>
        <v>0</v>
      </c>
    </row>
    <row r="290" spans="1:3" x14ac:dyDescent="0.25">
      <c r="A290" s="787" t="s">
        <v>3060</v>
      </c>
      <c r="B290" s="789" t="str">
        <f>IF('RO1'!E$33="","",'RO1'!E$33)</f>
        <v/>
      </c>
      <c r="C290" s="790">
        <f ca="1">IF(ISERROR(VLOOKUP($A$326,INDIRECT("notes_"&amp;LEFT($A$326,3)),4,0)),0,VLOOKUP($A$326,INDIRECT("notes_"&amp;LEFT($A$326,3)),4,0))</f>
        <v>0</v>
      </c>
    </row>
    <row r="291" spans="1:3" x14ac:dyDescent="0.25">
      <c r="A291" s="787" t="s">
        <v>3061</v>
      </c>
      <c r="B291" s="789" t="str">
        <f>IF('RO1'!E$34="","",'RO1'!E$34)</f>
        <v/>
      </c>
      <c r="C291" s="790">
        <f ca="1">IF(ISERROR(VLOOKUP($A$327,INDIRECT("notes_"&amp;LEFT($A$327,3)),4,0)),0,VLOOKUP($A$327,INDIRECT("notes_"&amp;LEFT($A$327,3)),4,0))</f>
        <v>0</v>
      </c>
    </row>
    <row r="292" spans="1:3" x14ac:dyDescent="0.25">
      <c r="A292" s="787" t="s">
        <v>3062</v>
      </c>
      <c r="B292" s="789" t="str">
        <f>IF('RO1'!E$36="","",'RO1'!E$36)</f>
        <v/>
      </c>
      <c r="C292" s="790">
        <f ca="1">IF(ISERROR(VLOOKUP($A$328,INDIRECT("notes_"&amp;LEFT($A$328,3)),4,0)),0,VLOOKUP($A$328,INDIRECT("notes_"&amp;LEFT($A$328,3)),4,0))</f>
        <v>0</v>
      </c>
    </row>
    <row r="293" spans="1:3" x14ac:dyDescent="0.25">
      <c r="A293" s="787" t="s">
        <v>3063</v>
      </c>
      <c r="B293" s="789" t="str">
        <f>IF('RO1'!E$37="","",'RO1'!E$37)</f>
        <v/>
      </c>
      <c r="C293" s="790">
        <f ca="1">IF(ISERROR(VLOOKUP($A$329,INDIRECT("notes_"&amp;LEFT($A$329,3)),4,0)),0,VLOOKUP($A$329,INDIRECT("notes_"&amp;LEFT($A$329,3)),4,0))</f>
        <v>0</v>
      </c>
    </row>
    <row r="294" spans="1:3" x14ac:dyDescent="0.25">
      <c r="A294" s="787" t="s">
        <v>3064</v>
      </c>
      <c r="B294" s="789">
        <f>IF('RO1'!E$40="","",'RO1'!E$40)</f>
        <v>0</v>
      </c>
      <c r="C294" s="790">
        <f ca="1">IF(ISERROR(VLOOKUP($A$330,INDIRECT("notes_"&amp;LEFT($A$330,3)),4,0)),0,VLOOKUP($A$330,INDIRECT("notes_"&amp;LEFT($A$330,3)),4,0))</f>
        <v>0</v>
      </c>
    </row>
    <row r="295" spans="1:3" x14ac:dyDescent="0.25">
      <c r="A295" s="817" t="s">
        <v>2497</v>
      </c>
      <c r="B295" s="818" t="str">
        <f>IF('RO1'!E$44="","",'RO1'!E$44)</f>
        <v/>
      </c>
      <c r="C295" s="819">
        <f ca="1">IF(ISERROR(VLOOKUP($A$295,INDIRECT("notes_"&amp;LEFT($A$295,3)),4,0)),0,VLOOKUP($A$295,INDIRECT("notes_"&amp;LEFT($A$295,3)),4,0))</f>
        <v>0</v>
      </c>
    </row>
    <row r="296" spans="1:3" x14ac:dyDescent="0.25">
      <c r="A296" s="787" t="s">
        <v>3065</v>
      </c>
      <c r="B296" s="789">
        <f>IF('RO1'!F$31="","",'RO1'!F$31)</f>
        <v>0</v>
      </c>
      <c r="C296" s="790">
        <f ca="1">IF(ISERROR(VLOOKUP($A$324,INDIRECT("notes_"&amp;LEFT($A$324,3)),4,0)),0,VLOOKUP($A$324,INDIRECT("notes_"&amp;LEFT($A$324,3)),4,0))</f>
        <v>0</v>
      </c>
    </row>
    <row r="297" spans="1:3" x14ac:dyDescent="0.25">
      <c r="A297" s="787" t="s">
        <v>3066</v>
      </c>
      <c r="B297" s="789">
        <f>IF('RO1'!F$32="","",'RO1'!F$32)</f>
        <v>0</v>
      </c>
      <c r="C297" s="790">
        <f ca="1">IF(ISERROR(VLOOKUP($A$325,INDIRECT("notes_"&amp;LEFT($A$325,3)),4,0)),0,VLOOKUP($A$325,INDIRECT("notes_"&amp;LEFT($A$325,3)),4,0))</f>
        <v>0</v>
      </c>
    </row>
    <row r="298" spans="1:3" x14ac:dyDescent="0.25">
      <c r="A298" s="787" t="s">
        <v>3067</v>
      </c>
      <c r="B298" s="789">
        <f>IF('RO1'!F$33="","",'RO1'!F$33)</f>
        <v>0</v>
      </c>
      <c r="C298" s="790">
        <f ca="1">IF(ISERROR(VLOOKUP($A$326,INDIRECT("notes_"&amp;LEFT($A$326,3)),4,0)),0,VLOOKUP($A$326,INDIRECT("notes_"&amp;LEFT($A$326,3)),4,0))</f>
        <v>0</v>
      </c>
    </row>
    <row r="299" spans="1:3" x14ac:dyDescent="0.25">
      <c r="A299" s="787" t="s">
        <v>3068</v>
      </c>
      <c r="B299" s="789">
        <f>IF('RO1'!F$34="","",'RO1'!F$34)</f>
        <v>0</v>
      </c>
      <c r="C299" s="790">
        <f ca="1">IF(ISERROR(VLOOKUP($A$327,INDIRECT("notes_"&amp;LEFT($A$327,3)),4,0)),0,VLOOKUP($A$327,INDIRECT("notes_"&amp;LEFT($A$327,3)),4,0))</f>
        <v>0</v>
      </c>
    </row>
    <row r="300" spans="1:3" x14ac:dyDescent="0.25">
      <c r="A300" s="787" t="s">
        <v>3069</v>
      </c>
      <c r="B300" s="789">
        <f>IF('RO1'!F$36="","",'RO1'!F$36)</f>
        <v>0</v>
      </c>
      <c r="C300" s="790">
        <f ca="1">IF(ISERROR(VLOOKUP($A$328,INDIRECT("notes_"&amp;LEFT($A$328,3)),4,0)),0,VLOOKUP($A$328,INDIRECT("notes_"&amp;LEFT($A$328,3)),4,0))</f>
        <v>0</v>
      </c>
    </row>
    <row r="301" spans="1:3" x14ac:dyDescent="0.25">
      <c r="A301" s="787" t="s">
        <v>3070</v>
      </c>
      <c r="B301" s="789">
        <f>IF('RO1'!F$37="","",'RO1'!F$37)</f>
        <v>0</v>
      </c>
      <c r="C301" s="790">
        <f ca="1">IF(ISERROR(VLOOKUP($A$329,INDIRECT("notes_"&amp;LEFT($A$329,3)),4,0)),0,VLOOKUP($A$329,INDIRECT("notes_"&amp;LEFT($A$329,3)),4,0))</f>
        <v>0</v>
      </c>
    </row>
    <row r="302" spans="1:3" x14ac:dyDescent="0.25">
      <c r="A302" s="787" t="s">
        <v>3071</v>
      </c>
      <c r="B302" s="789">
        <f>IF('RO1'!F$40="","",'RO1'!F$40)</f>
        <v>0</v>
      </c>
      <c r="C302" s="790">
        <f ca="1">IF(ISERROR(VLOOKUP($A$330,INDIRECT("notes_"&amp;LEFT($A$330,3)),4,0)),0,VLOOKUP($A$330,INDIRECT("notes_"&amp;LEFT($A$330,3)),4,0))</f>
        <v>0</v>
      </c>
    </row>
    <row r="303" spans="1:3" x14ac:dyDescent="0.25">
      <c r="A303" s="787" t="s">
        <v>3072</v>
      </c>
      <c r="B303" s="789" t="str">
        <f>IF('RO1'!G$31="","",'RO1'!G$31)</f>
        <v/>
      </c>
      <c r="C303" s="790">
        <f ca="1">IF(ISERROR(VLOOKUP($A$324,INDIRECT("notes_"&amp;LEFT($A$324,3)),4,0)),0,VLOOKUP($A$324,INDIRECT("notes_"&amp;LEFT($A$324,3)),4,0))</f>
        <v>0</v>
      </c>
    </row>
    <row r="304" spans="1:3" x14ac:dyDescent="0.25">
      <c r="A304" s="787" t="s">
        <v>3073</v>
      </c>
      <c r="B304" s="789" t="str">
        <f>IF('RO1'!G$32="","",'RO1'!G$32)</f>
        <v/>
      </c>
      <c r="C304" s="790">
        <f ca="1">IF(ISERROR(VLOOKUP($A$325,INDIRECT("notes_"&amp;LEFT($A$325,3)),4,0)),0,VLOOKUP($A$325,INDIRECT("notes_"&amp;LEFT($A$325,3)),4,0))</f>
        <v>0</v>
      </c>
    </row>
    <row r="305" spans="1:3" x14ac:dyDescent="0.25">
      <c r="A305" s="787" t="s">
        <v>3074</v>
      </c>
      <c r="B305" s="789" t="str">
        <f>IF('RO1'!G$33="","",'RO1'!G$33)</f>
        <v/>
      </c>
      <c r="C305" s="790">
        <f ca="1">IF(ISERROR(VLOOKUP($A$326,INDIRECT("notes_"&amp;LEFT($A$326,3)),4,0)),0,VLOOKUP($A$326,INDIRECT("notes_"&amp;LEFT($A$326,3)),4,0))</f>
        <v>0</v>
      </c>
    </row>
    <row r="306" spans="1:3" x14ac:dyDescent="0.25">
      <c r="A306" s="787" t="s">
        <v>3075</v>
      </c>
      <c r="B306" s="789" t="str">
        <f>IF('RO1'!G$34="","",'RO1'!G$34)</f>
        <v/>
      </c>
      <c r="C306" s="790">
        <f ca="1">IF(ISERROR(VLOOKUP($A$327,INDIRECT("notes_"&amp;LEFT($A$327,3)),4,0)),0,VLOOKUP($A$327,INDIRECT("notes_"&amp;LEFT($A$327,3)),4,0))</f>
        <v>0</v>
      </c>
    </row>
    <row r="307" spans="1:3" x14ac:dyDescent="0.25">
      <c r="A307" s="787" t="s">
        <v>3076</v>
      </c>
      <c r="B307" s="789" t="str">
        <f>IF('RO1'!G$36="","",'RO1'!G$36)</f>
        <v/>
      </c>
      <c r="C307" s="790">
        <f ca="1">IF(ISERROR(VLOOKUP($A$328,INDIRECT("notes_"&amp;LEFT($A$328,3)),4,0)),0,VLOOKUP($A$328,INDIRECT("notes_"&amp;LEFT($A$328,3)),4,0))</f>
        <v>0</v>
      </c>
    </row>
    <row r="308" spans="1:3" x14ac:dyDescent="0.25">
      <c r="A308" s="787" t="s">
        <v>3077</v>
      </c>
      <c r="B308" s="789" t="str">
        <f>IF('RO1'!G$37="","",'RO1'!G$37)</f>
        <v/>
      </c>
      <c r="C308" s="790">
        <f ca="1">IF(ISERROR(VLOOKUP($A$329,INDIRECT("notes_"&amp;LEFT($A$329,3)),4,0)),0,VLOOKUP($A$329,INDIRECT("notes_"&amp;LEFT($A$329,3)),4,0))</f>
        <v>0</v>
      </c>
    </row>
    <row r="309" spans="1:3" x14ac:dyDescent="0.25">
      <c r="A309" s="787" t="s">
        <v>3078</v>
      </c>
      <c r="B309" s="789">
        <f>IF('RO1'!G$40="","",'RO1'!G$40)</f>
        <v>0</v>
      </c>
      <c r="C309" s="790">
        <f ca="1">IF(ISERROR(VLOOKUP($A$330,INDIRECT("notes_"&amp;LEFT($A$330,3)),4,0)),0,VLOOKUP($A$330,INDIRECT("notes_"&amp;LEFT($A$330,3)),4,0))</f>
        <v>0</v>
      </c>
    </row>
    <row r="310" spans="1:3" x14ac:dyDescent="0.25">
      <c r="A310" s="787" t="s">
        <v>3079</v>
      </c>
      <c r="B310" s="789" t="str">
        <f>IF('RO1'!H$31="","",'RO1'!H$31)</f>
        <v/>
      </c>
      <c r="C310" s="790">
        <f ca="1">IF(ISERROR(VLOOKUP($A$324,INDIRECT("notes_"&amp;LEFT($A$324,3)),4,0)),0,VLOOKUP($A$324,INDIRECT("notes_"&amp;LEFT($A$324,3)),4,0))</f>
        <v>0</v>
      </c>
    </row>
    <row r="311" spans="1:3" x14ac:dyDescent="0.25">
      <c r="A311" s="787" t="s">
        <v>3080</v>
      </c>
      <c r="B311" s="789" t="str">
        <f>IF('RO1'!H$32="","",'RO1'!H$32)</f>
        <v/>
      </c>
      <c r="C311" s="790">
        <f ca="1">IF(ISERROR(VLOOKUP($A$325,INDIRECT("notes_"&amp;LEFT($A$325,3)),4,0)),0,VLOOKUP($A$325,INDIRECT("notes_"&amp;LEFT($A$325,3)),4,0))</f>
        <v>0</v>
      </c>
    </row>
    <row r="312" spans="1:3" x14ac:dyDescent="0.25">
      <c r="A312" s="787" t="s">
        <v>3081</v>
      </c>
      <c r="B312" s="789" t="str">
        <f>IF('RO1'!H$33="","",'RO1'!H$33)</f>
        <v/>
      </c>
      <c r="C312" s="790">
        <f ca="1">IF(ISERROR(VLOOKUP($A$326,INDIRECT("notes_"&amp;LEFT($A$326,3)),4,0)),0,VLOOKUP($A$326,INDIRECT("notes_"&amp;LEFT($A$326,3)),4,0))</f>
        <v>0</v>
      </c>
    </row>
    <row r="313" spans="1:3" x14ac:dyDescent="0.25">
      <c r="A313" s="787" t="s">
        <v>3082</v>
      </c>
      <c r="B313" s="789" t="str">
        <f>IF('RO1'!H$34="","",'RO1'!H$34)</f>
        <v/>
      </c>
      <c r="C313" s="790">
        <f ca="1">IF(ISERROR(VLOOKUP($A$327,INDIRECT("notes_"&amp;LEFT($A$327,3)),4,0)),0,VLOOKUP($A$327,INDIRECT("notes_"&amp;LEFT($A$327,3)),4,0))</f>
        <v>0</v>
      </c>
    </row>
    <row r="314" spans="1:3" x14ac:dyDescent="0.25">
      <c r="A314" s="787" t="s">
        <v>3083</v>
      </c>
      <c r="B314" s="789" t="str">
        <f>IF('RO1'!H$36="","",'RO1'!H$36)</f>
        <v/>
      </c>
      <c r="C314" s="790">
        <f ca="1">IF(ISERROR(VLOOKUP($A$328,INDIRECT("notes_"&amp;LEFT($A$328,3)),4,0)),0,VLOOKUP($A$328,INDIRECT("notes_"&amp;LEFT($A$328,3)),4,0))</f>
        <v>0</v>
      </c>
    </row>
    <row r="315" spans="1:3" x14ac:dyDescent="0.25">
      <c r="A315" s="787" t="s">
        <v>3084</v>
      </c>
      <c r="B315" s="789" t="str">
        <f>IF('RO1'!H$37="","",'RO1'!H$37)</f>
        <v/>
      </c>
      <c r="C315" s="790">
        <f ca="1">IF(ISERROR(VLOOKUP($A$329,INDIRECT("notes_"&amp;LEFT($A$329,3)),4,0)),0,VLOOKUP($A$329,INDIRECT("notes_"&amp;LEFT($A$329,3)),4,0))</f>
        <v>0</v>
      </c>
    </row>
    <row r="316" spans="1:3" x14ac:dyDescent="0.25">
      <c r="A316" s="787" t="s">
        <v>3085</v>
      </c>
      <c r="B316" s="789">
        <f>IF('RO1'!H$40="","",'RO1'!H$40)</f>
        <v>0</v>
      </c>
      <c r="C316" s="790">
        <f ca="1">IF(ISERROR(VLOOKUP($A$330,INDIRECT("notes_"&amp;LEFT($A$330,3)),4,0)),0,VLOOKUP($A$330,INDIRECT("notes_"&amp;LEFT($A$330,3)),4,0))</f>
        <v>0</v>
      </c>
    </row>
    <row r="317" spans="1:3" x14ac:dyDescent="0.25">
      <c r="A317" s="787" t="s">
        <v>3086</v>
      </c>
      <c r="B317" s="789">
        <f>IF('RO1'!I$31="","",'RO1'!I$31)</f>
        <v>0</v>
      </c>
      <c r="C317" s="790">
        <f ca="1">IF(ISERROR(VLOOKUP($A$324,INDIRECT("notes_"&amp;LEFT($A$324,3)),4,0)),0,VLOOKUP($A$324,INDIRECT("notes_"&amp;LEFT($A$324,3)),4,0))</f>
        <v>0</v>
      </c>
    </row>
    <row r="318" spans="1:3" x14ac:dyDescent="0.25">
      <c r="A318" s="787" t="s">
        <v>3087</v>
      </c>
      <c r="B318" s="789">
        <f>IF('RO1'!I$32="","",'RO1'!I$32)</f>
        <v>0</v>
      </c>
      <c r="C318" s="790">
        <f ca="1">IF(ISERROR(VLOOKUP($A$325,INDIRECT("notes_"&amp;LEFT($A$325,3)),4,0)),0,VLOOKUP($A$325,INDIRECT("notes_"&amp;LEFT($A$325,3)),4,0))</f>
        <v>0</v>
      </c>
    </row>
    <row r="319" spans="1:3" x14ac:dyDescent="0.25">
      <c r="A319" s="787" t="s">
        <v>3088</v>
      </c>
      <c r="B319" s="789">
        <f>IF('RO1'!I$33="","",'RO1'!I$33)</f>
        <v>0</v>
      </c>
      <c r="C319" s="790">
        <f ca="1">IF(ISERROR(VLOOKUP($A$326,INDIRECT("notes_"&amp;LEFT($A$326,3)),4,0)),0,VLOOKUP($A$326,INDIRECT("notes_"&amp;LEFT($A$326,3)),4,0))</f>
        <v>0</v>
      </c>
    </row>
    <row r="320" spans="1:3" x14ac:dyDescent="0.25">
      <c r="A320" s="787" t="s">
        <v>3089</v>
      </c>
      <c r="B320" s="789">
        <f>IF('RO1'!I$34="","",'RO1'!I$34)</f>
        <v>0</v>
      </c>
      <c r="C320" s="790">
        <f ca="1">IF(ISERROR(VLOOKUP($A$327,INDIRECT("notes_"&amp;LEFT($A$327,3)),4,0)),0,VLOOKUP($A$327,INDIRECT("notes_"&amp;LEFT($A$327,3)),4,0))</f>
        <v>0</v>
      </c>
    </row>
    <row r="321" spans="1:6" x14ac:dyDescent="0.25">
      <c r="A321" s="787" t="s">
        <v>3090</v>
      </c>
      <c r="B321" s="789">
        <f>IF('RO1'!I$36="","",'RO1'!I$36)</f>
        <v>0</v>
      </c>
      <c r="C321" s="790">
        <f ca="1">IF(ISERROR(VLOOKUP($A$328,INDIRECT("notes_"&amp;LEFT($A$328,3)),4,0)),0,VLOOKUP($A$328,INDIRECT("notes_"&amp;LEFT($A$328,3)),4,0))</f>
        <v>0</v>
      </c>
    </row>
    <row r="322" spans="1:6" x14ac:dyDescent="0.25">
      <c r="A322" s="787" t="s">
        <v>3091</v>
      </c>
      <c r="B322" s="789">
        <f>IF('RO1'!I$37="","",'RO1'!I$37)</f>
        <v>0</v>
      </c>
      <c r="C322" s="790">
        <f ca="1">IF(ISERROR(VLOOKUP($A$329,INDIRECT("notes_"&amp;LEFT($A$329,3)),4,0)),0,VLOOKUP($A$329,INDIRECT("notes_"&amp;LEFT($A$329,3)),4,0))</f>
        <v>0</v>
      </c>
    </row>
    <row r="323" spans="1:6" x14ac:dyDescent="0.25">
      <c r="A323" s="787" t="s">
        <v>3092</v>
      </c>
      <c r="B323" s="789">
        <f>IF('RO1'!I$40="","",'RO1'!I$40)</f>
        <v>0</v>
      </c>
      <c r="C323" s="790">
        <f ca="1">IF(ISERROR(VLOOKUP($A$330,INDIRECT("notes_"&amp;LEFT($A$330,3)),4,0)),0,VLOOKUP($A$330,INDIRECT("notes_"&amp;LEFT($A$330,3)),4,0))</f>
        <v>0</v>
      </c>
    </row>
    <row r="324" spans="1:6" x14ac:dyDescent="0.25">
      <c r="A324" s="787" t="s">
        <v>2489</v>
      </c>
      <c r="B324" s="789">
        <f>IF('RO1'!J$31="","",'RO1'!J$31)</f>
        <v>0</v>
      </c>
      <c r="C324" s="790">
        <f ca="1">IF(ISERROR(VLOOKUP($A$324,INDIRECT("notes_"&amp;LEFT($A$324,3)),4,0)),0,VLOOKUP($A$324,INDIRECT("notes_"&amp;LEFT($A$324,3)),4,0))</f>
        <v>0</v>
      </c>
      <c r="D324" s="789" t="str">
        <f>'RO1'!L31</f>
        <v/>
      </c>
      <c r="E324" s="789" t="str">
        <f>'RO1'!M31</f>
        <v/>
      </c>
      <c r="F324" s="789" t="str">
        <f>'RO1'!O31</f>
        <v/>
      </c>
    </row>
    <row r="325" spans="1:6" x14ac:dyDescent="0.25">
      <c r="A325" s="787" t="s">
        <v>2491</v>
      </c>
      <c r="B325" s="789">
        <f>IF('RO1'!J$32="","",'RO1'!J$32)</f>
        <v>0</v>
      </c>
      <c r="C325" s="790">
        <f ca="1">IF(ISERROR(VLOOKUP($A$325,INDIRECT("notes_"&amp;LEFT($A$325,3)),4,0)),0,VLOOKUP($A$325,INDIRECT("notes_"&amp;LEFT($A$325,3)),4,0))</f>
        <v>0</v>
      </c>
      <c r="D325" s="789" t="str">
        <f>'RO1'!L32</f>
        <v/>
      </c>
      <c r="E325" s="789" t="str">
        <f>'RO1'!M32</f>
        <v/>
      </c>
      <c r="F325" s="789" t="str">
        <f>'RO1'!O32</f>
        <v/>
      </c>
    </row>
    <row r="326" spans="1:6" x14ac:dyDescent="0.25">
      <c r="A326" s="787" t="s">
        <v>2492</v>
      </c>
      <c r="B326" s="789">
        <f>IF('RO1'!J$33="","",'RO1'!J$33)</f>
        <v>0</v>
      </c>
      <c r="C326" s="790">
        <f ca="1">IF(ISERROR(VLOOKUP($A$326,INDIRECT("notes_"&amp;LEFT($A$326,3)),4,0)),0,VLOOKUP($A$326,INDIRECT("notes_"&amp;LEFT($A$326,3)),4,0))</f>
        <v>0</v>
      </c>
      <c r="D326" s="789" t="str">
        <f>'RO1'!L33</f>
        <v/>
      </c>
      <c r="E326" s="789" t="str">
        <f>'RO1'!M33</f>
        <v/>
      </c>
      <c r="F326" s="789" t="str">
        <f>'RO1'!O33</f>
        <v/>
      </c>
    </row>
    <row r="327" spans="1:6" x14ac:dyDescent="0.25">
      <c r="A327" s="787" t="s">
        <v>2493</v>
      </c>
      <c r="B327" s="789">
        <f>IF('RO1'!J$34="","",'RO1'!J$34)</f>
        <v>0</v>
      </c>
      <c r="C327" s="790">
        <f ca="1">IF(ISERROR(VLOOKUP($A$327,INDIRECT("notes_"&amp;LEFT($A$327,3)),4,0)),0,VLOOKUP($A$327,INDIRECT("notes_"&amp;LEFT($A$327,3)),4,0))</f>
        <v>0</v>
      </c>
      <c r="D327" s="789" t="str">
        <f>'RO1'!L34</f>
        <v/>
      </c>
      <c r="E327" s="789" t="str">
        <f>'RO1'!M34</f>
        <v/>
      </c>
      <c r="F327" s="789" t="str">
        <f>'RO1'!O34</f>
        <v/>
      </c>
    </row>
    <row r="328" spans="1:6" x14ac:dyDescent="0.25">
      <c r="A328" s="787" t="s">
        <v>2494</v>
      </c>
      <c r="B328" s="789">
        <f>IF('RO1'!J$36="","",'RO1'!J$36)</f>
        <v>0</v>
      </c>
      <c r="C328" s="790">
        <f ca="1">IF(ISERROR(VLOOKUP($A$328,INDIRECT("notes_"&amp;LEFT($A$328,3)),4,0)),0,VLOOKUP($A$328,INDIRECT("notes_"&amp;LEFT($A$328,3)),4,0))</f>
        <v>0</v>
      </c>
      <c r="D328" s="789" t="str">
        <f>'RO1'!L36</f>
        <v/>
      </c>
      <c r="E328" s="789" t="str">
        <f>'RO1'!M36</f>
        <v/>
      </c>
      <c r="F328" s="789" t="str">
        <f>'RO1'!O36</f>
        <v/>
      </c>
    </row>
    <row r="329" spans="1:6" x14ac:dyDescent="0.25">
      <c r="A329" s="787" t="s">
        <v>2495</v>
      </c>
      <c r="B329" s="789">
        <f>IF('RO1'!J$37="","",'RO1'!J$37)</f>
        <v>0</v>
      </c>
      <c r="C329" s="790">
        <f ca="1">IF(ISERROR(VLOOKUP($A$329,INDIRECT("notes_"&amp;LEFT($A$329,3)),4,0)),0,VLOOKUP($A$329,INDIRECT("notes_"&amp;LEFT($A$329,3)),4,0))</f>
        <v>0</v>
      </c>
      <c r="D329" s="789" t="str">
        <f>'RO1'!L37</f>
        <v/>
      </c>
      <c r="E329" s="789" t="str">
        <f>'RO1'!M37</f>
        <v/>
      </c>
      <c r="F329" s="789" t="str">
        <f>'RO1'!O37</f>
        <v/>
      </c>
    </row>
    <row r="330" spans="1:6" x14ac:dyDescent="0.25">
      <c r="A330" s="787" t="s">
        <v>2496</v>
      </c>
      <c r="B330" s="789">
        <f>IF('RO1'!J$40="","",'RO1'!J$40)</f>
        <v>0</v>
      </c>
      <c r="C330" s="790">
        <f ca="1">IF(ISERROR(VLOOKUP($A$330,INDIRECT("notes_"&amp;LEFT($A$330,3)),4,0)),0,VLOOKUP($A$330,INDIRECT("notes_"&amp;LEFT($A$330,3)),4,0))</f>
        <v>0</v>
      </c>
      <c r="D330" s="789" t="str">
        <f>'RO1'!L40</f>
        <v/>
      </c>
      <c r="E330" s="789" t="str">
        <f>'RO1'!M40</f>
        <v/>
      </c>
      <c r="F330" s="789" t="str">
        <f>'RO1'!O40</f>
        <v/>
      </c>
    </row>
    <row r="331" spans="1:6" x14ac:dyDescent="0.25">
      <c r="A331" s="787" t="s">
        <v>3093</v>
      </c>
      <c r="B331" s="789" t="str">
        <f>IF(ISNUMBER(SEARCH("resolve",RG!A17)),RG!A17,"")</f>
        <v/>
      </c>
      <c r="C331" s="790"/>
      <c r="D331" s="789"/>
      <c r="E331" s="789"/>
      <c r="F331" s="789"/>
    </row>
    <row r="332" spans="1:6" x14ac:dyDescent="0.25">
      <c r="A332" s="787" t="s">
        <v>2366</v>
      </c>
      <c r="B332" s="789">
        <f>IF(RG!G28="","",RG!G28)</f>
        <v>0</v>
      </c>
      <c r="C332" s="790">
        <f t="shared" ref="C332:C363" ca="1" si="4">IF(ISERROR(VLOOKUP(A332,INDIRECT("notes_"&amp;LEFT(A332,2)),4,0)),0,VLOOKUP(A332,INDIRECT("notes_"&amp;LEFT(A332,2)),4,0))</f>
        <v>0</v>
      </c>
      <c r="D332" s="789"/>
      <c r="E332" s="789" t="e">
        <f>RG!I28</f>
        <v>#N/A</v>
      </c>
      <c r="F332" s="789" t="e">
        <f>RG!J28</f>
        <v>#N/A</v>
      </c>
    </row>
    <row r="333" spans="1:6" x14ac:dyDescent="0.25">
      <c r="A333" s="787" t="s">
        <v>2368</v>
      </c>
      <c r="B333" s="789" t="str">
        <f>IF(RG!G29="","",RG!G29)</f>
        <v/>
      </c>
      <c r="C333" s="790">
        <f t="shared" ca="1" si="4"/>
        <v>0</v>
      </c>
      <c r="E333" s="817">
        <f>RG!I29</f>
        <v>0</v>
      </c>
      <c r="F333" s="817">
        <f>RG!J29</f>
        <v>0</v>
      </c>
    </row>
    <row r="334" spans="1:6" x14ac:dyDescent="0.25">
      <c r="A334" s="787" t="s">
        <v>2369</v>
      </c>
      <c r="B334" s="789" t="str">
        <f>IF(RG!G30="","",RG!G30)</f>
        <v/>
      </c>
      <c r="C334" s="790">
        <f t="shared" ca="1" si="4"/>
        <v>0</v>
      </c>
    </row>
    <row r="335" spans="1:6" x14ac:dyDescent="0.25">
      <c r="A335" s="787" t="s">
        <v>2370</v>
      </c>
      <c r="B335" s="789">
        <f>IF(RG!G32="","",RG!G32)</f>
        <v>0</v>
      </c>
      <c r="C335" s="790">
        <f t="shared" ca="1" si="4"/>
        <v>0</v>
      </c>
      <c r="D335" s="789"/>
      <c r="E335" s="789" t="e">
        <f>RG!I32</f>
        <v>#N/A</v>
      </c>
      <c r="F335" s="789" t="e">
        <f>RG!J32</f>
        <v>#N/A</v>
      </c>
    </row>
    <row r="336" spans="1:6" x14ac:dyDescent="0.25">
      <c r="A336" s="787" t="s">
        <v>2371</v>
      </c>
      <c r="B336" s="789">
        <f>IF(RG!G33="","",RG!G33)</f>
        <v>0</v>
      </c>
      <c r="C336" s="790">
        <f t="shared" ca="1" si="4"/>
        <v>0</v>
      </c>
      <c r="D336" s="789"/>
      <c r="E336" s="789" t="e">
        <f>RG!I33</f>
        <v>#N/A</v>
      </c>
      <c r="F336" s="789" t="e">
        <f>RG!J33</f>
        <v>#N/A</v>
      </c>
    </row>
    <row r="337" spans="1:6" x14ac:dyDescent="0.25">
      <c r="A337" s="787" t="s">
        <v>2372</v>
      </c>
      <c r="B337" s="789">
        <f>IF(RG!G34="","",RG!G34)</f>
        <v>0</v>
      </c>
      <c r="C337" s="790">
        <f t="shared" ca="1" si="4"/>
        <v>0</v>
      </c>
      <c r="D337" s="789"/>
      <c r="E337" s="789" t="e">
        <f>RG!I34</f>
        <v>#N/A</v>
      </c>
      <c r="F337" s="789" t="e">
        <f>RG!J34</f>
        <v>#N/A</v>
      </c>
    </row>
    <row r="338" spans="1:6" x14ac:dyDescent="0.25">
      <c r="A338" s="787" t="s">
        <v>2373</v>
      </c>
      <c r="B338" s="789">
        <f>IF(RG!G35="","",RG!G35)</f>
        <v>0</v>
      </c>
      <c r="C338" s="790">
        <f t="shared" ca="1" si="4"/>
        <v>0</v>
      </c>
      <c r="E338" s="789" t="e">
        <f>RG!I35</f>
        <v>#N/A</v>
      </c>
      <c r="F338" s="789" t="e">
        <f>RG!J35</f>
        <v>#N/A</v>
      </c>
    </row>
    <row r="339" spans="1:6" x14ac:dyDescent="0.25">
      <c r="A339" s="787" t="s">
        <v>2374</v>
      </c>
      <c r="B339" s="789">
        <f>IF(RG!G36="","",RG!G36)</f>
        <v>0</v>
      </c>
      <c r="C339" s="790">
        <f t="shared" ca="1" si="4"/>
        <v>0</v>
      </c>
      <c r="E339" s="789" t="e">
        <f>RG!I36</f>
        <v>#N/A</v>
      </c>
      <c r="F339" s="789" t="e">
        <f>RG!J36</f>
        <v>#N/A</v>
      </c>
    </row>
    <row r="340" spans="1:6" x14ac:dyDescent="0.25">
      <c r="A340" s="787" t="s">
        <v>2375</v>
      </c>
      <c r="B340" s="789">
        <f>IF(RG!G37="","",RG!G37)</f>
        <v>0</v>
      </c>
      <c r="C340" s="790">
        <f t="shared" ca="1" si="4"/>
        <v>0</v>
      </c>
      <c r="E340" s="789" t="e">
        <f>RG!I37</f>
        <v>#N/A</v>
      </c>
      <c r="F340" s="789" t="e">
        <f>RG!J37</f>
        <v>#N/A</v>
      </c>
    </row>
    <row r="341" spans="1:6" x14ac:dyDescent="0.25">
      <c r="A341" s="817" t="s">
        <v>2376</v>
      </c>
      <c r="B341" s="818">
        <f>IF(RG!G38="","",RG!G38)</f>
        <v>0</v>
      </c>
      <c r="C341" s="819">
        <f t="shared" ca="1" si="4"/>
        <v>0</v>
      </c>
      <c r="E341" s="818" t="e">
        <f>RG!I38</f>
        <v>#N/A</v>
      </c>
      <c r="F341" s="818" t="e">
        <f>RG!J38</f>
        <v>#N/A</v>
      </c>
    </row>
    <row r="342" spans="1:6" x14ac:dyDescent="0.25">
      <c r="A342" s="817" t="s">
        <v>2377</v>
      </c>
      <c r="B342" s="818">
        <f>IF(RG!G39="","",RG!G39)</f>
        <v>0</v>
      </c>
      <c r="C342" s="819">
        <f t="shared" ca="1" si="4"/>
        <v>0</v>
      </c>
      <c r="E342" s="818" t="e">
        <f>RG!I39</f>
        <v>#N/A</v>
      </c>
      <c r="F342" s="818" t="e">
        <f>RG!J39</f>
        <v>#N/A</v>
      </c>
    </row>
    <row r="343" spans="1:6" x14ac:dyDescent="0.25">
      <c r="A343" s="787" t="s">
        <v>2378</v>
      </c>
      <c r="B343" s="789">
        <f>IF(RG!G40="","",RG!G40)</f>
        <v>0</v>
      </c>
      <c r="C343" s="790">
        <f t="shared" ca="1" si="4"/>
        <v>0</v>
      </c>
      <c r="E343" s="789" t="e">
        <f>RG!I40</f>
        <v>#N/A</v>
      </c>
      <c r="F343" s="789" t="e">
        <f>RG!J40</f>
        <v>#N/A</v>
      </c>
    </row>
    <row r="344" spans="1:6" x14ac:dyDescent="0.25">
      <c r="A344" s="787" t="s">
        <v>2379</v>
      </c>
      <c r="B344" s="789">
        <f>IF(RG!G42="","",RG!G42)</f>
        <v>0</v>
      </c>
      <c r="C344" s="790">
        <f t="shared" ca="1" si="4"/>
        <v>0</v>
      </c>
      <c r="E344" s="789" t="e">
        <f>RG!I42</f>
        <v>#N/A</v>
      </c>
      <c r="F344" s="789" t="e">
        <f>RG!J42</f>
        <v>#N/A</v>
      </c>
    </row>
    <row r="345" spans="1:6" x14ac:dyDescent="0.25">
      <c r="A345" s="787" t="s">
        <v>2380</v>
      </c>
      <c r="B345" s="789">
        <f>IF(RG!G43="","",RG!G43)</f>
        <v>0</v>
      </c>
      <c r="C345" s="790">
        <f t="shared" ca="1" si="4"/>
        <v>0</v>
      </c>
      <c r="E345" s="789" t="e">
        <f>RG!I43</f>
        <v>#N/A</v>
      </c>
      <c r="F345" s="789" t="e">
        <f>RG!J43</f>
        <v>#N/A</v>
      </c>
    </row>
    <row r="346" spans="1:6" x14ac:dyDescent="0.25">
      <c r="A346" s="787" t="s">
        <v>2381</v>
      </c>
      <c r="B346" s="789">
        <f>IF(RG!G44="","",RG!G44)</f>
        <v>0</v>
      </c>
      <c r="C346" s="790">
        <f t="shared" ca="1" si="4"/>
        <v>0</v>
      </c>
      <c r="E346" s="789" t="e">
        <f>RG!I44</f>
        <v>#N/A</v>
      </c>
      <c r="F346" s="789" t="e">
        <f>RG!J44</f>
        <v>#N/A</v>
      </c>
    </row>
    <row r="347" spans="1:6" x14ac:dyDescent="0.25">
      <c r="A347" s="787" t="s">
        <v>2382</v>
      </c>
      <c r="B347" s="789" t="str">
        <f>IF(RG!G45="","",RG!G45)</f>
        <v/>
      </c>
      <c r="C347" s="790">
        <f t="shared" ca="1" si="4"/>
        <v>0</v>
      </c>
    </row>
    <row r="348" spans="1:6" x14ac:dyDescent="0.25">
      <c r="A348" s="817" t="s">
        <v>2383</v>
      </c>
      <c r="B348" s="818" t="str">
        <f>IF(RG!G46="","",RG!G46)</f>
        <v/>
      </c>
      <c r="C348" s="819">
        <f t="shared" ca="1" si="4"/>
        <v>0</v>
      </c>
    </row>
    <row r="349" spans="1:6" x14ac:dyDescent="0.25">
      <c r="A349" s="787" t="s">
        <v>2384</v>
      </c>
      <c r="B349" s="789">
        <f>IF(RG!G66="","",RG!G66)</f>
        <v>0</v>
      </c>
      <c r="C349" s="790">
        <f t="shared" ca="1" si="4"/>
        <v>0</v>
      </c>
    </row>
    <row r="350" spans="1:6" x14ac:dyDescent="0.25">
      <c r="A350" s="787" t="s">
        <v>2385</v>
      </c>
      <c r="B350" s="789">
        <f>IF(RG!G67="","",RG!G67)</f>
        <v>0</v>
      </c>
      <c r="C350" s="790">
        <f t="shared" ca="1" si="4"/>
        <v>0</v>
      </c>
    </row>
    <row r="351" spans="1:6" x14ac:dyDescent="0.25">
      <c r="A351" s="787" t="s">
        <v>2386</v>
      </c>
      <c r="B351" s="789" t="str">
        <f>IF(RG!G71="","",RG!G71)</f>
        <v/>
      </c>
      <c r="C351" s="790">
        <f t="shared" ca="1" si="4"/>
        <v>0</v>
      </c>
    </row>
    <row r="352" spans="1:6" x14ac:dyDescent="0.25">
      <c r="A352" s="787" t="s">
        <v>2387</v>
      </c>
      <c r="B352" s="789" t="str">
        <f>IF(RG!G72="","",RG!G72)</f>
        <v/>
      </c>
      <c r="C352" s="790">
        <f t="shared" ca="1" si="4"/>
        <v>0</v>
      </c>
    </row>
    <row r="353" spans="1:6" x14ac:dyDescent="0.25">
      <c r="A353" s="787" t="s">
        <v>2388</v>
      </c>
      <c r="B353" s="789" t="str">
        <f>IF(RG!G73="","",RG!G73)</f>
        <v/>
      </c>
      <c r="C353" s="790">
        <f t="shared" ca="1" si="4"/>
        <v>0</v>
      </c>
      <c r="D353" s="789"/>
      <c r="E353" s="789" t="str">
        <f>RG!I73</f>
        <v/>
      </c>
      <c r="F353" s="789" t="str">
        <f>RG!J73</f>
        <v/>
      </c>
    </row>
    <row r="354" spans="1:6" x14ac:dyDescent="0.25">
      <c r="A354" s="787" t="s">
        <v>2389</v>
      </c>
      <c r="B354" s="789" t="str">
        <f>IF(RG!G74="","",RG!G74)</f>
        <v/>
      </c>
      <c r="C354" s="790">
        <f t="shared" ca="1" si="4"/>
        <v>0</v>
      </c>
      <c r="D354" s="789"/>
      <c r="E354" s="789" t="str">
        <f>RG!I74</f>
        <v/>
      </c>
      <c r="F354" s="789" t="str">
        <f>RG!J74</f>
        <v/>
      </c>
    </row>
    <row r="355" spans="1:6" x14ac:dyDescent="0.25">
      <c r="A355" s="787" t="s">
        <v>2390</v>
      </c>
      <c r="B355" s="789" t="str">
        <f>IF(RG!G75="","",RG!G75)</f>
        <v/>
      </c>
      <c r="C355" s="790">
        <f t="shared" ca="1" si="4"/>
        <v>0</v>
      </c>
      <c r="D355" s="789"/>
      <c r="E355" s="789" t="str">
        <f>RG!I75</f>
        <v/>
      </c>
      <c r="F355" s="789" t="str">
        <f>RG!J75</f>
        <v/>
      </c>
    </row>
    <row r="356" spans="1:6" x14ac:dyDescent="0.25">
      <c r="A356" s="787" t="s">
        <v>2391</v>
      </c>
      <c r="B356" s="789">
        <f>IF(RG!G76="","",RG!G76)</f>
        <v>0</v>
      </c>
      <c r="C356" s="790">
        <f t="shared" ca="1" si="4"/>
        <v>0</v>
      </c>
    </row>
    <row r="357" spans="1:6" x14ac:dyDescent="0.25">
      <c r="A357" s="787" t="s">
        <v>2392</v>
      </c>
      <c r="B357" s="789">
        <f>IF(RG!G77="","",RG!G77)</f>
        <v>0</v>
      </c>
      <c r="C357" s="790">
        <f t="shared" ca="1" si="4"/>
        <v>0</v>
      </c>
    </row>
    <row r="358" spans="1:6" x14ac:dyDescent="0.25">
      <c r="A358" s="787" t="s">
        <v>2393</v>
      </c>
      <c r="B358" s="789">
        <f>IF(RG!G78="","",RG!G78)</f>
        <v>0</v>
      </c>
      <c r="C358" s="790">
        <f t="shared" ca="1" si="4"/>
        <v>0</v>
      </c>
    </row>
    <row r="359" spans="1:6" x14ac:dyDescent="0.25">
      <c r="A359" s="787" t="s">
        <v>2394</v>
      </c>
      <c r="B359" s="789" t="str">
        <f>IF(RG!G85="","",RG!G85)</f>
        <v/>
      </c>
      <c r="C359" s="790">
        <f t="shared" ca="1" si="4"/>
        <v>0</v>
      </c>
    </row>
    <row r="360" spans="1:6" x14ac:dyDescent="0.25">
      <c r="A360" s="787" t="s">
        <v>2395</v>
      </c>
      <c r="B360" s="789" t="str">
        <f>IF(RG!G86="","",RG!G86)</f>
        <v/>
      </c>
      <c r="C360" s="790">
        <f t="shared" ca="1" si="4"/>
        <v>0</v>
      </c>
    </row>
    <row r="361" spans="1:6" x14ac:dyDescent="0.25">
      <c r="A361" s="787" t="s">
        <v>2396</v>
      </c>
      <c r="B361" s="789" t="str">
        <f>IF(RG!G87="","",RG!G87)</f>
        <v/>
      </c>
      <c r="C361" s="790">
        <f t="shared" ca="1" si="4"/>
        <v>0</v>
      </c>
    </row>
    <row r="362" spans="1:6" x14ac:dyDescent="0.25">
      <c r="A362" s="787" t="s">
        <v>2397</v>
      </c>
      <c r="B362" s="789" t="str">
        <f>IF(RG!G88="","",RG!G88)</f>
        <v/>
      </c>
      <c r="C362" s="790">
        <f t="shared" ca="1" si="4"/>
        <v>0</v>
      </c>
    </row>
    <row r="363" spans="1:6" x14ac:dyDescent="0.25">
      <c r="A363" s="787" t="s">
        <v>2398</v>
      </c>
      <c r="B363" s="789" t="str">
        <f>IF(RG!G89="","",RG!G89)</f>
        <v/>
      </c>
      <c r="C363" s="790">
        <f t="shared" ca="1" si="4"/>
        <v>0</v>
      </c>
    </row>
    <row r="364" spans="1:6" x14ac:dyDescent="0.25">
      <c r="A364" s="787" t="s">
        <v>2399</v>
      </c>
      <c r="B364" s="789" t="str">
        <f>IF(RG!G90="","",RG!G90)</f>
        <v/>
      </c>
      <c r="C364" s="790">
        <f t="shared" ref="C364:C395" ca="1" si="5">IF(ISERROR(VLOOKUP(A364,INDIRECT("notes_"&amp;LEFT(A364,2)),4,0)),0,VLOOKUP(A364,INDIRECT("notes_"&amp;LEFT(A364,2)),4,0))</f>
        <v>0</v>
      </c>
    </row>
    <row r="365" spans="1:6" x14ac:dyDescent="0.25">
      <c r="A365" s="787" t="s">
        <v>2400</v>
      </c>
      <c r="B365" s="789" t="str">
        <f>IF(RG!G91="","",RG!G91)</f>
        <v/>
      </c>
      <c r="C365" s="790">
        <f t="shared" ca="1" si="5"/>
        <v>0</v>
      </c>
    </row>
    <row r="366" spans="1:6" x14ac:dyDescent="0.25">
      <c r="A366" s="787" t="s">
        <v>2401</v>
      </c>
      <c r="B366" s="789" t="str">
        <f>IF(RG!G92="","",RG!G92)</f>
        <v/>
      </c>
      <c r="C366" s="790">
        <f t="shared" ca="1" si="5"/>
        <v>0</v>
      </c>
    </row>
    <row r="367" spans="1:6" x14ac:dyDescent="0.25">
      <c r="A367" s="787" t="s">
        <v>2402</v>
      </c>
      <c r="B367" s="789" t="str">
        <f>IF(RG!G93="","",RG!G93)</f>
        <v/>
      </c>
      <c r="C367" s="790">
        <f t="shared" ca="1" si="5"/>
        <v>0</v>
      </c>
    </row>
    <row r="368" spans="1:6" x14ac:dyDescent="0.25">
      <c r="A368" s="787" t="s">
        <v>2403</v>
      </c>
      <c r="B368" s="789" t="str">
        <f>IF(RG!G94="","",RG!G94)</f>
        <v/>
      </c>
      <c r="C368" s="790">
        <f t="shared" ca="1" si="5"/>
        <v>0</v>
      </c>
    </row>
    <row r="369" spans="1:3" x14ac:dyDescent="0.25">
      <c r="A369" s="787" t="s">
        <v>2404</v>
      </c>
      <c r="B369" s="789" t="str">
        <f>IF(RG!G95="","",RG!G95)</f>
        <v/>
      </c>
      <c r="C369" s="790">
        <f t="shared" ca="1" si="5"/>
        <v>0</v>
      </c>
    </row>
    <row r="370" spans="1:3" x14ac:dyDescent="0.25">
      <c r="A370" s="787" t="s">
        <v>2405</v>
      </c>
      <c r="B370" s="789" t="str">
        <f>IF(RG!G96="","",RG!G96)</f>
        <v/>
      </c>
      <c r="C370" s="790">
        <f t="shared" ca="1" si="5"/>
        <v>0</v>
      </c>
    </row>
    <row r="371" spans="1:3" x14ac:dyDescent="0.25">
      <c r="A371" s="787" t="s">
        <v>2406</v>
      </c>
      <c r="B371" s="789" t="str">
        <f>IF(RG!G97="","",RG!G97)</f>
        <v/>
      </c>
      <c r="C371" s="790">
        <f t="shared" ca="1" si="5"/>
        <v>0</v>
      </c>
    </row>
    <row r="372" spans="1:3" x14ac:dyDescent="0.25">
      <c r="A372" s="787" t="s">
        <v>2407</v>
      </c>
      <c r="B372" s="789" t="str">
        <f>IF(RG!G98="","",RG!G98)</f>
        <v/>
      </c>
      <c r="C372" s="790">
        <f t="shared" ca="1" si="5"/>
        <v>0</v>
      </c>
    </row>
    <row r="373" spans="1:3" x14ac:dyDescent="0.25">
      <c r="A373" s="787" t="s">
        <v>2408</v>
      </c>
      <c r="B373" s="789" t="str">
        <f>IF(RG!G99="","",RG!G99)</f>
        <v/>
      </c>
      <c r="C373" s="790">
        <f t="shared" ca="1" si="5"/>
        <v>0</v>
      </c>
    </row>
    <row r="374" spans="1:3" x14ac:dyDescent="0.25">
      <c r="A374" s="787" t="s">
        <v>2409</v>
      </c>
      <c r="B374" s="789" t="str">
        <f>IF(RG!G100="","",RG!G100)</f>
        <v/>
      </c>
      <c r="C374" s="790">
        <f t="shared" ca="1" si="5"/>
        <v>0</v>
      </c>
    </row>
    <row r="375" spans="1:3" x14ac:dyDescent="0.25">
      <c r="A375" s="787" t="s">
        <v>2410</v>
      </c>
      <c r="B375" s="789" t="str">
        <f>IF(RG!G101="","",RG!G101)</f>
        <v/>
      </c>
      <c r="C375" s="790">
        <f t="shared" ca="1" si="5"/>
        <v>0</v>
      </c>
    </row>
    <row r="376" spans="1:3" x14ac:dyDescent="0.25">
      <c r="A376" s="787" t="s">
        <v>2411</v>
      </c>
      <c r="B376" s="789" t="str">
        <f>IF(RG!G102="","",RG!G102)</f>
        <v/>
      </c>
      <c r="C376" s="790">
        <f t="shared" ca="1" si="5"/>
        <v>0</v>
      </c>
    </row>
    <row r="377" spans="1:3" x14ac:dyDescent="0.25">
      <c r="A377" s="787" t="s">
        <v>2412</v>
      </c>
      <c r="B377" s="789" t="str">
        <f>IF(RG!G103="","",RG!G103)</f>
        <v/>
      </c>
      <c r="C377" s="790">
        <f t="shared" ca="1" si="5"/>
        <v>0</v>
      </c>
    </row>
    <row r="378" spans="1:3" x14ac:dyDescent="0.25">
      <c r="A378" s="787" t="s">
        <v>2413</v>
      </c>
      <c r="B378" s="789" t="str">
        <f>IF(RG!G104="","",RG!G104)</f>
        <v/>
      </c>
      <c r="C378" s="790">
        <f t="shared" ca="1" si="5"/>
        <v>0</v>
      </c>
    </row>
    <row r="379" spans="1:3" x14ac:dyDescent="0.25">
      <c r="A379" s="787" t="s">
        <v>2414</v>
      </c>
      <c r="B379" s="789" t="str">
        <f>IF(RG!G105="","",RG!G105)</f>
        <v/>
      </c>
      <c r="C379" s="790">
        <f t="shared" ca="1" si="5"/>
        <v>0</v>
      </c>
    </row>
    <row r="380" spans="1:3" x14ac:dyDescent="0.25">
      <c r="A380" s="787" t="s">
        <v>2415</v>
      </c>
      <c r="B380" s="789" t="str">
        <f>IF(RG!G106="","",RG!G106)</f>
        <v/>
      </c>
      <c r="C380" s="790">
        <f t="shared" ca="1" si="5"/>
        <v>0</v>
      </c>
    </row>
    <row r="381" spans="1:3" x14ac:dyDescent="0.25">
      <c r="A381" s="787" t="s">
        <v>2416</v>
      </c>
      <c r="B381" s="789" t="str">
        <f>IF(RG!G107="","",RG!G107)</f>
        <v/>
      </c>
      <c r="C381" s="790">
        <f t="shared" ca="1" si="5"/>
        <v>0</v>
      </c>
    </row>
    <row r="382" spans="1:3" x14ac:dyDescent="0.25">
      <c r="A382" s="787" t="s">
        <v>2417</v>
      </c>
      <c r="B382" s="789" t="str">
        <f>IF(RG!G108="","",RG!G108)</f>
        <v/>
      </c>
      <c r="C382" s="790">
        <f t="shared" ca="1" si="5"/>
        <v>0</v>
      </c>
    </row>
    <row r="383" spans="1:3" x14ac:dyDescent="0.25">
      <c r="A383" s="787" t="s">
        <v>2418</v>
      </c>
      <c r="B383" s="789" t="str">
        <f>IF(RG!G109="","",RG!G109)</f>
        <v/>
      </c>
      <c r="C383" s="790">
        <f t="shared" ca="1" si="5"/>
        <v>0</v>
      </c>
    </row>
    <row r="384" spans="1:3" x14ac:dyDescent="0.25">
      <c r="A384" s="787" t="s">
        <v>2419</v>
      </c>
      <c r="B384" s="789" t="str">
        <f>IF(RG!G110="","",RG!G110)</f>
        <v/>
      </c>
      <c r="C384" s="790">
        <f t="shared" ca="1" si="5"/>
        <v>0</v>
      </c>
    </row>
    <row r="385" spans="1:7" x14ac:dyDescent="0.25">
      <c r="A385" s="787" t="s">
        <v>2420</v>
      </c>
      <c r="B385" s="789" t="str">
        <f>IF(RG!G111="","",RG!G111)</f>
        <v/>
      </c>
      <c r="C385" s="790">
        <f t="shared" ca="1" si="5"/>
        <v>0</v>
      </c>
    </row>
    <row r="386" spans="1:7" x14ac:dyDescent="0.25">
      <c r="A386" s="787" t="s">
        <v>2421</v>
      </c>
      <c r="B386" s="789" t="str">
        <f>IF(RG!G112="","",RG!G112)</f>
        <v/>
      </c>
      <c r="C386" s="790">
        <f t="shared" ca="1" si="5"/>
        <v>0</v>
      </c>
    </row>
    <row r="387" spans="1:7" x14ac:dyDescent="0.25">
      <c r="A387" s="787" t="s">
        <v>2422</v>
      </c>
      <c r="B387" s="789" t="str">
        <f>IF(RG!G113="","",RG!G113)</f>
        <v/>
      </c>
      <c r="C387" s="790">
        <f t="shared" ca="1" si="5"/>
        <v>0</v>
      </c>
    </row>
    <row r="388" spans="1:7" x14ac:dyDescent="0.25">
      <c r="A388" s="787" t="s">
        <v>2423</v>
      </c>
      <c r="B388" s="789" t="str">
        <f>IF(RG!G114="","",RG!G114)</f>
        <v/>
      </c>
      <c r="C388" s="790">
        <f t="shared" ca="1" si="5"/>
        <v>0</v>
      </c>
    </row>
    <row r="389" spans="1:7" x14ac:dyDescent="0.25">
      <c r="A389" s="787" t="s">
        <v>2424</v>
      </c>
      <c r="B389" s="789" t="str">
        <f>IF(RG!G115="","",RG!G115)</f>
        <v/>
      </c>
      <c r="C389" s="790">
        <f t="shared" ca="1" si="5"/>
        <v>0</v>
      </c>
    </row>
    <row r="390" spans="1:7" x14ac:dyDescent="0.25">
      <c r="A390" s="787" t="s">
        <v>2425</v>
      </c>
      <c r="B390" s="789" t="str">
        <f>IF(RG!G116="","",RG!G116)</f>
        <v/>
      </c>
      <c r="C390" s="790">
        <f t="shared" ca="1" si="5"/>
        <v>0</v>
      </c>
    </row>
    <row r="391" spans="1:7" x14ac:dyDescent="0.25">
      <c r="A391" s="787" t="s">
        <v>2426</v>
      </c>
      <c r="B391" s="789" t="str">
        <f>IF(RG!G117="","",RG!G117)</f>
        <v/>
      </c>
      <c r="C391" s="790">
        <f t="shared" ca="1" si="5"/>
        <v>0</v>
      </c>
    </row>
    <row r="392" spans="1:7" x14ac:dyDescent="0.25">
      <c r="A392" s="787" t="s">
        <v>2427</v>
      </c>
      <c r="B392" s="789" t="str">
        <f>IF(RG!G118="","",RG!G118)</f>
        <v/>
      </c>
      <c r="C392" s="790">
        <f t="shared" ca="1" si="5"/>
        <v>0</v>
      </c>
    </row>
    <row r="393" spans="1:7" x14ac:dyDescent="0.25">
      <c r="A393" s="787" t="s">
        <v>2428</v>
      </c>
      <c r="B393" s="789" t="str">
        <f>IF(RG!G119="","",RG!G119)</f>
        <v/>
      </c>
      <c r="C393" s="790">
        <f t="shared" ca="1" si="5"/>
        <v>0</v>
      </c>
    </row>
    <row r="394" spans="1:7" x14ac:dyDescent="0.25">
      <c r="A394" s="787" t="s">
        <v>2429</v>
      </c>
      <c r="B394" s="789" t="str">
        <f>IF(RG!G120="","",RG!G120)</f>
        <v/>
      </c>
      <c r="C394" s="790">
        <f t="shared" ca="1" si="5"/>
        <v>0</v>
      </c>
    </row>
    <row r="395" spans="1:7" x14ac:dyDescent="0.25">
      <c r="A395" s="787" t="s">
        <v>2430</v>
      </c>
      <c r="B395" s="789" t="str">
        <f>IF(RG!G121="","",RG!G121)</f>
        <v/>
      </c>
      <c r="C395" s="790">
        <f t="shared" ca="1" si="5"/>
        <v>0</v>
      </c>
    </row>
    <row r="396" spans="1:7" x14ac:dyDescent="0.25">
      <c r="A396" s="787" t="s">
        <v>2431</v>
      </c>
      <c r="B396" s="789" t="str">
        <f>IF(RG!G122="","",RG!G122)</f>
        <v/>
      </c>
      <c r="C396" s="790">
        <f t="shared" ref="C396:C427" ca="1" si="6">IF(ISERROR(VLOOKUP(A396,INDIRECT("notes_"&amp;LEFT(A396,2)),4,0)),0,VLOOKUP(A396,INDIRECT("notes_"&amp;LEFT(A396,2)),4,0))</f>
        <v>0</v>
      </c>
    </row>
    <row r="397" spans="1:7" x14ac:dyDescent="0.25">
      <c r="A397" s="787" t="s">
        <v>2432</v>
      </c>
      <c r="B397" s="789" t="str">
        <f>IF(RG!G123="","",RG!G123)</f>
        <v/>
      </c>
      <c r="C397" s="790">
        <f t="shared" ca="1" si="6"/>
        <v>0</v>
      </c>
    </row>
    <row r="398" spans="1:7" x14ac:dyDescent="0.25">
      <c r="A398" s="787" t="s">
        <v>2433</v>
      </c>
      <c r="B398" s="789" t="str">
        <f>IF(RG!G124="","",RG!G124)</f>
        <v/>
      </c>
      <c r="C398" s="790">
        <f t="shared" ca="1" si="6"/>
        <v>0</v>
      </c>
    </row>
    <row r="399" spans="1:7" x14ac:dyDescent="0.25">
      <c r="A399" s="787" t="s">
        <v>2434</v>
      </c>
      <c r="B399" s="789" t="str">
        <f>IF(RG!G125="","",RG!G125)</f>
        <v/>
      </c>
      <c r="C399" s="790">
        <f t="shared" ca="1" si="6"/>
        <v>0</v>
      </c>
      <c r="G399" s="787" t="str">
        <f>RG!B125</f>
        <v>Additional Restrictions grant (where acting as principal)</v>
      </c>
    </row>
    <row r="400" spans="1:7" x14ac:dyDescent="0.25">
      <c r="A400" s="787" t="s">
        <v>2435</v>
      </c>
      <c r="B400" s="789" t="str">
        <f>IF(RG!G126="","",RG!G126)</f>
        <v/>
      </c>
      <c r="C400" s="790">
        <f t="shared" ca="1" si="6"/>
        <v>0</v>
      </c>
      <c r="G400" s="787">
        <f>RG!B126</f>
        <v>0</v>
      </c>
    </row>
    <row r="401" spans="1:7" x14ac:dyDescent="0.25">
      <c r="A401" s="787" t="s">
        <v>2436</v>
      </c>
      <c r="B401" s="789" t="str">
        <f>IF(RG!G127="","",RG!G127)</f>
        <v/>
      </c>
      <c r="C401" s="790">
        <f t="shared" ca="1" si="6"/>
        <v>0</v>
      </c>
      <c r="G401" s="787">
        <f>RG!B127</f>
        <v>0</v>
      </c>
    </row>
    <row r="402" spans="1:7" x14ac:dyDescent="0.25">
      <c r="A402" s="787" t="s">
        <v>2437</v>
      </c>
      <c r="B402" s="789" t="str">
        <f>IF(RG!G128="","",RG!G128)</f>
        <v/>
      </c>
      <c r="C402" s="790">
        <f t="shared" ca="1" si="6"/>
        <v>0</v>
      </c>
      <c r="G402" s="787">
        <f>RG!B128</f>
        <v>0</v>
      </c>
    </row>
    <row r="403" spans="1:7" x14ac:dyDescent="0.25">
      <c r="A403" s="787" t="s">
        <v>2438</v>
      </c>
      <c r="B403" s="789" t="str">
        <f>IF(RG!G129="","",RG!G129)</f>
        <v/>
      </c>
      <c r="C403" s="790">
        <f t="shared" ca="1" si="6"/>
        <v>0</v>
      </c>
      <c r="G403" s="787">
        <f>RG!B129</f>
        <v>0</v>
      </c>
    </row>
    <row r="404" spans="1:7" x14ac:dyDescent="0.25">
      <c r="A404" s="787" t="s">
        <v>2439</v>
      </c>
      <c r="B404" s="789" t="str">
        <f>IF(RG!G130="","",RG!G130)</f>
        <v/>
      </c>
      <c r="C404" s="790">
        <f t="shared" ca="1" si="6"/>
        <v>0</v>
      </c>
      <c r="G404" s="787">
        <f>RG!B130</f>
        <v>0</v>
      </c>
    </row>
    <row r="405" spans="1:7" x14ac:dyDescent="0.25">
      <c r="A405" s="787" t="s">
        <v>2440</v>
      </c>
      <c r="B405" s="789" t="str">
        <f>IF(RG!G131="","",RG!G131)</f>
        <v/>
      </c>
      <c r="C405" s="790">
        <f t="shared" ca="1" si="6"/>
        <v>0</v>
      </c>
      <c r="G405" s="787">
        <f>RG!B131</f>
        <v>0</v>
      </c>
    </row>
    <row r="406" spans="1:7" x14ac:dyDescent="0.25">
      <c r="A406" s="787" t="s">
        <v>2441</v>
      </c>
      <c r="B406" s="789" t="str">
        <f>IF(RG!G132="","",RG!G132)</f>
        <v/>
      </c>
      <c r="C406" s="790">
        <f t="shared" ca="1" si="6"/>
        <v>0</v>
      </c>
      <c r="G406" s="787">
        <f>RG!B132</f>
        <v>0</v>
      </c>
    </row>
    <row r="407" spans="1:7" x14ac:dyDescent="0.25">
      <c r="A407" s="787" t="s">
        <v>2442</v>
      </c>
      <c r="B407" s="789" t="str">
        <f>IF(RG!G133="","",RG!G133)</f>
        <v/>
      </c>
      <c r="C407" s="790">
        <f t="shared" ca="1" si="6"/>
        <v>0</v>
      </c>
      <c r="G407" s="787">
        <f>RG!B133</f>
        <v>0</v>
      </c>
    </row>
    <row r="408" spans="1:7" x14ac:dyDescent="0.25">
      <c r="A408" s="787" t="s">
        <v>2443</v>
      </c>
      <c r="B408" s="789" t="str">
        <f>IF(RG!G134="","",RG!G134)</f>
        <v/>
      </c>
      <c r="C408" s="790">
        <f t="shared" ca="1" si="6"/>
        <v>0</v>
      </c>
      <c r="G408" s="787">
        <f>RG!B134</f>
        <v>0</v>
      </c>
    </row>
    <row r="409" spans="1:7" x14ac:dyDescent="0.25">
      <c r="A409" s="787" t="s">
        <v>2444</v>
      </c>
      <c r="B409" s="789" t="str">
        <f>IF(RG!G135="","",RG!G135)</f>
        <v/>
      </c>
      <c r="C409" s="790">
        <f t="shared" ca="1" si="6"/>
        <v>0</v>
      </c>
      <c r="G409" s="787">
        <f>RG!B135</f>
        <v>0</v>
      </c>
    </row>
    <row r="410" spans="1:7" x14ac:dyDescent="0.25">
      <c r="A410" s="787" t="s">
        <v>2445</v>
      </c>
      <c r="B410" s="789" t="str">
        <f>IF(RG!G136="","",RG!G136)</f>
        <v/>
      </c>
      <c r="C410" s="790">
        <f t="shared" ca="1" si="6"/>
        <v>0</v>
      </c>
      <c r="G410" s="787">
        <f>RG!B136</f>
        <v>0</v>
      </c>
    </row>
    <row r="411" spans="1:7" x14ac:dyDescent="0.25">
      <c r="A411" s="787" t="s">
        <v>2446</v>
      </c>
      <c r="B411" s="789" t="str">
        <f>IF(RG!G137="","",RG!G137)</f>
        <v/>
      </c>
      <c r="C411" s="790">
        <f t="shared" ca="1" si="6"/>
        <v>0</v>
      </c>
      <c r="G411" s="787">
        <f>RG!B137</f>
        <v>0</v>
      </c>
    </row>
    <row r="412" spans="1:7" x14ac:dyDescent="0.25">
      <c r="A412" s="787" t="s">
        <v>2447</v>
      </c>
      <c r="B412" s="789" t="str">
        <f>IF(RG!G138="","",RG!G138)</f>
        <v/>
      </c>
      <c r="C412" s="790">
        <f t="shared" ca="1" si="6"/>
        <v>0</v>
      </c>
      <c r="G412" s="787">
        <f>RG!B138</f>
        <v>0</v>
      </c>
    </row>
    <row r="413" spans="1:7" x14ac:dyDescent="0.25">
      <c r="A413" s="787" t="s">
        <v>2448</v>
      </c>
      <c r="B413" s="789" t="str">
        <f>IF(RG!G139="","",RG!G139)</f>
        <v/>
      </c>
      <c r="C413" s="790">
        <f t="shared" ca="1" si="6"/>
        <v>0</v>
      </c>
      <c r="G413" s="787">
        <f>RG!B139</f>
        <v>0</v>
      </c>
    </row>
    <row r="414" spans="1:7" x14ac:dyDescent="0.25">
      <c r="A414" s="787" t="s">
        <v>2449</v>
      </c>
      <c r="B414" s="789" t="str">
        <f>IF(RG!G140="","",RG!G140)</f>
        <v/>
      </c>
      <c r="C414" s="790">
        <f t="shared" ca="1" si="6"/>
        <v>0</v>
      </c>
      <c r="G414" s="787">
        <f>RG!B140</f>
        <v>0</v>
      </c>
    </row>
    <row r="415" spans="1:7" x14ac:dyDescent="0.25">
      <c r="A415" s="787" t="s">
        <v>2450</v>
      </c>
      <c r="B415" s="789" t="str">
        <f>IF(RG!G141="","",RG!G141)</f>
        <v/>
      </c>
      <c r="C415" s="790">
        <f t="shared" ca="1" si="6"/>
        <v>0</v>
      </c>
      <c r="G415" s="787">
        <f>RG!B141</f>
        <v>0</v>
      </c>
    </row>
    <row r="416" spans="1:7" x14ac:dyDescent="0.25">
      <c r="A416" s="787" t="s">
        <v>2451</v>
      </c>
      <c r="B416" s="789" t="str">
        <f>IF(RG!G142="","",RG!G142)</f>
        <v/>
      </c>
      <c r="C416" s="790">
        <f t="shared" ca="1" si="6"/>
        <v>0</v>
      </c>
      <c r="G416" s="787">
        <f>RG!B142</f>
        <v>0</v>
      </c>
    </row>
    <row r="417" spans="1:7" x14ac:dyDescent="0.25">
      <c r="A417" s="787" t="s">
        <v>2452</v>
      </c>
      <c r="B417" s="789" t="str">
        <f>IF(RG!G143="","",RG!G143)</f>
        <v/>
      </c>
      <c r="C417" s="790">
        <f t="shared" ca="1" si="6"/>
        <v>0</v>
      </c>
      <c r="G417" s="787">
        <f>RG!B143</f>
        <v>0</v>
      </c>
    </row>
    <row r="418" spans="1:7" x14ac:dyDescent="0.25">
      <c r="A418" s="787" t="s">
        <v>2453</v>
      </c>
      <c r="B418" s="789" t="str">
        <f>IF(RG!G144="","",RG!G144)</f>
        <v/>
      </c>
      <c r="C418" s="790">
        <f t="shared" ca="1" si="6"/>
        <v>0</v>
      </c>
      <c r="G418" s="787">
        <f>RG!B144</f>
        <v>0</v>
      </c>
    </row>
    <row r="419" spans="1:7" x14ac:dyDescent="0.25">
      <c r="A419" s="787" t="s">
        <v>2454</v>
      </c>
      <c r="B419" s="789" t="str">
        <f>IF(RG!G145="","",RG!G145)</f>
        <v/>
      </c>
      <c r="C419" s="790">
        <f t="shared" ca="1" si="6"/>
        <v>0</v>
      </c>
      <c r="G419" s="787">
        <f>RG!B145</f>
        <v>0</v>
      </c>
    </row>
    <row r="420" spans="1:7" x14ac:dyDescent="0.25">
      <c r="A420" s="787" t="s">
        <v>2455</v>
      </c>
      <c r="B420" s="789" t="str">
        <f>IF(RG!G146="","",RG!G146)</f>
        <v/>
      </c>
      <c r="C420" s="790">
        <f t="shared" ca="1" si="6"/>
        <v>0</v>
      </c>
      <c r="G420" s="787">
        <f>RG!B146</f>
        <v>0</v>
      </c>
    </row>
    <row r="421" spans="1:7" x14ac:dyDescent="0.25">
      <c r="A421" s="787" t="s">
        <v>2456</v>
      </c>
      <c r="B421" s="789" t="str">
        <f>IF(RG!G147="","",RG!G147)</f>
        <v/>
      </c>
      <c r="C421" s="790">
        <f t="shared" ca="1" si="6"/>
        <v>0</v>
      </c>
      <c r="G421" s="787">
        <f>RG!B147</f>
        <v>0</v>
      </c>
    </row>
    <row r="422" spans="1:7" x14ac:dyDescent="0.25">
      <c r="A422" s="787" t="s">
        <v>2457</v>
      </c>
      <c r="B422" s="789" t="str">
        <f>IF(RG!G148="","",RG!G148)</f>
        <v/>
      </c>
      <c r="C422" s="790">
        <f t="shared" ca="1" si="6"/>
        <v>0</v>
      </c>
      <c r="G422" s="787">
        <f>RG!B148</f>
        <v>0</v>
      </c>
    </row>
    <row r="423" spans="1:7" x14ac:dyDescent="0.25">
      <c r="A423" s="787" t="s">
        <v>2458</v>
      </c>
      <c r="B423" s="789" t="str">
        <f>IF(RG!G149="","",RG!G149)</f>
        <v/>
      </c>
      <c r="C423" s="790">
        <f t="shared" ca="1" si="6"/>
        <v>0</v>
      </c>
      <c r="G423" s="787">
        <f>RG!B149</f>
        <v>0</v>
      </c>
    </row>
    <row r="424" spans="1:7" x14ac:dyDescent="0.25">
      <c r="A424" s="787" t="s">
        <v>2459</v>
      </c>
      <c r="B424" s="789" t="str">
        <f>IF(RG!G150="","",RG!G150)</f>
        <v/>
      </c>
      <c r="C424" s="790">
        <f t="shared" ca="1" si="6"/>
        <v>0</v>
      </c>
      <c r="G424" s="787">
        <f>RG!B150</f>
        <v>0</v>
      </c>
    </row>
    <row r="425" spans="1:7" x14ac:dyDescent="0.25">
      <c r="A425" s="787" t="s">
        <v>2460</v>
      </c>
      <c r="B425" s="789" t="str">
        <f>IF(RG!G151="","",RG!G151)</f>
        <v/>
      </c>
      <c r="C425" s="790">
        <f t="shared" ca="1" si="6"/>
        <v>0</v>
      </c>
      <c r="G425" s="787">
        <f>RG!B151</f>
        <v>0</v>
      </c>
    </row>
    <row r="426" spans="1:7" x14ac:dyDescent="0.25">
      <c r="A426" s="787" t="s">
        <v>2461</v>
      </c>
      <c r="B426" s="789" t="str">
        <f>IF(RG!G152="","",RG!G152)</f>
        <v/>
      </c>
      <c r="C426" s="790">
        <f t="shared" ca="1" si="6"/>
        <v>0</v>
      </c>
    </row>
    <row r="427" spans="1:7" x14ac:dyDescent="0.25">
      <c r="A427" s="787" t="s">
        <v>2462</v>
      </c>
      <c r="B427" s="789">
        <f>IF(RG!G153="","",RG!G153)</f>
        <v>0</v>
      </c>
      <c r="C427" s="790">
        <f t="shared" ca="1" si="6"/>
        <v>0</v>
      </c>
    </row>
    <row r="428" spans="1:7" x14ac:dyDescent="0.25">
      <c r="A428" s="787" t="s">
        <v>2463</v>
      </c>
      <c r="B428" s="789" t="str">
        <f>IF(RG!G159="","",RG!G159)</f>
        <v/>
      </c>
      <c r="C428" s="790">
        <f t="shared" ref="C428:C453" ca="1" si="7">IF(ISERROR(VLOOKUP(A428,INDIRECT("notes_"&amp;LEFT(A428,2)),4,0)),0,VLOOKUP(A428,INDIRECT("notes_"&amp;LEFT(A428,2)),4,0))</f>
        <v>0</v>
      </c>
    </row>
    <row r="429" spans="1:7" x14ac:dyDescent="0.25">
      <c r="A429" s="787" t="s">
        <v>2464</v>
      </c>
      <c r="B429" s="789" t="str">
        <f>IF(RG!G160="","",RG!G160)</f>
        <v/>
      </c>
      <c r="C429" s="790">
        <f t="shared" ca="1" si="7"/>
        <v>0</v>
      </c>
    </row>
    <row r="430" spans="1:7" x14ac:dyDescent="0.25">
      <c r="A430" s="787" t="s">
        <v>2465</v>
      </c>
      <c r="B430" s="789" t="str">
        <f>IF(RG!G161="","",RG!G161)</f>
        <v/>
      </c>
      <c r="C430" s="790">
        <f t="shared" ca="1" si="7"/>
        <v>0</v>
      </c>
    </row>
    <row r="431" spans="1:7" x14ac:dyDescent="0.25">
      <c r="A431" s="787" t="s">
        <v>2466</v>
      </c>
      <c r="B431" s="789" t="str">
        <f>IF(RG!G162="","",RG!G162)</f>
        <v/>
      </c>
      <c r="C431" s="790">
        <f t="shared" ca="1" si="7"/>
        <v>0</v>
      </c>
    </row>
    <row r="432" spans="1:7" x14ac:dyDescent="0.25">
      <c r="A432" s="787" t="s">
        <v>2467</v>
      </c>
      <c r="B432" s="789" t="str">
        <f>IF(RG!G163="","",RG!G163)</f>
        <v/>
      </c>
      <c r="C432" s="790">
        <f t="shared" ca="1" si="7"/>
        <v>0</v>
      </c>
    </row>
    <row r="433" spans="1:7" x14ac:dyDescent="0.25">
      <c r="A433" s="787" t="s">
        <v>2468</v>
      </c>
      <c r="B433" s="789" t="str">
        <f>IF(RG!G164="","",RG!G164)</f>
        <v/>
      </c>
      <c r="C433" s="790">
        <f t="shared" ca="1" si="7"/>
        <v>0</v>
      </c>
    </row>
    <row r="434" spans="1:7" x14ac:dyDescent="0.25">
      <c r="A434" s="787" t="s">
        <v>2469</v>
      </c>
      <c r="B434" s="789" t="str">
        <f>IF(RG!G165="","",RG!G165)</f>
        <v/>
      </c>
      <c r="C434" s="790">
        <f t="shared" ca="1" si="7"/>
        <v>0</v>
      </c>
    </row>
    <row r="435" spans="1:7" x14ac:dyDescent="0.25">
      <c r="A435" s="787" t="s">
        <v>2470</v>
      </c>
      <c r="B435" s="789" t="str">
        <f>IF(RG!G166="","",RG!G166)</f>
        <v/>
      </c>
      <c r="C435" s="790">
        <f t="shared" ca="1" si="7"/>
        <v>0</v>
      </c>
    </row>
    <row r="436" spans="1:7" x14ac:dyDescent="0.25">
      <c r="A436" s="787" t="s">
        <v>2471</v>
      </c>
      <c r="B436" s="789" t="str">
        <f>IF(RG!G168="","",RG!G168)</f>
        <v/>
      </c>
      <c r="C436" s="790">
        <f t="shared" ca="1" si="7"/>
        <v>0</v>
      </c>
      <c r="G436" s="787">
        <f>RG!B168</f>
        <v>0</v>
      </c>
    </row>
    <row r="437" spans="1:7" x14ac:dyDescent="0.25">
      <c r="A437" s="787" t="s">
        <v>2472</v>
      </c>
      <c r="B437" s="789" t="str">
        <f>IF(RG!G169="","",RG!G169)</f>
        <v/>
      </c>
      <c r="C437" s="790">
        <f t="shared" ca="1" si="7"/>
        <v>0</v>
      </c>
      <c r="G437" s="787">
        <f>RG!B169</f>
        <v>0</v>
      </c>
    </row>
    <row r="438" spans="1:7" x14ac:dyDescent="0.25">
      <c r="A438" s="787" t="s">
        <v>2473</v>
      </c>
      <c r="B438" s="789" t="str">
        <f>IF(RG!G170="","",RG!G170)</f>
        <v/>
      </c>
      <c r="C438" s="790">
        <f t="shared" ca="1" si="7"/>
        <v>0</v>
      </c>
      <c r="G438" s="787">
        <f>RG!B170</f>
        <v>0</v>
      </c>
    </row>
    <row r="439" spans="1:7" x14ac:dyDescent="0.25">
      <c r="A439" s="787" t="s">
        <v>2474</v>
      </c>
      <c r="B439" s="789" t="str">
        <f>IF(RG!G171="","",RG!G171)</f>
        <v/>
      </c>
      <c r="C439" s="790">
        <f t="shared" ca="1" si="7"/>
        <v>0</v>
      </c>
      <c r="G439" s="787">
        <f>RG!B171</f>
        <v>0</v>
      </c>
    </row>
    <row r="440" spans="1:7" x14ac:dyDescent="0.25">
      <c r="A440" s="787" t="s">
        <v>2475</v>
      </c>
      <c r="B440" s="789" t="str">
        <f>IF(RG!G172="","",RG!G172)</f>
        <v/>
      </c>
      <c r="C440" s="790">
        <f t="shared" ca="1" si="7"/>
        <v>0</v>
      </c>
      <c r="G440" s="787">
        <f>RG!B172</f>
        <v>0</v>
      </c>
    </row>
    <row r="441" spans="1:7" x14ac:dyDescent="0.25">
      <c r="A441" s="787" t="s">
        <v>2476</v>
      </c>
      <c r="B441" s="789" t="str">
        <f>IF(RG!G173="","",RG!G173)</f>
        <v/>
      </c>
      <c r="C441" s="790">
        <f t="shared" ca="1" si="7"/>
        <v>0</v>
      </c>
      <c r="G441" s="787">
        <f>RG!B173</f>
        <v>0</v>
      </c>
    </row>
    <row r="442" spans="1:7" x14ac:dyDescent="0.25">
      <c r="A442" s="787" t="s">
        <v>2477</v>
      </c>
      <c r="B442" s="789" t="str">
        <f>IF(RG!G174="","",RG!G174)</f>
        <v/>
      </c>
      <c r="C442" s="790">
        <f t="shared" ca="1" si="7"/>
        <v>0</v>
      </c>
      <c r="G442" s="787">
        <f>RG!B174</f>
        <v>0</v>
      </c>
    </row>
    <row r="443" spans="1:7" x14ac:dyDescent="0.25">
      <c r="A443" s="787" t="s">
        <v>2478</v>
      </c>
      <c r="B443" s="789" t="str">
        <f>IF(RG!G175="","",RG!G175)</f>
        <v/>
      </c>
      <c r="C443" s="790">
        <f t="shared" ca="1" si="7"/>
        <v>0</v>
      </c>
      <c r="G443" s="787">
        <f>RG!B175</f>
        <v>0</v>
      </c>
    </row>
    <row r="444" spans="1:7" x14ac:dyDescent="0.25">
      <c r="A444" s="787" t="s">
        <v>2479</v>
      </c>
      <c r="B444" s="789" t="str">
        <f>IF(RG!G176="","",RG!G176)</f>
        <v/>
      </c>
      <c r="C444" s="790">
        <f t="shared" ca="1" si="7"/>
        <v>0</v>
      </c>
      <c r="G444" s="787">
        <f>RG!B176</f>
        <v>0</v>
      </c>
    </row>
    <row r="445" spans="1:7" x14ac:dyDescent="0.25">
      <c r="A445" s="787" t="s">
        <v>2480</v>
      </c>
      <c r="B445" s="789" t="str">
        <f>IF(RG!G177="","",RG!G177)</f>
        <v/>
      </c>
      <c r="C445" s="790">
        <f t="shared" ca="1" si="7"/>
        <v>0</v>
      </c>
      <c r="G445" s="787">
        <f>RG!B177</f>
        <v>0</v>
      </c>
    </row>
    <row r="446" spans="1:7" x14ac:dyDescent="0.25">
      <c r="A446" s="787" t="s">
        <v>2481</v>
      </c>
      <c r="B446" s="789" t="str">
        <f>IF(RG!G178="","",RG!G178)</f>
        <v/>
      </c>
      <c r="C446" s="790">
        <f t="shared" ca="1" si="7"/>
        <v>0</v>
      </c>
      <c r="G446" s="787">
        <f>RG!B178</f>
        <v>0</v>
      </c>
    </row>
    <row r="447" spans="1:7" x14ac:dyDescent="0.25">
      <c r="A447" s="787" t="s">
        <v>2482</v>
      </c>
      <c r="B447" s="789" t="str">
        <f>IF(RG!G179="","",RG!G179)</f>
        <v/>
      </c>
      <c r="C447" s="790">
        <f t="shared" ca="1" si="7"/>
        <v>0</v>
      </c>
      <c r="G447" s="787">
        <f>RG!B179</f>
        <v>0</v>
      </c>
    </row>
    <row r="448" spans="1:7" x14ac:dyDescent="0.25">
      <c r="A448" s="787" t="s">
        <v>2483</v>
      </c>
      <c r="B448" s="789" t="str">
        <f>IF(RG!G180="","",RG!G180)</f>
        <v/>
      </c>
      <c r="C448" s="790">
        <f t="shared" ca="1" si="7"/>
        <v>0</v>
      </c>
      <c r="G448" s="787">
        <f>RG!B180</f>
        <v>0</v>
      </c>
    </row>
    <row r="449" spans="1:7" x14ac:dyDescent="0.25">
      <c r="A449" s="787" t="s">
        <v>2484</v>
      </c>
      <c r="B449" s="789" t="str">
        <f>IF(RG!G181="","",RG!G181)</f>
        <v/>
      </c>
      <c r="C449" s="790">
        <f t="shared" ca="1" si="7"/>
        <v>0</v>
      </c>
      <c r="G449" s="787">
        <f>RG!B181</f>
        <v>0</v>
      </c>
    </row>
    <row r="450" spans="1:7" x14ac:dyDescent="0.25">
      <c r="A450" s="787" t="s">
        <v>2485</v>
      </c>
      <c r="B450" s="789" t="str">
        <f>IF(RG!G182="","",RG!G182)</f>
        <v/>
      </c>
      <c r="C450" s="790">
        <f t="shared" ca="1" si="7"/>
        <v>0</v>
      </c>
      <c r="G450" s="787">
        <f>RG!B182</f>
        <v>0</v>
      </c>
    </row>
    <row r="451" spans="1:7" x14ac:dyDescent="0.25">
      <c r="A451" s="787" t="s">
        <v>2486</v>
      </c>
      <c r="B451" s="789" t="str">
        <f>IF(RG!G183="","",RG!G183)</f>
        <v/>
      </c>
      <c r="C451" s="790">
        <f t="shared" ca="1" si="7"/>
        <v>0</v>
      </c>
      <c r="G451" s="787">
        <f>RG!B183</f>
        <v>0</v>
      </c>
    </row>
    <row r="452" spans="1:7" x14ac:dyDescent="0.25">
      <c r="A452" s="787" t="s">
        <v>2487</v>
      </c>
      <c r="B452" s="789" t="str">
        <f>IF(RG!G184="","",RG!G184)</f>
        <v/>
      </c>
      <c r="C452" s="790">
        <f t="shared" ca="1" si="7"/>
        <v>0</v>
      </c>
    </row>
    <row r="453" spans="1:7" x14ac:dyDescent="0.25">
      <c r="A453" s="787" t="s">
        <v>2488</v>
      </c>
      <c r="B453" s="789">
        <f>IF(RG!G185="","",RG!G185)</f>
        <v>0</v>
      </c>
      <c r="C453" s="790">
        <f t="shared" ca="1" si="7"/>
        <v>0</v>
      </c>
    </row>
    <row r="454" spans="1:7" x14ac:dyDescent="0.25">
      <c r="A454" s="787" t="s">
        <v>3094</v>
      </c>
      <c r="B454" s="789" t="str">
        <f>IF(ISNUMBER(SEARCH("resolve",'RO2'!A17)),'RO2'!A17,"")</f>
        <v/>
      </c>
      <c r="C454" s="790"/>
    </row>
    <row r="455" spans="1:7" x14ac:dyDescent="0.25">
      <c r="A455" s="787" t="s">
        <v>3095</v>
      </c>
      <c r="B455" s="789" t="str">
        <f>IF('RO2'!D$31="","",'RO2'!D$31)</f>
        <v/>
      </c>
      <c r="C455" s="790">
        <f ca="1">IF(ISERROR(VLOOKUP($A$626,INDIRECT("notes_"&amp;LEFT($A$626,3)),4,0)),0,VLOOKUP($A$626,INDIRECT("notes_"&amp;LEFT($A$626,3)),4,0))</f>
        <v>0</v>
      </c>
    </row>
    <row r="456" spans="1:7" x14ac:dyDescent="0.25">
      <c r="A456" s="787" t="s">
        <v>3096</v>
      </c>
      <c r="B456" s="789" t="str">
        <f>IF('RO2'!D$32="","",'RO2'!D$32)</f>
        <v/>
      </c>
      <c r="C456" s="790">
        <f ca="1">IF(ISERROR(VLOOKUP($A$627,INDIRECT("notes_"&amp;LEFT($A$627,3)),4,0)),0,VLOOKUP($A$627,INDIRECT("notes_"&amp;LEFT($A$627,3)),4,0))</f>
        <v>0</v>
      </c>
    </row>
    <row r="457" spans="1:7" x14ac:dyDescent="0.25">
      <c r="A457" s="787" t="s">
        <v>3097</v>
      </c>
      <c r="B457" s="789" t="str">
        <f>IF('RO2'!D$35="","",'RO2'!D$35)</f>
        <v/>
      </c>
      <c r="C457" s="790">
        <f ca="1">IF(ISERROR(VLOOKUP($A$628,INDIRECT("notes_"&amp;LEFT($A$628,3)),4,0)),0,VLOOKUP($A$628,INDIRECT("notes_"&amp;LEFT($A$628,3)),4,0))</f>
        <v>0</v>
      </c>
    </row>
    <row r="458" spans="1:7" x14ac:dyDescent="0.25">
      <c r="A458" s="787" t="s">
        <v>3098</v>
      </c>
      <c r="B458" s="789" t="str">
        <f>IF('RO2'!D$36="","",'RO2'!D$36)</f>
        <v/>
      </c>
      <c r="C458" s="790">
        <f ca="1">IF(ISERROR(VLOOKUP($A$629,INDIRECT("notes_"&amp;LEFT($A$629,3)),4,0)),0,VLOOKUP($A$629,INDIRECT("notes_"&amp;LEFT($A$629,3)),4,0))</f>
        <v>0</v>
      </c>
    </row>
    <row r="459" spans="1:7" x14ac:dyDescent="0.25">
      <c r="A459" s="787" t="s">
        <v>3099</v>
      </c>
      <c r="B459" s="789" t="str">
        <f>IF('RO2'!D$37="","",'RO2'!D$37)</f>
        <v/>
      </c>
      <c r="C459" s="790">
        <f ca="1">IF(ISERROR(VLOOKUP($A$630,INDIRECT("notes_"&amp;LEFT($A$630,3)),4,0)),0,VLOOKUP($A$630,INDIRECT("notes_"&amp;LEFT($A$630,3)),4,0))</f>
        <v>0</v>
      </c>
    </row>
    <row r="460" spans="1:7" x14ac:dyDescent="0.25">
      <c r="A460" s="787" t="s">
        <v>3100</v>
      </c>
      <c r="B460" s="789" t="str">
        <f>IF('RO2'!D$38="","",'RO2'!D$38)</f>
        <v/>
      </c>
      <c r="C460" s="790">
        <f ca="1">IF(ISERROR(VLOOKUP($A$631,INDIRECT("notes_"&amp;LEFT($A$631,3)),4,0)),0,VLOOKUP($A$631,INDIRECT("notes_"&amp;LEFT($A$631,3)),4,0))</f>
        <v>0</v>
      </c>
    </row>
    <row r="461" spans="1:7" x14ac:dyDescent="0.25">
      <c r="A461" s="787" t="s">
        <v>3101</v>
      </c>
      <c r="B461" s="789" t="str">
        <f>IF('RO2'!D$39="","",'RO2'!D$39)</f>
        <v/>
      </c>
      <c r="C461" s="790">
        <f ca="1">IF(ISERROR(VLOOKUP($A$632,INDIRECT("notes_"&amp;LEFT($A$632,3)),4,0)),0,VLOOKUP($A$632,INDIRECT("notes_"&amp;LEFT($A$632,3)),4,0))</f>
        <v>0</v>
      </c>
    </row>
    <row r="462" spans="1:7" x14ac:dyDescent="0.25">
      <c r="A462" s="787" t="s">
        <v>3102</v>
      </c>
      <c r="B462" s="789" t="str">
        <f>IF('RO2'!D$40="","",'RO2'!D$40)</f>
        <v/>
      </c>
      <c r="C462" s="790">
        <f ca="1">IF(ISERROR(VLOOKUP($A$633,INDIRECT("notes_"&amp;LEFT($A$633,3)),4,0)),0,VLOOKUP($A$633,INDIRECT("notes_"&amp;LEFT($A$633,3)),4,0))</f>
        <v>0</v>
      </c>
    </row>
    <row r="463" spans="1:7" x14ac:dyDescent="0.25">
      <c r="A463" s="787" t="s">
        <v>3103</v>
      </c>
      <c r="B463" s="789" t="str">
        <f>IF('RO2'!D$41="","",'RO2'!D$41)</f>
        <v/>
      </c>
      <c r="C463" s="790">
        <f ca="1">IF(ISERROR(VLOOKUP($A$634,INDIRECT("notes_"&amp;LEFT($A$634,3)),4,0)),0,VLOOKUP($A$634,INDIRECT("notes_"&amp;LEFT($A$634,3)),4,0))</f>
        <v>0</v>
      </c>
    </row>
    <row r="464" spans="1:7" x14ac:dyDescent="0.25">
      <c r="A464" s="787" t="s">
        <v>3104</v>
      </c>
      <c r="B464" s="789" t="str">
        <f>IF('RO2'!D$45="","",'RO2'!D$45)</f>
        <v/>
      </c>
      <c r="C464" s="790">
        <f ca="1">IF(ISERROR(VLOOKUP($A$635,INDIRECT("notes_"&amp;LEFT($A$635,3)),4,0)),0,VLOOKUP($A$635,INDIRECT("notes_"&amp;LEFT($A$635,3)),4,0))</f>
        <v>0</v>
      </c>
    </row>
    <row r="465" spans="1:3" x14ac:dyDescent="0.25">
      <c r="A465" s="787" t="s">
        <v>3105</v>
      </c>
      <c r="B465" s="789" t="str">
        <f>IF('RO2'!D$46="","",'RO2'!D$46)</f>
        <v/>
      </c>
      <c r="C465" s="790">
        <f ca="1">IF(ISERROR(VLOOKUP($A$636,INDIRECT("notes_"&amp;LEFT($A$636,3)),4,0)),0,VLOOKUP($A$636,INDIRECT("notes_"&amp;LEFT($A$636,3)),4,0))</f>
        <v>0</v>
      </c>
    </row>
    <row r="466" spans="1:3" x14ac:dyDescent="0.25">
      <c r="A466" s="787" t="s">
        <v>3106</v>
      </c>
      <c r="B466" s="789" t="str">
        <f>IF('RO2'!D$47="","",'RO2'!D$47)</f>
        <v/>
      </c>
      <c r="C466" s="790">
        <f ca="1">IF(ISERROR(VLOOKUP($A$637,INDIRECT("notes_"&amp;LEFT($A$637,3)),4,0)),0,VLOOKUP($A$637,INDIRECT("notes_"&amp;LEFT($A$637,3)),4,0))</f>
        <v>0</v>
      </c>
    </row>
    <row r="467" spans="1:3" x14ac:dyDescent="0.25">
      <c r="A467" s="787" t="s">
        <v>3107</v>
      </c>
      <c r="B467" s="789" t="str">
        <f>IF('RO2'!D$48="","",'RO2'!D$48)</f>
        <v/>
      </c>
      <c r="C467" s="790">
        <f ca="1">IF(ISERROR(VLOOKUP($A$638,INDIRECT("notes_"&amp;LEFT($A$638,3)),4,0)),0,VLOOKUP($A$638,INDIRECT("notes_"&amp;LEFT($A$638,3)),4,0))</f>
        <v>0</v>
      </c>
    </row>
    <row r="468" spans="1:3" x14ac:dyDescent="0.25">
      <c r="A468" s="787" t="s">
        <v>3108</v>
      </c>
      <c r="B468" s="789" t="str">
        <f>IF('RO2'!D$51="","",'RO2'!D$51)</f>
        <v/>
      </c>
      <c r="C468" s="790">
        <f ca="1">IF(ISERROR(VLOOKUP($A$639,INDIRECT("notes_"&amp;LEFT($A$639,3)),4,0)),0,VLOOKUP($A$639,INDIRECT("notes_"&amp;LEFT($A$639,3)),4,0))</f>
        <v>0</v>
      </c>
    </row>
    <row r="469" spans="1:3" x14ac:dyDescent="0.25">
      <c r="A469" s="787" t="s">
        <v>3109</v>
      </c>
      <c r="B469" s="789" t="str">
        <f>IF('RO2'!D$52="","",'RO2'!D$52)</f>
        <v/>
      </c>
      <c r="C469" s="790">
        <f ca="1">IF(ISERROR(VLOOKUP($A$640,INDIRECT("notes_"&amp;LEFT($A$640,3)),4,0)),0,VLOOKUP($A$640,INDIRECT("notes_"&amp;LEFT($A$640,3)),4,0))</f>
        <v>0</v>
      </c>
    </row>
    <row r="470" spans="1:3" x14ac:dyDescent="0.25">
      <c r="A470" s="787" t="s">
        <v>3110</v>
      </c>
      <c r="B470" s="789" t="str">
        <f>IF('RO2'!D$55="","",'RO2'!D$55)</f>
        <v/>
      </c>
      <c r="C470" s="790">
        <f ca="1">IF(ISERROR(VLOOKUP($A$641,INDIRECT("notes_"&amp;LEFT($A$641,3)),4,0)),0,VLOOKUP($A$641,INDIRECT("notes_"&amp;LEFT($A$641,3)),4,0))</f>
        <v>0</v>
      </c>
    </row>
    <row r="471" spans="1:3" x14ac:dyDescent="0.25">
      <c r="A471" s="787" t="s">
        <v>3111</v>
      </c>
      <c r="B471" s="789" t="str">
        <f>IF('RO2'!D$56="","",'RO2'!D$56)</f>
        <v/>
      </c>
      <c r="C471" s="790">
        <f ca="1">IF(ISERROR(VLOOKUP($A$642,INDIRECT("notes_"&amp;LEFT($A$642,3)),4,0)),0,VLOOKUP($A$642,INDIRECT("notes_"&amp;LEFT($A$642,3)),4,0))</f>
        <v>0</v>
      </c>
    </row>
    <row r="472" spans="1:3" x14ac:dyDescent="0.25">
      <c r="A472" s="787" t="s">
        <v>3112</v>
      </c>
      <c r="B472" s="789" t="str">
        <f>IF('RO2'!D$57="","",'RO2'!D$57)</f>
        <v/>
      </c>
      <c r="C472" s="790">
        <f ca="1">IF(ISERROR(VLOOKUP($A$643,INDIRECT("notes_"&amp;LEFT($A$643,3)),4,0)),0,VLOOKUP($A$643,INDIRECT("notes_"&amp;LEFT($A$643,3)),4,0))</f>
        <v>0</v>
      </c>
    </row>
    <row r="473" spans="1:3" x14ac:dyDescent="0.25">
      <c r="A473" s="787" t="s">
        <v>3113</v>
      </c>
      <c r="B473" s="789" t="str">
        <f>IF('RO2'!D$58="","",'RO2'!D$58)</f>
        <v/>
      </c>
      <c r="C473" s="790">
        <f ca="1">IF(ISERROR(VLOOKUP($A$644,INDIRECT("notes_"&amp;LEFT($A$644,3)),4,0)),0,VLOOKUP($A$644,INDIRECT("notes_"&amp;LEFT($A$644,3)),4,0))</f>
        <v>0</v>
      </c>
    </row>
    <row r="474" spans="1:3" x14ac:dyDescent="0.25">
      <c r="A474" s="787" t="s">
        <v>3114</v>
      </c>
      <c r="B474" s="789" t="str">
        <f>IF('RO2'!D$59="","",'RO2'!D$59)</f>
        <v/>
      </c>
      <c r="C474" s="790">
        <f ca="1">IF(ISERROR(VLOOKUP($A$645,INDIRECT("notes_"&amp;LEFT($A$645,3)),4,0)),0,VLOOKUP($A$645,INDIRECT("notes_"&amp;LEFT($A$645,3)),4,0))</f>
        <v>0</v>
      </c>
    </row>
    <row r="475" spans="1:3" x14ac:dyDescent="0.25">
      <c r="A475" s="787" t="s">
        <v>3115</v>
      </c>
      <c r="B475" s="789" t="str">
        <f>IF('RO2'!D$60="","",'RO2'!D$60)</f>
        <v/>
      </c>
      <c r="C475" s="790">
        <f ca="1">IF(ISERROR(VLOOKUP($A$646,INDIRECT("notes_"&amp;LEFT($A$646,3)),4,0)),0,VLOOKUP($A$646,INDIRECT("notes_"&amp;LEFT($A$646,3)),4,0))</f>
        <v>0</v>
      </c>
    </row>
    <row r="476" spans="1:3" x14ac:dyDescent="0.25">
      <c r="A476" s="787" t="s">
        <v>3116</v>
      </c>
      <c r="B476" s="789" t="str">
        <f>IF('RO2'!D$62="","",'RO2'!D$62)</f>
        <v/>
      </c>
      <c r="C476" s="790">
        <f ca="1">IF(ISERROR(VLOOKUP($A$647,INDIRECT("notes_"&amp;LEFT($A$647,3)),4,0)),0,VLOOKUP($A$647,INDIRECT("notes_"&amp;LEFT($A$647,3)),4,0))</f>
        <v>0</v>
      </c>
    </row>
    <row r="477" spans="1:3" x14ac:dyDescent="0.25">
      <c r="A477" s="787" t="s">
        <v>3117</v>
      </c>
      <c r="B477" s="789">
        <f>IF('RO2'!D$64="","",'RO2'!D$64)</f>
        <v>0</v>
      </c>
      <c r="C477" s="790">
        <f ca="1">IF(ISERROR(VLOOKUP($A$648,INDIRECT("notes_"&amp;LEFT($A$648,3)),4,0)),0,VLOOKUP($A$648,INDIRECT("notes_"&amp;LEFT($A$648,3)),4,0))</f>
        <v>0</v>
      </c>
    </row>
    <row r="478" spans="1:3" x14ac:dyDescent="0.25">
      <c r="A478" s="787" t="s">
        <v>3118</v>
      </c>
      <c r="B478" s="789" t="str">
        <f>IF('RO2'!D$82="","",'RO2'!D$82)</f>
        <v/>
      </c>
      <c r="C478" s="790">
        <f ca="1">IF(ISERROR(VLOOKUP($A$649,INDIRECT("notes_"&amp;LEFT($A$649,3)),4,0)),0,VLOOKUP($A$649,INDIRECT("notes_"&amp;LEFT($A$649,3)),4,0))</f>
        <v>0</v>
      </c>
    </row>
    <row r="479" spans="1:3" x14ac:dyDescent="0.25">
      <c r="A479" s="787" t="s">
        <v>3119</v>
      </c>
      <c r="B479" s="789" t="str">
        <f>IF('RO2'!D$94="","",'RO2'!D$94)</f>
        <v/>
      </c>
      <c r="C479" s="790">
        <f ca="1">IF(ISERROR(VLOOKUP($A$650,INDIRECT("notes_"&amp;LEFT($A$650,3)),4,0)),0,VLOOKUP($A$650,INDIRECT("notes_"&amp;LEFT($A$650,3)),4,0))</f>
        <v>0</v>
      </c>
    </row>
    <row r="480" spans="1:3" x14ac:dyDescent="0.25">
      <c r="A480" s="787" t="s">
        <v>3120</v>
      </c>
      <c r="B480" s="789" t="str">
        <f>IF('RO2'!D$95="","",'RO2'!D$95)</f>
        <v/>
      </c>
      <c r="C480" s="790">
        <f ca="1">IF(ISERROR(VLOOKUP($A$651,INDIRECT("notes_"&amp;LEFT($A$651,3)),4,0)),0,VLOOKUP($A$651,INDIRECT("notes_"&amp;LEFT($A$651,3)),4,0))</f>
        <v>0</v>
      </c>
    </row>
    <row r="481" spans="1:3" x14ac:dyDescent="0.25">
      <c r="A481" s="787" t="s">
        <v>3121</v>
      </c>
      <c r="B481" s="789" t="str">
        <f>IF('RO2'!D$96="","",'RO2'!D$96)</f>
        <v/>
      </c>
      <c r="C481" s="790">
        <f ca="1">IF(ISERROR(VLOOKUP($A$652,INDIRECT("notes_"&amp;LEFT($A$652,3)),4,0)),0,VLOOKUP($A$652,INDIRECT("notes_"&amp;LEFT($A$652,3)),4,0))</f>
        <v>0</v>
      </c>
    </row>
    <row r="482" spans="1:3" x14ac:dyDescent="0.25">
      <c r="A482" s="787" t="s">
        <v>3122</v>
      </c>
      <c r="B482" s="789" t="str">
        <f>IF('RO2'!E$31="","",'RO2'!E$31)</f>
        <v/>
      </c>
      <c r="C482" s="790">
        <f ca="1">IF(ISERROR(VLOOKUP($A$626,INDIRECT("notes_"&amp;LEFT($A$626,3)),4,0)),0,VLOOKUP($A$626,INDIRECT("notes_"&amp;LEFT($A$626,3)),4,0))</f>
        <v>0</v>
      </c>
    </row>
    <row r="483" spans="1:3" x14ac:dyDescent="0.25">
      <c r="A483" s="787" t="s">
        <v>3123</v>
      </c>
      <c r="B483" s="789" t="str">
        <f>IF('RO2'!E$32="","",'RO2'!E$32)</f>
        <v/>
      </c>
      <c r="C483" s="790">
        <f ca="1">IF(ISERROR(VLOOKUP($A$627,INDIRECT("notes_"&amp;LEFT($A$627,3)),4,0)),0,VLOOKUP($A$627,INDIRECT("notes_"&amp;LEFT($A$627,3)),4,0))</f>
        <v>0</v>
      </c>
    </row>
    <row r="484" spans="1:3" x14ac:dyDescent="0.25">
      <c r="A484" s="787" t="s">
        <v>3124</v>
      </c>
      <c r="B484" s="789" t="str">
        <f>IF('RO2'!E$35="","",'RO2'!E$35)</f>
        <v/>
      </c>
      <c r="C484" s="790">
        <f ca="1">IF(ISERROR(VLOOKUP($A$628,INDIRECT("notes_"&amp;LEFT($A$628,3)),4,0)),0,VLOOKUP($A$628,INDIRECT("notes_"&amp;LEFT($A$628,3)),4,0))</f>
        <v>0</v>
      </c>
    </row>
    <row r="485" spans="1:3" x14ac:dyDescent="0.25">
      <c r="A485" s="787" t="s">
        <v>3125</v>
      </c>
      <c r="B485" s="789" t="str">
        <f>IF('RO2'!E$36="","",'RO2'!E$36)</f>
        <v/>
      </c>
      <c r="C485" s="790">
        <f ca="1">IF(ISERROR(VLOOKUP($A$629,INDIRECT("notes_"&amp;LEFT($A$629,3)),4,0)),0,VLOOKUP($A$629,INDIRECT("notes_"&amp;LEFT($A$629,3)),4,0))</f>
        <v>0</v>
      </c>
    </row>
    <row r="486" spans="1:3" x14ac:dyDescent="0.25">
      <c r="A486" s="787" t="s">
        <v>3126</v>
      </c>
      <c r="B486" s="789" t="str">
        <f>IF('RO2'!E$37="","",'RO2'!E$37)</f>
        <v/>
      </c>
      <c r="C486" s="790">
        <f ca="1">IF(ISERROR(VLOOKUP($A$630,INDIRECT("notes_"&amp;LEFT($A$630,3)),4,0)),0,VLOOKUP($A$630,INDIRECT("notes_"&amp;LEFT($A$630,3)),4,0))</f>
        <v>0</v>
      </c>
    </row>
    <row r="487" spans="1:3" x14ac:dyDescent="0.25">
      <c r="A487" s="787" t="s">
        <v>3127</v>
      </c>
      <c r="B487" s="789" t="str">
        <f>IF('RO2'!E$38="","",'RO2'!E$38)</f>
        <v/>
      </c>
      <c r="C487" s="790">
        <f ca="1">IF(ISERROR(VLOOKUP($A$631,INDIRECT("notes_"&amp;LEFT($A$631,3)),4,0)),0,VLOOKUP($A$631,INDIRECT("notes_"&amp;LEFT($A$631,3)),4,0))</f>
        <v>0</v>
      </c>
    </row>
    <row r="488" spans="1:3" x14ac:dyDescent="0.25">
      <c r="A488" s="787" t="s">
        <v>3128</v>
      </c>
      <c r="B488" s="789" t="str">
        <f>IF('RO2'!E$39="","",'RO2'!E$39)</f>
        <v/>
      </c>
      <c r="C488" s="790">
        <f ca="1">IF(ISERROR(VLOOKUP($A$632,INDIRECT("notes_"&amp;LEFT($A$632,3)),4,0)),0,VLOOKUP($A$632,INDIRECT("notes_"&amp;LEFT($A$632,3)),4,0))</f>
        <v>0</v>
      </c>
    </row>
    <row r="489" spans="1:3" x14ac:dyDescent="0.25">
      <c r="A489" s="787" t="s">
        <v>3129</v>
      </c>
      <c r="B489" s="789" t="str">
        <f>IF('RO2'!E$40="","",'RO2'!E$40)</f>
        <v/>
      </c>
      <c r="C489" s="790">
        <f ca="1">IF(ISERROR(VLOOKUP($A$633,INDIRECT("notes_"&amp;LEFT($A$633,3)),4,0)),0,VLOOKUP($A$633,INDIRECT("notes_"&amp;LEFT($A$633,3)),4,0))</f>
        <v>0</v>
      </c>
    </row>
    <row r="490" spans="1:3" x14ac:dyDescent="0.25">
      <c r="A490" s="787" t="s">
        <v>3130</v>
      </c>
      <c r="B490" s="789" t="str">
        <f>IF('RO2'!E$41="","",'RO2'!E$41)</f>
        <v/>
      </c>
      <c r="C490" s="790">
        <f ca="1">IF(ISERROR(VLOOKUP($A$634,INDIRECT("notes_"&amp;LEFT($A$634,3)),4,0)),0,VLOOKUP($A$634,INDIRECT("notes_"&amp;LEFT($A$634,3)),4,0))</f>
        <v>0</v>
      </c>
    </row>
    <row r="491" spans="1:3" x14ac:dyDescent="0.25">
      <c r="A491" s="787" t="s">
        <v>3131</v>
      </c>
      <c r="B491" s="789" t="str">
        <f>IF('RO2'!E$45="","",'RO2'!E$45)</f>
        <v/>
      </c>
      <c r="C491" s="790">
        <f ca="1">IF(ISERROR(VLOOKUP($A$635,INDIRECT("notes_"&amp;LEFT($A$635,3)),4,0)),0,VLOOKUP($A$635,INDIRECT("notes_"&amp;LEFT($A$635,3)),4,0))</f>
        <v>0</v>
      </c>
    </row>
    <row r="492" spans="1:3" x14ac:dyDescent="0.25">
      <c r="A492" s="787" t="s">
        <v>3132</v>
      </c>
      <c r="B492" s="789" t="str">
        <f>IF('RO2'!E$46="","",'RO2'!E$46)</f>
        <v/>
      </c>
      <c r="C492" s="790">
        <f ca="1">IF(ISERROR(VLOOKUP($A$636,INDIRECT("notes_"&amp;LEFT($A$636,3)),4,0)),0,VLOOKUP($A$636,INDIRECT("notes_"&amp;LEFT($A$636,3)),4,0))</f>
        <v>0</v>
      </c>
    </row>
    <row r="493" spans="1:3" x14ac:dyDescent="0.25">
      <c r="A493" s="787" t="s">
        <v>3133</v>
      </c>
      <c r="B493" s="789" t="str">
        <f>IF('RO2'!E$47="","",'RO2'!E$47)</f>
        <v/>
      </c>
      <c r="C493" s="790">
        <f ca="1">IF(ISERROR(VLOOKUP($A$637,INDIRECT("notes_"&amp;LEFT($A$637,3)),4,0)),0,VLOOKUP($A$637,INDIRECT("notes_"&amp;LEFT($A$637,3)),4,0))</f>
        <v>0</v>
      </c>
    </row>
    <row r="494" spans="1:3" x14ac:dyDescent="0.25">
      <c r="A494" s="787" t="s">
        <v>3134</v>
      </c>
      <c r="B494" s="789" t="str">
        <f>IF('RO2'!E$48="","",'RO2'!E$48)</f>
        <v/>
      </c>
      <c r="C494" s="790">
        <f ca="1">IF(ISERROR(VLOOKUP($A$638,INDIRECT("notes_"&amp;LEFT($A$638,3)),4,0)),0,VLOOKUP($A$638,INDIRECT("notes_"&amp;LEFT($A$638,3)),4,0))</f>
        <v>0</v>
      </c>
    </row>
    <row r="495" spans="1:3" x14ac:dyDescent="0.25">
      <c r="A495" s="787" t="s">
        <v>3135</v>
      </c>
      <c r="B495" s="789" t="str">
        <f>IF('RO2'!E$51="","",'RO2'!E$51)</f>
        <v/>
      </c>
      <c r="C495" s="790">
        <f ca="1">IF(ISERROR(VLOOKUP($A$639,INDIRECT("notes_"&amp;LEFT($A$639,3)),4,0)),0,VLOOKUP($A$639,INDIRECT("notes_"&amp;LEFT($A$639,3)),4,0))</f>
        <v>0</v>
      </c>
    </row>
    <row r="496" spans="1:3" x14ac:dyDescent="0.25">
      <c r="A496" s="787" t="s">
        <v>3136</v>
      </c>
      <c r="B496" s="789" t="str">
        <f>IF('RO2'!E$52="","",'RO2'!E$52)</f>
        <v/>
      </c>
      <c r="C496" s="790">
        <f ca="1">IF(ISERROR(VLOOKUP($A$640,INDIRECT("notes_"&amp;LEFT($A$640,3)),4,0)),0,VLOOKUP($A$640,INDIRECT("notes_"&amp;LEFT($A$640,3)),4,0))</f>
        <v>0</v>
      </c>
    </row>
    <row r="497" spans="1:6" x14ac:dyDescent="0.25">
      <c r="A497" s="787" t="s">
        <v>3137</v>
      </c>
      <c r="B497" s="789" t="str">
        <f>IF('RO2'!E$55="","",'RO2'!E$55)</f>
        <v/>
      </c>
      <c r="C497" s="790">
        <f ca="1">IF(ISERROR(VLOOKUP($A$641,INDIRECT("notes_"&amp;LEFT($A$641,3)),4,0)),0,VLOOKUP($A$641,INDIRECT("notes_"&amp;LEFT($A$641,3)),4,0))</f>
        <v>0</v>
      </c>
    </row>
    <row r="498" spans="1:6" x14ac:dyDescent="0.25">
      <c r="A498" s="787" t="s">
        <v>3138</v>
      </c>
      <c r="B498" s="789" t="str">
        <f>IF('RO2'!E$56="","",'RO2'!E$56)</f>
        <v/>
      </c>
      <c r="C498" s="790">
        <f ca="1">IF(ISERROR(VLOOKUP($A$642,INDIRECT("notes_"&amp;LEFT($A$642,3)),4,0)),0,VLOOKUP($A$642,INDIRECT("notes_"&amp;LEFT($A$642,3)),4,0))</f>
        <v>0</v>
      </c>
    </row>
    <row r="499" spans="1:6" x14ac:dyDescent="0.25">
      <c r="A499" s="787" t="s">
        <v>3139</v>
      </c>
      <c r="B499" s="789" t="str">
        <f>IF('RO2'!E$57="","",'RO2'!E$57)</f>
        <v/>
      </c>
      <c r="C499" s="790">
        <f ca="1">IF(ISERROR(VLOOKUP($A$643,INDIRECT("notes_"&amp;LEFT($A$643,3)),4,0)),0,VLOOKUP($A$643,INDIRECT("notes_"&amp;LEFT($A$643,3)),4,0))</f>
        <v>0</v>
      </c>
    </row>
    <row r="500" spans="1:6" x14ac:dyDescent="0.25">
      <c r="A500" s="787" t="s">
        <v>3140</v>
      </c>
      <c r="B500" s="789" t="str">
        <f>IF('RO2'!E$58="","",'RO2'!E$58)</f>
        <v/>
      </c>
      <c r="C500" s="790">
        <f ca="1">IF(ISERROR(VLOOKUP($A$644,INDIRECT("notes_"&amp;LEFT($A$644,3)),4,0)),0,VLOOKUP($A$644,INDIRECT("notes_"&amp;LEFT($A$644,3)),4,0))</f>
        <v>0</v>
      </c>
    </row>
    <row r="501" spans="1:6" x14ac:dyDescent="0.25">
      <c r="A501" s="787" t="s">
        <v>3141</v>
      </c>
      <c r="B501" s="789" t="str">
        <f>IF('RO2'!E$59="","",'RO2'!E$59)</f>
        <v/>
      </c>
      <c r="C501" s="790">
        <f ca="1">IF(ISERROR(VLOOKUP($A$645,INDIRECT("notes_"&amp;LEFT($A$645,3)),4,0)),0,VLOOKUP($A$645,INDIRECT("notes_"&amp;LEFT($A$645,3)),4,0))</f>
        <v>0</v>
      </c>
    </row>
    <row r="502" spans="1:6" x14ac:dyDescent="0.25">
      <c r="A502" s="787" t="s">
        <v>3142</v>
      </c>
      <c r="B502" s="789" t="str">
        <f>IF('RO2'!E$60="","",'RO2'!E$60)</f>
        <v/>
      </c>
      <c r="C502" s="790">
        <f ca="1">IF(ISERROR(VLOOKUP($A$646,INDIRECT("notes_"&amp;LEFT($A$646,3)),4,0)),0,VLOOKUP($A$646,INDIRECT("notes_"&amp;LEFT($A$646,3)),4,0))</f>
        <v>0</v>
      </c>
    </row>
    <row r="503" spans="1:6" x14ac:dyDescent="0.25">
      <c r="A503" s="787" t="s">
        <v>3143</v>
      </c>
      <c r="B503" s="789" t="str">
        <f>IF('RO2'!E$62="","",'RO2'!E$62)</f>
        <v/>
      </c>
      <c r="C503" s="790">
        <f ca="1">IF(ISERROR(VLOOKUP($A$647,INDIRECT("notes_"&amp;LEFT($A$647,3)),4,0)),0,VLOOKUP($A$647,INDIRECT("notes_"&amp;LEFT($A$647,3)),4,0))</f>
        <v>0</v>
      </c>
    </row>
    <row r="504" spans="1:6" x14ac:dyDescent="0.25">
      <c r="A504" s="787" t="s">
        <v>3144</v>
      </c>
      <c r="B504" s="789">
        <f>IF('RO2'!E$64="","",'RO2'!E$64)</f>
        <v>0</v>
      </c>
      <c r="C504" s="790">
        <f ca="1">IF(ISERROR(VLOOKUP($A$648,INDIRECT("notes_"&amp;LEFT($A$648,3)),4,0)),0,VLOOKUP($A$648,INDIRECT("notes_"&amp;LEFT($A$648,3)),4,0))</f>
        <v>0</v>
      </c>
    </row>
    <row r="505" spans="1:6" x14ac:dyDescent="0.25">
      <c r="A505" s="817" t="s">
        <v>2534</v>
      </c>
      <c r="B505" s="818" t="str">
        <f>IF('RO2'!E$68="","",'RO2'!E$68)</f>
        <v/>
      </c>
      <c r="C505" s="819">
        <f ca="1">IF(ISERROR(VLOOKUP($A$505,INDIRECT("notes_"&amp;LEFT($A$505,3)),4,0)),0,VLOOKUP($A$505,INDIRECT("notes_"&amp;LEFT($A$505,3)),4,0))</f>
        <v>0</v>
      </c>
    </row>
    <row r="506" spans="1:6" x14ac:dyDescent="0.25">
      <c r="A506" s="787" t="s">
        <v>3145</v>
      </c>
      <c r="B506" s="789" t="str">
        <f>IF('RO2'!E$82="","",'RO2'!E$82)</f>
        <v/>
      </c>
      <c r="C506" s="790">
        <f ca="1">IF(ISERROR(VLOOKUP($A$649,INDIRECT("notes_"&amp;LEFT($A$649,3)),4,0)),0,VLOOKUP($A$649,INDIRECT("notes_"&amp;LEFT($A$649,3)),4,0))</f>
        <v>0</v>
      </c>
    </row>
    <row r="507" spans="1:6" x14ac:dyDescent="0.25">
      <c r="A507" s="787" t="s">
        <v>2526</v>
      </c>
      <c r="B507" s="789" t="str">
        <f>IF('RO2'!E$85="","",'RO2'!E$85)</f>
        <v/>
      </c>
      <c r="C507" s="790">
        <f ca="1">IF(ISERROR(VLOOKUP(A507,INDIRECT("notes_"&amp;LEFT(A507,3)),4,0)),0,VLOOKUP(A507,INDIRECT("notes_"&amp;LEFT(A507,3)),4,0))</f>
        <v>0</v>
      </c>
      <c r="D507" s="789" t="str">
        <f>'RO2'!L85</f>
        <v/>
      </c>
      <c r="E507" s="789" t="str">
        <f>'RO2'!M85</f>
        <v/>
      </c>
      <c r="F507" s="789" t="str">
        <f>'RO2'!O85</f>
        <v/>
      </c>
    </row>
    <row r="508" spans="1:6" x14ac:dyDescent="0.25">
      <c r="A508" s="787" t="s">
        <v>2527</v>
      </c>
      <c r="B508" s="789" t="str">
        <f>IF('RO2'!E$86="","",'RO2'!E$86)</f>
        <v/>
      </c>
      <c r="C508" s="790">
        <f ca="1">IF(ISERROR(VLOOKUP(A508,INDIRECT("notes_"&amp;LEFT(A508,3)),4,0)),0,VLOOKUP(A508,INDIRECT("notes_"&amp;LEFT(A508,3)),4,0))</f>
        <v>0</v>
      </c>
      <c r="D508" s="789" t="str">
        <f>'RO2'!L86</f>
        <v/>
      </c>
      <c r="E508" s="789" t="str">
        <f>'RO2'!M86</f>
        <v/>
      </c>
      <c r="F508" s="789" t="str">
        <f>'RO2'!O86</f>
        <v/>
      </c>
    </row>
    <row r="509" spans="1:6" x14ac:dyDescent="0.25">
      <c r="A509" s="787" t="s">
        <v>3146</v>
      </c>
      <c r="B509" s="789" t="str">
        <f>IF('RO2'!E$94="","",'RO2'!E$94)</f>
        <v/>
      </c>
      <c r="C509" s="790">
        <f ca="1">IF(ISERROR(VLOOKUP($A$650,INDIRECT("notes_"&amp;LEFT($A$650,3)),4,0)),0,VLOOKUP($A$650,INDIRECT("notes_"&amp;LEFT($A$650,3)),4,0))</f>
        <v>0</v>
      </c>
    </row>
    <row r="510" spans="1:6" x14ac:dyDescent="0.25">
      <c r="A510" s="787" t="s">
        <v>3147</v>
      </c>
      <c r="B510" s="789" t="str">
        <f>IF('RO2'!E$95="","",'RO2'!E$95)</f>
        <v/>
      </c>
      <c r="C510" s="790">
        <f ca="1">IF(ISERROR(VLOOKUP($A$651,INDIRECT("notes_"&amp;LEFT($A$651,3)),4,0)),0,VLOOKUP($A$651,INDIRECT("notes_"&amp;LEFT($A$651,3)),4,0))</f>
        <v>0</v>
      </c>
    </row>
    <row r="511" spans="1:6" x14ac:dyDescent="0.25">
      <c r="A511" s="787" t="s">
        <v>3148</v>
      </c>
      <c r="B511" s="789" t="str">
        <f>IF('RO2'!E$96="","",'RO2'!E$96)</f>
        <v/>
      </c>
      <c r="C511" s="790">
        <f ca="1">IF(ISERROR(VLOOKUP($A$652,INDIRECT("notes_"&amp;LEFT($A$652,3)),4,0)),0,VLOOKUP($A$652,INDIRECT("notes_"&amp;LEFT($A$652,3)),4,0))</f>
        <v>0</v>
      </c>
    </row>
    <row r="512" spans="1:6" x14ac:dyDescent="0.25">
      <c r="A512" s="787" t="s">
        <v>3149</v>
      </c>
      <c r="B512" s="789">
        <f>IF('RO2'!F$31="","",'RO2'!F$31)</f>
        <v>0</v>
      </c>
      <c r="C512" s="790">
        <f ca="1">IF(ISERROR(VLOOKUP($A$626,INDIRECT("notes_"&amp;LEFT($A$626,3)),4,0)),0,VLOOKUP($A$626,INDIRECT("notes_"&amp;LEFT($A$626,3)),4,0))</f>
        <v>0</v>
      </c>
    </row>
    <row r="513" spans="1:3" x14ac:dyDescent="0.25">
      <c r="A513" s="787" t="s">
        <v>3150</v>
      </c>
      <c r="B513" s="789">
        <f>IF('RO2'!F$32="","",'RO2'!F$32)</f>
        <v>0</v>
      </c>
      <c r="C513" s="790">
        <f ca="1">IF(ISERROR(VLOOKUP($A$627,INDIRECT("notes_"&amp;LEFT($A$627,3)),4,0)),0,VLOOKUP($A$627,INDIRECT("notes_"&amp;LEFT($A$627,3)),4,0))</f>
        <v>0</v>
      </c>
    </row>
    <row r="514" spans="1:3" x14ac:dyDescent="0.25">
      <c r="A514" s="787" t="s">
        <v>3151</v>
      </c>
      <c r="B514" s="789">
        <f>IF('RO2'!F$35="","",'RO2'!F$35)</f>
        <v>0</v>
      </c>
      <c r="C514" s="790">
        <f ca="1">IF(ISERROR(VLOOKUP($A$628,INDIRECT("notes_"&amp;LEFT($A$628,3)),4,0)),0,VLOOKUP($A$628,INDIRECT("notes_"&amp;LEFT($A$628,3)),4,0))</f>
        <v>0</v>
      </c>
    </row>
    <row r="515" spans="1:3" x14ac:dyDescent="0.25">
      <c r="A515" s="787" t="s">
        <v>3152</v>
      </c>
      <c r="B515" s="789">
        <f>IF('RO2'!F$36="","",'RO2'!F$36)</f>
        <v>0</v>
      </c>
      <c r="C515" s="790">
        <f ca="1">IF(ISERROR(VLOOKUP($A$629,INDIRECT("notes_"&amp;LEFT($A$629,3)),4,0)),0,VLOOKUP($A$629,INDIRECT("notes_"&amp;LEFT($A$629,3)),4,0))</f>
        <v>0</v>
      </c>
    </row>
    <row r="516" spans="1:3" x14ac:dyDescent="0.25">
      <c r="A516" s="787" t="s">
        <v>3153</v>
      </c>
      <c r="B516" s="789">
        <f>IF('RO2'!F$37="","",'RO2'!F$37)</f>
        <v>0</v>
      </c>
      <c r="C516" s="790">
        <f ca="1">IF(ISERROR(VLOOKUP($A$630,INDIRECT("notes_"&amp;LEFT($A$630,3)),4,0)),0,VLOOKUP($A$630,INDIRECT("notes_"&amp;LEFT($A$630,3)),4,0))</f>
        <v>0</v>
      </c>
    </row>
    <row r="517" spans="1:3" x14ac:dyDescent="0.25">
      <c r="A517" s="787" t="s">
        <v>3154</v>
      </c>
      <c r="B517" s="789">
        <f>IF('RO2'!F$38="","",'RO2'!F$38)</f>
        <v>0</v>
      </c>
      <c r="C517" s="790">
        <f ca="1">IF(ISERROR(VLOOKUP($A$631,INDIRECT("notes_"&amp;LEFT($A$631,3)),4,0)),0,VLOOKUP($A$631,INDIRECT("notes_"&amp;LEFT($A$631,3)),4,0))</f>
        <v>0</v>
      </c>
    </row>
    <row r="518" spans="1:3" x14ac:dyDescent="0.25">
      <c r="A518" s="787" t="s">
        <v>3155</v>
      </c>
      <c r="B518" s="789">
        <f>IF('RO2'!F$39="","",'RO2'!F$39)</f>
        <v>0</v>
      </c>
      <c r="C518" s="790">
        <f ca="1">IF(ISERROR(VLOOKUP($A$632,INDIRECT("notes_"&amp;LEFT($A$632,3)),4,0)),0,VLOOKUP($A$632,INDIRECT("notes_"&amp;LEFT($A$632,3)),4,0))</f>
        <v>0</v>
      </c>
    </row>
    <row r="519" spans="1:3" x14ac:dyDescent="0.25">
      <c r="A519" s="787" t="s">
        <v>3156</v>
      </c>
      <c r="B519" s="789">
        <f>IF('RO2'!F$40="","",'RO2'!F$40)</f>
        <v>0</v>
      </c>
      <c r="C519" s="790">
        <f ca="1">IF(ISERROR(VLOOKUP($A$633,INDIRECT("notes_"&amp;LEFT($A$633,3)),4,0)),0,VLOOKUP($A$633,INDIRECT("notes_"&amp;LEFT($A$633,3)),4,0))</f>
        <v>0</v>
      </c>
    </row>
    <row r="520" spans="1:3" x14ac:dyDescent="0.25">
      <c r="A520" s="787" t="s">
        <v>3157</v>
      </c>
      <c r="B520" s="789">
        <f>IF('RO2'!F$41="","",'RO2'!F$41)</f>
        <v>0</v>
      </c>
      <c r="C520" s="790">
        <f ca="1">IF(ISERROR(VLOOKUP($A$634,INDIRECT("notes_"&amp;LEFT($A$634,3)),4,0)),0,VLOOKUP($A$634,INDIRECT("notes_"&amp;LEFT($A$634,3)),4,0))</f>
        <v>0</v>
      </c>
    </row>
    <row r="521" spans="1:3" x14ac:dyDescent="0.25">
      <c r="A521" s="787" t="s">
        <v>3158</v>
      </c>
      <c r="B521" s="789">
        <f>IF('RO2'!F$45="","",'RO2'!F$45)</f>
        <v>0</v>
      </c>
      <c r="C521" s="790">
        <f ca="1">IF(ISERROR(VLOOKUP($A$635,INDIRECT("notes_"&amp;LEFT($A$635,3)),4,0)),0,VLOOKUP($A$635,INDIRECT("notes_"&amp;LEFT($A$635,3)),4,0))</f>
        <v>0</v>
      </c>
    </row>
    <row r="522" spans="1:3" x14ac:dyDescent="0.25">
      <c r="A522" s="787" t="s">
        <v>3159</v>
      </c>
      <c r="B522" s="789">
        <f>IF('RO2'!F$46="","",'RO2'!F$46)</f>
        <v>0</v>
      </c>
      <c r="C522" s="790">
        <f ca="1">IF(ISERROR(VLOOKUP($A$636,INDIRECT("notes_"&amp;LEFT($A$636,3)),4,0)),0,VLOOKUP($A$636,INDIRECT("notes_"&amp;LEFT($A$636,3)),4,0))</f>
        <v>0</v>
      </c>
    </row>
    <row r="523" spans="1:3" x14ac:dyDescent="0.25">
      <c r="A523" s="787" t="s">
        <v>3160</v>
      </c>
      <c r="B523" s="789">
        <f>IF('RO2'!F$47="","",'RO2'!F$47)</f>
        <v>0</v>
      </c>
      <c r="C523" s="790">
        <f ca="1">IF(ISERROR(VLOOKUP($A$637,INDIRECT("notes_"&amp;LEFT($A$637,3)),4,0)),0,VLOOKUP($A$637,INDIRECT("notes_"&amp;LEFT($A$637,3)),4,0))</f>
        <v>0</v>
      </c>
    </row>
    <row r="524" spans="1:3" x14ac:dyDescent="0.25">
      <c r="A524" s="787" t="s">
        <v>3161</v>
      </c>
      <c r="B524" s="789">
        <f>IF('RO2'!F$48="","",'RO2'!F$48)</f>
        <v>0</v>
      </c>
      <c r="C524" s="790">
        <f ca="1">IF(ISERROR(VLOOKUP($A$638,INDIRECT("notes_"&amp;LEFT($A$638,3)),4,0)),0,VLOOKUP($A$638,INDIRECT("notes_"&amp;LEFT($A$638,3)),4,0))</f>
        <v>0</v>
      </c>
    </row>
    <row r="525" spans="1:3" x14ac:dyDescent="0.25">
      <c r="A525" s="787" t="s">
        <v>3162</v>
      </c>
      <c r="B525" s="789">
        <f>IF('RO2'!F$51="","",'RO2'!F$51)</f>
        <v>0</v>
      </c>
      <c r="C525" s="790">
        <f ca="1">IF(ISERROR(VLOOKUP($A$639,INDIRECT("notes_"&amp;LEFT($A$639,3)),4,0)),0,VLOOKUP($A$639,INDIRECT("notes_"&amp;LEFT($A$639,3)),4,0))</f>
        <v>0</v>
      </c>
    </row>
    <row r="526" spans="1:3" x14ac:dyDescent="0.25">
      <c r="A526" s="787" t="s">
        <v>3163</v>
      </c>
      <c r="B526" s="789">
        <f>IF('RO2'!F$52="","",'RO2'!F$52)</f>
        <v>0</v>
      </c>
      <c r="C526" s="790">
        <f ca="1">IF(ISERROR(VLOOKUP($A$640,INDIRECT("notes_"&amp;LEFT($A$640,3)),4,0)),0,VLOOKUP($A$640,INDIRECT("notes_"&amp;LEFT($A$640,3)),4,0))</f>
        <v>0</v>
      </c>
    </row>
    <row r="527" spans="1:3" x14ac:dyDescent="0.25">
      <c r="A527" s="787" t="s">
        <v>3164</v>
      </c>
      <c r="B527" s="789">
        <f>IF('RO2'!F$55="","",'RO2'!F$55)</f>
        <v>0</v>
      </c>
      <c r="C527" s="790">
        <f ca="1">IF(ISERROR(VLOOKUP($A$641,INDIRECT("notes_"&amp;LEFT($A$641,3)),4,0)),0,VLOOKUP($A$641,INDIRECT("notes_"&amp;LEFT($A$641,3)),4,0))</f>
        <v>0</v>
      </c>
    </row>
    <row r="528" spans="1:3" x14ac:dyDescent="0.25">
      <c r="A528" s="787" t="s">
        <v>3165</v>
      </c>
      <c r="B528" s="789">
        <f>IF('RO2'!F$56="","",'RO2'!F$56)</f>
        <v>0</v>
      </c>
      <c r="C528" s="790">
        <f ca="1">IF(ISERROR(VLOOKUP($A$642,INDIRECT("notes_"&amp;LEFT($A$642,3)),4,0)),0,VLOOKUP($A$642,INDIRECT("notes_"&amp;LEFT($A$642,3)),4,0))</f>
        <v>0</v>
      </c>
    </row>
    <row r="529" spans="1:3" x14ac:dyDescent="0.25">
      <c r="A529" s="787" t="s">
        <v>3166</v>
      </c>
      <c r="B529" s="789">
        <f>IF('RO2'!F$57="","",'RO2'!F$57)</f>
        <v>0</v>
      </c>
      <c r="C529" s="790">
        <f ca="1">IF(ISERROR(VLOOKUP($A$643,INDIRECT("notes_"&amp;LEFT($A$643,3)),4,0)),0,VLOOKUP($A$643,INDIRECT("notes_"&amp;LEFT($A$643,3)),4,0))</f>
        <v>0</v>
      </c>
    </row>
    <row r="530" spans="1:3" x14ac:dyDescent="0.25">
      <c r="A530" s="787" t="s">
        <v>3167</v>
      </c>
      <c r="B530" s="789">
        <f>IF('RO2'!F$58="","",'RO2'!F$58)</f>
        <v>0</v>
      </c>
      <c r="C530" s="790">
        <f ca="1">IF(ISERROR(VLOOKUP($A$644,INDIRECT("notes_"&amp;LEFT($A$644,3)),4,0)),0,VLOOKUP($A$644,INDIRECT("notes_"&amp;LEFT($A$644,3)),4,0))</f>
        <v>0</v>
      </c>
    </row>
    <row r="531" spans="1:3" x14ac:dyDescent="0.25">
      <c r="A531" s="787" t="s">
        <v>3168</v>
      </c>
      <c r="B531" s="789">
        <f>IF('RO2'!F$59="","",'RO2'!F$59)</f>
        <v>0</v>
      </c>
      <c r="C531" s="790">
        <f ca="1">IF(ISERROR(VLOOKUP($A$645,INDIRECT("notes_"&amp;LEFT($A$645,3)),4,0)),0,VLOOKUP($A$645,INDIRECT("notes_"&amp;LEFT($A$645,3)),4,0))</f>
        <v>0</v>
      </c>
    </row>
    <row r="532" spans="1:3" x14ac:dyDescent="0.25">
      <c r="A532" s="787" t="s">
        <v>3169</v>
      </c>
      <c r="B532" s="789">
        <f>IF('RO2'!F$60="","",'RO2'!F$60)</f>
        <v>0</v>
      </c>
      <c r="C532" s="790">
        <f ca="1">IF(ISERROR(VLOOKUP($A$646,INDIRECT("notes_"&amp;LEFT($A$646,3)),4,0)),0,VLOOKUP($A$646,INDIRECT("notes_"&amp;LEFT($A$646,3)),4,0))</f>
        <v>0</v>
      </c>
    </row>
    <row r="533" spans="1:3" x14ac:dyDescent="0.25">
      <c r="A533" s="787" t="s">
        <v>3170</v>
      </c>
      <c r="B533" s="789">
        <f>IF('RO2'!F$62="","",'RO2'!F$62)</f>
        <v>0</v>
      </c>
      <c r="C533" s="790">
        <f ca="1">IF(ISERROR(VLOOKUP($A$647,INDIRECT("notes_"&amp;LEFT($A$647,3)),4,0)),0,VLOOKUP($A$647,INDIRECT("notes_"&amp;LEFT($A$647,3)),4,0))</f>
        <v>0</v>
      </c>
    </row>
    <row r="534" spans="1:3" x14ac:dyDescent="0.25">
      <c r="A534" s="787" t="s">
        <v>3171</v>
      </c>
      <c r="B534" s="789">
        <f>IF('RO2'!F$64="","",'RO2'!F$64)</f>
        <v>0</v>
      </c>
      <c r="C534" s="790">
        <f ca="1">IF(ISERROR(VLOOKUP($A$648,INDIRECT("notes_"&amp;LEFT($A$648,3)),4,0)),0,VLOOKUP($A$648,INDIRECT("notes_"&amp;LEFT($A$648,3)),4,0))</f>
        <v>0</v>
      </c>
    </row>
    <row r="535" spans="1:3" x14ac:dyDescent="0.25">
      <c r="A535" s="787" t="s">
        <v>3172</v>
      </c>
      <c r="B535" s="789">
        <f>IF('RO2'!F$82="","",'RO2'!F$82)</f>
        <v>0</v>
      </c>
      <c r="C535" s="790">
        <f ca="1">IF(ISERROR(VLOOKUP($A$649,INDIRECT("notes_"&amp;LEFT($A$649,3)),4,0)),0,VLOOKUP($A$649,INDIRECT("notes_"&amp;LEFT($A$649,3)),4,0))</f>
        <v>0</v>
      </c>
    </row>
    <row r="536" spans="1:3" x14ac:dyDescent="0.25">
      <c r="A536" s="787" t="s">
        <v>3173</v>
      </c>
      <c r="B536" s="789">
        <f>IF('RO2'!F$94="","",'RO2'!F$94)</f>
        <v>0</v>
      </c>
      <c r="C536" s="790">
        <f ca="1">IF(ISERROR(VLOOKUP($A$650,INDIRECT("notes_"&amp;LEFT($A$650,3)),4,0)),0,VLOOKUP($A$650,INDIRECT("notes_"&amp;LEFT($A$650,3)),4,0))</f>
        <v>0</v>
      </c>
    </row>
    <row r="537" spans="1:3" x14ac:dyDescent="0.25">
      <c r="A537" s="787" t="s">
        <v>3174</v>
      </c>
      <c r="B537" s="789">
        <f>IF('RO2'!F$95="","",'RO2'!F$95)</f>
        <v>0</v>
      </c>
      <c r="C537" s="790">
        <f ca="1">IF(ISERROR(VLOOKUP($A$651,INDIRECT("notes_"&amp;LEFT($A$651,3)),4,0)),0,VLOOKUP($A$651,INDIRECT("notes_"&amp;LEFT($A$651,3)),4,0))</f>
        <v>0</v>
      </c>
    </row>
    <row r="538" spans="1:3" x14ac:dyDescent="0.25">
      <c r="A538" s="787" t="s">
        <v>3175</v>
      </c>
      <c r="B538" s="789">
        <f>IF('RO2'!F$96="","",'RO2'!F$96)</f>
        <v>0</v>
      </c>
      <c r="C538" s="790">
        <f ca="1">IF(ISERROR(VLOOKUP($A$652,INDIRECT("notes_"&amp;LEFT($A$652,3)),4,0)),0,VLOOKUP($A$652,INDIRECT("notes_"&amp;LEFT($A$652,3)),4,0))</f>
        <v>0</v>
      </c>
    </row>
    <row r="539" spans="1:3" x14ac:dyDescent="0.25">
      <c r="A539" s="787" t="s">
        <v>3176</v>
      </c>
      <c r="B539" s="789" t="str">
        <f>IF('RO2'!G$31="","",'RO2'!G$31)</f>
        <v/>
      </c>
      <c r="C539" s="790">
        <f ca="1">IF(ISERROR(VLOOKUP($A$626,INDIRECT("notes_"&amp;LEFT($A$626,3)),4,0)),0,VLOOKUP($A$626,INDIRECT("notes_"&amp;LEFT($A$626,3)),4,0))</f>
        <v>0</v>
      </c>
    </row>
    <row r="540" spans="1:3" x14ac:dyDescent="0.25">
      <c r="A540" s="787" t="s">
        <v>3177</v>
      </c>
      <c r="B540" s="789" t="str">
        <f>IF('RO2'!G$32="","",'RO2'!G$32)</f>
        <v/>
      </c>
      <c r="C540" s="790">
        <f ca="1">IF(ISERROR(VLOOKUP($A$627,INDIRECT("notes_"&amp;LEFT($A$627,3)),4,0)),0,VLOOKUP($A$627,INDIRECT("notes_"&amp;LEFT($A$627,3)),4,0))</f>
        <v>0</v>
      </c>
    </row>
    <row r="541" spans="1:3" x14ac:dyDescent="0.25">
      <c r="A541" s="787" t="s">
        <v>3178</v>
      </c>
      <c r="B541" s="789" t="str">
        <f>IF('RO2'!G$35="","",'RO2'!G$35)</f>
        <v/>
      </c>
      <c r="C541" s="790">
        <f ca="1">IF(ISERROR(VLOOKUP($A$628,INDIRECT("notes_"&amp;LEFT($A$628,3)),4,0)),0,VLOOKUP($A$628,INDIRECT("notes_"&amp;LEFT($A$628,3)),4,0))</f>
        <v>0</v>
      </c>
    </row>
    <row r="542" spans="1:3" x14ac:dyDescent="0.25">
      <c r="A542" s="787" t="s">
        <v>3179</v>
      </c>
      <c r="B542" s="789" t="str">
        <f>IF('RO2'!G$36="","",'RO2'!G$36)</f>
        <v/>
      </c>
      <c r="C542" s="790">
        <f ca="1">IF(ISERROR(VLOOKUP($A$629,INDIRECT("notes_"&amp;LEFT($A$629,3)),4,0)),0,VLOOKUP($A$629,INDIRECT("notes_"&amp;LEFT($A$629,3)),4,0))</f>
        <v>0</v>
      </c>
    </row>
    <row r="543" spans="1:3" x14ac:dyDescent="0.25">
      <c r="A543" s="787" t="s">
        <v>3180</v>
      </c>
      <c r="B543" s="789" t="str">
        <f>IF('RO2'!G$37="","",'RO2'!G$37)</f>
        <v/>
      </c>
      <c r="C543" s="790">
        <f ca="1">IF(ISERROR(VLOOKUP($A$630,INDIRECT("notes_"&amp;LEFT($A$630,3)),4,0)),0,VLOOKUP($A$630,INDIRECT("notes_"&amp;LEFT($A$630,3)),4,0))</f>
        <v>0</v>
      </c>
    </row>
    <row r="544" spans="1:3" x14ac:dyDescent="0.25">
      <c r="A544" s="787" t="s">
        <v>3181</v>
      </c>
      <c r="B544" s="789" t="str">
        <f>IF('RO2'!G$38="","",'RO2'!G$38)</f>
        <v/>
      </c>
      <c r="C544" s="790">
        <f ca="1">IF(ISERROR(VLOOKUP($A$631,INDIRECT("notes_"&amp;LEFT($A$631,3)),4,0)),0,VLOOKUP($A$631,INDIRECT("notes_"&amp;LEFT($A$631,3)),4,0))</f>
        <v>0</v>
      </c>
    </row>
    <row r="545" spans="1:3" x14ac:dyDescent="0.25">
      <c r="A545" s="787" t="s">
        <v>3182</v>
      </c>
      <c r="B545" s="789" t="str">
        <f>IF('RO2'!G$39="","",'RO2'!G$39)</f>
        <v/>
      </c>
      <c r="C545" s="790">
        <f ca="1">IF(ISERROR(VLOOKUP($A$632,INDIRECT("notes_"&amp;LEFT($A$632,3)),4,0)),0,VLOOKUP($A$632,INDIRECT("notes_"&amp;LEFT($A$632,3)),4,0))</f>
        <v>0</v>
      </c>
    </row>
    <row r="546" spans="1:3" x14ac:dyDescent="0.25">
      <c r="A546" s="787" t="s">
        <v>3183</v>
      </c>
      <c r="B546" s="789" t="str">
        <f>IF('RO2'!G$40="","",'RO2'!G$40)</f>
        <v/>
      </c>
      <c r="C546" s="790">
        <f ca="1">IF(ISERROR(VLOOKUP($A$633,INDIRECT("notes_"&amp;LEFT($A$633,3)),4,0)),0,VLOOKUP($A$633,INDIRECT("notes_"&amp;LEFT($A$633,3)),4,0))</f>
        <v>0</v>
      </c>
    </row>
    <row r="547" spans="1:3" x14ac:dyDescent="0.25">
      <c r="A547" s="787" t="s">
        <v>3184</v>
      </c>
      <c r="B547" s="789" t="str">
        <f>IF('RO2'!G$41="","",'RO2'!G$41)</f>
        <v/>
      </c>
      <c r="C547" s="790">
        <f ca="1">IF(ISERROR(VLOOKUP($A$634,INDIRECT("notes_"&amp;LEFT($A$634,3)),4,0)),0,VLOOKUP($A$634,INDIRECT("notes_"&amp;LEFT($A$634,3)),4,0))</f>
        <v>0</v>
      </c>
    </row>
    <row r="548" spans="1:3" x14ac:dyDescent="0.25">
      <c r="A548" s="787" t="s">
        <v>3185</v>
      </c>
      <c r="B548" s="789" t="str">
        <f>IF('RO2'!G$45="","",'RO2'!G$45)</f>
        <v/>
      </c>
      <c r="C548" s="790">
        <f ca="1">IF(ISERROR(VLOOKUP($A$635,INDIRECT("notes_"&amp;LEFT($A$635,3)),4,0)),0,VLOOKUP($A$635,INDIRECT("notes_"&amp;LEFT($A$635,3)),4,0))</f>
        <v>0</v>
      </c>
    </row>
    <row r="549" spans="1:3" x14ac:dyDescent="0.25">
      <c r="A549" s="787" t="s">
        <v>3186</v>
      </c>
      <c r="B549" s="789" t="str">
        <f>IF('RO2'!G$46="","",'RO2'!G$46)</f>
        <v/>
      </c>
      <c r="C549" s="790">
        <f ca="1">IF(ISERROR(VLOOKUP($A$636,INDIRECT("notes_"&amp;LEFT($A$636,3)),4,0)),0,VLOOKUP($A$636,INDIRECT("notes_"&amp;LEFT($A$636,3)),4,0))</f>
        <v>0</v>
      </c>
    </row>
    <row r="550" spans="1:3" x14ac:dyDescent="0.25">
      <c r="A550" s="787" t="s">
        <v>3187</v>
      </c>
      <c r="B550" s="789" t="str">
        <f>IF('RO2'!G$47="","",'RO2'!G$47)</f>
        <v/>
      </c>
      <c r="C550" s="790">
        <f ca="1">IF(ISERROR(VLOOKUP($A$637,INDIRECT("notes_"&amp;LEFT($A$637,3)),4,0)),0,VLOOKUP($A$637,INDIRECT("notes_"&amp;LEFT($A$637,3)),4,0))</f>
        <v>0</v>
      </c>
    </row>
    <row r="551" spans="1:3" x14ac:dyDescent="0.25">
      <c r="A551" s="787" t="s">
        <v>3188</v>
      </c>
      <c r="B551" s="789" t="str">
        <f>IF('RO2'!G$48="","",'RO2'!G$48)</f>
        <v/>
      </c>
      <c r="C551" s="790">
        <f ca="1">IF(ISERROR(VLOOKUP($A$638,INDIRECT("notes_"&amp;LEFT($A$638,3)),4,0)),0,VLOOKUP($A$638,INDIRECT("notes_"&amp;LEFT($A$638,3)),4,0))</f>
        <v>0</v>
      </c>
    </row>
    <row r="552" spans="1:3" x14ac:dyDescent="0.25">
      <c r="A552" s="787" t="s">
        <v>3189</v>
      </c>
      <c r="B552" s="789">
        <f>IF('RO2'!G$51="","",'RO2'!G$51)</f>
        <v>0</v>
      </c>
      <c r="C552" s="790">
        <f ca="1">IF(ISERROR(VLOOKUP($A$639,INDIRECT("notes_"&amp;LEFT($A$639,3)),4,0)),0,VLOOKUP($A$639,INDIRECT("notes_"&amp;LEFT($A$639,3)),4,0))</f>
        <v>0</v>
      </c>
    </row>
    <row r="553" spans="1:3" x14ac:dyDescent="0.25">
      <c r="A553" s="787" t="s">
        <v>3190</v>
      </c>
      <c r="B553" s="789" t="str">
        <f>IF('RO2'!G$52="","",'RO2'!G$52)</f>
        <v/>
      </c>
      <c r="C553" s="790">
        <f ca="1">IF(ISERROR(VLOOKUP($A$640,INDIRECT("notes_"&amp;LEFT($A$640,3)),4,0)),0,VLOOKUP($A$640,INDIRECT("notes_"&amp;LEFT($A$640,3)),4,0))</f>
        <v>0</v>
      </c>
    </row>
    <row r="554" spans="1:3" x14ac:dyDescent="0.25">
      <c r="A554" s="787" t="s">
        <v>3191</v>
      </c>
      <c r="B554" s="789" t="str">
        <f>IF('RO2'!G$55="","",'RO2'!G$55)</f>
        <v/>
      </c>
      <c r="C554" s="790">
        <f ca="1">IF(ISERROR(VLOOKUP($A$641,INDIRECT("notes_"&amp;LEFT($A$641,3)),4,0)),0,VLOOKUP($A$641,INDIRECT("notes_"&amp;LEFT($A$641,3)),4,0))</f>
        <v>0</v>
      </c>
    </row>
    <row r="555" spans="1:3" x14ac:dyDescent="0.25">
      <c r="A555" s="787" t="s">
        <v>3192</v>
      </c>
      <c r="B555" s="789" t="str">
        <f>IF('RO2'!G$56="","",'RO2'!G$56)</f>
        <v/>
      </c>
      <c r="C555" s="790">
        <f ca="1">IF(ISERROR(VLOOKUP($A$642,INDIRECT("notes_"&amp;LEFT($A$642,3)),4,0)),0,VLOOKUP($A$642,INDIRECT("notes_"&amp;LEFT($A$642,3)),4,0))</f>
        <v>0</v>
      </c>
    </row>
    <row r="556" spans="1:3" x14ac:dyDescent="0.25">
      <c r="A556" s="787" t="s">
        <v>3193</v>
      </c>
      <c r="B556" s="789" t="str">
        <f>IF('RO2'!G$57="","",'RO2'!G$57)</f>
        <v/>
      </c>
      <c r="C556" s="790">
        <f ca="1">IF(ISERROR(VLOOKUP($A$643,INDIRECT("notes_"&amp;LEFT($A$643,3)),4,0)),0,VLOOKUP($A$643,INDIRECT("notes_"&amp;LEFT($A$643,3)),4,0))</f>
        <v>0</v>
      </c>
    </row>
    <row r="557" spans="1:3" x14ac:dyDescent="0.25">
      <c r="A557" s="787" t="s">
        <v>3194</v>
      </c>
      <c r="B557" s="789" t="str">
        <f>IF('RO2'!G$58="","",'RO2'!G$58)</f>
        <v/>
      </c>
      <c r="C557" s="790">
        <f ca="1">IF(ISERROR(VLOOKUP($A$644,INDIRECT("notes_"&amp;LEFT($A$644,3)),4,0)),0,VLOOKUP($A$644,INDIRECT("notes_"&amp;LEFT($A$644,3)),4,0))</f>
        <v>0</v>
      </c>
    </row>
    <row r="558" spans="1:3" x14ac:dyDescent="0.25">
      <c r="A558" s="787" t="s">
        <v>3195</v>
      </c>
      <c r="B558" s="789" t="str">
        <f>IF('RO2'!G$59="","",'RO2'!G$59)</f>
        <v/>
      </c>
      <c r="C558" s="790">
        <f ca="1">IF(ISERROR(VLOOKUP($A$645,INDIRECT("notes_"&amp;LEFT($A$645,3)),4,0)),0,VLOOKUP($A$645,INDIRECT("notes_"&amp;LEFT($A$645,3)),4,0))</f>
        <v>0</v>
      </c>
    </row>
    <row r="559" spans="1:3" x14ac:dyDescent="0.25">
      <c r="A559" s="787" t="s">
        <v>3196</v>
      </c>
      <c r="B559" s="789" t="str">
        <f>IF('RO2'!G$60="","",'RO2'!G$60)</f>
        <v/>
      </c>
      <c r="C559" s="790">
        <f ca="1">IF(ISERROR(VLOOKUP($A$646,INDIRECT("notes_"&amp;LEFT($A$646,3)),4,0)),0,VLOOKUP($A$646,INDIRECT("notes_"&amp;LEFT($A$646,3)),4,0))</f>
        <v>0</v>
      </c>
    </row>
    <row r="560" spans="1:3" x14ac:dyDescent="0.25">
      <c r="A560" s="787" t="s">
        <v>3197</v>
      </c>
      <c r="B560" s="789" t="str">
        <f>IF('RO2'!G$62="","",'RO2'!G$62)</f>
        <v/>
      </c>
      <c r="C560" s="790">
        <f ca="1">IF(ISERROR(VLOOKUP($A$647,INDIRECT("notes_"&amp;LEFT($A$647,3)),4,0)),0,VLOOKUP($A$647,INDIRECT("notes_"&amp;LEFT($A$647,3)),4,0))</f>
        <v>0</v>
      </c>
    </row>
    <row r="561" spans="1:6" x14ac:dyDescent="0.25">
      <c r="A561" s="787" t="s">
        <v>3198</v>
      </c>
      <c r="B561" s="789">
        <f>IF('RO2'!G$64="","",'RO2'!G$64)</f>
        <v>0</v>
      </c>
      <c r="C561" s="790">
        <f ca="1">IF(ISERROR(VLOOKUP($A$648,INDIRECT("notes_"&amp;LEFT($A$648,3)),4,0)),0,VLOOKUP($A$648,INDIRECT("notes_"&amp;LEFT($A$648,3)),4,0))</f>
        <v>0</v>
      </c>
    </row>
    <row r="562" spans="1:6" x14ac:dyDescent="0.25">
      <c r="A562" s="787" t="s">
        <v>3199</v>
      </c>
      <c r="B562" s="789" t="str">
        <f>IF('RO2'!G$82="","",'RO2'!G$82)</f>
        <v/>
      </c>
      <c r="C562" s="790">
        <f ca="1">IF(ISERROR(VLOOKUP($A$649,INDIRECT("notes_"&amp;LEFT($A$649,3)),4,0)),0,VLOOKUP($A$649,INDIRECT("notes_"&amp;LEFT($A$649,3)),4,0))</f>
        <v>0</v>
      </c>
    </row>
    <row r="563" spans="1:6" x14ac:dyDescent="0.25">
      <c r="A563" s="787" t="s">
        <v>2528</v>
      </c>
      <c r="B563" s="789" t="str">
        <f>IF('RO2'!G$89="","",'RO2'!G$89)</f>
        <v/>
      </c>
      <c r="C563" s="790">
        <f ca="1">IF(ISERROR(VLOOKUP(A563,INDIRECT("notes_"&amp;LEFT(A563,3)),4,0)),0,VLOOKUP(A563,INDIRECT("notes_"&amp;LEFT(A563,3)),4,0))</f>
        <v>0</v>
      </c>
      <c r="D563" s="789"/>
      <c r="E563" s="789"/>
      <c r="F563" s="789"/>
    </row>
    <row r="564" spans="1:6" x14ac:dyDescent="0.25">
      <c r="A564" s="787" t="s">
        <v>2529</v>
      </c>
      <c r="B564" s="789" t="str">
        <f>IF('RO2'!G$90="","",'RO2'!G$90)</f>
        <v/>
      </c>
      <c r="C564" s="790">
        <f ca="1">IF(ISERROR(VLOOKUP(A564,INDIRECT("notes_"&amp;LEFT(A564,3)),4,0)),0,VLOOKUP(A564,INDIRECT("notes_"&amp;LEFT(A564,3)),4,0))</f>
        <v>0</v>
      </c>
      <c r="D564" s="789"/>
      <c r="E564" s="789"/>
      <c r="F564" s="789"/>
    </row>
    <row r="565" spans="1:6" x14ac:dyDescent="0.25">
      <c r="A565" s="787" t="s">
        <v>3200</v>
      </c>
      <c r="B565" s="789" t="str">
        <f>IF('RO2'!G$94="","",'RO2'!G$94)</f>
        <v/>
      </c>
      <c r="C565" s="790">
        <f ca="1">IF(ISERROR(VLOOKUP($A$650,INDIRECT("notes_"&amp;LEFT($A$650,3)),4,0)),0,VLOOKUP($A$650,INDIRECT("notes_"&amp;LEFT($A$650,3)),4,0))</f>
        <v>0</v>
      </c>
    </row>
    <row r="566" spans="1:6" x14ac:dyDescent="0.25">
      <c r="A566" s="787" t="s">
        <v>3201</v>
      </c>
      <c r="B566" s="789" t="str">
        <f>IF('RO2'!G$95="","",'RO2'!G$95)</f>
        <v/>
      </c>
      <c r="C566" s="790">
        <f ca="1">IF(ISERROR(VLOOKUP($A$651,INDIRECT("notes_"&amp;LEFT($A$651,3)),4,0)),0,VLOOKUP($A$651,INDIRECT("notes_"&amp;LEFT($A$651,3)),4,0))</f>
        <v>0</v>
      </c>
    </row>
    <row r="567" spans="1:6" x14ac:dyDescent="0.25">
      <c r="A567" s="787" t="s">
        <v>3202</v>
      </c>
      <c r="B567" s="789" t="str">
        <f>IF('RO2'!G$96="","",'RO2'!G$96)</f>
        <v/>
      </c>
      <c r="C567" s="790">
        <f ca="1">IF(ISERROR(VLOOKUP($A$652,INDIRECT("notes_"&amp;LEFT($A$652,3)),4,0)),0,VLOOKUP($A$652,INDIRECT("notes_"&amp;LEFT($A$652,3)),4,0))</f>
        <v>0</v>
      </c>
    </row>
    <row r="568" spans="1:6" x14ac:dyDescent="0.25">
      <c r="A568" s="787" t="s">
        <v>3203</v>
      </c>
      <c r="B568" s="789" t="str">
        <f>IF('RO2'!H$31="","",'RO2'!H$31)</f>
        <v/>
      </c>
      <c r="C568" s="790">
        <f ca="1">IF(ISERROR(VLOOKUP($A$626,INDIRECT("notes_"&amp;LEFT($A$626,3)),4,0)),0,VLOOKUP($A$626,INDIRECT("notes_"&amp;LEFT($A$626,3)),4,0))</f>
        <v>0</v>
      </c>
    </row>
    <row r="569" spans="1:6" x14ac:dyDescent="0.25">
      <c r="A569" s="787" t="s">
        <v>3204</v>
      </c>
      <c r="B569" s="789" t="str">
        <f>IF('RO2'!H$32="","",'RO2'!H$32)</f>
        <v/>
      </c>
      <c r="C569" s="790">
        <f ca="1">IF(ISERROR(VLOOKUP($A$627,INDIRECT("notes_"&amp;LEFT($A$627,3)),4,0)),0,VLOOKUP($A$627,INDIRECT("notes_"&amp;LEFT($A$627,3)),4,0))</f>
        <v>0</v>
      </c>
    </row>
    <row r="570" spans="1:6" x14ac:dyDescent="0.25">
      <c r="A570" s="787" t="s">
        <v>3205</v>
      </c>
      <c r="B570" s="789" t="str">
        <f>IF('RO2'!H$35="","",'RO2'!H$35)</f>
        <v/>
      </c>
      <c r="C570" s="790">
        <f ca="1">IF(ISERROR(VLOOKUP($A$628,INDIRECT("notes_"&amp;LEFT($A$628,3)),4,0)),0,VLOOKUP($A$628,INDIRECT("notes_"&amp;LEFT($A$628,3)),4,0))</f>
        <v>0</v>
      </c>
    </row>
    <row r="571" spans="1:6" x14ac:dyDescent="0.25">
      <c r="A571" s="787" t="s">
        <v>3206</v>
      </c>
      <c r="B571" s="789" t="str">
        <f>IF('RO2'!H$36="","",'RO2'!H$36)</f>
        <v/>
      </c>
      <c r="C571" s="790">
        <f ca="1">IF(ISERROR(VLOOKUP($A$629,INDIRECT("notes_"&amp;LEFT($A$629,3)),4,0)),0,VLOOKUP($A$629,INDIRECT("notes_"&amp;LEFT($A$629,3)),4,0))</f>
        <v>0</v>
      </c>
    </row>
    <row r="572" spans="1:6" x14ac:dyDescent="0.25">
      <c r="A572" s="787" t="s">
        <v>3207</v>
      </c>
      <c r="B572" s="789" t="str">
        <f>IF('RO2'!H$37="","",'RO2'!H$37)</f>
        <v/>
      </c>
      <c r="C572" s="790">
        <f ca="1">IF(ISERROR(VLOOKUP($A$630,INDIRECT("notes_"&amp;LEFT($A$630,3)),4,0)),0,VLOOKUP($A$630,INDIRECT("notes_"&amp;LEFT($A$630,3)),4,0))</f>
        <v>0</v>
      </c>
    </row>
    <row r="573" spans="1:6" x14ac:dyDescent="0.25">
      <c r="A573" s="787" t="s">
        <v>3208</v>
      </c>
      <c r="B573" s="789" t="str">
        <f>IF('RO2'!H$38="","",'RO2'!H$38)</f>
        <v/>
      </c>
      <c r="C573" s="790">
        <f ca="1">IF(ISERROR(VLOOKUP($A$631,INDIRECT("notes_"&amp;LEFT($A$631,3)),4,0)),0,VLOOKUP($A$631,INDIRECT("notes_"&amp;LEFT($A$631,3)),4,0))</f>
        <v>0</v>
      </c>
    </row>
    <row r="574" spans="1:6" x14ac:dyDescent="0.25">
      <c r="A574" s="787" t="s">
        <v>3209</v>
      </c>
      <c r="B574" s="789" t="str">
        <f>IF('RO2'!H$39="","",'RO2'!H$39)</f>
        <v/>
      </c>
      <c r="C574" s="790">
        <f ca="1">IF(ISERROR(VLOOKUP($A$632,INDIRECT("notes_"&amp;LEFT($A$632,3)),4,0)),0,VLOOKUP($A$632,INDIRECT("notes_"&amp;LEFT($A$632,3)),4,0))</f>
        <v>0</v>
      </c>
    </row>
    <row r="575" spans="1:6" x14ac:dyDescent="0.25">
      <c r="A575" s="787" t="s">
        <v>3210</v>
      </c>
      <c r="B575" s="789" t="str">
        <f>IF('RO2'!H$40="","",'RO2'!H$40)</f>
        <v/>
      </c>
      <c r="C575" s="790">
        <f ca="1">IF(ISERROR(VLOOKUP($A$633,INDIRECT("notes_"&amp;LEFT($A$633,3)),4,0)),0,VLOOKUP($A$633,INDIRECT("notes_"&amp;LEFT($A$633,3)),4,0))</f>
        <v>0</v>
      </c>
    </row>
    <row r="576" spans="1:6" x14ac:dyDescent="0.25">
      <c r="A576" s="787" t="s">
        <v>3211</v>
      </c>
      <c r="B576" s="789" t="str">
        <f>IF('RO2'!H$41="","",'RO2'!H$41)</f>
        <v/>
      </c>
      <c r="C576" s="790">
        <f ca="1">IF(ISERROR(VLOOKUP($A$634,INDIRECT("notes_"&amp;LEFT($A$634,3)),4,0)),0,VLOOKUP($A$634,INDIRECT("notes_"&amp;LEFT($A$634,3)),4,0))</f>
        <v>0</v>
      </c>
    </row>
    <row r="577" spans="1:6" x14ac:dyDescent="0.25">
      <c r="A577" s="787" t="s">
        <v>3212</v>
      </c>
      <c r="B577" s="789" t="str">
        <f>IF('RO2'!H$45="","",'RO2'!H$45)</f>
        <v/>
      </c>
      <c r="C577" s="790">
        <f ca="1">IF(ISERROR(VLOOKUP($A$635,INDIRECT("notes_"&amp;LEFT($A$635,3)),4,0)),0,VLOOKUP($A$635,INDIRECT("notes_"&amp;LEFT($A$635,3)),4,0))</f>
        <v>0</v>
      </c>
    </row>
    <row r="578" spans="1:6" x14ac:dyDescent="0.25">
      <c r="A578" s="787" t="s">
        <v>3213</v>
      </c>
      <c r="B578" s="789" t="str">
        <f>IF('RO2'!H$46="","",'RO2'!H$46)</f>
        <v/>
      </c>
      <c r="C578" s="790">
        <f ca="1">IF(ISERROR(VLOOKUP($A$636,INDIRECT("notes_"&amp;LEFT($A$636,3)),4,0)),0,VLOOKUP($A$636,INDIRECT("notes_"&amp;LEFT($A$636,3)),4,0))</f>
        <v>0</v>
      </c>
    </row>
    <row r="579" spans="1:6" x14ac:dyDescent="0.25">
      <c r="A579" s="787" t="s">
        <v>3214</v>
      </c>
      <c r="B579" s="789" t="str">
        <f>IF('RO2'!H$47="","",'RO2'!H$47)</f>
        <v/>
      </c>
      <c r="C579" s="790">
        <f ca="1">IF(ISERROR(VLOOKUP($A$637,INDIRECT("notes_"&amp;LEFT($A$637,3)),4,0)),0,VLOOKUP($A$637,INDIRECT("notes_"&amp;LEFT($A$637,3)),4,0))</f>
        <v>0</v>
      </c>
    </row>
    <row r="580" spans="1:6" x14ac:dyDescent="0.25">
      <c r="A580" s="787" t="s">
        <v>3215</v>
      </c>
      <c r="B580" s="789" t="str">
        <f>IF('RO2'!H$48="","",'RO2'!H$48)</f>
        <v/>
      </c>
      <c r="C580" s="790">
        <f ca="1">IF(ISERROR(VLOOKUP($A$638,INDIRECT("notes_"&amp;LEFT($A$638,3)),4,0)),0,VLOOKUP($A$638,INDIRECT("notes_"&amp;LEFT($A$638,3)),4,0))</f>
        <v>0</v>
      </c>
    </row>
    <row r="581" spans="1:6" x14ac:dyDescent="0.25">
      <c r="A581" s="787" t="s">
        <v>3216</v>
      </c>
      <c r="B581" s="789" t="str">
        <f>IF('RO2'!H$51="","",'RO2'!H$51)</f>
        <v/>
      </c>
      <c r="C581" s="790">
        <f ca="1">IF(ISERROR(VLOOKUP($A$639,INDIRECT("notes_"&amp;LEFT($A$639,3)),4,0)),0,VLOOKUP($A$639,INDIRECT("notes_"&amp;LEFT($A$639,3)),4,0))</f>
        <v>0</v>
      </c>
    </row>
    <row r="582" spans="1:6" x14ac:dyDescent="0.25">
      <c r="A582" s="787" t="s">
        <v>3217</v>
      </c>
      <c r="B582" s="789" t="str">
        <f>IF('RO2'!H$52="","",'RO2'!H$52)</f>
        <v/>
      </c>
      <c r="C582" s="790">
        <f ca="1">IF(ISERROR(VLOOKUP($A$640,INDIRECT("notes_"&amp;LEFT($A$640,3)),4,0)),0,VLOOKUP($A$640,INDIRECT("notes_"&amp;LEFT($A$640,3)),4,0))</f>
        <v>0</v>
      </c>
    </row>
    <row r="583" spans="1:6" x14ac:dyDescent="0.25">
      <c r="A583" s="787" t="s">
        <v>3218</v>
      </c>
      <c r="B583" s="789" t="str">
        <f>IF('RO2'!H$55="","",'RO2'!H$55)</f>
        <v/>
      </c>
      <c r="C583" s="790">
        <f ca="1">IF(ISERROR(VLOOKUP($A$641,INDIRECT("notes_"&amp;LEFT($A$641,3)),4,0)),0,VLOOKUP($A$641,INDIRECT("notes_"&amp;LEFT($A$641,3)),4,0))</f>
        <v>0</v>
      </c>
    </row>
    <row r="584" spans="1:6" x14ac:dyDescent="0.25">
      <c r="A584" s="787" t="s">
        <v>3219</v>
      </c>
      <c r="B584" s="789" t="str">
        <f>IF('RO2'!H$56="","",'RO2'!H$56)</f>
        <v/>
      </c>
      <c r="C584" s="790">
        <f ca="1">IF(ISERROR(VLOOKUP($A$642,INDIRECT("notes_"&amp;LEFT($A$642,3)),4,0)),0,VLOOKUP($A$642,INDIRECT("notes_"&amp;LEFT($A$642,3)),4,0))</f>
        <v>0</v>
      </c>
    </row>
    <row r="585" spans="1:6" x14ac:dyDescent="0.25">
      <c r="A585" s="787" t="s">
        <v>3220</v>
      </c>
      <c r="B585" s="789" t="str">
        <f>IF('RO2'!H$57="","",'RO2'!H$57)</f>
        <v/>
      </c>
      <c r="C585" s="790">
        <f ca="1">IF(ISERROR(VLOOKUP($A$643,INDIRECT("notes_"&amp;LEFT($A$643,3)),4,0)),0,VLOOKUP($A$643,INDIRECT("notes_"&amp;LEFT($A$643,3)),4,0))</f>
        <v>0</v>
      </c>
    </row>
    <row r="586" spans="1:6" x14ac:dyDescent="0.25">
      <c r="A586" s="787" t="s">
        <v>3221</v>
      </c>
      <c r="B586" s="789" t="str">
        <f>IF('RO2'!H$58="","",'RO2'!H$58)</f>
        <v/>
      </c>
      <c r="C586" s="790">
        <f ca="1">IF(ISERROR(VLOOKUP($A$644,INDIRECT("notes_"&amp;LEFT($A$644,3)),4,0)),0,VLOOKUP($A$644,INDIRECT("notes_"&amp;LEFT($A$644,3)),4,0))</f>
        <v>0</v>
      </c>
    </row>
    <row r="587" spans="1:6" x14ac:dyDescent="0.25">
      <c r="A587" s="787" t="s">
        <v>3222</v>
      </c>
      <c r="B587" s="789" t="str">
        <f>IF('RO2'!H$59="","",'RO2'!H$59)</f>
        <v/>
      </c>
      <c r="C587" s="790">
        <f ca="1">IF(ISERROR(VLOOKUP($A$645,INDIRECT("notes_"&amp;LEFT($A$645,3)),4,0)),0,VLOOKUP($A$645,INDIRECT("notes_"&amp;LEFT($A$645,3)),4,0))</f>
        <v>0</v>
      </c>
    </row>
    <row r="588" spans="1:6" x14ac:dyDescent="0.25">
      <c r="A588" s="787" t="s">
        <v>3223</v>
      </c>
      <c r="B588" s="789" t="str">
        <f>IF('RO2'!H$60="","",'RO2'!H$60)</f>
        <v/>
      </c>
      <c r="C588" s="790">
        <f ca="1">IF(ISERROR(VLOOKUP($A$646,INDIRECT("notes_"&amp;LEFT($A$646,3)),4,0)),0,VLOOKUP($A$646,INDIRECT("notes_"&amp;LEFT($A$646,3)),4,0))</f>
        <v>0</v>
      </c>
    </row>
    <row r="589" spans="1:6" x14ac:dyDescent="0.25">
      <c r="A589" s="787" t="s">
        <v>3224</v>
      </c>
      <c r="B589" s="789" t="str">
        <f>IF('RO2'!H$62="","",'RO2'!H$62)</f>
        <v/>
      </c>
      <c r="C589" s="790">
        <f ca="1">IF(ISERROR(VLOOKUP($A$647,INDIRECT("notes_"&amp;LEFT($A$647,3)),4,0)),0,VLOOKUP($A$647,INDIRECT("notes_"&amp;LEFT($A$647,3)),4,0))</f>
        <v>0</v>
      </c>
    </row>
    <row r="590" spans="1:6" x14ac:dyDescent="0.25">
      <c r="A590" s="787" t="s">
        <v>3225</v>
      </c>
      <c r="B590" s="789">
        <f>IF('RO2'!H$64="","",'RO2'!H$64)</f>
        <v>0</v>
      </c>
      <c r="C590" s="790">
        <f ca="1">IF(ISERROR(VLOOKUP($A$648,INDIRECT("notes_"&amp;LEFT($A$648,3)),4,0)),0,VLOOKUP($A$648,INDIRECT("notes_"&amp;LEFT($A$648,3)),4,0))</f>
        <v>0</v>
      </c>
    </row>
    <row r="591" spans="1:6" x14ac:dyDescent="0.25">
      <c r="A591" s="787" t="s">
        <v>2530</v>
      </c>
      <c r="B591" s="789" t="str">
        <f>IF('RO2'!H$75="","",'RO2'!H$75)</f>
        <v/>
      </c>
      <c r="C591" s="790">
        <f ca="1">IF(ISERROR(VLOOKUP(A591,INDIRECT("notes_"&amp;LEFT(A591,3)),4,0)),0,VLOOKUP(A591,INDIRECT("notes_"&amp;LEFT(A591,3)),4,0))</f>
        <v>0</v>
      </c>
      <c r="D591" s="789" t="str">
        <f>'RO2'!L75</f>
        <v/>
      </c>
      <c r="E591" s="789" t="str">
        <f>'RO2'!M75</f>
        <v/>
      </c>
      <c r="F591" s="789" t="str">
        <f>'RO2'!O75</f>
        <v/>
      </c>
    </row>
    <row r="592" spans="1:6" x14ac:dyDescent="0.25">
      <c r="A592" s="787" t="s">
        <v>2531</v>
      </c>
      <c r="B592" s="789" t="str">
        <f>IF('RO2'!H$76="","",'RO2'!H$76)</f>
        <v/>
      </c>
      <c r="C592" s="790">
        <f ca="1">IF(ISERROR(VLOOKUP(A592,INDIRECT("notes_"&amp;LEFT(A592,3)),4,0)),0,VLOOKUP(A592,INDIRECT("notes_"&amp;LEFT(A592,3)),4,0))</f>
        <v>0</v>
      </c>
      <c r="D592" s="789" t="str">
        <f>'RO2'!L76</f>
        <v/>
      </c>
      <c r="E592" s="789" t="str">
        <f>'RO2'!M76</f>
        <v/>
      </c>
      <c r="F592" s="789" t="str">
        <f>'RO2'!O76</f>
        <v/>
      </c>
    </row>
    <row r="593" spans="1:6" x14ac:dyDescent="0.25">
      <c r="A593" s="787" t="s">
        <v>2532</v>
      </c>
      <c r="B593" s="789" t="str">
        <f>IF('RO2'!H$77="","",'RO2'!H$77)</f>
        <v/>
      </c>
      <c r="C593" s="790">
        <f ca="1">IF(ISERROR(VLOOKUP(A593,INDIRECT("notes_"&amp;LEFT(A593,3)),4,0)),0,VLOOKUP(A593,INDIRECT("notes_"&amp;LEFT(A593,3)),4,0))</f>
        <v>0</v>
      </c>
      <c r="D593" s="789" t="str">
        <f>'RO2'!L77</f>
        <v/>
      </c>
      <c r="E593" s="789" t="str">
        <f>'RO2'!M77</f>
        <v/>
      </c>
      <c r="F593" s="789" t="str">
        <f>'RO2'!O77</f>
        <v/>
      </c>
    </row>
    <row r="594" spans="1:6" x14ac:dyDescent="0.25">
      <c r="A594" s="787" t="s">
        <v>2533</v>
      </c>
      <c r="B594" s="789" t="str">
        <f>IF('RO2'!H$78="","",'RO2'!H$78)</f>
        <v/>
      </c>
      <c r="C594" s="790">
        <f ca="1">IF(ISERROR(VLOOKUP(A594,INDIRECT("notes_"&amp;LEFT(A594,3)),4,0)),0,VLOOKUP(A594,INDIRECT("notes_"&amp;LEFT(A594,3)),4,0))</f>
        <v>0</v>
      </c>
      <c r="D594" s="789" t="str">
        <f>'RO2'!L78</f>
        <v/>
      </c>
      <c r="E594" s="789" t="str">
        <f>'RO2'!M78</f>
        <v/>
      </c>
      <c r="F594" s="789" t="str">
        <f>'RO2'!O78</f>
        <v/>
      </c>
    </row>
    <row r="595" spans="1:6" x14ac:dyDescent="0.25">
      <c r="A595" s="787" t="s">
        <v>3226</v>
      </c>
      <c r="B595" s="789" t="str">
        <f>IF('RO2'!H$82="","",'RO2'!H$82)</f>
        <v/>
      </c>
      <c r="C595" s="790">
        <f ca="1">IF(ISERROR(VLOOKUP($A$649,INDIRECT("notes_"&amp;LEFT($A$649,3)),4,0)),0,VLOOKUP($A$649,INDIRECT("notes_"&amp;LEFT($A$649,3)),4,0))</f>
        <v>0</v>
      </c>
    </row>
    <row r="596" spans="1:6" x14ac:dyDescent="0.25">
      <c r="A596" s="787" t="s">
        <v>3227</v>
      </c>
      <c r="B596" s="789" t="str">
        <f>IF('RO2'!H$94="","",'RO2'!H$94)</f>
        <v/>
      </c>
      <c r="C596" s="790">
        <f ca="1">IF(ISERROR(VLOOKUP($A$650,INDIRECT("notes_"&amp;LEFT($A$650,3)),4,0)),0,VLOOKUP($A$650,INDIRECT("notes_"&amp;LEFT($A$650,3)),4,0))</f>
        <v>0</v>
      </c>
    </row>
    <row r="597" spans="1:6" x14ac:dyDescent="0.25">
      <c r="A597" s="787" t="s">
        <v>3228</v>
      </c>
      <c r="B597" s="789" t="str">
        <f>IF('RO2'!H$95="","",'RO2'!H$95)</f>
        <v/>
      </c>
      <c r="C597" s="790">
        <f ca="1">IF(ISERROR(VLOOKUP($A$651,INDIRECT("notes_"&amp;LEFT($A$651,3)),4,0)),0,VLOOKUP($A$651,INDIRECT("notes_"&amp;LEFT($A$651,3)),4,0))</f>
        <v>0</v>
      </c>
    </row>
    <row r="598" spans="1:6" x14ac:dyDescent="0.25">
      <c r="A598" s="787" t="s">
        <v>3229</v>
      </c>
      <c r="B598" s="789" t="str">
        <f>IF('RO2'!H$96="","",'RO2'!H$96)</f>
        <v/>
      </c>
      <c r="C598" s="790">
        <f ca="1">IF(ISERROR(VLOOKUP($A$652,INDIRECT("notes_"&amp;LEFT($A$652,3)),4,0)),0,VLOOKUP($A$652,INDIRECT("notes_"&amp;LEFT($A$652,3)),4,0))</f>
        <v>0</v>
      </c>
    </row>
    <row r="599" spans="1:6" x14ac:dyDescent="0.25">
      <c r="A599" s="787" t="s">
        <v>3230</v>
      </c>
      <c r="B599" s="789">
        <f>IF('RO2'!I$31="","",'RO2'!I$31)</f>
        <v>0</v>
      </c>
      <c r="C599" s="790">
        <f ca="1">IF(ISERROR(VLOOKUP($A$626,INDIRECT("notes_"&amp;LEFT($A$626,3)),4,0)),0,VLOOKUP($A$626,INDIRECT("notes_"&amp;LEFT($A$626,3)),4,0))</f>
        <v>0</v>
      </c>
    </row>
    <row r="600" spans="1:6" x14ac:dyDescent="0.25">
      <c r="A600" s="787" t="s">
        <v>3231</v>
      </c>
      <c r="B600" s="789">
        <f>IF('RO2'!I$32="","",'RO2'!I$32)</f>
        <v>0</v>
      </c>
      <c r="C600" s="790">
        <f ca="1">IF(ISERROR(VLOOKUP($A$627,INDIRECT("notes_"&amp;LEFT($A$627,3)),4,0)),0,VLOOKUP($A$627,INDIRECT("notes_"&amp;LEFT($A$627,3)),4,0))</f>
        <v>0</v>
      </c>
    </row>
    <row r="601" spans="1:6" x14ac:dyDescent="0.25">
      <c r="A601" s="787" t="s">
        <v>3232</v>
      </c>
      <c r="B601" s="789">
        <f>IF('RO2'!I$35="","",'RO2'!I$35)</f>
        <v>0</v>
      </c>
      <c r="C601" s="790">
        <f ca="1">IF(ISERROR(VLOOKUP($A$628,INDIRECT("notes_"&amp;LEFT($A$628,3)),4,0)),0,VLOOKUP($A$628,INDIRECT("notes_"&amp;LEFT($A$628,3)),4,0))</f>
        <v>0</v>
      </c>
    </row>
    <row r="602" spans="1:6" x14ac:dyDescent="0.25">
      <c r="A602" s="787" t="s">
        <v>3233</v>
      </c>
      <c r="B602" s="789">
        <f>IF('RO2'!I$36="","",'RO2'!I$36)</f>
        <v>0</v>
      </c>
      <c r="C602" s="790">
        <f ca="1">IF(ISERROR(VLOOKUP($A$629,INDIRECT("notes_"&amp;LEFT($A$629,3)),4,0)),0,VLOOKUP($A$629,INDIRECT("notes_"&amp;LEFT($A$629,3)),4,0))</f>
        <v>0</v>
      </c>
    </row>
    <row r="603" spans="1:6" x14ac:dyDescent="0.25">
      <c r="A603" s="787" t="s">
        <v>3234</v>
      </c>
      <c r="B603" s="789">
        <f>IF('RO2'!I$37="","",'RO2'!I$37)</f>
        <v>0</v>
      </c>
      <c r="C603" s="790">
        <f ca="1">IF(ISERROR(VLOOKUP($A$630,INDIRECT("notes_"&amp;LEFT($A$630,3)),4,0)),0,VLOOKUP($A$630,INDIRECT("notes_"&amp;LEFT($A$630,3)),4,0))</f>
        <v>0</v>
      </c>
    </row>
    <row r="604" spans="1:6" x14ac:dyDescent="0.25">
      <c r="A604" s="787" t="s">
        <v>3235</v>
      </c>
      <c r="B604" s="789">
        <f>IF('RO2'!I$38="","",'RO2'!I$38)</f>
        <v>0</v>
      </c>
      <c r="C604" s="790">
        <f ca="1">IF(ISERROR(VLOOKUP($A$631,INDIRECT("notes_"&amp;LEFT($A$631,3)),4,0)),0,VLOOKUP($A$631,INDIRECT("notes_"&amp;LEFT($A$631,3)),4,0))</f>
        <v>0</v>
      </c>
    </row>
    <row r="605" spans="1:6" x14ac:dyDescent="0.25">
      <c r="A605" s="787" t="s">
        <v>3236</v>
      </c>
      <c r="B605" s="789">
        <f>IF('RO2'!I$39="","",'RO2'!I$39)</f>
        <v>0</v>
      </c>
      <c r="C605" s="790">
        <f ca="1">IF(ISERROR(VLOOKUP($A$632,INDIRECT("notes_"&amp;LEFT($A$632,3)),4,0)),0,VLOOKUP($A$632,INDIRECT("notes_"&amp;LEFT($A$632,3)),4,0))</f>
        <v>0</v>
      </c>
    </row>
    <row r="606" spans="1:6" x14ac:dyDescent="0.25">
      <c r="A606" s="787" t="s">
        <v>3237</v>
      </c>
      <c r="B606" s="789">
        <f>IF('RO2'!I$40="","",'RO2'!I$40)</f>
        <v>0</v>
      </c>
      <c r="C606" s="790">
        <f ca="1">IF(ISERROR(VLOOKUP($A$633,INDIRECT("notes_"&amp;LEFT($A$633,3)),4,0)),0,VLOOKUP($A$633,INDIRECT("notes_"&amp;LEFT($A$633,3)),4,0))</f>
        <v>0</v>
      </c>
    </row>
    <row r="607" spans="1:6" x14ac:dyDescent="0.25">
      <c r="A607" s="787" t="s">
        <v>3238</v>
      </c>
      <c r="B607" s="789">
        <f>IF('RO2'!I$41="","",'RO2'!I$41)</f>
        <v>0</v>
      </c>
      <c r="C607" s="790">
        <f ca="1">IF(ISERROR(VLOOKUP($A$634,INDIRECT("notes_"&amp;LEFT($A$634,3)),4,0)),0,VLOOKUP($A$634,INDIRECT("notes_"&amp;LEFT($A$634,3)),4,0))</f>
        <v>0</v>
      </c>
    </row>
    <row r="608" spans="1:6" x14ac:dyDescent="0.25">
      <c r="A608" s="787" t="s">
        <v>3239</v>
      </c>
      <c r="B608" s="789">
        <f>IF('RO2'!I$45="","",'RO2'!I$45)</f>
        <v>0</v>
      </c>
      <c r="C608" s="790">
        <f ca="1">IF(ISERROR(VLOOKUP($A$635,INDIRECT("notes_"&amp;LEFT($A$635,3)),4,0)),0,VLOOKUP($A$635,INDIRECT("notes_"&amp;LEFT($A$635,3)),4,0))</f>
        <v>0</v>
      </c>
    </row>
    <row r="609" spans="1:3" x14ac:dyDescent="0.25">
      <c r="A609" s="787" t="s">
        <v>3240</v>
      </c>
      <c r="B609" s="789">
        <f>IF('RO2'!I$46="","",'RO2'!I$46)</f>
        <v>0</v>
      </c>
      <c r="C609" s="790">
        <f ca="1">IF(ISERROR(VLOOKUP($A$636,INDIRECT("notes_"&amp;LEFT($A$636,3)),4,0)),0,VLOOKUP($A$636,INDIRECT("notes_"&amp;LEFT($A$636,3)),4,0))</f>
        <v>0</v>
      </c>
    </row>
    <row r="610" spans="1:3" x14ac:dyDescent="0.25">
      <c r="A610" s="787" t="s">
        <v>3241</v>
      </c>
      <c r="B610" s="789">
        <f>IF('RO2'!I$47="","",'RO2'!I$47)</f>
        <v>0</v>
      </c>
      <c r="C610" s="790">
        <f ca="1">IF(ISERROR(VLOOKUP($A$637,INDIRECT("notes_"&amp;LEFT($A$637,3)),4,0)),0,VLOOKUP($A$637,INDIRECT("notes_"&amp;LEFT($A$637,3)),4,0))</f>
        <v>0</v>
      </c>
    </row>
    <row r="611" spans="1:3" x14ac:dyDescent="0.25">
      <c r="A611" s="787" t="s">
        <v>3242</v>
      </c>
      <c r="B611" s="789">
        <f>IF('RO2'!I$48="","",'RO2'!I$48)</f>
        <v>0</v>
      </c>
      <c r="C611" s="790">
        <f ca="1">IF(ISERROR(VLOOKUP($A$638,INDIRECT("notes_"&amp;LEFT($A$638,3)),4,0)),0,VLOOKUP($A$638,INDIRECT("notes_"&amp;LEFT($A$638,3)),4,0))</f>
        <v>0</v>
      </c>
    </row>
    <row r="612" spans="1:3" x14ac:dyDescent="0.25">
      <c r="A612" s="787" t="s">
        <v>3243</v>
      </c>
      <c r="B612" s="789">
        <f>IF('RO2'!I$51="","",'RO2'!I$51)</f>
        <v>0</v>
      </c>
      <c r="C612" s="790">
        <f ca="1">IF(ISERROR(VLOOKUP($A$639,INDIRECT("notes_"&amp;LEFT($A$639,3)),4,0)),0,VLOOKUP($A$639,INDIRECT("notes_"&amp;LEFT($A$639,3)),4,0))</f>
        <v>0</v>
      </c>
    </row>
    <row r="613" spans="1:3" x14ac:dyDescent="0.25">
      <c r="A613" s="787" t="s">
        <v>3244</v>
      </c>
      <c r="B613" s="789">
        <f>IF('RO2'!I$52="","",'RO2'!I$52)</f>
        <v>0</v>
      </c>
      <c r="C613" s="790">
        <f ca="1">IF(ISERROR(VLOOKUP($A$640,INDIRECT("notes_"&amp;LEFT($A$640,3)),4,0)),0,VLOOKUP($A$640,INDIRECT("notes_"&amp;LEFT($A$640,3)),4,0))</f>
        <v>0</v>
      </c>
    </row>
    <row r="614" spans="1:3" x14ac:dyDescent="0.25">
      <c r="A614" s="787" t="s">
        <v>3245</v>
      </c>
      <c r="B614" s="789">
        <f>IF('RO2'!I$55="","",'RO2'!I$55)</f>
        <v>0</v>
      </c>
      <c r="C614" s="790">
        <f ca="1">IF(ISERROR(VLOOKUP($A$641,INDIRECT("notes_"&amp;LEFT($A$641,3)),4,0)),0,VLOOKUP($A$641,INDIRECT("notes_"&amp;LEFT($A$641,3)),4,0))</f>
        <v>0</v>
      </c>
    </row>
    <row r="615" spans="1:3" x14ac:dyDescent="0.25">
      <c r="A615" s="787" t="s">
        <v>3246</v>
      </c>
      <c r="B615" s="789">
        <f>IF('RO2'!I$56="","",'RO2'!I$56)</f>
        <v>0</v>
      </c>
      <c r="C615" s="790">
        <f ca="1">IF(ISERROR(VLOOKUP($A$642,INDIRECT("notes_"&amp;LEFT($A$642,3)),4,0)),0,VLOOKUP($A$642,INDIRECT("notes_"&amp;LEFT($A$642,3)),4,0))</f>
        <v>0</v>
      </c>
    </row>
    <row r="616" spans="1:3" x14ac:dyDescent="0.25">
      <c r="A616" s="787" t="s">
        <v>3247</v>
      </c>
      <c r="B616" s="789">
        <f>IF('RO2'!I$57="","",'RO2'!I$57)</f>
        <v>0</v>
      </c>
      <c r="C616" s="790">
        <f ca="1">IF(ISERROR(VLOOKUP($A$643,INDIRECT("notes_"&amp;LEFT($A$643,3)),4,0)),0,VLOOKUP($A$643,INDIRECT("notes_"&amp;LEFT($A$643,3)),4,0))</f>
        <v>0</v>
      </c>
    </row>
    <row r="617" spans="1:3" x14ac:dyDescent="0.25">
      <c r="A617" s="787" t="s">
        <v>3248</v>
      </c>
      <c r="B617" s="789">
        <f>IF('RO2'!I$58="","",'RO2'!I$58)</f>
        <v>0</v>
      </c>
      <c r="C617" s="790">
        <f ca="1">IF(ISERROR(VLOOKUP($A$644,INDIRECT("notes_"&amp;LEFT($A$644,3)),4,0)),0,VLOOKUP($A$644,INDIRECT("notes_"&amp;LEFT($A$644,3)),4,0))</f>
        <v>0</v>
      </c>
    </row>
    <row r="618" spans="1:3" x14ac:dyDescent="0.25">
      <c r="A618" s="787" t="s">
        <v>3249</v>
      </c>
      <c r="B618" s="789">
        <f>IF('RO2'!I$59="","",'RO2'!I$59)</f>
        <v>0</v>
      </c>
      <c r="C618" s="790">
        <f ca="1">IF(ISERROR(VLOOKUP($A$645,INDIRECT("notes_"&amp;LEFT($A$645,3)),4,0)),0,VLOOKUP($A$645,INDIRECT("notes_"&amp;LEFT($A$645,3)),4,0))</f>
        <v>0</v>
      </c>
    </row>
    <row r="619" spans="1:3" x14ac:dyDescent="0.25">
      <c r="A619" s="787" t="s">
        <v>3250</v>
      </c>
      <c r="B619" s="789">
        <f>IF('RO2'!I$60="","",'RO2'!I$60)</f>
        <v>0</v>
      </c>
      <c r="C619" s="790">
        <f ca="1">IF(ISERROR(VLOOKUP($A$646,INDIRECT("notes_"&amp;LEFT($A$646,3)),4,0)),0,VLOOKUP($A$646,INDIRECT("notes_"&amp;LEFT($A$646,3)),4,0))</f>
        <v>0</v>
      </c>
    </row>
    <row r="620" spans="1:3" x14ac:dyDescent="0.25">
      <c r="A620" s="787" t="s">
        <v>3251</v>
      </c>
      <c r="B620" s="789">
        <f>IF('RO2'!I$62="","",'RO2'!I$62)</f>
        <v>0</v>
      </c>
      <c r="C620" s="790">
        <f ca="1">IF(ISERROR(VLOOKUP($A$647,INDIRECT("notes_"&amp;LEFT($A$647,3)),4,0)),0,VLOOKUP($A$647,INDIRECT("notes_"&amp;LEFT($A$647,3)),4,0))</f>
        <v>0</v>
      </c>
    </row>
    <row r="621" spans="1:3" x14ac:dyDescent="0.25">
      <c r="A621" s="787" t="s">
        <v>3252</v>
      </c>
      <c r="B621" s="789">
        <f>IF('RO2'!I$64="","",'RO2'!I$64)</f>
        <v>0</v>
      </c>
      <c r="C621" s="790">
        <f ca="1">IF(ISERROR(VLOOKUP($A$648,INDIRECT("notes_"&amp;LEFT($A$648,3)),4,0)),0,VLOOKUP($A$648,INDIRECT("notes_"&amp;LEFT($A$648,3)),4,0))</f>
        <v>0</v>
      </c>
    </row>
    <row r="622" spans="1:3" x14ac:dyDescent="0.25">
      <c r="A622" s="787" t="s">
        <v>3253</v>
      </c>
      <c r="B622" s="789">
        <f>IF('RO2'!I$82="","",'RO2'!I$82)</f>
        <v>0</v>
      </c>
      <c r="C622" s="790">
        <f ca="1">IF(ISERROR(VLOOKUP($A$649,INDIRECT("notes_"&amp;LEFT($A$649,3)),4,0)),0,VLOOKUP($A$649,INDIRECT("notes_"&amp;LEFT($A$649,3)),4,0))</f>
        <v>0</v>
      </c>
    </row>
    <row r="623" spans="1:3" x14ac:dyDescent="0.25">
      <c r="A623" s="787" t="s">
        <v>3254</v>
      </c>
      <c r="B623" s="789">
        <f>IF('RO2'!I$94="","",'RO2'!I$94)</f>
        <v>0</v>
      </c>
      <c r="C623" s="790">
        <f ca="1">IF(ISERROR(VLOOKUP($A$650,INDIRECT("notes_"&amp;LEFT($A$650,3)),4,0)),0,VLOOKUP($A$650,INDIRECT("notes_"&amp;LEFT($A$650,3)),4,0))</f>
        <v>0</v>
      </c>
    </row>
    <row r="624" spans="1:3" x14ac:dyDescent="0.25">
      <c r="A624" s="787" t="s">
        <v>3255</v>
      </c>
      <c r="B624" s="789">
        <f>IF('RO2'!I$95="","",'RO2'!I$95)</f>
        <v>0</v>
      </c>
      <c r="C624" s="790">
        <f ca="1">IF(ISERROR(VLOOKUP($A$651,INDIRECT("notes_"&amp;LEFT($A$651,3)),4,0)),0,VLOOKUP($A$651,INDIRECT("notes_"&amp;LEFT($A$651,3)),4,0))</f>
        <v>0</v>
      </c>
    </row>
    <row r="625" spans="1:6" x14ac:dyDescent="0.25">
      <c r="A625" s="787" t="s">
        <v>3256</v>
      </c>
      <c r="B625" s="789">
        <f>IF('RO2'!I$96="","",'RO2'!I$96)</f>
        <v>0</v>
      </c>
      <c r="C625" s="790">
        <f ca="1">IF(ISERROR(VLOOKUP($A$652,INDIRECT("notes_"&amp;LEFT($A$652,3)),4,0)),0,VLOOKUP($A$652,INDIRECT("notes_"&amp;LEFT($A$652,3)),4,0))</f>
        <v>0</v>
      </c>
    </row>
    <row r="626" spans="1:6" x14ac:dyDescent="0.25">
      <c r="A626" s="787" t="s">
        <v>2498</v>
      </c>
      <c r="B626" s="789">
        <f>IF('RO2'!J$31="","",'RO2'!J$31)</f>
        <v>0</v>
      </c>
      <c r="C626" s="790">
        <f ca="1">IF(ISERROR(VLOOKUP($A$626,INDIRECT("notes_"&amp;LEFT($A$626,3)),4,0)),0,VLOOKUP($A$626,INDIRECT("notes_"&amp;LEFT($A$626,3)),4,0))</f>
        <v>0</v>
      </c>
      <c r="D626" s="789" t="str">
        <f>'RO2'!L31</f>
        <v/>
      </c>
      <c r="E626" s="789" t="str">
        <f>'RO2'!M31</f>
        <v/>
      </c>
      <c r="F626" s="789" t="str">
        <f>'RO2'!O31</f>
        <v/>
      </c>
    </row>
    <row r="627" spans="1:6" x14ac:dyDescent="0.25">
      <c r="A627" s="787" t="s">
        <v>2500</v>
      </c>
      <c r="B627" s="789">
        <f>IF('RO2'!J$32="","",'RO2'!J$32)</f>
        <v>0</v>
      </c>
      <c r="C627" s="790">
        <f ca="1">IF(ISERROR(VLOOKUP($A$627,INDIRECT("notes_"&amp;LEFT($A$627,3)),4,0)),0,VLOOKUP($A$627,INDIRECT("notes_"&amp;LEFT($A$627,3)),4,0))</f>
        <v>0</v>
      </c>
      <c r="D627" s="789" t="str">
        <f>'RO2'!L32</f>
        <v/>
      </c>
      <c r="E627" s="789" t="str">
        <f>'RO2'!M32</f>
        <v/>
      </c>
      <c r="F627" s="789" t="str">
        <f>'RO2'!O32</f>
        <v/>
      </c>
    </row>
    <row r="628" spans="1:6" x14ac:dyDescent="0.25">
      <c r="A628" s="787" t="s">
        <v>2501</v>
      </c>
      <c r="B628" s="789">
        <f>IF('RO2'!J$35="","",'RO2'!J$35)</f>
        <v>0</v>
      </c>
      <c r="C628" s="790">
        <f ca="1">IF(ISERROR(VLOOKUP($A$628,INDIRECT("notes_"&amp;LEFT($A$628,3)),4,0)),0,VLOOKUP($A$628,INDIRECT("notes_"&amp;LEFT($A$628,3)),4,0))</f>
        <v>0</v>
      </c>
      <c r="D628" s="789" t="str">
        <f>'RO2'!L35</f>
        <v/>
      </c>
      <c r="E628" s="789" t="str">
        <f>'RO2'!M35</f>
        <v/>
      </c>
      <c r="F628" s="789" t="str">
        <f>'RO2'!O35</f>
        <v/>
      </c>
    </row>
    <row r="629" spans="1:6" x14ac:dyDescent="0.25">
      <c r="A629" s="787" t="s">
        <v>2502</v>
      </c>
      <c r="B629" s="789">
        <f>IF('RO2'!J$36="","",'RO2'!J$36)</f>
        <v>0</v>
      </c>
      <c r="C629" s="790">
        <f ca="1">IF(ISERROR(VLOOKUP($A$629,INDIRECT("notes_"&amp;LEFT($A$629,3)),4,0)),0,VLOOKUP($A$629,INDIRECT("notes_"&amp;LEFT($A$629,3)),4,0))</f>
        <v>0</v>
      </c>
      <c r="D629" s="789" t="str">
        <f>'RO2'!L36</f>
        <v/>
      </c>
      <c r="E629" s="789" t="str">
        <f>'RO2'!M36</f>
        <v/>
      </c>
      <c r="F629" s="789" t="str">
        <f>'RO2'!O36</f>
        <v/>
      </c>
    </row>
    <row r="630" spans="1:6" x14ac:dyDescent="0.25">
      <c r="A630" s="787" t="s">
        <v>2503</v>
      </c>
      <c r="B630" s="789">
        <f>IF('RO2'!J$37="","",'RO2'!J$37)</f>
        <v>0</v>
      </c>
      <c r="C630" s="790">
        <f ca="1">IF(ISERROR(VLOOKUP($A$630,INDIRECT("notes_"&amp;LEFT($A$630,3)),4,0)),0,VLOOKUP($A$630,INDIRECT("notes_"&amp;LEFT($A$630,3)),4,0))</f>
        <v>0</v>
      </c>
      <c r="D630" s="789" t="str">
        <f>'RO2'!L37</f>
        <v/>
      </c>
      <c r="E630" s="789" t="str">
        <f>'RO2'!M37</f>
        <v/>
      </c>
      <c r="F630" s="789" t="str">
        <f>'RO2'!O37</f>
        <v/>
      </c>
    </row>
    <row r="631" spans="1:6" x14ac:dyDescent="0.25">
      <c r="A631" s="787" t="s">
        <v>2504</v>
      </c>
      <c r="B631" s="789">
        <f>IF('RO2'!J$38="","",'RO2'!J$38)</f>
        <v>0</v>
      </c>
      <c r="C631" s="790">
        <f ca="1">IF(ISERROR(VLOOKUP($A$631,INDIRECT("notes_"&amp;LEFT($A$631,3)),4,0)),0,VLOOKUP($A$631,INDIRECT("notes_"&amp;LEFT($A$631,3)),4,0))</f>
        <v>0</v>
      </c>
      <c r="D631" s="789" t="str">
        <f>'RO2'!L38</f>
        <v/>
      </c>
      <c r="E631" s="789" t="str">
        <f>'RO2'!M38</f>
        <v/>
      </c>
      <c r="F631" s="789" t="str">
        <f>'RO2'!O38</f>
        <v/>
      </c>
    </row>
    <row r="632" spans="1:6" x14ac:dyDescent="0.25">
      <c r="A632" s="787" t="s">
        <v>2505</v>
      </c>
      <c r="B632" s="789">
        <f>IF('RO2'!J$39="","",'RO2'!J$39)</f>
        <v>0</v>
      </c>
      <c r="C632" s="790">
        <f ca="1">IF(ISERROR(VLOOKUP($A$632,INDIRECT("notes_"&amp;LEFT($A$632,3)),4,0)),0,VLOOKUP($A$632,INDIRECT("notes_"&amp;LEFT($A$632,3)),4,0))</f>
        <v>0</v>
      </c>
      <c r="D632" s="789" t="str">
        <f>'RO2'!L39</f>
        <v/>
      </c>
      <c r="E632" s="789" t="str">
        <f>'RO2'!M39</f>
        <v/>
      </c>
      <c r="F632" s="789" t="str">
        <f>'RO2'!O39</f>
        <v/>
      </c>
    </row>
    <row r="633" spans="1:6" x14ac:dyDescent="0.25">
      <c r="A633" s="787" t="s">
        <v>2506</v>
      </c>
      <c r="B633" s="789">
        <f>IF('RO2'!J$40="","",'RO2'!J$40)</f>
        <v>0</v>
      </c>
      <c r="C633" s="790">
        <f ca="1">IF(ISERROR(VLOOKUP($A$633,INDIRECT("notes_"&amp;LEFT($A$633,3)),4,0)),0,VLOOKUP($A$633,INDIRECT("notes_"&amp;LEFT($A$633,3)),4,0))</f>
        <v>0</v>
      </c>
      <c r="D633" s="789" t="str">
        <f>'RO2'!L40</f>
        <v/>
      </c>
      <c r="E633" s="789" t="str">
        <f>'RO2'!M40</f>
        <v/>
      </c>
      <c r="F633" s="789" t="str">
        <f>'RO2'!O40</f>
        <v/>
      </c>
    </row>
    <row r="634" spans="1:6" x14ac:dyDescent="0.25">
      <c r="A634" s="787" t="s">
        <v>2507</v>
      </c>
      <c r="B634" s="789">
        <f>IF('RO2'!J$41="","",'RO2'!J$41)</f>
        <v>0</v>
      </c>
      <c r="C634" s="790">
        <f ca="1">IF(ISERROR(VLOOKUP($A$634,INDIRECT("notes_"&amp;LEFT($A$634,3)),4,0)),0,VLOOKUP($A$634,INDIRECT("notes_"&amp;LEFT($A$634,3)),4,0))</f>
        <v>0</v>
      </c>
      <c r="D634" s="789" t="str">
        <f>'RO2'!L41</f>
        <v/>
      </c>
      <c r="E634" s="789" t="str">
        <f>'RO2'!M41</f>
        <v/>
      </c>
      <c r="F634" s="789" t="str">
        <f>'RO2'!O41</f>
        <v/>
      </c>
    </row>
    <row r="635" spans="1:6" x14ac:dyDescent="0.25">
      <c r="A635" s="787" t="s">
        <v>2508</v>
      </c>
      <c r="B635" s="789">
        <f>IF('RO2'!J$45="","",'RO2'!J$45)</f>
        <v>0</v>
      </c>
      <c r="C635" s="790">
        <f ca="1">IF(ISERROR(VLOOKUP($A$635,INDIRECT("notes_"&amp;LEFT($A$635,3)),4,0)),0,VLOOKUP($A$635,INDIRECT("notes_"&amp;LEFT($A$635,3)),4,0))</f>
        <v>0</v>
      </c>
      <c r="D635" s="789" t="str">
        <f>'RO2'!L45</f>
        <v/>
      </c>
      <c r="E635" s="789" t="str">
        <f>'RO2'!M45</f>
        <v/>
      </c>
      <c r="F635" s="789" t="str">
        <f>'RO2'!O45</f>
        <v/>
      </c>
    </row>
    <row r="636" spans="1:6" x14ac:dyDescent="0.25">
      <c r="A636" s="787" t="s">
        <v>2509</v>
      </c>
      <c r="B636" s="789">
        <f>IF('RO2'!J$46="","",'RO2'!J$46)</f>
        <v>0</v>
      </c>
      <c r="C636" s="790">
        <f ca="1">IF(ISERROR(VLOOKUP($A$636,INDIRECT("notes_"&amp;LEFT($A$636,3)),4,0)),0,VLOOKUP($A$636,INDIRECT("notes_"&amp;LEFT($A$636,3)),4,0))</f>
        <v>0</v>
      </c>
      <c r="D636" s="789" t="str">
        <f>'RO2'!L46</f>
        <v/>
      </c>
      <c r="E636" s="789" t="str">
        <f>'RO2'!M46</f>
        <v/>
      </c>
      <c r="F636" s="789" t="str">
        <f>'RO2'!O46</f>
        <v/>
      </c>
    </row>
    <row r="637" spans="1:6" x14ac:dyDescent="0.25">
      <c r="A637" s="787" t="s">
        <v>2510</v>
      </c>
      <c r="B637" s="789">
        <f>IF('RO2'!J$47="","",'RO2'!J$47)</f>
        <v>0</v>
      </c>
      <c r="C637" s="790">
        <f ca="1">IF(ISERROR(VLOOKUP($A$637,INDIRECT("notes_"&amp;LEFT($A$637,3)),4,0)),0,VLOOKUP($A$637,INDIRECT("notes_"&amp;LEFT($A$637,3)),4,0))</f>
        <v>0</v>
      </c>
      <c r="D637" s="789" t="str">
        <f>'RO2'!L47</f>
        <v/>
      </c>
      <c r="E637" s="789" t="str">
        <f>'RO2'!M47</f>
        <v/>
      </c>
      <c r="F637" s="789" t="str">
        <f>'RO2'!O47</f>
        <v/>
      </c>
    </row>
    <row r="638" spans="1:6" x14ac:dyDescent="0.25">
      <c r="A638" s="787" t="s">
        <v>2511</v>
      </c>
      <c r="B638" s="789">
        <f>IF('RO2'!J$48="","",'RO2'!J$48)</f>
        <v>0</v>
      </c>
      <c r="C638" s="790">
        <f ca="1">IF(ISERROR(VLOOKUP($A$638,INDIRECT("notes_"&amp;LEFT($A$638,3)),4,0)),0,VLOOKUP($A$638,INDIRECT("notes_"&amp;LEFT($A$638,3)),4,0))</f>
        <v>0</v>
      </c>
      <c r="D638" s="789" t="str">
        <f>'RO2'!L48</f>
        <v/>
      </c>
      <c r="E638" s="789" t="str">
        <f>'RO2'!M48</f>
        <v/>
      </c>
      <c r="F638" s="789" t="str">
        <f>'RO2'!O48</f>
        <v/>
      </c>
    </row>
    <row r="639" spans="1:6" x14ac:dyDescent="0.25">
      <c r="A639" s="787" t="s">
        <v>2512</v>
      </c>
      <c r="B639" s="789">
        <f>IF('RO2'!J$51="","",'RO2'!J$51)</f>
        <v>0</v>
      </c>
      <c r="C639" s="790">
        <f ca="1">IF(ISERROR(VLOOKUP($A$639,INDIRECT("notes_"&amp;LEFT($A$639,3)),4,0)),0,VLOOKUP($A$639,INDIRECT("notes_"&amp;LEFT($A$639,3)),4,0))</f>
        <v>0</v>
      </c>
      <c r="D639" s="789" t="str">
        <f>'RO2'!L51</f>
        <v/>
      </c>
      <c r="E639" s="789" t="str">
        <f>'RO2'!M51</f>
        <v/>
      </c>
      <c r="F639" s="789" t="str">
        <f>'RO2'!O51</f>
        <v/>
      </c>
    </row>
    <row r="640" spans="1:6" x14ac:dyDescent="0.25">
      <c r="A640" s="787" t="s">
        <v>2513</v>
      </c>
      <c r="B640" s="789">
        <f>IF('RO2'!J$52="","",'RO2'!J$52)</f>
        <v>0</v>
      </c>
      <c r="C640" s="790">
        <f ca="1">IF(ISERROR(VLOOKUP($A$640,INDIRECT("notes_"&amp;LEFT($A$640,3)),4,0)),0,VLOOKUP($A$640,INDIRECT("notes_"&amp;LEFT($A$640,3)),4,0))</f>
        <v>0</v>
      </c>
      <c r="D640" s="789" t="str">
        <f>'RO2'!L52</f>
        <v/>
      </c>
      <c r="E640" s="789" t="str">
        <f>'RO2'!M52</f>
        <v/>
      </c>
      <c r="F640" s="789" t="str">
        <f>'RO2'!O52</f>
        <v/>
      </c>
    </row>
    <row r="641" spans="1:6" x14ac:dyDescent="0.25">
      <c r="A641" s="787" t="s">
        <v>2514</v>
      </c>
      <c r="B641" s="789">
        <f>IF('RO2'!J$55="","",'RO2'!J$55)</f>
        <v>0</v>
      </c>
      <c r="C641" s="790">
        <f ca="1">IF(ISERROR(VLOOKUP($A$641,INDIRECT("notes_"&amp;LEFT($A$641,3)),4,0)),0,VLOOKUP($A$641,INDIRECT("notes_"&amp;LEFT($A$641,3)),4,0))</f>
        <v>0</v>
      </c>
      <c r="D641" s="789" t="str">
        <f>'RO2'!L55</f>
        <v/>
      </c>
      <c r="E641" s="789" t="str">
        <f>'RO2'!M55</f>
        <v/>
      </c>
      <c r="F641" s="789" t="str">
        <f>'RO2'!O55</f>
        <v/>
      </c>
    </row>
    <row r="642" spans="1:6" x14ac:dyDescent="0.25">
      <c r="A642" s="787" t="s">
        <v>2515</v>
      </c>
      <c r="B642" s="789">
        <f>IF('RO2'!J$56="","",'RO2'!J$56)</f>
        <v>0</v>
      </c>
      <c r="C642" s="790">
        <f ca="1">IF(ISERROR(VLOOKUP($A$642,INDIRECT("notes_"&amp;LEFT($A$642,3)),4,0)),0,VLOOKUP($A$642,INDIRECT("notes_"&amp;LEFT($A$642,3)),4,0))</f>
        <v>0</v>
      </c>
      <c r="D642" s="789" t="str">
        <f>'RO2'!L56</f>
        <v/>
      </c>
      <c r="E642" s="789" t="str">
        <f>'RO2'!M56</f>
        <v/>
      </c>
      <c r="F642" s="789" t="str">
        <f>'RO2'!O56</f>
        <v/>
      </c>
    </row>
    <row r="643" spans="1:6" x14ac:dyDescent="0.25">
      <c r="A643" s="787" t="s">
        <v>2516</v>
      </c>
      <c r="B643" s="789">
        <f>IF('RO2'!J$57="","",'RO2'!J$57)</f>
        <v>0</v>
      </c>
      <c r="C643" s="790">
        <f ca="1">IF(ISERROR(VLOOKUP($A$643,INDIRECT("notes_"&amp;LEFT($A$643,3)),4,0)),0,VLOOKUP($A$643,INDIRECT("notes_"&amp;LEFT($A$643,3)),4,0))</f>
        <v>0</v>
      </c>
      <c r="D643" s="789" t="str">
        <f>'RO2'!L57</f>
        <v/>
      </c>
      <c r="E643" s="789" t="str">
        <f>'RO2'!M57</f>
        <v/>
      </c>
      <c r="F643" s="789" t="str">
        <f>'RO2'!O57</f>
        <v/>
      </c>
    </row>
    <row r="644" spans="1:6" x14ac:dyDescent="0.25">
      <c r="A644" s="787" t="s">
        <v>2517</v>
      </c>
      <c r="B644" s="789">
        <f>IF('RO2'!J$58="","",'RO2'!J$58)</f>
        <v>0</v>
      </c>
      <c r="C644" s="790">
        <f ca="1">IF(ISERROR(VLOOKUP($A$644,INDIRECT("notes_"&amp;LEFT($A$644,3)),4,0)),0,VLOOKUP($A$644,INDIRECT("notes_"&amp;LEFT($A$644,3)),4,0))</f>
        <v>0</v>
      </c>
      <c r="D644" s="789" t="str">
        <f>'RO2'!L58</f>
        <v/>
      </c>
      <c r="E644" s="789" t="str">
        <f>'RO2'!M58</f>
        <v/>
      </c>
      <c r="F644" s="789" t="str">
        <f>'RO2'!O58</f>
        <v/>
      </c>
    </row>
    <row r="645" spans="1:6" x14ac:dyDescent="0.25">
      <c r="A645" s="787" t="s">
        <v>2518</v>
      </c>
      <c r="B645" s="789">
        <f>IF('RO2'!J$59="","",'RO2'!J$59)</f>
        <v>0</v>
      </c>
      <c r="C645" s="790">
        <f ca="1">IF(ISERROR(VLOOKUP($A$645,INDIRECT("notes_"&amp;LEFT($A$645,3)),4,0)),0,VLOOKUP($A$645,INDIRECT("notes_"&amp;LEFT($A$645,3)),4,0))</f>
        <v>0</v>
      </c>
      <c r="D645" s="789" t="str">
        <f>'RO2'!L59</f>
        <v/>
      </c>
      <c r="E645" s="789" t="str">
        <f>'RO2'!M59</f>
        <v/>
      </c>
      <c r="F645" s="789" t="str">
        <f>'RO2'!O59</f>
        <v/>
      </c>
    </row>
    <row r="646" spans="1:6" x14ac:dyDescent="0.25">
      <c r="A646" s="787" t="s">
        <v>2519</v>
      </c>
      <c r="B646" s="789">
        <f>IF('RO2'!J$60="","",'RO2'!J$60)</f>
        <v>0</v>
      </c>
      <c r="C646" s="790">
        <f ca="1">IF(ISERROR(VLOOKUP($A$646,INDIRECT("notes_"&amp;LEFT($A$646,3)),4,0)),0,VLOOKUP($A$646,INDIRECT("notes_"&amp;LEFT($A$646,3)),4,0))</f>
        <v>0</v>
      </c>
      <c r="D646" s="789" t="str">
        <f>'RO2'!L60</f>
        <v/>
      </c>
      <c r="E646" s="789" t="str">
        <f>'RO2'!M60</f>
        <v/>
      </c>
      <c r="F646" s="789" t="str">
        <f>'RO2'!O60</f>
        <v/>
      </c>
    </row>
    <row r="647" spans="1:6" x14ac:dyDescent="0.25">
      <c r="A647" s="787" t="s">
        <v>2520</v>
      </c>
      <c r="B647" s="789">
        <f>IF('RO2'!J$62="","",'RO2'!J$62)</f>
        <v>0</v>
      </c>
      <c r="C647" s="790">
        <f ca="1">IF(ISERROR(VLOOKUP($A$647,INDIRECT("notes_"&amp;LEFT($A$647,3)),4,0)),0,VLOOKUP($A$647,INDIRECT("notes_"&amp;LEFT($A$647,3)),4,0))</f>
        <v>0</v>
      </c>
      <c r="D647" s="789" t="str">
        <f>'RO2'!L62</f>
        <v/>
      </c>
      <c r="E647" s="789" t="str">
        <f>'RO2'!M62</f>
        <v/>
      </c>
      <c r="F647" s="789" t="str">
        <f>'RO2'!O62</f>
        <v/>
      </c>
    </row>
    <row r="648" spans="1:6" x14ac:dyDescent="0.25">
      <c r="A648" s="787" t="s">
        <v>2521</v>
      </c>
      <c r="B648" s="789">
        <f>IF('RO2'!J$64="","",'RO2'!J$64)</f>
        <v>0</v>
      </c>
      <c r="C648" s="790">
        <f ca="1">IF(ISERROR(VLOOKUP($A$648,INDIRECT("notes_"&amp;LEFT($A$648,3)),4,0)),0,VLOOKUP($A$648,INDIRECT("notes_"&amp;LEFT($A$648,3)),4,0))</f>
        <v>0</v>
      </c>
      <c r="D648" s="789" t="str">
        <f>'RO2'!L64</f>
        <v/>
      </c>
      <c r="E648" s="789" t="str">
        <f>'RO2'!M64</f>
        <v/>
      </c>
      <c r="F648" s="789" t="str">
        <f>'RO2'!O64</f>
        <v/>
      </c>
    </row>
    <row r="649" spans="1:6" x14ac:dyDescent="0.25">
      <c r="A649" s="787" t="s">
        <v>2522</v>
      </c>
      <c r="B649" s="789">
        <f>IF('RO2'!J$82="","",'RO2'!J$82)</f>
        <v>0</v>
      </c>
      <c r="C649" s="790">
        <f ca="1">IF(ISERROR(VLOOKUP($A$649,INDIRECT("notes_"&amp;LEFT($A$649,3)),4,0)),0,VLOOKUP($A$649,INDIRECT("notes_"&amp;LEFT($A$649,3)),4,0))</f>
        <v>0</v>
      </c>
      <c r="D649" s="789" t="str">
        <f>'RO2'!L82</f>
        <v/>
      </c>
      <c r="E649" s="789" t="str">
        <f>'RO2'!M82</f>
        <v/>
      </c>
      <c r="F649" s="789" t="str">
        <f>'RO2'!O82</f>
        <v/>
      </c>
    </row>
    <row r="650" spans="1:6" x14ac:dyDescent="0.25">
      <c r="A650" s="787" t="s">
        <v>2523</v>
      </c>
      <c r="B650" s="789">
        <f>IF('RO2'!J$94="","",'RO2'!J$94)</f>
        <v>0</v>
      </c>
      <c r="C650" s="790">
        <f ca="1">IF(ISERROR(VLOOKUP($A$650,INDIRECT("notes_"&amp;LEFT($A$650,3)),4,0)),0,VLOOKUP($A$650,INDIRECT("notes_"&amp;LEFT($A$650,3)),4,0))</f>
        <v>0</v>
      </c>
      <c r="D650" s="789" t="str">
        <f>'RO2'!L94</f>
        <v/>
      </c>
      <c r="E650" s="789" t="str">
        <f>'RO2'!M94</f>
        <v/>
      </c>
      <c r="F650" s="789" t="str">
        <f>'RO2'!O94</f>
        <v/>
      </c>
    </row>
    <row r="651" spans="1:6" x14ac:dyDescent="0.25">
      <c r="A651" s="787" t="s">
        <v>2524</v>
      </c>
      <c r="B651" s="789">
        <f>IF('RO2'!J$95="","",'RO2'!J$95)</f>
        <v>0</v>
      </c>
      <c r="C651" s="790">
        <f ca="1">IF(ISERROR(VLOOKUP($A$651,INDIRECT("notes_"&amp;LEFT($A$651,3)),4,0)),0,VLOOKUP($A$651,INDIRECT("notes_"&amp;LEFT($A$651,3)),4,0))</f>
        <v>0</v>
      </c>
      <c r="D651" s="789" t="str">
        <f>'RO2'!L95</f>
        <v/>
      </c>
      <c r="E651" s="789" t="str">
        <f>'RO2'!M95</f>
        <v/>
      </c>
      <c r="F651" s="789" t="str">
        <f>'RO2'!O95</f>
        <v/>
      </c>
    </row>
    <row r="652" spans="1:6" x14ac:dyDescent="0.25">
      <c r="A652" s="787" t="s">
        <v>2525</v>
      </c>
      <c r="B652" s="789">
        <f>IF('RO2'!J$96="","",'RO2'!J$96)</f>
        <v>0</v>
      </c>
      <c r="C652" s="790">
        <f ca="1">IF(ISERROR(VLOOKUP($A$652,INDIRECT("notes_"&amp;LEFT($A$652,3)),4,0)),0,VLOOKUP($A$652,INDIRECT("notes_"&amp;LEFT($A$652,3)),4,0))</f>
        <v>0</v>
      </c>
      <c r="D652" s="789" t="str">
        <f>'RO2'!L96</f>
        <v/>
      </c>
      <c r="E652" s="789" t="str">
        <f>'RO2'!M96</f>
        <v/>
      </c>
      <c r="F652" s="789" t="str">
        <f>'RO2'!O96</f>
        <v/>
      </c>
    </row>
    <row r="653" spans="1:6" x14ac:dyDescent="0.25">
      <c r="A653" s="787" t="s">
        <v>3257</v>
      </c>
      <c r="B653" s="789" t="str">
        <f>IF(ISNUMBER(SEARCH("resolve",'RO3'!A17)),'RO3'!A17,"")</f>
        <v/>
      </c>
      <c r="C653" s="790"/>
    </row>
    <row r="654" spans="1:6" x14ac:dyDescent="0.25">
      <c r="A654" s="787" t="s">
        <v>3258</v>
      </c>
      <c r="B654" s="789" t="str">
        <f>IF('RO3'!D$31="","",'RO3'!D$31)</f>
        <v/>
      </c>
      <c r="C654" s="790">
        <f ca="1">IF(ISERROR(VLOOKUP($A$1095,INDIRECT("notes_"&amp;LEFT($A$1095,3)),4,0)),0,VLOOKUP($A$1095,INDIRECT("notes_"&amp;LEFT($A$1095,3)),4,0))</f>
        <v>0</v>
      </c>
    </row>
    <row r="655" spans="1:6" x14ac:dyDescent="0.25">
      <c r="A655" s="787" t="s">
        <v>3259</v>
      </c>
      <c r="B655" s="789">
        <f>IF('RO3'!D$32="","",'RO3'!D$32)</f>
        <v>0</v>
      </c>
      <c r="C655" s="790">
        <f ca="1">IF(ISERROR(VLOOKUP($A$1096,INDIRECT("notes_"&amp;LEFT($A$1096,3)),4,0)),0,VLOOKUP($A$1096,INDIRECT("notes_"&amp;LEFT($A$1096,3)),4,0))</f>
        <v>0</v>
      </c>
    </row>
    <row r="656" spans="1:6" x14ac:dyDescent="0.25">
      <c r="A656" s="817" t="s">
        <v>3260</v>
      </c>
      <c r="B656" s="818" t="str">
        <f>IF('RO3'!D$33="","",'RO3'!D$33)</f>
        <v/>
      </c>
      <c r="C656" s="819">
        <f ca="1">IF(ISERROR(VLOOKUP($A$1097,INDIRECT("notes_"&amp;LEFT($A$1097,3)),4,0)),0,VLOOKUP($A$1097,INDIRECT("notes_"&amp;LEFT($A$1097,3)),4,0))</f>
        <v>0</v>
      </c>
    </row>
    <row r="657" spans="1:3" x14ac:dyDescent="0.25">
      <c r="A657" s="817" t="s">
        <v>3261</v>
      </c>
      <c r="B657" s="818" t="str">
        <f>IF('RO3'!D$34="","",'RO3'!D$34)</f>
        <v/>
      </c>
      <c r="C657" s="819">
        <f ca="1">IF(ISERROR(VLOOKUP($A$1098,INDIRECT("notes_"&amp;LEFT($A$1098,3)),4,0)),0,VLOOKUP($A$1098,INDIRECT("notes_"&amp;LEFT($A$1098,3)),4,0))</f>
        <v>0</v>
      </c>
    </row>
    <row r="658" spans="1:3" x14ac:dyDescent="0.25">
      <c r="A658" s="817" t="s">
        <v>3262</v>
      </c>
      <c r="B658" s="818" t="str">
        <f>IF('RO3'!D$35="","",'RO3'!D$35)</f>
        <v/>
      </c>
      <c r="C658" s="819">
        <f ca="1">IF(ISERROR(VLOOKUP($A$1099,INDIRECT("notes_"&amp;LEFT($A$1099,3)),4,0)),0,VLOOKUP($A$1099,INDIRECT("notes_"&amp;LEFT($A$1099,3)),4,0))</f>
        <v>0</v>
      </c>
    </row>
    <row r="659" spans="1:3" x14ac:dyDescent="0.25">
      <c r="A659" s="817" t="s">
        <v>3263</v>
      </c>
      <c r="B659" s="818" t="str">
        <f>IF('RO3'!D$36="","",'RO3'!D$36)</f>
        <v/>
      </c>
      <c r="C659" s="819">
        <f ca="1">IF(ISERROR(VLOOKUP($A$1100,INDIRECT("notes_"&amp;LEFT($A$1100,3)),4,0)),0,VLOOKUP($A$1100,INDIRECT("notes_"&amp;LEFT($A$1100,3)),4,0))</f>
        <v>0</v>
      </c>
    </row>
    <row r="660" spans="1:3" x14ac:dyDescent="0.25">
      <c r="A660" s="787" t="s">
        <v>3264</v>
      </c>
      <c r="B660" s="789" t="str">
        <f>IF('RO3'!D$37="","",'RO3'!D$37)</f>
        <v/>
      </c>
      <c r="C660" s="790">
        <f ca="1">IF(ISERROR(VLOOKUP($A$1101,INDIRECT("notes_"&amp;LEFT($A$1101,3)),4,0)),0,VLOOKUP($A$1101,INDIRECT("notes_"&amp;LEFT($A$1101,3)),4,0))</f>
        <v>0</v>
      </c>
    </row>
    <row r="661" spans="1:3" x14ac:dyDescent="0.25">
      <c r="A661" s="787" t="s">
        <v>3265</v>
      </c>
      <c r="B661" s="789" t="str">
        <f>IF('RO3'!D$38="","",'RO3'!D$38)</f>
        <v/>
      </c>
      <c r="C661" s="790">
        <f ca="1">IF(ISERROR(VLOOKUP($A$1102,INDIRECT("notes_"&amp;LEFT($A$1102,3)),4,0)),0,VLOOKUP($A$1102,INDIRECT("notes_"&amp;LEFT($A$1102,3)),4,0))</f>
        <v>0</v>
      </c>
    </row>
    <row r="662" spans="1:3" x14ac:dyDescent="0.25">
      <c r="A662" s="787" t="s">
        <v>3266</v>
      </c>
      <c r="B662" s="789" t="str">
        <f>IF('RO3'!D$39="","",'RO3'!D$39)</f>
        <v/>
      </c>
      <c r="C662" s="790">
        <f ca="1">IF(ISERROR(VLOOKUP($A$1103,INDIRECT("notes_"&amp;LEFT($A$1103,3)),4,0)),0,VLOOKUP($A$1103,INDIRECT("notes_"&amp;LEFT($A$1103,3)),4,0))</f>
        <v>0</v>
      </c>
    </row>
    <row r="663" spans="1:3" x14ac:dyDescent="0.25">
      <c r="A663" s="787" t="s">
        <v>3267</v>
      </c>
      <c r="B663" s="789" t="str">
        <f>IF('RO3'!D$40="","",'RO3'!D$40)</f>
        <v/>
      </c>
      <c r="C663" s="790">
        <f ca="1">IF(ISERROR(VLOOKUP($A$1104,INDIRECT("notes_"&amp;LEFT($A$1104,3)),4,0)),0,VLOOKUP($A$1104,INDIRECT("notes_"&amp;LEFT($A$1104,3)),4,0))</f>
        <v>0</v>
      </c>
    </row>
    <row r="664" spans="1:3" x14ac:dyDescent="0.25">
      <c r="A664" s="787" t="s">
        <v>3268</v>
      </c>
      <c r="B664" s="789" t="str">
        <f>IF('RO3'!D$41="","",'RO3'!D$41)</f>
        <v/>
      </c>
      <c r="C664" s="790">
        <f ca="1">IF(ISERROR(VLOOKUP($A$1105,INDIRECT("notes_"&amp;LEFT($A$1105,3)),4,0)),0,VLOOKUP($A$1105,INDIRECT("notes_"&amp;LEFT($A$1105,3)),4,0))</f>
        <v>0</v>
      </c>
    </row>
    <row r="665" spans="1:3" x14ac:dyDescent="0.25">
      <c r="A665" s="787" t="s">
        <v>3269</v>
      </c>
      <c r="B665" s="789" t="str">
        <f>IF('RO3'!D$42="","",'RO3'!D$42)</f>
        <v/>
      </c>
      <c r="C665" s="790">
        <f ca="1">IF(ISERROR(VLOOKUP($A$1106,INDIRECT("notes_"&amp;LEFT($A$1106,3)),4,0)),0,VLOOKUP($A$1106,INDIRECT("notes_"&amp;LEFT($A$1106,3)),4,0))</f>
        <v>0</v>
      </c>
    </row>
    <row r="666" spans="1:3" x14ac:dyDescent="0.25">
      <c r="A666" s="787" t="s">
        <v>3270</v>
      </c>
      <c r="B666" s="789">
        <f>IF('RO3'!D$44="","",'RO3'!D$44)</f>
        <v>0</v>
      </c>
      <c r="C666" s="790">
        <f ca="1">IF(ISERROR(VLOOKUP($A$1107,INDIRECT("notes_"&amp;LEFT($A$1107,3)),4,0)),0,VLOOKUP($A$1107,INDIRECT("notes_"&amp;LEFT($A$1107,3)),4,0))</f>
        <v>0</v>
      </c>
    </row>
    <row r="667" spans="1:3" x14ac:dyDescent="0.25">
      <c r="A667" s="787" t="s">
        <v>3271</v>
      </c>
      <c r="B667" s="789" t="str">
        <f>IF('RO3'!D$51="","",'RO3'!D$51)</f>
        <v/>
      </c>
      <c r="C667" s="790">
        <f ca="1">IF(ISERROR(VLOOKUP($A$1108,INDIRECT("notes_"&amp;LEFT($A$1108,3)),4,0)),0,VLOOKUP($A$1108,INDIRECT("notes_"&amp;LEFT($A$1108,3)),4,0))</f>
        <v>0</v>
      </c>
    </row>
    <row r="668" spans="1:3" x14ac:dyDescent="0.25">
      <c r="A668" s="787" t="s">
        <v>3272</v>
      </c>
      <c r="B668" s="789" t="str">
        <f>IF('RO3'!D$52="","",'RO3'!D$52)</f>
        <v/>
      </c>
      <c r="C668" s="790">
        <f ca="1">IF(ISERROR(VLOOKUP($A$1109,INDIRECT("notes_"&amp;LEFT($A$1109,3)),4,0)),0,VLOOKUP($A$1109,INDIRECT("notes_"&amp;LEFT($A$1109,3)),4,0))</f>
        <v>0</v>
      </c>
    </row>
    <row r="669" spans="1:3" x14ac:dyDescent="0.25">
      <c r="A669" s="787" t="s">
        <v>3273</v>
      </c>
      <c r="B669" s="789" t="str">
        <f>IF('RO3'!D$53="","",'RO3'!D$53)</f>
        <v/>
      </c>
      <c r="C669" s="790">
        <f ca="1">IF(ISERROR(VLOOKUP($A$1110,INDIRECT("notes_"&amp;LEFT($A$1110,3)),4,0)),0,VLOOKUP($A$1110,INDIRECT("notes_"&amp;LEFT($A$1110,3)),4,0))</f>
        <v>0</v>
      </c>
    </row>
    <row r="670" spans="1:3" x14ac:dyDescent="0.25">
      <c r="A670" s="787" t="s">
        <v>3274</v>
      </c>
      <c r="B670" s="789" t="str">
        <f>IF('RO3'!D$54="","",'RO3'!D$54)</f>
        <v/>
      </c>
      <c r="C670" s="790">
        <f ca="1">IF(ISERROR(VLOOKUP($A$1111,INDIRECT("notes_"&amp;LEFT($A$1111,3)),4,0)),0,VLOOKUP($A$1111,INDIRECT("notes_"&amp;LEFT($A$1111,3)),4,0))</f>
        <v>0</v>
      </c>
    </row>
    <row r="671" spans="1:3" x14ac:dyDescent="0.25">
      <c r="A671" s="787" t="s">
        <v>3275</v>
      </c>
      <c r="B671" s="789" t="str">
        <f>IF('RO3'!D$55="","",'RO3'!D$55)</f>
        <v/>
      </c>
      <c r="C671" s="790">
        <f ca="1">IF(ISERROR(VLOOKUP($A$1112,INDIRECT("notes_"&amp;LEFT($A$1112,3)),4,0)),0,VLOOKUP($A$1112,INDIRECT("notes_"&amp;LEFT($A$1112,3)),4,0))</f>
        <v>0</v>
      </c>
    </row>
    <row r="672" spans="1:3" x14ac:dyDescent="0.25">
      <c r="A672" s="787" t="s">
        <v>3276</v>
      </c>
      <c r="B672" s="789" t="str">
        <f>IF('RO3'!D$56="","",'RO3'!D$56)</f>
        <v/>
      </c>
      <c r="C672" s="790">
        <f ca="1">IF(ISERROR(VLOOKUP($A$1113,INDIRECT("notes_"&amp;LEFT($A$1113,3)),4,0)),0,VLOOKUP($A$1113,INDIRECT("notes_"&amp;LEFT($A$1113,3)),4,0))</f>
        <v>0</v>
      </c>
    </row>
    <row r="673" spans="1:3" x14ac:dyDescent="0.25">
      <c r="A673" s="787" t="s">
        <v>3277</v>
      </c>
      <c r="B673" s="789" t="str">
        <f>IF('RO3'!D$57="","",'RO3'!D$57)</f>
        <v/>
      </c>
      <c r="C673" s="790">
        <f ca="1">IF(ISERROR(VLOOKUP($A$1114,INDIRECT("notes_"&amp;LEFT($A$1114,3)),4,0)),0,VLOOKUP($A$1114,INDIRECT("notes_"&amp;LEFT($A$1114,3)),4,0))</f>
        <v>0</v>
      </c>
    </row>
    <row r="674" spans="1:3" x14ac:dyDescent="0.25">
      <c r="A674" s="787" t="s">
        <v>3278</v>
      </c>
      <c r="B674" s="789" t="str">
        <f>IF('RO3'!D$58="","",'RO3'!D$58)</f>
        <v/>
      </c>
      <c r="C674" s="790">
        <f ca="1">IF(ISERROR(VLOOKUP($A$1115,INDIRECT("notes_"&amp;LEFT($A$1115,3)),4,0)),0,VLOOKUP($A$1115,INDIRECT("notes_"&amp;LEFT($A$1115,3)),4,0))</f>
        <v>0</v>
      </c>
    </row>
    <row r="675" spans="1:3" x14ac:dyDescent="0.25">
      <c r="A675" s="787" t="s">
        <v>3279</v>
      </c>
      <c r="B675" s="789" t="str">
        <f>IF('RO3'!D$59="","",'RO3'!D$59)</f>
        <v/>
      </c>
      <c r="C675" s="790">
        <f ca="1">IF(ISERROR(VLOOKUP($A$1116,INDIRECT("notes_"&amp;LEFT($A$1116,3)),4,0)),0,VLOOKUP($A$1116,INDIRECT("notes_"&amp;LEFT($A$1116,3)),4,0))</f>
        <v>0</v>
      </c>
    </row>
    <row r="676" spans="1:3" x14ac:dyDescent="0.25">
      <c r="A676" s="787" t="s">
        <v>3280</v>
      </c>
      <c r="B676" s="789" t="str">
        <f>IF('RO3'!D$60="","",'RO3'!D$60)</f>
        <v/>
      </c>
      <c r="C676" s="790">
        <f ca="1">IF(ISERROR(VLOOKUP($A$1117,INDIRECT("notes_"&amp;LEFT($A$1117,3)),4,0)),0,VLOOKUP($A$1117,INDIRECT("notes_"&amp;LEFT($A$1117,3)),4,0))</f>
        <v>0</v>
      </c>
    </row>
    <row r="677" spans="1:3" x14ac:dyDescent="0.25">
      <c r="A677" s="787" t="s">
        <v>3281</v>
      </c>
      <c r="B677" s="789" t="str">
        <f>IF('RO3'!D$61="","",'RO3'!D$61)</f>
        <v/>
      </c>
      <c r="C677" s="790">
        <f ca="1">IF(ISERROR(VLOOKUP($A$1118,INDIRECT("notes_"&amp;LEFT($A$1118,3)),4,0)),0,VLOOKUP($A$1118,INDIRECT("notes_"&amp;LEFT($A$1118,3)),4,0))</f>
        <v>0</v>
      </c>
    </row>
    <row r="678" spans="1:3" x14ac:dyDescent="0.25">
      <c r="A678" s="787" t="s">
        <v>3282</v>
      </c>
      <c r="B678" s="789" t="str">
        <f>IF('RO3'!D$62="","",'RO3'!D$62)</f>
        <v/>
      </c>
      <c r="C678" s="790">
        <f ca="1">IF(ISERROR(VLOOKUP($A$1119,INDIRECT("notes_"&amp;LEFT($A$1119,3)),4,0)),0,VLOOKUP($A$1119,INDIRECT("notes_"&amp;LEFT($A$1119,3)),4,0))</f>
        <v>0</v>
      </c>
    </row>
    <row r="679" spans="1:3" x14ac:dyDescent="0.25">
      <c r="A679" s="787" t="s">
        <v>3283</v>
      </c>
      <c r="B679" s="789" t="str">
        <f>IF('RO3'!D$63="","",'RO3'!D$63)</f>
        <v/>
      </c>
      <c r="C679" s="790">
        <f ca="1">IF(ISERROR(VLOOKUP($A$1120,INDIRECT("notes_"&amp;LEFT($A$1120,3)),4,0)),0,VLOOKUP($A$1120,INDIRECT("notes_"&amp;LEFT($A$1120,3)),4,0))</f>
        <v>0</v>
      </c>
    </row>
    <row r="680" spans="1:3" x14ac:dyDescent="0.25">
      <c r="A680" s="787" t="s">
        <v>3284</v>
      </c>
      <c r="B680" s="789" t="str">
        <f>IF('RO3'!D$64="","",'RO3'!D$64)</f>
        <v/>
      </c>
      <c r="C680" s="790">
        <f ca="1">IF(ISERROR(VLOOKUP($A$1121,INDIRECT("notes_"&amp;LEFT($A$1121,3)),4,0)),0,VLOOKUP($A$1121,INDIRECT("notes_"&amp;LEFT($A$1121,3)),4,0))</f>
        <v>0</v>
      </c>
    </row>
    <row r="681" spans="1:3" x14ac:dyDescent="0.25">
      <c r="A681" s="787" t="s">
        <v>3285</v>
      </c>
      <c r="B681" s="789" t="str">
        <f>IF('RO3'!D$65="","",'RO3'!D$65)</f>
        <v/>
      </c>
      <c r="C681" s="790"/>
    </row>
    <row r="682" spans="1:3" x14ac:dyDescent="0.25">
      <c r="A682" s="787" t="s">
        <v>3286</v>
      </c>
      <c r="B682" s="789" t="str">
        <f>IF('RO3'!D$66="","",'RO3'!D$66)</f>
        <v/>
      </c>
      <c r="C682" s="790"/>
    </row>
    <row r="683" spans="1:3" x14ac:dyDescent="0.25">
      <c r="A683" s="787" t="s">
        <v>3287</v>
      </c>
      <c r="B683" s="789" t="str">
        <f>IF('RO3'!D$67="","",'RO3'!D$67)</f>
        <v/>
      </c>
      <c r="C683" s="790">
        <f ca="1">IF(ISERROR(VLOOKUP($A$1124,INDIRECT("notes_"&amp;LEFT($A$1124,3)),4,0)),0,VLOOKUP($A$1124,INDIRECT("notes_"&amp;LEFT($A$1124,3)),4,0))</f>
        <v>0</v>
      </c>
    </row>
    <row r="684" spans="1:3" x14ac:dyDescent="0.25">
      <c r="A684" s="787" t="s">
        <v>3288</v>
      </c>
      <c r="B684" s="789" t="str">
        <f>IF('RO3'!D$68="","",'RO3'!D$68)</f>
        <v/>
      </c>
      <c r="C684" s="790"/>
    </row>
    <row r="685" spans="1:3" x14ac:dyDescent="0.25">
      <c r="A685" s="787" t="s">
        <v>3289</v>
      </c>
      <c r="B685" s="789" t="str">
        <f>IF('RO3'!D$69="","",'RO3'!D$69)</f>
        <v/>
      </c>
      <c r="C685" s="790"/>
    </row>
    <row r="686" spans="1:3" x14ac:dyDescent="0.25">
      <c r="A686" s="787" t="s">
        <v>3290</v>
      </c>
      <c r="B686" s="789" t="str">
        <f>IF('RO3'!D$70="","",'RO3'!D$70)</f>
        <v/>
      </c>
      <c r="C686" s="790">
        <f ca="1">IF(ISERROR(VLOOKUP($A$1127,INDIRECT("notes_"&amp;LEFT($A$1127,3)),4,0)),0,VLOOKUP($A$1127,INDIRECT("notes_"&amp;LEFT($A$1127,3)),4,0))</f>
        <v>0</v>
      </c>
    </row>
    <row r="687" spans="1:3" x14ac:dyDescent="0.25">
      <c r="A687" s="787" t="s">
        <v>3291</v>
      </c>
      <c r="B687" s="789" t="str">
        <f>IF('RO3'!D$71="","",'RO3'!D$71)</f>
        <v/>
      </c>
      <c r="C687" s="790"/>
    </row>
    <row r="688" spans="1:3" x14ac:dyDescent="0.25">
      <c r="A688" s="787" t="s">
        <v>3292</v>
      </c>
      <c r="B688" s="789" t="str">
        <f>IF('RO3'!D$72="","",'RO3'!D$72)</f>
        <v/>
      </c>
      <c r="C688" s="790"/>
    </row>
    <row r="689" spans="1:3" x14ac:dyDescent="0.25">
      <c r="A689" s="787" t="s">
        <v>3293</v>
      </c>
      <c r="B689" s="789" t="str">
        <f>IF('RO3'!D$73="","",'RO3'!D$73)</f>
        <v/>
      </c>
      <c r="C689" s="790">
        <f ca="1">IF(ISERROR(VLOOKUP($A$1130,INDIRECT("notes_"&amp;LEFT($A$1130,3)),4,0)),0,VLOOKUP($A$1130,INDIRECT("notes_"&amp;LEFT($A$1130,3)),4,0))</f>
        <v>0</v>
      </c>
    </row>
    <row r="690" spans="1:3" x14ac:dyDescent="0.25">
      <c r="A690" s="787" t="s">
        <v>3294</v>
      </c>
      <c r="B690" s="789" t="str">
        <f>IF('RO3'!D$74="","",'RO3'!D$74)</f>
        <v/>
      </c>
      <c r="C690" s="790"/>
    </row>
    <row r="691" spans="1:3" x14ac:dyDescent="0.25">
      <c r="A691" s="787" t="s">
        <v>3295</v>
      </c>
      <c r="B691" s="789" t="str">
        <f>IF('RO3'!D$75="","",'RO3'!D$75)</f>
        <v/>
      </c>
      <c r="C691" s="790"/>
    </row>
    <row r="692" spans="1:3" x14ac:dyDescent="0.25">
      <c r="A692" s="787" t="s">
        <v>3296</v>
      </c>
      <c r="B692" s="789" t="str">
        <f>IF('RO3'!D$76="","",'RO3'!D$76)</f>
        <v/>
      </c>
      <c r="C692" s="790">
        <f ca="1">IF(ISERROR(VLOOKUP($A$1133,INDIRECT("notes_"&amp;LEFT($A$1133,3)),4,0)),0,VLOOKUP($A$1133,INDIRECT("notes_"&amp;LEFT($A$1133,3)),4,0))</f>
        <v>0</v>
      </c>
    </row>
    <row r="693" spans="1:3" x14ac:dyDescent="0.25">
      <c r="A693" s="787" t="s">
        <v>3297</v>
      </c>
      <c r="B693" s="789" t="str">
        <f>IF('RO3'!D$77="","",'RO3'!D$77)</f>
        <v/>
      </c>
      <c r="C693" s="790"/>
    </row>
    <row r="694" spans="1:3" x14ac:dyDescent="0.25">
      <c r="A694" s="787" t="s">
        <v>3298</v>
      </c>
      <c r="B694" s="789" t="str">
        <f>IF('RO3'!D$78="","",'RO3'!D$78)</f>
        <v/>
      </c>
      <c r="C694" s="790"/>
    </row>
    <row r="695" spans="1:3" x14ac:dyDescent="0.25">
      <c r="A695" s="787" t="s">
        <v>3299</v>
      </c>
      <c r="B695" s="789" t="str">
        <f>IF('RO3'!D$81="","",'RO3'!D$81)</f>
        <v/>
      </c>
      <c r="C695" s="791">
        <f ca="1">IF(ISERROR(VLOOKUP($A$1136,INDIRECT("notes_"&amp;LEFT($A$1136,3)),4,0)),0,VLOOKUP($A$1136,INDIRECT("notes_"&amp;LEFT($A$1136,3)),4,0))</f>
        <v>0</v>
      </c>
    </row>
    <row r="696" spans="1:3" x14ac:dyDescent="0.25">
      <c r="A696" s="787" t="s">
        <v>3300</v>
      </c>
      <c r="B696" s="789" t="str">
        <f>IF('RO3'!D$82="","",'RO3'!D$82)</f>
        <v/>
      </c>
      <c r="C696" s="791">
        <f ca="1">IF(ISERROR(VLOOKUP($A$1137,INDIRECT("notes_"&amp;LEFT($A$1137,3)),4,0)),0,VLOOKUP($A$1137,INDIRECT("notes_"&amp;LEFT($A$1137,3)),4,0))</f>
        <v>0</v>
      </c>
    </row>
    <row r="697" spans="1:3" x14ac:dyDescent="0.25">
      <c r="A697" s="787" t="s">
        <v>3301</v>
      </c>
      <c r="B697" s="789">
        <f>IF('RO3'!D$83="","",'RO3'!D$83)</f>
        <v>0</v>
      </c>
      <c r="C697" s="790">
        <f ca="1">IF(ISERROR(VLOOKUP($A$1138,INDIRECT("notes_"&amp;LEFT($A$1138,3)),4,0)),0,VLOOKUP($A$1138,INDIRECT("notes_"&amp;LEFT($A$1138,3)),4,0))</f>
        <v>0</v>
      </c>
    </row>
    <row r="698" spans="1:3" x14ac:dyDescent="0.25">
      <c r="A698" s="787" t="s">
        <v>3302</v>
      </c>
      <c r="B698" s="789" t="str">
        <f>IF('RO3'!D$90="","",'RO3'!D$90)</f>
        <v/>
      </c>
      <c r="C698" s="790">
        <f ca="1">IF(ISERROR(VLOOKUP($A$1139,INDIRECT("notes_"&amp;LEFT($A$1139,3)),4,0)),0,VLOOKUP($A$1139,INDIRECT("notes_"&amp;LEFT($A$1139,3)),4,0))</f>
        <v>0</v>
      </c>
    </row>
    <row r="699" spans="1:3" x14ac:dyDescent="0.25">
      <c r="A699" s="787" t="s">
        <v>3303</v>
      </c>
      <c r="B699" s="789" t="str">
        <f>IF('RO3'!D$91="","",'RO3'!D$91)</f>
        <v/>
      </c>
      <c r="C699" s="790">
        <f ca="1">IF(ISERROR(VLOOKUP($A$1140,INDIRECT("notes_"&amp;LEFT($A$1140,3)),4,0)),0,VLOOKUP($A$1140,INDIRECT("notes_"&amp;LEFT($A$1140,3)),4,0))</f>
        <v>0</v>
      </c>
    </row>
    <row r="700" spans="1:3" x14ac:dyDescent="0.25">
      <c r="A700" s="787" t="s">
        <v>3304</v>
      </c>
      <c r="B700" s="789" t="str">
        <f>IF('RO3'!D$92="","",'RO3'!D$92)</f>
        <v/>
      </c>
      <c r="C700" s="790">
        <f ca="1">IF(ISERROR(VLOOKUP($A$1141,INDIRECT("notes_"&amp;LEFT($A$1141,3)),4,0)),0,VLOOKUP($A$1141,INDIRECT("notes_"&amp;LEFT($A$1141,3)),4,0))</f>
        <v>0</v>
      </c>
    </row>
    <row r="701" spans="1:3" x14ac:dyDescent="0.25">
      <c r="A701" s="787" t="s">
        <v>3305</v>
      </c>
      <c r="B701" s="789" t="str">
        <f>IF('RO3'!D$93="","",'RO3'!D$93)</f>
        <v/>
      </c>
      <c r="C701" s="790">
        <f ca="1">IF(ISERROR(VLOOKUP($A$1142,INDIRECT("notes_"&amp;LEFT($A$1142,3)),4,0)),0,VLOOKUP($A$1142,INDIRECT("notes_"&amp;LEFT($A$1142,3)),4,0))</f>
        <v>0</v>
      </c>
    </row>
    <row r="702" spans="1:3" x14ac:dyDescent="0.25">
      <c r="A702" s="787" t="s">
        <v>3306</v>
      </c>
      <c r="B702" s="789" t="str">
        <f>IF('RO3'!D$94="","",'RO3'!D$94)</f>
        <v/>
      </c>
      <c r="C702" s="790">
        <f ca="1">IF(ISERROR(VLOOKUP($A$1143,INDIRECT("notes_"&amp;LEFT($A$1143,3)),4,0)),0,VLOOKUP($A$1143,INDIRECT("notes_"&amp;LEFT($A$1143,3)),4,0))</f>
        <v>0</v>
      </c>
    </row>
    <row r="703" spans="1:3" x14ac:dyDescent="0.25">
      <c r="A703" s="787" t="s">
        <v>3307</v>
      </c>
      <c r="B703" s="789" t="str">
        <f>IF('RO3'!D$95="","",'RO3'!D$95)</f>
        <v/>
      </c>
      <c r="C703" s="790">
        <f ca="1">IF(ISERROR(VLOOKUP($A$1144,INDIRECT("notes_"&amp;LEFT($A$1144,3)),4,0)),0,VLOOKUP($A$1144,INDIRECT("notes_"&amp;LEFT($A$1144,3)),4,0))</f>
        <v>0</v>
      </c>
    </row>
    <row r="704" spans="1:3" x14ac:dyDescent="0.25">
      <c r="A704" s="787" t="s">
        <v>3308</v>
      </c>
      <c r="B704" s="789" t="str">
        <f>IF('RO3'!D$96="","",'RO3'!D$96)</f>
        <v/>
      </c>
      <c r="C704" s="790">
        <f ca="1">IF(ISERROR(VLOOKUP($A$1145,INDIRECT("notes_"&amp;LEFT($A$1145,3)),4,0)),0,VLOOKUP($A$1145,INDIRECT("notes_"&amp;LEFT($A$1145,3)),4,0))</f>
        <v>0</v>
      </c>
    </row>
    <row r="705" spans="1:3" x14ac:dyDescent="0.25">
      <c r="A705" s="787" t="s">
        <v>3309</v>
      </c>
      <c r="B705" s="789" t="str">
        <f>IF('RO3'!D$97="","",'RO3'!D$97)</f>
        <v/>
      </c>
      <c r="C705" s="790">
        <f ca="1">IF(ISERROR(VLOOKUP($A$1146,INDIRECT("notes_"&amp;LEFT($A$1146,3)),4,0)),0,VLOOKUP($A$1146,INDIRECT("notes_"&amp;LEFT($A$1146,3)),4,0))</f>
        <v>0</v>
      </c>
    </row>
    <row r="706" spans="1:3" x14ac:dyDescent="0.25">
      <c r="A706" s="787" t="s">
        <v>3310</v>
      </c>
      <c r="B706" s="789" t="str">
        <f>IF('RO3'!D$98="","",'RO3'!D$98)</f>
        <v/>
      </c>
      <c r="C706" s="790">
        <f ca="1">IF(ISERROR(VLOOKUP($A$1147,INDIRECT("notes_"&amp;LEFT($A$1147,3)),4,0)),0,VLOOKUP($A$1147,INDIRECT("notes_"&amp;LEFT($A$1147,3)),4,0))</f>
        <v>0</v>
      </c>
    </row>
    <row r="707" spans="1:3" x14ac:dyDescent="0.25">
      <c r="A707" s="787" t="s">
        <v>3311</v>
      </c>
      <c r="B707" s="789" t="str">
        <f>IF('RO3'!D$99="","",'RO3'!D$99)</f>
        <v/>
      </c>
      <c r="C707" s="790">
        <f ca="1">IF(ISERROR(VLOOKUP($A$1148,INDIRECT("notes_"&amp;LEFT($A$1148,3)),4,0)),0,VLOOKUP($A$1148,INDIRECT("notes_"&amp;LEFT($A$1148,3)),4,0))</f>
        <v>0</v>
      </c>
    </row>
    <row r="708" spans="1:3" x14ac:dyDescent="0.25">
      <c r="A708" s="787" t="s">
        <v>3312</v>
      </c>
      <c r="B708" s="789" t="str">
        <f>IF('RO3'!D$100="","",'RO3'!D$100)</f>
        <v/>
      </c>
      <c r="C708" s="790">
        <f ca="1">IF(ISERROR(VLOOKUP($A$1149,INDIRECT("notes_"&amp;LEFT($A$1149,3)),4,0)),0,VLOOKUP($A$1149,INDIRECT("notes_"&amp;LEFT($A$1149,3)),4,0))</f>
        <v>0</v>
      </c>
    </row>
    <row r="709" spans="1:3" x14ac:dyDescent="0.25">
      <c r="A709" s="787" t="s">
        <v>3313</v>
      </c>
      <c r="B709" s="789" t="str">
        <f>IF('RO3'!D$101="","",'RO3'!D$101)</f>
        <v/>
      </c>
      <c r="C709" s="790">
        <f ca="1">IF(ISERROR(VLOOKUP($A$1150,INDIRECT("notes_"&amp;LEFT($A$1150,3)),4,0)),0,VLOOKUP($A$1150,INDIRECT("notes_"&amp;LEFT($A$1150,3)),4,0))</f>
        <v>0</v>
      </c>
    </row>
    <row r="710" spans="1:3" x14ac:dyDescent="0.25">
      <c r="A710" s="787" t="s">
        <v>3314</v>
      </c>
      <c r="B710" s="789" t="str">
        <f>IF('RO3'!D$102="","",'RO3'!D$102)</f>
        <v/>
      </c>
      <c r="C710" s="790">
        <f ca="1">IF(ISERROR(VLOOKUP($A$1151,INDIRECT("notes_"&amp;LEFT($A$1151,3)),4,0)),0,VLOOKUP($A$1151,INDIRECT("notes_"&amp;LEFT($A$1151,3)),4,0))</f>
        <v>0</v>
      </c>
    </row>
    <row r="711" spans="1:3" x14ac:dyDescent="0.25">
      <c r="A711" s="787" t="s">
        <v>3315</v>
      </c>
      <c r="B711" s="789" t="str">
        <f>IF('RO3'!D$103="","",'RO3'!D$103)</f>
        <v/>
      </c>
      <c r="C711" s="790">
        <f ca="1">IF(ISERROR(VLOOKUP($A$1152,INDIRECT("notes_"&amp;LEFT($A$1152,3)),4,0)),0,VLOOKUP($A$1152,INDIRECT("notes_"&amp;LEFT($A$1152,3)),4,0))</f>
        <v>0</v>
      </c>
    </row>
    <row r="712" spans="1:3" x14ac:dyDescent="0.25">
      <c r="A712" s="787" t="s">
        <v>3316</v>
      </c>
      <c r="B712" s="789" t="str">
        <f>IF('RO3'!D$104="","",'RO3'!D$104)</f>
        <v/>
      </c>
      <c r="C712" s="790">
        <f ca="1">IF(ISERROR(VLOOKUP($A$1153,INDIRECT("notes_"&amp;LEFT($A$1153,3)),4,0)),0,VLOOKUP($A$1153,INDIRECT("notes_"&amp;LEFT($A$1153,3)),4,0))</f>
        <v>0</v>
      </c>
    </row>
    <row r="713" spans="1:3" x14ac:dyDescent="0.25">
      <c r="A713" s="787" t="s">
        <v>3317</v>
      </c>
      <c r="B713" s="789" t="str">
        <f>IF('RO3'!D$105="","",'RO3'!D$105)</f>
        <v/>
      </c>
      <c r="C713" s="790">
        <f ca="1">IF(ISERROR(VLOOKUP($A$1154,INDIRECT("notes_"&amp;LEFT($A$1154,3)),4,0)),0,VLOOKUP($A$1154,INDIRECT("notes_"&amp;LEFT($A$1154,3)),4,0))</f>
        <v>0</v>
      </c>
    </row>
    <row r="714" spans="1:3" x14ac:dyDescent="0.25">
      <c r="A714" s="787" t="s">
        <v>3318</v>
      </c>
      <c r="B714" s="789" t="str">
        <f>IF('RO3'!D$106="","",'RO3'!D$106)</f>
        <v/>
      </c>
      <c r="C714" s="790">
        <f ca="1">IF(ISERROR(VLOOKUP($A$1155,INDIRECT("notes_"&amp;LEFT($A$1155,3)),4,0)),0,VLOOKUP($A$1155,INDIRECT("notes_"&amp;LEFT($A$1155,3)),4,0))</f>
        <v>0</v>
      </c>
    </row>
    <row r="715" spans="1:3" x14ac:dyDescent="0.25">
      <c r="A715" s="787" t="s">
        <v>3319</v>
      </c>
      <c r="B715" s="789" t="str">
        <f>IF('RO3'!D$107="","",'RO3'!D$107)</f>
        <v/>
      </c>
      <c r="C715" s="790">
        <f ca="1">IF(ISERROR(VLOOKUP($A$1156,INDIRECT("notes_"&amp;LEFT($A$1156,3)),4,0)),0,VLOOKUP($A$1156,INDIRECT("notes_"&amp;LEFT($A$1156,3)),4,0))</f>
        <v>0</v>
      </c>
    </row>
    <row r="716" spans="1:3" x14ac:dyDescent="0.25">
      <c r="A716" s="787" t="s">
        <v>3320</v>
      </c>
      <c r="B716" s="789" t="str">
        <f>IF('RO3'!D$108="","",'RO3'!D$108)</f>
        <v/>
      </c>
      <c r="C716" s="790">
        <f ca="1">IF(ISERROR(VLOOKUP($A$1157,INDIRECT("notes_"&amp;LEFT($A$1157,3)),4,0)),0,VLOOKUP($A$1157,INDIRECT("notes_"&amp;LEFT($A$1157,3)),4,0))</f>
        <v>0</v>
      </c>
    </row>
    <row r="717" spans="1:3" x14ac:dyDescent="0.25">
      <c r="A717" s="787" t="s">
        <v>3321</v>
      </c>
      <c r="B717" s="789" t="str">
        <f>IF('RO3'!D$109="","",'RO3'!D$109)</f>
        <v/>
      </c>
      <c r="C717" s="790">
        <f ca="1">IF(ISERROR(VLOOKUP($A$1158,INDIRECT("notes_"&amp;LEFT($A$1158,3)),4,0)),0,VLOOKUP($A$1158,INDIRECT("notes_"&amp;LEFT($A$1158,3)),4,0))</f>
        <v>0</v>
      </c>
    </row>
    <row r="718" spans="1:3" x14ac:dyDescent="0.25">
      <c r="A718" s="787" t="s">
        <v>3322</v>
      </c>
      <c r="B718" s="789" t="str">
        <f>IF('RO3'!D$110="","",'RO3'!D$110)</f>
        <v/>
      </c>
      <c r="C718" s="790">
        <f ca="1">IF(ISERROR(VLOOKUP($A$1159,INDIRECT("notes_"&amp;LEFT($A$1159,3)),4,0)),0,VLOOKUP($A$1159,INDIRECT("notes_"&amp;LEFT($A$1159,3)),4,0))</f>
        <v>0</v>
      </c>
    </row>
    <row r="719" spans="1:3" x14ac:dyDescent="0.25">
      <c r="A719" s="787" t="s">
        <v>3323</v>
      </c>
      <c r="B719" s="789" t="str">
        <f>IF('RO3'!D$111="","",'RO3'!D$111)</f>
        <v/>
      </c>
      <c r="C719" s="790">
        <f ca="1">IF(ISERROR(VLOOKUP($A$1160,INDIRECT("notes_"&amp;LEFT($A$1160,3)),4,0)),0,VLOOKUP($A$1160,INDIRECT("notes_"&amp;LEFT($A$1160,3)),4,0))</f>
        <v>0</v>
      </c>
    </row>
    <row r="720" spans="1:3" x14ac:dyDescent="0.25">
      <c r="A720" s="787" t="s">
        <v>3324</v>
      </c>
      <c r="B720" s="789" t="str">
        <f>IF('RO3'!D$112="","",'RO3'!D$112)</f>
        <v/>
      </c>
      <c r="C720" s="790">
        <f ca="1">IF(ISERROR(VLOOKUP($A$1161,INDIRECT("notes_"&amp;LEFT($A$1161,3)),4,0)),0,VLOOKUP($A$1161,INDIRECT("notes_"&amp;LEFT($A$1161,3)),4,0))</f>
        <v>0</v>
      </c>
    </row>
    <row r="721" spans="1:3" x14ac:dyDescent="0.25">
      <c r="A721" s="787" t="s">
        <v>3325</v>
      </c>
      <c r="B721" s="789" t="str">
        <f>IF('RO3'!D$113="","",'RO3'!D$113)</f>
        <v/>
      </c>
      <c r="C721" s="790">
        <f ca="1">IF(ISERROR(VLOOKUP($A$1162,INDIRECT("notes_"&amp;LEFT($A$1162,3)),4,0)),0,VLOOKUP($A$1162,INDIRECT("notes_"&amp;LEFT($A$1162,3)),4,0))</f>
        <v>0</v>
      </c>
    </row>
    <row r="722" spans="1:3" x14ac:dyDescent="0.25">
      <c r="A722" s="787" t="s">
        <v>3326</v>
      </c>
      <c r="B722" s="789" t="str">
        <f>IF('RO3'!D$114="","",'RO3'!D$114)</f>
        <v/>
      </c>
      <c r="C722" s="791">
        <f ca="1">IF(ISERROR(VLOOKUP($A$1163,INDIRECT("notes_"&amp;LEFT($A$1163,3)),4,0)),0,VLOOKUP($A$1163,INDIRECT("notes_"&amp;LEFT($A$1163,3)),4,0))</f>
        <v>0</v>
      </c>
    </row>
    <row r="723" spans="1:3" x14ac:dyDescent="0.25">
      <c r="A723" s="787" t="s">
        <v>3327</v>
      </c>
      <c r="B723" s="789" t="str">
        <f>IF('RO3'!D$115="","",'RO3'!D$115)</f>
        <v/>
      </c>
      <c r="C723" s="791">
        <f ca="1">IF(ISERROR(VLOOKUP($A$1164,INDIRECT("notes_"&amp;LEFT($A$1164,3)),4,0)),0,VLOOKUP($A$1164,INDIRECT("notes_"&amp;LEFT($A$1164,3)),4,0))</f>
        <v>0</v>
      </c>
    </row>
    <row r="724" spans="1:3" x14ac:dyDescent="0.25">
      <c r="A724" s="787" t="s">
        <v>3328</v>
      </c>
      <c r="B724" s="789">
        <f>IF('RO3'!D$117="","",'RO3'!D$117)</f>
        <v>0</v>
      </c>
      <c r="C724" s="790">
        <f ca="1">IF(ISERROR(VLOOKUP($A$1165,INDIRECT("notes_"&amp;LEFT($A$1165,3)),4,0)),0,VLOOKUP($A$1165,INDIRECT("notes_"&amp;LEFT($A$1165,3)),4,0))</f>
        <v>0</v>
      </c>
    </row>
    <row r="725" spans="1:3" x14ac:dyDescent="0.25">
      <c r="A725" s="787" t="s">
        <v>3329</v>
      </c>
      <c r="B725" s="789" t="str">
        <f>IF('RO3'!D$132="","",'RO3'!D$132)</f>
        <v/>
      </c>
      <c r="C725" s="790">
        <f ca="1">IF(ISERROR(VLOOKUP($A$1170,INDIRECT("notes_"&amp;LEFT($A$1170,3)),4,0)),0,VLOOKUP($A$1170,INDIRECT("notes_"&amp;LEFT($A$1170,3)),4,0))</f>
        <v>0</v>
      </c>
    </row>
    <row r="726" spans="1:3" x14ac:dyDescent="0.25">
      <c r="A726" s="787" t="s">
        <v>3330</v>
      </c>
      <c r="B726" s="789" t="str">
        <f>IF('RO3'!D$134="","",'RO3'!D$134)</f>
        <v/>
      </c>
      <c r="C726" s="790">
        <f ca="1">IF(ISERROR(VLOOKUP($A$1171,INDIRECT("notes_"&amp;LEFT($A$1171,3)),4,0)),0,VLOOKUP($A$1171,INDIRECT("notes_"&amp;LEFT($A$1171,3)),4,0))</f>
        <v>0</v>
      </c>
    </row>
    <row r="727" spans="1:3" x14ac:dyDescent="0.25">
      <c r="A727" s="787" t="s">
        <v>3331</v>
      </c>
      <c r="B727" s="789" t="str">
        <f>IF('RO3'!E$31="","",'RO3'!E$31)</f>
        <v/>
      </c>
      <c r="C727" s="790">
        <f ca="1">IF(ISERROR(VLOOKUP($A$1095,INDIRECT("notes_"&amp;LEFT($A$1095,3)),4,0)),0,VLOOKUP($A$1095,INDIRECT("notes_"&amp;LEFT($A$1095,3)),4,0))</f>
        <v>0</v>
      </c>
    </row>
    <row r="728" spans="1:3" x14ac:dyDescent="0.25">
      <c r="A728" s="787" t="s">
        <v>3332</v>
      </c>
      <c r="B728" s="789">
        <f>IF('RO3'!E$32="","",'RO3'!E$32)</f>
        <v>0</v>
      </c>
      <c r="C728" s="790">
        <f ca="1">IF(ISERROR(VLOOKUP($A$1096,INDIRECT("notes_"&amp;LEFT($A$1096,3)),4,0)),0,VLOOKUP($A$1096,INDIRECT("notes_"&amp;LEFT($A$1096,3)),4,0))</f>
        <v>0</v>
      </c>
    </row>
    <row r="729" spans="1:3" x14ac:dyDescent="0.25">
      <c r="A729" s="817" t="s">
        <v>3333</v>
      </c>
      <c r="B729" s="818" t="str">
        <f>IF('RO3'!E$33="","",'RO3'!E$33)</f>
        <v/>
      </c>
      <c r="C729" s="819">
        <f ca="1">IF(ISERROR(VLOOKUP($A$1097,INDIRECT("notes_"&amp;LEFT($A$1097,3)),4,0)),0,VLOOKUP($A$1097,INDIRECT("notes_"&amp;LEFT($A$1097,3)),4,0))</f>
        <v>0</v>
      </c>
    </row>
    <row r="730" spans="1:3" x14ac:dyDescent="0.25">
      <c r="A730" s="817" t="s">
        <v>3334</v>
      </c>
      <c r="B730" s="818" t="str">
        <f>IF('RO3'!E$34="","",'RO3'!E$34)</f>
        <v/>
      </c>
      <c r="C730" s="819">
        <f ca="1">IF(ISERROR(VLOOKUP($A$1098,INDIRECT("notes_"&amp;LEFT($A$1098,3)),4,0)),0,VLOOKUP($A$1098,INDIRECT("notes_"&amp;LEFT($A$1098,3)),4,0))</f>
        <v>0</v>
      </c>
    </row>
    <row r="731" spans="1:3" x14ac:dyDescent="0.25">
      <c r="A731" s="817" t="s">
        <v>3335</v>
      </c>
      <c r="B731" s="818" t="str">
        <f>IF('RO3'!E$35="","",'RO3'!E$35)</f>
        <v/>
      </c>
      <c r="C731" s="819">
        <f ca="1">IF(ISERROR(VLOOKUP($A$1099,INDIRECT("notes_"&amp;LEFT($A$1099,3)),4,0)),0,VLOOKUP($A$1099,INDIRECT("notes_"&amp;LEFT($A$1099,3)),4,0))</f>
        <v>0</v>
      </c>
    </row>
    <row r="732" spans="1:3" x14ac:dyDescent="0.25">
      <c r="A732" s="817" t="s">
        <v>3336</v>
      </c>
      <c r="B732" s="818" t="str">
        <f>IF('RO3'!E$36="","",'RO3'!E$36)</f>
        <v/>
      </c>
      <c r="C732" s="819">
        <f ca="1">IF(ISERROR(VLOOKUP($A$1100,INDIRECT("notes_"&amp;LEFT($A$1100,3)),4,0)),0,VLOOKUP($A$1100,INDIRECT("notes_"&amp;LEFT($A$1100,3)),4,0))</f>
        <v>0</v>
      </c>
    </row>
    <row r="733" spans="1:3" x14ac:dyDescent="0.25">
      <c r="A733" s="787" t="s">
        <v>3337</v>
      </c>
      <c r="B733" s="789" t="str">
        <f>IF('RO3'!E$37="","",'RO3'!E$37)</f>
        <v/>
      </c>
      <c r="C733" s="790">
        <f ca="1">IF(ISERROR(VLOOKUP($A$1101,INDIRECT("notes_"&amp;LEFT($A$1101,3)),4,0)),0,VLOOKUP($A$1101,INDIRECT("notes_"&amp;LEFT($A$1101,3)),4,0))</f>
        <v>0</v>
      </c>
    </row>
    <row r="734" spans="1:3" x14ac:dyDescent="0.25">
      <c r="A734" s="787" t="s">
        <v>3338</v>
      </c>
      <c r="B734" s="789" t="str">
        <f>IF('RO3'!E$38="","",'RO3'!E$38)</f>
        <v/>
      </c>
      <c r="C734" s="790">
        <f ca="1">IF(ISERROR(VLOOKUP($A$1102,INDIRECT("notes_"&amp;LEFT($A$1102,3)),4,0)),0,VLOOKUP($A$1102,INDIRECT("notes_"&amp;LEFT($A$1102,3)),4,0))</f>
        <v>0</v>
      </c>
    </row>
    <row r="735" spans="1:3" x14ac:dyDescent="0.25">
      <c r="A735" s="787" t="s">
        <v>3339</v>
      </c>
      <c r="B735" s="789" t="str">
        <f>IF('RO3'!E$39="","",'RO3'!E$39)</f>
        <v/>
      </c>
      <c r="C735" s="790">
        <f ca="1">IF(ISERROR(VLOOKUP($A$1103,INDIRECT("notes_"&amp;LEFT($A$1103,3)),4,0)),0,VLOOKUP($A$1103,INDIRECT("notes_"&amp;LEFT($A$1103,3)),4,0))</f>
        <v>0</v>
      </c>
    </row>
    <row r="736" spans="1:3" x14ac:dyDescent="0.25">
      <c r="A736" s="787" t="s">
        <v>3340</v>
      </c>
      <c r="B736" s="789" t="str">
        <f>IF('RO3'!E$40="","",'RO3'!E$40)</f>
        <v/>
      </c>
      <c r="C736" s="790">
        <f ca="1">IF(ISERROR(VLOOKUP($A$1104,INDIRECT("notes_"&amp;LEFT($A$1104,3)),4,0)),0,VLOOKUP($A$1104,INDIRECT("notes_"&amp;LEFT($A$1104,3)),4,0))</f>
        <v>0</v>
      </c>
    </row>
    <row r="737" spans="1:3" x14ac:dyDescent="0.25">
      <c r="A737" s="787" t="s">
        <v>3341</v>
      </c>
      <c r="B737" s="789" t="str">
        <f>IF('RO3'!E$41="","",'RO3'!E$41)</f>
        <v/>
      </c>
      <c r="C737" s="790">
        <f ca="1">IF(ISERROR(VLOOKUP($A$1105,INDIRECT("notes_"&amp;LEFT($A$1105,3)),4,0)),0,VLOOKUP($A$1105,INDIRECT("notes_"&amp;LEFT($A$1105,3)),4,0))</f>
        <v>0</v>
      </c>
    </row>
    <row r="738" spans="1:3" x14ac:dyDescent="0.25">
      <c r="A738" s="787" t="s">
        <v>3342</v>
      </c>
      <c r="B738" s="789" t="str">
        <f>IF('RO3'!E$42="","",'RO3'!E$42)</f>
        <v/>
      </c>
      <c r="C738" s="790">
        <f ca="1">IF(ISERROR(VLOOKUP($A$1106,INDIRECT("notes_"&amp;LEFT($A$1106,3)),4,0)),0,VLOOKUP($A$1106,INDIRECT("notes_"&amp;LEFT($A$1106,3)),4,0))</f>
        <v>0</v>
      </c>
    </row>
    <row r="739" spans="1:3" x14ac:dyDescent="0.25">
      <c r="A739" s="787" t="s">
        <v>3343</v>
      </c>
      <c r="B739" s="789">
        <f>IF('RO3'!E$44="","",'RO3'!E$44)</f>
        <v>0</v>
      </c>
      <c r="C739" s="790">
        <f ca="1">IF(ISERROR(VLOOKUP($A$1107,INDIRECT("notes_"&amp;LEFT($A$1107,3)),4,0)),0,VLOOKUP($A$1107,INDIRECT("notes_"&amp;LEFT($A$1107,3)),4,0))</f>
        <v>0</v>
      </c>
    </row>
    <row r="740" spans="1:3" x14ac:dyDescent="0.25">
      <c r="A740" s="817" t="s">
        <v>2549</v>
      </c>
      <c r="B740" s="818" t="str">
        <f>IF('RO3'!E$48="","",'RO3'!E$48)</f>
        <v/>
      </c>
      <c r="C740" s="819">
        <f ca="1">IF(ISERROR(VLOOKUP($A$740,INDIRECT("notes_"&amp;LEFT($A$740,3)),4,0)),0,VLOOKUP($A$740,INDIRECT("notes_"&amp;LEFT($A$740,3)),4,0))</f>
        <v>0</v>
      </c>
    </row>
    <row r="741" spans="1:3" x14ac:dyDescent="0.25">
      <c r="A741" s="787" t="s">
        <v>3344</v>
      </c>
      <c r="B741" s="789" t="str">
        <f>IF('RO3'!E$51="","",'RO3'!E$51)</f>
        <v/>
      </c>
      <c r="C741" s="790">
        <f ca="1">IF(ISERROR(VLOOKUP($A$1108,INDIRECT("notes_"&amp;LEFT($A$1108,3)),4,0)),0,VLOOKUP($A$1108,INDIRECT("notes_"&amp;LEFT($A$1108,3)),4,0))</f>
        <v>0</v>
      </c>
    </row>
    <row r="742" spans="1:3" x14ac:dyDescent="0.25">
      <c r="A742" s="787" t="s">
        <v>3345</v>
      </c>
      <c r="B742" s="789" t="str">
        <f>IF('RO3'!E$52="","",'RO3'!E$52)</f>
        <v/>
      </c>
      <c r="C742" s="790">
        <f ca="1">IF(ISERROR(VLOOKUP($A$1109,INDIRECT("notes_"&amp;LEFT($A$1109,3)),4,0)),0,VLOOKUP($A$1109,INDIRECT("notes_"&amp;LEFT($A$1109,3)),4,0))</f>
        <v>0</v>
      </c>
    </row>
    <row r="743" spans="1:3" x14ac:dyDescent="0.25">
      <c r="A743" s="787" t="s">
        <v>3346</v>
      </c>
      <c r="B743" s="789" t="str">
        <f>IF('RO3'!E$53="","",'RO3'!E$53)</f>
        <v/>
      </c>
      <c r="C743" s="790">
        <f ca="1">IF(ISERROR(VLOOKUP($A$1110,INDIRECT("notes_"&amp;LEFT($A$1110,3)),4,0)),0,VLOOKUP($A$1110,INDIRECT("notes_"&amp;LEFT($A$1110,3)),4,0))</f>
        <v>0</v>
      </c>
    </row>
    <row r="744" spans="1:3" x14ac:dyDescent="0.25">
      <c r="A744" s="787" t="s">
        <v>3347</v>
      </c>
      <c r="B744" s="789" t="str">
        <f>IF('RO3'!E$54="","",'RO3'!E$54)</f>
        <v/>
      </c>
      <c r="C744" s="790">
        <f ca="1">IF(ISERROR(VLOOKUP($A$1111,INDIRECT("notes_"&amp;LEFT($A$1111,3)),4,0)),0,VLOOKUP($A$1111,INDIRECT("notes_"&amp;LEFT($A$1111,3)),4,0))</f>
        <v>0</v>
      </c>
    </row>
    <row r="745" spans="1:3" x14ac:dyDescent="0.25">
      <c r="A745" s="787" t="s">
        <v>3348</v>
      </c>
      <c r="B745" s="789" t="str">
        <f>IF('RO3'!E$55="","",'RO3'!E$55)</f>
        <v/>
      </c>
      <c r="C745" s="790">
        <f ca="1">IF(ISERROR(VLOOKUP($A$1112,INDIRECT("notes_"&amp;LEFT($A$1112,3)),4,0)),0,VLOOKUP($A$1112,INDIRECT("notes_"&amp;LEFT($A$1112,3)),4,0))</f>
        <v>0</v>
      </c>
    </row>
    <row r="746" spans="1:3" x14ac:dyDescent="0.25">
      <c r="A746" s="787" t="s">
        <v>3349</v>
      </c>
      <c r="B746" s="789" t="str">
        <f>IF('RO3'!E$56="","",'RO3'!E$56)</f>
        <v/>
      </c>
      <c r="C746" s="790">
        <f ca="1">IF(ISERROR(VLOOKUP($A$1113,INDIRECT("notes_"&amp;LEFT($A$1113,3)),4,0)),0,VLOOKUP($A$1113,INDIRECT("notes_"&amp;LEFT($A$1113,3)),4,0))</f>
        <v>0</v>
      </c>
    </row>
    <row r="747" spans="1:3" x14ac:dyDescent="0.25">
      <c r="A747" s="787" t="s">
        <v>3350</v>
      </c>
      <c r="B747" s="789" t="str">
        <f>IF('RO3'!E$57="","",'RO3'!E$57)</f>
        <v/>
      </c>
      <c r="C747" s="790">
        <f ca="1">IF(ISERROR(VLOOKUP($A$1114,INDIRECT("notes_"&amp;LEFT($A$1114,3)),4,0)),0,VLOOKUP($A$1114,INDIRECT("notes_"&amp;LEFT($A$1114,3)),4,0))</f>
        <v>0</v>
      </c>
    </row>
    <row r="748" spans="1:3" x14ac:dyDescent="0.25">
      <c r="A748" s="787" t="s">
        <v>3351</v>
      </c>
      <c r="B748" s="789" t="str">
        <f>IF('RO3'!E$58="","",'RO3'!E$58)</f>
        <v/>
      </c>
      <c r="C748" s="790">
        <f ca="1">IF(ISERROR(VLOOKUP($A$1115,INDIRECT("notes_"&amp;LEFT($A$1115,3)),4,0)),0,VLOOKUP($A$1115,INDIRECT("notes_"&amp;LEFT($A$1115,3)),4,0))</f>
        <v>0</v>
      </c>
    </row>
    <row r="749" spans="1:3" x14ac:dyDescent="0.25">
      <c r="A749" s="787" t="s">
        <v>3352</v>
      </c>
      <c r="B749" s="789" t="str">
        <f>IF('RO3'!E$59="","",'RO3'!E$59)</f>
        <v/>
      </c>
      <c r="C749" s="790">
        <f ca="1">IF(ISERROR(VLOOKUP($A$1116,INDIRECT("notes_"&amp;LEFT($A$1116,3)),4,0)),0,VLOOKUP($A$1116,INDIRECT("notes_"&amp;LEFT($A$1116,3)),4,0))</f>
        <v>0</v>
      </c>
    </row>
    <row r="750" spans="1:3" x14ac:dyDescent="0.25">
      <c r="A750" s="787" t="s">
        <v>3353</v>
      </c>
      <c r="B750" s="789" t="str">
        <f>IF('RO3'!E$60="","",'RO3'!E$60)</f>
        <v/>
      </c>
      <c r="C750" s="790">
        <f ca="1">IF(ISERROR(VLOOKUP($A$1117,INDIRECT("notes_"&amp;LEFT($A$1117,3)),4,0)),0,VLOOKUP($A$1117,INDIRECT("notes_"&amp;LEFT($A$1117,3)),4,0))</f>
        <v>0</v>
      </c>
    </row>
    <row r="751" spans="1:3" x14ac:dyDescent="0.25">
      <c r="A751" s="787" t="s">
        <v>3354</v>
      </c>
      <c r="B751" s="789" t="str">
        <f>IF('RO3'!E$61="","",'RO3'!E$61)</f>
        <v/>
      </c>
      <c r="C751" s="790">
        <f ca="1">IF(ISERROR(VLOOKUP($A$1118,INDIRECT("notes_"&amp;LEFT($A$1118,3)),4,0)),0,VLOOKUP($A$1118,INDIRECT("notes_"&amp;LEFT($A$1118,3)),4,0))</f>
        <v>0</v>
      </c>
    </row>
    <row r="752" spans="1:3" x14ac:dyDescent="0.25">
      <c r="A752" s="787" t="s">
        <v>3355</v>
      </c>
      <c r="B752" s="789" t="str">
        <f>IF('RO3'!E$62="","",'RO3'!E$62)</f>
        <v/>
      </c>
      <c r="C752" s="790">
        <f ca="1">IF(ISERROR(VLOOKUP($A$1119,INDIRECT("notes_"&amp;LEFT($A$1119,3)),4,0)),0,VLOOKUP($A$1119,INDIRECT("notes_"&amp;LEFT($A$1119,3)),4,0))</f>
        <v>0</v>
      </c>
    </row>
    <row r="753" spans="1:3" x14ac:dyDescent="0.25">
      <c r="A753" s="787" t="s">
        <v>3356</v>
      </c>
      <c r="B753" s="789" t="str">
        <f>IF('RO3'!E$63="","",'RO3'!E$63)</f>
        <v/>
      </c>
      <c r="C753" s="790">
        <f ca="1">IF(ISERROR(VLOOKUP($A$1120,INDIRECT("notes_"&amp;LEFT($A$1120,3)),4,0)),0,VLOOKUP($A$1120,INDIRECT("notes_"&amp;LEFT($A$1120,3)),4,0))</f>
        <v>0</v>
      </c>
    </row>
    <row r="754" spans="1:3" x14ac:dyDescent="0.25">
      <c r="A754" s="787" t="s">
        <v>3357</v>
      </c>
      <c r="B754" s="789" t="str">
        <f>IF('RO3'!E$64="","",'RO3'!E$64)</f>
        <v/>
      </c>
      <c r="C754" s="790">
        <f ca="1">IF(ISERROR(VLOOKUP($A$1121,INDIRECT("notes_"&amp;LEFT($A$1121,3)),4,0)),0,VLOOKUP($A$1121,INDIRECT("notes_"&amp;LEFT($A$1121,3)),4,0))</f>
        <v>0</v>
      </c>
    </row>
    <row r="755" spans="1:3" x14ac:dyDescent="0.25">
      <c r="A755" s="787" t="s">
        <v>3358</v>
      </c>
      <c r="B755" s="789" t="str">
        <f>IF('RO3'!E$65="","",'RO3'!E$65)</f>
        <v/>
      </c>
      <c r="C755" s="790"/>
    </row>
    <row r="756" spans="1:3" x14ac:dyDescent="0.25">
      <c r="A756" s="787" t="s">
        <v>3359</v>
      </c>
      <c r="B756" s="789" t="str">
        <f>IF('RO3'!E$66="","",'RO3'!E$66)</f>
        <v/>
      </c>
      <c r="C756" s="790"/>
    </row>
    <row r="757" spans="1:3" x14ac:dyDescent="0.25">
      <c r="A757" s="787" t="s">
        <v>3360</v>
      </c>
      <c r="B757" s="789" t="str">
        <f>IF('RO3'!E$67="","",'RO3'!E$67)</f>
        <v/>
      </c>
      <c r="C757" s="790">
        <f ca="1">IF(ISERROR(VLOOKUP($A$1124,INDIRECT("notes_"&amp;LEFT($A$1124,3)),4,0)),0,VLOOKUP($A$1124,INDIRECT("notes_"&amp;LEFT($A$1124,3)),4,0))</f>
        <v>0</v>
      </c>
    </row>
    <row r="758" spans="1:3" x14ac:dyDescent="0.25">
      <c r="A758" s="787" t="s">
        <v>3361</v>
      </c>
      <c r="B758" s="789" t="str">
        <f>IF('RO3'!E$68="","",'RO3'!E$68)</f>
        <v/>
      </c>
      <c r="C758" s="790"/>
    </row>
    <row r="759" spans="1:3" x14ac:dyDescent="0.25">
      <c r="A759" s="787" t="s">
        <v>3362</v>
      </c>
      <c r="B759" s="789" t="str">
        <f>IF('RO3'!E$69="","",'RO3'!E$69)</f>
        <v/>
      </c>
      <c r="C759" s="790"/>
    </row>
    <row r="760" spans="1:3" x14ac:dyDescent="0.25">
      <c r="A760" s="787" t="s">
        <v>3363</v>
      </c>
      <c r="B760" s="789" t="str">
        <f>IF('RO3'!E$70="","",'RO3'!E$70)</f>
        <v/>
      </c>
      <c r="C760" s="790">
        <f ca="1">IF(ISERROR(VLOOKUP($A$1127,INDIRECT("notes_"&amp;LEFT($A$1127,3)),4,0)),0,VLOOKUP($A$1127,INDIRECT("notes_"&amp;LEFT($A$1127,3)),4,0))</f>
        <v>0</v>
      </c>
    </row>
    <row r="761" spans="1:3" x14ac:dyDescent="0.25">
      <c r="A761" s="787" t="s">
        <v>3364</v>
      </c>
      <c r="B761" s="789" t="str">
        <f>IF('RO3'!E$71="","",'RO3'!E$71)</f>
        <v/>
      </c>
      <c r="C761" s="790"/>
    </row>
    <row r="762" spans="1:3" x14ac:dyDescent="0.25">
      <c r="A762" s="787" t="s">
        <v>3365</v>
      </c>
      <c r="B762" s="789" t="str">
        <f>IF('RO3'!E$72="","",'RO3'!E$72)</f>
        <v/>
      </c>
      <c r="C762" s="790"/>
    </row>
    <row r="763" spans="1:3" x14ac:dyDescent="0.25">
      <c r="A763" s="787" t="s">
        <v>3366</v>
      </c>
      <c r="B763" s="789" t="str">
        <f>IF('RO3'!E$73="","",'RO3'!E$73)</f>
        <v/>
      </c>
      <c r="C763" s="790">
        <f ca="1">IF(ISERROR(VLOOKUP($A$1130,INDIRECT("notes_"&amp;LEFT($A$1130,3)),4,0)),0,VLOOKUP($A$1130,INDIRECT("notes_"&amp;LEFT($A$1130,3)),4,0))</f>
        <v>0</v>
      </c>
    </row>
    <row r="764" spans="1:3" x14ac:dyDescent="0.25">
      <c r="A764" s="787" t="s">
        <v>3367</v>
      </c>
      <c r="B764" s="789" t="str">
        <f>IF('RO3'!E$74="","",'RO3'!E$74)</f>
        <v/>
      </c>
      <c r="C764" s="790"/>
    </row>
    <row r="765" spans="1:3" x14ac:dyDescent="0.25">
      <c r="A765" s="787" t="s">
        <v>3368</v>
      </c>
      <c r="B765" s="789" t="str">
        <f>IF('RO3'!E$75="","",'RO3'!E$75)</f>
        <v/>
      </c>
      <c r="C765" s="790"/>
    </row>
    <row r="766" spans="1:3" x14ac:dyDescent="0.25">
      <c r="A766" s="787" t="s">
        <v>3369</v>
      </c>
      <c r="B766" s="789" t="str">
        <f>IF('RO3'!E$76="","",'RO3'!E$76)</f>
        <v/>
      </c>
      <c r="C766" s="790">
        <f ca="1">IF(ISERROR(VLOOKUP($A$1133,INDIRECT("notes_"&amp;LEFT($A$1133,3)),4,0)),0,VLOOKUP($A$1133,INDIRECT("notes_"&amp;LEFT($A$1133,3)),4,0))</f>
        <v>0</v>
      </c>
    </row>
    <row r="767" spans="1:3" x14ac:dyDescent="0.25">
      <c r="A767" s="787" t="s">
        <v>3370</v>
      </c>
      <c r="B767" s="789" t="str">
        <f>IF('RO3'!E$77="","",'RO3'!E$77)</f>
        <v/>
      </c>
      <c r="C767" s="790"/>
    </row>
    <row r="768" spans="1:3" x14ac:dyDescent="0.25">
      <c r="A768" s="787" t="s">
        <v>3371</v>
      </c>
      <c r="B768" s="789" t="str">
        <f>IF('RO3'!E$78="","",'RO3'!E$78)</f>
        <v/>
      </c>
      <c r="C768" s="790"/>
    </row>
    <row r="769" spans="1:3" x14ac:dyDescent="0.25">
      <c r="A769" s="787" t="s">
        <v>3372</v>
      </c>
      <c r="B769" s="789" t="str">
        <f>IF('RO3'!E$81="","",'RO3'!E$81)</f>
        <v/>
      </c>
      <c r="C769" s="791">
        <f ca="1">IF(ISERROR(VLOOKUP($A$1136,INDIRECT("notes_"&amp;LEFT($A$1136,3)),4,0)),0,VLOOKUP($A$1136,INDIRECT("notes_"&amp;LEFT($A$1136,3)),4,0))</f>
        <v>0</v>
      </c>
    </row>
    <row r="770" spans="1:3" x14ac:dyDescent="0.25">
      <c r="A770" s="787" t="s">
        <v>3373</v>
      </c>
      <c r="B770" s="789" t="str">
        <f>IF('RO3'!E$82="","",'RO3'!E$82)</f>
        <v/>
      </c>
      <c r="C770" s="791">
        <f ca="1">IF(ISERROR(VLOOKUP($A$1137,INDIRECT("notes_"&amp;LEFT($A$1137,3)),4,0)),0,VLOOKUP($A$1137,INDIRECT("notes_"&amp;LEFT($A$1137,3)),4,0))</f>
        <v>0</v>
      </c>
    </row>
    <row r="771" spans="1:3" x14ac:dyDescent="0.25">
      <c r="A771" s="787" t="s">
        <v>3374</v>
      </c>
      <c r="B771" s="789">
        <f>IF('RO3'!E$83="","",'RO3'!E$83)</f>
        <v>0</v>
      </c>
      <c r="C771" s="790">
        <f ca="1">IF(ISERROR(VLOOKUP($A$1138,INDIRECT("notes_"&amp;LEFT($A$1138,3)),4,0)),0,VLOOKUP($A$1138,INDIRECT("notes_"&amp;LEFT($A$1138,3)),4,0))</f>
        <v>0</v>
      </c>
    </row>
    <row r="772" spans="1:3" x14ac:dyDescent="0.25">
      <c r="A772" s="817" t="s">
        <v>2571</v>
      </c>
      <c r="B772" s="818" t="str">
        <f>IF('RO3'!E$87="","",'RO3'!E$87)</f>
        <v/>
      </c>
      <c r="C772" s="819">
        <f ca="1">IF(ISERROR(VLOOKUP($A$772,INDIRECT("notes_"&amp;LEFT($A$772,3)),4,0)),0,VLOOKUP($A$772,INDIRECT("notes_"&amp;LEFT($A$772,3)),4,0))</f>
        <v>0</v>
      </c>
    </row>
    <row r="773" spans="1:3" x14ac:dyDescent="0.25">
      <c r="A773" s="787" t="s">
        <v>3375</v>
      </c>
      <c r="B773" s="789" t="str">
        <f>IF('RO3'!E$90="","",'RO3'!E$90)</f>
        <v/>
      </c>
      <c r="C773" s="790">
        <f ca="1">IF(ISERROR(VLOOKUP($A$1139,INDIRECT("notes_"&amp;LEFT($A$1139,3)),4,0)),0,VLOOKUP($A$1139,INDIRECT("notes_"&amp;LEFT($A$1139,3)),4,0))</f>
        <v>0</v>
      </c>
    </row>
    <row r="774" spans="1:3" x14ac:dyDescent="0.25">
      <c r="A774" s="787" t="s">
        <v>3376</v>
      </c>
      <c r="B774" s="789" t="str">
        <f>IF('RO3'!E$91="","",'RO3'!E$91)</f>
        <v/>
      </c>
      <c r="C774" s="790">
        <f ca="1">IF(ISERROR(VLOOKUP($A$1140,INDIRECT("notes_"&amp;LEFT($A$1140,3)),4,0)),0,VLOOKUP($A$1140,INDIRECT("notes_"&amp;LEFT($A$1140,3)),4,0))</f>
        <v>0</v>
      </c>
    </row>
    <row r="775" spans="1:3" x14ac:dyDescent="0.25">
      <c r="A775" s="787" t="s">
        <v>3377</v>
      </c>
      <c r="B775" s="789" t="str">
        <f>IF('RO3'!E$92="","",'RO3'!E$92)</f>
        <v/>
      </c>
      <c r="C775" s="790">
        <f ca="1">IF(ISERROR(VLOOKUP($A$1141,INDIRECT("notes_"&amp;LEFT($A$1141,3)),4,0)),0,VLOOKUP($A$1141,INDIRECT("notes_"&amp;LEFT($A$1141,3)),4,0))</f>
        <v>0</v>
      </c>
    </row>
    <row r="776" spans="1:3" x14ac:dyDescent="0.25">
      <c r="A776" s="787" t="s">
        <v>3378</v>
      </c>
      <c r="B776" s="789" t="str">
        <f>IF('RO3'!E$93="","",'RO3'!E$93)</f>
        <v/>
      </c>
      <c r="C776" s="790">
        <f ca="1">IF(ISERROR(VLOOKUP($A$1142,INDIRECT("notes_"&amp;LEFT($A$1142,3)),4,0)),0,VLOOKUP($A$1142,INDIRECT("notes_"&amp;LEFT($A$1142,3)),4,0))</f>
        <v>0</v>
      </c>
    </row>
    <row r="777" spans="1:3" x14ac:dyDescent="0.25">
      <c r="A777" s="787" t="s">
        <v>3379</v>
      </c>
      <c r="B777" s="789" t="str">
        <f>IF('RO3'!E$94="","",'RO3'!E$94)</f>
        <v/>
      </c>
      <c r="C777" s="790">
        <f ca="1">IF(ISERROR(VLOOKUP($A$1143,INDIRECT("notes_"&amp;LEFT($A$1143,3)),4,0)),0,VLOOKUP($A$1143,INDIRECT("notes_"&amp;LEFT($A$1143,3)),4,0))</f>
        <v>0</v>
      </c>
    </row>
    <row r="778" spans="1:3" x14ac:dyDescent="0.25">
      <c r="A778" s="787" t="s">
        <v>3380</v>
      </c>
      <c r="B778" s="789" t="str">
        <f>IF('RO3'!E$95="","",'RO3'!E$95)</f>
        <v/>
      </c>
      <c r="C778" s="790">
        <f ca="1">IF(ISERROR(VLOOKUP($A$1144,INDIRECT("notes_"&amp;LEFT($A$1144,3)),4,0)),0,VLOOKUP($A$1144,INDIRECT("notes_"&amp;LEFT($A$1144,3)),4,0))</f>
        <v>0</v>
      </c>
    </row>
    <row r="779" spans="1:3" x14ac:dyDescent="0.25">
      <c r="A779" s="787" t="s">
        <v>3381</v>
      </c>
      <c r="B779" s="789" t="str">
        <f>IF('RO3'!E$96="","",'RO3'!E$96)</f>
        <v/>
      </c>
      <c r="C779" s="790">
        <f ca="1">IF(ISERROR(VLOOKUP($A$1145,INDIRECT("notes_"&amp;LEFT($A$1145,3)),4,0)),0,VLOOKUP($A$1145,INDIRECT("notes_"&amp;LEFT($A$1145,3)),4,0))</f>
        <v>0</v>
      </c>
    </row>
    <row r="780" spans="1:3" x14ac:dyDescent="0.25">
      <c r="A780" s="787" t="s">
        <v>3382</v>
      </c>
      <c r="B780" s="789" t="str">
        <f>IF('RO3'!E$97="","",'RO3'!E$97)</f>
        <v/>
      </c>
      <c r="C780" s="790">
        <f ca="1">IF(ISERROR(VLOOKUP($A$1146,INDIRECT("notes_"&amp;LEFT($A$1146,3)),4,0)),0,VLOOKUP($A$1146,INDIRECT("notes_"&amp;LEFT($A$1146,3)),4,0))</f>
        <v>0</v>
      </c>
    </row>
    <row r="781" spans="1:3" x14ac:dyDescent="0.25">
      <c r="A781" s="787" t="s">
        <v>3383</v>
      </c>
      <c r="B781" s="789" t="str">
        <f>IF('RO3'!E$98="","",'RO3'!E$98)</f>
        <v/>
      </c>
      <c r="C781" s="790">
        <f ca="1">IF(ISERROR(VLOOKUP($A$1147,INDIRECT("notes_"&amp;LEFT($A$1147,3)),4,0)),0,VLOOKUP($A$1147,INDIRECT("notes_"&amp;LEFT($A$1147,3)),4,0))</f>
        <v>0</v>
      </c>
    </row>
    <row r="782" spans="1:3" x14ac:dyDescent="0.25">
      <c r="A782" s="787" t="s">
        <v>3384</v>
      </c>
      <c r="B782" s="789" t="str">
        <f>IF('RO3'!E$99="","",'RO3'!E$99)</f>
        <v/>
      </c>
      <c r="C782" s="790">
        <f ca="1">IF(ISERROR(VLOOKUP($A$1148,INDIRECT("notes_"&amp;LEFT($A$1148,3)),4,0)),0,VLOOKUP($A$1148,INDIRECT("notes_"&amp;LEFT($A$1148,3)),4,0))</f>
        <v>0</v>
      </c>
    </row>
    <row r="783" spans="1:3" x14ac:dyDescent="0.25">
      <c r="A783" s="787" t="s">
        <v>3385</v>
      </c>
      <c r="B783" s="789" t="str">
        <f>IF('RO3'!E$100="","",'RO3'!E$100)</f>
        <v/>
      </c>
      <c r="C783" s="790">
        <f ca="1">IF(ISERROR(VLOOKUP($A$1149,INDIRECT("notes_"&amp;LEFT($A$1149,3)),4,0)),0,VLOOKUP($A$1149,INDIRECT("notes_"&amp;LEFT($A$1149,3)),4,0))</f>
        <v>0</v>
      </c>
    </row>
    <row r="784" spans="1:3" x14ac:dyDescent="0.25">
      <c r="A784" s="787" t="s">
        <v>3386</v>
      </c>
      <c r="B784" s="789" t="str">
        <f>IF('RO3'!E$101="","",'RO3'!E$101)</f>
        <v/>
      </c>
      <c r="C784" s="790">
        <f ca="1">IF(ISERROR(VLOOKUP($A$1150,INDIRECT("notes_"&amp;LEFT($A$1150,3)),4,0)),0,VLOOKUP($A$1150,INDIRECT("notes_"&amp;LEFT($A$1150,3)),4,0))</f>
        <v>0</v>
      </c>
    </row>
    <row r="785" spans="1:3" x14ac:dyDescent="0.25">
      <c r="A785" s="787" t="s">
        <v>3387</v>
      </c>
      <c r="B785" s="789" t="str">
        <f>IF('RO3'!E$102="","",'RO3'!E$102)</f>
        <v/>
      </c>
      <c r="C785" s="790">
        <f ca="1">IF(ISERROR(VLOOKUP($A$1151,INDIRECT("notes_"&amp;LEFT($A$1151,3)),4,0)),0,VLOOKUP($A$1151,INDIRECT("notes_"&amp;LEFT($A$1151,3)),4,0))</f>
        <v>0</v>
      </c>
    </row>
    <row r="786" spans="1:3" x14ac:dyDescent="0.25">
      <c r="A786" s="787" t="s">
        <v>3388</v>
      </c>
      <c r="B786" s="789" t="str">
        <f>IF('RO3'!E$103="","",'RO3'!E$103)</f>
        <v/>
      </c>
      <c r="C786" s="790">
        <f ca="1">IF(ISERROR(VLOOKUP($A$1152,INDIRECT("notes_"&amp;LEFT($A$1152,3)),4,0)),0,VLOOKUP($A$1152,INDIRECT("notes_"&amp;LEFT($A$1152,3)),4,0))</f>
        <v>0</v>
      </c>
    </row>
    <row r="787" spans="1:3" x14ac:dyDescent="0.25">
      <c r="A787" s="787" t="s">
        <v>3389</v>
      </c>
      <c r="B787" s="789" t="str">
        <f>IF('RO3'!E$104="","",'RO3'!E$104)</f>
        <v/>
      </c>
      <c r="C787" s="790">
        <f ca="1">IF(ISERROR(VLOOKUP($A$1153,INDIRECT("notes_"&amp;LEFT($A$1153,3)),4,0)),0,VLOOKUP($A$1153,INDIRECT("notes_"&amp;LEFT($A$1153,3)),4,0))</f>
        <v>0</v>
      </c>
    </row>
    <row r="788" spans="1:3" x14ac:dyDescent="0.25">
      <c r="A788" s="787" t="s">
        <v>3390</v>
      </c>
      <c r="B788" s="789" t="str">
        <f>IF('RO3'!E$105="","",'RO3'!E$105)</f>
        <v/>
      </c>
      <c r="C788" s="790">
        <f ca="1">IF(ISERROR(VLOOKUP($A$1154,INDIRECT("notes_"&amp;LEFT($A$1154,3)),4,0)),0,VLOOKUP($A$1154,INDIRECT("notes_"&amp;LEFT($A$1154,3)),4,0))</f>
        <v>0</v>
      </c>
    </row>
    <row r="789" spans="1:3" x14ac:dyDescent="0.25">
      <c r="A789" s="787" t="s">
        <v>3391</v>
      </c>
      <c r="B789" s="789" t="str">
        <f>IF('RO3'!E$106="","",'RO3'!E$106)</f>
        <v/>
      </c>
      <c r="C789" s="790">
        <f ca="1">IF(ISERROR(VLOOKUP($A$1155,INDIRECT("notes_"&amp;LEFT($A$1155,3)),4,0)),0,VLOOKUP($A$1155,INDIRECT("notes_"&amp;LEFT($A$1155,3)),4,0))</f>
        <v>0</v>
      </c>
    </row>
    <row r="790" spans="1:3" x14ac:dyDescent="0.25">
      <c r="A790" s="787" t="s">
        <v>3392</v>
      </c>
      <c r="B790" s="789" t="str">
        <f>IF('RO3'!E$107="","",'RO3'!E$107)</f>
        <v/>
      </c>
      <c r="C790" s="790">
        <f ca="1">IF(ISERROR(VLOOKUP($A$1156,INDIRECT("notes_"&amp;LEFT($A$1156,3)),4,0)),0,VLOOKUP($A$1156,INDIRECT("notes_"&amp;LEFT($A$1156,3)),4,0))</f>
        <v>0</v>
      </c>
    </row>
    <row r="791" spans="1:3" x14ac:dyDescent="0.25">
      <c r="A791" s="787" t="s">
        <v>3393</v>
      </c>
      <c r="B791" s="789" t="str">
        <f>IF('RO3'!E$108="","",'RO3'!E$108)</f>
        <v/>
      </c>
      <c r="C791" s="790">
        <f ca="1">IF(ISERROR(VLOOKUP($A$1157,INDIRECT("notes_"&amp;LEFT($A$1157,3)),4,0)),0,VLOOKUP($A$1157,INDIRECT("notes_"&amp;LEFT($A$1157,3)),4,0))</f>
        <v>0</v>
      </c>
    </row>
    <row r="792" spans="1:3" x14ac:dyDescent="0.25">
      <c r="A792" s="787" t="s">
        <v>3394</v>
      </c>
      <c r="B792" s="789" t="str">
        <f>IF('RO3'!E$109="","",'RO3'!E$109)</f>
        <v/>
      </c>
      <c r="C792" s="790">
        <f ca="1">IF(ISERROR(VLOOKUP($A$1158,INDIRECT("notes_"&amp;LEFT($A$1158,3)),4,0)),0,VLOOKUP($A$1158,INDIRECT("notes_"&amp;LEFT($A$1158,3)),4,0))</f>
        <v>0</v>
      </c>
    </row>
    <row r="793" spans="1:3" x14ac:dyDescent="0.25">
      <c r="A793" s="787" t="s">
        <v>3395</v>
      </c>
      <c r="B793" s="789" t="str">
        <f>IF('RO3'!E$110="","",'RO3'!E$110)</f>
        <v/>
      </c>
      <c r="C793" s="790">
        <f ca="1">IF(ISERROR(VLOOKUP($A$1159,INDIRECT("notes_"&amp;LEFT($A$1159,3)),4,0)),0,VLOOKUP($A$1159,INDIRECT("notes_"&amp;LEFT($A$1159,3)),4,0))</f>
        <v>0</v>
      </c>
    </row>
    <row r="794" spans="1:3" x14ac:dyDescent="0.25">
      <c r="A794" s="787" t="s">
        <v>3396</v>
      </c>
      <c r="B794" s="789" t="str">
        <f>IF('RO3'!E$111="","",'RO3'!E$111)</f>
        <v/>
      </c>
      <c r="C794" s="790">
        <f ca="1">IF(ISERROR(VLOOKUP($A$1160,INDIRECT("notes_"&amp;LEFT($A$1160,3)),4,0)),0,VLOOKUP($A$1160,INDIRECT("notes_"&amp;LEFT($A$1160,3)),4,0))</f>
        <v>0</v>
      </c>
    </row>
    <row r="795" spans="1:3" x14ac:dyDescent="0.25">
      <c r="A795" s="787" t="s">
        <v>3397</v>
      </c>
      <c r="B795" s="789" t="str">
        <f>IF('RO3'!E$112="","",'RO3'!E$112)</f>
        <v/>
      </c>
      <c r="C795" s="790">
        <f ca="1">IF(ISERROR(VLOOKUP($A$1161,INDIRECT("notes_"&amp;LEFT($A$1161,3)),4,0)),0,VLOOKUP($A$1161,INDIRECT("notes_"&amp;LEFT($A$1161,3)),4,0))</f>
        <v>0</v>
      </c>
    </row>
    <row r="796" spans="1:3" x14ac:dyDescent="0.25">
      <c r="A796" s="787" t="s">
        <v>3398</v>
      </c>
      <c r="B796" s="789" t="str">
        <f>IF('RO3'!E$113="","",'RO3'!E$113)</f>
        <v/>
      </c>
      <c r="C796" s="790">
        <f ca="1">IF(ISERROR(VLOOKUP($A$1162,INDIRECT("notes_"&amp;LEFT($A$1162,3)),4,0)),0,VLOOKUP($A$1162,INDIRECT("notes_"&amp;LEFT($A$1162,3)),4,0))</f>
        <v>0</v>
      </c>
    </row>
    <row r="797" spans="1:3" x14ac:dyDescent="0.25">
      <c r="A797" s="787" t="s">
        <v>3399</v>
      </c>
      <c r="B797" s="789" t="str">
        <f>IF('RO3'!E$114="","",'RO3'!E$114)</f>
        <v/>
      </c>
      <c r="C797" s="791">
        <f ca="1">IF(ISERROR(VLOOKUP($A$1163,INDIRECT("notes_"&amp;LEFT($A$1163,3)),4,0)),0,VLOOKUP($A$1163,INDIRECT("notes_"&amp;LEFT($A$1163,3)),4,0))</f>
        <v>0</v>
      </c>
    </row>
    <row r="798" spans="1:3" x14ac:dyDescent="0.25">
      <c r="A798" s="787" t="s">
        <v>3400</v>
      </c>
      <c r="B798" s="789" t="str">
        <f>IF('RO3'!E$115="","",'RO3'!E$115)</f>
        <v/>
      </c>
      <c r="C798" s="791">
        <f ca="1">IF(ISERROR(VLOOKUP($A$1164,INDIRECT("notes_"&amp;LEFT($A$1164,3)),4,0)),0,VLOOKUP($A$1164,INDIRECT("notes_"&amp;LEFT($A$1164,3)),4,0))</f>
        <v>0</v>
      </c>
    </row>
    <row r="799" spans="1:3" x14ac:dyDescent="0.25">
      <c r="A799" s="787" t="s">
        <v>3401</v>
      </c>
      <c r="B799" s="789">
        <f>IF('RO3'!E$117="","",'RO3'!E$117)</f>
        <v>0</v>
      </c>
      <c r="C799" s="790">
        <f ca="1">IF(ISERROR(VLOOKUP($A$1165,INDIRECT("notes_"&amp;LEFT($A$1165,3)),4,0)),0,VLOOKUP($A$1165,INDIRECT("notes_"&amp;LEFT($A$1165,3)),4,0))</f>
        <v>0</v>
      </c>
    </row>
    <row r="800" spans="1:3" x14ac:dyDescent="0.25">
      <c r="A800" s="817" t="s">
        <v>2599</v>
      </c>
      <c r="B800" s="818" t="str">
        <f>IF('RO3'!E$121="","",'RO3'!E$121)</f>
        <v/>
      </c>
      <c r="C800" s="819">
        <f ca="1">IF(ISERROR(VLOOKUP($A$800,INDIRECT("notes_"&amp;LEFT($A$800,3)),4,0)),0,VLOOKUP($A$800,INDIRECT("notes_"&amp;LEFT($A$800,3)),4,0))</f>
        <v>0</v>
      </c>
    </row>
    <row r="801" spans="1:3" x14ac:dyDescent="0.25">
      <c r="A801" s="787" t="s">
        <v>3402</v>
      </c>
      <c r="B801" s="789" t="str">
        <f>IF('RO3'!E$132="","",'RO3'!E$132)</f>
        <v/>
      </c>
      <c r="C801" s="790">
        <f ca="1">IF(ISERROR(VLOOKUP($A$1170,INDIRECT("notes_"&amp;LEFT($A$1170,3)),4,0)),0,VLOOKUP($A$1170,INDIRECT("notes_"&amp;LEFT($A$1170,3)),4,0))</f>
        <v>0</v>
      </c>
    </row>
    <row r="802" spans="1:3" x14ac:dyDescent="0.25">
      <c r="A802" s="787" t="s">
        <v>3403</v>
      </c>
      <c r="B802" s="789" t="str">
        <f>IF('RO3'!E$134="","",'RO3'!E$134)</f>
        <v/>
      </c>
      <c r="C802" s="790">
        <f ca="1">IF(ISERROR(VLOOKUP($A$1171,INDIRECT("notes_"&amp;LEFT($A$1171,3)),4,0)),0,VLOOKUP($A$1171,INDIRECT("notes_"&amp;LEFT($A$1171,3)),4,0))</f>
        <v>0</v>
      </c>
    </row>
    <row r="803" spans="1:3" x14ac:dyDescent="0.25">
      <c r="A803" s="787" t="s">
        <v>3404</v>
      </c>
      <c r="B803" s="789">
        <f>IF('RO3'!F$31="","",'RO3'!F$31)</f>
        <v>0</v>
      </c>
      <c r="C803" s="790">
        <f ca="1">IF(ISERROR(VLOOKUP($A$1095,INDIRECT("notes_"&amp;LEFT($A$1095,3)),4,0)),0,VLOOKUP($A$1095,INDIRECT("notes_"&amp;LEFT($A$1095,3)),4,0))</f>
        <v>0</v>
      </c>
    </row>
    <row r="804" spans="1:3" x14ac:dyDescent="0.25">
      <c r="A804" s="787" t="s">
        <v>3405</v>
      </c>
      <c r="B804" s="789">
        <f>IF('RO3'!F$32="","",'RO3'!F$32)</f>
        <v>0</v>
      </c>
      <c r="C804" s="790">
        <f ca="1">IF(ISERROR(VLOOKUP($A$1096,INDIRECT("notes_"&amp;LEFT($A$1096,3)),4,0)),0,VLOOKUP($A$1096,INDIRECT("notes_"&amp;LEFT($A$1096,3)),4,0))</f>
        <v>0</v>
      </c>
    </row>
    <row r="805" spans="1:3" x14ac:dyDescent="0.25">
      <c r="A805" s="817" t="s">
        <v>3406</v>
      </c>
      <c r="B805" s="818">
        <f>IF('RO3'!F$33="","",'RO3'!F$33)</f>
        <v>0</v>
      </c>
      <c r="C805" s="819">
        <f ca="1">IF(ISERROR(VLOOKUP($A$1097,INDIRECT("notes_"&amp;LEFT($A$1097,3)),4,0)),0,VLOOKUP($A$1097,INDIRECT("notes_"&amp;LEFT($A$1097,3)),4,0))</f>
        <v>0</v>
      </c>
    </row>
    <row r="806" spans="1:3" x14ac:dyDescent="0.25">
      <c r="A806" s="817" t="s">
        <v>3407</v>
      </c>
      <c r="B806" s="818">
        <f>IF('RO3'!F$34="","",'RO3'!F$34)</f>
        <v>0</v>
      </c>
      <c r="C806" s="819">
        <f ca="1">IF(ISERROR(VLOOKUP($A$1098,INDIRECT("notes_"&amp;LEFT($A$1098,3)),4,0)),0,VLOOKUP($A$1098,INDIRECT("notes_"&amp;LEFT($A$1098,3)),4,0))</f>
        <v>0</v>
      </c>
    </row>
    <row r="807" spans="1:3" x14ac:dyDescent="0.25">
      <c r="A807" s="817" t="s">
        <v>3408</v>
      </c>
      <c r="B807" s="818">
        <f>IF('RO3'!F$35="","",'RO3'!F$35)</f>
        <v>0</v>
      </c>
      <c r="C807" s="819">
        <f ca="1">IF(ISERROR(VLOOKUP($A$1099,INDIRECT("notes_"&amp;LEFT($A$1099,3)),4,0)),0,VLOOKUP($A$1099,INDIRECT("notes_"&amp;LEFT($A$1099,3)),4,0))</f>
        <v>0</v>
      </c>
    </row>
    <row r="808" spans="1:3" x14ac:dyDescent="0.25">
      <c r="A808" s="817" t="s">
        <v>3409</v>
      </c>
      <c r="B808" s="818">
        <f>IF('RO3'!F$36="","",'RO3'!F$36)</f>
        <v>0</v>
      </c>
      <c r="C808" s="819">
        <f ca="1">IF(ISERROR(VLOOKUP($A$1100,INDIRECT("notes_"&amp;LEFT($A$1100,3)),4,0)),0,VLOOKUP($A$1100,INDIRECT("notes_"&amp;LEFT($A$1100,3)),4,0))</f>
        <v>0</v>
      </c>
    </row>
    <row r="809" spans="1:3" x14ac:dyDescent="0.25">
      <c r="A809" s="787" t="s">
        <v>3410</v>
      </c>
      <c r="B809" s="789">
        <f>IF('RO3'!F$37="","",'RO3'!F$37)</f>
        <v>0</v>
      </c>
      <c r="C809" s="790">
        <f ca="1">IF(ISERROR(VLOOKUP($A$1101,INDIRECT("notes_"&amp;LEFT($A$1101,3)),4,0)),0,VLOOKUP($A$1101,INDIRECT("notes_"&amp;LEFT($A$1101,3)),4,0))</f>
        <v>0</v>
      </c>
    </row>
    <row r="810" spans="1:3" x14ac:dyDescent="0.25">
      <c r="A810" s="787" t="s">
        <v>3411</v>
      </c>
      <c r="B810" s="789">
        <f>IF('RO3'!F$38="","",'RO3'!F$38)</f>
        <v>0</v>
      </c>
      <c r="C810" s="790">
        <f ca="1">IF(ISERROR(VLOOKUP($A$1102,INDIRECT("notes_"&amp;LEFT($A$1102,3)),4,0)),0,VLOOKUP($A$1102,INDIRECT("notes_"&amp;LEFT($A$1102,3)),4,0))</f>
        <v>0</v>
      </c>
    </row>
    <row r="811" spans="1:3" x14ac:dyDescent="0.25">
      <c r="A811" s="787" t="s">
        <v>3412</v>
      </c>
      <c r="B811" s="789">
        <f>IF('RO3'!F$39="","",'RO3'!F$39)</f>
        <v>0</v>
      </c>
      <c r="C811" s="790">
        <f ca="1">IF(ISERROR(VLOOKUP($A$1103,INDIRECT("notes_"&amp;LEFT($A$1103,3)),4,0)),0,VLOOKUP($A$1103,INDIRECT("notes_"&amp;LEFT($A$1103,3)),4,0))</f>
        <v>0</v>
      </c>
    </row>
    <row r="812" spans="1:3" x14ac:dyDescent="0.25">
      <c r="A812" s="787" t="s">
        <v>3413</v>
      </c>
      <c r="B812" s="789">
        <f>IF('RO3'!F$40="","",'RO3'!F$40)</f>
        <v>0</v>
      </c>
      <c r="C812" s="790">
        <f ca="1">IF(ISERROR(VLOOKUP($A$1104,INDIRECT("notes_"&amp;LEFT($A$1104,3)),4,0)),0,VLOOKUP($A$1104,INDIRECT("notes_"&amp;LEFT($A$1104,3)),4,0))</f>
        <v>0</v>
      </c>
    </row>
    <row r="813" spans="1:3" x14ac:dyDescent="0.25">
      <c r="A813" s="787" t="s">
        <v>3414</v>
      </c>
      <c r="B813" s="789">
        <f>IF('RO3'!F$41="","",'RO3'!F$41)</f>
        <v>0</v>
      </c>
      <c r="C813" s="790">
        <f ca="1">IF(ISERROR(VLOOKUP($A$1105,INDIRECT("notes_"&amp;LEFT($A$1105,3)),4,0)),0,VLOOKUP($A$1105,INDIRECT("notes_"&amp;LEFT($A$1105,3)),4,0))</f>
        <v>0</v>
      </c>
    </row>
    <row r="814" spans="1:3" x14ac:dyDescent="0.25">
      <c r="A814" s="787" t="s">
        <v>3415</v>
      </c>
      <c r="B814" s="789">
        <f>IF('RO3'!F$42="","",'RO3'!F$42)</f>
        <v>0</v>
      </c>
      <c r="C814" s="790">
        <f ca="1">IF(ISERROR(VLOOKUP($A$1106,INDIRECT("notes_"&amp;LEFT($A$1106,3)),4,0)),0,VLOOKUP($A$1106,INDIRECT("notes_"&amp;LEFT($A$1106,3)),4,0))</f>
        <v>0</v>
      </c>
    </row>
    <row r="815" spans="1:3" x14ac:dyDescent="0.25">
      <c r="A815" s="787" t="s">
        <v>3416</v>
      </c>
      <c r="B815" s="789">
        <f>IF('RO3'!F$44="","",'RO3'!F$44)</f>
        <v>0</v>
      </c>
      <c r="C815" s="790">
        <f ca="1">IF(ISERROR(VLOOKUP($A$1107,INDIRECT("notes_"&amp;LEFT($A$1107,3)),4,0)),0,VLOOKUP($A$1107,INDIRECT("notes_"&amp;LEFT($A$1107,3)),4,0))</f>
        <v>0</v>
      </c>
    </row>
    <row r="816" spans="1:3" x14ac:dyDescent="0.25">
      <c r="A816" s="787" t="s">
        <v>3417</v>
      </c>
      <c r="B816" s="789">
        <f>IF('RO3'!F$51="","",'RO3'!F$51)</f>
        <v>0</v>
      </c>
      <c r="C816" s="790">
        <f ca="1">IF(ISERROR(VLOOKUP($A$1108,INDIRECT("notes_"&amp;LEFT($A$1108,3)),4,0)),0,VLOOKUP($A$1108,INDIRECT("notes_"&amp;LEFT($A$1108,3)),4,0))</f>
        <v>0</v>
      </c>
    </row>
    <row r="817" spans="1:3" x14ac:dyDescent="0.25">
      <c r="A817" s="787" t="s">
        <v>3418</v>
      </c>
      <c r="B817" s="789">
        <f>IF('RO3'!F$52="","",'RO3'!F$52)</f>
        <v>0</v>
      </c>
      <c r="C817" s="790">
        <f ca="1">IF(ISERROR(VLOOKUP($A$1109,INDIRECT("notes_"&amp;LEFT($A$1109,3)),4,0)),0,VLOOKUP($A$1109,INDIRECT("notes_"&amp;LEFT($A$1109,3)),4,0))</f>
        <v>0</v>
      </c>
    </row>
    <row r="818" spans="1:3" x14ac:dyDescent="0.25">
      <c r="A818" s="787" t="s">
        <v>3419</v>
      </c>
      <c r="B818" s="789">
        <f>IF('RO3'!F$53="","",'RO3'!F$53)</f>
        <v>0</v>
      </c>
      <c r="C818" s="790">
        <f ca="1">IF(ISERROR(VLOOKUP($A$1110,INDIRECT("notes_"&amp;LEFT($A$1110,3)),4,0)),0,VLOOKUP($A$1110,INDIRECT("notes_"&amp;LEFT($A$1110,3)),4,0))</f>
        <v>0</v>
      </c>
    </row>
    <row r="819" spans="1:3" x14ac:dyDescent="0.25">
      <c r="A819" s="787" t="s">
        <v>3420</v>
      </c>
      <c r="B819" s="789">
        <f>IF('RO3'!F$54="","",'RO3'!F$54)</f>
        <v>0</v>
      </c>
      <c r="C819" s="790">
        <f ca="1">IF(ISERROR(VLOOKUP($A$1111,INDIRECT("notes_"&amp;LEFT($A$1111,3)),4,0)),0,VLOOKUP($A$1111,INDIRECT("notes_"&amp;LEFT($A$1111,3)),4,0))</f>
        <v>0</v>
      </c>
    </row>
    <row r="820" spans="1:3" x14ac:dyDescent="0.25">
      <c r="A820" s="787" t="s">
        <v>3421</v>
      </c>
      <c r="B820" s="789">
        <f>IF('RO3'!F$55="","",'RO3'!F$55)</f>
        <v>0</v>
      </c>
      <c r="C820" s="790">
        <f ca="1">IF(ISERROR(VLOOKUP($A$1112,INDIRECT("notes_"&amp;LEFT($A$1112,3)),4,0)),0,VLOOKUP($A$1112,INDIRECT("notes_"&amp;LEFT($A$1112,3)),4,0))</f>
        <v>0</v>
      </c>
    </row>
    <row r="821" spans="1:3" x14ac:dyDescent="0.25">
      <c r="A821" s="787" t="s">
        <v>3422</v>
      </c>
      <c r="B821" s="789">
        <f>IF('RO3'!F$56="","",'RO3'!F$56)</f>
        <v>0</v>
      </c>
      <c r="C821" s="790">
        <f ca="1">IF(ISERROR(VLOOKUP($A$1113,INDIRECT("notes_"&amp;LEFT($A$1113,3)),4,0)),0,VLOOKUP($A$1113,INDIRECT("notes_"&amp;LEFT($A$1113,3)),4,0))</f>
        <v>0</v>
      </c>
    </row>
    <row r="822" spans="1:3" x14ac:dyDescent="0.25">
      <c r="A822" s="787" t="s">
        <v>3423</v>
      </c>
      <c r="B822" s="789">
        <f>IF('RO3'!F$57="","",'RO3'!F$57)</f>
        <v>0</v>
      </c>
      <c r="C822" s="790">
        <f ca="1">IF(ISERROR(VLOOKUP($A$1114,INDIRECT("notes_"&amp;LEFT($A$1114,3)),4,0)),0,VLOOKUP($A$1114,INDIRECT("notes_"&amp;LEFT($A$1114,3)),4,0))</f>
        <v>0</v>
      </c>
    </row>
    <row r="823" spans="1:3" x14ac:dyDescent="0.25">
      <c r="A823" s="787" t="s">
        <v>3424</v>
      </c>
      <c r="B823" s="789">
        <f>IF('RO3'!F$58="","",'RO3'!F$58)</f>
        <v>0</v>
      </c>
      <c r="C823" s="790">
        <f ca="1">IF(ISERROR(VLOOKUP($A$1115,INDIRECT("notes_"&amp;LEFT($A$1115,3)),4,0)),0,VLOOKUP($A$1115,INDIRECT("notes_"&amp;LEFT($A$1115,3)),4,0))</f>
        <v>0</v>
      </c>
    </row>
    <row r="824" spans="1:3" x14ac:dyDescent="0.25">
      <c r="A824" s="787" t="s">
        <v>3425</v>
      </c>
      <c r="B824" s="789">
        <f>IF('RO3'!F$59="","",'RO3'!F$59)</f>
        <v>0</v>
      </c>
      <c r="C824" s="790">
        <f ca="1">IF(ISERROR(VLOOKUP($A$1116,INDIRECT("notes_"&amp;LEFT($A$1116,3)),4,0)),0,VLOOKUP($A$1116,INDIRECT("notes_"&amp;LEFT($A$1116,3)),4,0))</f>
        <v>0</v>
      </c>
    </row>
    <row r="825" spans="1:3" x14ac:dyDescent="0.25">
      <c r="A825" s="787" t="s">
        <v>3426</v>
      </c>
      <c r="B825" s="789">
        <f>IF('RO3'!F$60="","",'RO3'!F$60)</f>
        <v>0</v>
      </c>
      <c r="C825" s="790">
        <f ca="1">IF(ISERROR(VLOOKUP($A$1117,INDIRECT("notes_"&amp;LEFT($A$1117,3)),4,0)),0,VLOOKUP($A$1117,INDIRECT("notes_"&amp;LEFT($A$1117,3)),4,0))</f>
        <v>0</v>
      </c>
    </row>
    <row r="826" spans="1:3" x14ac:dyDescent="0.25">
      <c r="A826" s="787" t="s">
        <v>3427</v>
      </c>
      <c r="B826" s="789">
        <f>IF('RO3'!F$61="","",'RO3'!F$61)</f>
        <v>0</v>
      </c>
      <c r="C826" s="790">
        <f ca="1">IF(ISERROR(VLOOKUP($A$1118,INDIRECT("notes_"&amp;LEFT($A$1118,3)),4,0)),0,VLOOKUP($A$1118,INDIRECT("notes_"&amp;LEFT($A$1118,3)),4,0))</f>
        <v>0</v>
      </c>
    </row>
    <row r="827" spans="1:3" x14ac:dyDescent="0.25">
      <c r="A827" s="787" t="s">
        <v>3428</v>
      </c>
      <c r="B827" s="789">
        <f>IF('RO3'!F$62="","",'RO3'!F$62)</f>
        <v>0</v>
      </c>
      <c r="C827" s="790">
        <f ca="1">IF(ISERROR(VLOOKUP($A$1119,INDIRECT("notes_"&amp;LEFT($A$1119,3)),4,0)),0,VLOOKUP($A$1119,INDIRECT("notes_"&amp;LEFT($A$1119,3)),4,0))</f>
        <v>0</v>
      </c>
    </row>
    <row r="828" spans="1:3" x14ac:dyDescent="0.25">
      <c r="A828" s="787" t="s">
        <v>3429</v>
      </c>
      <c r="B828" s="789">
        <f>IF('RO3'!F$63="","",'RO3'!F$63)</f>
        <v>0</v>
      </c>
      <c r="C828" s="790">
        <f ca="1">IF(ISERROR(VLOOKUP($A$1120,INDIRECT("notes_"&amp;LEFT($A$1120,3)),4,0)),0,VLOOKUP($A$1120,INDIRECT("notes_"&amp;LEFT($A$1120,3)),4,0))</f>
        <v>0</v>
      </c>
    </row>
    <row r="829" spans="1:3" x14ac:dyDescent="0.25">
      <c r="A829" s="787" t="s">
        <v>3430</v>
      </c>
      <c r="B829" s="789">
        <f>IF('RO3'!F$64="","",'RO3'!F$64)</f>
        <v>0</v>
      </c>
      <c r="C829" s="790">
        <f ca="1">IF(ISERROR(VLOOKUP($A$1121,INDIRECT("notes_"&amp;LEFT($A$1121,3)),4,0)),0,VLOOKUP($A$1121,INDIRECT("notes_"&amp;LEFT($A$1121,3)),4,0))</f>
        <v>0</v>
      </c>
    </row>
    <row r="830" spans="1:3" x14ac:dyDescent="0.25">
      <c r="A830" s="787" t="s">
        <v>3431</v>
      </c>
      <c r="B830" s="789">
        <f>IF('RO3'!F$65="","",'RO3'!F$65)</f>
        <v>0</v>
      </c>
      <c r="C830" s="790"/>
    </row>
    <row r="831" spans="1:3" x14ac:dyDescent="0.25">
      <c r="A831" s="787" t="s">
        <v>3432</v>
      </c>
      <c r="B831" s="789">
        <f>IF('RO3'!F$66="","",'RO3'!F$66)</f>
        <v>0</v>
      </c>
      <c r="C831" s="790"/>
    </row>
    <row r="832" spans="1:3" x14ac:dyDescent="0.25">
      <c r="A832" s="787" t="s">
        <v>3433</v>
      </c>
      <c r="B832" s="789">
        <f>IF('RO3'!F$67="","",'RO3'!F$67)</f>
        <v>0</v>
      </c>
      <c r="C832" s="790">
        <f ca="1">IF(ISERROR(VLOOKUP($A$1124,INDIRECT("notes_"&amp;LEFT($A$1124,3)),4,0)),0,VLOOKUP($A$1124,INDIRECT("notes_"&amp;LEFT($A$1124,3)),4,0))</f>
        <v>0</v>
      </c>
    </row>
    <row r="833" spans="1:3" x14ac:dyDescent="0.25">
      <c r="A833" s="787" t="s">
        <v>3434</v>
      </c>
      <c r="B833" s="789">
        <f>IF('RO3'!F$68="","",'RO3'!F$68)</f>
        <v>0</v>
      </c>
      <c r="C833" s="790"/>
    </row>
    <row r="834" spans="1:3" x14ac:dyDescent="0.25">
      <c r="A834" s="787" t="s">
        <v>3435</v>
      </c>
      <c r="B834" s="789">
        <f>IF('RO3'!F$69="","",'RO3'!F$69)</f>
        <v>0</v>
      </c>
      <c r="C834" s="790"/>
    </row>
    <row r="835" spans="1:3" x14ac:dyDescent="0.25">
      <c r="A835" s="787" t="s">
        <v>3436</v>
      </c>
      <c r="B835" s="789">
        <f>IF('RO3'!F$70="","",'RO3'!F$70)</f>
        <v>0</v>
      </c>
      <c r="C835" s="790">
        <f ca="1">IF(ISERROR(VLOOKUP($A$1127,INDIRECT("notes_"&amp;LEFT($A$1127,3)),4,0)),0,VLOOKUP($A$1127,INDIRECT("notes_"&amp;LEFT($A$1127,3)),4,0))</f>
        <v>0</v>
      </c>
    </row>
    <row r="836" spans="1:3" x14ac:dyDescent="0.25">
      <c r="A836" s="787" t="s">
        <v>3437</v>
      </c>
      <c r="B836" s="789">
        <f>IF('RO3'!F$71="","",'RO3'!F$71)</f>
        <v>0</v>
      </c>
      <c r="C836" s="790"/>
    </row>
    <row r="837" spans="1:3" x14ac:dyDescent="0.25">
      <c r="A837" s="787" t="s">
        <v>3438</v>
      </c>
      <c r="B837" s="789">
        <f>IF('RO3'!F$72="","",'RO3'!F$72)</f>
        <v>0</v>
      </c>
      <c r="C837" s="790"/>
    </row>
    <row r="838" spans="1:3" x14ac:dyDescent="0.25">
      <c r="A838" s="787" t="s">
        <v>3439</v>
      </c>
      <c r="B838" s="789">
        <f>IF('RO3'!F$73="","",'RO3'!F$73)</f>
        <v>0</v>
      </c>
      <c r="C838" s="790">
        <f ca="1">IF(ISERROR(VLOOKUP($A$1130,INDIRECT("notes_"&amp;LEFT($A$1130,3)),4,0)),0,VLOOKUP($A$1130,INDIRECT("notes_"&amp;LEFT($A$1130,3)),4,0))</f>
        <v>0</v>
      </c>
    </row>
    <row r="839" spans="1:3" x14ac:dyDescent="0.25">
      <c r="A839" s="787" t="s">
        <v>3440</v>
      </c>
      <c r="B839" s="789">
        <f>IF('RO3'!F$74="","",'RO3'!F$74)</f>
        <v>0</v>
      </c>
      <c r="C839" s="790"/>
    </row>
    <row r="840" spans="1:3" x14ac:dyDescent="0.25">
      <c r="A840" s="787" t="s">
        <v>3441</v>
      </c>
      <c r="B840" s="789">
        <f>IF('RO3'!F$75="","",'RO3'!F$75)</f>
        <v>0</v>
      </c>
      <c r="C840" s="790"/>
    </row>
    <row r="841" spans="1:3" x14ac:dyDescent="0.25">
      <c r="A841" s="787" t="s">
        <v>3442</v>
      </c>
      <c r="B841" s="789">
        <f>IF('RO3'!F$76="","",'RO3'!F$76)</f>
        <v>0</v>
      </c>
      <c r="C841" s="790">
        <f ca="1">IF(ISERROR(VLOOKUP($A$1133,INDIRECT("notes_"&amp;LEFT($A$1133,3)),4,0)),0,VLOOKUP($A$1133,INDIRECT("notes_"&amp;LEFT($A$1133,3)),4,0))</f>
        <v>0</v>
      </c>
    </row>
    <row r="842" spans="1:3" x14ac:dyDescent="0.25">
      <c r="A842" s="787" t="s">
        <v>3443</v>
      </c>
      <c r="B842" s="789">
        <f>IF('RO3'!F$77="","",'RO3'!F$77)</f>
        <v>0</v>
      </c>
      <c r="C842" s="790"/>
    </row>
    <row r="843" spans="1:3" x14ac:dyDescent="0.25">
      <c r="A843" s="787" t="s">
        <v>3444</v>
      </c>
      <c r="B843" s="789">
        <f>IF('RO3'!F$78="","",'RO3'!F$78)</f>
        <v>0</v>
      </c>
      <c r="C843" s="790"/>
    </row>
    <row r="844" spans="1:3" x14ac:dyDescent="0.25">
      <c r="A844" s="787" t="s">
        <v>3445</v>
      </c>
      <c r="B844" s="789">
        <f>IF('RO3'!F$81="","",'RO3'!F$81)</f>
        <v>0</v>
      </c>
      <c r="C844" s="791">
        <f ca="1">IF(ISERROR(VLOOKUP($A$1136,INDIRECT("notes_"&amp;LEFT($A$1136,3)),4,0)),0,VLOOKUP($A$1136,INDIRECT("notes_"&amp;LEFT($A$1136,3)),4,0))</f>
        <v>0</v>
      </c>
    </row>
    <row r="845" spans="1:3" x14ac:dyDescent="0.25">
      <c r="A845" s="787" t="s">
        <v>3446</v>
      </c>
      <c r="B845" s="789">
        <f>IF('RO3'!F$82="","",'RO3'!F$82)</f>
        <v>0</v>
      </c>
      <c r="C845" s="791">
        <f ca="1">IF(ISERROR(VLOOKUP($A$1137,INDIRECT("notes_"&amp;LEFT($A$1137,3)),4,0)),0,VLOOKUP($A$1137,INDIRECT("notes_"&amp;LEFT($A$1137,3)),4,0))</f>
        <v>0</v>
      </c>
    </row>
    <row r="846" spans="1:3" x14ac:dyDescent="0.25">
      <c r="A846" s="787" t="s">
        <v>3447</v>
      </c>
      <c r="B846" s="789">
        <f>IF('RO3'!F$83="","",'RO3'!F$83)</f>
        <v>0</v>
      </c>
      <c r="C846" s="790">
        <f ca="1">IF(ISERROR(VLOOKUP($A$1138,INDIRECT("notes_"&amp;LEFT($A$1138,3)),4,0)),0,VLOOKUP($A$1138,INDIRECT("notes_"&amp;LEFT($A$1138,3)),4,0))</f>
        <v>0</v>
      </c>
    </row>
    <row r="847" spans="1:3" x14ac:dyDescent="0.25">
      <c r="A847" s="787" t="s">
        <v>3448</v>
      </c>
      <c r="B847" s="789">
        <f>IF('RO3'!F$90="","",'RO3'!F$90)</f>
        <v>0</v>
      </c>
      <c r="C847" s="790">
        <f ca="1">IF(ISERROR(VLOOKUP($A$1139,INDIRECT("notes_"&amp;LEFT($A$1139,3)),4,0)),0,VLOOKUP($A$1139,INDIRECT("notes_"&amp;LEFT($A$1139,3)),4,0))</f>
        <v>0</v>
      </c>
    </row>
    <row r="848" spans="1:3" x14ac:dyDescent="0.25">
      <c r="A848" s="787" t="s">
        <v>3449</v>
      </c>
      <c r="B848" s="789">
        <f>IF('RO3'!F$91="","",'RO3'!F$91)</f>
        <v>0</v>
      </c>
      <c r="C848" s="790">
        <f ca="1">IF(ISERROR(VLOOKUP($A$1140,INDIRECT("notes_"&amp;LEFT($A$1140,3)),4,0)),0,VLOOKUP($A$1140,INDIRECT("notes_"&amp;LEFT($A$1140,3)),4,0))</f>
        <v>0</v>
      </c>
    </row>
    <row r="849" spans="1:3" x14ac:dyDescent="0.25">
      <c r="A849" s="787" t="s">
        <v>3450</v>
      </c>
      <c r="B849" s="789">
        <f>IF('RO3'!F$92="","",'RO3'!F$92)</f>
        <v>0</v>
      </c>
      <c r="C849" s="790">
        <f ca="1">IF(ISERROR(VLOOKUP($A$1141,INDIRECT("notes_"&amp;LEFT($A$1141,3)),4,0)),0,VLOOKUP($A$1141,INDIRECT("notes_"&amp;LEFT($A$1141,3)),4,0))</f>
        <v>0</v>
      </c>
    </row>
    <row r="850" spans="1:3" x14ac:dyDescent="0.25">
      <c r="A850" s="787" t="s">
        <v>3451</v>
      </c>
      <c r="B850" s="789">
        <f>IF('RO3'!F$93="","",'RO3'!F$93)</f>
        <v>0</v>
      </c>
      <c r="C850" s="790">
        <f ca="1">IF(ISERROR(VLOOKUP($A$1142,INDIRECT("notes_"&amp;LEFT($A$1142,3)),4,0)),0,VLOOKUP($A$1142,INDIRECT("notes_"&amp;LEFT($A$1142,3)),4,0))</f>
        <v>0</v>
      </c>
    </row>
    <row r="851" spans="1:3" x14ac:dyDescent="0.25">
      <c r="A851" s="787" t="s">
        <v>3452</v>
      </c>
      <c r="B851" s="789">
        <f>IF('RO3'!F$94="","",'RO3'!F$94)</f>
        <v>0</v>
      </c>
      <c r="C851" s="790">
        <f ca="1">IF(ISERROR(VLOOKUP($A$1143,INDIRECT("notes_"&amp;LEFT($A$1143,3)),4,0)),0,VLOOKUP($A$1143,INDIRECT("notes_"&amp;LEFT($A$1143,3)),4,0))</f>
        <v>0</v>
      </c>
    </row>
    <row r="852" spans="1:3" x14ac:dyDescent="0.25">
      <c r="A852" s="787" t="s">
        <v>3453</v>
      </c>
      <c r="B852" s="789">
        <f>IF('RO3'!F$95="","",'RO3'!F$95)</f>
        <v>0</v>
      </c>
      <c r="C852" s="790">
        <f ca="1">IF(ISERROR(VLOOKUP($A$1144,INDIRECT("notes_"&amp;LEFT($A$1144,3)),4,0)),0,VLOOKUP($A$1144,INDIRECT("notes_"&amp;LEFT($A$1144,3)),4,0))</f>
        <v>0</v>
      </c>
    </row>
    <row r="853" spans="1:3" x14ac:dyDescent="0.25">
      <c r="A853" s="787" t="s">
        <v>3454</v>
      </c>
      <c r="B853" s="789">
        <f>IF('RO3'!F$96="","",'RO3'!F$96)</f>
        <v>0</v>
      </c>
      <c r="C853" s="790">
        <f ca="1">IF(ISERROR(VLOOKUP($A$1145,INDIRECT("notes_"&amp;LEFT($A$1145,3)),4,0)),0,VLOOKUP($A$1145,INDIRECT("notes_"&amp;LEFT($A$1145,3)),4,0))</f>
        <v>0</v>
      </c>
    </row>
    <row r="854" spans="1:3" x14ac:dyDescent="0.25">
      <c r="A854" s="787" t="s">
        <v>3455</v>
      </c>
      <c r="B854" s="789">
        <f>IF('RO3'!F$97="","",'RO3'!F$97)</f>
        <v>0</v>
      </c>
      <c r="C854" s="790">
        <f ca="1">IF(ISERROR(VLOOKUP($A$1146,INDIRECT("notes_"&amp;LEFT($A$1146,3)),4,0)),0,VLOOKUP($A$1146,INDIRECT("notes_"&amp;LEFT($A$1146,3)),4,0))</f>
        <v>0</v>
      </c>
    </row>
    <row r="855" spans="1:3" x14ac:dyDescent="0.25">
      <c r="A855" s="787" t="s">
        <v>3456</v>
      </c>
      <c r="B855" s="789">
        <f>IF('RO3'!F$98="","",'RO3'!F$98)</f>
        <v>0</v>
      </c>
      <c r="C855" s="790">
        <f ca="1">IF(ISERROR(VLOOKUP($A$1147,INDIRECT("notes_"&amp;LEFT($A$1147,3)),4,0)),0,VLOOKUP($A$1147,INDIRECT("notes_"&amp;LEFT($A$1147,3)),4,0))</f>
        <v>0</v>
      </c>
    </row>
    <row r="856" spans="1:3" x14ac:dyDescent="0.25">
      <c r="A856" s="787" t="s">
        <v>3457</v>
      </c>
      <c r="B856" s="789">
        <f>IF('RO3'!F$99="","",'RO3'!F$99)</f>
        <v>0</v>
      </c>
      <c r="C856" s="790">
        <f ca="1">IF(ISERROR(VLOOKUP($A$1148,INDIRECT("notes_"&amp;LEFT($A$1148,3)),4,0)),0,VLOOKUP($A$1148,INDIRECT("notes_"&amp;LEFT($A$1148,3)),4,0))</f>
        <v>0</v>
      </c>
    </row>
    <row r="857" spans="1:3" x14ac:dyDescent="0.25">
      <c r="A857" s="787" t="s">
        <v>3458</v>
      </c>
      <c r="B857" s="789">
        <f>IF('RO3'!F$100="","",'RO3'!F$100)</f>
        <v>0</v>
      </c>
      <c r="C857" s="790">
        <f ca="1">IF(ISERROR(VLOOKUP($A$1149,INDIRECT("notes_"&amp;LEFT($A$1149,3)),4,0)),0,VLOOKUP($A$1149,INDIRECT("notes_"&amp;LEFT($A$1149,3)),4,0))</f>
        <v>0</v>
      </c>
    </row>
    <row r="858" spans="1:3" x14ac:dyDescent="0.25">
      <c r="A858" s="787" t="s">
        <v>3459</v>
      </c>
      <c r="B858" s="789">
        <f>IF('RO3'!F$101="","",'RO3'!F$101)</f>
        <v>0</v>
      </c>
      <c r="C858" s="790">
        <f ca="1">IF(ISERROR(VLOOKUP($A$1150,INDIRECT("notes_"&amp;LEFT($A$1150,3)),4,0)),0,VLOOKUP($A$1150,INDIRECT("notes_"&amp;LEFT($A$1150,3)),4,0))</f>
        <v>0</v>
      </c>
    </row>
    <row r="859" spans="1:3" x14ac:dyDescent="0.25">
      <c r="A859" s="787" t="s">
        <v>3460</v>
      </c>
      <c r="B859" s="789">
        <f>IF('RO3'!F$102="","",'RO3'!F$102)</f>
        <v>0</v>
      </c>
      <c r="C859" s="790">
        <f ca="1">IF(ISERROR(VLOOKUP($A$1151,INDIRECT("notes_"&amp;LEFT($A$1151,3)),4,0)),0,VLOOKUP($A$1151,INDIRECT("notes_"&amp;LEFT($A$1151,3)),4,0))</f>
        <v>0</v>
      </c>
    </row>
    <row r="860" spans="1:3" x14ac:dyDescent="0.25">
      <c r="A860" s="787" t="s">
        <v>3461</v>
      </c>
      <c r="B860" s="789">
        <f>IF('RO3'!F$103="","",'RO3'!F$103)</f>
        <v>0</v>
      </c>
      <c r="C860" s="790">
        <f ca="1">IF(ISERROR(VLOOKUP($A$1152,INDIRECT("notes_"&amp;LEFT($A$1152,3)),4,0)),0,VLOOKUP($A$1152,INDIRECT("notes_"&amp;LEFT($A$1152,3)),4,0))</f>
        <v>0</v>
      </c>
    </row>
    <row r="861" spans="1:3" x14ac:dyDescent="0.25">
      <c r="A861" s="787" t="s">
        <v>3462</v>
      </c>
      <c r="B861" s="789">
        <f>IF('RO3'!F$104="","",'RO3'!F$104)</f>
        <v>0</v>
      </c>
      <c r="C861" s="790">
        <f ca="1">IF(ISERROR(VLOOKUP($A$1153,INDIRECT("notes_"&amp;LEFT($A$1153,3)),4,0)),0,VLOOKUP($A$1153,INDIRECT("notes_"&amp;LEFT($A$1153,3)),4,0))</f>
        <v>0</v>
      </c>
    </row>
    <row r="862" spans="1:3" x14ac:dyDescent="0.25">
      <c r="A862" s="787" t="s">
        <v>3463</v>
      </c>
      <c r="B862" s="789">
        <f>IF('RO3'!F$105="","",'RO3'!F$105)</f>
        <v>0</v>
      </c>
      <c r="C862" s="790">
        <f ca="1">IF(ISERROR(VLOOKUP($A$1154,INDIRECT("notes_"&amp;LEFT($A$1154,3)),4,0)),0,VLOOKUP($A$1154,INDIRECT("notes_"&amp;LEFT($A$1154,3)),4,0))</f>
        <v>0</v>
      </c>
    </row>
    <row r="863" spans="1:3" x14ac:dyDescent="0.25">
      <c r="A863" s="787" t="s">
        <v>3464</v>
      </c>
      <c r="B863" s="789">
        <f>IF('RO3'!F$106="","",'RO3'!F$106)</f>
        <v>0</v>
      </c>
      <c r="C863" s="790">
        <f ca="1">IF(ISERROR(VLOOKUP($A$1155,INDIRECT("notes_"&amp;LEFT($A$1155,3)),4,0)),0,VLOOKUP($A$1155,INDIRECT("notes_"&amp;LEFT($A$1155,3)),4,0))</f>
        <v>0</v>
      </c>
    </row>
    <row r="864" spans="1:3" x14ac:dyDescent="0.25">
      <c r="A864" s="787" t="s">
        <v>3465</v>
      </c>
      <c r="B864" s="789">
        <f>IF('RO3'!F$107="","",'RO3'!F$107)</f>
        <v>0</v>
      </c>
      <c r="C864" s="790">
        <f ca="1">IF(ISERROR(VLOOKUP($A$1156,INDIRECT("notes_"&amp;LEFT($A$1156,3)),4,0)),0,VLOOKUP($A$1156,INDIRECT("notes_"&amp;LEFT($A$1156,3)),4,0))</f>
        <v>0</v>
      </c>
    </row>
    <row r="865" spans="1:3" x14ac:dyDescent="0.25">
      <c r="A865" s="787" t="s">
        <v>3466</v>
      </c>
      <c r="B865" s="789">
        <f>IF('RO3'!F$108="","",'RO3'!F$108)</f>
        <v>0</v>
      </c>
      <c r="C865" s="790">
        <f ca="1">IF(ISERROR(VLOOKUP($A$1157,INDIRECT("notes_"&amp;LEFT($A$1157,3)),4,0)),0,VLOOKUP($A$1157,INDIRECT("notes_"&amp;LEFT($A$1157,3)),4,0))</f>
        <v>0</v>
      </c>
    </row>
    <row r="866" spans="1:3" x14ac:dyDescent="0.25">
      <c r="A866" s="787" t="s">
        <v>3467</v>
      </c>
      <c r="B866" s="789">
        <f>IF('RO3'!F$109="","",'RO3'!F$109)</f>
        <v>0</v>
      </c>
      <c r="C866" s="790">
        <f ca="1">IF(ISERROR(VLOOKUP($A$1158,INDIRECT("notes_"&amp;LEFT($A$1158,3)),4,0)),0,VLOOKUP($A$1158,INDIRECT("notes_"&amp;LEFT($A$1158,3)),4,0))</f>
        <v>0</v>
      </c>
    </row>
    <row r="867" spans="1:3" x14ac:dyDescent="0.25">
      <c r="A867" s="787" t="s">
        <v>3468</v>
      </c>
      <c r="B867" s="789">
        <f>IF('RO3'!F$110="","",'RO3'!F$110)</f>
        <v>0</v>
      </c>
      <c r="C867" s="790">
        <f ca="1">IF(ISERROR(VLOOKUP($A$1159,INDIRECT("notes_"&amp;LEFT($A$1159,3)),4,0)),0,VLOOKUP($A$1159,INDIRECT("notes_"&amp;LEFT($A$1159,3)),4,0))</f>
        <v>0</v>
      </c>
    </row>
    <row r="868" spans="1:3" x14ac:dyDescent="0.25">
      <c r="A868" s="787" t="s">
        <v>3469</v>
      </c>
      <c r="B868" s="789">
        <f>IF('RO3'!F$111="","",'RO3'!F$111)</f>
        <v>0</v>
      </c>
      <c r="C868" s="790">
        <f ca="1">IF(ISERROR(VLOOKUP($A$1160,INDIRECT("notes_"&amp;LEFT($A$1160,3)),4,0)),0,VLOOKUP($A$1160,INDIRECT("notes_"&amp;LEFT($A$1160,3)),4,0))</f>
        <v>0</v>
      </c>
    </row>
    <row r="869" spans="1:3" x14ac:dyDescent="0.25">
      <c r="A869" s="787" t="s">
        <v>3470</v>
      </c>
      <c r="B869" s="789">
        <f>IF('RO3'!F$112="","",'RO3'!F$112)</f>
        <v>0</v>
      </c>
      <c r="C869" s="790">
        <f ca="1">IF(ISERROR(VLOOKUP($A$1161,INDIRECT("notes_"&amp;LEFT($A$1161,3)),4,0)),0,VLOOKUP($A$1161,INDIRECT("notes_"&amp;LEFT($A$1161,3)),4,0))</f>
        <v>0</v>
      </c>
    </row>
    <row r="870" spans="1:3" x14ac:dyDescent="0.25">
      <c r="A870" s="787" t="s">
        <v>3471</v>
      </c>
      <c r="B870" s="789">
        <f>IF('RO3'!F$113="","",'RO3'!F$113)</f>
        <v>0</v>
      </c>
      <c r="C870" s="790">
        <f ca="1">IF(ISERROR(VLOOKUP($A$1162,INDIRECT("notes_"&amp;LEFT($A$1162,3)),4,0)),0,VLOOKUP($A$1162,INDIRECT("notes_"&amp;LEFT($A$1162,3)),4,0))</f>
        <v>0</v>
      </c>
    </row>
    <row r="871" spans="1:3" x14ac:dyDescent="0.25">
      <c r="A871" s="787" t="s">
        <v>3472</v>
      </c>
      <c r="B871" s="789">
        <f>IF('RO3'!F$114="","",'RO3'!F$114)</f>
        <v>0</v>
      </c>
      <c r="C871" s="791">
        <f ca="1">IF(ISERROR(VLOOKUP($A$1163,INDIRECT("notes_"&amp;LEFT($A$1163,3)),4,0)),0,VLOOKUP($A$1163,INDIRECT("notes_"&amp;LEFT($A$1163,3)),4,0))</f>
        <v>0</v>
      </c>
    </row>
    <row r="872" spans="1:3" x14ac:dyDescent="0.25">
      <c r="A872" s="787" t="s">
        <v>3473</v>
      </c>
      <c r="B872" s="789">
        <f>IF('RO3'!F$115="","",'RO3'!F$115)</f>
        <v>0</v>
      </c>
      <c r="C872" s="791">
        <f ca="1">IF(ISERROR(VLOOKUP($A$1164,INDIRECT("notes_"&amp;LEFT($A$1164,3)),4,0)),0,VLOOKUP($A$1164,INDIRECT("notes_"&amp;LEFT($A$1164,3)),4,0))</f>
        <v>0</v>
      </c>
    </row>
    <row r="873" spans="1:3" x14ac:dyDescent="0.25">
      <c r="A873" s="787" t="s">
        <v>3474</v>
      </c>
      <c r="B873" s="789">
        <f>IF('RO3'!F$117="","",'RO3'!F$117)</f>
        <v>0</v>
      </c>
      <c r="C873" s="790">
        <f ca="1">IF(ISERROR(VLOOKUP($A$1165,INDIRECT("notes_"&amp;LEFT($A$1165,3)),4,0)),0,VLOOKUP($A$1165,INDIRECT("notes_"&amp;LEFT($A$1165,3)),4,0))</f>
        <v>0</v>
      </c>
    </row>
    <row r="874" spans="1:3" x14ac:dyDescent="0.25">
      <c r="A874" s="787" t="s">
        <v>3475</v>
      </c>
      <c r="B874" s="789">
        <f>IF('RO3'!F$132="","",'RO3'!F$132)</f>
        <v>0</v>
      </c>
      <c r="C874" s="790">
        <f ca="1">IF(ISERROR(VLOOKUP($A$1170,INDIRECT("notes_"&amp;LEFT($A$1170,3)),4,0)),0,VLOOKUP($A$1170,INDIRECT("notes_"&amp;LEFT($A$1170,3)),4,0))</f>
        <v>0</v>
      </c>
    </row>
    <row r="875" spans="1:3" x14ac:dyDescent="0.25">
      <c r="A875" s="787" t="s">
        <v>3476</v>
      </c>
      <c r="B875" s="789">
        <f>IF('RO3'!F$134="","",'RO3'!F$134)</f>
        <v>0</v>
      </c>
      <c r="C875" s="790">
        <f ca="1">IF(ISERROR(VLOOKUP($A$1171,INDIRECT("notes_"&amp;LEFT($A$1171,3)),4,0)),0,VLOOKUP($A$1171,INDIRECT("notes_"&amp;LEFT($A$1171,3)),4,0))</f>
        <v>0</v>
      </c>
    </row>
    <row r="876" spans="1:3" x14ac:dyDescent="0.25">
      <c r="A876" s="787" t="s">
        <v>3477</v>
      </c>
      <c r="B876" s="789" t="str">
        <f>IF('RO3'!G$31="","",'RO3'!G$31)</f>
        <v/>
      </c>
      <c r="C876" s="790">
        <f ca="1">IF(ISERROR(VLOOKUP($A$1095,INDIRECT("notes_"&amp;LEFT($A$1095,3)),4,0)),0,VLOOKUP($A$1095,INDIRECT("notes_"&amp;LEFT($A$1095,3)),4,0))</f>
        <v>0</v>
      </c>
    </row>
    <row r="877" spans="1:3" x14ac:dyDescent="0.25">
      <c r="A877" s="787" t="s">
        <v>3478</v>
      </c>
      <c r="B877" s="789">
        <f>IF('RO3'!G$32="","",'RO3'!G$32)</f>
        <v>0</v>
      </c>
      <c r="C877" s="790">
        <f ca="1">IF(ISERROR(VLOOKUP($A$1096,INDIRECT("notes_"&amp;LEFT($A$1096,3)),4,0)),0,VLOOKUP($A$1096,INDIRECT("notes_"&amp;LEFT($A$1096,3)),4,0))</f>
        <v>0</v>
      </c>
    </row>
    <row r="878" spans="1:3" x14ac:dyDescent="0.25">
      <c r="A878" s="817" t="s">
        <v>3479</v>
      </c>
      <c r="B878" s="818" t="str">
        <f>IF('RO3'!G$33="","",'RO3'!G$33)</f>
        <v/>
      </c>
      <c r="C878" s="819">
        <f ca="1">IF(ISERROR(VLOOKUP($A$1097,INDIRECT("notes_"&amp;LEFT($A$1097,3)),4,0)),0,VLOOKUP($A$1097,INDIRECT("notes_"&amp;LEFT($A$1097,3)),4,0))</f>
        <v>0</v>
      </c>
    </row>
    <row r="879" spans="1:3" x14ac:dyDescent="0.25">
      <c r="A879" s="817" t="s">
        <v>3480</v>
      </c>
      <c r="B879" s="818" t="str">
        <f>IF('RO3'!G$34="","",'RO3'!G$34)</f>
        <v/>
      </c>
      <c r="C879" s="819">
        <f ca="1">IF(ISERROR(VLOOKUP($A$1098,INDIRECT("notes_"&amp;LEFT($A$1098,3)),4,0)),0,VLOOKUP($A$1098,INDIRECT("notes_"&amp;LEFT($A$1098,3)),4,0))</f>
        <v>0</v>
      </c>
    </row>
    <row r="880" spans="1:3" x14ac:dyDescent="0.25">
      <c r="A880" s="817" t="s">
        <v>3481</v>
      </c>
      <c r="B880" s="818" t="str">
        <f>IF('RO3'!G$35="","",'RO3'!G$35)</f>
        <v/>
      </c>
      <c r="C880" s="819">
        <f ca="1">IF(ISERROR(VLOOKUP($A$1099,INDIRECT("notes_"&amp;LEFT($A$1099,3)),4,0)),0,VLOOKUP($A$1099,INDIRECT("notes_"&amp;LEFT($A$1099,3)),4,0))</f>
        <v>0</v>
      </c>
    </row>
    <row r="881" spans="1:3" x14ac:dyDescent="0.25">
      <c r="A881" s="817" t="s">
        <v>3482</v>
      </c>
      <c r="B881" s="818" t="str">
        <f>IF('RO3'!G$36="","",'RO3'!G$36)</f>
        <v/>
      </c>
      <c r="C881" s="819">
        <f ca="1">IF(ISERROR(VLOOKUP($A$1100,INDIRECT("notes_"&amp;LEFT($A$1100,3)),4,0)),0,VLOOKUP($A$1100,INDIRECT("notes_"&amp;LEFT($A$1100,3)),4,0))</f>
        <v>0</v>
      </c>
    </row>
    <row r="882" spans="1:3" x14ac:dyDescent="0.25">
      <c r="A882" s="787" t="s">
        <v>3483</v>
      </c>
      <c r="B882" s="789" t="str">
        <f>IF('RO3'!G$37="","",'RO3'!G$37)</f>
        <v/>
      </c>
      <c r="C882" s="790">
        <f ca="1">IF(ISERROR(VLOOKUP($A$1101,INDIRECT("notes_"&amp;LEFT($A$1101,3)),4,0)),0,VLOOKUP($A$1101,INDIRECT("notes_"&amp;LEFT($A$1101,3)),4,0))</f>
        <v>0</v>
      </c>
    </row>
    <row r="883" spans="1:3" x14ac:dyDescent="0.25">
      <c r="A883" s="787" t="s">
        <v>3484</v>
      </c>
      <c r="B883" s="789" t="str">
        <f>IF('RO3'!G$38="","",'RO3'!G$38)</f>
        <v/>
      </c>
      <c r="C883" s="790">
        <f ca="1">IF(ISERROR(VLOOKUP($A$1102,INDIRECT("notes_"&amp;LEFT($A$1102,3)),4,0)),0,VLOOKUP($A$1102,INDIRECT("notes_"&amp;LEFT($A$1102,3)),4,0))</f>
        <v>0</v>
      </c>
    </row>
    <row r="884" spans="1:3" x14ac:dyDescent="0.25">
      <c r="A884" s="787" t="s">
        <v>3485</v>
      </c>
      <c r="B884" s="789" t="str">
        <f>IF('RO3'!G$39="","",'RO3'!G$39)</f>
        <v/>
      </c>
      <c r="C884" s="790">
        <f ca="1">IF(ISERROR(VLOOKUP($A$1103,INDIRECT("notes_"&amp;LEFT($A$1103,3)),4,0)),0,VLOOKUP($A$1103,INDIRECT("notes_"&amp;LEFT($A$1103,3)),4,0))</f>
        <v>0</v>
      </c>
    </row>
    <row r="885" spans="1:3" x14ac:dyDescent="0.25">
      <c r="A885" s="787" t="s">
        <v>3486</v>
      </c>
      <c r="B885" s="789" t="str">
        <f>IF('RO3'!G$40="","",'RO3'!G$40)</f>
        <v/>
      </c>
      <c r="C885" s="790">
        <f ca="1">IF(ISERROR(VLOOKUP($A$1104,INDIRECT("notes_"&amp;LEFT($A$1104,3)),4,0)),0,VLOOKUP($A$1104,INDIRECT("notes_"&amp;LEFT($A$1104,3)),4,0))</f>
        <v>0</v>
      </c>
    </row>
    <row r="886" spans="1:3" x14ac:dyDescent="0.25">
      <c r="A886" s="787" t="s">
        <v>3487</v>
      </c>
      <c r="B886" s="789" t="str">
        <f>IF('RO3'!G$41="","",'RO3'!G$41)</f>
        <v/>
      </c>
      <c r="C886" s="790">
        <f ca="1">IF(ISERROR(VLOOKUP($A$1105,INDIRECT("notes_"&amp;LEFT($A$1105,3)),4,0)),0,VLOOKUP($A$1105,INDIRECT("notes_"&amp;LEFT($A$1105,3)),4,0))</f>
        <v>0</v>
      </c>
    </row>
    <row r="887" spans="1:3" x14ac:dyDescent="0.25">
      <c r="A887" s="787" t="s">
        <v>3488</v>
      </c>
      <c r="B887" s="789" t="str">
        <f>IF('RO3'!G$42="","",'RO3'!G$42)</f>
        <v/>
      </c>
      <c r="C887" s="790">
        <f ca="1">IF(ISERROR(VLOOKUP($A$1106,INDIRECT("notes_"&amp;LEFT($A$1106,3)),4,0)),0,VLOOKUP($A$1106,INDIRECT("notes_"&amp;LEFT($A$1106,3)),4,0))</f>
        <v>0</v>
      </c>
    </row>
    <row r="888" spans="1:3" x14ac:dyDescent="0.25">
      <c r="A888" s="787" t="s">
        <v>3489</v>
      </c>
      <c r="B888" s="789">
        <f>IF('RO3'!G$44="","",'RO3'!G$44)</f>
        <v>0</v>
      </c>
      <c r="C888" s="790">
        <f ca="1">IF(ISERROR(VLOOKUP($A$1107,INDIRECT("notes_"&amp;LEFT($A$1107,3)),4,0)),0,VLOOKUP($A$1107,INDIRECT("notes_"&amp;LEFT($A$1107,3)),4,0))</f>
        <v>0</v>
      </c>
    </row>
    <row r="889" spans="1:3" x14ac:dyDescent="0.25">
      <c r="A889" s="787" t="s">
        <v>3490</v>
      </c>
      <c r="B889" s="789" t="str">
        <f>IF('RO3'!G$51="","",'RO3'!G$51)</f>
        <v/>
      </c>
      <c r="C889" s="790">
        <f ca="1">IF(ISERROR(VLOOKUP($A$1108,INDIRECT("notes_"&amp;LEFT($A$1108,3)),4,0)),0,VLOOKUP($A$1108,INDIRECT("notes_"&amp;LEFT($A$1108,3)),4,0))</f>
        <v>0</v>
      </c>
    </row>
    <row r="890" spans="1:3" x14ac:dyDescent="0.25">
      <c r="A890" s="787" t="s">
        <v>3491</v>
      </c>
      <c r="B890" s="789" t="str">
        <f>IF('RO3'!G$52="","",'RO3'!G$52)</f>
        <v/>
      </c>
      <c r="C890" s="790">
        <f ca="1">IF(ISERROR(VLOOKUP($A$1109,INDIRECT("notes_"&amp;LEFT($A$1109,3)),4,0)),0,VLOOKUP($A$1109,INDIRECT("notes_"&amp;LEFT($A$1109,3)),4,0))</f>
        <v>0</v>
      </c>
    </row>
    <row r="891" spans="1:3" x14ac:dyDescent="0.25">
      <c r="A891" s="787" t="s">
        <v>3492</v>
      </c>
      <c r="B891" s="789" t="str">
        <f>IF('RO3'!G$53="","",'RO3'!G$53)</f>
        <v/>
      </c>
      <c r="C891" s="790">
        <f ca="1">IF(ISERROR(VLOOKUP($A$1110,INDIRECT("notes_"&amp;LEFT($A$1110,3)),4,0)),0,VLOOKUP($A$1110,INDIRECT("notes_"&amp;LEFT($A$1110,3)),4,0))</f>
        <v>0</v>
      </c>
    </row>
    <row r="892" spans="1:3" x14ac:dyDescent="0.25">
      <c r="A892" s="787" t="s">
        <v>3493</v>
      </c>
      <c r="B892" s="789" t="str">
        <f>IF('RO3'!G$54="","",'RO3'!G$54)</f>
        <v/>
      </c>
      <c r="C892" s="790">
        <f ca="1">IF(ISERROR(VLOOKUP($A$1111,INDIRECT("notes_"&amp;LEFT($A$1111,3)),4,0)),0,VLOOKUP($A$1111,INDIRECT("notes_"&amp;LEFT($A$1111,3)),4,0))</f>
        <v>0</v>
      </c>
    </row>
    <row r="893" spans="1:3" x14ac:dyDescent="0.25">
      <c r="A893" s="787" t="s">
        <v>3494</v>
      </c>
      <c r="B893" s="789" t="str">
        <f>IF('RO3'!G$55="","",'RO3'!G$55)</f>
        <v/>
      </c>
      <c r="C893" s="790">
        <f ca="1">IF(ISERROR(VLOOKUP($A$1112,INDIRECT("notes_"&amp;LEFT($A$1112,3)),4,0)),0,VLOOKUP($A$1112,INDIRECT("notes_"&amp;LEFT($A$1112,3)),4,0))</f>
        <v>0</v>
      </c>
    </row>
    <row r="894" spans="1:3" x14ac:dyDescent="0.25">
      <c r="A894" s="787" t="s">
        <v>3495</v>
      </c>
      <c r="B894" s="789" t="str">
        <f>IF('RO3'!G$56="","",'RO3'!G$56)</f>
        <v/>
      </c>
      <c r="C894" s="790">
        <f ca="1">IF(ISERROR(VLOOKUP($A$1113,INDIRECT("notes_"&amp;LEFT($A$1113,3)),4,0)),0,VLOOKUP($A$1113,INDIRECT("notes_"&amp;LEFT($A$1113,3)),4,0))</f>
        <v>0</v>
      </c>
    </row>
    <row r="895" spans="1:3" x14ac:dyDescent="0.25">
      <c r="A895" s="787" t="s">
        <v>3496</v>
      </c>
      <c r="B895" s="789" t="str">
        <f>IF('RO3'!G$57="","",'RO3'!G$57)</f>
        <v/>
      </c>
      <c r="C895" s="790">
        <f ca="1">IF(ISERROR(VLOOKUP($A$1114,INDIRECT("notes_"&amp;LEFT($A$1114,3)),4,0)),0,VLOOKUP($A$1114,INDIRECT("notes_"&amp;LEFT($A$1114,3)),4,0))</f>
        <v>0</v>
      </c>
    </row>
    <row r="896" spans="1:3" x14ac:dyDescent="0.25">
      <c r="A896" s="787" t="s">
        <v>3497</v>
      </c>
      <c r="B896" s="789" t="str">
        <f>IF('RO3'!G$58="","",'RO3'!G$58)</f>
        <v/>
      </c>
      <c r="C896" s="790">
        <f ca="1">IF(ISERROR(VLOOKUP($A$1115,INDIRECT("notes_"&amp;LEFT($A$1115,3)),4,0)),0,VLOOKUP($A$1115,INDIRECT("notes_"&amp;LEFT($A$1115,3)),4,0))</f>
        <v>0</v>
      </c>
    </row>
    <row r="897" spans="1:3" x14ac:dyDescent="0.25">
      <c r="A897" s="787" t="s">
        <v>3498</v>
      </c>
      <c r="B897" s="789" t="str">
        <f>IF('RO3'!G$59="","",'RO3'!G$59)</f>
        <v/>
      </c>
      <c r="C897" s="790">
        <f ca="1">IF(ISERROR(VLOOKUP($A$1116,INDIRECT("notes_"&amp;LEFT($A$1116,3)),4,0)),0,VLOOKUP($A$1116,INDIRECT("notes_"&amp;LEFT($A$1116,3)),4,0))</f>
        <v>0</v>
      </c>
    </row>
    <row r="898" spans="1:3" x14ac:dyDescent="0.25">
      <c r="A898" s="787" t="s">
        <v>3499</v>
      </c>
      <c r="B898" s="789" t="str">
        <f>IF('RO3'!G$60="","",'RO3'!G$60)</f>
        <v/>
      </c>
      <c r="C898" s="790">
        <f ca="1">IF(ISERROR(VLOOKUP($A$1117,INDIRECT("notes_"&amp;LEFT($A$1117,3)),4,0)),0,VLOOKUP($A$1117,INDIRECT("notes_"&amp;LEFT($A$1117,3)),4,0))</f>
        <v>0</v>
      </c>
    </row>
    <row r="899" spans="1:3" x14ac:dyDescent="0.25">
      <c r="A899" s="787" t="s">
        <v>3500</v>
      </c>
      <c r="B899" s="789" t="str">
        <f>IF('RO3'!G$61="","",'RO3'!G$61)</f>
        <v/>
      </c>
      <c r="C899" s="790">
        <f ca="1">IF(ISERROR(VLOOKUP($A$1118,INDIRECT("notes_"&amp;LEFT($A$1118,3)),4,0)),0,VLOOKUP($A$1118,INDIRECT("notes_"&amp;LEFT($A$1118,3)),4,0))</f>
        <v>0</v>
      </c>
    </row>
    <row r="900" spans="1:3" x14ac:dyDescent="0.25">
      <c r="A900" s="787" t="s">
        <v>3501</v>
      </c>
      <c r="B900" s="789" t="str">
        <f>IF('RO3'!G$62="","",'RO3'!G$62)</f>
        <v/>
      </c>
      <c r="C900" s="790">
        <f ca="1">IF(ISERROR(VLOOKUP($A$1119,INDIRECT("notes_"&amp;LEFT($A$1119,3)),4,0)),0,VLOOKUP($A$1119,INDIRECT("notes_"&amp;LEFT($A$1119,3)),4,0))</f>
        <v>0</v>
      </c>
    </row>
    <row r="901" spans="1:3" x14ac:dyDescent="0.25">
      <c r="A901" s="787" t="s">
        <v>3502</v>
      </c>
      <c r="B901" s="789" t="str">
        <f>IF('RO3'!G$63="","",'RO3'!G$63)</f>
        <v/>
      </c>
      <c r="C901" s="790">
        <f ca="1">IF(ISERROR(VLOOKUP($A$1120,INDIRECT("notes_"&amp;LEFT($A$1120,3)),4,0)),0,VLOOKUP($A$1120,INDIRECT("notes_"&amp;LEFT($A$1120,3)),4,0))</f>
        <v>0</v>
      </c>
    </row>
    <row r="902" spans="1:3" x14ac:dyDescent="0.25">
      <c r="A902" s="787" t="s">
        <v>3503</v>
      </c>
      <c r="B902" s="789" t="str">
        <f>IF('RO3'!G$64="","",'RO3'!G$64)</f>
        <v/>
      </c>
      <c r="C902" s="790">
        <f ca="1">IF(ISERROR(VLOOKUP($A$1121,INDIRECT("notes_"&amp;LEFT($A$1121,3)),4,0)),0,VLOOKUP($A$1121,INDIRECT("notes_"&amp;LEFT($A$1121,3)),4,0))</f>
        <v>0</v>
      </c>
    </row>
    <row r="903" spans="1:3" x14ac:dyDescent="0.25">
      <c r="A903" s="787" t="s">
        <v>3504</v>
      </c>
      <c r="B903" s="789" t="str">
        <f>IF('RO3'!G$65="","",'RO3'!G$65)</f>
        <v/>
      </c>
      <c r="C903" s="790"/>
    </row>
    <row r="904" spans="1:3" x14ac:dyDescent="0.25">
      <c r="A904" s="787" t="s">
        <v>3505</v>
      </c>
      <c r="B904" s="789" t="str">
        <f>IF('RO3'!G$66="","",'RO3'!G$66)</f>
        <v/>
      </c>
      <c r="C904" s="790"/>
    </row>
    <row r="905" spans="1:3" x14ac:dyDescent="0.25">
      <c r="A905" s="787" t="s">
        <v>3506</v>
      </c>
      <c r="B905" s="789" t="str">
        <f>IF('RO3'!G$67="","",'RO3'!G$67)</f>
        <v/>
      </c>
      <c r="C905" s="790">
        <f ca="1">IF(ISERROR(VLOOKUP($A$1124,INDIRECT("notes_"&amp;LEFT($A$1124,3)),4,0)),0,VLOOKUP($A$1124,INDIRECT("notes_"&amp;LEFT($A$1124,3)),4,0))</f>
        <v>0</v>
      </c>
    </row>
    <row r="906" spans="1:3" x14ac:dyDescent="0.25">
      <c r="A906" s="787" t="s">
        <v>3507</v>
      </c>
      <c r="B906" s="789" t="str">
        <f>IF('RO3'!G$68="","",'RO3'!G$68)</f>
        <v/>
      </c>
      <c r="C906" s="790"/>
    </row>
    <row r="907" spans="1:3" x14ac:dyDescent="0.25">
      <c r="A907" s="787" t="s">
        <v>3508</v>
      </c>
      <c r="B907" s="789" t="str">
        <f>IF('RO3'!G$69="","",'RO3'!G$69)</f>
        <v/>
      </c>
      <c r="C907" s="790"/>
    </row>
    <row r="908" spans="1:3" x14ac:dyDescent="0.25">
      <c r="A908" s="787" t="s">
        <v>3509</v>
      </c>
      <c r="B908" s="789" t="str">
        <f>IF('RO3'!G$70="","",'RO3'!G$70)</f>
        <v/>
      </c>
      <c r="C908" s="790">
        <f ca="1">IF(ISERROR(VLOOKUP($A$1127,INDIRECT("notes_"&amp;LEFT($A$1127,3)),4,0)),0,VLOOKUP($A$1127,INDIRECT("notes_"&amp;LEFT($A$1127,3)),4,0))</f>
        <v>0</v>
      </c>
    </row>
    <row r="909" spans="1:3" x14ac:dyDescent="0.25">
      <c r="A909" s="787" t="s">
        <v>3510</v>
      </c>
      <c r="B909" s="789" t="str">
        <f>IF('RO3'!G$71="","",'RO3'!G$71)</f>
        <v/>
      </c>
      <c r="C909" s="790"/>
    </row>
    <row r="910" spans="1:3" x14ac:dyDescent="0.25">
      <c r="A910" s="787" t="s">
        <v>3511</v>
      </c>
      <c r="B910" s="789" t="str">
        <f>IF('RO3'!G$72="","",'RO3'!G$72)</f>
        <v/>
      </c>
      <c r="C910" s="790"/>
    </row>
    <row r="911" spans="1:3" x14ac:dyDescent="0.25">
      <c r="A911" s="787" t="s">
        <v>3512</v>
      </c>
      <c r="B911" s="789" t="str">
        <f>IF('RO3'!G$73="","",'RO3'!G$73)</f>
        <v/>
      </c>
      <c r="C911" s="790">
        <f ca="1">IF(ISERROR(VLOOKUP($A$1130,INDIRECT("notes_"&amp;LEFT($A$1130,3)),4,0)),0,VLOOKUP($A$1130,INDIRECT("notes_"&amp;LEFT($A$1130,3)),4,0))</f>
        <v>0</v>
      </c>
    </row>
    <row r="912" spans="1:3" x14ac:dyDescent="0.25">
      <c r="A912" s="787" t="s">
        <v>3513</v>
      </c>
      <c r="B912" s="789" t="str">
        <f>IF('RO3'!G$74="","",'RO3'!G$74)</f>
        <v/>
      </c>
      <c r="C912" s="790"/>
    </row>
    <row r="913" spans="1:3" x14ac:dyDescent="0.25">
      <c r="A913" s="787" t="s">
        <v>3514</v>
      </c>
      <c r="B913" s="789" t="str">
        <f>IF('RO3'!G$75="","",'RO3'!G$75)</f>
        <v/>
      </c>
      <c r="C913" s="790"/>
    </row>
    <row r="914" spans="1:3" x14ac:dyDescent="0.25">
      <c r="A914" s="787" t="s">
        <v>3515</v>
      </c>
      <c r="B914" s="789" t="str">
        <f>IF('RO3'!G$76="","",'RO3'!G$76)</f>
        <v/>
      </c>
      <c r="C914" s="790">
        <f ca="1">IF(ISERROR(VLOOKUP($A$1133,INDIRECT("notes_"&amp;LEFT($A$1133,3)),4,0)),0,VLOOKUP($A$1133,INDIRECT("notes_"&amp;LEFT($A$1133,3)),4,0))</f>
        <v>0</v>
      </c>
    </row>
    <row r="915" spans="1:3" x14ac:dyDescent="0.25">
      <c r="A915" s="787" t="s">
        <v>3516</v>
      </c>
      <c r="B915" s="789" t="str">
        <f>IF('RO3'!G$77="","",'RO3'!G$77)</f>
        <v/>
      </c>
      <c r="C915" s="790"/>
    </row>
    <row r="916" spans="1:3" x14ac:dyDescent="0.25">
      <c r="A916" s="787" t="s">
        <v>3517</v>
      </c>
      <c r="B916" s="789" t="str">
        <f>IF('RO3'!G$78="","",'RO3'!G$78)</f>
        <v/>
      </c>
      <c r="C916" s="790"/>
    </row>
    <row r="917" spans="1:3" x14ac:dyDescent="0.25">
      <c r="A917" s="787" t="s">
        <v>3518</v>
      </c>
      <c r="B917" s="789" t="str">
        <f>IF('RO3'!G$81="","",'RO3'!G$81)</f>
        <v/>
      </c>
      <c r="C917" s="791">
        <f ca="1">IF(ISERROR(VLOOKUP($A$1136,INDIRECT("notes_"&amp;LEFT($A$1136,3)),4,0)),0,VLOOKUP($A$1136,INDIRECT("notes_"&amp;LEFT($A$1136,3)),4,0))</f>
        <v>0</v>
      </c>
    </row>
    <row r="918" spans="1:3" x14ac:dyDescent="0.25">
      <c r="A918" s="787" t="s">
        <v>3519</v>
      </c>
      <c r="B918" s="789" t="str">
        <f>IF('RO3'!G$82="","",'RO3'!G$82)</f>
        <v/>
      </c>
      <c r="C918" s="791">
        <f ca="1">IF(ISERROR(VLOOKUP($A$1137,INDIRECT("notes_"&amp;LEFT($A$1137,3)),4,0)),0,VLOOKUP($A$1137,INDIRECT("notes_"&amp;LEFT($A$1137,3)),4,0))</f>
        <v>0</v>
      </c>
    </row>
    <row r="919" spans="1:3" x14ac:dyDescent="0.25">
      <c r="A919" s="787" t="s">
        <v>3520</v>
      </c>
      <c r="B919" s="789">
        <f>IF('RO3'!G$83="","",'RO3'!G$83)</f>
        <v>0</v>
      </c>
      <c r="C919" s="790">
        <f ca="1">IF(ISERROR(VLOOKUP($A$1138,INDIRECT("notes_"&amp;LEFT($A$1138,3)),4,0)),0,VLOOKUP($A$1138,INDIRECT("notes_"&amp;LEFT($A$1138,3)),4,0))</f>
        <v>0</v>
      </c>
    </row>
    <row r="920" spans="1:3" x14ac:dyDescent="0.25">
      <c r="A920" s="787" t="s">
        <v>3521</v>
      </c>
      <c r="B920" s="789" t="str">
        <f>IF('RO3'!G$90="","",'RO3'!G$90)</f>
        <v/>
      </c>
      <c r="C920" s="790">
        <f ca="1">IF(ISERROR(VLOOKUP($A$1139,INDIRECT("notes_"&amp;LEFT($A$1139,3)),4,0)),0,VLOOKUP($A$1139,INDIRECT("notes_"&amp;LEFT($A$1139,3)),4,0))</f>
        <v>0</v>
      </c>
    </row>
    <row r="921" spans="1:3" x14ac:dyDescent="0.25">
      <c r="A921" s="787" t="s">
        <v>3522</v>
      </c>
      <c r="B921" s="789" t="str">
        <f>IF('RO3'!G$91="","",'RO3'!G$91)</f>
        <v/>
      </c>
      <c r="C921" s="790">
        <f ca="1">IF(ISERROR(VLOOKUP($A$1140,INDIRECT("notes_"&amp;LEFT($A$1140,3)),4,0)),0,VLOOKUP($A$1140,INDIRECT("notes_"&amp;LEFT($A$1140,3)),4,0))</f>
        <v>0</v>
      </c>
    </row>
    <row r="922" spans="1:3" x14ac:dyDescent="0.25">
      <c r="A922" s="787" t="s">
        <v>3523</v>
      </c>
      <c r="B922" s="789" t="str">
        <f>IF('RO3'!G$92="","",'RO3'!G$92)</f>
        <v/>
      </c>
      <c r="C922" s="790">
        <f ca="1">IF(ISERROR(VLOOKUP($A$1141,INDIRECT("notes_"&amp;LEFT($A$1141,3)),4,0)),0,VLOOKUP($A$1141,INDIRECT("notes_"&amp;LEFT($A$1141,3)),4,0))</f>
        <v>0</v>
      </c>
    </row>
    <row r="923" spans="1:3" x14ac:dyDescent="0.25">
      <c r="A923" s="787" t="s">
        <v>3524</v>
      </c>
      <c r="B923" s="789" t="str">
        <f>IF('RO3'!G$93="","",'RO3'!G$93)</f>
        <v/>
      </c>
      <c r="C923" s="790">
        <f ca="1">IF(ISERROR(VLOOKUP($A$1142,INDIRECT("notes_"&amp;LEFT($A$1142,3)),4,0)),0,VLOOKUP($A$1142,INDIRECT("notes_"&amp;LEFT($A$1142,3)),4,0))</f>
        <v>0</v>
      </c>
    </row>
    <row r="924" spans="1:3" x14ac:dyDescent="0.25">
      <c r="A924" s="787" t="s">
        <v>3525</v>
      </c>
      <c r="B924" s="789" t="str">
        <f>IF('RO3'!G$94="","",'RO3'!G$94)</f>
        <v/>
      </c>
      <c r="C924" s="790">
        <f ca="1">IF(ISERROR(VLOOKUP($A$1143,INDIRECT("notes_"&amp;LEFT($A$1143,3)),4,0)),0,VLOOKUP($A$1143,INDIRECT("notes_"&amp;LEFT($A$1143,3)),4,0))</f>
        <v>0</v>
      </c>
    </row>
    <row r="925" spans="1:3" x14ac:dyDescent="0.25">
      <c r="A925" s="787" t="s">
        <v>3526</v>
      </c>
      <c r="B925" s="789" t="str">
        <f>IF('RO3'!G$95="","",'RO3'!G$95)</f>
        <v/>
      </c>
      <c r="C925" s="790">
        <f ca="1">IF(ISERROR(VLOOKUP($A$1144,INDIRECT("notes_"&amp;LEFT($A$1144,3)),4,0)),0,VLOOKUP($A$1144,INDIRECT("notes_"&amp;LEFT($A$1144,3)),4,0))</f>
        <v>0</v>
      </c>
    </row>
    <row r="926" spans="1:3" x14ac:dyDescent="0.25">
      <c r="A926" s="787" t="s">
        <v>3527</v>
      </c>
      <c r="B926" s="789" t="str">
        <f>IF('RO3'!G$96="","",'RO3'!G$96)</f>
        <v/>
      </c>
      <c r="C926" s="790">
        <f ca="1">IF(ISERROR(VLOOKUP($A$1145,INDIRECT("notes_"&amp;LEFT($A$1145,3)),4,0)),0,VLOOKUP($A$1145,INDIRECT("notes_"&amp;LEFT($A$1145,3)),4,0))</f>
        <v>0</v>
      </c>
    </row>
    <row r="927" spans="1:3" x14ac:dyDescent="0.25">
      <c r="A927" s="787" t="s">
        <v>3528</v>
      </c>
      <c r="B927" s="789" t="str">
        <f>IF('RO3'!G$97="","",'RO3'!G$97)</f>
        <v/>
      </c>
      <c r="C927" s="790">
        <f ca="1">IF(ISERROR(VLOOKUP($A$1146,INDIRECT("notes_"&amp;LEFT($A$1146,3)),4,0)),0,VLOOKUP($A$1146,INDIRECT("notes_"&amp;LEFT($A$1146,3)),4,0))</f>
        <v>0</v>
      </c>
    </row>
    <row r="928" spans="1:3" x14ac:dyDescent="0.25">
      <c r="A928" s="787" t="s">
        <v>3529</v>
      </c>
      <c r="B928" s="789" t="str">
        <f>IF('RO3'!G$98="","",'RO3'!G$98)</f>
        <v/>
      </c>
      <c r="C928" s="790">
        <f ca="1">IF(ISERROR(VLOOKUP($A$1147,INDIRECT("notes_"&amp;LEFT($A$1147,3)),4,0)),0,VLOOKUP($A$1147,INDIRECT("notes_"&amp;LEFT($A$1147,3)),4,0))</f>
        <v>0</v>
      </c>
    </row>
    <row r="929" spans="1:3" x14ac:dyDescent="0.25">
      <c r="A929" s="787" t="s">
        <v>3530</v>
      </c>
      <c r="B929" s="789" t="str">
        <f>IF('RO3'!G$99="","",'RO3'!G$99)</f>
        <v/>
      </c>
      <c r="C929" s="790">
        <f ca="1">IF(ISERROR(VLOOKUP($A$1148,INDIRECT("notes_"&amp;LEFT($A$1148,3)),4,0)),0,VLOOKUP($A$1148,INDIRECT("notes_"&amp;LEFT($A$1148,3)),4,0))</f>
        <v>0</v>
      </c>
    </row>
    <row r="930" spans="1:3" x14ac:dyDescent="0.25">
      <c r="A930" s="787" t="s">
        <v>3531</v>
      </c>
      <c r="B930" s="789" t="str">
        <f>IF('RO3'!G$100="","",'RO3'!G$100)</f>
        <v/>
      </c>
      <c r="C930" s="790">
        <f ca="1">IF(ISERROR(VLOOKUP($A$1149,INDIRECT("notes_"&amp;LEFT($A$1149,3)),4,0)),0,VLOOKUP($A$1149,INDIRECT("notes_"&amp;LEFT($A$1149,3)),4,0))</f>
        <v>0</v>
      </c>
    </row>
    <row r="931" spans="1:3" x14ac:dyDescent="0.25">
      <c r="A931" s="787" t="s">
        <v>3532</v>
      </c>
      <c r="B931" s="789" t="str">
        <f>IF('RO3'!G$101="","",'RO3'!G$101)</f>
        <v/>
      </c>
      <c r="C931" s="790">
        <f ca="1">IF(ISERROR(VLOOKUP($A$1150,INDIRECT("notes_"&amp;LEFT($A$1150,3)),4,0)),0,VLOOKUP($A$1150,INDIRECT("notes_"&amp;LEFT($A$1150,3)),4,0))</f>
        <v>0</v>
      </c>
    </row>
    <row r="932" spans="1:3" x14ac:dyDescent="0.25">
      <c r="A932" s="787" t="s">
        <v>3533</v>
      </c>
      <c r="B932" s="789" t="str">
        <f>IF('RO3'!G$102="","",'RO3'!G$102)</f>
        <v/>
      </c>
      <c r="C932" s="790">
        <f ca="1">IF(ISERROR(VLOOKUP($A$1151,INDIRECT("notes_"&amp;LEFT($A$1151,3)),4,0)),0,VLOOKUP($A$1151,INDIRECT("notes_"&amp;LEFT($A$1151,3)),4,0))</f>
        <v>0</v>
      </c>
    </row>
    <row r="933" spans="1:3" x14ac:dyDescent="0.25">
      <c r="A933" s="787" t="s">
        <v>3534</v>
      </c>
      <c r="B933" s="789" t="str">
        <f>IF('RO3'!G$103="","",'RO3'!G$103)</f>
        <v/>
      </c>
      <c r="C933" s="790">
        <f ca="1">IF(ISERROR(VLOOKUP($A$1152,INDIRECT("notes_"&amp;LEFT($A$1152,3)),4,0)),0,VLOOKUP($A$1152,INDIRECT("notes_"&amp;LEFT($A$1152,3)),4,0))</f>
        <v>0</v>
      </c>
    </row>
    <row r="934" spans="1:3" x14ac:dyDescent="0.25">
      <c r="A934" s="787" t="s">
        <v>3535</v>
      </c>
      <c r="B934" s="789" t="str">
        <f>IF('RO3'!G$104="","",'RO3'!G$104)</f>
        <v/>
      </c>
      <c r="C934" s="790">
        <f ca="1">IF(ISERROR(VLOOKUP($A$1153,INDIRECT("notes_"&amp;LEFT($A$1153,3)),4,0)),0,VLOOKUP($A$1153,INDIRECT("notes_"&amp;LEFT($A$1153,3)),4,0))</f>
        <v>0</v>
      </c>
    </row>
    <row r="935" spans="1:3" x14ac:dyDescent="0.25">
      <c r="A935" s="787" t="s">
        <v>3536</v>
      </c>
      <c r="B935" s="789" t="str">
        <f>IF('RO3'!G$105="","",'RO3'!G$105)</f>
        <v/>
      </c>
      <c r="C935" s="790">
        <f ca="1">IF(ISERROR(VLOOKUP($A$1154,INDIRECT("notes_"&amp;LEFT($A$1154,3)),4,0)),0,VLOOKUP($A$1154,INDIRECT("notes_"&amp;LEFT($A$1154,3)),4,0))</f>
        <v>0</v>
      </c>
    </row>
    <row r="936" spans="1:3" x14ac:dyDescent="0.25">
      <c r="A936" s="787" t="s">
        <v>3537</v>
      </c>
      <c r="B936" s="789" t="str">
        <f>IF('RO3'!G$106="","",'RO3'!G$106)</f>
        <v/>
      </c>
      <c r="C936" s="790">
        <f ca="1">IF(ISERROR(VLOOKUP($A$1155,INDIRECT("notes_"&amp;LEFT($A$1155,3)),4,0)),0,VLOOKUP($A$1155,INDIRECT("notes_"&amp;LEFT($A$1155,3)),4,0))</f>
        <v>0</v>
      </c>
    </row>
    <row r="937" spans="1:3" x14ac:dyDescent="0.25">
      <c r="A937" s="787" t="s">
        <v>3538</v>
      </c>
      <c r="B937" s="789" t="str">
        <f>IF('RO3'!G$107="","",'RO3'!G$107)</f>
        <v/>
      </c>
      <c r="C937" s="790">
        <f ca="1">IF(ISERROR(VLOOKUP($A$1156,INDIRECT("notes_"&amp;LEFT($A$1156,3)),4,0)),0,VLOOKUP($A$1156,INDIRECT("notes_"&amp;LEFT($A$1156,3)),4,0))</f>
        <v>0</v>
      </c>
    </row>
    <row r="938" spans="1:3" x14ac:dyDescent="0.25">
      <c r="A938" s="787" t="s">
        <v>3539</v>
      </c>
      <c r="B938" s="789" t="str">
        <f>IF('RO3'!G$108="","",'RO3'!G$108)</f>
        <v/>
      </c>
      <c r="C938" s="790">
        <f ca="1">IF(ISERROR(VLOOKUP($A$1157,INDIRECT("notes_"&amp;LEFT($A$1157,3)),4,0)),0,VLOOKUP($A$1157,INDIRECT("notes_"&amp;LEFT($A$1157,3)),4,0))</f>
        <v>0</v>
      </c>
    </row>
    <row r="939" spans="1:3" x14ac:dyDescent="0.25">
      <c r="A939" s="787" t="s">
        <v>3540</v>
      </c>
      <c r="B939" s="789" t="str">
        <f>IF('RO3'!G$109="","",'RO3'!G$109)</f>
        <v/>
      </c>
      <c r="C939" s="790">
        <f ca="1">IF(ISERROR(VLOOKUP($A$1158,INDIRECT("notes_"&amp;LEFT($A$1158,3)),4,0)),0,VLOOKUP($A$1158,INDIRECT("notes_"&amp;LEFT($A$1158,3)),4,0))</f>
        <v>0</v>
      </c>
    </row>
    <row r="940" spans="1:3" x14ac:dyDescent="0.25">
      <c r="A940" s="787" t="s">
        <v>3541</v>
      </c>
      <c r="B940" s="789" t="str">
        <f>IF('RO3'!G$110="","",'RO3'!G$110)</f>
        <v/>
      </c>
      <c r="C940" s="790">
        <f ca="1">IF(ISERROR(VLOOKUP($A$1159,INDIRECT("notes_"&amp;LEFT($A$1159,3)),4,0)),0,VLOOKUP($A$1159,INDIRECT("notes_"&amp;LEFT($A$1159,3)),4,0))</f>
        <v>0</v>
      </c>
    </row>
    <row r="941" spans="1:3" x14ac:dyDescent="0.25">
      <c r="A941" s="787" t="s">
        <v>3542</v>
      </c>
      <c r="B941" s="789" t="str">
        <f>IF('RO3'!G$111="","",'RO3'!G$111)</f>
        <v/>
      </c>
      <c r="C941" s="790">
        <f ca="1">IF(ISERROR(VLOOKUP($A$1160,INDIRECT("notes_"&amp;LEFT($A$1160,3)),4,0)),0,VLOOKUP($A$1160,INDIRECT("notes_"&amp;LEFT($A$1160,3)),4,0))</f>
        <v>0</v>
      </c>
    </row>
    <row r="942" spans="1:3" x14ac:dyDescent="0.25">
      <c r="A942" s="787" t="s">
        <v>3543</v>
      </c>
      <c r="B942" s="789" t="str">
        <f>IF('RO3'!G$112="","",'RO3'!G$112)</f>
        <v/>
      </c>
      <c r="C942" s="790">
        <f ca="1">IF(ISERROR(VLOOKUP($A$1161,INDIRECT("notes_"&amp;LEFT($A$1161,3)),4,0)),0,VLOOKUP($A$1161,INDIRECT("notes_"&amp;LEFT($A$1161,3)),4,0))</f>
        <v>0</v>
      </c>
    </row>
    <row r="943" spans="1:3" x14ac:dyDescent="0.25">
      <c r="A943" s="787" t="s">
        <v>3544</v>
      </c>
      <c r="B943" s="789" t="str">
        <f>IF('RO3'!G$113="","",'RO3'!G$113)</f>
        <v/>
      </c>
      <c r="C943" s="790">
        <f ca="1">IF(ISERROR(VLOOKUP($A$1162,INDIRECT("notes_"&amp;LEFT($A$1162,3)),4,0)),0,VLOOKUP($A$1162,INDIRECT("notes_"&amp;LEFT($A$1162,3)),4,0))</f>
        <v>0</v>
      </c>
    </row>
    <row r="944" spans="1:3" x14ac:dyDescent="0.25">
      <c r="A944" s="787" t="s">
        <v>3545</v>
      </c>
      <c r="B944" s="789" t="str">
        <f>IF('RO3'!G$114="","",'RO3'!G$114)</f>
        <v/>
      </c>
      <c r="C944" s="791">
        <f ca="1">IF(ISERROR(VLOOKUP($A$1163,INDIRECT("notes_"&amp;LEFT($A$1163,3)),4,0)),0,VLOOKUP($A$1163,INDIRECT("notes_"&amp;LEFT($A$1163,3)),4,0))</f>
        <v>0</v>
      </c>
    </row>
    <row r="945" spans="1:3" x14ac:dyDescent="0.25">
      <c r="A945" s="787" t="s">
        <v>3546</v>
      </c>
      <c r="B945" s="789" t="str">
        <f>IF('RO3'!G$115="","",'RO3'!G$115)</f>
        <v/>
      </c>
      <c r="C945" s="791">
        <f ca="1">IF(ISERROR(VLOOKUP($A$1164,INDIRECT("notes_"&amp;LEFT($A$1164,3)),4,0)),0,VLOOKUP($A$1164,INDIRECT("notes_"&amp;LEFT($A$1164,3)),4,0))</f>
        <v>0</v>
      </c>
    </row>
    <row r="946" spans="1:3" x14ac:dyDescent="0.25">
      <c r="A946" s="787" t="s">
        <v>3547</v>
      </c>
      <c r="B946" s="789">
        <f>IF('RO3'!G$117="","",'RO3'!G$117)</f>
        <v>0</v>
      </c>
      <c r="C946" s="790">
        <f ca="1">IF(ISERROR(VLOOKUP($A$1165,INDIRECT("notes_"&amp;LEFT($A$1165,3)),4,0)),0,VLOOKUP($A$1165,INDIRECT("notes_"&amp;LEFT($A$1165,3)),4,0))</f>
        <v>0</v>
      </c>
    </row>
    <row r="947" spans="1:3" x14ac:dyDescent="0.25">
      <c r="A947" s="787" t="s">
        <v>3548</v>
      </c>
      <c r="B947" s="789" t="str">
        <f>IF('RO3'!G$132="","",'RO3'!G$132)</f>
        <v/>
      </c>
      <c r="C947" s="790">
        <f ca="1">IF(ISERROR(VLOOKUP($A$1170,INDIRECT("notes_"&amp;LEFT($A$1170,3)),4,0)),0,VLOOKUP($A$1170,INDIRECT("notes_"&amp;LEFT($A$1170,3)),4,0))</f>
        <v>0</v>
      </c>
    </row>
    <row r="948" spans="1:3" x14ac:dyDescent="0.25">
      <c r="A948" s="787" t="s">
        <v>3549</v>
      </c>
      <c r="B948" s="789" t="str">
        <f>IF('RO3'!G$134="","",'RO3'!G$134)</f>
        <v/>
      </c>
      <c r="C948" s="790">
        <f ca="1">IF(ISERROR(VLOOKUP($A$1171,INDIRECT("notes_"&amp;LEFT($A$1171,3)),4,0)),0,VLOOKUP($A$1171,INDIRECT("notes_"&amp;LEFT($A$1171,3)),4,0))</f>
        <v>0</v>
      </c>
    </row>
    <row r="949" spans="1:3" x14ac:dyDescent="0.25">
      <c r="A949" s="787" t="s">
        <v>3550</v>
      </c>
      <c r="B949" s="789" t="str">
        <f>IF('RO3'!H$31="","",'RO3'!H$31)</f>
        <v/>
      </c>
      <c r="C949" s="790">
        <f ca="1">IF(ISERROR(VLOOKUP($A$1095,INDIRECT("notes_"&amp;LEFT($A$1095,3)),4,0)),0,VLOOKUP($A$1095,INDIRECT("notes_"&amp;LEFT($A$1095,3)),4,0))</f>
        <v>0</v>
      </c>
    </row>
    <row r="950" spans="1:3" x14ac:dyDescent="0.25">
      <c r="A950" s="787" t="s">
        <v>3551</v>
      </c>
      <c r="B950" s="789">
        <f>IF('RO3'!H$32="","",'RO3'!H$32)</f>
        <v>0</v>
      </c>
      <c r="C950" s="790">
        <f ca="1">IF(ISERROR(VLOOKUP($A$1096,INDIRECT("notes_"&amp;LEFT($A$1096,3)),4,0)),0,VLOOKUP($A$1096,INDIRECT("notes_"&amp;LEFT($A$1096,3)),4,0))</f>
        <v>0</v>
      </c>
    </row>
    <row r="951" spans="1:3" x14ac:dyDescent="0.25">
      <c r="A951" s="817" t="s">
        <v>3552</v>
      </c>
      <c r="B951" s="818" t="str">
        <f>IF('RO3'!H$33="","",'RO3'!H$33)</f>
        <v/>
      </c>
      <c r="C951" s="819">
        <f ca="1">IF(ISERROR(VLOOKUP($A$1097,INDIRECT("notes_"&amp;LEFT($A$1097,3)),4,0)),0,VLOOKUP($A$1097,INDIRECT("notes_"&amp;LEFT($A$1097,3)),4,0))</f>
        <v>0</v>
      </c>
    </row>
    <row r="952" spans="1:3" x14ac:dyDescent="0.25">
      <c r="A952" s="817" t="s">
        <v>3553</v>
      </c>
      <c r="B952" s="818" t="str">
        <f>IF('RO3'!H$34="","",'RO3'!H$34)</f>
        <v/>
      </c>
      <c r="C952" s="819">
        <f ca="1">IF(ISERROR(VLOOKUP($A$1098,INDIRECT("notes_"&amp;LEFT($A$1098,3)),4,0)),0,VLOOKUP($A$1098,INDIRECT("notes_"&amp;LEFT($A$1098,3)),4,0))</f>
        <v>0</v>
      </c>
    </row>
    <row r="953" spans="1:3" x14ac:dyDescent="0.25">
      <c r="A953" s="817" t="s">
        <v>3554</v>
      </c>
      <c r="B953" s="818" t="str">
        <f>IF('RO3'!H$35="","",'RO3'!H$35)</f>
        <v/>
      </c>
      <c r="C953" s="819">
        <f ca="1">IF(ISERROR(VLOOKUP($A$1099,INDIRECT("notes_"&amp;LEFT($A$1099,3)),4,0)),0,VLOOKUP($A$1099,INDIRECT("notes_"&amp;LEFT($A$1099,3)),4,0))</f>
        <v>0</v>
      </c>
    </row>
    <row r="954" spans="1:3" x14ac:dyDescent="0.25">
      <c r="A954" s="817" t="s">
        <v>3555</v>
      </c>
      <c r="B954" s="818" t="str">
        <f>IF('RO3'!H$36="","",'RO3'!H$36)</f>
        <v/>
      </c>
      <c r="C954" s="819">
        <f ca="1">IF(ISERROR(VLOOKUP($A$1100,INDIRECT("notes_"&amp;LEFT($A$1100,3)),4,0)),0,VLOOKUP($A$1100,INDIRECT("notes_"&amp;LEFT($A$1100,3)),4,0))</f>
        <v>0</v>
      </c>
    </row>
    <row r="955" spans="1:3" x14ac:dyDescent="0.25">
      <c r="A955" s="787" t="s">
        <v>3556</v>
      </c>
      <c r="B955" s="789" t="str">
        <f>IF('RO3'!H$37="","",'RO3'!H$37)</f>
        <v/>
      </c>
      <c r="C955" s="790">
        <f ca="1">IF(ISERROR(VLOOKUP($A$1101,INDIRECT("notes_"&amp;LEFT($A$1101,3)),4,0)),0,VLOOKUP($A$1101,INDIRECT("notes_"&amp;LEFT($A$1101,3)),4,0))</f>
        <v>0</v>
      </c>
    </row>
    <row r="956" spans="1:3" x14ac:dyDescent="0.25">
      <c r="A956" s="787" t="s">
        <v>3557</v>
      </c>
      <c r="B956" s="789" t="str">
        <f>IF('RO3'!H$38="","",'RO3'!H$38)</f>
        <v/>
      </c>
      <c r="C956" s="790">
        <f ca="1">IF(ISERROR(VLOOKUP($A$1102,INDIRECT("notes_"&amp;LEFT($A$1102,3)),4,0)),0,VLOOKUP($A$1102,INDIRECT("notes_"&amp;LEFT($A$1102,3)),4,0))</f>
        <v>0</v>
      </c>
    </row>
    <row r="957" spans="1:3" x14ac:dyDescent="0.25">
      <c r="A957" s="787" t="s">
        <v>3558</v>
      </c>
      <c r="B957" s="789" t="str">
        <f>IF('RO3'!H$39="","",'RO3'!H$39)</f>
        <v/>
      </c>
      <c r="C957" s="790">
        <f ca="1">IF(ISERROR(VLOOKUP($A$1103,INDIRECT("notes_"&amp;LEFT($A$1103,3)),4,0)),0,VLOOKUP($A$1103,INDIRECT("notes_"&amp;LEFT($A$1103,3)),4,0))</f>
        <v>0</v>
      </c>
    </row>
    <row r="958" spans="1:3" x14ac:dyDescent="0.25">
      <c r="A958" s="787" t="s">
        <v>3559</v>
      </c>
      <c r="B958" s="789" t="str">
        <f>IF('RO3'!H$40="","",'RO3'!H$40)</f>
        <v/>
      </c>
      <c r="C958" s="790">
        <f ca="1">IF(ISERROR(VLOOKUP($A$1104,INDIRECT("notes_"&amp;LEFT($A$1104,3)),4,0)),0,VLOOKUP($A$1104,INDIRECT("notes_"&amp;LEFT($A$1104,3)),4,0))</f>
        <v>0</v>
      </c>
    </row>
    <row r="959" spans="1:3" x14ac:dyDescent="0.25">
      <c r="A959" s="787" t="s">
        <v>3560</v>
      </c>
      <c r="B959" s="789" t="str">
        <f>IF('RO3'!H$41="","",'RO3'!H$41)</f>
        <v/>
      </c>
      <c r="C959" s="790">
        <f ca="1">IF(ISERROR(VLOOKUP($A$1105,INDIRECT("notes_"&amp;LEFT($A$1105,3)),4,0)),0,VLOOKUP($A$1105,INDIRECT("notes_"&amp;LEFT($A$1105,3)),4,0))</f>
        <v>0</v>
      </c>
    </row>
    <row r="960" spans="1:3" x14ac:dyDescent="0.25">
      <c r="A960" s="787" t="s">
        <v>3561</v>
      </c>
      <c r="B960" s="789" t="str">
        <f>IF('RO3'!H$42="","",'RO3'!H$42)</f>
        <v/>
      </c>
      <c r="C960" s="790">
        <f ca="1">IF(ISERROR(VLOOKUP($A$1106,INDIRECT("notes_"&amp;LEFT($A$1106,3)),4,0)),0,VLOOKUP($A$1106,INDIRECT("notes_"&amp;LEFT($A$1106,3)),4,0))</f>
        <v>0</v>
      </c>
    </row>
    <row r="961" spans="1:3" x14ac:dyDescent="0.25">
      <c r="A961" s="787" t="s">
        <v>3562</v>
      </c>
      <c r="B961" s="789">
        <f>IF('RO3'!H$44="","",'RO3'!H$44)</f>
        <v>0</v>
      </c>
      <c r="C961" s="790">
        <f ca="1">IF(ISERROR(VLOOKUP($A$1107,INDIRECT("notes_"&amp;LEFT($A$1107,3)),4,0)),0,VLOOKUP($A$1107,INDIRECT("notes_"&amp;LEFT($A$1107,3)),4,0))</f>
        <v>0</v>
      </c>
    </row>
    <row r="962" spans="1:3" x14ac:dyDescent="0.25">
      <c r="A962" s="787" t="s">
        <v>3563</v>
      </c>
      <c r="B962" s="789" t="str">
        <f>IF('RO3'!H$51="","",'RO3'!H$51)</f>
        <v/>
      </c>
      <c r="C962" s="790">
        <f ca="1">IF(ISERROR(VLOOKUP($A$1108,INDIRECT("notes_"&amp;LEFT($A$1108,3)),4,0)),0,VLOOKUP($A$1108,INDIRECT("notes_"&amp;LEFT($A$1108,3)),4,0))</f>
        <v>0</v>
      </c>
    </row>
    <row r="963" spans="1:3" x14ac:dyDescent="0.25">
      <c r="A963" s="787" t="s">
        <v>3564</v>
      </c>
      <c r="B963" s="789" t="str">
        <f>IF('RO3'!H$52="","",'RO3'!H$52)</f>
        <v/>
      </c>
      <c r="C963" s="790">
        <f ca="1">IF(ISERROR(VLOOKUP($A$1109,INDIRECT("notes_"&amp;LEFT($A$1109,3)),4,0)),0,VLOOKUP($A$1109,INDIRECT("notes_"&amp;LEFT($A$1109,3)),4,0))</f>
        <v>0</v>
      </c>
    </row>
    <row r="964" spans="1:3" x14ac:dyDescent="0.25">
      <c r="A964" s="787" t="s">
        <v>3565</v>
      </c>
      <c r="B964" s="789" t="str">
        <f>IF('RO3'!H$53="","",'RO3'!H$53)</f>
        <v/>
      </c>
      <c r="C964" s="790">
        <f ca="1">IF(ISERROR(VLOOKUP($A$1110,INDIRECT("notes_"&amp;LEFT($A$1110,3)),4,0)),0,VLOOKUP($A$1110,INDIRECT("notes_"&amp;LEFT($A$1110,3)),4,0))</f>
        <v>0</v>
      </c>
    </row>
    <row r="965" spans="1:3" x14ac:dyDescent="0.25">
      <c r="A965" s="787" t="s">
        <v>3566</v>
      </c>
      <c r="B965" s="789" t="str">
        <f>IF('RO3'!H$54="","",'RO3'!H$54)</f>
        <v/>
      </c>
      <c r="C965" s="790">
        <f ca="1">IF(ISERROR(VLOOKUP($A$1111,INDIRECT("notes_"&amp;LEFT($A$1111,3)),4,0)),0,VLOOKUP($A$1111,INDIRECT("notes_"&amp;LEFT($A$1111,3)),4,0))</f>
        <v>0</v>
      </c>
    </row>
    <row r="966" spans="1:3" x14ac:dyDescent="0.25">
      <c r="A966" s="787" t="s">
        <v>3567</v>
      </c>
      <c r="B966" s="789" t="str">
        <f>IF('RO3'!H$55="","",'RO3'!H$55)</f>
        <v/>
      </c>
      <c r="C966" s="790">
        <f ca="1">IF(ISERROR(VLOOKUP($A$1112,INDIRECT("notes_"&amp;LEFT($A$1112,3)),4,0)),0,VLOOKUP($A$1112,INDIRECT("notes_"&amp;LEFT($A$1112,3)),4,0))</f>
        <v>0</v>
      </c>
    </row>
    <row r="967" spans="1:3" x14ac:dyDescent="0.25">
      <c r="A967" s="787" t="s">
        <v>3568</v>
      </c>
      <c r="B967" s="789" t="str">
        <f>IF('RO3'!H$56="","",'RO3'!H$56)</f>
        <v/>
      </c>
      <c r="C967" s="790">
        <f ca="1">IF(ISERROR(VLOOKUP($A$1113,INDIRECT("notes_"&amp;LEFT($A$1113,3)),4,0)),0,VLOOKUP($A$1113,INDIRECT("notes_"&amp;LEFT($A$1113,3)),4,0))</f>
        <v>0</v>
      </c>
    </row>
    <row r="968" spans="1:3" x14ac:dyDescent="0.25">
      <c r="A968" s="787" t="s">
        <v>3569</v>
      </c>
      <c r="B968" s="789" t="str">
        <f>IF('RO3'!H$57="","",'RO3'!H$57)</f>
        <v/>
      </c>
      <c r="C968" s="790">
        <f ca="1">IF(ISERROR(VLOOKUP($A$1114,INDIRECT("notes_"&amp;LEFT($A$1114,3)),4,0)),0,VLOOKUP($A$1114,INDIRECT("notes_"&amp;LEFT($A$1114,3)),4,0))</f>
        <v>0</v>
      </c>
    </row>
    <row r="969" spans="1:3" x14ac:dyDescent="0.25">
      <c r="A969" s="787" t="s">
        <v>3570</v>
      </c>
      <c r="B969" s="789" t="str">
        <f>IF('RO3'!H$58="","",'RO3'!H$58)</f>
        <v/>
      </c>
      <c r="C969" s="790">
        <f ca="1">IF(ISERROR(VLOOKUP($A$1115,INDIRECT("notes_"&amp;LEFT($A$1115,3)),4,0)),0,VLOOKUP($A$1115,INDIRECT("notes_"&amp;LEFT($A$1115,3)),4,0))</f>
        <v>0</v>
      </c>
    </row>
    <row r="970" spans="1:3" x14ac:dyDescent="0.25">
      <c r="A970" s="787" t="s">
        <v>3571</v>
      </c>
      <c r="B970" s="789" t="str">
        <f>IF('RO3'!H$59="","",'RO3'!H$59)</f>
        <v/>
      </c>
      <c r="C970" s="790">
        <f ca="1">IF(ISERROR(VLOOKUP($A$1116,INDIRECT("notes_"&amp;LEFT($A$1116,3)),4,0)),0,VLOOKUP($A$1116,INDIRECT("notes_"&amp;LEFT($A$1116,3)),4,0))</f>
        <v>0</v>
      </c>
    </row>
    <row r="971" spans="1:3" x14ac:dyDescent="0.25">
      <c r="A971" s="787" t="s">
        <v>3572</v>
      </c>
      <c r="B971" s="789" t="str">
        <f>IF('RO3'!H$60="","",'RO3'!H$60)</f>
        <v/>
      </c>
      <c r="C971" s="790">
        <f ca="1">IF(ISERROR(VLOOKUP($A$1117,INDIRECT("notes_"&amp;LEFT($A$1117,3)),4,0)),0,VLOOKUP($A$1117,INDIRECT("notes_"&amp;LEFT($A$1117,3)),4,0))</f>
        <v>0</v>
      </c>
    </row>
    <row r="972" spans="1:3" x14ac:dyDescent="0.25">
      <c r="A972" s="787" t="s">
        <v>3573</v>
      </c>
      <c r="B972" s="789" t="str">
        <f>IF('RO3'!H$61="","",'RO3'!H$61)</f>
        <v/>
      </c>
      <c r="C972" s="790">
        <f ca="1">IF(ISERROR(VLOOKUP($A$1118,INDIRECT("notes_"&amp;LEFT($A$1118,3)),4,0)),0,VLOOKUP($A$1118,INDIRECT("notes_"&amp;LEFT($A$1118,3)),4,0))</f>
        <v>0</v>
      </c>
    </row>
    <row r="973" spans="1:3" x14ac:dyDescent="0.25">
      <c r="A973" s="787" t="s">
        <v>3574</v>
      </c>
      <c r="B973" s="789" t="str">
        <f>IF('RO3'!H$62="","",'RO3'!H$62)</f>
        <v/>
      </c>
      <c r="C973" s="790">
        <f ca="1">IF(ISERROR(VLOOKUP($A$1119,INDIRECT("notes_"&amp;LEFT($A$1119,3)),4,0)),0,VLOOKUP($A$1119,INDIRECT("notes_"&amp;LEFT($A$1119,3)),4,0))</f>
        <v>0</v>
      </c>
    </row>
    <row r="974" spans="1:3" x14ac:dyDescent="0.25">
      <c r="A974" s="787" t="s">
        <v>3575</v>
      </c>
      <c r="B974" s="789" t="str">
        <f>IF('RO3'!H$63="","",'RO3'!H$63)</f>
        <v/>
      </c>
      <c r="C974" s="790">
        <f ca="1">IF(ISERROR(VLOOKUP($A$1120,INDIRECT("notes_"&amp;LEFT($A$1120,3)),4,0)),0,VLOOKUP($A$1120,INDIRECT("notes_"&amp;LEFT($A$1120,3)),4,0))</f>
        <v>0</v>
      </c>
    </row>
    <row r="975" spans="1:3" x14ac:dyDescent="0.25">
      <c r="A975" s="787" t="s">
        <v>3576</v>
      </c>
      <c r="B975" s="789" t="str">
        <f>IF('RO3'!H$64="","",'RO3'!H$64)</f>
        <v/>
      </c>
      <c r="C975" s="790">
        <f ca="1">IF(ISERROR(VLOOKUP($A$1121,INDIRECT("notes_"&amp;LEFT($A$1121,3)),4,0)),0,VLOOKUP($A$1121,INDIRECT("notes_"&amp;LEFT($A$1121,3)),4,0))</f>
        <v>0</v>
      </c>
    </row>
    <row r="976" spans="1:3" x14ac:dyDescent="0.25">
      <c r="A976" s="787" t="s">
        <v>3577</v>
      </c>
      <c r="B976" s="789" t="str">
        <f>IF('RO3'!H$65="","",'RO3'!H$65)</f>
        <v/>
      </c>
      <c r="C976" s="790"/>
    </row>
    <row r="977" spans="1:3" x14ac:dyDescent="0.25">
      <c r="A977" s="787" t="s">
        <v>3578</v>
      </c>
      <c r="B977" s="789" t="str">
        <f>IF('RO3'!H$66="","",'RO3'!H$66)</f>
        <v/>
      </c>
      <c r="C977" s="790"/>
    </row>
    <row r="978" spans="1:3" x14ac:dyDescent="0.25">
      <c r="A978" s="787" t="s">
        <v>3579</v>
      </c>
      <c r="B978" s="789" t="str">
        <f>IF('RO3'!H$67="","",'RO3'!H$67)</f>
        <v/>
      </c>
      <c r="C978" s="790">
        <f ca="1">IF(ISERROR(VLOOKUP($A$1124,INDIRECT("notes_"&amp;LEFT($A$1124,3)),4,0)),0,VLOOKUP($A$1124,INDIRECT("notes_"&amp;LEFT($A$1124,3)),4,0))</f>
        <v>0</v>
      </c>
    </row>
    <row r="979" spans="1:3" x14ac:dyDescent="0.25">
      <c r="A979" s="787" t="s">
        <v>3580</v>
      </c>
      <c r="B979" s="789" t="str">
        <f>IF('RO3'!H$68="","",'RO3'!H$68)</f>
        <v/>
      </c>
      <c r="C979" s="790"/>
    </row>
    <row r="980" spans="1:3" x14ac:dyDescent="0.25">
      <c r="A980" s="787" t="s">
        <v>3581</v>
      </c>
      <c r="B980" s="789" t="str">
        <f>IF('RO3'!H$69="","",'RO3'!H$69)</f>
        <v/>
      </c>
      <c r="C980" s="790"/>
    </row>
    <row r="981" spans="1:3" x14ac:dyDescent="0.25">
      <c r="A981" s="787" t="s">
        <v>3582</v>
      </c>
      <c r="B981" s="789" t="str">
        <f>IF('RO3'!H$70="","",'RO3'!H$70)</f>
        <v/>
      </c>
      <c r="C981" s="790">
        <f ca="1">IF(ISERROR(VLOOKUP($A$1127,INDIRECT("notes_"&amp;LEFT($A$1127,3)),4,0)),0,VLOOKUP($A$1127,INDIRECT("notes_"&amp;LEFT($A$1127,3)),4,0))</f>
        <v>0</v>
      </c>
    </row>
    <row r="982" spans="1:3" x14ac:dyDescent="0.25">
      <c r="A982" s="787" t="s">
        <v>3583</v>
      </c>
      <c r="B982" s="789" t="str">
        <f>IF('RO3'!H$71="","",'RO3'!H$71)</f>
        <v/>
      </c>
      <c r="C982" s="790"/>
    </row>
    <row r="983" spans="1:3" x14ac:dyDescent="0.25">
      <c r="A983" s="787" t="s">
        <v>3584</v>
      </c>
      <c r="B983" s="789" t="str">
        <f>IF('RO3'!H$72="","",'RO3'!H$72)</f>
        <v/>
      </c>
      <c r="C983" s="790"/>
    </row>
    <row r="984" spans="1:3" x14ac:dyDescent="0.25">
      <c r="A984" s="787" t="s">
        <v>3585</v>
      </c>
      <c r="B984" s="789" t="str">
        <f>IF('RO3'!H$73="","",'RO3'!H$73)</f>
        <v/>
      </c>
      <c r="C984" s="790">
        <f ca="1">IF(ISERROR(VLOOKUP($A$1130,INDIRECT("notes_"&amp;LEFT($A$1130,3)),4,0)),0,VLOOKUP($A$1130,INDIRECT("notes_"&amp;LEFT($A$1130,3)),4,0))</f>
        <v>0</v>
      </c>
    </row>
    <row r="985" spans="1:3" x14ac:dyDescent="0.25">
      <c r="A985" s="787" t="s">
        <v>3586</v>
      </c>
      <c r="B985" s="789" t="str">
        <f>IF('RO3'!H$74="","",'RO3'!H$74)</f>
        <v/>
      </c>
      <c r="C985" s="790"/>
    </row>
    <row r="986" spans="1:3" x14ac:dyDescent="0.25">
      <c r="A986" s="787" t="s">
        <v>3587</v>
      </c>
      <c r="B986" s="789" t="str">
        <f>IF('RO3'!H$75="","",'RO3'!H$75)</f>
        <v/>
      </c>
      <c r="C986" s="790"/>
    </row>
    <row r="987" spans="1:3" x14ac:dyDescent="0.25">
      <c r="A987" s="787" t="s">
        <v>3588</v>
      </c>
      <c r="B987" s="789" t="str">
        <f>IF('RO3'!H$76="","",'RO3'!H$76)</f>
        <v/>
      </c>
      <c r="C987" s="790">
        <f ca="1">IF(ISERROR(VLOOKUP($A$1133,INDIRECT("notes_"&amp;LEFT($A$1133,3)),4,0)),0,VLOOKUP($A$1133,INDIRECT("notes_"&amp;LEFT($A$1133,3)),4,0))</f>
        <v>0</v>
      </c>
    </row>
    <row r="988" spans="1:3" x14ac:dyDescent="0.25">
      <c r="A988" s="787" t="s">
        <v>3589</v>
      </c>
      <c r="B988" s="789" t="str">
        <f>IF('RO3'!H$77="","",'RO3'!H$77)</f>
        <v/>
      </c>
      <c r="C988" s="790"/>
    </row>
    <row r="989" spans="1:3" x14ac:dyDescent="0.25">
      <c r="A989" s="787" t="s">
        <v>3590</v>
      </c>
      <c r="B989" s="789" t="str">
        <f>IF('RO3'!H$78="","",'RO3'!H$78)</f>
        <v/>
      </c>
      <c r="C989" s="790"/>
    </row>
    <row r="990" spans="1:3" x14ac:dyDescent="0.25">
      <c r="A990" s="787" t="s">
        <v>3591</v>
      </c>
      <c r="B990" s="789" t="str">
        <f>IF('RO3'!H$81="","",'RO3'!H$81)</f>
        <v/>
      </c>
      <c r="C990" s="791">
        <f ca="1">IF(ISERROR(VLOOKUP($A$1136,INDIRECT("notes_"&amp;LEFT($A$1136,3)),4,0)),0,VLOOKUP($A$1136,INDIRECT("notes_"&amp;LEFT($A$1136,3)),4,0))</f>
        <v>0</v>
      </c>
    </row>
    <row r="991" spans="1:3" x14ac:dyDescent="0.25">
      <c r="A991" s="787" t="s">
        <v>3592</v>
      </c>
      <c r="B991" s="789" t="str">
        <f>IF('RO3'!H$82="","",'RO3'!H$82)</f>
        <v/>
      </c>
      <c r="C991" s="791">
        <f ca="1">IF(ISERROR(VLOOKUP($A$1137,INDIRECT("notes_"&amp;LEFT($A$1137,3)),4,0)),0,VLOOKUP($A$1137,INDIRECT("notes_"&amp;LEFT($A$1137,3)),4,0))</f>
        <v>0</v>
      </c>
    </row>
    <row r="992" spans="1:3" x14ac:dyDescent="0.25">
      <c r="A992" s="787" t="s">
        <v>3593</v>
      </c>
      <c r="B992" s="789">
        <f>IF('RO3'!H$83="","",'RO3'!H$83)</f>
        <v>0</v>
      </c>
      <c r="C992" s="790">
        <f ca="1">IF(ISERROR(VLOOKUP($A$1138,INDIRECT("notes_"&amp;LEFT($A$1138,3)),4,0)),0,VLOOKUP($A$1138,INDIRECT("notes_"&amp;LEFT($A$1138,3)),4,0))</f>
        <v>0</v>
      </c>
    </row>
    <row r="993" spans="1:3" x14ac:dyDescent="0.25">
      <c r="A993" s="787" t="s">
        <v>3594</v>
      </c>
      <c r="B993" s="789" t="str">
        <f>IF('RO3'!H90="","",'RO3'!H90)</f>
        <v/>
      </c>
      <c r="C993" s="790">
        <f ca="1">IF(ISERROR(VLOOKUP($A$1139,INDIRECT("notes_"&amp;LEFT($A$1139,3)),4,0)),0,VLOOKUP($A$1139,INDIRECT("notes_"&amp;LEFT($A$1139,3)),4,0))</f>
        <v>0</v>
      </c>
    </row>
    <row r="994" spans="1:3" x14ac:dyDescent="0.25">
      <c r="A994" s="787" t="s">
        <v>3595</v>
      </c>
      <c r="B994" s="789" t="str">
        <f>IF('RO3'!H91="","",'RO3'!H91)</f>
        <v/>
      </c>
      <c r="C994" s="790">
        <f ca="1">IF(ISERROR(VLOOKUP($A$1140,INDIRECT("notes_"&amp;LEFT($A$1140,3)),4,0)),0,VLOOKUP($A$1140,INDIRECT("notes_"&amp;LEFT($A$1140,3)),4,0))</f>
        <v>0</v>
      </c>
    </row>
    <row r="995" spans="1:3" x14ac:dyDescent="0.25">
      <c r="A995" s="787" t="s">
        <v>3596</v>
      </c>
      <c r="B995" s="789" t="str">
        <f>IF('RO3'!H92="","",'RO3'!H92)</f>
        <v/>
      </c>
      <c r="C995" s="790">
        <f ca="1">IF(ISERROR(VLOOKUP($A$1141,INDIRECT("notes_"&amp;LEFT($A$1141,3)),4,0)),0,VLOOKUP($A$1141,INDIRECT("notes_"&amp;LEFT($A$1141,3)),4,0))</f>
        <v>0</v>
      </c>
    </row>
    <row r="996" spans="1:3" x14ac:dyDescent="0.25">
      <c r="A996" s="787" t="s">
        <v>3597</v>
      </c>
      <c r="B996" s="789" t="str">
        <f>IF('RO3'!H93="","",'RO3'!H93)</f>
        <v/>
      </c>
      <c r="C996" s="790">
        <f ca="1">IF(ISERROR(VLOOKUP($A$1142,INDIRECT("notes_"&amp;LEFT($A$1142,3)),4,0)),0,VLOOKUP($A$1142,INDIRECT("notes_"&amp;LEFT($A$1142,3)),4,0))</f>
        <v>0</v>
      </c>
    </row>
    <row r="997" spans="1:3" x14ac:dyDescent="0.25">
      <c r="A997" s="787" t="s">
        <v>3598</v>
      </c>
      <c r="B997" s="789" t="str">
        <f>IF('RO3'!H94="","",'RO3'!H94)</f>
        <v/>
      </c>
      <c r="C997" s="790">
        <f ca="1">IF(ISERROR(VLOOKUP($A$1143,INDIRECT("notes_"&amp;LEFT($A$1143,3)),4,0)),0,VLOOKUP($A$1143,INDIRECT("notes_"&amp;LEFT($A$1143,3)),4,0))</f>
        <v>0</v>
      </c>
    </row>
    <row r="998" spans="1:3" x14ac:dyDescent="0.25">
      <c r="A998" s="787" t="s">
        <v>3599</v>
      </c>
      <c r="B998" s="789" t="str">
        <f>IF('RO3'!H95="","",'RO3'!H95)</f>
        <v/>
      </c>
      <c r="C998" s="790">
        <f ca="1">IF(ISERROR(VLOOKUP($A$1144,INDIRECT("notes_"&amp;LEFT($A$1144,3)),4,0)),0,VLOOKUP($A$1144,INDIRECT("notes_"&amp;LEFT($A$1144,3)),4,0))</f>
        <v>0</v>
      </c>
    </row>
    <row r="999" spans="1:3" x14ac:dyDescent="0.25">
      <c r="A999" s="787" t="s">
        <v>3600</v>
      </c>
      <c r="B999" s="789" t="str">
        <f>IF('RO3'!H96="","",'RO3'!H96)</f>
        <v/>
      </c>
      <c r="C999" s="790">
        <f ca="1">IF(ISERROR(VLOOKUP($A$1145,INDIRECT("notes_"&amp;LEFT($A$1145,3)),4,0)),0,VLOOKUP($A$1145,INDIRECT("notes_"&amp;LEFT($A$1145,3)),4,0))</f>
        <v>0</v>
      </c>
    </row>
    <row r="1000" spans="1:3" x14ac:dyDescent="0.25">
      <c r="A1000" s="787" t="s">
        <v>3601</v>
      </c>
      <c r="B1000" s="789" t="str">
        <f>IF('RO3'!H97="","",'RO3'!H97)</f>
        <v/>
      </c>
      <c r="C1000" s="790">
        <f ca="1">IF(ISERROR(VLOOKUP($A$1146,INDIRECT("notes_"&amp;LEFT($A$1146,3)),4,0)),0,VLOOKUP($A$1146,INDIRECT("notes_"&amp;LEFT($A$1146,3)),4,0))</f>
        <v>0</v>
      </c>
    </row>
    <row r="1001" spans="1:3" x14ac:dyDescent="0.25">
      <c r="A1001" s="787" t="s">
        <v>3602</v>
      </c>
      <c r="B1001" s="789" t="str">
        <f>IF('RO3'!H98="","",'RO3'!H98)</f>
        <v/>
      </c>
      <c r="C1001" s="790">
        <f ca="1">IF(ISERROR(VLOOKUP($A$1147,INDIRECT("notes_"&amp;LEFT($A$1147,3)),4,0)),0,VLOOKUP($A$1147,INDIRECT("notes_"&amp;LEFT($A$1147,3)),4,0))</f>
        <v>0</v>
      </c>
    </row>
    <row r="1002" spans="1:3" x14ac:dyDescent="0.25">
      <c r="A1002" s="787" t="s">
        <v>3603</v>
      </c>
      <c r="B1002" s="789" t="str">
        <f>IF('RO3'!H99="","",'RO3'!H99)</f>
        <v/>
      </c>
      <c r="C1002" s="790">
        <f ca="1">IF(ISERROR(VLOOKUP($A$1148,INDIRECT("notes_"&amp;LEFT($A$1148,3)),4,0)),0,VLOOKUP($A$1148,INDIRECT("notes_"&amp;LEFT($A$1148,3)),4,0))</f>
        <v>0</v>
      </c>
    </row>
    <row r="1003" spans="1:3" x14ac:dyDescent="0.25">
      <c r="A1003" s="787" t="s">
        <v>3604</v>
      </c>
      <c r="B1003" s="789" t="str">
        <f>IF('RO3'!H100="","",'RO3'!H100)</f>
        <v/>
      </c>
      <c r="C1003" s="790">
        <f ca="1">IF(ISERROR(VLOOKUP($A$1149,INDIRECT("notes_"&amp;LEFT($A$1149,3)),4,0)),0,VLOOKUP($A$1149,INDIRECT("notes_"&amp;LEFT($A$1149,3)),4,0))</f>
        <v>0</v>
      </c>
    </row>
    <row r="1004" spans="1:3" x14ac:dyDescent="0.25">
      <c r="A1004" s="787" t="s">
        <v>3605</v>
      </c>
      <c r="B1004" s="789" t="str">
        <f>IF('RO3'!H101="","",'RO3'!H101)</f>
        <v/>
      </c>
      <c r="C1004" s="790">
        <f ca="1">IF(ISERROR(VLOOKUP($A$1150,INDIRECT("notes_"&amp;LEFT($A$1150,3)),4,0)),0,VLOOKUP($A$1150,INDIRECT("notes_"&amp;LEFT($A$1150,3)),4,0))</f>
        <v>0</v>
      </c>
    </row>
    <row r="1005" spans="1:3" x14ac:dyDescent="0.25">
      <c r="A1005" s="787" t="s">
        <v>3606</v>
      </c>
      <c r="B1005" s="789" t="str">
        <f>IF('RO3'!H102="","",'RO3'!H102)</f>
        <v/>
      </c>
      <c r="C1005" s="790">
        <f ca="1">IF(ISERROR(VLOOKUP($A$1151,INDIRECT("notes_"&amp;LEFT($A$1151,3)),4,0)),0,VLOOKUP($A$1151,INDIRECT("notes_"&amp;LEFT($A$1151,3)),4,0))</f>
        <v>0</v>
      </c>
    </row>
    <row r="1006" spans="1:3" x14ac:dyDescent="0.25">
      <c r="A1006" s="787" t="s">
        <v>3607</v>
      </c>
      <c r="B1006" s="789" t="str">
        <f>IF('RO3'!H103="","",'RO3'!H103)</f>
        <v/>
      </c>
      <c r="C1006" s="790">
        <f ca="1">IF(ISERROR(VLOOKUP($A$1152,INDIRECT("notes_"&amp;LEFT($A$1152,3)),4,0)),0,VLOOKUP($A$1152,INDIRECT("notes_"&amp;LEFT($A$1152,3)),4,0))</f>
        <v>0</v>
      </c>
    </row>
    <row r="1007" spans="1:3" x14ac:dyDescent="0.25">
      <c r="A1007" s="787" t="s">
        <v>3608</v>
      </c>
      <c r="B1007" s="789" t="str">
        <f>IF('RO3'!H104="","",'RO3'!H104)</f>
        <v/>
      </c>
      <c r="C1007" s="790">
        <f ca="1">IF(ISERROR(VLOOKUP($A$1153,INDIRECT("notes_"&amp;LEFT($A$1153,3)),4,0)),0,VLOOKUP($A$1153,INDIRECT("notes_"&amp;LEFT($A$1153,3)),4,0))</f>
        <v>0</v>
      </c>
    </row>
    <row r="1008" spans="1:3" x14ac:dyDescent="0.25">
      <c r="A1008" s="787" t="s">
        <v>3609</v>
      </c>
      <c r="B1008" s="789" t="str">
        <f>IF('RO3'!H105="","",'RO3'!H105)</f>
        <v/>
      </c>
      <c r="C1008" s="790">
        <f ca="1">IF(ISERROR(VLOOKUP($A$1154,INDIRECT("notes_"&amp;LEFT($A$1154,3)),4,0)),0,VLOOKUP($A$1154,INDIRECT("notes_"&amp;LEFT($A$1154,3)),4,0))</f>
        <v>0</v>
      </c>
    </row>
    <row r="1009" spans="1:3" x14ac:dyDescent="0.25">
      <c r="A1009" s="787" t="s">
        <v>3610</v>
      </c>
      <c r="B1009" s="789" t="str">
        <f>IF('RO3'!H106="","",'RO3'!H106)</f>
        <v/>
      </c>
      <c r="C1009" s="790">
        <f ca="1">IF(ISERROR(VLOOKUP($A$1155,INDIRECT("notes_"&amp;LEFT($A$1155,3)),4,0)),0,VLOOKUP($A$1155,INDIRECT("notes_"&amp;LEFT($A$1155,3)),4,0))</f>
        <v>0</v>
      </c>
    </row>
    <row r="1010" spans="1:3" x14ac:dyDescent="0.25">
      <c r="A1010" s="787" t="s">
        <v>3611</v>
      </c>
      <c r="B1010" s="789" t="str">
        <f>IF('RO3'!H107="","",'RO3'!H107)</f>
        <v/>
      </c>
      <c r="C1010" s="790">
        <f ca="1">IF(ISERROR(VLOOKUP($A$1156,INDIRECT("notes_"&amp;LEFT($A$1156,3)),4,0)),0,VLOOKUP($A$1156,INDIRECT("notes_"&amp;LEFT($A$1156,3)),4,0))</f>
        <v>0</v>
      </c>
    </row>
    <row r="1011" spans="1:3" x14ac:dyDescent="0.25">
      <c r="A1011" s="787" t="s">
        <v>3612</v>
      </c>
      <c r="B1011" s="789" t="str">
        <f>IF('RO3'!H108="","",'RO3'!H108)</f>
        <v/>
      </c>
      <c r="C1011" s="790">
        <f ca="1">IF(ISERROR(VLOOKUP($A$1157,INDIRECT("notes_"&amp;LEFT($A$1157,3)),4,0)),0,VLOOKUP($A$1157,INDIRECT("notes_"&amp;LEFT($A$1157,3)),4,0))</f>
        <v>0</v>
      </c>
    </row>
    <row r="1012" spans="1:3" x14ac:dyDescent="0.25">
      <c r="A1012" s="787" t="s">
        <v>3613</v>
      </c>
      <c r="B1012" s="789" t="str">
        <f>IF('RO3'!H109="","",'RO3'!H109)</f>
        <v/>
      </c>
      <c r="C1012" s="790">
        <f ca="1">IF(ISERROR(VLOOKUP($A$1158,INDIRECT("notes_"&amp;LEFT($A$1158,3)),4,0)),0,VLOOKUP($A$1158,INDIRECT("notes_"&amp;LEFT($A$1158,3)),4,0))</f>
        <v>0</v>
      </c>
    </row>
    <row r="1013" spans="1:3" x14ac:dyDescent="0.25">
      <c r="A1013" s="787" t="s">
        <v>3614</v>
      </c>
      <c r="B1013" s="789" t="str">
        <f>IF('RO3'!H110="","",'RO3'!H110)</f>
        <v/>
      </c>
      <c r="C1013" s="790">
        <f ca="1">IF(ISERROR(VLOOKUP($A$1159,INDIRECT("notes_"&amp;LEFT($A$1159,3)),4,0)),0,VLOOKUP($A$1159,INDIRECT("notes_"&amp;LEFT($A$1159,3)),4,0))</f>
        <v>0</v>
      </c>
    </row>
    <row r="1014" spans="1:3" x14ac:dyDescent="0.25">
      <c r="A1014" s="787" t="s">
        <v>3615</v>
      </c>
      <c r="B1014" s="789" t="str">
        <f>IF('RO3'!H111="","",'RO3'!H111)</f>
        <v/>
      </c>
      <c r="C1014" s="790">
        <f ca="1">IF(ISERROR(VLOOKUP($A$1160,INDIRECT("notes_"&amp;LEFT($A$1160,3)),4,0)),0,VLOOKUP($A$1160,INDIRECT("notes_"&amp;LEFT($A$1160,3)),4,0))</f>
        <v>0</v>
      </c>
    </row>
    <row r="1015" spans="1:3" x14ac:dyDescent="0.25">
      <c r="A1015" s="787" t="s">
        <v>3616</v>
      </c>
      <c r="B1015" s="789" t="str">
        <f>IF('RO3'!H112="","",'RO3'!H112)</f>
        <v/>
      </c>
      <c r="C1015" s="790">
        <f ca="1">IF(ISERROR(VLOOKUP($A$1161,INDIRECT("notes_"&amp;LEFT($A$1161,3)),4,0)),0,VLOOKUP($A$1161,INDIRECT("notes_"&amp;LEFT($A$1161,3)),4,0))</f>
        <v>0</v>
      </c>
    </row>
    <row r="1016" spans="1:3" x14ac:dyDescent="0.25">
      <c r="A1016" s="787" t="s">
        <v>3617</v>
      </c>
      <c r="B1016" s="789" t="str">
        <f>IF('RO3'!H113="","",'RO3'!H113)</f>
        <v/>
      </c>
      <c r="C1016" s="791">
        <f ca="1">IF(ISERROR(VLOOKUP($A$1162,INDIRECT("notes_"&amp;LEFT($A$1162,3)),4,0)),0,VLOOKUP($A$1162,INDIRECT("notes_"&amp;LEFT($A$1162,3)),4,0))</f>
        <v>0</v>
      </c>
    </row>
    <row r="1017" spans="1:3" x14ac:dyDescent="0.25">
      <c r="A1017" s="787" t="s">
        <v>3618</v>
      </c>
      <c r="B1017" s="789" t="str">
        <f>IF('RO3'!H114="","",'RO3'!H114)</f>
        <v/>
      </c>
      <c r="C1017" s="791">
        <f ca="1">IF(ISERROR(VLOOKUP($A$1163,INDIRECT("notes_"&amp;LEFT($A$1163,3)),4,0)),0,VLOOKUP($A$1163,INDIRECT("notes_"&amp;LEFT($A$1163,3)),4,0))</f>
        <v>0</v>
      </c>
    </row>
    <row r="1018" spans="1:3" x14ac:dyDescent="0.25">
      <c r="A1018" s="787" t="s">
        <v>3619</v>
      </c>
      <c r="B1018" s="789" t="str">
        <f>IF('RO3'!H115="","",'RO3'!H115)</f>
        <v/>
      </c>
      <c r="C1018" s="791">
        <f ca="1">IF(ISERROR(VLOOKUP($A$1164,INDIRECT("notes_"&amp;LEFT($A$1164,3)),4,0)),0,VLOOKUP($A$1164,INDIRECT("notes_"&amp;LEFT($A$1164,3)),4,0))</f>
        <v>0</v>
      </c>
    </row>
    <row r="1019" spans="1:3" x14ac:dyDescent="0.25">
      <c r="A1019" s="787" t="s">
        <v>3620</v>
      </c>
      <c r="B1019" s="789">
        <f>IF('RO3'!H$117="","",'RO3'!H$117)</f>
        <v>0</v>
      </c>
      <c r="C1019" s="790">
        <f ca="1">IF(ISERROR(VLOOKUP($A$1165,INDIRECT("notes_"&amp;LEFT($A$1165,3)),4,0)),0,VLOOKUP($A$1165,INDIRECT("notes_"&amp;LEFT($A$1165,3)),4,0))</f>
        <v>0</v>
      </c>
    </row>
    <row r="1020" spans="1:3" x14ac:dyDescent="0.25">
      <c r="A1020" s="787" t="s">
        <v>3621</v>
      </c>
      <c r="B1020" s="789" t="str">
        <f>IF('RO3'!H$132="","",'RO3'!H$132)</f>
        <v/>
      </c>
      <c r="C1020" s="790">
        <f ca="1">IF(ISERROR(VLOOKUP($A$1170,INDIRECT("notes_"&amp;LEFT($A$1170,3)),4,0)),0,VLOOKUP($A$1170,INDIRECT("notes_"&amp;LEFT($A$1170,3)),4,0))</f>
        <v>0</v>
      </c>
    </row>
    <row r="1021" spans="1:3" x14ac:dyDescent="0.25">
      <c r="A1021" s="787" t="s">
        <v>3622</v>
      </c>
      <c r="B1021" s="789" t="str">
        <f>IF('RO3'!H$134="","",'RO3'!H$134)</f>
        <v/>
      </c>
      <c r="C1021" s="790">
        <f ca="1">IF(ISERROR(VLOOKUP($A$1171,INDIRECT("notes_"&amp;LEFT($A$1171,3)),4,0)),0,VLOOKUP($A$1171,INDIRECT("notes_"&amp;LEFT($A$1171,3)),4,0))</f>
        <v>0</v>
      </c>
    </row>
    <row r="1022" spans="1:3" x14ac:dyDescent="0.25">
      <c r="A1022" s="787" t="s">
        <v>3623</v>
      </c>
      <c r="B1022" s="789">
        <f>IF('RO3'!I$31="","",'RO3'!I$31)</f>
        <v>0</v>
      </c>
      <c r="C1022" s="790">
        <f ca="1">IF(ISERROR(VLOOKUP($A$1095,INDIRECT("notes_"&amp;LEFT($A$1095,3)),4,0)),0,VLOOKUP($A$1095,INDIRECT("notes_"&amp;LEFT($A$1095,3)),4,0))</f>
        <v>0</v>
      </c>
    </row>
    <row r="1023" spans="1:3" x14ac:dyDescent="0.25">
      <c r="A1023" s="787" t="s">
        <v>3624</v>
      </c>
      <c r="B1023" s="789">
        <f>IF('RO3'!I$32="","",'RO3'!I$32)</f>
        <v>0</v>
      </c>
      <c r="C1023" s="790">
        <f ca="1">IF(ISERROR(VLOOKUP($A$1096,INDIRECT("notes_"&amp;LEFT($A$1096,3)),4,0)),0,VLOOKUP($A$1096,INDIRECT("notes_"&amp;LEFT($A$1096,3)),4,0))</f>
        <v>0</v>
      </c>
    </row>
    <row r="1024" spans="1:3" x14ac:dyDescent="0.25">
      <c r="A1024" s="817" t="s">
        <v>3625</v>
      </c>
      <c r="B1024" s="818">
        <f>IF('RO3'!I$33="","",'RO3'!I$33)</f>
        <v>0</v>
      </c>
      <c r="C1024" s="819">
        <f ca="1">IF(ISERROR(VLOOKUP($A$1097,INDIRECT("notes_"&amp;LEFT($A$1097,3)),4,0)),0,VLOOKUP($A$1097,INDIRECT("notes_"&amp;LEFT($A$1097,3)),4,0))</f>
        <v>0</v>
      </c>
    </row>
    <row r="1025" spans="1:3" x14ac:dyDescent="0.25">
      <c r="A1025" s="817" t="s">
        <v>3626</v>
      </c>
      <c r="B1025" s="818">
        <f>IF('RO3'!I$34="","",'RO3'!I$34)</f>
        <v>0</v>
      </c>
      <c r="C1025" s="819">
        <f ca="1">IF(ISERROR(VLOOKUP($A$1098,INDIRECT("notes_"&amp;LEFT($A$1098,3)),4,0)),0,VLOOKUP($A$1098,INDIRECT("notes_"&amp;LEFT($A$1098,3)),4,0))</f>
        <v>0</v>
      </c>
    </row>
    <row r="1026" spans="1:3" x14ac:dyDescent="0.25">
      <c r="A1026" s="817" t="s">
        <v>3627</v>
      </c>
      <c r="B1026" s="818">
        <f>IF('RO3'!I$35="","",'RO3'!I$35)</f>
        <v>0</v>
      </c>
      <c r="C1026" s="819">
        <f ca="1">IF(ISERROR(VLOOKUP($A$1099,INDIRECT("notes_"&amp;LEFT($A$1099,3)),4,0)),0,VLOOKUP($A$1099,INDIRECT("notes_"&amp;LEFT($A$1099,3)),4,0))</f>
        <v>0</v>
      </c>
    </row>
    <row r="1027" spans="1:3" x14ac:dyDescent="0.25">
      <c r="A1027" s="817" t="s">
        <v>3628</v>
      </c>
      <c r="B1027" s="818">
        <f>IF('RO3'!I$36="","",'RO3'!I$36)</f>
        <v>0</v>
      </c>
      <c r="C1027" s="819">
        <f ca="1">IF(ISERROR(VLOOKUP($A$1100,INDIRECT("notes_"&amp;LEFT($A$1100,3)),4,0)),0,VLOOKUP($A$1100,INDIRECT("notes_"&amp;LEFT($A$1100,3)),4,0))</f>
        <v>0</v>
      </c>
    </row>
    <row r="1028" spans="1:3" x14ac:dyDescent="0.25">
      <c r="A1028" s="787" t="s">
        <v>3629</v>
      </c>
      <c r="B1028" s="789">
        <f>IF('RO3'!I$37="","",'RO3'!I$37)</f>
        <v>0</v>
      </c>
      <c r="C1028" s="790">
        <f ca="1">IF(ISERROR(VLOOKUP($A$1101,INDIRECT("notes_"&amp;LEFT($A$1101,3)),4,0)),0,VLOOKUP($A$1101,INDIRECT("notes_"&amp;LEFT($A$1101,3)),4,0))</f>
        <v>0</v>
      </c>
    </row>
    <row r="1029" spans="1:3" x14ac:dyDescent="0.25">
      <c r="A1029" s="787" t="s">
        <v>3630</v>
      </c>
      <c r="B1029" s="789">
        <f>IF('RO3'!I$38="","",'RO3'!I$38)</f>
        <v>0</v>
      </c>
      <c r="C1029" s="790">
        <f ca="1">IF(ISERROR(VLOOKUP($A$1102,INDIRECT("notes_"&amp;LEFT($A$1102,3)),4,0)),0,VLOOKUP($A$1102,INDIRECT("notes_"&amp;LEFT($A$1102,3)),4,0))</f>
        <v>0</v>
      </c>
    </row>
    <row r="1030" spans="1:3" x14ac:dyDescent="0.25">
      <c r="A1030" s="787" t="s">
        <v>3631</v>
      </c>
      <c r="B1030" s="789">
        <f>IF('RO3'!I$39="","",'RO3'!I$39)</f>
        <v>0</v>
      </c>
      <c r="C1030" s="790">
        <f ca="1">IF(ISERROR(VLOOKUP($A$1103,INDIRECT("notes_"&amp;LEFT($A$1103,3)),4,0)),0,VLOOKUP($A$1103,INDIRECT("notes_"&amp;LEFT($A$1103,3)),4,0))</f>
        <v>0</v>
      </c>
    </row>
    <row r="1031" spans="1:3" x14ac:dyDescent="0.25">
      <c r="A1031" s="787" t="s">
        <v>3632</v>
      </c>
      <c r="B1031" s="789">
        <f>IF('RO3'!I$40="","",'RO3'!I$40)</f>
        <v>0</v>
      </c>
      <c r="C1031" s="790">
        <f ca="1">IF(ISERROR(VLOOKUP($A$1104,INDIRECT("notes_"&amp;LEFT($A$1104,3)),4,0)),0,VLOOKUP($A$1104,INDIRECT("notes_"&amp;LEFT($A$1104,3)),4,0))</f>
        <v>0</v>
      </c>
    </row>
    <row r="1032" spans="1:3" x14ac:dyDescent="0.25">
      <c r="A1032" s="787" t="s">
        <v>3633</v>
      </c>
      <c r="B1032" s="789">
        <f>IF('RO3'!I$41="","",'RO3'!I$41)</f>
        <v>0</v>
      </c>
      <c r="C1032" s="790">
        <f ca="1">IF(ISERROR(VLOOKUP($A$1105,INDIRECT("notes_"&amp;LEFT($A$1105,3)),4,0)),0,VLOOKUP($A$1105,INDIRECT("notes_"&amp;LEFT($A$1105,3)),4,0))</f>
        <v>0</v>
      </c>
    </row>
    <row r="1033" spans="1:3" x14ac:dyDescent="0.25">
      <c r="A1033" s="787" t="s">
        <v>3634</v>
      </c>
      <c r="B1033" s="789">
        <f>IF('RO3'!I$42="","",'RO3'!I$42)</f>
        <v>0</v>
      </c>
      <c r="C1033" s="790">
        <f ca="1">IF(ISERROR(VLOOKUP($A$1106,INDIRECT("notes_"&amp;LEFT($A$1106,3)),4,0)),0,VLOOKUP($A$1106,INDIRECT("notes_"&amp;LEFT($A$1106,3)),4,0))</f>
        <v>0</v>
      </c>
    </row>
    <row r="1034" spans="1:3" x14ac:dyDescent="0.25">
      <c r="A1034" s="787" t="s">
        <v>3635</v>
      </c>
      <c r="B1034" s="789">
        <f>IF('RO3'!I$44="","",'RO3'!I$44)</f>
        <v>0</v>
      </c>
      <c r="C1034" s="790">
        <f ca="1">IF(ISERROR(VLOOKUP($A$1107,INDIRECT("notes_"&amp;LEFT($A$1107,3)),4,0)),0,VLOOKUP($A$1107,INDIRECT("notes_"&amp;LEFT($A$1107,3)),4,0))</f>
        <v>0</v>
      </c>
    </row>
    <row r="1035" spans="1:3" x14ac:dyDescent="0.25">
      <c r="A1035" s="787" t="s">
        <v>3636</v>
      </c>
      <c r="B1035" s="789">
        <f>IF('RO3'!I$51="","",'RO3'!I$51)</f>
        <v>0</v>
      </c>
      <c r="C1035" s="790">
        <f ca="1">IF(ISERROR(VLOOKUP($A$1108,INDIRECT("notes_"&amp;LEFT($A$1108,3)),4,0)),0,VLOOKUP($A$1108,INDIRECT("notes_"&amp;LEFT($A$1108,3)),4,0))</f>
        <v>0</v>
      </c>
    </row>
    <row r="1036" spans="1:3" x14ac:dyDescent="0.25">
      <c r="A1036" s="787" t="s">
        <v>3637</v>
      </c>
      <c r="B1036" s="789">
        <f>IF('RO3'!I$52="","",'RO3'!I$52)</f>
        <v>0</v>
      </c>
      <c r="C1036" s="790">
        <f ca="1">IF(ISERROR(VLOOKUP($A$1109,INDIRECT("notes_"&amp;LEFT($A$1109,3)),4,0)),0,VLOOKUP($A$1109,INDIRECT("notes_"&amp;LEFT($A$1109,3)),4,0))</f>
        <v>0</v>
      </c>
    </row>
    <row r="1037" spans="1:3" x14ac:dyDescent="0.25">
      <c r="A1037" s="787" t="s">
        <v>3638</v>
      </c>
      <c r="B1037" s="789">
        <f>IF('RO3'!I$53="","",'RO3'!I$53)</f>
        <v>0</v>
      </c>
      <c r="C1037" s="790">
        <f ca="1">IF(ISERROR(VLOOKUP($A$1110,INDIRECT("notes_"&amp;LEFT($A$1110,3)),4,0)),0,VLOOKUP($A$1110,INDIRECT("notes_"&amp;LEFT($A$1110,3)),4,0))</f>
        <v>0</v>
      </c>
    </row>
    <row r="1038" spans="1:3" x14ac:dyDescent="0.25">
      <c r="A1038" s="787" t="s">
        <v>3639</v>
      </c>
      <c r="B1038" s="789">
        <f>IF('RO3'!I$54="","",'RO3'!I$54)</f>
        <v>0</v>
      </c>
      <c r="C1038" s="790">
        <f ca="1">IF(ISERROR(VLOOKUP($A$1111,INDIRECT("notes_"&amp;LEFT($A$1111,3)),4,0)),0,VLOOKUP($A$1111,INDIRECT("notes_"&amp;LEFT($A$1111,3)),4,0))</f>
        <v>0</v>
      </c>
    </row>
    <row r="1039" spans="1:3" x14ac:dyDescent="0.25">
      <c r="A1039" s="787" t="s">
        <v>3640</v>
      </c>
      <c r="B1039" s="789">
        <f>IF('RO3'!I$55="","",'RO3'!I$55)</f>
        <v>0</v>
      </c>
      <c r="C1039" s="790">
        <f ca="1">IF(ISERROR(VLOOKUP($A$1112,INDIRECT("notes_"&amp;LEFT($A$1112,3)),4,0)),0,VLOOKUP($A$1112,INDIRECT("notes_"&amp;LEFT($A$1112,3)),4,0))</f>
        <v>0</v>
      </c>
    </row>
    <row r="1040" spans="1:3" x14ac:dyDescent="0.25">
      <c r="A1040" s="787" t="s">
        <v>3641</v>
      </c>
      <c r="B1040" s="789">
        <f>IF('RO3'!I$56="","",'RO3'!I$56)</f>
        <v>0</v>
      </c>
      <c r="C1040" s="790">
        <f ca="1">IF(ISERROR(VLOOKUP($A$1113,INDIRECT("notes_"&amp;LEFT($A$1113,3)),4,0)),0,VLOOKUP($A$1113,INDIRECT("notes_"&amp;LEFT($A$1113,3)),4,0))</f>
        <v>0</v>
      </c>
    </row>
    <row r="1041" spans="1:3" x14ac:dyDescent="0.25">
      <c r="A1041" s="787" t="s">
        <v>3642</v>
      </c>
      <c r="B1041" s="789">
        <f>IF('RO3'!I$57="","",'RO3'!I$57)</f>
        <v>0</v>
      </c>
      <c r="C1041" s="790">
        <f ca="1">IF(ISERROR(VLOOKUP($A$1114,INDIRECT("notes_"&amp;LEFT($A$1114,3)),4,0)),0,VLOOKUP($A$1114,INDIRECT("notes_"&amp;LEFT($A$1114,3)),4,0))</f>
        <v>0</v>
      </c>
    </row>
    <row r="1042" spans="1:3" x14ac:dyDescent="0.25">
      <c r="A1042" s="787" t="s">
        <v>3643</v>
      </c>
      <c r="B1042" s="789">
        <f>IF('RO3'!I$58="","",'RO3'!I$58)</f>
        <v>0</v>
      </c>
      <c r="C1042" s="790">
        <f ca="1">IF(ISERROR(VLOOKUP($A$1115,INDIRECT("notes_"&amp;LEFT($A$1115,3)),4,0)),0,VLOOKUP($A$1115,INDIRECT("notes_"&amp;LEFT($A$1115,3)),4,0))</f>
        <v>0</v>
      </c>
    </row>
    <row r="1043" spans="1:3" x14ac:dyDescent="0.25">
      <c r="A1043" s="787" t="s">
        <v>3644</v>
      </c>
      <c r="B1043" s="789">
        <f>IF('RO3'!I$59="","",'RO3'!I$59)</f>
        <v>0</v>
      </c>
      <c r="C1043" s="790">
        <f ca="1">IF(ISERROR(VLOOKUP($A$1116,INDIRECT("notes_"&amp;LEFT($A$1116,3)),4,0)),0,VLOOKUP($A$1116,INDIRECT("notes_"&amp;LEFT($A$1116,3)),4,0))</f>
        <v>0</v>
      </c>
    </row>
    <row r="1044" spans="1:3" x14ac:dyDescent="0.25">
      <c r="A1044" s="787" t="s">
        <v>3645</v>
      </c>
      <c r="B1044" s="789">
        <f>IF('RO3'!I$60="","",'RO3'!I$60)</f>
        <v>0</v>
      </c>
      <c r="C1044" s="790">
        <f ca="1">IF(ISERROR(VLOOKUP($A$1117,INDIRECT("notes_"&amp;LEFT($A$1117,3)),4,0)),0,VLOOKUP($A$1117,INDIRECT("notes_"&amp;LEFT($A$1117,3)),4,0))</f>
        <v>0</v>
      </c>
    </row>
    <row r="1045" spans="1:3" x14ac:dyDescent="0.25">
      <c r="A1045" s="787" t="s">
        <v>3646</v>
      </c>
      <c r="B1045" s="789">
        <f>IF('RO3'!I$61="","",'RO3'!I$61)</f>
        <v>0</v>
      </c>
      <c r="C1045" s="790">
        <f ca="1">IF(ISERROR(VLOOKUP($A$1118,INDIRECT("notes_"&amp;LEFT($A$1118,3)),4,0)),0,VLOOKUP($A$1118,INDIRECT("notes_"&amp;LEFT($A$1118,3)),4,0))</f>
        <v>0</v>
      </c>
    </row>
    <row r="1046" spans="1:3" x14ac:dyDescent="0.25">
      <c r="A1046" s="787" t="s">
        <v>3647</v>
      </c>
      <c r="B1046" s="789">
        <f>IF('RO3'!I$62="","",'RO3'!I$62)</f>
        <v>0</v>
      </c>
      <c r="C1046" s="790">
        <f ca="1">IF(ISERROR(VLOOKUP($A$1119,INDIRECT("notes_"&amp;LEFT($A$1119,3)),4,0)),0,VLOOKUP($A$1119,INDIRECT("notes_"&amp;LEFT($A$1119,3)),4,0))</f>
        <v>0</v>
      </c>
    </row>
    <row r="1047" spans="1:3" x14ac:dyDescent="0.25">
      <c r="A1047" s="787" t="s">
        <v>3648</v>
      </c>
      <c r="B1047" s="789">
        <f>IF('RO3'!I$63="","",'RO3'!I$63)</f>
        <v>0</v>
      </c>
      <c r="C1047" s="790">
        <f ca="1">IF(ISERROR(VLOOKUP($A$1120,INDIRECT("notes_"&amp;LEFT($A$1120,3)),4,0)),0,VLOOKUP($A$1120,INDIRECT("notes_"&amp;LEFT($A$1120,3)),4,0))</f>
        <v>0</v>
      </c>
    </row>
    <row r="1048" spans="1:3" x14ac:dyDescent="0.25">
      <c r="A1048" s="787" t="s">
        <v>3649</v>
      </c>
      <c r="B1048" s="789">
        <f>IF('RO3'!I$64="","",'RO3'!I$64)</f>
        <v>0</v>
      </c>
      <c r="C1048" s="790">
        <f ca="1">IF(ISERROR(VLOOKUP($A$1121,INDIRECT("notes_"&amp;LEFT($A$1121,3)),4,0)),0,VLOOKUP($A$1121,INDIRECT("notes_"&amp;LEFT($A$1121,3)),4,0))</f>
        <v>0</v>
      </c>
    </row>
    <row r="1049" spans="1:3" x14ac:dyDescent="0.25">
      <c r="A1049" s="787" t="s">
        <v>3650</v>
      </c>
      <c r="B1049" s="789">
        <f>IF('RO3'!I$65="","",'RO3'!I$65)</f>
        <v>0</v>
      </c>
      <c r="C1049" s="790"/>
    </row>
    <row r="1050" spans="1:3" x14ac:dyDescent="0.25">
      <c r="A1050" s="787" t="s">
        <v>3651</v>
      </c>
      <c r="B1050" s="789">
        <f>IF('RO3'!I$66="","",'RO3'!I$66)</f>
        <v>0</v>
      </c>
      <c r="C1050" s="790"/>
    </row>
    <row r="1051" spans="1:3" x14ac:dyDescent="0.25">
      <c r="A1051" s="787" t="s">
        <v>3652</v>
      </c>
      <c r="B1051" s="789">
        <f>IF('RO3'!I$67="","",'RO3'!I$67)</f>
        <v>0</v>
      </c>
      <c r="C1051" s="790">
        <f ca="1">IF(ISERROR(VLOOKUP($A$1124,INDIRECT("notes_"&amp;LEFT($A$1124,3)),4,0)),0,VLOOKUP($A$1124,INDIRECT("notes_"&amp;LEFT($A$1124,3)),4,0))</f>
        <v>0</v>
      </c>
    </row>
    <row r="1052" spans="1:3" x14ac:dyDescent="0.25">
      <c r="A1052" s="787" t="s">
        <v>3653</v>
      </c>
      <c r="B1052" s="789">
        <f>IF('RO3'!I$68="","",'RO3'!I$68)</f>
        <v>0</v>
      </c>
      <c r="C1052" s="790"/>
    </row>
    <row r="1053" spans="1:3" x14ac:dyDescent="0.25">
      <c r="A1053" s="787" t="s">
        <v>3654</v>
      </c>
      <c r="B1053" s="789">
        <f>IF('RO3'!I$69="","",'RO3'!I$69)</f>
        <v>0</v>
      </c>
      <c r="C1053" s="790"/>
    </row>
    <row r="1054" spans="1:3" x14ac:dyDescent="0.25">
      <c r="A1054" s="787" t="s">
        <v>3655</v>
      </c>
      <c r="B1054" s="789">
        <f>IF('RO3'!I$70="","",'RO3'!I$70)</f>
        <v>0</v>
      </c>
      <c r="C1054" s="790">
        <f ca="1">IF(ISERROR(VLOOKUP($A$1127,INDIRECT("notes_"&amp;LEFT($A$1127,3)),4,0)),0,VLOOKUP($A$1127,INDIRECT("notes_"&amp;LEFT($A$1127,3)),4,0))</f>
        <v>0</v>
      </c>
    </row>
    <row r="1055" spans="1:3" x14ac:dyDescent="0.25">
      <c r="A1055" s="787" t="s">
        <v>3656</v>
      </c>
      <c r="B1055" s="789">
        <f>IF('RO3'!I$71="","",'RO3'!I$71)</f>
        <v>0</v>
      </c>
      <c r="C1055" s="790"/>
    </row>
    <row r="1056" spans="1:3" x14ac:dyDescent="0.25">
      <c r="A1056" s="787" t="s">
        <v>3657</v>
      </c>
      <c r="B1056" s="789">
        <f>IF('RO3'!I$72="","",'RO3'!I$72)</f>
        <v>0</v>
      </c>
      <c r="C1056" s="790"/>
    </row>
    <row r="1057" spans="1:3" x14ac:dyDescent="0.25">
      <c r="A1057" s="787" t="s">
        <v>3658</v>
      </c>
      <c r="B1057" s="789">
        <f>IF('RO3'!I$73="","",'RO3'!I$73)</f>
        <v>0</v>
      </c>
      <c r="C1057" s="790">
        <f ca="1">IF(ISERROR(VLOOKUP($A$1130,INDIRECT("notes_"&amp;LEFT($A$1130,3)),4,0)),0,VLOOKUP($A$1130,INDIRECT("notes_"&amp;LEFT($A$1130,3)),4,0))</f>
        <v>0</v>
      </c>
    </row>
    <row r="1058" spans="1:3" x14ac:dyDescent="0.25">
      <c r="A1058" s="787" t="s">
        <v>3659</v>
      </c>
      <c r="B1058" s="789">
        <f>IF('RO3'!I$74="","",'RO3'!I$74)</f>
        <v>0</v>
      </c>
      <c r="C1058" s="790"/>
    </row>
    <row r="1059" spans="1:3" x14ac:dyDescent="0.25">
      <c r="A1059" s="787" t="s">
        <v>3660</v>
      </c>
      <c r="B1059" s="789">
        <f>IF('RO3'!I$75="","",'RO3'!I$75)</f>
        <v>0</v>
      </c>
      <c r="C1059" s="790"/>
    </row>
    <row r="1060" spans="1:3" x14ac:dyDescent="0.25">
      <c r="A1060" s="787" t="s">
        <v>3661</v>
      </c>
      <c r="B1060" s="789">
        <f>IF('RO3'!I$76="","",'RO3'!I$76)</f>
        <v>0</v>
      </c>
      <c r="C1060" s="790">
        <f ca="1">IF(ISERROR(VLOOKUP($A$1133,INDIRECT("notes_"&amp;LEFT($A$1133,3)),4,0)),0,VLOOKUP($A$1133,INDIRECT("notes_"&amp;LEFT($A$1133,3)),4,0))</f>
        <v>0</v>
      </c>
    </row>
    <row r="1061" spans="1:3" x14ac:dyDescent="0.25">
      <c r="A1061" s="787" t="s">
        <v>3662</v>
      </c>
      <c r="B1061" s="789">
        <f>IF('RO3'!I$77="","",'RO3'!I$77)</f>
        <v>0</v>
      </c>
      <c r="C1061" s="790"/>
    </row>
    <row r="1062" spans="1:3" x14ac:dyDescent="0.25">
      <c r="A1062" s="787" t="s">
        <v>3663</v>
      </c>
      <c r="B1062" s="789">
        <f>IF('RO3'!I$78="","",'RO3'!I$78)</f>
        <v>0</v>
      </c>
      <c r="C1062" s="790"/>
    </row>
    <row r="1063" spans="1:3" x14ac:dyDescent="0.25">
      <c r="A1063" s="787" t="s">
        <v>3664</v>
      </c>
      <c r="B1063" s="789">
        <f>IF('RO3'!I$81="","",'RO3'!I$81)</f>
        <v>0</v>
      </c>
      <c r="C1063" s="791">
        <f ca="1">IF(ISERROR(VLOOKUP($A$1136,INDIRECT("notes_"&amp;LEFT($A$1136,3)),4,0)),0,VLOOKUP($A$1136,INDIRECT("notes_"&amp;LEFT($A$1136,3)),4,0))</f>
        <v>0</v>
      </c>
    </row>
    <row r="1064" spans="1:3" x14ac:dyDescent="0.25">
      <c r="A1064" s="787" t="s">
        <v>3665</v>
      </c>
      <c r="B1064" s="789">
        <f>IF('RO3'!I$82="","",'RO3'!I$82)</f>
        <v>0</v>
      </c>
      <c r="C1064" s="791">
        <f ca="1">IF(ISERROR(VLOOKUP($A$1137,INDIRECT("notes_"&amp;LEFT($A$1137,3)),4,0)),0,VLOOKUP($A$1137,INDIRECT("notes_"&amp;LEFT($A$1137,3)),4,0))</f>
        <v>0</v>
      </c>
    </row>
    <row r="1065" spans="1:3" x14ac:dyDescent="0.25">
      <c r="A1065" s="787" t="s">
        <v>3666</v>
      </c>
      <c r="B1065" s="789">
        <f>IF('RO3'!I$83="","",'RO3'!I$83)</f>
        <v>0</v>
      </c>
      <c r="C1065" s="790">
        <f ca="1">IF(ISERROR(VLOOKUP($A$1138,INDIRECT("notes_"&amp;LEFT($A$1138,3)),4,0)),0,VLOOKUP($A$1138,INDIRECT("notes_"&amp;LEFT($A$1138,3)),4,0))</f>
        <v>0</v>
      </c>
    </row>
    <row r="1066" spans="1:3" x14ac:dyDescent="0.25">
      <c r="A1066" s="787" t="s">
        <v>3667</v>
      </c>
      <c r="B1066" s="789">
        <f>IF('RO3'!I$90="","",'RO3'!I$90)</f>
        <v>0</v>
      </c>
      <c r="C1066" s="790">
        <f ca="1">IF(ISERROR(VLOOKUP($A$1139,INDIRECT("notes_"&amp;LEFT($A$1139,3)),4,0)),0,VLOOKUP($A$1139,INDIRECT("notes_"&amp;LEFT($A$1139,3)),4,0))</f>
        <v>0</v>
      </c>
    </row>
    <row r="1067" spans="1:3" x14ac:dyDescent="0.25">
      <c r="A1067" s="787" t="s">
        <v>3668</v>
      </c>
      <c r="B1067" s="789">
        <f>IF('RO3'!I$91="","",'RO3'!I$91)</f>
        <v>0</v>
      </c>
      <c r="C1067" s="790">
        <f ca="1">IF(ISERROR(VLOOKUP($A$1140,INDIRECT("notes_"&amp;LEFT($A$1140,3)),4,0)),0,VLOOKUP($A$1140,INDIRECT("notes_"&amp;LEFT($A$1140,3)),4,0))</f>
        <v>0</v>
      </c>
    </row>
    <row r="1068" spans="1:3" x14ac:dyDescent="0.25">
      <c r="A1068" s="787" t="s">
        <v>3669</v>
      </c>
      <c r="B1068" s="789">
        <f>IF('RO3'!I$92="","",'RO3'!I$92)</f>
        <v>0</v>
      </c>
      <c r="C1068" s="790">
        <f ca="1">IF(ISERROR(VLOOKUP($A$1141,INDIRECT("notes_"&amp;LEFT($A$1141,3)),4,0)),0,VLOOKUP($A$1141,INDIRECT("notes_"&amp;LEFT($A$1141,3)),4,0))</f>
        <v>0</v>
      </c>
    </row>
    <row r="1069" spans="1:3" x14ac:dyDescent="0.25">
      <c r="A1069" s="787" t="s">
        <v>3670</v>
      </c>
      <c r="B1069" s="789">
        <f>IF('RO3'!I$93="","",'RO3'!I$93)</f>
        <v>0</v>
      </c>
      <c r="C1069" s="790">
        <f ca="1">IF(ISERROR(VLOOKUP($A$1142,INDIRECT("notes_"&amp;LEFT($A$1142,3)),4,0)),0,VLOOKUP($A$1142,INDIRECT("notes_"&amp;LEFT($A$1142,3)),4,0))</f>
        <v>0</v>
      </c>
    </row>
    <row r="1070" spans="1:3" x14ac:dyDescent="0.25">
      <c r="A1070" s="787" t="s">
        <v>3671</v>
      </c>
      <c r="B1070" s="789">
        <f>IF('RO3'!I$94="","",'RO3'!I$94)</f>
        <v>0</v>
      </c>
      <c r="C1070" s="790">
        <f ca="1">IF(ISERROR(VLOOKUP($A$1143,INDIRECT("notes_"&amp;LEFT($A$1143,3)),4,0)),0,VLOOKUP($A$1143,INDIRECT("notes_"&amp;LEFT($A$1143,3)),4,0))</f>
        <v>0</v>
      </c>
    </row>
    <row r="1071" spans="1:3" x14ac:dyDescent="0.25">
      <c r="A1071" s="787" t="s">
        <v>3672</v>
      </c>
      <c r="B1071" s="789">
        <f>IF('RO3'!I$95="","",'RO3'!I$95)</f>
        <v>0</v>
      </c>
      <c r="C1071" s="790">
        <f ca="1">IF(ISERROR(VLOOKUP($A$1144,INDIRECT("notes_"&amp;LEFT($A$1144,3)),4,0)),0,VLOOKUP($A$1144,INDIRECT("notes_"&amp;LEFT($A$1144,3)),4,0))</f>
        <v>0</v>
      </c>
    </row>
    <row r="1072" spans="1:3" x14ac:dyDescent="0.25">
      <c r="A1072" s="787" t="s">
        <v>3673</v>
      </c>
      <c r="B1072" s="789">
        <f>IF('RO3'!I$96="","",'RO3'!I$96)</f>
        <v>0</v>
      </c>
      <c r="C1072" s="790">
        <f ca="1">IF(ISERROR(VLOOKUP($A$1145,INDIRECT("notes_"&amp;LEFT($A$1145,3)),4,0)),0,VLOOKUP($A$1145,INDIRECT("notes_"&amp;LEFT($A$1145,3)),4,0))</f>
        <v>0</v>
      </c>
    </row>
    <row r="1073" spans="1:3" x14ac:dyDescent="0.25">
      <c r="A1073" s="787" t="s">
        <v>3674</v>
      </c>
      <c r="B1073" s="789">
        <f>IF('RO3'!I$97="","",'RO3'!I$97)</f>
        <v>0</v>
      </c>
      <c r="C1073" s="790">
        <f ca="1">IF(ISERROR(VLOOKUP($A$1146,INDIRECT("notes_"&amp;LEFT($A$1146,3)),4,0)),0,VLOOKUP($A$1146,INDIRECT("notes_"&amp;LEFT($A$1146,3)),4,0))</f>
        <v>0</v>
      </c>
    </row>
    <row r="1074" spans="1:3" x14ac:dyDescent="0.25">
      <c r="A1074" s="787" t="s">
        <v>3675</v>
      </c>
      <c r="B1074" s="789">
        <f>IF('RO3'!I$98="","",'RO3'!I$98)</f>
        <v>0</v>
      </c>
      <c r="C1074" s="790">
        <f ca="1">IF(ISERROR(VLOOKUP($A$1147,INDIRECT("notes_"&amp;LEFT($A$1147,3)),4,0)),0,VLOOKUP($A$1147,INDIRECT("notes_"&amp;LEFT($A$1147,3)),4,0))</f>
        <v>0</v>
      </c>
    </row>
    <row r="1075" spans="1:3" x14ac:dyDescent="0.25">
      <c r="A1075" s="787" t="s">
        <v>3676</v>
      </c>
      <c r="B1075" s="789">
        <f>IF('RO3'!I$99="","",'RO3'!I$99)</f>
        <v>0</v>
      </c>
      <c r="C1075" s="790">
        <f ca="1">IF(ISERROR(VLOOKUP($A$1148,INDIRECT("notes_"&amp;LEFT($A$1148,3)),4,0)),0,VLOOKUP($A$1148,INDIRECT("notes_"&amp;LEFT($A$1148,3)),4,0))</f>
        <v>0</v>
      </c>
    </row>
    <row r="1076" spans="1:3" x14ac:dyDescent="0.25">
      <c r="A1076" s="787" t="s">
        <v>3677</v>
      </c>
      <c r="B1076" s="789">
        <f>IF('RO3'!I$100="","",'RO3'!I$100)</f>
        <v>0</v>
      </c>
      <c r="C1076" s="790">
        <f ca="1">IF(ISERROR(VLOOKUP($A$1149,INDIRECT("notes_"&amp;LEFT($A$1149,3)),4,0)),0,VLOOKUP($A$1149,INDIRECT("notes_"&amp;LEFT($A$1149,3)),4,0))</f>
        <v>0</v>
      </c>
    </row>
    <row r="1077" spans="1:3" x14ac:dyDescent="0.25">
      <c r="A1077" s="787" t="s">
        <v>3678</v>
      </c>
      <c r="B1077" s="789">
        <f>IF('RO3'!I$101="","",'RO3'!I$101)</f>
        <v>0</v>
      </c>
      <c r="C1077" s="790">
        <f ca="1">IF(ISERROR(VLOOKUP($A$1150,INDIRECT("notes_"&amp;LEFT($A$1150,3)),4,0)),0,VLOOKUP($A$1150,INDIRECT("notes_"&amp;LEFT($A$1150,3)),4,0))</f>
        <v>0</v>
      </c>
    </row>
    <row r="1078" spans="1:3" x14ac:dyDescent="0.25">
      <c r="A1078" s="787" t="s">
        <v>3679</v>
      </c>
      <c r="B1078" s="789">
        <f>IF('RO3'!I$102="","",'RO3'!I$102)</f>
        <v>0</v>
      </c>
      <c r="C1078" s="790">
        <f ca="1">IF(ISERROR(VLOOKUP($A$1151,INDIRECT("notes_"&amp;LEFT($A$1151,3)),4,0)),0,VLOOKUP($A$1151,INDIRECT("notes_"&amp;LEFT($A$1151,3)),4,0))</f>
        <v>0</v>
      </c>
    </row>
    <row r="1079" spans="1:3" x14ac:dyDescent="0.25">
      <c r="A1079" s="787" t="s">
        <v>3680</v>
      </c>
      <c r="B1079" s="789">
        <f>IF('RO3'!I$103="","",'RO3'!I$103)</f>
        <v>0</v>
      </c>
      <c r="C1079" s="790">
        <f ca="1">IF(ISERROR(VLOOKUP($A$1152,INDIRECT("notes_"&amp;LEFT($A$1152,3)),4,0)),0,VLOOKUP($A$1152,INDIRECT("notes_"&amp;LEFT($A$1152,3)),4,0))</f>
        <v>0</v>
      </c>
    </row>
    <row r="1080" spans="1:3" x14ac:dyDescent="0.25">
      <c r="A1080" s="787" t="s">
        <v>3681</v>
      </c>
      <c r="B1080" s="789">
        <f>IF('RO3'!I$104="","",'RO3'!I$104)</f>
        <v>0</v>
      </c>
      <c r="C1080" s="790">
        <f ca="1">IF(ISERROR(VLOOKUP($A$1153,INDIRECT("notes_"&amp;LEFT($A$1153,3)),4,0)),0,VLOOKUP($A$1153,INDIRECT("notes_"&amp;LEFT($A$1153,3)),4,0))</f>
        <v>0</v>
      </c>
    </row>
    <row r="1081" spans="1:3" x14ac:dyDescent="0.25">
      <c r="A1081" s="787" t="s">
        <v>3682</v>
      </c>
      <c r="B1081" s="789">
        <f>IF('RO3'!I$105="","",'RO3'!I$105)</f>
        <v>0</v>
      </c>
      <c r="C1081" s="790">
        <f ca="1">IF(ISERROR(VLOOKUP($A$1154,INDIRECT("notes_"&amp;LEFT($A$1154,3)),4,0)),0,VLOOKUP($A$1154,INDIRECT("notes_"&amp;LEFT($A$1154,3)),4,0))</f>
        <v>0</v>
      </c>
    </row>
    <row r="1082" spans="1:3" x14ac:dyDescent="0.25">
      <c r="A1082" s="787" t="s">
        <v>3683</v>
      </c>
      <c r="B1082" s="789">
        <f>IF('RO3'!I$106="","",'RO3'!I$106)</f>
        <v>0</v>
      </c>
      <c r="C1082" s="790">
        <f ca="1">IF(ISERROR(VLOOKUP($A$1155,INDIRECT("notes_"&amp;LEFT($A$1155,3)),4,0)),0,VLOOKUP($A$1155,INDIRECT("notes_"&amp;LEFT($A$1155,3)),4,0))</f>
        <v>0</v>
      </c>
    </row>
    <row r="1083" spans="1:3" x14ac:dyDescent="0.25">
      <c r="A1083" s="787" t="s">
        <v>3684</v>
      </c>
      <c r="B1083" s="789">
        <f>IF('RO3'!I$107="","",'RO3'!I$107)</f>
        <v>0</v>
      </c>
      <c r="C1083" s="790">
        <f ca="1">IF(ISERROR(VLOOKUP($A$1156,INDIRECT("notes_"&amp;LEFT($A$1156,3)),4,0)),0,VLOOKUP($A$1156,INDIRECT("notes_"&amp;LEFT($A$1156,3)),4,0))</f>
        <v>0</v>
      </c>
    </row>
    <row r="1084" spans="1:3" x14ac:dyDescent="0.25">
      <c r="A1084" s="787" t="s">
        <v>3685</v>
      </c>
      <c r="B1084" s="789">
        <f>IF('RO3'!I$108="","",'RO3'!I$108)</f>
        <v>0</v>
      </c>
      <c r="C1084" s="790">
        <f ca="1">IF(ISERROR(VLOOKUP($A$1157,INDIRECT("notes_"&amp;LEFT($A$1157,3)),4,0)),0,VLOOKUP($A$1157,INDIRECT("notes_"&amp;LEFT($A$1157,3)),4,0))</f>
        <v>0</v>
      </c>
    </row>
    <row r="1085" spans="1:3" x14ac:dyDescent="0.25">
      <c r="A1085" s="787" t="s">
        <v>3686</v>
      </c>
      <c r="B1085" s="789">
        <f>IF('RO3'!I$109="","",'RO3'!I$109)</f>
        <v>0</v>
      </c>
      <c r="C1085" s="790">
        <f ca="1">IF(ISERROR(VLOOKUP($A$1158,INDIRECT("notes_"&amp;LEFT($A$1158,3)),4,0)),0,VLOOKUP($A$1158,INDIRECT("notes_"&amp;LEFT($A$1158,3)),4,0))</f>
        <v>0</v>
      </c>
    </row>
    <row r="1086" spans="1:3" x14ac:dyDescent="0.25">
      <c r="A1086" s="787" t="s">
        <v>3687</v>
      </c>
      <c r="B1086" s="789">
        <f>IF('RO3'!I$110="","",'RO3'!I$110)</f>
        <v>0</v>
      </c>
      <c r="C1086" s="790">
        <f ca="1">IF(ISERROR(VLOOKUP($A$1159,INDIRECT("notes_"&amp;LEFT($A$1159,3)),4,0)),0,VLOOKUP($A$1159,INDIRECT("notes_"&amp;LEFT($A$1159,3)),4,0))</f>
        <v>0</v>
      </c>
    </row>
    <row r="1087" spans="1:3" x14ac:dyDescent="0.25">
      <c r="A1087" s="787" t="s">
        <v>3688</v>
      </c>
      <c r="B1087" s="789">
        <f>IF('RO3'!I$111="","",'RO3'!I$111)</f>
        <v>0</v>
      </c>
      <c r="C1087" s="790">
        <f ca="1">IF(ISERROR(VLOOKUP($A$1160,INDIRECT("notes_"&amp;LEFT($A$1160,3)),4,0)),0,VLOOKUP($A$1160,INDIRECT("notes_"&amp;LEFT($A$1160,3)),4,0))</f>
        <v>0</v>
      </c>
    </row>
    <row r="1088" spans="1:3" x14ac:dyDescent="0.25">
      <c r="A1088" s="787" t="s">
        <v>3689</v>
      </c>
      <c r="B1088" s="789">
        <f>IF('RO3'!I$112="","",'RO3'!I$112)</f>
        <v>0</v>
      </c>
      <c r="C1088" s="790">
        <f ca="1">IF(ISERROR(VLOOKUP($A$1161,INDIRECT("notes_"&amp;LEFT($A$1161,3)),4,0)),0,VLOOKUP($A$1161,INDIRECT("notes_"&amp;LEFT($A$1161,3)),4,0))</f>
        <v>0</v>
      </c>
    </row>
    <row r="1089" spans="1:6" x14ac:dyDescent="0.25">
      <c r="A1089" s="787" t="s">
        <v>3690</v>
      </c>
      <c r="B1089" s="789">
        <f>IF('RO3'!I$113="","",'RO3'!I$113)</f>
        <v>0</v>
      </c>
      <c r="C1089" s="790">
        <f ca="1">IF(ISERROR(VLOOKUP($A$1162,INDIRECT("notes_"&amp;LEFT($A$1162,3)),4,0)),0,VLOOKUP($A$1162,INDIRECT("notes_"&amp;LEFT($A$1162,3)),4,0))</f>
        <v>0</v>
      </c>
    </row>
    <row r="1090" spans="1:6" x14ac:dyDescent="0.25">
      <c r="A1090" s="787" t="s">
        <v>3691</v>
      </c>
      <c r="B1090" s="789">
        <f>IF('RO3'!I$114="","",'RO3'!I$114)</f>
        <v>0</v>
      </c>
      <c r="C1090" s="791">
        <f ca="1">IF(ISERROR(VLOOKUP($A$1163,INDIRECT("notes_"&amp;LEFT($A$1163,3)),4,0)),0,VLOOKUP($A$1163,INDIRECT("notes_"&amp;LEFT($A$1163,3)),4,0))</f>
        <v>0</v>
      </c>
    </row>
    <row r="1091" spans="1:6" x14ac:dyDescent="0.25">
      <c r="A1091" s="787" t="s">
        <v>3692</v>
      </c>
      <c r="B1091" s="789">
        <f>IF('RO3'!I$115="","",'RO3'!I$115)</f>
        <v>0</v>
      </c>
      <c r="C1091" s="791">
        <f ca="1">IF(ISERROR(VLOOKUP($A$1164,INDIRECT("notes_"&amp;LEFT($A$1164,3)),4,0)),0,VLOOKUP($A$1164,INDIRECT("notes_"&amp;LEFT($A$1164,3)),4,0))</f>
        <v>0</v>
      </c>
    </row>
    <row r="1092" spans="1:6" x14ac:dyDescent="0.25">
      <c r="A1092" s="787" t="s">
        <v>3693</v>
      </c>
      <c r="B1092" s="789">
        <f>IF('RO3'!I$117="","",'RO3'!I$117)</f>
        <v>0</v>
      </c>
      <c r="C1092" s="790">
        <f ca="1">IF(ISERROR(VLOOKUP($A$1165,INDIRECT("notes_"&amp;LEFT($A$1165,3)),4,0)),0,VLOOKUP($A$1165,INDIRECT("notes_"&amp;LEFT($A$1165,3)),4,0))</f>
        <v>0</v>
      </c>
    </row>
    <row r="1093" spans="1:6" x14ac:dyDescent="0.25">
      <c r="A1093" s="787" t="s">
        <v>3694</v>
      </c>
      <c r="B1093" s="789">
        <f>IF('RO3'!I$132="","",'RO3'!I$132)</f>
        <v>0</v>
      </c>
      <c r="C1093" s="790">
        <f ca="1">IF(ISERROR(VLOOKUP($A$1170,INDIRECT("notes_"&amp;LEFT($A$1170,3)),4,0)),0,VLOOKUP($A$1170,INDIRECT("notes_"&amp;LEFT($A$1170,3)),4,0))</f>
        <v>0</v>
      </c>
    </row>
    <row r="1094" spans="1:6" x14ac:dyDescent="0.25">
      <c r="A1094" s="787" t="s">
        <v>3695</v>
      </c>
      <c r="B1094" s="789">
        <f>IF('RO3'!I$134="","",'RO3'!I$134)</f>
        <v>0</v>
      </c>
      <c r="C1094" s="790">
        <f ca="1">IF(ISERROR(VLOOKUP($A$1171,INDIRECT("notes_"&amp;LEFT($A$1171,3)),4,0)),0,VLOOKUP($A$1171,INDIRECT("notes_"&amp;LEFT($A$1171,3)),4,0))</f>
        <v>0</v>
      </c>
    </row>
    <row r="1095" spans="1:6" x14ac:dyDescent="0.25">
      <c r="A1095" s="787" t="s">
        <v>2535</v>
      </c>
      <c r="B1095" s="789">
        <f>IF('RO3'!J$31="","",'RO3'!J$31)</f>
        <v>0</v>
      </c>
      <c r="C1095" s="790">
        <f ca="1">IF(ISERROR(VLOOKUP($A$1095,INDIRECT("notes_"&amp;LEFT($A$1095,3)),4,0)),0,VLOOKUP($A$1095,INDIRECT("notes_"&amp;LEFT($A$1095,3)),4,0))</f>
        <v>0</v>
      </c>
      <c r="D1095" s="789" t="str">
        <f>'RO3'!L31</f>
        <v/>
      </c>
      <c r="E1095" s="789" t="str">
        <f>'RO3'!M31</f>
        <v/>
      </c>
      <c r="F1095" s="789" t="str">
        <f>'RO3'!O31</f>
        <v/>
      </c>
    </row>
    <row r="1096" spans="1:6" x14ac:dyDescent="0.25">
      <c r="A1096" s="787" t="s">
        <v>2537</v>
      </c>
      <c r="B1096" s="789">
        <f>IF('RO3'!J$32="","",'RO3'!J$32)</f>
        <v>0</v>
      </c>
      <c r="C1096" s="790">
        <f ca="1">IF(ISERROR(VLOOKUP($A$1096,INDIRECT("notes_"&amp;LEFT($A$1096,3)),4,0)),0,VLOOKUP($A$1096,INDIRECT("notes_"&amp;LEFT($A$1096,3)),4,0))</f>
        <v>0</v>
      </c>
      <c r="D1096" s="789" t="str">
        <f>'RO3'!L32</f>
        <v/>
      </c>
      <c r="E1096" s="789" t="str">
        <f>'RO3'!M32</f>
        <v/>
      </c>
      <c r="F1096" s="789" t="str">
        <f>'RO3'!O32</f>
        <v/>
      </c>
    </row>
    <row r="1097" spans="1:6" x14ac:dyDescent="0.25">
      <c r="A1097" s="817" t="s">
        <v>2539</v>
      </c>
      <c r="B1097" s="818">
        <f>IF('RO3'!J$33="","",'RO3'!J$33)</f>
        <v>0</v>
      </c>
      <c r="C1097" s="819">
        <f ca="1">IF(ISERROR(VLOOKUP($A$1097,INDIRECT("notes_"&amp;LEFT($A$1097,3)),4,0)),0,VLOOKUP($A$1097,INDIRECT("notes_"&amp;LEFT($A$1097,3)),4,0))</f>
        <v>0</v>
      </c>
      <c r="D1097" s="789"/>
      <c r="E1097" s="789"/>
      <c r="F1097" s="789"/>
    </row>
    <row r="1098" spans="1:6" x14ac:dyDescent="0.25">
      <c r="A1098" s="817" t="s">
        <v>2540</v>
      </c>
      <c r="B1098" s="818">
        <f>IF('RO3'!J$34="","",'RO3'!J$34)</f>
        <v>0</v>
      </c>
      <c r="C1098" s="819">
        <f ca="1">IF(ISERROR(VLOOKUP($A$1098,INDIRECT("notes_"&amp;LEFT($A$1098,3)),4,0)),0,VLOOKUP($A$1098,INDIRECT("notes_"&amp;LEFT($A$1098,3)),4,0))</f>
        <v>0</v>
      </c>
      <c r="D1098" s="789"/>
      <c r="E1098" s="789"/>
      <c r="F1098" s="789"/>
    </row>
    <row r="1099" spans="1:6" x14ac:dyDescent="0.25">
      <c r="A1099" s="817" t="s">
        <v>2541</v>
      </c>
      <c r="B1099" s="818">
        <f>IF('RO3'!J$35="","",'RO3'!J$35)</f>
        <v>0</v>
      </c>
      <c r="C1099" s="819">
        <f ca="1">IF(ISERROR(VLOOKUP($A$1099,INDIRECT("notes_"&amp;LEFT($A$1099,3)),4,0)),0,VLOOKUP($A$1099,INDIRECT("notes_"&amp;LEFT($A$1099,3)),4,0))</f>
        <v>0</v>
      </c>
      <c r="D1099" s="789"/>
      <c r="E1099" s="789"/>
      <c r="F1099" s="789"/>
    </row>
    <row r="1100" spans="1:6" x14ac:dyDescent="0.25">
      <c r="A1100" s="817" t="s">
        <v>2542</v>
      </c>
      <c r="B1100" s="818">
        <f>IF('RO3'!J$36="","",'RO3'!J$36)</f>
        <v>0</v>
      </c>
      <c r="C1100" s="819">
        <f ca="1">IF(ISERROR(VLOOKUP($A$1100,INDIRECT("notes_"&amp;LEFT($A$1100,3)),4,0)),0,VLOOKUP($A$1100,INDIRECT("notes_"&amp;LEFT($A$1100,3)),4,0))</f>
        <v>0</v>
      </c>
      <c r="D1100" s="789"/>
      <c r="E1100" s="789"/>
      <c r="F1100" s="789"/>
    </row>
    <row r="1101" spans="1:6" x14ac:dyDescent="0.25">
      <c r="A1101" s="787" t="s">
        <v>2538</v>
      </c>
      <c r="B1101" s="789">
        <f>IF('RO3'!J$37="","",'RO3'!J$37)</f>
        <v>0</v>
      </c>
      <c r="C1101" s="790">
        <f ca="1">IF(ISERROR(VLOOKUP($A$1101,INDIRECT("notes_"&amp;LEFT($A$1101,3)),4,0)),0,VLOOKUP($A$1101,INDIRECT("notes_"&amp;LEFT($A$1101,3)),4,0))</f>
        <v>0</v>
      </c>
      <c r="D1101" s="789" t="str">
        <f>'RO3'!L37</f>
        <v/>
      </c>
      <c r="E1101" s="789" t="str">
        <f>'RO3'!M37</f>
        <v/>
      </c>
      <c r="F1101" s="789" t="str">
        <f>'RO3'!O37</f>
        <v/>
      </c>
    </row>
    <row r="1102" spans="1:6" x14ac:dyDescent="0.25">
      <c r="A1102" s="787" t="s">
        <v>2543</v>
      </c>
      <c r="B1102" s="789">
        <f>IF('RO3'!J$38="","",'RO3'!J$38)</f>
        <v>0</v>
      </c>
      <c r="C1102" s="790">
        <f ca="1">IF(ISERROR(VLOOKUP($A$1102,INDIRECT("notes_"&amp;LEFT($A$1102,3)),4,0)),0,VLOOKUP($A$1102,INDIRECT("notes_"&amp;LEFT($A$1102,3)),4,0))</f>
        <v>0</v>
      </c>
      <c r="D1102" s="789" t="str">
        <f>'RO3'!L38</f>
        <v/>
      </c>
      <c r="E1102" s="789" t="str">
        <f>'RO3'!M38</f>
        <v/>
      </c>
      <c r="F1102" s="789" t="str">
        <f>'RO3'!O38</f>
        <v/>
      </c>
    </row>
    <row r="1103" spans="1:6" x14ac:dyDescent="0.25">
      <c r="A1103" s="787" t="s">
        <v>2544</v>
      </c>
      <c r="B1103" s="789">
        <f>IF('RO3'!J$39="","",'RO3'!J$39)</f>
        <v>0</v>
      </c>
      <c r="C1103" s="790">
        <f ca="1">IF(ISERROR(VLOOKUP($A$1103,INDIRECT("notes_"&amp;LEFT($A$1103,3)),4,0)),0,VLOOKUP($A$1103,INDIRECT("notes_"&amp;LEFT($A$1103,3)),4,0))</f>
        <v>0</v>
      </c>
      <c r="D1103" s="789" t="str">
        <f>'RO3'!L39</f>
        <v/>
      </c>
      <c r="E1103" s="789" t="str">
        <f>'RO3'!M39</f>
        <v/>
      </c>
      <c r="F1103" s="789" t="str">
        <f>'RO3'!O39</f>
        <v/>
      </c>
    </row>
    <row r="1104" spans="1:6" x14ac:dyDescent="0.25">
      <c r="A1104" s="787" t="s">
        <v>2545</v>
      </c>
      <c r="B1104" s="789">
        <f>IF('RO3'!J$40="","",'RO3'!J$40)</f>
        <v>0</v>
      </c>
      <c r="C1104" s="790">
        <f ca="1">IF(ISERROR(VLOOKUP($A$1104,INDIRECT("notes_"&amp;LEFT($A$1104,3)),4,0)),0,VLOOKUP($A$1104,INDIRECT("notes_"&amp;LEFT($A$1104,3)),4,0))</f>
        <v>0</v>
      </c>
      <c r="D1104" s="789" t="str">
        <f>'RO3'!L40</f>
        <v/>
      </c>
      <c r="E1104" s="789" t="str">
        <f>'RO3'!M40</f>
        <v/>
      </c>
      <c r="F1104" s="789" t="str">
        <f>'RO3'!O40</f>
        <v/>
      </c>
    </row>
    <row r="1105" spans="1:6" x14ac:dyDescent="0.25">
      <c r="A1105" s="787" t="s">
        <v>2546</v>
      </c>
      <c r="B1105" s="789">
        <f>IF('RO3'!J$41="","",'RO3'!J$41)</f>
        <v>0</v>
      </c>
      <c r="C1105" s="790">
        <f ca="1">IF(ISERROR(VLOOKUP($A$1105,INDIRECT("notes_"&amp;LEFT($A$1105,3)),4,0)),0,VLOOKUP($A$1105,INDIRECT("notes_"&amp;LEFT($A$1105,3)),4,0))</f>
        <v>0</v>
      </c>
      <c r="D1105" s="789" t="str">
        <f>'RO3'!L41</f>
        <v/>
      </c>
      <c r="E1105" s="789" t="str">
        <f>'RO3'!M41</f>
        <v/>
      </c>
      <c r="F1105" s="789" t="str">
        <f>'RO3'!O41</f>
        <v/>
      </c>
    </row>
    <row r="1106" spans="1:6" x14ac:dyDescent="0.25">
      <c r="A1106" s="787" t="s">
        <v>2547</v>
      </c>
      <c r="B1106" s="789">
        <f>IF('RO3'!J$42="","",'RO3'!J$42)</f>
        <v>0</v>
      </c>
      <c r="C1106" s="790">
        <f ca="1">IF(ISERROR(VLOOKUP($A$1106,INDIRECT("notes_"&amp;LEFT($A$1106,3)),4,0)),0,VLOOKUP($A$1106,INDIRECT("notes_"&amp;LEFT($A$1106,3)),4,0))</f>
        <v>0</v>
      </c>
      <c r="D1106" s="789" t="str">
        <f>'RO3'!L42</f>
        <v/>
      </c>
      <c r="E1106" s="789" t="str">
        <f>'RO3'!M42</f>
        <v/>
      </c>
      <c r="F1106" s="789" t="str">
        <f>'RO3'!O42</f>
        <v/>
      </c>
    </row>
    <row r="1107" spans="1:6" x14ac:dyDescent="0.25">
      <c r="A1107" s="787" t="s">
        <v>2548</v>
      </c>
      <c r="B1107" s="789">
        <f>IF('RO3'!J$44="","",'RO3'!J$44)</f>
        <v>0</v>
      </c>
      <c r="C1107" s="790">
        <f ca="1">IF(ISERROR(VLOOKUP($A$1107,INDIRECT("notes_"&amp;LEFT($A$1107,3)),4,0)),0,VLOOKUP($A$1107,INDIRECT("notes_"&amp;LEFT($A$1107,3)),4,0))</f>
        <v>0</v>
      </c>
      <c r="D1107" s="789" t="str">
        <f>'RO3'!L44</f>
        <v/>
      </c>
      <c r="E1107" s="789" t="str">
        <f>'RO3'!M44</f>
        <v/>
      </c>
      <c r="F1107" s="789" t="str">
        <f>'RO3'!O44</f>
        <v/>
      </c>
    </row>
    <row r="1108" spans="1:6" x14ac:dyDescent="0.25">
      <c r="A1108" s="787" t="s">
        <v>2550</v>
      </c>
      <c r="B1108" s="789">
        <f>IF('RO3'!J$51="","",'RO3'!J$51)</f>
        <v>0</v>
      </c>
      <c r="C1108" s="790">
        <f ca="1">IF(ISERROR(VLOOKUP($A$1108,INDIRECT("notes_"&amp;LEFT($A$1108,3)),4,0)),0,VLOOKUP($A$1108,INDIRECT("notes_"&amp;LEFT($A$1108,3)),4,0))</f>
        <v>0</v>
      </c>
      <c r="D1108" s="789" t="str">
        <f>'RO3'!L51</f>
        <v/>
      </c>
      <c r="E1108" s="789" t="str">
        <f>'RO3'!M51</f>
        <v/>
      </c>
      <c r="F1108" s="789" t="str">
        <f>'RO3'!O51</f>
        <v/>
      </c>
    </row>
    <row r="1109" spans="1:6" x14ac:dyDescent="0.25">
      <c r="A1109" s="787" t="s">
        <v>2551</v>
      </c>
      <c r="B1109" s="789">
        <f>IF('RO3'!J$52="","",'RO3'!J$52)</f>
        <v>0</v>
      </c>
      <c r="C1109" s="790">
        <f ca="1">IF(ISERROR(VLOOKUP($A$1109,INDIRECT("notes_"&amp;LEFT($A$1109,3)),4,0)),0,VLOOKUP($A$1109,INDIRECT("notes_"&amp;LEFT($A$1109,3)),4,0))</f>
        <v>0</v>
      </c>
      <c r="D1109" s="789" t="str">
        <f>'RO3'!L52</f>
        <v/>
      </c>
      <c r="E1109" s="789" t="e">
        <f>'RO3'!M52</f>
        <v>#N/A</v>
      </c>
      <c r="F1109" s="789" t="e">
        <f>'RO3'!O52</f>
        <v>#N/A</v>
      </c>
    </row>
    <row r="1110" spans="1:6" x14ac:dyDescent="0.25">
      <c r="A1110" s="787" t="s">
        <v>2552</v>
      </c>
      <c r="B1110" s="789">
        <f>IF('RO3'!J$53="","",'RO3'!J$53)</f>
        <v>0</v>
      </c>
      <c r="C1110" s="790">
        <f ca="1">IF(ISERROR(VLOOKUP($A$1110,INDIRECT("notes_"&amp;LEFT($A$1110,3)),4,0)),0,VLOOKUP($A$1110,INDIRECT("notes_"&amp;LEFT($A$1110,3)),4,0))</f>
        <v>0</v>
      </c>
      <c r="D1110" s="789" t="str">
        <f>'RO3'!L53</f>
        <v/>
      </c>
      <c r="E1110" s="789" t="str">
        <f>'RO3'!M53</f>
        <v/>
      </c>
      <c r="F1110" s="789" t="str">
        <f>'RO3'!O53</f>
        <v/>
      </c>
    </row>
    <row r="1111" spans="1:6" x14ac:dyDescent="0.25">
      <c r="A1111" s="787" t="s">
        <v>2553</v>
      </c>
      <c r="B1111" s="789">
        <f>IF('RO3'!J$54="","",'RO3'!J$54)</f>
        <v>0</v>
      </c>
      <c r="C1111" s="790">
        <f ca="1">IF(ISERROR(VLOOKUP($A$1111,INDIRECT("notes_"&amp;LEFT($A$1111,3)),4,0)),0,VLOOKUP($A$1111,INDIRECT("notes_"&amp;LEFT($A$1111,3)),4,0))</f>
        <v>0</v>
      </c>
      <c r="D1111" s="789" t="str">
        <f>'RO3'!L54</f>
        <v/>
      </c>
      <c r="E1111" s="789" t="str">
        <f>'RO3'!M54</f>
        <v/>
      </c>
      <c r="F1111" s="789" t="str">
        <f>'RO3'!O54</f>
        <v/>
      </c>
    </row>
    <row r="1112" spans="1:6" x14ac:dyDescent="0.25">
      <c r="A1112" s="787" t="s">
        <v>2554</v>
      </c>
      <c r="B1112" s="789">
        <f>IF('RO3'!J$55="","",'RO3'!J$55)</f>
        <v>0</v>
      </c>
      <c r="C1112" s="790">
        <f ca="1">IF(ISERROR(VLOOKUP($A$1112,INDIRECT("notes_"&amp;LEFT($A$1112,3)),4,0)),0,VLOOKUP($A$1112,INDIRECT("notes_"&amp;LEFT($A$1112,3)),4,0))</f>
        <v>0</v>
      </c>
      <c r="D1112" s="789" t="str">
        <f>'RO3'!L55</f>
        <v/>
      </c>
      <c r="E1112" s="789" t="str">
        <f>'RO3'!M55</f>
        <v/>
      </c>
      <c r="F1112" s="789" t="str">
        <f>'RO3'!O55</f>
        <v/>
      </c>
    </row>
    <row r="1113" spans="1:6" x14ac:dyDescent="0.25">
      <c r="A1113" s="787" t="s">
        <v>2555</v>
      </c>
      <c r="B1113" s="789">
        <f>IF('RO3'!J$56="","",'RO3'!J$56)</f>
        <v>0</v>
      </c>
      <c r="C1113" s="790">
        <f ca="1">IF(ISERROR(VLOOKUP($A$1113,INDIRECT("notes_"&amp;LEFT($A$1113,3)),4,0)),0,VLOOKUP($A$1113,INDIRECT("notes_"&amp;LEFT($A$1113,3)),4,0))</f>
        <v>0</v>
      </c>
      <c r="D1113" s="789" t="str">
        <f>'RO3'!L56</f>
        <v/>
      </c>
      <c r="E1113" s="789" t="str">
        <f>'RO3'!M56</f>
        <v/>
      </c>
      <c r="F1113" s="789" t="str">
        <f>'RO3'!O56</f>
        <v/>
      </c>
    </row>
    <row r="1114" spans="1:6" x14ac:dyDescent="0.25">
      <c r="A1114" s="787" t="s">
        <v>2556</v>
      </c>
      <c r="B1114" s="789">
        <f>IF('RO3'!J$57="","",'RO3'!J$57)</f>
        <v>0</v>
      </c>
      <c r="C1114" s="790">
        <f ca="1">IF(ISERROR(VLOOKUP($A$1114,INDIRECT("notes_"&amp;LEFT($A$1114,3)),4,0)),0,VLOOKUP($A$1114,INDIRECT("notes_"&amp;LEFT($A$1114,3)),4,0))</f>
        <v>0</v>
      </c>
      <c r="D1114" s="789" t="str">
        <f>'RO3'!L57</f>
        <v/>
      </c>
      <c r="E1114" s="789" t="str">
        <f>'RO3'!M57</f>
        <v/>
      </c>
      <c r="F1114" s="789" t="str">
        <f>'RO3'!O57</f>
        <v/>
      </c>
    </row>
    <row r="1115" spans="1:6" x14ac:dyDescent="0.25">
      <c r="A1115" s="787" t="s">
        <v>2557</v>
      </c>
      <c r="B1115" s="789">
        <f>IF('RO3'!J$58="","",'RO3'!J$58)</f>
        <v>0</v>
      </c>
      <c r="C1115" s="790">
        <f ca="1">IF(ISERROR(VLOOKUP($A$1115,INDIRECT("notes_"&amp;LEFT($A$1115,3)),4,0)),0,VLOOKUP($A$1115,INDIRECT("notes_"&amp;LEFT($A$1115,3)),4,0))</f>
        <v>0</v>
      </c>
      <c r="D1115" s="789" t="str">
        <f>'RO3'!L58</f>
        <v/>
      </c>
      <c r="E1115" s="789" t="str">
        <f>'RO3'!M58</f>
        <v/>
      </c>
      <c r="F1115" s="789" t="str">
        <f>'RO3'!O58</f>
        <v/>
      </c>
    </row>
    <row r="1116" spans="1:6" x14ac:dyDescent="0.25">
      <c r="A1116" s="787" t="s">
        <v>2558</v>
      </c>
      <c r="B1116" s="789">
        <f>IF('RO3'!J$59="","",'RO3'!J$59)</f>
        <v>0</v>
      </c>
      <c r="C1116" s="790">
        <f ca="1">IF(ISERROR(VLOOKUP($A$1116,INDIRECT("notes_"&amp;LEFT($A$1116,3)),4,0)),0,VLOOKUP($A$1116,INDIRECT("notes_"&amp;LEFT($A$1116,3)),4,0))</f>
        <v>0</v>
      </c>
      <c r="D1116" s="789" t="str">
        <f>'RO3'!L59</f>
        <v/>
      </c>
      <c r="E1116" s="789" t="str">
        <f>'RO3'!M59</f>
        <v/>
      </c>
      <c r="F1116" s="789" t="str">
        <f>'RO3'!O59</f>
        <v/>
      </c>
    </row>
    <row r="1117" spans="1:6" x14ac:dyDescent="0.25">
      <c r="A1117" s="787" t="s">
        <v>2559</v>
      </c>
      <c r="B1117" s="789">
        <f>IF('RO3'!J$60="","",'RO3'!J$60)</f>
        <v>0</v>
      </c>
      <c r="C1117" s="790">
        <f ca="1">IF(ISERROR(VLOOKUP($A$1117,INDIRECT("notes_"&amp;LEFT($A$1117,3)),4,0)),0,VLOOKUP($A$1117,INDIRECT("notes_"&amp;LEFT($A$1117,3)),4,0))</f>
        <v>0</v>
      </c>
      <c r="D1117" s="789" t="str">
        <f>'RO3'!L60</f>
        <v/>
      </c>
      <c r="E1117" s="789" t="str">
        <f>'RO3'!M60</f>
        <v/>
      </c>
      <c r="F1117" s="789" t="str">
        <f>'RO3'!O60</f>
        <v/>
      </c>
    </row>
    <row r="1118" spans="1:6" x14ac:dyDescent="0.25">
      <c r="A1118" s="787" t="s">
        <v>2560</v>
      </c>
      <c r="B1118" s="789">
        <f>IF('RO3'!J$61="","",'RO3'!J$61)</f>
        <v>0</v>
      </c>
      <c r="C1118" s="790">
        <f ca="1">IF(ISERROR(VLOOKUP($A$1118,INDIRECT("notes_"&amp;LEFT($A$1118,3)),4,0)),0,VLOOKUP($A$1118,INDIRECT("notes_"&amp;LEFT($A$1118,3)),4,0))</f>
        <v>0</v>
      </c>
      <c r="D1118" s="789" t="str">
        <f>'RO3'!L61</f>
        <v/>
      </c>
      <c r="E1118" s="789" t="str">
        <f>'RO3'!M61</f>
        <v/>
      </c>
      <c r="F1118" s="789" t="str">
        <f>'RO3'!O61</f>
        <v/>
      </c>
    </row>
    <row r="1119" spans="1:6" x14ac:dyDescent="0.25">
      <c r="A1119" s="787" t="s">
        <v>2561</v>
      </c>
      <c r="B1119" s="789">
        <f>IF('RO3'!J$62="","",'RO3'!J$62)</f>
        <v>0</v>
      </c>
      <c r="C1119" s="790">
        <f ca="1">IF(ISERROR(VLOOKUP($A$1119,INDIRECT("notes_"&amp;LEFT($A$1119,3)),4,0)),0,VLOOKUP($A$1119,INDIRECT("notes_"&amp;LEFT($A$1119,3)),4,0))</f>
        <v>0</v>
      </c>
      <c r="D1119" s="789" t="str">
        <f>'RO3'!O62</f>
        <v/>
      </c>
      <c r="E1119" s="789">
        <f>'RO3'!P62</f>
        <v>0</v>
      </c>
      <c r="F1119" s="789">
        <f>'RO3'!R62</f>
        <v>0</v>
      </c>
    </row>
    <row r="1120" spans="1:6" x14ac:dyDescent="0.25">
      <c r="A1120" s="787" t="s">
        <v>2562</v>
      </c>
      <c r="B1120" s="789">
        <f>IF('RO3'!J$63="","",'RO3'!J$63)</f>
        <v>0</v>
      </c>
      <c r="C1120" s="790">
        <f ca="1">IF(ISERROR(VLOOKUP($A$1120,INDIRECT("notes_"&amp;LEFT($A$1120,3)),4,0)),0,VLOOKUP($A$1120,INDIRECT("notes_"&amp;LEFT($A$1120,3)),4,0))</f>
        <v>0</v>
      </c>
      <c r="D1120" s="789" t="str">
        <f>'RO3'!O63</f>
        <v/>
      </c>
      <c r="E1120" s="789">
        <f>'RO3'!P63</f>
        <v>0</v>
      </c>
      <c r="F1120" s="789">
        <f>'RO3'!R63</f>
        <v>0</v>
      </c>
    </row>
    <row r="1121" spans="1:6" x14ac:dyDescent="0.25">
      <c r="A1121" s="787" t="s">
        <v>2563</v>
      </c>
      <c r="B1121" s="789">
        <f>IF('RO3'!J$64="","",'RO3'!J$64)</f>
        <v>0</v>
      </c>
      <c r="C1121" s="790">
        <f ca="1">IF(ISERROR(VLOOKUP($A$1121,INDIRECT("notes_"&amp;LEFT($A$1121,3)),4,0)),0,VLOOKUP($A$1121,INDIRECT("notes_"&amp;LEFT($A$1121,3)),4,0))</f>
        <v>0</v>
      </c>
      <c r="D1121" s="789"/>
      <c r="E1121" s="789" t="str">
        <f>'RO3'!P64</f>
        <v/>
      </c>
      <c r="F1121" s="789" t="str">
        <f>'RO3'!R64</f>
        <v/>
      </c>
    </row>
    <row r="1122" spans="1:6" x14ac:dyDescent="0.25">
      <c r="A1122" s="787" t="s">
        <v>3696</v>
      </c>
      <c r="B1122" s="789">
        <f>IF('RO3'!J$65="","",'RO3'!J$65)</f>
        <v>0</v>
      </c>
      <c r="C1122" s="790"/>
      <c r="D1122" s="789">
        <f>'RO3'!O65</f>
        <v>0</v>
      </c>
      <c r="E1122" s="789"/>
      <c r="F1122" s="789"/>
    </row>
    <row r="1123" spans="1:6" x14ac:dyDescent="0.25">
      <c r="A1123" s="787" t="s">
        <v>3697</v>
      </c>
      <c r="B1123" s="789">
        <f>IF('RO3'!J$66="","",'RO3'!J$66)</f>
        <v>0</v>
      </c>
      <c r="C1123" s="790"/>
      <c r="D1123" s="789">
        <f>'RO3'!O66</f>
        <v>0</v>
      </c>
      <c r="E1123" s="789"/>
      <c r="F1123" s="789"/>
    </row>
    <row r="1124" spans="1:6" x14ac:dyDescent="0.25">
      <c r="A1124" s="787" t="s">
        <v>2564</v>
      </c>
      <c r="B1124" s="789">
        <f>IF('RO3'!J$67="","",'RO3'!J$67)</f>
        <v>0</v>
      </c>
      <c r="C1124" s="790">
        <f ca="1">IF(ISERROR(VLOOKUP($A$1124,INDIRECT("notes_"&amp;LEFT($A$1124,3)),4,0)),0,VLOOKUP($A$1124,INDIRECT("notes_"&amp;LEFT($A$1124,3)),4,0))</f>
        <v>0</v>
      </c>
      <c r="D1124" s="789"/>
      <c r="E1124" s="789" t="str">
        <f>'RO3'!P67</f>
        <v/>
      </c>
      <c r="F1124" s="789" t="str">
        <f>'RO3'!R67</f>
        <v/>
      </c>
    </row>
    <row r="1125" spans="1:6" x14ac:dyDescent="0.25">
      <c r="A1125" s="787" t="s">
        <v>3698</v>
      </c>
      <c r="B1125" s="789">
        <f>IF('RO3'!J$68="","",'RO3'!J$68)</f>
        <v>0</v>
      </c>
      <c r="C1125" s="790"/>
      <c r="D1125" s="789">
        <f>'RO3'!O68</f>
        <v>0</v>
      </c>
      <c r="E1125" s="789"/>
      <c r="F1125" s="789"/>
    </row>
    <row r="1126" spans="1:6" x14ac:dyDescent="0.25">
      <c r="A1126" s="787" t="s">
        <v>3699</v>
      </c>
      <c r="B1126" s="789">
        <f>IF('RO3'!J$69="","",'RO3'!J$69)</f>
        <v>0</v>
      </c>
      <c r="C1126" s="790"/>
      <c r="D1126" s="789">
        <f>'RO3'!O69</f>
        <v>0</v>
      </c>
      <c r="E1126" s="789"/>
      <c r="F1126" s="789"/>
    </row>
    <row r="1127" spans="1:6" x14ac:dyDescent="0.25">
      <c r="A1127" s="787" t="s">
        <v>2565</v>
      </c>
      <c r="B1127" s="789">
        <f>IF('RO3'!J$70="","",'RO3'!J$70)</f>
        <v>0</v>
      </c>
      <c r="C1127" s="790">
        <f ca="1">IF(ISERROR(VLOOKUP($A$1127,INDIRECT("notes_"&amp;LEFT($A$1127,3)),4,0)),0,VLOOKUP($A$1127,INDIRECT("notes_"&amp;LEFT($A$1127,3)),4,0))</f>
        <v>0</v>
      </c>
      <c r="D1127" s="789"/>
      <c r="E1127" s="789" t="str">
        <f>'RO3'!P70</f>
        <v/>
      </c>
      <c r="F1127" s="789" t="str">
        <f>'RO3'!R70</f>
        <v/>
      </c>
    </row>
    <row r="1128" spans="1:6" x14ac:dyDescent="0.25">
      <c r="A1128" s="787" t="s">
        <v>3700</v>
      </c>
      <c r="B1128" s="789">
        <f>IF('RO3'!J$71="","",'RO3'!J$71)</f>
        <v>0</v>
      </c>
      <c r="C1128" s="790"/>
      <c r="D1128" s="789">
        <f>'RO3'!O71</f>
        <v>0</v>
      </c>
      <c r="E1128" s="789"/>
      <c r="F1128" s="789"/>
    </row>
    <row r="1129" spans="1:6" x14ac:dyDescent="0.25">
      <c r="A1129" s="787" t="s">
        <v>3701</v>
      </c>
      <c r="B1129" s="789">
        <f>IF('RO3'!J$72="","",'RO3'!J$72)</f>
        <v>0</v>
      </c>
      <c r="C1129" s="790"/>
      <c r="D1129" s="789">
        <f>'RO3'!O72</f>
        <v>0</v>
      </c>
      <c r="E1129" s="789"/>
      <c r="F1129" s="789"/>
    </row>
    <row r="1130" spans="1:6" x14ac:dyDescent="0.25">
      <c r="A1130" s="787" t="s">
        <v>2566</v>
      </c>
      <c r="B1130" s="789">
        <f>IF('RO3'!J$73="","",'RO3'!J$73)</f>
        <v>0</v>
      </c>
      <c r="C1130" s="790">
        <f ca="1">IF(ISERROR(VLOOKUP($A$1130,INDIRECT("notes_"&amp;LEFT($A$1130,3)),4,0)),0,VLOOKUP($A$1130,INDIRECT("notes_"&amp;LEFT($A$1130,3)),4,0))</f>
        <v>0</v>
      </c>
      <c r="D1130" s="789"/>
      <c r="E1130" s="789" t="str">
        <f>'RO3'!Q73</f>
        <v/>
      </c>
      <c r="F1130" s="789">
        <f>'RO3'!S73</f>
        <v>0</v>
      </c>
    </row>
    <row r="1131" spans="1:6" x14ac:dyDescent="0.25">
      <c r="A1131" s="787" t="s">
        <v>3702</v>
      </c>
      <c r="B1131" s="789">
        <f>IF('RO3'!J$74="","",'RO3'!J$74)</f>
        <v>0</v>
      </c>
      <c r="C1131" s="790"/>
      <c r="D1131" s="789">
        <f>'RO3'!O74</f>
        <v>0</v>
      </c>
      <c r="E1131" s="789"/>
      <c r="F1131" s="789"/>
    </row>
    <row r="1132" spans="1:6" x14ac:dyDescent="0.25">
      <c r="A1132" s="787" t="s">
        <v>3703</v>
      </c>
      <c r="B1132" s="789">
        <f>IF('RO3'!J$75="","",'RO3'!J$75)</f>
        <v>0</v>
      </c>
      <c r="C1132" s="790"/>
      <c r="D1132" s="789">
        <f>'RO3'!O75</f>
        <v>0</v>
      </c>
      <c r="E1132" s="789"/>
      <c r="F1132" s="789"/>
    </row>
    <row r="1133" spans="1:6" x14ac:dyDescent="0.25">
      <c r="A1133" s="787" t="s">
        <v>2567</v>
      </c>
      <c r="B1133" s="789">
        <f>IF('RO3'!J$76="","",'RO3'!J$76)</f>
        <v>0</v>
      </c>
      <c r="C1133" s="790">
        <f ca="1">IF(ISERROR(VLOOKUP($A$1133,INDIRECT("notes_"&amp;LEFT($A$1133,3)),4,0)),0,VLOOKUP($A$1133,INDIRECT("notes_"&amp;LEFT($A$1133,3)),4,0))</f>
        <v>0</v>
      </c>
      <c r="D1133" s="789"/>
      <c r="E1133" s="789" t="str">
        <f>'RO3'!Q76</f>
        <v/>
      </c>
      <c r="F1133" s="789">
        <f>'RO3'!S76</f>
        <v>0</v>
      </c>
    </row>
    <row r="1134" spans="1:6" x14ac:dyDescent="0.25">
      <c r="A1134" s="787" t="s">
        <v>3704</v>
      </c>
      <c r="B1134" s="789">
        <f>IF('RO3'!J$77="","",'RO3'!J$77)</f>
        <v>0</v>
      </c>
      <c r="C1134" s="790"/>
      <c r="D1134" s="789">
        <f>'RO3'!O77</f>
        <v>0</v>
      </c>
      <c r="E1134" s="789"/>
      <c r="F1134" s="789"/>
    </row>
    <row r="1135" spans="1:6" x14ac:dyDescent="0.25">
      <c r="A1135" s="787" t="s">
        <v>3705</v>
      </c>
      <c r="B1135" s="789">
        <f>IF('RO3'!J$78="","",'RO3'!J$78)</f>
        <v>0</v>
      </c>
      <c r="C1135" s="790"/>
      <c r="D1135" s="789">
        <f>'RO3'!O78</f>
        <v>0</v>
      </c>
      <c r="E1135" s="789"/>
      <c r="F1135" s="789"/>
    </row>
    <row r="1136" spans="1:6" x14ac:dyDescent="0.25">
      <c r="A1136" s="787" t="s">
        <v>2568</v>
      </c>
      <c r="B1136" s="789">
        <f>IF('RO3'!J$81="","",'RO3'!J$81)</f>
        <v>0</v>
      </c>
      <c r="C1136" s="791">
        <f ca="1">IF(ISERROR(VLOOKUP($A$1136,INDIRECT("notes_"&amp;LEFT($A$1136,3)),4,0)),0,VLOOKUP($A$1136,INDIRECT("notes_"&amp;LEFT($A$1136,3)),4,0))</f>
        <v>0</v>
      </c>
      <c r="D1136" s="789" t="str">
        <f>'RO3'!L81</f>
        <v/>
      </c>
      <c r="E1136" s="789" t="str">
        <f>'RO3'!M81</f>
        <v/>
      </c>
      <c r="F1136" s="789" t="str">
        <f>'RO3'!O81</f>
        <v/>
      </c>
    </row>
    <row r="1137" spans="1:6" x14ac:dyDescent="0.25">
      <c r="A1137" s="787" t="s">
        <v>2569</v>
      </c>
      <c r="B1137" s="789">
        <f>IF('RO3'!J$82="","",'RO3'!J$82)</f>
        <v>0</v>
      </c>
      <c r="C1137" s="791">
        <f ca="1">IF(ISERROR(VLOOKUP($A$1137,INDIRECT("notes_"&amp;LEFT($A$1137,3)),4,0)),0,VLOOKUP($A$1137,INDIRECT("notes_"&amp;LEFT($A$1137,3)),4,0))</f>
        <v>0</v>
      </c>
      <c r="D1137" s="789"/>
      <c r="E1137" s="789"/>
      <c r="F1137" s="789"/>
    </row>
    <row r="1138" spans="1:6" x14ac:dyDescent="0.25">
      <c r="A1138" s="787" t="s">
        <v>2570</v>
      </c>
      <c r="B1138" s="789">
        <f>IF('RO3'!J$83="","",'RO3'!J$83)</f>
        <v>0</v>
      </c>
      <c r="C1138" s="790">
        <f ca="1">IF(ISERROR(VLOOKUP($A$1138,INDIRECT("notes_"&amp;LEFT($A$1138,3)),4,0)),0,VLOOKUP($A$1138,INDIRECT("notes_"&amp;LEFT($A$1138,3)),4,0))</f>
        <v>0</v>
      </c>
      <c r="D1138" s="789" t="str">
        <f>'RO3'!L83</f>
        <v/>
      </c>
      <c r="E1138" s="789" t="str">
        <f>'RO3'!M83</f>
        <v/>
      </c>
      <c r="F1138" s="789" t="str">
        <f>'RO3'!O83</f>
        <v/>
      </c>
    </row>
    <row r="1139" spans="1:6" x14ac:dyDescent="0.25">
      <c r="A1139" s="787" t="s">
        <v>2572</v>
      </c>
      <c r="B1139" s="789">
        <f>IF('RO3'!J$90="","",'RO3'!J$90)</f>
        <v>0</v>
      </c>
      <c r="C1139" s="790">
        <f ca="1">IF(ISERROR(VLOOKUP($A$1139,INDIRECT("notes_"&amp;LEFT($A$1139,3)),4,0)),0,VLOOKUP($A$1139,INDIRECT("notes_"&amp;LEFT($A$1139,3)),4,0))</f>
        <v>0</v>
      </c>
      <c r="D1139" s="789" t="str">
        <f>'RO3'!L90</f>
        <v/>
      </c>
      <c r="E1139" s="789" t="e">
        <f>'RO3'!M90</f>
        <v>#N/A</v>
      </c>
      <c r="F1139" s="789" t="e">
        <f>'RO3'!O90</f>
        <v>#N/A</v>
      </c>
    </row>
    <row r="1140" spans="1:6" x14ac:dyDescent="0.25">
      <c r="A1140" s="787" t="s">
        <v>2573</v>
      </c>
      <c r="B1140" s="789">
        <f>IF('RO3'!J$91="","",'RO3'!J$91)</f>
        <v>0</v>
      </c>
      <c r="C1140" s="790">
        <f ca="1">IF(ISERROR(VLOOKUP($A$1140,INDIRECT("notes_"&amp;LEFT($A$1140,3)),4,0)),0,VLOOKUP($A$1140,INDIRECT("notes_"&amp;LEFT($A$1140,3)),4,0))</f>
        <v>0</v>
      </c>
      <c r="D1140" s="789" t="str">
        <f>'RO3'!L91</f>
        <v/>
      </c>
      <c r="E1140" s="789" t="e">
        <f>'RO3'!M91</f>
        <v>#N/A</v>
      </c>
      <c r="F1140" s="789" t="e">
        <f>'RO3'!O91</f>
        <v>#N/A</v>
      </c>
    </row>
    <row r="1141" spans="1:6" x14ac:dyDescent="0.25">
      <c r="A1141" s="787" t="s">
        <v>2574</v>
      </c>
      <c r="B1141" s="789">
        <f>IF('RO3'!J$92="","",'RO3'!J$92)</f>
        <v>0</v>
      </c>
      <c r="C1141" s="790">
        <f ca="1">IF(ISERROR(VLOOKUP($A$1141,INDIRECT("notes_"&amp;LEFT($A$1141,3)),4,0)),0,VLOOKUP($A$1141,INDIRECT("notes_"&amp;LEFT($A$1141,3)),4,0))</f>
        <v>0</v>
      </c>
      <c r="D1141" s="789" t="str">
        <f>'RO3'!L92</f>
        <v/>
      </c>
      <c r="E1141" s="789" t="str">
        <f>'RO3'!M92</f>
        <v/>
      </c>
      <c r="F1141" s="789" t="str">
        <f>'RO3'!O92</f>
        <v/>
      </c>
    </row>
    <row r="1142" spans="1:6" x14ac:dyDescent="0.25">
      <c r="A1142" s="787" t="s">
        <v>2575</v>
      </c>
      <c r="B1142" s="789">
        <f>IF('RO3'!J$93="","",'RO3'!J$93)</f>
        <v>0</v>
      </c>
      <c r="C1142" s="790">
        <f ca="1">IF(ISERROR(VLOOKUP($A$1142,INDIRECT("notes_"&amp;LEFT($A$1142,3)),4,0)),0,VLOOKUP($A$1142,INDIRECT("notes_"&amp;LEFT($A$1142,3)),4,0))</f>
        <v>0</v>
      </c>
      <c r="D1142" s="789" t="str">
        <f>'RO3'!L93</f>
        <v/>
      </c>
      <c r="E1142" s="789" t="e">
        <f>'RO3'!M93</f>
        <v>#N/A</v>
      </c>
      <c r="F1142" s="789" t="e">
        <f>'RO3'!O93</f>
        <v>#N/A</v>
      </c>
    </row>
    <row r="1143" spans="1:6" x14ac:dyDescent="0.25">
      <c r="A1143" s="787" t="s">
        <v>2576</v>
      </c>
      <c r="B1143" s="789">
        <f>IF('RO3'!J$94="","",'RO3'!J$94)</f>
        <v>0</v>
      </c>
      <c r="C1143" s="790">
        <f ca="1">IF(ISERROR(VLOOKUP($A$1143,INDIRECT("notes_"&amp;LEFT($A$1143,3)),4,0)),0,VLOOKUP($A$1143,INDIRECT("notes_"&amp;LEFT($A$1143,3)),4,0))</f>
        <v>0</v>
      </c>
      <c r="D1143" s="789" t="str">
        <f>'RO3'!L94</f>
        <v/>
      </c>
      <c r="E1143" s="789" t="e">
        <f>'RO3'!M94</f>
        <v>#N/A</v>
      </c>
      <c r="F1143" s="789" t="e">
        <f>'RO3'!O94</f>
        <v>#N/A</v>
      </c>
    </row>
    <row r="1144" spans="1:6" x14ac:dyDescent="0.25">
      <c r="A1144" s="787" t="s">
        <v>2577</v>
      </c>
      <c r="B1144" s="789">
        <f>IF('RO3'!J$95="","",'RO3'!J$95)</f>
        <v>0</v>
      </c>
      <c r="C1144" s="790">
        <f ca="1">IF(ISERROR(VLOOKUP($A$1144,INDIRECT("notes_"&amp;LEFT($A$1144,3)),4,0)),0,VLOOKUP($A$1144,INDIRECT("notes_"&amp;LEFT($A$1144,3)),4,0))</f>
        <v>0</v>
      </c>
      <c r="D1144" s="789" t="str">
        <f>'RO3'!L95</f>
        <v/>
      </c>
      <c r="E1144" s="789" t="e">
        <f>'RO3'!M95</f>
        <v>#N/A</v>
      </c>
      <c r="F1144" s="789" t="e">
        <f>'RO3'!O95</f>
        <v>#N/A</v>
      </c>
    </row>
    <row r="1145" spans="1:6" x14ac:dyDescent="0.25">
      <c r="A1145" s="787" t="s">
        <v>2578</v>
      </c>
      <c r="B1145" s="789">
        <f>IF('RO3'!J$96="","",'RO3'!J$96)</f>
        <v>0</v>
      </c>
      <c r="C1145" s="790">
        <f ca="1">IF(ISERROR(VLOOKUP($A$1145,INDIRECT("notes_"&amp;LEFT($A$1145,3)),4,0)),0,VLOOKUP($A$1145,INDIRECT("notes_"&amp;LEFT($A$1145,3)),4,0))</f>
        <v>0</v>
      </c>
      <c r="D1145" s="789" t="str">
        <f>'RO3'!L96</f>
        <v/>
      </c>
      <c r="E1145" s="789" t="e">
        <f>'RO3'!M96</f>
        <v>#N/A</v>
      </c>
      <c r="F1145" s="789" t="e">
        <f>'RO3'!O96</f>
        <v>#N/A</v>
      </c>
    </row>
    <row r="1146" spans="1:6" x14ac:dyDescent="0.25">
      <c r="A1146" s="787" t="s">
        <v>2579</v>
      </c>
      <c r="B1146" s="789">
        <f>IF('RO3'!J$97="","",'RO3'!J$97)</f>
        <v>0</v>
      </c>
      <c r="C1146" s="790">
        <f ca="1">IF(ISERROR(VLOOKUP($A$1146,INDIRECT("notes_"&amp;LEFT($A$1146,3)),4,0)),0,VLOOKUP($A$1146,INDIRECT("notes_"&amp;LEFT($A$1146,3)),4,0))</f>
        <v>0</v>
      </c>
      <c r="D1146" s="789" t="str">
        <f>'RO3'!L97</f>
        <v/>
      </c>
      <c r="E1146" s="789" t="str">
        <f>'RO3'!M97</f>
        <v/>
      </c>
      <c r="F1146" s="789" t="str">
        <f>'RO3'!O97</f>
        <v/>
      </c>
    </row>
    <row r="1147" spans="1:6" x14ac:dyDescent="0.25">
      <c r="A1147" s="787" t="s">
        <v>2580</v>
      </c>
      <c r="B1147" s="789">
        <f>IF('RO3'!J$98="","",'RO3'!J$98)</f>
        <v>0</v>
      </c>
      <c r="C1147" s="790">
        <f ca="1">IF(ISERROR(VLOOKUP($A$1147,INDIRECT("notes_"&amp;LEFT($A$1147,3)),4,0)),0,VLOOKUP($A$1147,INDIRECT("notes_"&amp;LEFT($A$1147,3)),4,0))</f>
        <v>0</v>
      </c>
      <c r="D1147" s="789" t="str">
        <f>'RO3'!L98</f>
        <v/>
      </c>
      <c r="E1147" s="789" t="str">
        <f>'RO3'!M98</f>
        <v/>
      </c>
      <c r="F1147" s="789" t="str">
        <f>'RO3'!O98</f>
        <v/>
      </c>
    </row>
    <row r="1148" spans="1:6" x14ac:dyDescent="0.25">
      <c r="A1148" s="787" t="s">
        <v>2581</v>
      </c>
      <c r="B1148" s="789">
        <f>IF('RO3'!J$99="","",'RO3'!J$99)</f>
        <v>0</v>
      </c>
      <c r="C1148" s="790">
        <f ca="1">IF(ISERROR(VLOOKUP($A$1148,INDIRECT("notes_"&amp;LEFT($A$1148,3)),4,0)),0,VLOOKUP($A$1148,INDIRECT("notes_"&amp;LEFT($A$1148,3)),4,0))</f>
        <v>0</v>
      </c>
      <c r="D1148" s="789" t="str">
        <f>'RO3'!L99</f>
        <v/>
      </c>
      <c r="E1148" s="789" t="str">
        <f>'RO3'!M99</f>
        <v/>
      </c>
      <c r="F1148" s="789" t="str">
        <f>'RO3'!O99</f>
        <v/>
      </c>
    </row>
    <row r="1149" spans="1:6" x14ac:dyDescent="0.25">
      <c r="A1149" s="787" t="s">
        <v>2582</v>
      </c>
      <c r="B1149" s="789">
        <f>IF('RO3'!J$100="","",'RO3'!J$100)</f>
        <v>0</v>
      </c>
      <c r="C1149" s="790">
        <f ca="1">IF(ISERROR(VLOOKUP($A$1149,INDIRECT("notes_"&amp;LEFT($A$1149,3)),4,0)),0,VLOOKUP($A$1149,INDIRECT("notes_"&amp;LEFT($A$1149,3)),4,0))</f>
        <v>0</v>
      </c>
      <c r="D1149" s="789" t="str">
        <f>'RO3'!L100</f>
        <v/>
      </c>
      <c r="E1149" s="789" t="str">
        <f>'RO3'!M100</f>
        <v/>
      </c>
      <c r="F1149" s="789" t="str">
        <f>'RO3'!O100</f>
        <v/>
      </c>
    </row>
    <row r="1150" spans="1:6" x14ac:dyDescent="0.25">
      <c r="A1150" s="787" t="s">
        <v>2583</v>
      </c>
      <c r="B1150" s="789">
        <f>IF('RO3'!J$101="","",'RO3'!J$101)</f>
        <v>0</v>
      </c>
      <c r="C1150" s="790">
        <f ca="1">IF(ISERROR(VLOOKUP($A$1150,INDIRECT("notes_"&amp;LEFT($A$1150,3)),4,0)),0,VLOOKUP($A$1150,INDIRECT("notes_"&amp;LEFT($A$1150,3)),4,0))</f>
        <v>0</v>
      </c>
      <c r="D1150" s="789" t="str">
        <f>'RO3'!L101</f>
        <v/>
      </c>
      <c r="E1150" s="789" t="str">
        <f>'RO3'!M101</f>
        <v/>
      </c>
      <c r="F1150" s="789" t="str">
        <f>'RO3'!O101</f>
        <v/>
      </c>
    </row>
    <row r="1151" spans="1:6" x14ac:dyDescent="0.25">
      <c r="A1151" s="787" t="s">
        <v>2584</v>
      </c>
      <c r="B1151" s="789">
        <f>IF('RO3'!J$102="","",'RO3'!J$102)</f>
        <v>0</v>
      </c>
      <c r="C1151" s="790">
        <f ca="1">IF(ISERROR(VLOOKUP($A$1151,INDIRECT("notes_"&amp;LEFT($A$1151,3)),4,0)),0,VLOOKUP($A$1151,INDIRECT("notes_"&amp;LEFT($A$1151,3)),4,0))</f>
        <v>0</v>
      </c>
      <c r="D1151" s="789" t="str">
        <f>'RO3'!L102</f>
        <v/>
      </c>
      <c r="E1151" s="789" t="str">
        <f>'RO3'!M102</f>
        <v/>
      </c>
      <c r="F1151" s="789" t="str">
        <f>'RO3'!O102</f>
        <v/>
      </c>
    </row>
    <row r="1152" spans="1:6" x14ac:dyDescent="0.25">
      <c r="A1152" s="787" t="s">
        <v>2585</v>
      </c>
      <c r="B1152" s="789">
        <f>IF('RO3'!J$103="","",'RO3'!J$103)</f>
        <v>0</v>
      </c>
      <c r="C1152" s="790">
        <f ca="1">IF(ISERROR(VLOOKUP($A$1152,INDIRECT("notes_"&amp;LEFT($A$1152,3)),4,0)),0,VLOOKUP($A$1152,INDIRECT("notes_"&amp;LEFT($A$1152,3)),4,0))</f>
        <v>0</v>
      </c>
      <c r="D1152" s="789" t="str">
        <f>'RO3'!L103</f>
        <v/>
      </c>
      <c r="E1152" s="789" t="str">
        <f>'RO3'!M103</f>
        <v/>
      </c>
      <c r="F1152" s="789" t="str">
        <f>'RO3'!O103</f>
        <v/>
      </c>
    </row>
    <row r="1153" spans="1:6" x14ac:dyDescent="0.25">
      <c r="A1153" s="787" t="s">
        <v>2586</v>
      </c>
      <c r="B1153" s="789">
        <f>IF('RO3'!J$104="","",'RO3'!J$104)</f>
        <v>0</v>
      </c>
      <c r="C1153" s="790">
        <f ca="1">IF(ISERROR(VLOOKUP($A$1153,INDIRECT("notes_"&amp;LEFT($A$1153,3)),4,0)),0,VLOOKUP($A$1153,INDIRECT("notes_"&amp;LEFT($A$1153,3)),4,0))</f>
        <v>0</v>
      </c>
      <c r="D1153" s="789" t="str">
        <f>'RO3'!L104</f>
        <v/>
      </c>
      <c r="E1153" s="789" t="str">
        <f>'RO3'!M104</f>
        <v/>
      </c>
      <c r="F1153" s="789" t="str">
        <f>'RO3'!O104</f>
        <v/>
      </c>
    </row>
    <row r="1154" spans="1:6" x14ac:dyDescent="0.25">
      <c r="A1154" s="787" t="s">
        <v>2587</v>
      </c>
      <c r="B1154" s="789">
        <f>IF('RO3'!J$105="","",'RO3'!J$105)</f>
        <v>0</v>
      </c>
      <c r="C1154" s="790">
        <f ca="1">IF(ISERROR(VLOOKUP($A$1154,INDIRECT("notes_"&amp;LEFT($A$1154,3)),4,0)),0,VLOOKUP($A$1154,INDIRECT("notes_"&amp;LEFT($A$1154,3)),4,0))</f>
        <v>0</v>
      </c>
      <c r="D1154" s="789" t="str">
        <f>'RO3'!L105</f>
        <v/>
      </c>
      <c r="E1154" s="789" t="str">
        <f>'RO3'!M105</f>
        <v/>
      </c>
      <c r="F1154" s="789" t="str">
        <f>'RO3'!O105</f>
        <v/>
      </c>
    </row>
    <row r="1155" spans="1:6" x14ac:dyDescent="0.25">
      <c r="A1155" s="787" t="s">
        <v>2588</v>
      </c>
      <c r="B1155" s="789">
        <f>IF('RO3'!J$106="","",'RO3'!J$106)</f>
        <v>0</v>
      </c>
      <c r="C1155" s="790">
        <f ca="1">IF(ISERROR(VLOOKUP($A$1155,INDIRECT("notes_"&amp;LEFT($A$1155,3)),4,0)),0,VLOOKUP($A$1155,INDIRECT("notes_"&amp;LEFT($A$1155,3)),4,0))</f>
        <v>0</v>
      </c>
      <c r="D1155" s="789" t="str">
        <f>'RO3'!L106</f>
        <v/>
      </c>
      <c r="E1155" s="789" t="str">
        <f>'RO3'!M106</f>
        <v/>
      </c>
      <c r="F1155" s="789" t="str">
        <f>'RO3'!O106</f>
        <v/>
      </c>
    </row>
    <row r="1156" spans="1:6" x14ac:dyDescent="0.25">
      <c r="A1156" s="787" t="s">
        <v>2589</v>
      </c>
      <c r="B1156" s="789">
        <f>IF('RO3'!J$107="","",'RO3'!J$107)</f>
        <v>0</v>
      </c>
      <c r="C1156" s="790">
        <f ca="1">IF(ISERROR(VLOOKUP($A$1156,INDIRECT("notes_"&amp;LEFT($A$1156,3)),4,0)),0,VLOOKUP($A$1156,INDIRECT("notes_"&amp;LEFT($A$1156,3)),4,0))</f>
        <v>0</v>
      </c>
      <c r="D1156" s="789" t="str">
        <f>'RO3'!L107</f>
        <v/>
      </c>
      <c r="E1156" s="789" t="str">
        <f>'RO3'!M107</f>
        <v/>
      </c>
      <c r="F1156" s="789" t="str">
        <f>'RO3'!O107</f>
        <v/>
      </c>
    </row>
    <row r="1157" spans="1:6" x14ac:dyDescent="0.25">
      <c r="A1157" s="787" t="s">
        <v>2590</v>
      </c>
      <c r="B1157" s="789">
        <f>IF('RO3'!J$108="","",'RO3'!J$108)</f>
        <v>0</v>
      </c>
      <c r="C1157" s="790">
        <f ca="1">IF(ISERROR(VLOOKUP($A$1157,INDIRECT("notes_"&amp;LEFT($A$1157,3)),4,0)),0,VLOOKUP($A$1157,INDIRECT("notes_"&amp;LEFT($A$1157,3)),4,0))</f>
        <v>0</v>
      </c>
      <c r="D1157" s="789" t="str">
        <f>'RO3'!L108</f>
        <v/>
      </c>
      <c r="E1157" s="789" t="str">
        <f>'RO3'!M108</f>
        <v/>
      </c>
      <c r="F1157" s="789" t="str">
        <f>'RO3'!O108</f>
        <v/>
      </c>
    </row>
    <row r="1158" spans="1:6" x14ac:dyDescent="0.25">
      <c r="A1158" s="787" t="s">
        <v>2591</v>
      </c>
      <c r="B1158" s="789">
        <f>IF('RO3'!J$109="","",'RO3'!J$109)</f>
        <v>0</v>
      </c>
      <c r="C1158" s="790">
        <f ca="1">IF(ISERROR(VLOOKUP($A$1158,INDIRECT("notes_"&amp;LEFT($A$1158,3)),4,0)),0,VLOOKUP($A$1158,INDIRECT("notes_"&amp;LEFT($A$1158,3)),4,0))</f>
        <v>0</v>
      </c>
      <c r="D1158" s="789" t="str">
        <f>'RO3'!L109</f>
        <v/>
      </c>
      <c r="E1158" s="789" t="e">
        <f>'RO3'!M109</f>
        <v>#N/A</v>
      </c>
      <c r="F1158" s="789" t="e">
        <f>'RO3'!O109</f>
        <v>#N/A</v>
      </c>
    </row>
    <row r="1159" spans="1:6" x14ac:dyDescent="0.25">
      <c r="A1159" s="787" t="s">
        <v>2592</v>
      </c>
      <c r="B1159" s="789">
        <f>IF('RO3'!J$110="","",'RO3'!J$110)</f>
        <v>0</v>
      </c>
      <c r="C1159" s="790">
        <f ca="1">IF(ISERROR(VLOOKUP($A$1159,INDIRECT("notes_"&amp;LEFT($A$1159,3)),4,0)),0,VLOOKUP($A$1159,INDIRECT("notes_"&amp;LEFT($A$1159,3)),4,0))</f>
        <v>0</v>
      </c>
      <c r="D1159" s="789" t="str">
        <f>'RO3'!L110</f>
        <v/>
      </c>
      <c r="E1159" s="789" t="e">
        <f>'RO3'!M110</f>
        <v>#N/A</v>
      </c>
      <c r="F1159" s="789" t="e">
        <f>'RO3'!O110</f>
        <v>#N/A</v>
      </c>
    </row>
    <row r="1160" spans="1:6" x14ac:dyDescent="0.25">
      <c r="A1160" s="787" t="s">
        <v>2593</v>
      </c>
      <c r="B1160" s="789">
        <f>IF('RO3'!J$111="","",'RO3'!J$111)</f>
        <v>0</v>
      </c>
      <c r="C1160" s="790">
        <f ca="1">IF(ISERROR(VLOOKUP($A$1160,INDIRECT("notes_"&amp;LEFT($A$1160,3)),4,0)),0,VLOOKUP($A$1160,INDIRECT("notes_"&amp;LEFT($A$1160,3)),4,0))</f>
        <v>0</v>
      </c>
      <c r="D1160" s="789" t="str">
        <f>'RO3'!L111</f>
        <v/>
      </c>
      <c r="E1160" s="789" t="str">
        <f>'RO3'!M111</f>
        <v/>
      </c>
      <c r="F1160" s="789" t="str">
        <f>'RO3'!O111</f>
        <v/>
      </c>
    </row>
    <row r="1161" spans="1:6" x14ac:dyDescent="0.25">
      <c r="A1161" s="787" t="s">
        <v>2594</v>
      </c>
      <c r="B1161" s="789">
        <f>IF('RO3'!J$112="","",'RO3'!J$112)</f>
        <v>0</v>
      </c>
      <c r="C1161" s="790">
        <f ca="1">IF(ISERROR(VLOOKUP($A$1161,INDIRECT("notes_"&amp;LEFT($A$1161,3)),4,0)),0,VLOOKUP($A$1161,INDIRECT("notes_"&amp;LEFT($A$1161,3)),4,0))</f>
        <v>0</v>
      </c>
      <c r="D1161" s="789" t="str">
        <f>'RO3'!L112</f>
        <v/>
      </c>
      <c r="E1161" s="789" t="str">
        <f>'RO3'!M112</f>
        <v/>
      </c>
      <c r="F1161" s="789" t="str">
        <f>'RO3'!O112</f>
        <v/>
      </c>
    </row>
    <row r="1162" spans="1:6" x14ac:dyDescent="0.25">
      <c r="A1162" s="787" t="s">
        <v>2595</v>
      </c>
      <c r="B1162" s="789">
        <f>IF('RO3'!J$113="","",'RO3'!J$113)</f>
        <v>0</v>
      </c>
      <c r="C1162" s="790">
        <f ca="1">IF(ISERROR(VLOOKUP($A$1162,INDIRECT("notes_"&amp;LEFT($A$1162,3)),4,0)),0,VLOOKUP($A$1162,INDIRECT("notes_"&amp;LEFT($A$1162,3)),4,0))</f>
        <v>0</v>
      </c>
      <c r="D1162" s="789" t="str">
        <f>'RO3'!L113</f>
        <v/>
      </c>
      <c r="E1162" s="789" t="e">
        <f>'RO3'!M113</f>
        <v>#DIV/0!</v>
      </c>
      <c r="F1162" s="789" t="str">
        <f>'RO3'!O113</f>
        <v/>
      </c>
    </row>
    <row r="1163" spans="1:6" x14ac:dyDescent="0.25">
      <c r="A1163" s="787" t="s">
        <v>2596</v>
      </c>
      <c r="B1163" s="789">
        <f>IF('RO3'!J$114="","",'RO3'!J$114)</f>
        <v>0</v>
      </c>
      <c r="C1163" s="791">
        <f ca="1">IF(ISERROR(VLOOKUP($A$1163,INDIRECT("notes_"&amp;LEFT($A$1163,3)),4,0)),0,VLOOKUP($A$1163,INDIRECT("notes_"&amp;LEFT($A$1163,3)),4,0))</f>
        <v>0</v>
      </c>
      <c r="D1163" s="789" t="str">
        <f>'RO3'!L114</f>
        <v/>
      </c>
      <c r="E1163" s="789" t="str">
        <f>'RO3'!M114</f>
        <v/>
      </c>
      <c r="F1163" s="789" t="str">
        <f>'RO3'!O114</f>
        <v/>
      </c>
    </row>
    <row r="1164" spans="1:6" x14ac:dyDescent="0.25">
      <c r="A1164" s="787" t="s">
        <v>2597</v>
      </c>
      <c r="B1164" s="789">
        <f>IF('RO3'!J$115="","",'RO3'!J$115)</f>
        <v>0</v>
      </c>
      <c r="C1164" s="791">
        <f ca="1">IF(ISERROR(VLOOKUP($A$1164,INDIRECT("notes_"&amp;LEFT($A$1164,3)),4,0)),0,VLOOKUP($A$1164,INDIRECT("notes_"&amp;LEFT($A$1164,3)),4,0))</f>
        <v>0</v>
      </c>
      <c r="D1164" s="789" t="str">
        <f>'RO3'!L115</f>
        <v/>
      </c>
      <c r="E1164" s="789" t="str">
        <f>'RO3'!M115</f>
        <v/>
      </c>
      <c r="F1164" s="789" t="str">
        <f>'RO3'!O115</f>
        <v/>
      </c>
    </row>
    <row r="1165" spans="1:6" x14ac:dyDescent="0.25">
      <c r="A1165" s="787" t="s">
        <v>2598</v>
      </c>
      <c r="B1165" s="789">
        <f>IF('RO3'!J$117="","",'RO3'!J$117)</f>
        <v>0</v>
      </c>
      <c r="C1165" s="790">
        <f ca="1">IF(ISERROR(VLOOKUP($A$1165,INDIRECT("notes_"&amp;LEFT($A$1165,3)),4,0)),0,VLOOKUP($A$1165,INDIRECT("notes_"&amp;LEFT($A$1165,3)),4,0))</f>
        <v>0</v>
      </c>
      <c r="D1165" s="789" t="str">
        <f>'RO3'!L117</f>
        <v/>
      </c>
      <c r="E1165" s="789" t="e">
        <f>'RO3'!M117</f>
        <v>#N/A</v>
      </c>
      <c r="F1165" s="789" t="e">
        <f>'RO3'!O117</f>
        <v>#N/A</v>
      </c>
    </row>
    <row r="1166" spans="1:6" x14ac:dyDescent="0.25">
      <c r="A1166" s="787" t="s">
        <v>2601</v>
      </c>
      <c r="B1166" s="789" t="str">
        <f>IF('RO3'!J$126="","",'RO3'!J$126)</f>
        <v/>
      </c>
      <c r="C1166" s="790">
        <f ca="1">IF(ISERROR(VLOOKUP(A1166,INDIRECT("notes_"&amp;LEFT(A1166,3)),4,0)),0,VLOOKUP(A1166,INDIRECT("notes_"&amp;LEFT(A1166,3)),4,0))</f>
        <v>0</v>
      </c>
      <c r="D1166" s="789" t="str">
        <f>'RO3'!L126</f>
        <v/>
      </c>
      <c r="E1166" s="789" t="str">
        <f>'RO3'!M126</f>
        <v/>
      </c>
      <c r="F1166" s="789" t="str">
        <f>'RO3'!O126</f>
        <v/>
      </c>
    </row>
    <row r="1167" spans="1:6" x14ac:dyDescent="0.25">
      <c r="A1167" s="787" t="s">
        <v>2602</v>
      </c>
      <c r="B1167" s="789" t="str">
        <f>IF('RO3'!J$127="","",'RO3'!J$127)</f>
        <v/>
      </c>
      <c r="C1167" s="790">
        <f ca="1">IF(ISERROR(VLOOKUP(A1167,INDIRECT("notes_"&amp;LEFT(A1167,3)),4,0)),0,VLOOKUP(A1167,INDIRECT("notes_"&amp;LEFT(A1167,3)),4,0))</f>
        <v>0</v>
      </c>
      <c r="D1167" s="789" t="str">
        <f>'RO3'!L127</f>
        <v/>
      </c>
      <c r="E1167" s="789" t="str">
        <f>'RO3'!M127</f>
        <v/>
      </c>
      <c r="F1167" s="789" t="str">
        <f>'RO3'!O127</f>
        <v/>
      </c>
    </row>
    <row r="1168" spans="1:6" x14ac:dyDescent="0.25">
      <c r="A1168" s="787" t="s">
        <v>2603</v>
      </c>
      <c r="B1168" s="789" t="str">
        <f>IF('RO3'!J$128="","",'RO3'!J$128)</f>
        <v/>
      </c>
      <c r="C1168" s="790">
        <f ca="1">IF(ISERROR(VLOOKUP(A1168,INDIRECT("notes_"&amp;LEFT(A1168,3)),4,0)),0,VLOOKUP(A1168,INDIRECT("notes_"&amp;LEFT(A1168,3)),4,0))</f>
        <v>0</v>
      </c>
      <c r="D1168" s="789" t="str">
        <f>'RO3'!L128</f>
        <v/>
      </c>
      <c r="E1168" s="789" t="str">
        <f>'RO3'!M128</f>
        <v/>
      </c>
      <c r="F1168" s="789" t="str">
        <f>'RO3'!O128</f>
        <v/>
      </c>
    </row>
    <row r="1169" spans="1:6" x14ac:dyDescent="0.25">
      <c r="A1169" s="787" t="s">
        <v>2604</v>
      </c>
      <c r="B1169" s="789" t="str">
        <f>IF('RO3'!J$129="","",'RO3'!J$129)</f>
        <v/>
      </c>
      <c r="C1169" s="790">
        <f ca="1">IF(ISERROR(VLOOKUP(A1169,INDIRECT("notes_"&amp;LEFT(A1169,3)),4,0)),0,VLOOKUP(A1169,INDIRECT("notes_"&amp;LEFT(A1169,3)),4,0))</f>
        <v>0</v>
      </c>
      <c r="D1169" s="789" t="str">
        <f>'RO3'!L129</f>
        <v/>
      </c>
      <c r="E1169" s="789" t="str">
        <f>'RO3'!M129</f>
        <v/>
      </c>
      <c r="F1169" s="789" t="str">
        <f>'RO3'!O129</f>
        <v/>
      </c>
    </row>
    <row r="1170" spans="1:6" x14ac:dyDescent="0.25">
      <c r="A1170" s="787" t="s">
        <v>2600</v>
      </c>
      <c r="B1170" s="789">
        <f>IF('RO3'!J$132="","",'RO3'!J$132)</f>
        <v>0</v>
      </c>
      <c r="C1170" s="790">
        <f ca="1">IF(ISERROR(VLOOKUP($A$1170,INDIRECT("notes_"&amp;LEFT($A$1170,3)),4,0)),0,VLOOKUP($A$1170,INDIRECT("notes_"&amp;LEFT($A$1170,3)),4,0))</f>
        <v>0</v>
      </c>
      <c r="D1170" s="789" t="str">
        <f>'RO3'!L132</f>
        <v/>
      </c>
      <c r="E1170" s="789" t="str">
        <f>'RO3'!M132</f>
        <v/>
      </c>
      <c r="F1170" s="789" t="str">
        <f>'RO3'!O132</f>
        <v/>
      </c>
    </row>
    <row r="1171" spans="1:6" x14ac:dyDescent="0.25">
      <c r="A1171" s="787" t="s">
        <v>2605</v>
      </c>
      <c r="B1171" s="789">
        <f>IF('RO3'!J$134="","",'RO3'!J$134)</f>
        <v>0</v>
      </c>
      <c r="C1171" s="790">
        <f ca="1">IF(ISERROR(VLOOKUP($A$1171,INDIRECT("notes_"&amp;LEFT($A$1171,3)),4,0)),0,VLOOKUP($A$1171,INDIRECT("notes_"&amp;LEFT($A$1171,3)),4,0))</f>
        <v>0</v>
      </c>
      <c r="D1171" s="789" t="str">
        <f>'RO3'!L134</f>
        <v/>
      </c>
      <c r="E1171" s="789" t="str">
        <f>'RO3'!M134</f>
        <v/>
      </c>
      <c r="F1171" s="789" t="str">
        <f>'RO3'!O134</f>
        <v/>
      </c>
    </row>
    <row r="1172" spans="1:6" x14ac:dyDescent="0.25">
      <c r="A1172" s="787" t="s">
        <v>3706</v>
      </c>
      <c r="B1172" s="789" t="str">
        <f>IF(ISNUMBER(SEARCH("resolve",'RO4'!A17)),'RO4'!A17,"")</f>
        <v/>
      </c>
      <c r="C1172" s="790"/>
    </row>
    <row r="1173" spans="1:6" x14ac:dyDescent="0.25">
      <c r="A1173" s="787" t="s">
        <v>3707</v>
      </c>
      <c r="B1173" s="789" t="str">
        <f>IF('RO4'!D$31="","",'RO4'!D$31)</f>
        <v/>
      </c>
      <c r="C1173" s="790">
        <f ca="1">IF(ISERROR(VLOOKUP($A$1306,INDIRECT("notes_"&amp;LEFT($A$1306,3)),4,0)),0,VLOOKUP($A$1306,INDIRECT("notes_"&amp;LEFT($A$1306,3)),4,0))</f>
        <v>0</v>
      </c>
    </row>
    <row r="1174" spans="1:6" x14ac:dyDescent="0.25">
      <c r="A1174" s="787" t="s">
        <v>3708</v>
      </c>
      <c r="B1174" s="789" t="str">
        <f>IF('RO4'!D$33="","",'RO4'!D$33)</f>
        <v/>
      </c>
      <c r="C1174" s="790">
        <f ca="1">IF(ISERROR(VLOOKUP($A$1307,INDIRECT("notes_"&amp;LEFT($A$1307,3)),4,0)),0,VLOOKUP($A$1307,INDIRECT("notes_"&amp;LEFT($A$1307,3)),4,0))</f>
        <v>0</v>
      </c>
    </row>
    <row r="1175" spans="1:6" x14ac:dyDescent="0.25">
      <c r="A1175" s="787" t="s">
        <v>3709</v>
      </c>
      <c r="B1175" s="789" t="str">
        <f>IF('RO4'!D$36="","",'RO4'!D$36)</f>
        <v/>
      </c>
      <c r="C1175" s="790">
        <f ca="1">IF(ISERROR(VLOOKUP($A$1308,INDIRECT("notes_"&amp;LEFT($A$1308,3)),4,0)),0,VLOOKUP($A$1308,INDIRECT("notes_"&amp;LEFT($A$1308,3)),4,0))</f>
        <v>0</v>
      </c>
    </row>
    <row r="1176" spans="1:6" x14ac:dyDescent="0.25">
      <c r="A1176" s="787" t="s">
        <v>3710</v>
      </c>
      <c r="B1176" s="789" t="str">
        <f>IF('RO4'!D$37="","",'RO4'!D$37)</f>
        <v/>
      </c>
      <c r="C1176" s="790">
        <f ca="1">IF(ISERROR(VLOOKUP($A$1309,INDIRECT("notes_"&amp;LEFT($A$1309,3)),4,0)),0,VLOOKUP($A$1309,INDIRECT("notes_"&amp;LEFT($A$1309,3)),4,0))</f>
        <v>0</v>
      </c>
    </row>
    <row r="1177" spans="1:6" x14ac:dyDescent="0.25">
      <c r="A1177" s="787" t="s">
        <v>3711</v>
      </c>
      <c r="B1177" s="789" t="str">
        <f>IF('RO4'!D$40="","",'RO4'!D$40)</f>
        <v/>
      </c>
      <c r="C1177" s="790">
        <f ca="1">IF(ISERROR(VLOOKUP($A$1310,INDIRECT("notes_"&amp;LEFT($A$1310,3)),4,0)),0,VLOOKUP($A$1310,INDIRECT("notes_"&amp;LEFT($A$1310,3)),4,0))</f>
        <v>0</v>
      </c>
    </row>
    <row r="1178" spans="1:6" x14ac:dyDescent="0.25">
      <c r="A1178" s="787" t="s">
        <v>3712</v>
      </c>
      <c r="B1178" s="789" t="str">
        <f>IF('RO4'!D$41="","",'RO4'!D$41)</f>
        <v/>
      </c>
      <c r="C1178" s="790">
        <f ca="1">IF(ISERROR(VLOOKUP($A$1311,INDIRECT("notes_"&amp;LEFT($A$1311,3)),4,0)),0,VLOOKUP($A$1311,INDIRECT("notes_"&amp;LEFT($A$1311,3)),4,0))</f>
        <v>0</v>
      </c>
    </row>
    <row r="1179" spans="1:6" x14ac:dyDescent="0.25">
      <c r="A1179" s="787" t="s">
        <v>3713</v>
      </c>
      <c r="B1179" s="789" t="str">
        <f>IF('RO4'!D$42="","",'RO4'!D$42)</f>
        <v/>
      </c>
      <c r="C1179" s="790">
        <f ca="1">IF(ISERROR(VLOOKUP($A$1312,INDIRECT("notes_"&amp;LEFT($A$1312,3)),4,0)),0,VLOOKUP($A$1312,INDIRECT("notes_"&amp;LEFT($A$1312,3)),4,0))</f>
        <v>0</v>
      </c>
    </row>
    <row r="1180" spans="1:6" x14ac:dyDescent="0.25">
      <c r="A1180" s="787" t="s">
        <v>3714</v>
      </c>
      <c r="B1180" s="789" t="str">
        <f>IF('RO4'!D$43="","",'RO4'!D$43)</f>
        <v/>
      </c>
      <c r="C1180" s="790">
        <f ca="1">IF(ISERROR(VLOOKUP($A$1313,INDIRECT("notes_"&amp;LEFT($A$1313,3)),4,0)),0,VLOOKUP($A$1313,INDIRECT("notes_"&amp;LEFT($A$1313,3)),4,0))</f>
        <v>0</v>
      </c>
    </row>
    <row r="1181" spans="1:6" x14ac:dyDescent="0.25">
      <c r="A1181" s="787" t="s">
        <v>3715</v>
      </c>
      <c r="B1181" s="789" t="str">
        <f>IF('RO4'!D$44="","",'RO4'!D$44)</f>
        <v/>
      </c>
      <c r="C1181" s="790">
        <f ca="1">IF(ISERROR(VLOOKUP($A$1314,INDIRECT("notes_"&amp;LEFT($A$1314,3)),4,0)),0,VLOOKUP($A$1314,INDIRECT("notes_"&amp;LEFT($A$1314,3)),4,0))</f>
        <v>0</v>
      </c>
    </row>
    <row r="1182" spans="1:6" x14ac:dyDescent="0.25">
      <c r="A1182" s="787" t="s">
        <v>3716</v>
      </c>
      <c r="B1182" s="789" t="str">
        <f>IF('RO4'!D$45="","",'RO4'!D$45)</f>
        <v/>
      </c>
      <c r="C1182" s="790">
        <f ca="1">IF(ISERROR(VLOOKUP($A$1315,INDIRECT("notes_"&amp;LEFT($A$1315,3)),4,0)),0,VLOOKUP($A$1315,INDIRECT("notes_"&amp;LEFT($A$1315,3)),4,0))</f>
        <v>0</v>
      </c>
    </row>
    <row r="1183" spans="1:6" x14ac:dyDescent="0.25">
      <c r="A1183" s="787" t="s">
        <v>3717</v>
      </c>
      <c r="B1183" s="789" t="str">
        <f>IF('RO4'!D$46="","",'RO4'!D$46)</f>
        <v/>
      </c>
      <c r="C1183" s="790">
        <f ca="1">IF(ISERROR(VLOOKUP($A$1316,INDIRECT("notes_"&amp;LEFT($A$1316,3)),4,0)),0,VLOOKUP($A$1316,INDIRECT("notes_"&amp;LEFT($A$1316,3)),4,0))</f>
        <v>0</v>
      </c>
    </row>
    <row r="1184" spans="1:6" x14ac:dyDescent="0.25">
      <c r="A1184" s="787" t="s">
        <v>3718</v>
      </c>
      <c r="B1184" s="789" t="str">
        <f>IF('RO4'!D$47="","",'RO4'!D$47)</f>
        <v/>
      </c>
      <c r="C1184" s="790">
        <f ca="1">IF(ISERROR(VLOOKUP($A$1317,INDIRECT("notes_"&amp;LEFT($A$1317,3)),4,0)),0,VLOOKUP($A$1317,INDIRECT("notes_"&amp;LEFT($A$1317,3)),4,0))</f>
        <v>0</v>
      </c>
    </row>
    <row r="1185" spans="1:3" x14ac:dyDescent="0.25">
      <c r="A1185" s="787" t="s">
        <v>3719</v>
      </c>
      <c r="B1185" s="789" t="str">
        <f>IF('RO4'!D$48="","",'RO4'!D$48)</f>
        <v/>
      </c>
      <c r="C1185" s="790">
        <f ca="1">IF(ISERROR(VLOOKUP($A$1318,INDIRECT("notes_"&amp;LEFT($A$1318,3)),4,0)),0,VLOOKUP($A$1318,INDIRECT("notes_"&amp;LEFT($A$1318,3)),4,0))</f>
        <v>0</v>
      </c>
    </row>
    <row r="1186" spans="1:3" x14ac:dyDescent="0.25">
      <c r="A1186" s="787" t="s">
        <v>3720</v>
      </c>
      <c r="B1186" s="789">
        <f>IF('RO4'!D$49="","",'RO4'!D$49)</f>
        <v>0</v>
      </c>
      <c r="C1186" s="790">
        <f ca="1">IF(ISERROR(VLOOKUP($A$1319,INDIRECT("notes_"&amp;LEFT($A$1319,3)),4,0)),0,VLOOKUP($A$1319,INDIRECT("notes_"&amp;LEFT($A$1319,3)),4,0))</f>
        <v>0</v>
      </c>
    </row>
    <row r="1187" spans="1:3" x14ac:dyDescent="0.25">
      <c r="A1187" s="787" t="s">
        <v>3721</v>
      </c>
      <c r="B1187" s="789" t="str">
        <f>IF('RO4'!D$52="","",'RO4'!D$52)</f>
        <v/>
      </c>
      <c r="C1187" s="790">
        <f ca="1">IF(ISERROR(VLOOKUP($A$1320,INDIRECT("notes_"&amp;LEFT($A$1320,3)),4,0)),0,VLOOKUP($A$1320,INDIRECT("notes_"&amp;LEFT($A$1320,3)),4,0))</f>
        <v>0</v>
      </c>
    </row>
    <row r="1188" spans="1:3" x14ac:dyDescent="0.25">
      <c r="A1188" s="787" t="s">
        <v>3722</v>
      </c>
      <c r="B1188" s="789" t="str">
        <f>IF('RO4'!D$53="","",'RO4'!D$53)</f>
        <v/>
      </c>
      <c r="C1188" s="790">
        <f ca="1">IF(ISERROR(VLOOKUP($A$1321,INDIRECT("notes_"&amp;LEFT($A$1321,3)),4,0)),0,VLOOKUP($A$1321,INDIRECT("notes_"&amp;LEFT($A$1321,3)),4,0))</f>
        <v>0</v>
      </c>
    </row>
    <row r="1189" spans="1:3" x14ac:dyDescent="0.25">
      <c r="A1189" s="787" t="s">
        <v>3723</v>
      </c>
      <c r="B1189" s="789" t="str">
        <f>IF('RO4'!D$54="","",'RO4'!D$54)</f>
        <v/>
      </c>
      <c r="C1189" s="790">
        <f ca="1">IF(ISERROR(VLOOKUP($A$1322,INDIRECT("notes_"&amp;LEFT($A$1322,3)),4,0)),0,VLOOKUP($A$1322,INDIRECT("notes_"&amp;LEFT($A$1322,3)),4,0))</f>
        <v>0</v>
      </c>
    </row>
    <row r="1190" spans="1:3" x14ac:dyDescent="0.25">
      <c r="A1190" s="787" t="s">
        <v>3724</v>
      </c>
      <c r="B1190" s="789" t="str">
        <f>IF('RO4'!D$55="","",'RO4'!D$55)</f>
        <v/>
      </c>
      <c r="C1190" s="790">
        <f ca="1">IF(ISERROR(VLOOKUP($A$1323,INDIRECT("notes_"&amp;LEFT($A$1323,3)),4,0)),0,VLOOKUP($A$1323,INDIRECT("notes_"&amp;LEFT($A$1323,3)),4,0))</f>
        <v>0</v>
      </c>
    </row>
    <row r="1191" spans="1:3" x14ac:dyDescent="0.25">
      <c r="A1191" s="787" t="s">
        <v>3725</v>
      </c>
      <c r="B1191" s="789" t="str">
        <f>IF('RO4'!D$58="","",'RO4'!D$58)</f>
        <v/>
      </c>
      <c r="C1191" s="790">
        <f ca="1">IF(ISERROR(VLOOKUP($A$1324,INDIRECT("notes_"&amp;LEFT($A$1324,3)),4,0)),0,VLOOKUP($A$1324,INDIRECT("notes_"&amp;LEFT($A$1324,3)),4,0))</f>
        <v>0</v>
      </c>
    </row>
    <row r="1192" spans="1:3" x14ac:dyDescent="0.25">
      <c r="A1192" s="787" t="s">
        <v>3726</v>
      </c>
      <c r="B1192" s="789" t="str">
        <f>IF('RO4'!D$61="","",'RO4'!D$61)</f>
        <v/>
      </c>
      <c r="C1192" s="790">
        <f ca="1">IF(ISERROR(VLOOKUP($A$1325,INDIRECT("notes_"&amp;LEFT($A$1325,3)),4,0)),0,VLOOKUP($A$1325,INDIRECT("notes_"&amp;LEFT($A$1325,3)),4,0))</f>
        <v>0</v>
      </c>
    </row>
    <row r="1193" spans="1:3" x14ac:dyDescent="0.25">
      <c r="A1193" s="787" t="s">
        <v>3727</v>
      </c>
      <c r="B1193" s="789" t="str">
        <f>IF('RO4'!D$62="","",'RO4'!D$62)</f>
        <v/>
      </c>
      <c r="C1193" s="790">
        <f ca="1">IF(ISERROR(VLOOKUP($A$1326,INDIRECT("notes_"&amp;LEFT($A$1326,3)),4,0)),0,VLOOKUP($A$1326,INDIRECT("notes_"&amp;LEFT($A$1326,3)),4,0))</f>
        <v>0</v>
      </c>
    </row>
    <row r="1194" spans="1:3" x14ac:dyDescent="0.25">
      <c r="A1194" s="787" t="s">
        <v>3728</v>
      </c>
      <c r="B1194" s="789">
        <f>IF('RO4'!D$64="","",'RO4'!D$64)</f>
        <v>0</v>
      </c>
      <c r="C1194" s="790">
        <f ca="1">IF(ISERROR(VLOOKUP($A$1327,INDIRECT("notes_"&amp;LEFT($A$1327,3)),4,0)),0,VLOOKUP($A$1327,INDIRECT("notes_"&amp;LEFT($A$1327,3)),4,0))</f>
        <v>0</v>
      </c>
    </row>
    <row r="1195" spans="1:3" x14ac:dyDescent="0.25">
      <c r="A1195" s="787" t="s">
        <v>3729</v>
      </c>
      <c r="B1195" s="789" t="str">
        <f>IF('RO4'!E$31="","",'RO4'!E$31)</f>
        <v/>
      </c>
      <c r="C1195" s="790">
        <f ca="1">IF(ISERROR(VLOOKUP($A$1306,INDIRECT("notes_"&amp;LEFT($A$1306,3)),4,0)),0,VLOOKUP($A$1306,INDIRECT("notes_"&amp;LEFT($A$1306,3)),4,0))</f>
        <v>0</v>
      </c>
    </row>
    <row r="1196" spans="1:3" x14ac:dyDescent="0.25">
      <c r="A1196" s="787" t="s">
        <v>3730</v>
      </c>
      <c r="B1196" s="789" t="str">
        <f>IF('RO4'!E$33="","",'RO4'!E$33)</f>
        <v/>
      </c>
      <c r="C1196" s="790">
        <f ca="1">IF(ISERROR(VLOOKUP($A$1307,INDIRECT("notes_"&amp;LEFT($A$1307,3)),4,0)),0,VLOOKUP($A$1307,INDIRECT("notes_"&amp;LEFT($A$1307,3)),4,0))</f>
        <v>0</v>
      </c>
    </row>
    <row r="1197" spans="1:3" x14ac:dyDescent="0.25">
      <c r="A1197" s="787" t="s">
        <v>3731</v>
      </c>
      <c r="B1197" s="789" t="str">
        <f>IF('RO4'!E$36="","",'RO4'!E$36)</f>
        <v/>
      </c>
      <c r="C1197" s="790">
        <f ca="1">IF(ISERROR(VLOOKUP($A$1308,INDIRECT("notes_"&amp;LEFT($A$1308,3)),4,0)),0,VLOOKUP($A$1308,INDIRECT("notes_"&amp;LEFT($A$1308,3)),4,0))</f>
        <v>0</v>
      </c>
    </row>
    <row r="1198" spans="1:3" x14ac:dyDescent="0.25">
      <c r="A1198" s="787" t="s">
        <v>3732</v>
      </c>
      <c r="B1198" s="789" t="str">
        <f>IF('RO4'!E$37="","",'RO4'!E$37)</f>
        <v/>
      </c>
      <c r="C1198" s="790">
        <f ca="1">IF(ISERROR(VLOOKUP($A$1309,INDIRECT("notes_"&amp;LEFT($A$1309,3)),4,0)),0,VLOOKUP($A$1309,INDIRECT("notes_"&amp;LEFT($A$1309,3)),4,0))</f>
        <v>0</v>
      </c>
    </row>
    <row r="1199" spans="1:3" x14ac:dyDescent="0.25">
      <c r="A1199" s="787" t="s">
        <v>3733</v>
      </c>
      <c r="B1199" s="789" t="str">
        <f>IF('RO4'!E$40="","",'RO4'!E$40)</f>
        <v/>
      </c>
      <c r="C1199" s="790">
        <f ca="1">IF(ISERROR(VLOOKUP($A$1310,INDIRECT("notes_"&amp;LEFT($A$1310,3)),4,0)),0,VLOOKUP($A$1310,INDIRECT("notes_"&amp;LEFT($A$1310,3)),4,0))</f>
        <v>0</v>
      </c>
    </row>
    <row r="1200" spans="1:3" x14ac:dyDescent="0.25">
      <c r="A1200" s="787" t="s">
        <v>3734</v>
      </c>
      <c r="B1200" s="789" t="str">
        <f>IF('RO4'!E$41="","",'RO4'!E$41)</f>
        <v/>
      </c>
      <c r="C1200" s="790">
        <f ca="1">IF(ISERROR(VLOOKUP($A$1311,INDIRECT("notes_"&amp;LEFT($A$1311,3)),4,0)),0,VLOOKUP($A$1311,INDIRECT("notes_"&amp;LEFT($A$1311,3)),4,0))</f>
        <v>0</v>
      </c>
    </row>
    <row r="1201" spans="1:3" x14ac:dyDescent="0.25">
      <c r="A1201" s="787" t="s">
        <v>3735</v>
      </c>
      <c r="B1201" s="789" t="str">
        <f>IF('RO4'!E$42="","",'RO4'!E$42)</f>
        <v/>
      </c>
      <c r="C1201" s="790">
        <f ca="1">IF(ISERROR(VLOOKUP($A$1312,INDIRECT("notes_"&amp;LEFT($A$1312,3)),4,0)),0,VLOOKUP($A$1312,INDIRECT("notes_"&amp;LEFT($A$1312,3)),4,0))</f>
        <v>0</v>
      </c>
    </row>
    <row r="1202" spans="1:3" x14ac:dyDescent="0.25">
      <c r="A1202" s="787" t="s">
        <v>3736</v>
      </c>
      <c r="B1202" s="789" t="str">
        <f>IF('RO4'!E$43="","",'RO4'!E$43)</f>
        <v/>
      </c>
      <c r="C1202" s="790">
        <f ca="1">IF(ISERROR(VLOOKUP($A$1313,INDIRECT("notes_"&amp;LEFT($A$1313,3)),4,0)),0,VLOOKUP($A$1313,INDIRECT("notes_"&amp;LEFT($A$1313,3)),4,0))</f>
        <v>0</v>
      </c>
    </row>
    <row r="1203" spans="1:3" x14ac:dyDescent="0.25">
      <c r="A1203" s="787" t="s">
        <v>3737</v>
      </c>
      <c r="B1203" s="789" t="str">
        <f>IF('RO4'!E$44="","",'RO4'!E$44)</f>
        <v/>
      </c>
      <c r="C1203" s="790">
        <f ca="1">IF(ISERROR(VLOOKUP($A$1314,INDIRECT("notes_"&amp;LEFT($A$1314,3)),4,0)),0,VLOOKUP($A$1314,INDIRECT("notes_"&amp;LEFT($A$1314,3)),4,0))</f>
        <v>0</v>
      </c>
    </row>
    <row r="1204" spans="1:3" x14ac:dyDescent="0.25">
      <c r="A1204" s="787" t="s">
        <v>3738</v>
      </c>
      <c r="B1204" s="789" t="str">
        <f>IF('RO4'!E$45="","",'RO4'!E$45)</f>
        <v/>
      </c>
      <c r="C1204" s="790">
        <f ca="1">IF(ISERROR(VLOOKUP($A$1315,INDIRECT("notes_"&amp;LEFT($A$1315,3)),4,0)),0,VLOOKUP($A$1315,INDIRECT("notes_"&amp;LEFT($A$1315,3)),4,0))</f>
        <v>0</v>
      </c>
    </row>
    <row r="1205" spans="1:3" x14ac:dyDescent="0.25">
      <c r="A1205" s="787" t="s">
        <v>3739</v>
      </c>
      <c r="B1205" s="789" t="str">
        <f>IF('RO4'!E$46="","",'RO4'!E$46)</f>
        <v/>
      </c>
      <c r="C1205" s="790">
        <f ca="1">IF(ISERROR(VLOOKUP($A$1316,INDIRECT("notes_"&amp;LEFT($A$1316,3)),4,0)),0,VLOOKUP($A$1316,INDIRECT("notes_"&amp;LEFT($A$1316,3)),4,0))</f>
        <v>0</v>
      </c>
    </row>
    <row r="1206" spans="1:3" x14ac:dyDescent="0.25">
      <c r="A1206" s="787" t="s">
        <v>3740</v>
      </c>
      <c r="B1206" s="789" t="str">
        <f>IF('RO4'!E$47="","",'RO4'!E$47)</f>
        <v/>
      </c>
      <c r="C1206" s="790">
        <f ca="1">IF(ISERROR(VLOOKUP($A$1317,INDIRECT("notes_"&amp;LEFT($A$1317,3)),4,0)),0,VLOOKUP($A$1317,INDIRECT("notes_"&amp;LEFT($A$1317,3)),4,0))</f>
        <v>0</v>
      </c>
    </row>
    <row r="1207" spans="1:3" x14ac:dyDescent="0.25">
      <c r="A1207" s="787" t="s">
        <v>3741</v>
      </c>
      <c r="B1207" s="789" t="str">
        <f>IF('RO4'!E$48="","",'RO4'!E$48)</f>
        <v/>
      </c>
      <c r="C1207" s="790">
        <f ca="1">IF(ISERROR(VLOOKUP($A$1318,INDIRECT("notes_"&amp;LEFT($A$1318,3)),4,0)),0,VLOOKUP($A$1318,INDIRECT("notes_"&amp;LEFT($A$1318,3)),4,0))</f>
        <v>0</v>
      </c>
    </row>
    <row r="1208" spans="1:3" x14ac:dyDescent="0.25">
      <c r="A1208" s="787" t="s">
        <v>3742</v>
      </c>
      <c r="B1208" s="789">
        <f>IF('RO4'!E$49="","",'RO4'!E$49)</f>
        <v>0</v>
      </c>
      <c r="C1208" s="790">
        <f ca="1">IF(ISERROR(VLOOKUP($A$1319,INDIRECT("notes_"&amp;LEFT($A$1319,3)),4,0)),0,VLOOKUP($A$1319,INDIRECT("notes_"&amp;LEFT($A$1319,3)),4,0))</f>
        <v>0</v>
      </c>
    </row>
    <row r="1209" spans="1:3" x14ac:dyDescent="0.25">
      <c r="A1209" s="787" t="s">
        <v>3743</v>
      </c>
      <c r="B1209" s="789" t="str">
        <f>IF('RO4'!E$52="","",'RO4'!E$52)</f>
        <v/>
      </c>
      <c r="C1209" s="790">
        <f ca="1">IF(ISERROR(VLOOKUP($A$1320,INDIRECT("notes_"&amp;LEFT($A$1320,3)),4,0)),0,VLOOKUP($A$1320,INDIRECT("notes_"&amp;LEFT($A$1320,3)),4,0))</f>
        <v>0</v>
      </c>
    </row>
    <row r="1210" spans="1:3" x14ac:dyDescent="0.25">
      <c r="A1210" s="787" t="s">
        <v>3744</v>
      </c>
      <c r="B1210" s="789" t="str">
        <f>IF('RO4'!E$53="","",'RO4'!E$53)</f>
        <v/>
      </c>
      <c r="C1210" s="790">
        <f ca="1">IF(ISERROR(VLOOKUP($A$1321,INDIRECT("notes_"&amp;LEFT($A$1321,3)),4,0)),0,VLOOKUP($A$1321,INDIRECT("notes_"&amp;LEFT($A$1321,3)),4,0))</f>
        <v>0</v>
      </c>
    </row>
    <row r="1211" spans="1:3" x14ac:dyDescent="0.25">
      <c r="A1211" s="787" t="s">
        <v>3745</v>
      </c>
      <c r="B1211" s="789" t="str">
        <f>IF('RO4'!E$54="","",'RO4'!E$54)</f>
        <v/>
      </c>
      <c r="C1211" s="790">
        <f ca="1">IF(ISERROR(VLOOKUP($A$1322,INDIRECT("notes_"&amp;LEFT($A$1322,3)),4,0)),0,VLOOKUP($A$1322,INDIRECT("notes_"&amp;LEFT($A$1322,3)),4,0))</f>
        <v>0</v>
      </c>
    </row>
    <row r="1212" spans="1:3" x14ac:dyDescent="0.25">
      <c r="A1212" s="787" t="s">
        <v>3746</v>
      </c>
      <c r="B1212" s="789" t="str">
        <f>IF('RO4'!E$55="","",'RO4'!E$55)</f>
        <v/>
      </c>
      <c r="C1212" s="790">
        <f ca="1">IF(ISERROR(VLOOKUP($A$1323,INDIRECT("notes_"&amp;LEFT($A$1323,3)),4,0)),0,VLOOKUP($A$1323,INDIRECT("notes_"&amp;LEFT($A$1323,3)),4,0))</f>
        <v>0</v>
      </c>
    </row>
    <row r="1213" spans="1:3" x14ac:dyDescent="0.25">
      <c r="A1213" s="787" t="s">
        <v>3747</v>
      </c>
      <c r="B1213" s="789" t="str">
        <f>IF('RO4'!E$58="","",'RO4'!E$58)</f>
        <v/>
      </c>
      <c r="C1213" s="790">
        <f ca="1">IF(ISERROR(VLOOKUP($A$1324,INDIRECT("notes_"&amp;LEFT($A$1324,3)),4,0)),0,VLOOKUP($A$1324,INDIRECT("notes_"&amp;LEFT($A$1324,3)),4,0))</f>
        <v>0</v>
      </c>
    </row>
    <row r="1214" spans="1:3" x14ac:dyDescent="0.25">
      <c r="A1214" s="787" t="s">
        <v>3748</v>
      </c>
      <c r="B1214" s="789" t="str">
        <f>IF('RO4'!E$61="","",'RO4'!E$61)</f>
        <v/>
      </c>
      <c r="C1214" s="790">
        <f ca="1">IF(ISERROR(VLOOKUP($A$1325,INDIRECT("notes_"&amp;LEFT($A$1325,3)),4,0)),0,VLOOKUP($A$1325,INDIRECT("notes_"&amp;LEFT($A$1325,3)),4,0))</f>
        <v>0</v>
      </c>
    </row>
    <row r="1215" spans="1:3" x14ac:dyDescent="0.25">
      <c r="A1215" s="787" t="s">
        <v>3749</v>
      </c>
      <c r="B1215" s="789" t="str">
        <f>IF('RO4'!E$62="","",'RO4'!E$62)</f>
        <v/>
      </c>
      <c r="C1215" s="790">
        <f ca="1">IF(ISERROR(VLOOKUP($A$1326,INDIRECT("notes_"&amp;LEFT($A$1326,3)),4,0)),0,VLOOKUP($A$1326,INDIRECT("notes_"&amp;LEFT($A$1326,3)),4,0))</f>
        <v>0</v>
      </c>
    </row>
    <row r="1216" spans="1:3" x14ac:dyDescent="0.25">
      <c r="A1216" s="787" t="s">
        <v>3750</v>
      </c>
      <c r="B1216" s="789">
        <f>IF('RO4'!E$64="","",'RO4'!E$64)</f>
        <v>0</v>
      </c>
      <c r="C1216" s="790">
        <f ca="1">IF(ISERROR(VLOOKUP($A$1327,INDIRECT("notes_"&amp;LEFT($A$1327,3)),4,0)),0,VLOOKUP($A$1327,INDIRECT("notes_"&amp;LEFT($A$1327,3)),4,0))</f>
        <v>0</v>
      </c>
    </row>
    <row r="1217" spans="1:3" x14ac:dyDescent="0.25">
      <c r="A1217" s="817" t="s">
        <v>2629</v>
      </c>
      <c r="B1217" s="818" t="str">
        <f>IF('RO4'!E$68="","",'RO4'!E$68)</f>
        <v/>
      </c>
      <c r="C1217" s="819">
        <f ca="1">IF(ISERROR(VLOOKUP($A$1217,INDIRECT("notes_"&amp;LEFT($A$1217,3)),4,0)),0,VLOOKUP($A$1217,INDIRECT("notes_"&amp;LEFT($A$1217,3)),4,0))</f>
        <v>0</v>
      </c>
    </row>
    <row r="1218" spans="1:3" x14ac:dyDescent="0.25">
      <c r="A1218" s="787" t="s">
        <v>3751</v>
      </c>
      <c r="B1218" s="789">
        <f>IF('RO4'!F$31="","",'RO4'!F$31)</f>
        <v>0</v>
      </c>
      <c r="C1218" s="790">
        <f ca="1">IF(ISERROR(VLOOKUP($A$1306,INDIRECT("notes_"&amp;LEFT($A$1306,3)),4,0)),0,VLOOKUP($A$1306,INDIRECT("notes_"&amp;LEFT($A$1306,3)),4,0))</f>
        <v>0</v>
      </c>
    </row>
    <row r="1219" spans="1:3" x14ac:dyDescent="0.25">
      <c r="A1219" s="787" t="s">
        <v>3752</v>
      </c>
      <c r="B1219" s="789">
        <f>IF('RO4'!F$33="","",'RO4'!F$33)</f>
        <v>0</v>
      </c>
      <c r="C1219" s="790">
        <f ca="1">IF(ISERROR(VLOOKUP($A$1307,INDIRECT("notes_"&amp;LEFT($A$1307,3)),4,0)),0,VLOOKUP($A$1307,INDIRECT("notes_"&amp;LEFT($A$1307,3)),4,0))</f>
        <v>0</v>
      </c>
    </row>
    <row r="1220" spans="1:3" x14ac:dyDescent="0.25">
      <c r="A1220" s="787" t="s">
        <v>3753</v>
      </c>
      <c r="B1220" s="789">
        <f>IF('RO4'!F$36="","",'RO4'!F$36)</f>
        <v>0</v>
      </c>
      <c r="C1220" s="790">
        <f ca="1">IF(ISERROR(VLOOKUP($A$1308,INDIRECT("notes_"&amp;LEFT($A$1308,3)),4,0)),0,VLOOKUP($A$1308,INDIRECT("notes_"&amp;LEFT($A$1308,3)),4,0))</f>
        <v>0</v>
      </c>
    </row>
    <row r="1221" spans="1:3" x14ac:dyDescent="0.25">
      <c r="A1221" s="787" t="s">
        <v>3754</v>
      </c>
      <c r="B1221" s="789">
        <f>IF('RO4'!F$37="","",'RO4'!F$37)</f>
        <v>0</v>
      </c>
      <c r="C1221" s="790">
        <f ca="1">IF(ISERROR(VLOOKUP($A$1309,INDIRECT("notes_"&amp;LEFT($A$1309,3)),4,0)),0,VLOOKUP($A$1309,INDIRECT("notes_"&amp;LEFT($A$1309,3)),4,0))</f>
        <v>0</v>
      </c>
    </row>
    <row r="1222" spans="1:3" x14ac:dyDescent="0.25">
      <c r="A1222" s="787" t="s">
        <v>3755</v>
      </c>
      <c r="B1222" s="789">
        <f>IF('RO4'!F$40="","",'RO4'!F$40)</f>
        <v>0</v>
      </c>
      <c r="C1222" s="790">
        <f ca="1">IF(ISERROR(VLOOKUP($A$1310,INDIRECT("notes_"&amp;LEFT($A$1310,3)),4,0)),0,VLOOKUP($A$1310,INDIRECT("notes_"&amp;LEFT($A$1310,3)),4,0))</f>
        <v>0</v>
      </c>
    </row>
    <row r="1223" spans="1:3" x14ac:dyDescent="0.25">
      <c r="A1223" s="787" t="s">
        <v>3756</v>
      </c>
      <c r="B1223" s="789">
        <f>IF('RO4'!F$41="","",'RO4'!F$41)</f>
        <v>0</v>
      </c>
      <c r="C1223" s="790">
        <f ca="1">IF(ISERROR(VLOOKUP($A$1311,INDIRECT("notes_"&amp;LEFT($A$1311,3)),4,0)),0,VLOOKUP($A$1311,INDIRECT("notes_"&amp;LEFT($A$1311,3)),4,0))</f>
        <v>0</v>
      </c>
    </row>
    <row r="1224" spans="1:3" x14ac:dyDescent="0.25">
      <c r="A1224" s="787" t="s">
        <v>3757</v>
      </c>
      <c r="B1224" s="789">
        <f>IF('RO4'!F$42="","",'RO4'!F$42)</f>
        <v>0</v>
      </c>
      <c r="C1224" s="790">
        <f ca="1">IF(ISERROR(VLOOKUP($A$1312,INDIRECT("notes_"&amp;LEFT($A$1312,3)),4,0)),0,VLOOKUP($A$1312,INDIRECT("notes_"&amp;LEFT($A$1312,3)),4,0))</f>
        <v>0</v>
      </c>
    </row>
    <row r="1225" spans="1:3" x14ac:dyDescent="0.25">
      <c r="A1225" s="787" t="s">
        <v>3758</v>
      </c>
      <c r="B1225" s="789">
        <f>IF('RO4'!F$43="","",'RO4'!F$43)</f>
        <v>0</v>
      </c>
      <c r="C1225" s="790">
        <f ca="1">IF(ISERROR(VLOOKUP($A$1313,INDIRECT("notes_"&amp;LEFT($A$1313,3)),4,0)),0,VLOOKUP($A$1313,INDIRECT("notes_"&amp;LEFT($A$1313,3)),4,0))</f>
        <v>0</v>
      </c>
    </row>
    <row r="1226" spans="1:3" x14ac:dyDescent="0.25">
      <c r="A1226" s="787" t="s">
        <v>3759</v>
      </c>
      <c r="B1226" s="789">
        <f>IF('RO4'!F$44="","",'RO4'!F$44)</f>
        <v>0</v>
      </c>
      <c r="C1226" s="790">
        <f ca="1">IF(ISERROR(VLOOKUP($A$1314,INDIRECT("notes_"&amp;LEFT($A$1314,3)),4,0)),0,VLOOKUP($A$1314,INDIRECT("notes_"&amp;LEFT($A$1314,3)),4,0))</f>
        <v>0</v>
      </c>
    </row>
    <row r="1227" spans="1:3" x14ac:dyDescent="0.25">
      <c r="A1227" s="787" t="s">
        <v>3760</v>
      </c>
      <c r="B1227" s="789">
        <f>IF('RO4'!F$45="","",'RO4'!F$45)</f>
        <v>0</v>
      </c>
      <c r="C1227" s="790">
        <f ca="1">IF(ISERROR(VLOOKUP($A$1315,INDIRECT("notes_"&amp;LEFT($A$1315,3)),4,0)),0,VLOOKUP($A$1315,INDIRECT("notes_"&amp;LEFT($A$1315,3)),4,0))</f>
        <v>0</v>
      </c>
    </row>
    <row r="1228" spans="1:3" x14ac:dyDescent="0.25">
      <c r="A1228" s="787" t="s">
        <v>3761</v>
      </c>
      <c r="B1228" s="789">
        <f>IF('RO4'!F$46="","",'RO4'!F$46)</f>
        <v>0</v>
      </c>
      <c r="C1228" s="790">
        <f ca="1">IF(ISERROR(VLOOKUP($A$1316,INDIRECT("notes_"&amp;LEFT($A$1316,3)),4,0)),0,VLOOKUP($A$1316,INDIRECT("notes_"&amp;LEFT($A$1316,3)),4,0))</f>
        <v>0</v>
      </c>
    </row>
    <row r="1229" spans="1:3" x14ac:dyDescent="0.25">
      <c r="A1229" s="787" t="s">
        <v>3762</v>
      </c>
      <c r="B1229" s="789">
        <f>IF('RO4'!F$47="","",'RO4'!F$47)</f>
        <v>0</v>
      </c>
      <c r="C1229" s="790">
        <f ca="1">IF(ISERROR(VLOOKUP($A$1317,INDIRECT("notes_"&amp;LEFT($A$1317,3)),4,0)),0,VLOOKUP($A$1317,INDIRECT("notes_"&amp;LEFT($A$1317,3)),4,0))</f>
        <v>0</v>
      </c>
    </row>
    <row r="1230" spans="1:3" x14ac:dyDescent="0.25">
      <c r="A1230" s="787" t="s">
        <v>3763</v>
      </c>
      <c r="B1230" s="789">
        <f>IF('RO4'!F$48="","",'RO4'!F$48)</f>
        <v>0</v>
      </c>
      <c r="C1230" s="790">
        <f ca="1">IF(ISERROR(VLOOKUP($A$1318,INDIRECT("notes_"&amp;LEFT($A$1318,3)),4,0)),0,VLOOKUP($A$1318,INDIRECT("notes_"&amp;LEFT($A$1318,3)),4,0))</f>
        <v>0</v>
      </c>
    </row>
    <row r="1231" spans="1:3" x14ac:dyDescent="0.25">
      <c r="A1231" s="787" t="s">
        <v>3764</v>
      </c>
      <c r="B1231" s="789">
        <f>IF('RO4'!F$49="","",'RO4'!F$49)</f>
        <v>0</v>
      </c>
      <c r="C1231" s="790">
        <f ca="1">IF(ISERROR(VLOOKUP($A$1319,INDIRECT("notes_"&amp;LEFT($A$1319,3)),4,0)),0,VLOOKUP($A$1319,INDIRECT("notes_"&amp;LEFT($A$1319,3)),4,0))</f>
        <v>0</v>
      </c>
    </row>
    <row r="1232" spans="1:3" x14ac:dyDescent="0.25">
      <c r="A1232" s="787" t="s">
        <v>3765</v>
      </c>
      <c r="B1232" s="789">
        <f>IF('RO4'!F$52="","",'RO4'!F$52)</f>
        <v>0</v>
      </c>
      <c r="C1232" s="790">
        <f ca="1">IF(ISERROR(VLOOKUP($A$1320,INDIRECT("notes_"&amp;LEFT($A$1320,3)),4,0)),0,VLOOKUP($A$1320,INDIRECT("notes_"&amp;LEFT($A$1320,3)),4,0))</f>
        <v>0</v>
      </c>
    </row>
    <row r="1233" spans="1:3" x14ac:dyDescent="0.25">
      <c r="A1233" s="787" t="s">
        <v>3766</v>
      </c>
      <c r="B1233" s="789">
        <f>IF('RO4'!F$53="","",'RO4'!F$53)</f>
        <v>0</v>
      </c>
      <c r="C1233" s="790">
        <f ca="1">IF(ISERROR(VLOOKUP($A$1321,INDIRECT("notes_"&amp;LEFT($A$1321,3)),4,0)),0,VLOOKUP($A$1321,INDIRECT("notes_"&amp;LEFT($A$1321,3)),4,0))</f>
        <v>0</v>
      </c>
    </row>
    <row r="1234" spans="1:3" x14ac:dyDescent="0.25">
      <c r="A1234" s="787" t="s">
        <v>3767</v>
      </c>
      <c r="B1234" s="789">
        <f>IF('RO4'!F$54="","",'RO4'!F$54)</f>
        <v>0</v>
      </c>
      <c r="C1234" s="790">
        <f ca="1">IF(ISERROR(VLOOKUP($A$1322,INDIRECT("notes_"&amp;LEFT($A$1322,3)),4,0)),0,VLOOKUP($A$1322,INDIRECT("notes_"&amp;LEFT($A$1322,3)),4,0))</f>
        <v>0</v>
      </c>
    </row>
    <row r="1235" spans="1:3" x14ac:dyDescent="0.25">
      <c r="A1235" s="787" t="s">
        <v>3768</v>
      </c>
      <c r="B1235" s="789">
        <f>IF('RO4'!F$55="","",'RO4'!F$55)</f>
        <v>0</v>
      </c>
      <c r="C1235" s="790">
        <f ca="1">IF(ISERROR(VLOOKUP($A$1323,INDIRECT("notes_"&amp;LEFT($A$1323,3)),4,0)),0,VLOOKUP($A$1323,INDIRECT("notes_"&amp;LEFT($A$1323,3)),4,0))</f>
        <v>0</v>
      </c>
    </row>
    <row r="1236" spans="1:3" x14ac:dyDescent="0.25">
      <c r="A1236" s="787" t="s">
        <v>3769</v>
      </c>
      <c r="B1236" s="789">
        <f>IF('RO4'!F$58="","",'RO4'!F$58)</f>
        <v>0</v>
      </c>
      <c r="C1236" s="790">
        <f ca="1">IF(ISERROR(VLOOKUP($A$1324,INDIRECT("notes_"&amp;LEFT($A$1324,3)),4,0)),0,VLOOKUP($A$1324,INDIRECT("notes_"&amp;LEFT($A$1324,3)),4,0))</f>
        <v>0</v>
      </c>
    </row>
    <row r="1237" spans="1:3" x14ac:dyDescent="0.25">
      <c r="A1237" s="787" t="s">
        <v>3770</v>
      </c>
      <c r="B1237" s="789">
        <f>IF('RO4'!F$61="","",'RO4'!F$61)</f>
        <v>0</v>
      </c>
      <c r="C1237" s="790">
        <f ca="1">IF(ISERROR(VLOOKUP($A$1325,INDIRECT("notes_"&amp;LEFT($A$1325,3)),4,0)),0,VLOOKUP($A$1325,INDIRECT("notes_"&amp;LEFT($A$1325,3)),4,0))</f>
        <v>0</v>
      </c>
    </row>
    <row r="1238" spans="1:3" x14ac:dyDescent="0.25">
      <c r="A1238" s="787" t="s">
        <v>3771</v>
      </c>
      <c r="B1238" s="789">
        <f>IF('RO4'!F$62="","",'RO4'!F$62)</f>
        <v>0</v>
      </c>
      <c r="C1238" s="790">
        <f ca="1">IF(ISERROR(VLOOKUP($A$1326,INDIRECT("notes_"&amp;LEFT($A$1326,3)),4,0)),0,VLOOKUP($A$1326,INDIRECT("notes_"&amp;LEFT($A$1326,3)),4,0))</f>
        <v>0</v>
      </c>
    </row>
    <row r="1239" spans="1:3" x14ac:dyDescent="0.25">
      <c r="A1239" s="787" t="s">
        <v>3772</v>
      </c>
      <c r="B1239" s="789">
        <f>IF('RO4'!F$64="","",'RO4'!F$64)</f>
        <v>0</v>
      </c>
      <c r="C1239" s="790">
        <f ca="1">IF(ISERROR(VLOOKUP($A$1327,INDIRECT("notes_"&amp;LEFT($A$1327,3)),4,0)),0,VLOOKUP($A$1327,INDIRECT("notes_"&amp;LEFT($A$1327,3)),4,0))</f>
        <v>0</v>
      </c>
    </row>
    <row r="1240" spans="1:3" x14ac:dyDescent="0.25">
      <c r="A1240" s="787" t="s">
        <v>3773</v>
      </c>
      <c r="B1240" s="789" t="str">
        <f>IF('RO4'!G$31="","",'RO4'!G$31)</f>
        <v/>
      </c>
      <c r="C1240" s="790">
        <f ca="1">IF(ISERROR(VLOOKUP($A$1306,INDIRECT("notes_"&amp;LEFT($A$1306,3)),4,0)),0,VLOOKUP($A$1306,INDIRECT("notes_"&amp;LEFT($A$1306,3)),4,0))</f>
        <v>0</v>
      </c>
    </row>
    <row r="1241" spans="1:3" x14ac:dyDescent="0.25">
      <c r="A1241" s="787" t="s">
        <v>3774</v>
      </c>
      <c r="B1241" s="789" t="str">
        <f>IF('RO4'!G$33="","",'RO4'!G$33)</f>
        <v/>
      </c>
      <c r="C1241" s="790">
        <f ca="1">IF(ISERROR(VLOOKUP($A$1307,INDIRECT("notes_"&amp;LEFT($A$1307,3)),4,0)),0,VLOOKUP($A$1307,INDIRECT("notes_"&amp;LEFT($A$1307,3)),4,0))</f>
        <v>0</v>
      </c>
    </row>
    <row r="1242" spans="1:3" x14ac:dyDescent="0.25">
      <c r="A1242" s="787" t="s">
        <v>3775</v>
      </c>
      <c r="B1242" s="789" t="str">
        <f>IF('RO4'!G$36="","",'RO4'!G$36)</f>
        <v/>
      </c>
      <c r="C1242" s="790">
        <f ca="1">IF(ISERROR(VLOOKUP($A$1308,INDIRECT("notes_"&amp;LEFT($A$1308,3)),4,0)),0,VLOOKUP($A$1308,INDIRECT("notes_"&amp;LEFT($A$1308,3)),4,0))</f>
        <v>0</v>
      </c>
    </row>
    <row r="1243" spans="1:3" x14ac:dyDescent="0.25">
      <c r="A1243" s="787" t="s">
        <v>3776</v>
      </c>
      <c r="B1243" s="789" t="str">
        <f>IF('RO4'!G$37="","",'RO4'!G$37)</f>
        <v/>
      </c>
      <c r="C1243" s="790">
        <f ca="1">IF(ISERROR(VLOOKUP($A$1309,INDIRECT("notes_"&amp;LEFT($A$1309,3)),4,0)),0,VLOOKUP($A$1309,INDIRECT("notes_"&amp;LEFT($A$1309,3)),4,0))</f>
        <v>0</v>
      </c>
    </row>
    <row r="1244" spans="1:3" x14ac:dyDescent="0.25">
      <c r="A1244" s="787" t="s">
        <v>3777</v>
      </c>
      <c r="B1244" s="789" t="str">
        <f>IF('RO4'!G$40="","",'RO4'!G$40)</f>
        <v/>
      </c>
      <c r="C1244" s="790">
        <f ca="1">IF(ISERROR(VLOOKUP($A$1310,INDIRECT("notes_"&amp;LEFT($A$1310,3)),4,0)),0,VLOOKUP($A$1310,INDIRECT("notes_"&amp;LEFT($A$1310,3)),4,0))</f>
        <v>0</v>
      </c>
    </row>
    <row r="1245" spans="1:3" x14ac:dyDescent="0.25">
      <c r="A1245" s="787" t="s">
        <v>3778</v>
      </c>
      <c r="B1245" s="789" t="str">
        <f>IF('RO4'!G$41="","",'RO4'!G$41)</f>
        <v/>
      </c>
      <c r="C1245" s="790">
        <f ca="1">IF(ISERROR(VLOOKUP($A$1311,INDIRECT("notes_"&amp;LEFT($A$1311,3)),4,0)),0,VLOOKUP($A$1311,INDIRECT("notes_"&amp;LEFT($A$1311,3)),4,0))</f>
        <v>0</v>
      </c>
    </row>
    <row r="1246" spans="1:3" x14ac:dyDescent="0.25">
      <c r="A1246" s="787" t="s">
        <v>3779</v>
      </c>
      <c r="B1246" s="789" t="str">
        <f>IF('RO4'!G$42="","",'RO4'!G$42)</f>
        <v/>
      </c>
      <c r="C1246" s="790">
        <f ca="1">IF(ISERROR(VLOOKUP($A$1312,INDIRECT("notes_"&amp;LEFT($A$1312,3)),4,0)),0,VLOOKUP($A$1312,INDIRECT("notes_"&amp;LEFT($A$1312,3)),4,0))</f>
        <v>0</v>
      </c>
    </row>
    <row r="1247" spans="1:3" x14ac:dyDescent="0.25">
      <c r="A1247" s="787" t="s">
        <v>3780</v>
      </c>
      <c r="B1247" s="789" t="str">
        <f>IF('RO4'!G$43="","",'RO4'!G$43)</f>
        <v/>
      </c>
      <c r="C1247" s="790">
        <f ca="1">IF(ISERROR(VLOOKUP($A$1313,INDIRECT("notes_"&amp;LEFT($A$1313,3)),4,0)),0,VLOOKUP($A$1313,INDIRECT("notes_"&amp;LEFT($A$1313,3)),4,0))</f>
        <v>0</v>
      </c>
    </row>
    <row r="1248" spans="1:3" x14ac:dyDescent="0.25">
      <c r="A1248" s="787" t="s">
        <v>3781</v>
      </c>
      <c r="B1248" s="789" t="str">
        <f>IF('RO4'!G$44="","",'RO4'!G$44)</f>
        <v/>
      </c>
      <c r="C1248" s="790">
        <f ca="1">IF(ISERROR(VLOOKUP($A$1314,INDIRECT("notes_"&amp;LEFT($A$1314,3)),4,0)),0,VLOOKUP($A$1314,INDIRECT("notes_"&amp;LEFT($A$1314,3)),4,0))</f>
        <v>0</v>
      </c>
    </row>
    <row r="1249" spans="1:3" x14ac:dyDescent="0.25">
      <c r="A1249" s="787" t="s">
        <v>3782</v>
      </c>
      <c r="B1249" s="789" t="str">
        <f>IF('RO4'!G$45="","",'RO4'!G$45)</f>
        <v/>
      </c>
      <c r="C1249" s="790">
        <f ca="1">IF(ISERROR(VLOOKUP($A$1315,INDIRECT("notes_"&amp;LEFT($A$1315,3)),4,0)),0,VLOOKUP($A$1315,INDIRECT("notes_"&amp;LEFT($A$1315,3)),4,0))</f>
        <v>0</v>
      </c>
    </row>
    <row r="1250" spans="1:3" x14ac:dyDescent="0.25">
      <c r="A1250" s="787" t="s">
        <v>3783</v>
      </c>
      <c r="B1250" s="789" t="str">
        <f>IF('RO4'!G$46="","",'RO4'!G$46)</f>
        <v/>
      </c>
      <c r="C1250" s="790">
        <f ca="1">IF(ISERROR(VLOOKUP($A$1316,INDIRECT("notes_"&amp;LEFT($A$1316,3)),4,0)),0,VLOOKUP($A$1316,INDIRECT("notes_"&amp;LEFT($A$1316,3)),4,0))</f>
        <v>0</v>
      </c>
    </row>
    <row r="1251" spans="1:3" x14ac:dyDescent="0.25">
      <c r="A1251" s="787" t="s">
        <v>3784</v>
      </c>
      <c r="B1251" s="789" t="str">
        <f>IF('RO4'!G$47="","",'RO4'!G$47)</f>
        <v/>
      </c>
      <c r="C1251" s="790">
        <f ca="1">IF(ISERROR(VLOOKUP($A$1317,INDIRECT("notes_"&amp;LEFT($A$1317,3)),4,0)),0,VLOOKUP($A$1317,INDIRECT("notes_"&amp;LEFT($A$1317,3)),4,0))</f>
        <v>0</v>
      </c>
    </row>
    <row r="1252" spans="1:3" x14ac:dyDescent="0.25">
      <c r="A1252" s="787" t="s">
        <v>3785</v>
      </c>
      <c r="B1252" s="789" t="str">
        <f>IF('RO4'!G$48="","",'RO4'!G$48)</f>
        <v/>
      </c>
      <c r="C1252" s="790">
        <f ca="1">IF(ISERROR(VLOOKUP($A$1318,INDIRECT("notes_"&amp;LEFT($A$1318,3)),4,0)),0,VLOOKUP($A$1318,INDIRECT("notes_"&amp;LEFT($A$1318,3)),4,0))</f>
        <v>0</v>
      </c>
    </row>
    <row r="1253" spans="1:3" x14ac:dyDescent="0.25">
      <c r="A1253" s="787" t="s">
        <v>3786</v>
      </c>
      <c r="B1253" s="789">
        <f>IF('RO4'!G$49="","",'RO4'!G$49)</f>
        <v>0</v>
      </c>
      <c r="C1253" s="790">
        <f ca="1">IF(ISERROR(VLOOKUP($A$1319,INDIRECT("notes_"&amp;LEFT($A$1319,3)),4,0)),0,VLOOKUP($A$1319,INDIRECT("notes_"&amp;LEFT($A$1319,3)),4,0))</f>
        <v>0</v>
      </c>
    </row>
    <row r="1254" spans="1:3" x14ac:dyDescent="0.25">
      <c r="A1254" s="787" t="s">
        <v>3787</v>
      </c>
      <c r="B1254" s="789" t="str">
        <f>IF('RO4'!G$52="","",'RO4'!G$52)</f>
        <v/>
      </c>
      <c r="C1254" s="790">
        <f ca="1">IF(ISERROR(VLOOKUP($A$1320,INDIRECT("notes_"&amp;LEFT($A$1320,3)),4,0)),0,VLOOKUP($A$1320,INDIRECT("notes_"&amp;LEFT($A$1320,3)),4,0))</f>
        <v>0</v>
      </c>
    </row>
    <row r="1255" spans="1:3" x14ac:dyDescent="0.25">
      <c r="A1255" s="787" t="s">
        <v>3788</v>
      </c>
      <c r="B1255" s="789" t="str">
        <f>IF('RO4'!G$53="","",'RO4'!G$53)</f>
        <v/>
      </c>
      <c r="C1255" s="790">
        <f ca="1">IF(ISERROR(VLOOKUP($A$1321,INDIRECT("notes_"&amp;LEFT($A$1321,3)),4,0)),0,VLOOKUP($A$1321,INDIRECT("notes_"&amp;LEFT($A$1321,3)),4,0))</f>
        <v>0</v>
      </c>
    </row>
    <row r="1256" spans="1:3" x14ac:dyDescent="0.25">
      <c r="A1256" s="787" t="s">
        <v>3789</v>
      </c>
      <c r="B1256" s="789" t="str">
        <f>IF('RO4'!G$54="","",'RO4'!G$54)</f>
        <v/>
      </c>
      <c r="C1256" s="790">
        <f ca="1">IF(ISERROR(VLOOKUP($A$1322,INDIRECT("notes_"&amp;LEFT($A$1322,3)),4,0)),0,VLOOKUP($A$1322,INDIRECT("notes_"&amp;LEFT($A$1322,3)),4,0))</f>
        <v>0</v>
      </c>
    </row>
    <row r="1257" spans="1:3" x14ac:dyDescent="0.25">
      <c r="A1257" s="787" t="s">
        <v>3790</v>
      </c>
      <c r="B1257" s="789" t="str">
        <f>IF('RO4'!G$55="","",'RO4'!G$55)</f>
        <v/>
      </c>
      <c r="C1257" s="790">
        <f ca="1">IF(ISERROR(VLOOKUP($A$1323,INDIRECT("notes_"&amp;LEFT($A$1323,3)),4,0)),0,VLOOKUP($A$1323,INDIRECT("notes_"&amp;LEFT($A$1323,3)),4,0))</f>
        <v>0</v>
      </c>
    </row>
    <row r="1258" spans="1:3" x14ac:dyDescent="0.25">
      <c r="A1258" s="787" t="s">
        <v>3791</v>
      </c>
      <c r="B1258" s="789" t="str">
        <f>IF('RO4'!G$58="","",'RO4'!G$58)</f>
        <v/>
      </c>
      <c r="C1258" s="790">
        <f ca="1">IF(ISERROR(VLOOKUP($A$1324,INDIRECT("notes_"&amp;LEFT($A$1324,3)),4,0)),0,VLOOKUP($A$1324,INDIRECT("notes_"&amp;LEFT($A$1324,3)),4,0))</f>
        <v>0</v>
      </c>
    </row>
    <row r="1259" spans="1:3" x14ac:dyDescent="0.25">
      <c r="A1259" s="787" t="s">
        <v>3792</v>
      </c>
      <c r="B1259" s="789" t="str">
        <f>IF('RO4'!G$61="","",'RO4'!G$61)</f>
        <v/>
      </c>
      <c r="C1259" s="790">
        <f ca="1">IF(ISERROR(VLOOKUP($A$1325,INDIRECT("notes_"&amp;LEFT($A$1325,3)),4,0)),0,VLOOKUP($A$1325,INDIRECT("notes_"&amp;LEFT($A$1325,3)),4,0))</f>
        <v>0</v>
      </c>
    </row>
    <row r="1260" spans="1:3" x14ac:dyDescent="0.25">
      <c r="A1260" s="787" t="s">
        <v>3793</v>
      </c>
      <c r="B1260" s="789" t="str">
        <f>IF('RO4'!G$62="","",'RO4'!G$62)</f>
        <v/>
      </c>
      <c r="C1260" s="790">
        <f ca="1">IF(ISERROR(VLOOKUP($A$1326,INDIRECT("notes_"&amp;LEFT($A$1326,3)),4,0)),0,VLOOKUP($A$1326,INDIRECT("notes_"&amp;LEFT($A$1326,3)),4,0))</f>
        <v>0</v>
      </c>
    </row>
    <row r="1261" spans="1:3" x14ac:dyDescent="0.25">
      <c r="A1261" s="787" t="s">
        <v>3794</v>
      </c>
      <c r="B1261" s="789">
        <f>IF('RO4'!G$64="","",'RO4'!G$64)</f>
        <v>0</v>
      </c>
      <c r="C1261" s="790">
        <f ca="1">IF(ISERROR(VLOOKUP($A$1327,INDIRECT("notes_"&amp;LEFT($A$1327,3)),4,0)),0,VLOOKUP($A$1327,INDIRECT("notes_"&amp;LEFT($A$1327,3)),4,0))</f>
        <v>0</v>
      </c>
    </row>
    <row r="1262" spans="1:3" x14ac:dyDescent="0.25">
      <c r="A1262" s="787" t="s">
        <v>3795</v>
      </c>
      <c r="B1262" s="789" t="str">
        <f>IF('RO4'!H$31="","",'RO4'!H$31)</f>
        <v/>
      </c>
      <c r="C1262" s="790">
        <f ca="1">IF(ISERROR(VLOOKUP($A$1306,INDIRECT("notes_"&amp;LEFT($A$1306,3)),4,0)),0,VLOOKUP($A$1306,INDIRECT("notes_"&amp;LEFT($A$1306,3)),4,0))</f>
        <v>0</v>
      </c>
    </row>
    <row r="1263" spans="1:3" x14ac:dyDescent="0.25">
      <c r="A1263" s="787" t="s">
        <v>3796</v>
      </c>
      <c r="B1263" s="789" t="str">
        <f>IF('RO4'!H$33="","",'RO4'!H$33)</f>
        <v/>
      </c>
      <c r="C1263" s="790">
        <f ca="1">IF(ISERROR(VLOOKUP($A$1307,INDIRECT("notes_"&amp;LEFT($A$1307,3)),4,0)),0,VLOOKUP($A$1307,INDIRECT("notes_"&amp;LEFT($A$1307,3)),4,0))</f>
        <v>0</v>
      </c>
    </row>
    <row r="1264" spans="1:3" x14ac:dyDescent="0.25">
      <c r="A1264" s="787" t="s">
        <v>3797</v>
      </c>
      <c r="B1264" s="789" t="str">
        <f>IF('RO4'!H$36="","",'RO4'!H$36)</f>
        <v/>
      </c>
      <c r="C1264" s="790">
        <f ca="1">IF(ISERROR(VLOOKUP($A$1308,INDIRECT("notes_"&amp;LEFT($A$1308,3)),4,0)),0,VLOOKUP($A$1308,INDIRECT("notes_"&amp;LEFT($A$1308,3)),4,0))</f>
        <v>0</v>
      </c>
    </row>
    <row r="1265" spans="1:3" x14ac:dyDescent="0.25">
      <c r="A1265" s="787" t="s">
        <v>3798</v>
      </c>
      <c r="B1265" s="789" t="str">
        <f>IF('RO4'!H$37="","",'RO4'!H$37)</f>
        <v/>
      </c>
      <c r="C1265" s="790">
        <f ca="1">IF(ISERROR(VLOOKUP($A$1309,INDIRECT("notes_"&amp;LEFT($A$1309,3)),4,0)),0,VLOOKUP($A$1309,INDIRECT("notes_"&amp;LEFT($A$1309,3)),4,0))</f>
        <v>0</v>
      </c>
    </row>
    <row r="1266" spans="1:3" x14ac:dyDescent="0.25">
      <c r="A1266" s="787" t="s">
        <v>3799</v>
      </c>
      <c r="B1266" s="789" t="str">
        <f>IF('RO4'!H$40="","",'RO4'!H$40)</f>
        <v/>
      </c>
      <c r="C1266" s="790">
        <f ca="1">IF(ISERROR(VLOOKUP($A$1310,INDIRECT("notes_"&amp;LEFT($A$1310,3)),4,0)),0,VLOOKUP($A$1310,INDIRECT("notes_"&amp;LEFT($A$1310,3)),4,0))</f>
        <v>0</v>
      </c>
    </row>
    <row r="1267" spans="1:3" x14ac:dyDescent="0.25">
      <c r="A1267" s="787" t="s">
        <v>3800</v>
      </c>
      <c r="B1267" s="789" t="str">
        <f>IF('RO4'!H$41="","",'RO4'!H$41)</f>
        <v/>
      </c>
      <c r="C1267" s="790">
        <f ca="1">IF(ISERROR(VLOOKUP($A$1311,INDIRECT("notes_"&amp;LEFT($A$1311,3)),4,0)),0,VLOOKUP($A$1311,INDIRECT("notes_"&amp;LEFT($A$1311,3)),4,0))</f>
        <v>0</v>
      </c>
    </row>
    <row r="1268" spans="1:3" x14ac:dyDescent="0.25">
      <c r="A1268" s="787" t="s">
        <v>3801</v>
      </c>
      <c r="B1268" s="789" t="str">
        <f>IF('RO4'!H$42="","",'RO4'!H$42)</f>
        <v/>
      </c>
      <c r="C1268" s="790">
        <f ca="1">IF(ISERROR(VLOOKUP($A$1312,INDIRECT("notes_"&amp;LEFT($A$1312,3)),4,0)),0,VLOOKUP($A$1312,INDIRECT("notes_"&amp;LEFT($A$1312,3)),4,0))</f>
        <v>0</v>
      </c>
    </row>
    <row r="1269" spans="1:3" x14ac:dyDescent="0.25">
      <c r="A1269" s="787" t="s">
        <v>3802</v>
      </c>
      <c r="B1269" s="789" t="str">
        <f>IF('RO4'!H$43="","",'RO4'!H$43)</f>
        <v/>
      </c>
      <c r="C1269" s="790">
        <f ca="1">IF(ISERROR(VLOOKUP($A$1313,INDIRECT("notes_"&amp;LEFT($A$1313,3)),4,0)),0,VLOOKUP($A$1313,INDIRECT("notes_"&amp;LEFT($A$1313,3)),4,0))</f>
        <v>0</v>
      </c>
    </row>
    <row r="1270" spans="1:3" x14ac:dyDescent="0.25">
      <c r="A1270" s="787" t="s">
        <v>3803</v>
      </c>
      <c r="B1270" s="789" t="str">
        <f>IF('RO4'!H$44="","",'RO4'!H$44)</f>
        <v/>
      </c>
      <c r="C1270" s="790">
        <f ca="1">IF(ISERROR(VLOOKUP($A$1314,INDIRECT("notes_"&amp;LEFT($A$1314,3)),4,0)),0,VLOOKUP($A$1314,INDIRECT("notes_"&amp;LEFT($A$1314,3)),4,0))</f>
        <v>0</v>
      </c>
    </row>
    <row r="1271" spans="1:3" x14ac:dyDescent="0.25">
      <c r="A1271" s="787" t="s">
        <v>3804</v>
      </c>
      <c r="B1271" s="789" t="str">
        <f>IF('RO4'!H$45="","",'RO4'!H$45)</f>
        <v/>
      </c>
      <c r="C1271" s="790">
        <f ca="1">IF(ISERROR(VLOOKUP($A$1315,INDIRECT("notes_"&amp;LEFT($A$1315,3)),4,0)),0,VLOOKUP($A$1315,INDIRECT("notes_"&amp;LEFT($A$1315,3)),4,0))</f>
        <v>0</v>
      </c>
    </row>
    <row r="1272" spans="1:3" x14ac:dyDescent="0.25">
      <c r="A1272" s="787" t="s">
        <v>3805</v>
      </c>
      <c r="B1272" s="789" t="str">
        <f>IF('RO4'!H$46="","",'RO4'!H$46)</f>
        <v/>
      </c>
      <c r="C1272" s="790">
        <f ca="1">IF(ISERROR(VLOOKUP($A$1316,INDIRECT("notes_"&amp;LEFT($A$1316,3)),4,0)),0,VLOOKUP($A$1316,INDIRECT("notes_"&amp;LEFT($A$1316,3)),4,0))</f>
        <v>0</v>
      </c>
    </row>
    <row r="1273" spans="1:3" x14ac:dyDescent="0.25">
      <c r="A1273" s="787" t="s">
        <v>3806</v>
      </c>
      <c r="B1273" s="789" t="str">
        <f>IF('RO4'!H$47="","",'RO4'!H$47)</f>
        <v/>
      </c>
      <c r="C1273" s="790">
        <f ca="1">IF(ISERROR(VLOOKUP($A$1317,INDIRECT("notes_"&amp;LEFT($A$1317,3)),4,0)),0,VLOOKUP($A$1317,INDIRECT("notes_"&amp;LEFT($A$1317,3)),4,0))</f>
        <v>0</v>
      </c>
    </row>
    <row r="1274" spans="1:3" x14ac:dyDescent="0.25">
      <c r="A1274" s="787" t="s">
        <v>3807</v>
      </c>
      <c r="B1274" s="789" t="str">
        <f>IF('RO4'!H$48="","",'RO4'!H$48)</f>
        <v/>
      </c>
      <c r="C1274" s="790">
        <f ca="1">IF(ISERROR(VLOOKUP($A$1318,INDIRECT("notes_"&amp;LEFT($A$1318,3)),4,0)),0,VLOOKUP($A$1318,INDIRECT("notes_"&amp;LEFT($A$1318,3)),4,0))</f>
        <v>0</v>
      </c>
    </row>
    <row r="1275" spans="1:3" x14ac:dyDescent="0.25">
      <c r="A1275" s="787" t="s">
        <v>3808</v>
      </c>
      <c r="B1275" s="789">
        <f>IF('RO4'!H$49="","",'RO4'!H$49)</f>
        <v>0</v>
      </c>
      <c r="C1275" s="790">
        <f ca="1">IF(ISERROR(VLOOKUP($A$1319,INDIRECT("notes_"&amp;LEFT($A$1319,3)),4,0)),0,VLOOKUP($A$1319,INDIRECT("notes_"&amp;LEFT($A$1319,3)),4,0))</f>
        <v>0</v>
      </c>
    </row>
    <row r="1276" spans="1:3" x14ac:dyDescent="0.25">
      <c r="A1276" s="787" t="s">
        <v>3809</v>
      </c>
      <c r="B1276" s="789" t="str">
        <f>IF('RO4'!H$52="","",'RO4'!H$52)</f>
        <v/>
      </c>
      <c r="C1276" s="790">
        <f ca="1">IF(ISERROR(VLOOKUP($A$1320,INDIRECT("notes_"&amp;LEFT($A$1320,3)),4,0)),0,VLOOKUP($A$1320,INDIRECT("notes_"&amp;LEFT($A$1320,3)),4,0))</f>
        <v>0</v>
      </c>
    </row>
    <row r="1277" spans="1:3" x14ac:dyDescent="0.25">
      <c r="A1277" s="787" t="s">
        <v>3810</v>
      </c>
      <c r="B1277" s="789" t="str">
        <f>IF('RO4'!H$53="","",'RO4'!H$53)</f>
        <v/>
      </c>
      <c r="C1277" s="790">
        <f ca="1">IF(ISERROR(VLOOKUP($A$1321,INDIRECT("notes_"&amp;LEFT($A$1321,3)),4,0)),0,VLOOKUP($A$1321,INDIRECT("notes_"&amp;LEFT($A$1321,3)),4,0))</f>
        <v>0</v>
      </c>
    </row>
    <row r="1278" spans="1:3" x14ac:dyDescent="0.25">
      <c r="A1278" s="787" t="s">
        <v>3811</v>
      </c>
      <c r="B1278" s="789" t="str">
        <f>IF('RO4'!H$54="","",'RO4'!H$54)</f>
        <v/>
      </c>
      <c r="C1278" s="790">
        <f ca="1">IF(ISERROR(VLOOKUP($A$1322,INDIRECT("notes_"&amp;LEFT($A$1322,3)),4,0)),0,VLOOKUP($A$1322,INDIRECT("notes_"&amp;LEFT($A$1322,3)),4,0))</f>
        <v>0</v>
      </c>
    </row>
    <row r="1279" spans="1:3" x14ac:dyDescent="0.25">
      <c r="A1279" s="787" t="s">
        <v>3812</v>
      </c>
      <c r="B1279" s="789" t="str">
        <f>IF('RO4'!H$55="","",'RO4'!H$55)</f>
        <v/>
      </c>
      <c r="C1279" s="790">
        <f ca="1">IF(ISERROR(VLOOKUP($A$1323,INDIRECT("notes_"&amp;LEFT($A$1323,3)),4,0)),0,VLOOKUP($A$1323,INDIRECT("notes_"&amp;LEFT($A$1323,3)),4,0))</f>
        <v>0</v>
      </c>
    </row>
    <row r="1280" spans="1:3" x14ac:dyDescent="0.25">
      <c r="A1280" s="787" t="s">
        <v>3813</v>
      </c>
      <c r="B1280" s="789" t="str">
        <f>IF('RO4'!H$58="","",'RO4'!H$58)</f>
        <v/>
      </c>
      <c r="C1280" s="790">
        <f ca="1">IF(ISERROR(VLOOKUP($A$1324,INDIRECT("notes_"&amp;LEFT($A$1324,3)),4,0)),0,VLOOKUP($A$1324,INDIRECT("notes_"&amp;LEFT($A$1324,3)),4,0))</f>
        <v>0</v>
      </c>
    </row>
    <row r="1281" spans="1:3" x14ac:dyDescent="0.25">
      <c r="A1281" s="787" t="s">
        <v>3814</v>
      </c>
      <c r="B1281" s="789" t="str">
        <f>IF('RO4'!H$61="","",'RO4'!H$61)</f>
        <v/>
      </c>
      <c r="C1281" s="790">
        <f ca="1">IF(ISERROR(VLOOKUP($A$1325,INDIRECT("notes_"&amp;LEFT($A$1325,3)),4,0)),0,VLOOKUP($A$1325,INDIRECT("notes_"&amp;LEFT($A$1325,3)),4,0))</f>
        <v>0</v>
      </c>
    </row>
    <row r="1282" spans="1:3" x14ac:dyDescent="0.25">
      <c r="A1282" s="787" t="s">
        <v>3815</v>
      </c>
      <c r="B1282" s="789" t="str">
        <f>IF('RO4'!H$62="","",'RO4'!H$62)</f>
        <v/>
      </c>
      <c r="C1282" s="790">
        <f ca="1">IF(ISERROR(VLOOKUP($A$1326,INDIRECT("notes_"&amp;LEFT($A$1326,3)),4,0)),0,VLOOKUP($A$1326,INDIRECT("notes_"&amp;LEFT($A$1326,3)),4,0))</f>
        <v>0</v>
      </c>
    </row>
    <row r="1283" spans="1:3" x14ac:dyDescent="0.25">
      <c r="A1283" s="787" t="s">
        <v>3816</v>
      </c>
      <c r="B1283" s="789">
        <f>IF('RO4'!H$64="","",'RO4'!H$64)</f>
        <v>0</v>
      </c>
      <c r="C1283" s="790">
        <f ca="1">IF(ISERROR(VLOOKUP($A$1327,INDIRECT("notes_"&amp;LEFT($A$1327,3)),4,0)),0,VLOOKUP($A$1327,INDIRECT("notes_"&amp;LEFT($A$1327,3)),4,0))</f>
        <v>0</v>
      </c>
    </row>
    <row r="1284" spans="1:3" x14ac:dyDescent="0.25">
      <c r="A1284" s="787" t="s">
        <v>3817</v>
      </c>
      <c r="B1284" s="789">
        <f>IF('RO4'!I$31="","",'RO4'!I$31)</f>
        <v>0</v>
      </c>
      <c r="C1284" s="790">
        <f ca="1">IF(ISERROR(VLOOKUP($A$1306,INDIRECT("notes_"&amp;LEFT($A$1306,3)),4,0)),0,VLOOKUP($A$1306,INDIRECT("notes_"&amp;LEFT($A$1306,3)),4,0))</f>
        <v>0</v>
      </c>
    </row>
    <row r="1285" spans="1:3" x14ac:dyDescent="0.25">
      <c r="A1285" s="787" t="s">
        <v>3818</v>
      </c>
      <c r="B1285" s="789">
        <f>IF('RO4'!I$33="","",'RO4'!I$33)</f>
        <v>0</v>
      </c>
      <c r="C1285" s="790">
        <f ca="1">IF(ISERROR(VLOOKUP($A$1307,INDIRECT("notes_"&amp;LEFT($A$1307,3)),4,0)),0,VLOOKUP($A$1307,INDIRECT("notes_"&amp;LEFT($A$1307,3)),4,0))</f>
        <v>0</v>
      </c>
    </row>
    <row r="1286" spans="1:3" x14ac:dyDescent="0.25">
      <c r="A1286" s="787" t="s">
        <v>3819</v>
      </c>
      <c r="B1286" s="789">
        <f>IF('RO4'!I$36="","",'RO4'!I$36)</f>
        <v>0</v>
      </c>
      <c r="C1286" s="790">
        <f ca="1">IF(ISERROR(VLOOKUP($A$1308,INDIRECT("notes_"&amp;LEFT($A$1308,3)),4,0)),0,VLOOKUP($A$1308,INDIRECT("notes_"&amp;LEFT($A$1308,3)),4,0))</f>
        <v>0</v>
      </c>
    </row>
    <row r="1287" spans="1:3" x14ac:dyDescent="0.25">
      <c r="A1287" s="787" t="s">
        <v>3820</v>
      </c>
      <c r="B1287" s="789">
        <f>IF('RO4'!I$37="","",'RO4'!I$37)</f>
        <v>0</v>
      </c>
      <c r="C1287" s="790">
        <f ca="1">IF(ISERROR(VLOOKUP($A$1309,INDIRECT("notes_"&amp;LEFT($A$1309,3)),4,0)),0,VLOOKUP($A$1309,INDIRECT("notes_"&amp;LEFT($A$1309,3)),4,0))</f>
        <v>0</v>
      </c>
    </row>
    <row r="1288" spans="1:3" x14ac:dyDescent="0.25">
      <c r="A1288" s="787" t="s">
        <v>3821</v>
      </c>
      <c r="B1288" s="789">
        <f>IF('RO4'!I$40="","",'RO4'!I$40)</f>
        <v>0</v>
      </c>
      <c r="C1288" s="790">
        <f ca="1">IF(ISERROR(VLOOKUP($A$1310,INDIRECT("notes_"&amp;LEFT($A$1310,3)),4,0)),0,VLOOKUP($A$1310,INDIRECT("notes_"&amp;LEFT($A$1310,3)),4,0))</f>
        <v>0</v>
      </c>
    </row>
    <row r="1289" spans="1:3" x14ac:dyDescent="0.25">
      <c r="A1289" s="787" t="s">
        <v>3822</v>
      </c>
      <c r="B1289" s="789">
        <f>IF('RO4'!I$41="","",'RO4'!I$41)</f>
        <v>0</v>
      </c>
      <c r="C1289" s="790">
        <f ca="1">IF(ISERROR(VLOOKUP($A$1311,INDIRECT("notes_"&amp;LEFT($A$1311,3)),4,0)),0,VLOOKUP($A$1311,INDIRECT("notes_"&amp;LEFT($A$1311,3)),4,0))</f>
        <v>0</v>
      </c>
    </row>
    <row r="1290" spans="1:3" x14ac:dyDescent="0.25">
      <c r="A1290" s="787" t="s">
        <v>3823</v>
      </c>
      <c r="B1290" s="789">
        <f>IF('RO4'!I$42="","",'RO4'!I$42)</f>
        <v>0</v>
      </c>
      <c r="C1290" s="790">
        <f ca="1">IF(ISERROR(VLOOKUP($A$1312,INDIRECT("notes_"&amp;LEFT($A$1312,3)),4,0)),0,VLOOKUP($A$1312,INDIRECT("notes_"&amp;LEFT($A$1312,3)),4,0))</f>
        <v>0</v>
      </c>
    </row>
    <row r="1291" spans="1:3" x14ac:dyDescent="0.25">
      <c r="A1291" s="787" t="s">
        <v>3824</v>
      </c>
      <c r="B1291" s="789">
        <f>IF('RO4'!I$43="","",'RO4'!I$43)</f>
        <v>0</v>
      </c>
      <c r="C1291" s="790">
        <f ca="1">IF(ISERROR(VLOOKUP($A$1313,INDIRECT("notes_"&amp;LEFT($A$1313,3)),4,0)),0,VLOOKUP($A$1313,INDIRECT("notes_"&amp;LEFT($A$1313,3)),4,0))</f>
        <v>0</v>
      </c>
    </row>
    <row r="1292" spans="1:3" x14ac:dyDescent="0.25">
      <c r="A1292" s="787" t="s">
        <v>3825</v>
      </c>
      <c r="B1292" s="789">
        <f>IF('RO4'!I$44="","",'RO4'!I$44)</f>
        <v>0</v>
      </c>
      <c r="C1292" s="790">
        <f ca="1">IF(ISERROR(VLOOKUP($A$1314,INDIRECT("notes_"&amp;LEFT($A$1314,3)),4,0)),0,VLOOKUP($A$1314,INDIRECT("notes_"&amp;LEFT($A$1314,3)),4,0))</f>
        <v>0</v>
      </c>
    </row>
    <row r="1293" spans="1:3" x14ac:dyDescent="0.25">
      <c r="A1293" s="787" t="s">
        <v>3826</v>
      </c>
      <c r="B1293" s="789">
        <f>IF('RO4'!I$45="","",'RO4'!I$45)</f>
        <v>0</v>
      </c>
      <c r="C1293" s="790">
        <f ca="1">IF(ISERROR(VLOOKUP($A$1315,INDIRECT("notes_"&amp;LEFT($A$1315,3)),4,0)),0,VLOOKUP($A$1315,INDIRECT("notes_"&amp;LEFT($A$1315,3)),4,0))</f>
        <v>0</v>
      </c>
    </row>
    <row r="1294" spans="1:3" x14ac:dyDescent="0.25">
      <c r="A1294" s="787" t="s">
        <v>3827</v>
      </c>
      <c r="B1294" s="789">
        <f>IF('RO4'!I$46="","",'RO4'!I$46)</f>
        <v>0</v>
      </c>
      <c r="C1294" s="790">
        <f ca="1">IF(ISERROR(VLOOKUP($A$1316,INDIRECT("notes_"&amp;LEFT($A$1316,3)),4,0)),0,VLOOKUP($A$1316,INDIRECT("notes_"&amp;LEFT($A$1316,3)),4,0))</f>
        <v>0</v>
      </c>
    </row>
    <row r="1295" spans="1:3" x14ac:dyDescent="0.25">
      <c r="A1295" s="787" t="s">
        <v>3828</v>
      </c>
      <c r="B1295" s="789">
        <f>IF('RO4'!I$47="","",'RO4'!I$47)</f>
        <v>0</v>
      </c>
      <c r="C1295" s="790">
        <f ca="1">IF(ISERROR(VLOOKUP($A$1317,INDIRECT("notes_"&amp;LEFT($A$1317,3)),4,0)),0,VLOOKUP($A$1317,INDIRECT("notes_"&amp;LEFT($A$1317,3)),4,0))</f>
        <v>0</v>
      </c>
    </row>
    <row r="1296" spans="1:3" x14ac:dyDescent="0.25">
      <c r="A1296" s="787" t="s">
        <v>3829</v>
      </c>
      <c r="B1296" s="789">
        <f>IF('RO4'!I$48="","",'RO4'!I$48)</f>
        <v>0</v>
      </c>
      <c r="C1296" s="790">
        <f ca="1">IF(ISERROR(VLOOKUP($A$1318,INDIRECT("notes_"&amp;LEFT($A$1318,3)),4,0)),0,VLOOKUP($A$1318,INDIRECT("notes_"&amp;LEFT($A$1318,3)),4,0))</f>
        <v>0</v>
      </c>
    </row>
    <row r="1297" spans="1:6" x14ac:dyDescent="0.25">
      <c r="A1297" s="787" t="s">
        <v>3830</v>
      </c>
      <c r="B1297" s="789">
        <f>IF('RO4'!I$49="","",'RO4'!I$49)</f>
        <v>0</v>
      </c>
      <c r="C1297" s="790">
        <f ca="1">IF(ISERROR(VLOOKUP($A$1319,INDIRECT("notes_"&amp;LEFT($A$1319,3)),4,0)),0,VLOOKUP($A$1319,INDIRECT("notes_"&amp;LEFT($A$1319,3)),4,0))</f>
        <v>0</v>
      </c>
    </row>
    <row r="1298" spans="1:6" x14ac:dyDescent="0.25">
      <c r="A1298" s="787" t="s">
        <v>3831</v>
      </c>
      <c r="B1298" s="789">
        <f>IF('RO4'!I$52="","",'RO4'!I$52)</f>
        <v>0</v>
      </c>
      <c r="C1298" s="790">
        <f ca="1">IF(ISERROR(VLOOKUP($A$1320,INDIRECT("notes_"&amp;LEFT($A$1320,3)),4,0)),0,VLOOKUP($A$1320,INDIRECT("notes_"&amp;LEFT($A$1320,3)),4,0))</f>
        <v>0</v>
      </c>
    </row>
    <row r="1299" spans="1:6" x14ac:dyDescent="0.25">
      <c r="A1299" s="787" t="s">
        <v>3832</v>
      </c>
      <c r="B1299" s="789">
        <f>IF('RO4'!I$53="","",'RO4'!I$53)</f>
        <v>0</v>
      </c>
      <c r="C1299" s="790">
        <f ca="1">IF(ISERROR(VLOOKUP($A$1321,INDIRECT("notes_"&amp;LEFT($A$1321,3)),4,0)),0,VLOOKUP($A$1321,INDIRECT("notes_"&amp;LEFT($A$1321,3)),4,0))</f>
        <v>0</v>
      </c>
    </row>
    <row r="1300" spans="1:6" x14ac:dyDescent="0.25">
      <c r="A1300" s="787" t="s">
        <v>3833</v>
      </c>
      <c r="B1300" s="789">
        <f>IF('RO4'!I$54="","",'RO4'!I$54)</f>
        <v>0</v>
      </c>
      <c r="C1300" s="790">
        <f ca="1">IF(ISERROR(VLOOKUP($A$1322,INDIRECT("notes_"&amp;LEFT($A$1322,3)),4,0)),0,VLOOKUP($A$1322,INDIRECT("notes_"&amp;LEFT($A$1322,3)),4,0))</f>
        <v>0</v>
      </c>
    </row>
    <row r="1301" spans="1:6" x14ac:dyDescent="0.25">
      <c r="A1301" s="787" t="s">
        <v>3834</v>
      </c>
      <c r="B1301" s="789">
        <f>IF('RO4'!I$55="","",'RO4'!I$55)</f>
        <v>0</v>
      </c>
      <c r="C1301" s="790">
        <f ca="1">IF(ISERROR(VLOOKUP($A$1323,INDIRECT("notes_"&amp;LEFT($A$1323,3)),4,0)),0,VLOOKUP($A$1323,INDIRECT("notes_"&amp;LEFT($A$1323,3)),4,0))</f>
        <v>0</v>
      </c>
    </row>
    <row r="1302" spans="1:6" x14ac:dyDescent="0.25">
      <c r="A1302" s="787" t="s">
        <v>3835</v>
      </c>
      <c r="B1302" s="789">
        <f>IF('RO4'!I$58="","",'RO4'!I$58)</f>
        <v>0</v>
      </c>
      <c r="C1302" s="790">
        <f ca="1">IF(ISERROR(VLOOKUP($A$1324,INDIRECT("notes_"&amp;LEFT($A$1324,3)),4,0)),0,VLOOKUP($A$1324,INDIRECT("notes_"&amp;LEFT($A$1324,3)),4,0))</f>
        <v>0</v>
      </c>
    </row>
    <row r="1303" spans="1:6" x14ac:dyDescent="0.25">
      <c r="A1303" s="787" t="s">
        <v>3836</v>
      </c>
      <c r="B1303" s="789">
        <f>IF('RO4'!I$61="","",'RO4'!I$61)</f>
        <v>0</v>
      </c>
      <c r="C1303" s="790">
        <f ca="1">IF(ISERROR(VLOOKUP($A$1325,INDIRECT("notes_"&amp;LEFT($A$1325,3)),4,0)),0,VLOOKUP($A$1325,INDIRECT("notes_"&amp;LEFT($A$1325,3)),4,0))</f>
        <v>0</v>
      </c>
    </row>
    <row r="1304" spans="1:6" x14ac:dyDescent="0.25">
      <c r="A1304" s="787" t="s">
        <v>3837</v>
      </c>
      <c r="B1304" s="789">
        <f>IF('RO4'!I$62="","",'RO4'!I$62)</f>
        <v>0</v>
      </c>
      <c r="C1304" s="790">
        <f ca="1">IF(ISERROR(VLOOKUP($A$1326,INDIRECT("notes_"&amp;LEFT($A$1326,3)),4,0)),0,VLOOKUP($A$1326,INDIRECT("notes_"&amp;LEFT($A$1326,3)),4,0))</f>
        <v>0</v>
      </c>
    </row>
    <row r="1305" spans="1:6" x14ac:dyDescent="0.25">
      <c r="A1305" s="787" t="s">
        <v>3838</v>
      </c>
      <c r="B1305" s="789">
        <f>IF('RO4'!I$64="","",'RO4'!I$64)</f>
        <v>0</v>
      </c>
      <c r="C1305" s="790">
        <f ca="1">IF(ISERROR(VLOOKUP($A$1327,INDIRECT("notes_"&amp;LEFT($A$1327,3)),4,0)),0,VLOOKUP($A$1327,INDIRECT("notes_"&amp;LEFT($A$1327,3)),4,0))</f>
        <v>0</v>
      </c>
    </row>
    <row r="1306" spans="1:6" x14ac:dyDescent="0.25">
      <c r="A1306" s="787" t="s">
        <v>2606</v>
      </c>
      <c r="B1306" s="789">
        <f>IF('RO4'!J$31="","",'RO4'!J$31)</f>
        <v>0</v>
      </c>
      <c r="C1306" s="790">
        <f ca="1">IF(ISERROR(VLOOKUP($A$1306,INDIRECT("notes_"&amp;LEFT($A$1306,3)),4,0)),0,VLOOKUP($A$1306,INDIRECT("notes_"&amp;LEFT($A$1306,3)),4,0))</f>
        <v>0</v>
      </c>
      <c r="D1306" s="789" t="str">
        <f>'RO4'!L31</f>
        <v/>
      </c>
      <c r="E1306" s="789" t="str">
        <f>'RO4'!M31</f>
        <v/>
      </c>
      <c r="F1306" s="789" t="str">
        <f>'RO4'!O31</f>
        <v/>
      </c>
    </row>
    <row r="1307" spans="1:6" x14ac:dyDescent="0.25">
      <c r="A1307" s="787" t="s">
        <v>2608</v>
      </c>
      <c r="B1307" s="789">
        <f>IF('RO4'!J$33="","",'RO4'!J$33)</f>
        <v>0</v>
      </c>
      <c r="C1307" s="790">
        <f ca="1">IF(ISERROR(VLOOKUP($A$1307,INDIRECT("notes_"&amp;LEFT($A$1307,3)),4,0)),0,VLOOKUP($A$1307,INDIRECT("notes_"&amp;LEFT($A$1307,3)),4,0))</f>
        <v>0</v>
      </c>
      <c r="D1307" s="789" t="str">
        <f>'RO4'!L33</f>
        <v/>
      </c>
      <c r="E1307" s="789" t="str">
        <f>'RO4'!M33</f>
        <v/>
      </c>
      <c r="F1307" s="789" t="str">
        <f>'RO4'!O33</f>
        <v/>
      </c>
    </row>
    <row r="1308" spans="1:6" x14ac:dyDescent="0.25">
      <c r="A1308" s="787" t="s">
        <v>2609</v>
      </c>
      <c r="B1308" s="789">
        <f>IF('RO4'!J$36="","",'RO4'!J$36)</f>
        <v>0</v>
      </c>
      <c r="C1308" s="790">
        <f ca="1">IF(ISERROR(VLOOKUP($A$1308,INDIRECT("notes_"&amp;LEFT($A$1308,3)),4,0)),0,VLOOKUP($A$1308,INDIRECT("notes_"&amp;LEFT($A$1308,3)),4,0))</f>
        <v>0</v>
      </c>
      <c r="D1308" s="789" t="str">
        <f>'RO4'!L36</f>
        <v/>
      </c>
      <c r="E1308" s="789" t="str">
        <f>'RO4'!M36</f>
        <v/>
      </c>
      <c r="F1308" s="789" t="str">
        <f>'RO4'!O36</f>
        <v/>
      </c>
    </row>
    <row r="1309" spans="1:6" x14ac:dyDescent="0.25">
      <c r="A1309" s="787" t="s">
        <v>2610</v>
      </c>
      <c r="B1309" s="789">
        <f>IF('RO4'!J$37="","",'RO4'!J$37)</f>
        <v>0</v>
      </c>
      <c r="C1309" s="790">
        <f ca="1">IF(ISERROR(VLOOKUP($A$1309,INDIRECT("notes_"&amp;LEFT($A$1309,3)),4,0)),0,VLOOKUP($A$1309,INDIRECT("notes_"&amp;LEFT($A$1309,3)),4,0))</f>
        <v>0</v>
      </c>
      <c r="D1309" s="789" t="str">
        <f>'RO4'!L37</f>
        <v/>
      </c>
      <c r="E1309" s="789" t="str">
        <f>'RO4'!M37</f>
        <v/>
      </c>
      <c r="F1309" s="789" t="str">
        <f>'RO4'!O37</f>
        <v/>
      </c>
    </row>
    <row r="1310" spans="1:6" x14ac:dyDescent="0.25">
      <c r="A1310" s="787" t="s">
        <v>2611</v>
      </c>
      <c r="B1310" s="789">
        <f>IF('RO4'!J$40="","",'RO4'!J$40)</f>
        <v>0</v>
      </c>
      <c r="C1310" s="790">
        <f ca="1">IF(ISERROR(VLOOKUP($A$1310,INDIRECT("notes_"&amp;LEFT($A$1310,3)),4,0)),0,VLOOKUP($A$1310,INDIRECT("notes_"&amp;LEFT($A$1310,3)),4,0))</f>
        <v>0</v>
      </c>
      <c r="D1310" s="789" t="str">
        <f>'RO4'!L40</f>
        <v/>
      </c>
      <c r="E1310" s="789" t="str">
        <f>'RO4'!M40</f>
        <v/>
      </c>
      <c r="F1310" s="789" t="str">
        <f>'RO4'!O40</f>
        <v/>
      </c>
    </row>
    <row r="1311" spans="1:6" x14ac:dyDescent="0.25">
      <c r="A1311" s="787" t="s">
        <v>2612</v>
      </c>
      <c r="B1311" s="789">
        <f>IF('RO4'!J$41="","",'RO4'!J$41)</f>
        <v>0</v>
      </c>
      <c r="C1311" s="790">
        <f ca="1">IF(ISERROR(VLOOKUP($A$1311,INDIRECT("notes_"&amp;LEFT($A$1311,3)),4,0)),0,VLOOKUP($A$1311,INDIRECT("notes_"&amp;LEFT($A$1311,3)),4,0))</f>
        <v>0</v>
      </c>
      <c r="D1311" s="789" t="str">
        <f>'RO4'!L41</f>
        <v/>
      </c>
      <c r="E1311" s="789" t="str">
        <f>'RO4'!M41</f>
        <v/>
      </c>
      <c r="F1311" s="789" t="str">
        <f>'RO4'!O41</f>
        <v/>
      </c>
    </row>
    <row r="1312" spans="1:6" x14ac:dyDescent="0.25">
      <c r="A1312" s="787" t="s">
        <v>2613</v>
      </c>
      <c r="B1312" s="789">
        <f>IF('RO4'!J$42="","",'RO4'!J$42)</f>
        <v>0</v>
      </c>
      <c r="C1312" s="790">
        <f ca="1">IF(ISERROR(VLOOKUP($A$1312,INDIRECT("notes_"&amp;LEFT($A$1312,3)),4,0)),0,VLOOKUP($A$1312,INDIRECT("notes_"&amp;LEFT($A$1312,3)),4,0))</f>
        <v>0</v>
      </c>
      <c r="D1312" s="789" t="str">
        <f>'RO4'!L42</f>
        <v/>
      </c>
      <c r="E1312" s="789" t="str">
        <f>'RO4'!M42</f>
        <v/>
      </c>
      <c r="F1312" s="789" t="str">
        <f>'RO4'!O42</f>
        <v/>
      </c>
    </row>
    <row r="1313" spans="1:6" x14ac:dyDescent="0.25">
      <c r="A1313" s="787" t="s">
        <v>2614</v>
      </c>
      <c r="B1313" s="789">
        <f>IF('RO4'!J$43="","",'RO4'!J$43)</f>
        <v>0</v>
      </c>
      <c r="C1313" s="790">
        <f ca="1">IF(ISERROR(VLOOKUP($A$1313,INDIRECT("notes_"&amp;LEFT($A$1313,3)),4,0)),0,VLOOKUP($A$1313,INDIRECT("notes_"&amp;LEFT($A$1313,3)),4,0))</f>
        <v>0</v>
      </c>
      <c r="D1313" s="789" t="str">
        <f>'RO4'!L43</f>
        <v/>
      </c>
      <c r="E1313" s="789" t="str">
        <f>'RO4'!M43</f>
        <v/>
      </c>
      <c r="F1313" s="789" t="str">
        <f>'RO4'!O43</f>
        <v/>
      </c>
    </row>
    <row r="1314" spans="1:6" x14ac:dyDescent="0.25">
      <c r="A1314" s="787" t="s">
        <v>2615</v>
      </c>
      <c r="B1314" s="789">
        <f>IF('RO4'!J$44="","",'RO4'!J$44)</f>
        <v>0</v>
      </c>
      <c r="C1314" s="790">
        <f ca="1">IF(ISERROR(VLOOKUP($A$1314,INDIRECT("notes_"&amp;LEFT($A$1314,3)),4,0)),0,VLOOKUP($A$1314,INDIRECT("notes_"&amp;LEFT($A$1314,3)),4,0))</f>
        <v>0</v>
      </c>
      <c r="D1314" s="789" t="str">
        <f>'RO4'!L44</f>
        <v/>
      </c>
      <c r="E1314" s="789" t="str">
        <f>'RO4'!M44</f>
        <v/>
      </c>
      <c r="F1314" s="789" t="str">
        <f>'RO4'!O44</f>
        <v/>
      </c>
    </row>
    <row r="1315" spans="1:6" x14ac:dyDescent="0.25">
      <c r="A1315" s="787" t="s">
        <v>2616</v>
      </c>
      <c r="B1315" s="789">
        <f>IF('RO4'!J$45="","",'RO4'!J$45)</f>
        <v>0</v>
      </c>
      <c r="C1315" s="790">
        <f ca="1">IF(ISERROR(VLOOKUP($A$1315,INDIRECT("notes_"&amp;LEFT($A$1315,3)),4,0)),0,VLOOKUP($A$1315,INDIRECT("notes_"&amp;LEFT($A$1315,3)),4,0))</f>
        <v>0</v>
      </c>
      <c r="D1315" s="789" t="str">
        <f>'RO4'!L45</f>
        <v/>
      </c>
      <c r="E1315" s="789" t="str">
        <f>'RO4'!M45</f>
        <v/>
      </c>
      <c r="F1315" s="789" t="str">
        <f>'RO4'!O45</f>
        <v/>
      </c>
    </row>
    <row r="1316" spans="1:6" x14ac:dyDescent="0.25">
      <c r="A1316" s="787" t="s">
        <v>2617</v>
      </c>
      <c r="B1316" s="789">
        <f>IF('RO4'!J$46="","",'RO4'!J$46)</f>
        <v>0</v>
      </c>
      <c r="C1316" s="790">
        <f ca="1">IF(ISERROR(VLOOKUP($A$1316,INDIRECT("notes_"&amp;LEFT($A$1316,3)),4,0)),0,VLOOKUP($A$1316,INDIRECT("notes_"&amp;LEFT($A$1316,3)),4,0))</f>
        <v>0</v>
      </c>
      <c r="D1316" s="789" t="str">
        <f>'RO4'!L46</f>
        <v/>
      </c>
      <c r="E1316" s="789" t="str">
        <f>'RO4'!M46</f>
        <v/>
      </c>
      <c r="F1316" s="789" t="str">
        <f>'RO4'!O46</f>
        <v/>
      </c>
    </row>
    <row r="1317" spans="1:6" x14ac:dyDescent="0.25">
      <c r="A1317" s="787" t="s">
        <v>2618</v>
      </c>
      <c r="B1317" s="789">
        <f>IF('RO4'!J$47="","",'RO4'!J$47)</f>
        <v>0</v>
      </c>
      <c r="C1317" s="790">
        <f ca="1">IF(ISERROR(VLOOKUP($A$1317,INDIRECT("notes_"&amp;LEFT($A$1317,3)),4,0)),0,VLOOKUP($A$1317,INDIRECT("notes_"&amp;LEFT($A$1317,3)),4,0))</f>
        <v>0</v>
      </c>
      <c r="D1317" s="789" t="str">
        <f>'RO4'!L47</f>
        <v/>
      </c>
      <c r="E1317" s="789" t="str">
        <f>'RO4'!M47</f>
        <v/>
      </c>
      <c r="F1317" s="789" t="str">
        <f>'RO4'!O47</f>
        <v/>
      </c>
    </row>
    <row r="1318" spans="1:6" x14ac:dyDescent="0.25">
      <c r="A1318" s="787" t="s">
        <v>2619</v>
      </c>
      <c r="B1318" s="789">
        <f>IF('RO4'!J$48="","",'RO4'!J$48)</f>
        <v>0</v>
      </c>
      <c r="C1318" s="790">
        <f ca="1">IF(ISERROR(VLOOKUP($A$1318,INDIRECT("notes_"&amp;LEFT($A$1318,3)),4,0)),0,VLOOKUP($A$1318,INDIRECT("notes_"&amp;LEFT($A$1318,3)),4,0))</f>
        <v>0</v>
      </c>
      <c r="D1318" s="789" t="str">
        <f>'RO4'!L48</f>
        <v/>
      </c>
      <c r="E1318" s="789" t="str">
        <f>'RO4'!M48</f>
        <v/>
      </c>
      <c r="F1318" s="789" t="str">
        <f>'RO4'!O48</f>
        <v/>
      </c>
    </row>
    <row r="1319" spans="1:6" x14ac:dyDescent="0.25">
      <c r="A1319" s="787" t="s">
        <v>2620</v>
      </c>
      <c r="B1319" s="789">
        <f>IF('RO4'!J$49="","",'RO4'!J$49)</f>
        <v>0</v>
      </c>
      <c r="C1319" s="790">
        <f ca="1">IF(ISERROR(VLOOKUP($A$1319,INDIRECT("notes_"&amp;LEFT($A$1319,3)),4,0)),0,VLOOKUP($A$1319,INDIRECT("notes_"&amp;LEFT($A$1319,3)),4,0))</f>
        <v>0</v>
      </c>
      <c r="D1319" s="789" t="str">
        <f>'RO4'!L49</f>
        <v/>
      </c>
      <c r="E1319" s="789" t="str">
        <f>'RO4'!M49</f>
        <v/>
      </c>
      <c r="F1319" s="789" t="str">
        <f>'RO4'!O49</f>
        <v/>
      </c>
    </row>
    <row r="1320" spans="1:6" x14ac:dyDescent="0.25">
      <c r="A1320" s="787" t="s">
        <v>2621</v>
      </c>
      <c r="B1320" s="789">
        <f>IF('RO4'!J$52="","",'RO4'!J$52)</f>
        <v>0</v>
      </c>
      <c r="C1320" s="790">
        <f ca="1">IF(ISERROR(VLOOKUP($A$1320,INDIRECT("notes_"&amp;LEFT($A$1320,3)),4,0)),0,VLOOKUP($A$1320,INDIRECT("notes_"&amp;LEFT($A$1320,3)),4,0))</f>
        <v>0</v>
      </c>
      <c r="D1320" s="789" t="str">
        <f>'RO4'!L52</f>
        <v/>
      </c>
      <c r="E1320" s="789" t="str">
        <f>'RO4'!M52</f>
        <v/>
      </c>
      <c r="F1320" s="789" t="str">
        <f>'RO4'!O52</f>
        <v/>
      </c>
    </row>
    <row r="1321" spans="1:6" x14ac:dyDescent="0.25">
      <c r="A1321" s="787" t="s">
        <v>2622</v>
      </c>
      <c r="B1321" s="789">
        <f>IF('RO4'!J$53="","",'RO4'!J$53)</f>
        <v>0</v>
      </c>
      <c r="C1321" s="790">
        <f ca="1">IF(ISERROR(VLOOKUP($A$1321,INDIRECT("notes_"&amp;LEFT($A$1321,3)),4,0)),0,VLOOKUP($A$1321,INDIRECT("notes_"&amp;LEFT($A$1321,3)),4,0))</f>
        <v>0</v>
      </c>
      <c r="D1321" s="789" t="str">
        <f>'RO4'!L53</f>
        <v/>
      </c>
      <c r="E1321" s="789" t="str">
        <f>'RO4'!M53</f>
        <v/>
      </c>
      <c r="F1321" s="789" t="str">
        <f>'RO4'!O53</f>
        <v/>
      </c>
    </row>
    <row r="1322" spans="1:6" x14ac:dyDescent="0.25">
      <c r="A1322" s="787" t="s">
        <v>2623</v>
      </c>
      <c r="B1322" s="789">
        <f>IF('RO4'!J$54="","",'RO4'!J$54)</f>
        <v>0</v>
      </c>
      <c r="C1322" s="790">
        <f ca="1">IF(ISERROR(VLOOKUP($A$1322,INDIRECT("notes_"&amp;LEFT($A$1322,3)),4,0)),0,VLOOKUP($A$1322,INDIRECT("notes_"&amp;LEFT($A$1322,3)),4,0))</f>
        <v>0</v>
      </c>
      <c r="D1322" s="789" t="str">
        <f>'RO4'!L54</f>
        <v/>
      </c>
      <c r="E1322" s="789" t="str">
        <f>'RO4'!M54</f>
        <v/>
      </c>
      <c r="F1322" s="789" t="str">
        <f>'RO4'!O54</f>
        <v/>
      </c>
    </row>
    <row r="1323" spans="1:6" x14ac:dyDescent="0.25">
      <c r="A1323" s="787" t="s">
        <v>2624</v>
      </c>
      <c r="B1323" s="789">
        <f>IF('RO4'!J$55="","",'RO4'!J$55)</f>
        <v>0</v>
      </c>
      <c r="C1323" s="790">
        <f ca="1">IF(ISERROR(VLOOKUP($A$1323,INDIRECT("notes_"&amp;LEFT($A$1323,3)),4,0)),0,VLOOKUP($A$1323,INDIRECT("notes_"&amp;LEFT($A$1323,3)),4,0))</f>
        <v>0</v>
      </c>
      <c r="D1323" s="789" t="str">
        <f>'RO4'!L55</f>
        <v/>
      </c>
      <c r="E1323" s="789" t="str">
        <f>'RO4'!M55</f>
        <v/>
      </c>
      <c r="F1323" s="789" t="str">
        <f>'RO4'!O55</f>
        <v/>
      </c>
    </row>
    <row r="1324" spans="1:6" x14ac:dyDescent="0.25">
      <c r="A1324" s="787" t="s">
        <v>2625</v>
      </c>
      <c r="B1324" s="789">
        <f>IF('RO4'!J$58="","",'RO4'!J$58)</f>
        <v>0</v>
      </c>
      <c r="C1324" s="790">
        <f ca="1">IF(ISERROR(VLOOKUP($A$1324,INDIRECT("notes_"&amp;LEFT($A$1324,3)),4,0)),0,VLOOKUP($A$1324,INDIRECT("notes_"&amp;LEFT($A$1324,3)),4,0))</f>
        <v>0</v>
      </c>
      <c r="D1324" s="789" t="str">
        <f>'RO4'!L58</f>
        <v/>
      </c>
      <c r="E1324" s="789" t="str">
        <f>'RO4'!M58</f>
        <v/>
      </c>
      <c r="F1324" s="789" t="str">
        <f>'RO4'!O58</f>
        <v/>
      </c>
    </row>
    <row r="1325" spans="1:6" x14ac:dyDescent="0.25">
      <c r="A1325" s="787" t="s">
        <v>2626</v>
      </c>
      <c r="B1325" s="789">
        <f>IF('RO4'!J$61="","",'RO4'!J$61)</f>
        <v>0</v>
      </c>
      <c r="C1325" s="790">
        <f ca="1">IF(ISERROR(VLOOKUP($A$1325,INDIRECT("notes_"&amp;LEFT($A$1325,3)),4,0)),0,VLOOKUP($A$1325,INDIRECT("notes_"&amp;LEFT($A$1325,3)),4,0))</f>
        <v>0</v>
      </c>
      <c r="D1325" s="789" t="str">
        <f>'RO4'!L61</f>
        <v/>
      </c>
      <c r="E1325" s="789" t="str">
        <f>'RO4'!M61</f>
        <v/>
      </c>
      <c r="F1325" s="789" t="str">
        <f>'RO4'!O61</f>
        <v/>
      </c>
    </row>
    <row r="1326" spans="1:6" x14ac:dyDescent="0.25">
      <c r="A1326" s="787" t="s">
        <v>2627</v>
      </c>
      <c r="B1326" s="789">
        <f>IF('RO4'!J$62="","",'RO4'!J$62)</f>
        <v>0</v>
      </c>
      <c r="C1326" s="790">
        <f ca="1">IF(ISERROR(VLOOKUP($A$1326,INDIRECT("notes_"&amp;LEFT($A$1326,3)),4,0)),0,VLOOKUP($A$1326,INDIRECT("notes_"&amp;LEFT($A$1326,3)),4,0))</f>
        <v>0</v>
      </c>
      <c r="D1326" s="789" t="str">
        <f>'RO4'!L62</f>
        <v/>
      </c>
      <c r="E1326" s="789" t="str">
        <f>'RO4'!M62</f>
        <v/>
      </c>
      <c r="F1326" s="789" t="str">
        <f>'RO4'!O62</f>
        <v/>
      </c>
    </row>
    <row r="1327" spans="1:6" x14ac:dyDescent="0.25">
      <c r="A1327" s="787" t="s">
        <v>2628</v>
      </c>
      <c r="B1327" s="789">
        <f>IF('RO4'!J$64="","",'RO4'!J$64)</f>
        <v>0</v>
      </c>
      <c r="C1327" s="790">
        <f ca="1">IF(ISERROR(VLOOKUP($A$1327,INDIRECT("notes_"&amp;LEFT($A$1327,3)),4,0)),0,VLOOKUP($A$1327,INDIRECT("notes_"&amp;LEFT($A$1327,3)),4,0))</f>
        <v>0</v>
      </c>
      <c r="D1327" s="789" t="str">
        <f>'RO4'!L64</f>
        <v/>
      </c>
      <c r="E1327" s="789" t="str">
        <f>'RO4'!M64</f>
        <v/>
      </c>
      <c r="F1327" s="789" t="str">
        <f>'RO4'!O64</f>
        <v/>
      </c>
    </row>
    <row r="1328" spans="1:6" x14ac:dyDescent="0.25">
      <c r="A1328" s="787" t="s">
        <v>2630</v>
      </c>
      <c r="B1328" s="789" t="str">
        <f>IF('RO4'!D$75="","",'RO4'!D$75)</f>
        <v/>
      </c>
      <c r="C1328" s="790">
        <f t="shared" ref="C1328:C1350" ca="1" si="8">IF(ISERROR(VLOOKUP(A1328,INDIRECT("notes_"&amp;LEFT(A1328,3)),4,0)),0,VLOOKUP(A1328,INDIRECT("notes_"&amp;LEFT(A1328,3)),4,0))</f>
        <v>0</v>
      </c>
      <c r="D1328" s="789" t="str">
        <f>'RO4'!L75</f>
        <v/>
      </c>
      <c r="E1328" s="789" t="str">
        <f>'RO4'!M75</f>
        <v/>
      </c>
      <c r="F1328" s="789" t="str">
        <f>'RO4'!O75</f>
        <v/>
      </c>
    </row>
    <row r="1329" spans="1:6" x14ac:dyDescent="0.25">
      <c r="A1329" s="787" t="s">
        <v>2631</v>
      </c>
      <c r="B1329" s="789" t="str">
        <f>IF('RO4'!D$76="","",'RO4'!D$76)</f>
        <v/>
      </c>
      <c r="C1329" s="790">
        <f t="shared" ca="1" si="8"/>
        <v>0</v>
      </c>
      <c r="D1329" s="789" t="str">
        <f>'RO4'!L76</f>
        <v/>
      </c>
      <c r="E1329" s="789" t="str">
        <f>'RO4'!M76</f>
        <v/>
      </c>
      <c r="F1329" s="789" t="str">
        <f>'RO4'!O76</f>
        <v/>
      </c>
    </row>
    <row r="1330" spans="1:6" x14ac:dyDescent="0.25">
      <c r="A1330" s="787" t="s">
        <v>2632</v>
      </c>
      <c r="B1330" s="789" t="str">
        <f>IF('RO4'!D$77="","",'RO4'!D$77)</f>
        <v/>
      </c>
      <c r="C1330" s="790">
        <f t="shared" ca="1" si="8"/>
        <v>0</v>
      </c>
      <c r="D1330" s="789" t="str">
        <f>'RO4'!L77</f>
        <v/>
      </c>
      <c r="E1330" s="789" t="str">
        <f>'RO4'!M77</f>
        <v/>
      </c>
      <c r="F1330" s="789" t="str">
        <f>'RO4'!O77</f>
        <v/>
      </c>
    </row>
    <row r="1331" spans="1:6" x14ac:dyDescent="0.25">
      <c r="A1331" s="787" t="s">
        <v>2633</v>
      </c>
      <c r="B1331" s="789" t="str">
        <f>IF('RO4'!D$78="","",'RO4'!D$78)</f>
        <v/>
      </c>
      <c r="C1331" s="790">
        <f t="shared" ca="1" si="8"/>
        <v>0</v>
      </c>
      <c r="D1331" s="789" t="str">
        <f>'RO4'!L78</f>
        <v/>
      </c>
      <c r="E1331" s="789" t="str">
        <f>'RO4'!M78</f>
        <v/>
      </c>
      <c r="F1331" s="789" t="str">
        <f>'RO4'!O78</f>
        <v/>
      </c>
    </row>
    <row r="1332" spans="1:6" x14ac:dyDescent="0.25">
      <c r="A1332" s="787" t="s">
        <v>2634</v>
      </c>
      <c r="B1332" s="789" t="str">
        <f>IF('RO4'!D$79="","",'RO4'!D$79)</f>
        <v/>
      </c>
      <c r="C1332" s="790">
        <f t="shared" ca="1" si="8"/>
        <v>0</v>
      </c>
      <c r="D1332" s="789" t="str">
        <f>'RO4'!L79</f>
        <v/>
      </c>
      <c r="E1332" s="789" t="str">
        <f>'RO4'!M79</f>
        <v/>
      </c>
      <c r="F1332" s="789" t="str">
        <f>'RO4'!O79</f>
        <v/>
      </c>
    </row>
    <row r="1333" spans="1:6" x14ac:dyDescent="0.25">
      <c r="A1333" s="787" t="s">
        <v>2635</v>
      </c>
      <c r="B1333" s="789" t="str">
        <f>IF('RO4'!D$80="","",'RO4'!D$80)</f>
        <v/>
      </c>
      <c r="C1333" s="790">
        <f t="shared" ca="1" si="8"/>
        <v>0</v>
      </c>
      <c r="D1333" s="789" t="str">
        <f>'RO4'!L80</f>
        <v/>
      </c>
      <c r="E1333" s="789" t="str">
        <f>'RO4'!M80</f>
        <v/>
      </c>
      <c r="F1333" s="789" t="str">
        <f>'RO4'!O80</f>
        <v/>
      </c>
    </row>
    <row r="1334" spans="1:6" x14ac:dyDescent="0.25">
      <c r="A1334" s="787" t="s">
        <v>2636</v>
      </c>
      <c r="B1334" s="789" t="str">
        <f>IF('RO4'!D$81="","",'RO4'!D$81)</f>
        <v/>
      </c>
      <c r="C1334" s="790">
        <f t="shared" ca="1" si="8"/>
        <v>0</v>
      </c>
      <c r="D1334" s="789" t="str">
        <f>'RO4'!L81</f>
        <v/>
      </c>
      <c r="E1334" s="789" t="str">
        <f>'RO4'!M81</f>
        <v/>
      </c>
      <c r="F1334" s="789" t="str">
        <f>'RO4'!O81</f>
        <v/>
      </c>
    </row>
    <row r="1335" spans="1:6" x14ac:dyDescent="0.25">
      <c r="A1335" s="787" t="s">
        <v>2637</v>
      </c>
      <c r="B1335" s="789" t="str">
        <f>IF('RO4'!D$82="","",'RO4'!D$82)</f>
        <v/>
      </c>
      <c r="C1335" s="790">
        <f t="shared" ca="1" si="8"/>
        <v>0</v>
      </c>
      <c r="D1335" s="789" t="str">
        <f>'RO4'!L82</f>
        <v/>
      </c>
      <c r="E1335" s="789" t="str">
        <f>'RO4'!M82</f>
        <v/>
      </c>
      <c r="F1335" s="789" t="str">
        <f>'RO4'!O82</f>
        <v/>
      </c>
    </row>
    <row r="1336" spans="1:6" x14ac:dyDescent="0.25">
      <c r="A1336" s="787" t="s">
        <v>2638</v>
      </c>
      <c r="B1336" s="789" t="str">
        <f>IF('RO4'!D$83="","",'RO4'!D$83)</f>
        <v/>
      </c>
      <c r="C1336" s="790">
        <f t="shared" ca="1" si="8"/>
        <v>0</v>
      </c>
      <c r="D1336" s="789" t="str">
        <f>'RO4'!L83</f>
        <v/>
      </c>
      <c r="E1336" s="789" t="str">
        <f>'RO4'!M83</f>
        <v/>
      </c>
      <c r="F1336" s="789" t="str">
        <f>'RO4'!O83</f>
        <v/>
      </c>
    </row>
    <row r="1337" spans="1:6" x14ac:dyDescent="0.25">
      <c r="A1337" s="787" t="s">
        <v>2639</v>
      </c>
      <c r="B1337" s="789">
        <f>IF('RO4'!D$84="","",'RO4'!D$84)</f>
        <v>0</v>
      </c>
      <c r="C1337" s="790">
        <f t="shared" ca="1" si="8"/>
        <v>0</v>
      </c>
      <c r="D1337" s="789"/>
      <c r="E1337" s="789"/>
      <c r="F1337" s="789"/>
    </row>
    <row r="1338" spans="1:6" x14ac:dyDescent="0.25">
      <c r="A1338" s="787" t="s">
        <v>2640</v>
      </c>
      <c r="B1338" s="789" t="str">
        <f>IF('RO4'!D$87="","",'RO4'!D$87)</f>
        <v/>
      </c>
      <c r="C1338" s="790">
        <f t="shared" ca="1" si="8"/>
        <v>0</v>
      </c>
      <c r="D1338" s="789" t="str">
        <f>'RO4'!L87</f>
        <v/>
      </c>
      <c r="E1338" s="789" t="str">
        <f>'RO4'!M87</f>
        <v/>
      </c>
      <c r="F1338" s="789" t="str">
        <f>'RO4'!O87</f>
        <v/>
      </c>
    </row>
    <row r="1339" spans="1:6" x14ac:dyDescent="0.25">
      <c r="A1339" s="787" t="s">
        <v>2641</v>
      </c>
      <c r="B1339" s="789" t="str">
        <f>IF('RO4'!D$88="","",'RO4'!D$88)</f>
        <v/>
      </c>
      <c r="C1339" s="790">
        <f t="shared" ca="1" si="8"/>
        <v>0</v>
      </c>
      <c r="D1339" s="789" t="str">
        <f>'RO4'!L88</f>
        <v/>
      </c>
      <c r="E1339" s="789" t="str">
        <f>'RO4'!M88</f>
        <v/>
      </c>
      <c r="F1339" s="789" t="str">
        <f>'RO4'!O88</f>
        <v/>
      </c>
    </row>
    <row r="1340" spans="1:6" x14ac:dyDescent="0.25">
      <c r="A1340" s="787" t="s">
        <v>2642</v>
      </c>
      <c r="B1340" s="789" t="str">
        <f>IF('RO4'!D$89="","",'RO4'!D$89)</f>
        <v/>
      </c>
      <c r="C1340" s="790">
        <f t="shared" ca="1" si="8"/>
        <v>0</v>
      </c>
      <c r="D1340" s="789" t="str">
        <f>'RO4'!L89</f>
        <v/>
      </c>
      <c r="E1340" s="789" t="str">
        <f>'RO4'!M89</f>
        <v/>
      </c>
      <c r="F1340" s="789" t="str">
        <f>'RO4'!O89</f>
        <v/>
      </c>
    </row>
    <row r="1341" spans="1:6" x14ac:dyDescent="0.25">
      <c r="A1341" s="787" t="s">
        <v>2643</v>
      </c>
      <c r="B1341" s="789" t="str">
        <f>IF('RO4'!D$90="","",'RO4'!D$90)</f>
        <v/>
      </c>
      <c r="C1341" s="790">
        <f t="shared" ca="1" si="8"/>
        <v>0</v>
      </c>
      <c r="D1341" s="789" t="str">
        <f>'RO4'!L90</f>
        <v/>
      </c>
      <c r="E1341" s="789" t="str">
        <f>'RO4'!M90</f>
        <v/>
      </c>
      <c r="F1341" s="789" t="str">
        <f>'RO4'!O90</f>
        <v/>
      </c>
    </row>
    <row r="1342" spans="1:6" x14ac:dyDescent="0.25">
      <c r="A1342" s="787" t="s">
        <v>2644</v>
      </c>
      <c r="B1342" s="789" t="str">
        <f>IF('RO4'!D$91="","",'RO4'!D$91)</f>
        <v/>
      </c>
      <c r="C1342" s="790">
        <f t="shared" ca="1" si="8"/>
        <v>0</v>
      </c>
      <c r="D1342" s="789" t="str">
        <f>'RO4'!L91</f>
        <v/>
      </c>
      <c r="E1342" s="789" t="str">
        <f>'RO4'!M91</f>
        <v/>
      </c>
      <c r="F1342" s="789" t="str">
        <f>'RO4'!O91</f>
        <v/>
      </c>
    </row>
    <row r="1343" spans="1:6" x14ac:dyDescent="0.25">
      <c r="A1343" s="787" t="s">
        <v>2645</v>
      </c>
      <c r="B1343" s="789" t="str">
        <f>IF('RO4'!D$92="","",'RO4'!D$92)</f>
        <v/>
      </c>
      <c r="C1343" s="790">
        <f t="shared" ca="1" si="8"/>
        <v>0</v>
      </c>
      <c r="D1343" s="789" t="str">
        <f>'RO4'!L92</f>
        <v/>
      </c>
      <c r="E1343" s="789" t="str">
        <f>'RO4'!M92</f>
        <v/>
      </c>
      <c r="F1343" s="789" t="str">
        <f>'RO4'!O92</f>
        <v/>
      </c>
    </row>
    <row r="1344" spans="1:6" x14ac:dyDescent="0.25">
      <c r="A1344" s="787" t="s">
        <v>2646</v>
      </c>
      <c r="B1344" s="789" t="str">
        <f>IF('RO4'!D$93="","",'RO4'!D$93)</f>
        <v/>
      </c>
      <c r="C1344" s="790">
        <f t="shared" ca="1" si="8"/>
        <v>0</v>
      </c>
      <c r="D1344" s="789" t="str">
        <f>'RO4'!L93</f>
        <v/>
      </c>
      <c r="E1344" s="789" t="str">
        <f>'RO4'!M93</f>
        <v/>
      </c>
      <c r="F1344" s="789" t="str">
        <f>'RO4'!O93</f>
        <v/>
      </c>
    </row>
    <row r="1345" spans="1:6" x14ac:dyDescent="0.25">
      <c r="A1345" s="787" t="s">
        <v>2647</v>
      </c>
      <c r="B1345" s="789" t="str">
        <f>IF('RO4'!D$94="","",'RO4'!D$94)</f>
        <v/>
      </c>
      <c r="C1345" s="790">
        <f t="shared" ca="1" si="8"/>
        <v>0</v>
      </c>
      <c r="D1345" s="789" t="str">
        <f>'RO4'!L94</f>
        <v/>
      </c>
      <c r="E1345" s="789" t="str">
        <f>'RO4'!M94</f>
        <v/>
      </c>
      <c r="F1345" s="789" t="str">
        <f>'RO4'!O94</f>
        <v/>
      </c>
    </row>
    <row r="1346" spans="1:6" x14ac:dyDescent="0.25">
      <c r="A1346" s="787" t="s">
        <v>2648</v>
      </c>
      <c r="B1346" s="789" t="str">
        <f>IF('RO4'!D$95="","",'RO4'!D$95)</f>
        <v/>
      </c>
      <c r="C1346" s="790">
        <f t="shared" ca="1" si="8"/>
        <v>0</v>
      </c>
      <c r="D1346" s="789" t="str">
        <f>'RO4'!L95</f>
        <v/>
      </c>
      <c r="E1346" s="789" t="str">
        <f>'RO4'!M95</f>
        <v/>
      </c>
      <c r="F1346" s="789" t="str">
        <f>'RO4'!O95</f>
        <v/>
      </c>
    </row>
    <row r="1347" spans="1:6" x14ac:dyDescent="0.25">
      <c r="A1347" s="787" t="s">
        <v>2649</v>
      </c>
      <c r="B1347" s="789" t="str">
        <f>IF('RO4'!D$96="","",'RO4'!D$96)</f>
        <v/>
      </c>
      <c r="C1347" s="790">
        <f t="shared" ca="1" si="8"/>
        <v>0</v>
      </c>
      <c r="D1347" s="789" t="str">
        <f>'RO4'!L96</f>
        <v/>
      </c>
      <c r="E1347" s="789" t="str">
        <f>'RO4'!M96</f>
        <v/>
      </c>
      <c r="F1347" s="789" t="str">
        <f>'RO4'!O96</f>
        <v/>
      </c>
    </row>
    <row r="1348" spans="1:6" x14ac:dyDescent="0.25">
      <c r="A1348" s="787" t="s">
        <v>2650</v>
      </c>
      <c r="B1348" s="789" t="str">
        <f>IF('RO4'!D$97="","",'RO4'!D$97)</f>
        <v/>
      </c>
      <c r="C1348" s="790">
        <f t="shared" ca="1" si="8"/>
        <v>0</v>
      </c>
      <c r="D1348" s="789" t="str">
        <f>'RO4'!L97</f>
        <v/>
      </c>
      <c r="E1348" s="789" t="str">
        <f>'RO4'!M97</f>
        <v/>
      </c>
      <c r="F1348" s="789" t="str">
        <f>'RO4'!O97</f>
        <v/>
      </c>
    </row>
    <row r="1349" spans="1:6" x14ac:dyDescent="0.25">
      <c r="A1349" s="787" t="s">
        <v>2651</v>
      </c>
      <c r="B1349" s="789">
        <f>IF('RO4'!D$98="","",'RO4'!D$98)</f>
        <v>0</v>
      </c>
      <c r="C1349" s="790">
        <f t="shared" ca="1" si="8"/>
        <v>0</v>
      </c>
    </row>
    <row r="1350" spans="1:6" x14ac:dyDescent="0.25">
      <c r="A1350" s="787" t="s">
        <v>2652</v>
      </c>
      <c r="B1350" s="789">
        <f>IF('RO4'!D$100="","",'RO4'!D$100)</f>
        <v>0</v>
      </c>
      <c r="C1350" s="790">
        <f t="shared" ca="1" si="8"/>
        <v>0</v>
      </c>
    </row>
    <row r="1351" spans="1:6" x14ac:dyDescent="0.25">
      <c r="A1351" s="787" t="s">
        <v>2653</v>
      </c>
      <c r="B1351" s="789" t="e">
        <f>IF('RO4'!D$105="","",'RO4'!D$105)</f>
        <v>#N/A</v>
      </c>
      <c r="C1351" s="790">
        <f ca="1">IF(ISERROR(VLOOKUP($A$1351,INDIRECT("notes_"&amp;LEFT($A$1351,3)),4,0)),0,VLOOKUP($A$1351,INDIRECT("notes_"&amp;LEFT($A$1351,3)),4,0))</f>
        <v>0</v>
      </c>
      <c r="D1351" s="789" t="str">
        <f>'RO4'!L104</f>
        <v/>
      </c>
      <c r="E1351" s="789" t="e">
        <f>'RO4'!M104</f>
        <v>#N/A</v>
      </c>
      <c r="F1351" s="789" t="e">
        <f>'RO4'!O104</f>
        <v>#N/A</v>
      </c>
    </row>
    <row r="1352" spans="1:6" x14ac:dyDescent="0.25">
      <c r="A1352" s="787" t="s">
        <v>3839</v>
      </c>
      <c r="B1352" s="789" t="e">
        <f>IF('RO4'!E$105="","",'RO4'!E$105)</f>
        <v>#N/A</v>
      </c>
      <c r="C1352" s="790">
        <f ca="1">IF(ISERROR(VLOOKUP($A$1351,INDIRECT("notes_"&amp;LEFT($A$1351,3)),4,0)),0,VLOOKUP($A$1351,INDIRECT("notes_"&amp;LEFT($A$1351,3)),4,0))</f>
        <v>0</v>
      </c>
      <c r="D1352" s="789" t="str">
        <f>'RO4'!L105</f>
        <v/>
      </c>
      <c r="E1352" s="789" t="e">
        <f>'RO4'!M105</f>
        <v>#N/A</v>
      </c>
      <c r="F1352" s="789" t="e">
        <f>'RO4'!O105</f>
        <v>#N/A</v>
      </c>
    </row>
    <row r="1353" spans="1:6" x14ac:dyDescent="0.25">
      <c r="A1353" s="787" t="s">
        <v>3840</v>
      </c>
      <c r="B1353" s="789" t="str">
        <f>IF(ISNUMBER(SEARCH("resolve",'RO5'!A17)),'RO5'!A17,"")</f>
        <v/>
      </c>
      <c r="C1353" s="790"/>
    </row>
    <row r="1354" spans="1:6" x14ac:dyDescent="0.25">
      <c r="A1354" s="787" t="s">
        <v>2654</v>
      </c>
      <c r="B1354" s="789" t="str">
        <f>IF('RO5'!D$32="","",'RO5'!D$32)</f>
        <v/>
      </c>
      <c r="C1354" s="790">
        <f ca="1">IF(ISERROR(VLOOKUP($A$1354,INDIRECT("notes_"&amp;LEFT($A$1354,3)),4,0)),0,VLOOKUP($A$1354,INDIRECT("notes_"&amp;LEFT($A$1354,3)),4,0))</f>
        <v>0</v>
      </c>
    </row>
    <row r="1355" spans="1:6" x14ac:dyDescent="0.25">
      <c r="A1355" s="787" t="s">
        <v>2656</v>
      </c>
      <c r="B1355" s="789" t="str">
        <f>IF('RO5'!D$33="","",'RO5'!D$33)</f>
        <v/>
      </c>
      <c r="C1355" s="790">
        <f ca="1">IF(ISERROR(VLOOKUP($A$1355,INDIRECT("notes_"&amp;LEFT($A$1355,3)),4,0)),0,VLOOKUP($A$1355,INDIRECT("notes_"&amp;LEFT($A$1355,3)),4,0))</f>
        <v>0</v>
      </c>
    </row>
    <row r="1356" spans="1:6" x14ac:dyDescent="0.25">
      <c r="A1356" s="787" t="s">
        <v>2657</v>
      </c>
      <c r="B1356" s="789" t="str">
        <f>IF('RO5'!D$34="","",'RO5'!D$34)</f>
        <v/>
      </c>
      <c r="C1356" s="790">
        <f ca="1">IF(ISERROR(VLOOKUP($A$1356,INDIRECT("notes_"&amp;LEFT($A$1356,3)),4,0)),0,VLOOKUP($A$1356,INDIRECT("notes_"&amp;LEFT($A$1356,3)),4,0))</f>
        <v>0</v>
      </c>
    </row>
    <row r="1357" spans="1:6" x14ac:dyDescent="0.25">
      <c r="A1357" s="787" t="s">
        <v>2658</v>
      </c>
      <c r="B1357" s="789" t="str">
        <f>IF('RO5'!D$35="","",'RO5'!D$35)</f>
        <v/>
      </c>
      <c r="C1357" s="790">
        <f ca="1">IF(ISERROR(VLOOKUP($A$1357,INDIRECT("notes_"&amp;LEFT($A$1357,3)),4,0)),0,VLOOKUP($A$1357,INDIRECT("notes_"&amp;LEFT($A$1357,3)),4,0))</f>
        <v>0</v>
      </c>
    </row>
    <row r="1358" spans="1:6" x14ac:dyDescent="0.25">
      <c r="A1358" s="787" t="s">
        <v>2659</v>
      </c>
      <c r="B1358" s="789" t="str">
        <f>IF('RO5'!D$36="","",'RO5'!D$36)</f>
        <v/>
      </c>
      <c r="C1358" s="790">
        <f ca="1">IF(ISERROR(VLOOKUP($A$1358,INDIRECT("notes_"&amp;LEFT($A$1358,3)),4,0)),0,VLOOKUP($A$1358,INDIRECT("notes_"&amp;LEFT($A$1358,3)),4,0))</f>
        <v>0</v>
      </c>
    </row>
    <row r="1359" spans="1:6" x14ac:dyDescent="0.25">
      <c r="A1359" s="787" t="s">
        <v>2660</v>
      </c>
      <c r="B1359" s="789" t="str">
        <f>IF('RO5'!D$39="","",'RO5'!D$39)</f>
        <v/>
      </c>
      <c r="C1359" s="790">
        <f ca="1">IF(ISERROR(VLOOKUP($A$1359,INDIRECT("notes_"&amp;LEFT($A$1359,3)),4,0)),0,VLOOKUP($A$1359,INDIRECT("notes_"&amp;LEFT($A$1359,3)),4,0))</f>
        <v>0</v>
      </c>
    </row>
    <row r="1360" spans="1:6" x14ac:dyDescent="0.25">
      <c r="A1360" s="787" t="s">
        <v>2661</v>
      </c>
      <c r="B1360" s="789" t="str">
        <f>IF('RO5'!D$40="","",'RO5'!D$40)</f>
        <v/>
      </c>
      <c r="C1360" s="790">
        <f ca="1">IF(ISERROR(VLOOKUP($A$1360,INDIRECT("notes_"&amp;LEFT($A$1360,3)),4,0)),0,VLOOKUP($A$1360,INDIRECT("notes_"&amp;LEFT($A$1360,3)),4,0))</f>
        <v>0</v>
      </c>
    </row>
    <row r="1361" spans="1:3" x14ac:dyDescent="0.25">
      <c r="A1361" s="787" t="s">
        <v>2662</v>
      </c>
      <c r="B1361" s="789" t="str">
        <f>IF('RO5'!D$41="","",'RO5'!D$41)</f>
        <v/>
      </c>
      <c r="C1361" s="790">
        <f ca="1">IF(ISERROR(VLOOKUP($A$1361,INDIRECT("notes_"&amp;LEFT($A$1361,3)),4,0)),0,VLOOKUP($A$1361,INDIRECT("notes_"&amp;LEFT($A$1361,3)),4,0))</f>
        <v>0</v>
      </c>
    </row>
    <row r="1362" spans="1:3" x14ac:dyDescent="0.25">
      <c r="A1362" s="787" t="s">
        <v>2663</v>
      </c>
      <c r="B1362" s="789" t="str">
        <f>IF('RO5'!D$42="","",'RO5'!D$42)</f>
        <v/>
      </c>
      <c r="C1362" s="790">
        <f ca="1">IF(ISERROR(VLOOKUP($A$1362,INDIRECT("notes_"&amp;LEFT($A$1362,3)),4,0)),0,VLOOKUP($A$1362,INDIRECT("notes_"&amp;LEFT($A$1362,3)),4,0))</f>
        <v>0</v>
      </c>
    </row>
    <row r="1363" spans="1:3" x14ac:dyDescent="0.25">
      <c r="A1363" s="787" t="s">
        <v>2664</v>
      </c>
      <c r="B1363" s="789" t="str">
        <f>IF('RO5'!D$44="","",'RO5'!D$44)</f>
        <v/>
      </c>
      <c r="C1363" s="790">
        <f ca="1">IF(ISERROR(VLOOKUP($A$1363,INDIRECT("notes_"&amp;LEFT($A$1363,3)),4,0)),0,VLOOKUP($A$1363,INDIRECT("notes_"&amp;LEFT($A$1363,3)),4,0))</f>
        <v>0</v>
      </c>
    </row>
    <row r="1364" spans="1:3" x14ac:dyDescent="0.25">
      <c r="A1364" s="787" t="s">
        <v>2665</v>
      </c>
      <c r="B1364" s="789" t="str">
        <f>IF('RO5'!D$46="","",'RO5'!D$46)</f>
        <v/>
      </c>
      <c r="C1364" s="790">
        <f ca="1">IF(ISERROR(VLOOKUP($A$1364,INDIRECT("notes_"&amp;LEFT($A$1364,3)),4,0)),0,VLOOKUP($A$1364,INDIRECT("notes_"&amp;LEFT($A$1364,3)),4,0))</f>
        <v>0</v>
      </c>
    </row>
    <row r="1365" spans="1:3" x14ac:dyDescent="0.25">
      <c r="A1365" s="787" t="s">
        <v>2666</v>
      </c>
      <c r="B1365" s="789" t="str">
        <f>IF('RO5'!D$48="","",'RO5'!D$48)</f>
        <v/>
      </c>
      <c r="C1365" s="790">
        <f ca="1">IF(ISERROR(VLOOKUP($A$1365,INDIRECT("notes_"&amp;LEFT($A$1365,3)),4,0)),0,VLOOKUP($A$1365,INDIRECT("notes_"&amp;LEFT($A$1365,3)),4,0))</f>
        <v>0</v>
      </c>
    </row>
    <row r="1366" spans="1:3" x14ac:dyDescent="0.25">
      <c r="A1366" s="787" t="s">
        <v>2667</v>
      </c>
      <c r="B1366" s="789" t="str">
        <f>IF('RO5'!D$50="","",'RO5'!D$50)</f>
        <v/>
      </c>
      <c r="C1366" s="790">
        <f ca="1">IF(ISERROR(VLOOKUP($A$1366,INDIRECT("notes_"&amp;LEFT($A$1366,3)),4,0)),0,VLOOKUP($A$1366,INDIRECT("notes_"&amp;LEFT($A$1366,3)),4,0))</f>
        <v>0</v>
      </c>
    </row>
    <row r="1367" spans="1:3" x14ac:dyDescent="0.25">
      <c r="A1367" s="787" t="s">
        <v>2668</v>
      </c>
      <c r="B1367" s="789">
        <f>IF('RO5'!D$52="","",'RO5'!D$52)</f>
        <v>0</v>
      </c>
      <c r="C1367" s="790">
        <f ca="1">IF(ISERROR(VLOOKUP($A$1367,INDIRECT("notes_"&amp;LEFT($A$1367,3)),4,0)),0,VLOOKUP($A$1367,INDIRECT("notes_"&amp;LEFT($A$1367,3)),4,0))</f>
        <v>0</v>
      </c>
    </row>
    <row r="1368" spans="1:3" x14ac:dyDescent="0.25">
      <c r="A1368" s="787" t="s">
        <v>2670</v>
      </c>
      <c r="B1368" s="789" t="str">
        <f>IF('RO5'!D$60="","",'RO5'!D$60)</f>
        <v/>
      </c>
      <c r="C1368" s="790">
        <f ca="1">IF(ISERROR(VLOOKUP($A$1368,INDIRECT("notes_"&amp;LEFT($A$1368,3)),4,0)),0,VLOOKUP($A$1368,INDIRECT("notes_"&amp;LEFT($A$1368,3)),4,0))</f>
        <v>0</v>
      </c>
    </row>
    <row r="1369" spans="1:3" x14ac:dyDescent="0.25">
      <c r="A1369" s="787" t="s">
        <v>2671</v>
      </c>
      <c r="B1369" s="789" t="str">
        <f>IF('RO5'!D$63="","",'RO5'!D$63)</f>
        <v/>
      </c>
      <c r="C1369" s="790">
        <f ca="1">IF(ISERROR(VLOOKUP($A$1369,INDIRECT("notes_"&amp;LEFT($A$1369,3)),4,0)),0,VLOOKUP($A$1369,INDIRECT("notes_"&amp;LEFT($A$1369,3)),4,0))</f>
        <v>0</v>
      </c>
    </row>
    <row r="1370" spans="1:3" x14ac:dyDescent="0.25">
      <c r="A1370" s="787" t="s">
        <v>2672</v>
      </c>
      <c r="B1370" s="789" t="str">
        <f>IF('RO5'!D$64="","",'RO5'!D$64)</f>
        <v/>
      </c>
      <c r="C1370" s="790">
        <f ca="1">IF(ISERROR(VLOOKUP($A$1370,INDIRECT("notes_"&amp;LEFT($A$1370,3)),4,0)),0,VLOOKUP($A$1370,INDIRECT("notes_"&amp;LEFT($A$1370,3)),4,0))</f>
        <v>0</v>
      </c>
    </row>
    <row r="1371" spans="1:3" x14ac:dyDescent="0.25">
      <c r="A1371" s="787" t="s">
        <v>2673</v>
      </c>
      <c r="B1371" s="789" t="str">
        <f>IF('RO5'!D$65="","",'RO5'!D$65)</f>
        <v/>
      </c>
      <c r="C1371" s="790">
        <f ca="1">IF(ISERROR(VLOOKUP($A$1371,INDIRECT("notes_"&amp;LEFT($A$1371,3)),4,0)),0,VLOOKUP($A$1371,INDIRECT("notes_"&amp;LEFT($A$1371,3)),4,0))</f>
        <v>0</v>
      </c>
    </row>
    <row r="1372" spans="1:3" x14ac:dyDescent="0.25">
      <c r="A1372" s="787" t="s">
        <v>2674</v>
      </c>
      <c r="B1372" s="789" t="str">
        <f>IF('RO5'!D$66="","",'RO5'!D$66)</f>
        <v/>
      </c>
      <c r="C1372" s="790">
        <f ca="1">IF(ISERROR(VLOOKUP($A$1372,INDIRECT("notes_"&amp;LEFT($A$1372,3)),4,0)),0,VLOOKUP($A$1372,INDIRECT("notes_"&amp;LEFT($A$1372,3)),4,0))</f>
        <v>0</v>
      </c>
    </row>
    <row r="1373" spans="1:3" x14ac:dyDescent="0.25">
      <c r="A1373" s="787" t="s">
        <v>2675</v>
      </c>
      <c r="B1373" s="789" t="str">
        <f>IF('RO5'!D$67="","",'RO5'!D$67)</f>
        <v/>
      </c>
      <c r="C1373" s="790">
        <f ca="1">IF(ISERROR(VLOOKUP($A$1373,INDIRECT("notes_"&amp;LEFT($A$1373,3)),4,0)),0,VLOOKUP($A$1373,INDIRECT("notes_"&amp;LEFT($A$1373,3)),4,0))</f>
        <v>0</v>
      </c>
    </row>
    <row r="1374" spans="1:3" x14ac:dyDescent="0.25">
      <c r="A1374" s="787" t="s">
        <v>2676</v>
      </c>
      <c r="B1374" s="789" t="str">
        <f>IF('RO5'!D$68="","",'RO5'!D$68)</f>
        <v/>
      </c>
      <c r="C1374" s="790">
        <f ca="1">IF(ISERROR(VLOOKUP($A$1374,INDIRECT("notes_"&amp;LEFT($A$1374,3)),4,0)),0,VLOOKUP($A$1374,INDIRECT("notes_"&amp;LEFT($A$1374,3)),4,0))</f>
        <v>0</v>
      </c>
    </row>
    <row r="1375" spans="1:3" x14ac:dyDescent="0.25">
      <c r="A1375" s="787" t="s">
        <v>2677</v>
      </c>
      <c r="B1375" s="789" t="str">
        <f>IF('RO5'!D$69="","",'RO5'!D$69)</f>
        <v/>
      </c>
      <c r="C1375" s="790">
        <f ca="1">IF(ISERROR(VLOOKUP($A$1375,INDIRECT("notes_"&amp;LEFT($A$1375,3)),4,0)),0,VLOOKUP($A$1375,INDIRECT("notes_"&amp;LEFT($A$1375,3)),4,0))</f>
        <v>0</v>
      </c>
    </row>
    <row r="1376" spans="1:3" x14ac:dyDescent="0.25">
      <c r="A1376" s="787" t="s">
        <v>2678</v>
      </c>
      <c r="B1376" s="789" t="str">
        <f>IF('RO5'!D$70="","",'RO5'!D$70)</f>
        <v/>
      </c>
      <c r="C1376" s="790">
        <f ca="1">IF(ISERROR(VLOOKUP($A$1376,INDIRECT("notes_"&amp;LEFT($A$1376,3)),4,0)),0,VLOOKUP($A$1376,INDIRECT("notes_"&amp;LEFT($A$1376,3)),4,0))</f>
        <v>0</v>
      </c>
    </row>
    <row r="1377" spans="1:3" x14ac:dyDescent="0.25">
      <c r="A1377" s="787" t="s">
        <v>2679</v>
      </c>
      <c r="B1377" s="789" t="str">
        <f>IF('RO5'!D$71="","",'RO5'!D$71)</f>
        <v/>
      </c>
      <c r="C1377" s="790">
        <f ca="1">IF(ISERROR(VLOOKUP($A$1377,INDIRECT("notes_"&amp;LEFT($A$1377,3)),4,0)),0,VLOOKUP($A$1377,INDIRECT("notes_"&amp;LEFT($A$1377,3)),4,0))</f>
        <v>0</v>
      </c>
    </row>
    <row r="1378" spans="1:3" x14ac:dyDescent="0.25">
      <c r="A1378" s="787" t="s">
        <v>2680</v>
      </c>
      <c r="B1378" s="789" t="str">
        <f>IF('RO5'!D$72="","",'RO5'!D$72)</f>
        <v/>
      </c>
      <c r="C1378" s="790">
        <f ca="1">IF(ISERROR(VLOOKUP($A$1378,INDIRECT("notes_"&amp;LEFT($A$1378,3)),4,0)),0,VLOOKUP($A$1378,INDIRECT("notes_"&amp;LEFT($A$1378,3)),4,0))</f>
        <v>0</v>
      </c>
    </row>
    <row r="1379" spans="1:3" x14ac:dyDescent="0.25">
      <c r="A1379" s="787" t="s">
        <v>2681</v>
      </c>
      <c r="B1379" s="789" t="str">
        <f>IF('RO5'!D$73="","",'RO5'!D$73)</f>
        <v/>
      </c>
      <c r="C1379" s="790">
        <f ca="1">IF(ISERROR(VLOOKUP($A$1379,INDIRECT("notes_"&amp;LEFT($A$1379,3)),4,0)),0,VLOOKUP($A$1379,INDIRECT("notes_"&amp;LEFT($A$1379,3)),4,0))</f>
        <v>0</v>
      </c>
    </row>
    <row r="1380" spans="1:3" x14ac:dyDescent="0.25">
      <c r="A1380" s="787" t="s">
        <v>2682</v>
      </c>
      <c r="B1380" s="789" t="str">
        <f>IF('RO5'!D$74="","",'RO5'!D$74)</f>
        <v/>
      </c>
      <c r="C1380" s="790">
        <f ca="1">IF(ISERROR(VLOOKUP($A$1380,INDIRECT("notes_"&amp;LEFT($A$1380,3)),4,0)),0,VLOOKUP($A$1380,INDIRECT("notes_"&amp;LEFT($A$1380,3)),4,0))</f>
        <v>0</v>
      </c>
    </row>
    <row r="1381" spans="1:3" x14ac:dyDescent="0.25">
      <c r="A1381" s="787" t="s">
        <v>2683</v>
      </c>
      <c r="B1381" s="789" t="str">
        <f>IF('RO5'!D$77="","",'RO5'!D$77)</f>
        <v/>
      </c>
      <c r="C1381" s="790">
        <f ca="1">IF(ISERROR(VLOOKUP($A$1381,INDIRECT("notes_"&amp;LEFT($A$1381,3)),4,0)),0,VLOOKUP($A$1381,INDIRECT("notes_"&amp;LEFT($A$1381,3)),4,0))</f>
        <v>0</v>
      </c>
    </row>
    <row r="1382" spans="1:3" x14ac:dyDescent="0.25">
      <c r="A1382" s="787" t="s">
        <v>2684</v>
      </c>
      <c r="B1382" s="789" t="str">
        <f>IF('RO5'!D$78="","",'RO5'!D$78)</f>
        <v/>
      </c>
      <c r="C1382" s="790">
        <f ca="1">IF(ISERROR(VLOOKUP($A$1382,INDIRECT("notes_"&amp;LEFT($A$1382,3)),4,0)),0,VLOOKUP($A$1382,INDIRECT("notes_"&amp;LEFT($A$1382,3)),4,0))</f>
        <v>0</v>
      </c>
    </row>
    <row r="1383" spans="1:3" x14ac:dyDescent="0.25">
      <c r="A1383" s="787" t="s">
        <v>2685</v>
      </c>
      <c r="B1383" s="789" t="str">
        <f>IF('RO5'!D$79="","",'RO5'!D$79)</f>
        <v/>
      </c>
      <c r="C1383" s="790">
        <f ca="1">IF(ISERROR(VLOOKUP($A$1383,INDIRECT("notes_"&amp;LEFT($A$1383,3)),4,0)),0,VLOOKUP($A$1383,INDIRECT("notes_"&amp;LEFT($A$1383,3)),4,0))</f>
        <v>0</v>
      </c>
    </row>
    <row r="1384" spans="1:3" x14ac:dyDescent="0.25">
      <c r="A1384" s="787" t="s">
        <v>2686</v>
      </c>
      <c r="B1384" s="789" t="str">
        <f>IF('RO5'!D$82="","",'RO5'!D$82)</f>
        <v/>
      </c>
      <c r="C1384" s="790">
        <f ca="1">IF(ISERROR(VLOOKUP($A$1384,INDIRECT("notes_"&amp;LEFT($A$1384,3)),4,0)),0,VLOOKUP($A$1384,INDIRECT("notes_"&amp;LEFT($A$1384,3)),4,0))</f>
        <v>0</v>
      </c>
    </row>
    <row r="1385" spans="1:3" x14ac:dyDescent="0.25">
      <c r="A1385" s="787" t="s">
        <v>2687</v>
      </c>
      <c r="B1385" s="789" t="str">
        <f>IF('RO5'!D$83="","",'RO5'!D$83)</f>
        <v/>
      </c>
      <c r="C1385" s="790">
        <f ca="1">IF(ISERROR(VLOOKUP($A$1385,INDIRECT("notes_"&amp;LEFT($A$1385,3)),4,0)),0,VLOOKUP($A$1385,INDIRECT("notes_"&amp;LEFT($A$1385,3)),4,0))</f>
        <v>0</v>
      </c>
    </row>
    <row r="1386" spans="1:3" x14ac:dyDescent="0.25">
      <c r="A1386" s="787" t="s">
        <v>2688</v>
      </c>
      <c r="B1386" s="789" t="str">
        <f>IF('RO5'!D$84="","",'RO5'!D$84)</f>
        <v/>
      </c>
      <c r="C1386" s="790">
        <f ca="1">IF(ISERROR(VLOOKUP($A$1386,INDIRECT("notes_"&amp;LEFT($A$1386,3)),4,0)),0,VLOOKUP($A$1386,INDIRECT("notes_"&amp;LEFT($A$1386,3)),4,0))</f>
        <v>0</v>
      </c>
    </row>
    <row r="1387" spans="1:3" x14ac:dyDescent="0.25">
      <c r="A1387" s="787" t="s">
        <v>2689</v>
      </c>
      <c r="B1387" s="789" t="str">
        <f>IF('RO5'!D$85="","",'RO5'!D$85)</f>
        <v/>
      </c>
      <c r="C1387" s="790">
        <f ca="1">IF(ISERROR(VLOOKUP($A$1387,INDIRECT("notes_"&amp;LEFT($A$1387,3)),4,0)),0,VLOOKUP($A$1387,INDIRECT("notes_"&amp;LEFT($A$1387,3)),4,0))</f>
        <v>0</v>
      </c>
    </row>
    <row r="1388" spans="1:3" x14ac:dyDescent="0.25">
      <c r="A1388" s="787" t="s">
        <v>2690</v>
      </c>
      <c r="B1388" s="789" t="str">
        <f>IF('RO5'!D$87="","",'RO5'!D$87)</f>
        <v/>
      </c>
      <c r="C1388" s="790">
        <f ca="1">IF(ISERROR(VLOOKUP($A$1388,INDIRECT("notes_"&amp;LEFT($A$1388,3)),4,0)),0,VLOOKUP($A$1388,INDIRECT("notes_"&amp;LEFT($A$1388,3)),4,0))</f>
        <v>0</v>
      </c>
    </row>
    <row r="1389" spans="1:3" x14ac:dyDescent="0.25">
      <c r="A1389" s="787" t="s">
        <v>2691</v>
      </c>
      <c r="B1389" s="789" t="str">
        <f>IF('RO5'!D$90="","",'RO5'!D$90)</f>
        <v/>
      </c>
      <c r="C1389" s="790">
        <f ca="1">IF(ISERROR(VLOOKUP($A$1389,INDIRECT("notes_"&amp;LEFT($A$1389,3)),4,0)),0,VLOOKUP($A$1389,INDIRECT("notes_"&amp;LEFT($A$1389,3)),4,0))</f>
        <v>0</v>
      </c>
    </row>
    <row r="1390" spans="1:3" x14ac:dyDescent="0.25">
      <c r="A1390" s="787" t="s">
        <v>2692</v>
      </c>
      <c r="B1390" s="789" t="str">
        <f>IF('RO5'!D$93="","",'RO5'!D$93)</f>
        <v/>
      </c>
      <c r="C1390" s="790">
        <f ca="1">IF(ISERROR(VLOOKUP($A$1390,INDIRECT("notes_"&amp;LEFT($A$1390,3)),4,0)),0,VLOOKUP($A$1390,INDIRECT("notes_"&amp;LEFT($A$1390,3)),4,0))</f>
        <v>0</v>
      </c>
    </row>
    <row r="1391" spans="1:3" x14ac:dyDescent="0.25">
      <c r="A1391" s="787" t="s">
        <v>2693</v>
      </c>
      <c r="B1391" s="789" t="str">
        <f>IF('RO5'!D$94="","",'RO5'!D$94)</f>
        <v/>
      </c>
      <c r="C1391" s="790">
        <f ca="1">IF(ISERROR(VLOOKUP($A$1391,INDIRECT("notes_"&amp;LEFT($A$1391,3)),4,0)),0,VLOOKUP($A$1391,INDIRECT("notes_"&amp;LEFT($A$1391,3)),4,0))</f>
        <v>0</v>
      </c>
    </row>
    <row r="1392" spans="1:3" x14ac:dyDescent="0.25">
      <c r="A1392" s="787" t="s">
        <v>2694</v>
      </c>
      <c r="B1392" s="789" t="str">
        <f>IF('RO5'!D$95="","",'RO5'!D$95)</f>
        <v/>
      </c>
      <c r="C1392" s="790">
        <f ca="1">IF(ISERROR(VLOOKUP($A$1392,INDIRECT("notes_"&amp;LEFT($A$1392,3)),4,0)),0,VLOOKUP($A$1392,INDIRECT("notes_"&amp;LEFT($A$1392,3)),4,0))</f>
        <v>0</v>
      </c>
    </row>
    <row r="1393" spans="1:3" x14ac:dyDescent="0.25">
      <c r="A1393" s="787" t="s">
        <v>2695</v>
      </c>
      <c r="B1393" s="789" t="str">
        <f>IF('RO5'!D$96="","",'RO5'!D$96)</f>
        <v/>
      </c>
      <c r="C1393" s="790">
        <f ca="1">IF(ISERROR(VLOOKUP($A$1393,INDIRECT("notes_"&amp;LEFT($A$1393,3)),4,0)),0,VLOOKUP($A$1393,INDIRECT("notes_"&amp;LEFT($A$1393,3)),4,0))</f>
        <v>0</v>
      </c>
    </row>
    <row r="1394" spans="1:3" x14ac:dyDescent="0.25">
      <c r="A1394" s="787" t="s">
        <v>2696</v>
      </c>
      <c r="B1394" s="789" t="str">
        <f>IF('RO5'!D$97="","",'RO5'!D$97)</f>
        <v/>
      </c>
      <c r="C1394" s="790">
        <f ca="1">IF(ISERROR(VLOOKUP($A$1394,INDIRECT("notes_"&amp;LEFT($A$1394,3)),4,0)),0,VLOOKUP($A$1394,INDIRECT("notes_"&amp;LEFT($A$1394,3)),4,0))</f>
        <v>0</v>
      </c>
    </row>
    <row r="1395" spans="1:3" x14ac:dyDescent="0.25">
      <c r="A1395" s="787" t="s">
        <v>2697</v>
      </c>
      <c r="B1395" s="789" t="str">
        <f>IF('RO5'!D$98="","",'RO5'!D$98)</f>
        <v/>
      </c>
      <c r="C1395" s="790">
        <f ca="1">IF(ISERROR(VLOOKUP($A$1395,INDIRECT("notes_"&amp;LEFT($A$1395,3)),4,0)),0,VLOOKUP($A$1395,INDIRECT("notes_"&amp;LEFT($A$1395,3)),4,0))</f>
        <v>0</v>
      </c>
    </row>
    <row r="1396" spans="1:3" x14ac:dyDescent="0.25">
      <c r="A1396" s="787" t="s">
        <v>2698</v>
      </c>
      <c r="B1396" s="789">
        <f>IF('RO5'!D$100="","",'RO5'!D$100)</f>
        <v>0</v>
      </c>
      <c r="C1396" s="790">
        <f ca="1">IF(ISERROR(VLOOKUP($A$1396,INDIRECT("notes_"&amp;LEFT($A$1396,3)),4,0)),0,VLOOKUP($A$1396,INDIRECT("notes_"&amp;LEFT($A$1396,3)),4,0))</f>
        <v>0</v>
      </c>
    </row>
    <row r="1397" spans="1:3" x14ac:dyDescent="0.25">
      <c r="A1397" s="787" t="s">
        <v>2700</v>
      </c>
      <c r="B1397" s="789" t="str">
        <f>IF('RO5'!D$108="","",'RO5'!D$108)</f>
        <v/>
      </c>
      <c r="C1397" s="790">
        <f ca="1">IF(ISERROR(VLOOKUP($A$1397,INDIRECT("notes_"&amp;LEFT($A$1397,3)),4,0)),0,VLOOKUP($A$1397,INDIRECT("notes_"&amp;LEFT($A$1397,3)),4,0))</f>
        <v>0</v>
      </c>
    </row>
    <row r="1398" spans="1:3" x14ac:dyDescent="0.25">
      <c r="A1398" s="787" t="s">
        <v>2701</v>
      </c>
      <c r="B1398" s="789" t="str">
        <f>IF('RO5'!D$110="","",'RO5'!D$110)</f>
        <v/>
      </c>
      <c r="C1398" s="790">
        <f ca="1">IF(ISERROR(VLOOKUP($A$1398,INDIRECT("notes_"&amp;LEFT($A$1398,3)),4,0)),0,VLOOKUP($A$1398,INDIRECT("notes_"&amp;LEFT($A$1398,3)),4,0))</f>
        <v>0</v>
      </c>
    </row>
    <row r="1399" spans="1:3" x14ac:dyDescent="0.25">
      <c r="A1399" s="787" t="s">
        <v>2702</v>
      </c>
      <c r="B1399" s="789" t="str">
        <f>IF('RO5'!D$113="","",'RO5'!D$113)</f>
        <v/>
      </c>
      <c r="C1399" s="790">
        <f ca="1">IF(ISERROR(VLOOKUP($A$1399,INDIRECT("notes_"&amp;LEFT($A$1399,3)),4,0)),0,VLOOKUP($A$1399,INDIRECT("notes_"&amp;LEFT($A$1399,3)),4,0))</f>
        <v>0</v>
      </c>
    </row>
    <row r="1400" spans="1:3" x14ac:dyDescent="0.25">
      <c r="A1400" s="787" t="s">
        <v>2703</v>
      </c>
      <c r="B1400" s="789" t="str">
        <f>IF('RO5'!D$114="","",'RO5'!D$114)</f>
        <v/>
      </c>
      <c r="C1400" s="790">
        <f ca="1">IF(ISERROR(VLOOKUP($A$1400,INDIRECT("notes_"&amp;LEFT($A$1400,3)),4,0)),0,VLOOKUP($A$1400,INDIRECT("notes_"&amp;LEFT($A$1400,3)),4,0))</f>
        <v>0</v>
      </c>
    </row>
    <row r="1401" spans="1:3" x14ac:dyDescent="0.25">
      <c r="A1401" s="787" t="s">
        <v>2704</v>
      </c>
      <c r="B1401" s="789" t="str">
        <f>IF('RO5'!D$116="","",'RO5'!D$116)</f>
        <v/>
      </c>
      <c r="C1401" s="790">
        <f ca="1">IF(ISERROR(VLOOKUP($A$1401,INDIRECT("notes_"&amp;LEFT($A$1401,3)),4,0)),0,VLOOKUP($A$1401,INDIRECT("notes_"&amp;LEFT($A$1401,3)),4,0))</f>
        <v>0</v>
      </c>
    </row>
    <row r="1402" spans="1:3" x14ac:dyDescent="0.25">
      <c r="A1402" s="787" t="s">
        <v>2705</v>
      </c>
      <c r="B1402" s="789" t="str">
        <f>IF('RO5'!D$118="","",'RO5'!D$118)</f>
        <v/>
      </c>
      <c r="C1402" s="790">
        <f ca="1">IF(ISERROR(VLOOKUP($A$1402,INDIRECT("notes_"&amp;LEFT($A$1402,3)),4,0)),0,VLOOKUP($A$1402,INDIRECT("notes_"&amp;LEFT($A$1402,3)),4,0))</f>
        <v>0</v>
      </c>
    </row>
    <row r="1403" spans="1:3" x14ac:dyDescent="0.25">
      <c r="A1403" s="787" t="s">
        <v>2706</v>
      </c>
      <c r="B1403" s="789" t="str">
        <f>IF('RO5'!D$119="","",'RO5'!D$119)</f>
        <v/>
      </c>
      <c r="C1403" s="790">
        <f ca="1">IF(ISERROR(VLOOKUP($A$1403,INDIRECT("notes_"&amp;LEFT($A$1403,3)),4,0)),0,VLOOKUP($A$1403,INDIRECT("notes_"&amp;LEFT($A$1403,3)),4,0))</f>
        <v>0</v>
      </c>
    </row>
    <row r="1404" spans="1:3" x14ac:dyDescent="0.25">
      <c r="A1404" s="787" t="s">
        <v>2707</v>
      </c>
      <c r="B1404" s="789" t="str">
        <f>IF('RO5'!D$120="","",'RO5'!D$120)</f>
        <v/>
      </c>
      <c r="C1404" s="790">
        <f ca="1">IF(ISERROR(VLOOKUP($A$1404,INDIRECT("notes_"&amp;LEFT($A$1404,3)),4,0)),0,VLOOKUP($A$1404,INDIRECT("notes_"&amp;LEFT($A$1404,3)),4,0))</f>
        <v>0</v>
      </c>
    </row>
    <row r="1405" spans="1:3" x14ac:dyDescent="0.25">
      <c r="A1405" s="787" t="s">
        <v>2708</v>
      </c>
      <c r="B1405" s="789" t="str">
        <f>IF('RO5'!D$122="","",'RO5'!D$122)</f>
        <v/>
      </c>
      <c r="C1405" s="790">
        <f ca="1">IF(ISERROR(VLOOKUP($A$1405,INDIRECT("notes_"&amp;LEFT($A$1405,3)),4,0)),0,VLOOKUP($A$1405,INDIRECT("notes_"&amp;LEFT($A$1405,3)),4,0))</f>
        <v>0</v>
      </c>
    </row>
    <row r="1406" spans="1:3" x14ac:dyDescent="0.25">
      <c r="A1406" s="787" t="s">
        <v>2709</v>
      </c>
      <c r="B1406" s="789">
        <f>IF('RO5'!D$124="","",'RO5'!D$124)</f>
        <v>0</v>
      </c>
      <c r="C1406" s="790">
        <f ca="1">IF(ISERROR(VLOOKUP($A$1406,INDIRECT("notes_"&amp;LEFT($A$1406,3)),4,0)),0,VLOOKUP($A$1406,INDIRECT("notes_"&amp;LEFT($A$1406,3)),4,0))</f>
        <v>0</v>
      </c>
    </row>
    <row r="1407" spans="1:3" x14ac:dyDescent="0.25">
      <c r="A1407" s="787" t="s">
        <v>2711</v>
      </c>
      <c r="B1407" s="789">
        <f>IF('RO5'!D$130="","",'RO5'!D$130)</f>
        <v>0</v>
      </c>
      <c r="C1407" s="790">
        <f ca="1">IF(ISERROR(VLOOKUP($A$1407,INDIRECT("notes_"&amp;LEFT($A$1407,3)),4,0)),0,VLOOKUP($A$1407,INDIRECT("notes_"&amp;LEFT($A$1407,3)),4,0))</f>
        <v>0</v>
      </c>
    </row>
    <row r="1408" spans="1:3" x14ac:dyDescent="0.25">
      <c r="A1408" s="787" t="s">
        <v>3841</v>
      </c>
      <c r="B1408" s="789" t="str">
        <f>IF('RO5'!E$32="","",'RO5'!E$32)</f>
        <v/>
      </c>
      <c r="C1408" s="790">
        <f ca="1">IF(ISERROR(VLOOKUP($A$1354,INDIRECT("notes_"&amp;LEFT($A$1354,3)),4,0)),0,VLOOKUP($A$1354,INDIRECT("notes_"&amp;LEFT($A$1354,3)),4,0))</f>
        <v>0</v>
      </c>
    </row>
    <row r="1409" spans="1:3" x14ac:dyDescent="0.25">
      <c r="A1409" s="787" t="s">
        <v>3842</v>
      </c>
      <c r="B1409" s="789" t="str">
        <f>IF('RO5'!E$33="","",'RO5'!E$33)</f>
        <v/>
      </c>
      <c r="C1409" s="790">
        <f ca="1">IF(ISERROR(VLOOKUP($A$1355,INDIRECT("notes_"&amp;LEFT($A$1355,3)),4,0)),0,VLOOKUP($A$1355,INDIRECT("notes_"&amp;LEFT($A$1355,3)),4,0))</f>
        <v>0</v>
      </c>
    </row>
    <row r="1410" spans="1:3" x14ac:dyDescent="0.25">
      <c r="A1410" s="787" t="s">
        <v>3843</v>
      </c>
      <c r="B1410" s="789" t="str">
        <f>IF('RO5'!E$34="","",'RO5'!E$34)</f>
        <v/>
      </c>
      <c r="C1410" s="790">
        <f ca="1">IF(ISERROR(VLOOKUP($A$1356,INDIRECT("notes_"&amp;LEFT($A$1356,3)),4,0)),0,VLOOKUP($A$1356,INDIRECT("notes_"&amp;LEFT($A$1356,3)),4,0))</f>
        <v>0</v>
      </c>
    </row>
    <row r="1411" spans="1:3" x14ac:dyDescent="0.25">
      <c r="A1411" s="787" t="s">
        <v>3844</v>
      </c>
      <c r="B1411" s="789" t="str">
        <f>IF('RO5'!E$35="","",'RO5'!E$35)</f>
        <v/>
      </c>
      <c r="C1411" s="790">
        <f ca="1">IF(ISERROR(VLOOKUP($A$1357,INDIRECT("notes_"&amp;LEFT($A$1357,3)),4,0)),0,VLOOKUP($A$1357,INDIRECT("notes_"&amp;LEFT($A$1357,3)),4,0))</f>
        <v>0</v>
      </c>
    </row>
    <row r="1412" spans="1:3" x14ac:dyDescent="0.25">
      <c r="A1412" s="787" t="s">
        <v>3845</v>
      </c>
      <c r="B1412" s="789" t="str">
        <f>IF('RO5'!E$36="","",'RO5'!E$36)</f>
        <v/>
      </c>
      <c r="C1412" s="790">
        <f ca="1">IF(ISERROR(VLOOKUP($A$1358,INDIRECT("notes_"&amp;LEFT($A$1358,3)),4,0)),0,VLOOKUP($A$1358,INDIRECT("notes_"&amp;LEFT($A$1358,3)),4,0))</f>
        <v>0</v>
      </c>
    </row>
    <row r="1413" spans="1:3" x14ac:dyDescent="0.25">
      <c r="A1413" s="787" t="s">
        <v>3846</v>
      </c>
      <c r="B1413" s="789" t="str">
        <f>IF('RO5'!E$39="","",'RO5'!E$39)</f>
        <v/>
      </c>
      <c r="C1413" s="790">
        <f ca="1">IF(ISERROR(VLOOKUP($A$1359,INDIRECT("notes_"&amp;LEFT($A$1359,3)),4,0)),0,VLOOKUP($A$1359,INDIRECT("notes_"&amp;LEFT($A$1359,3)),4,0))</f>
        <v>0</v>
      </c>
    </row>
    <row r="1414" spans="1:3" x14ac:dyDescent="0.25">
      <c r="A1414" s="787" t="s">
        <v>3847</v>
      </c>
      <c r="B1414" s="789" t="str">
        <f>IF('RO5'!E$40="","",'RO5'!E$40)</f>
        <v/>
      </c>
      <c r="C1414" s="790">
        <f ca="1">IF(ISERROR(VLOOKUP($A$1360,INDIRECT("notes_"&amp;LEFT($A$1360,3)),4,0)),0,VLOOKUP($A$1360,INDIRECT("notes_"&amp;LEFT($A$1360,3)),4,0))</f>
        <v>0</v>
      </c>
    </row>
    <row r="1415" spans="1:3" x14ac:dyDescent="0.25">
      <c r="A1415" s="787" t="s">
        <v>3848</v>
      </c>
      <c r="B1415" s="789" t="str">
        <f>IF('RO5'!E$41="","",'RO5'!E$41)</f>
        <v/>
      </c>
      <c r="C1415" s="790">
        <f ca="1">IF(ISERROR(VLOOKUP($A$1361,INDIRECT("notes_"&amp;LEFT($A$1361,3)),4,0)),0,VLOOKUP($A$1361,INDIRECT("notes_"&amp;LEFT($A$1361,3)),4,0))</f>
        <v>0</v>
      </c>
    </row>
    <row r="1416" spans="1:3" x14ac:dyDescent="0.25">
      <c r="A1416" s="787" t="s">
        <v>3849</v>
      </c>
      <c r="B1416" s="789" t="str">
        <f>IF('RO5'!E$42="","",'RO5'!E$42)</f>
        <v/>
      </c>
      <c r="C1416" s="790">
        <f ca="1">IF(ISERROR(VLOOKUP($A$1362,INDIRECT("notes_"&amp;LEFT($A$1362,3)),4,0)),0,VLOOKUP($A$1362,INDIRECT("notes_"&amp;LEFT($A$1362,3)),4,0))</f>
        <v>0</v>
      </c>
    </row>
    <row r="1417" spans="1:3" x14ac:dyDescent="0.25">
      <c r="A1417" s="787" t="s">
        <v>3850</v>
      </c>
      <c r="B1417" s="789" t="str">
        <f>IF('RO5'!E$44="","",'RO5'!E$44)</f>
        <v/>
      </c>
      <c r="C1417" s="790">
        <f ca="1">IF(ISERROR(VLOOKUP($A$1363,INDIRECT("notes_"&amp;LEFT($A$1363,3)),4,0)),0,VLOOKUP($A$1363,INDIRECT("notes_"&amp;LEFT($A$1363,3)),4,0))</f>
        <v>0</v>
      </c>
    </row>
    <row r="1418" spans="1:3" x14ac:dyDescent="0.25">
      <c r="A1418" s="787" t="s">
        <v>3851</v>
      </c>
      <c r="B1418" s="789" t="str">
        <f>IF('RO5'!E$46="","",'RO5'!E$46)</f>
        <v/>
      </c>
      <c r="C1418" s="790">
        <f ca="1">IF(ISERROR(VLOOKUP($A$1364,INDIRECT("notes_"&amp;LEFT($A$1364,3)),4,0)),0,VLOOKUP($A$1364,INDIRECT("notes_"&amp;LEFT($A$1364,3)),4,0))</f>
        <v>0</v>
      </c>
    </row>
    <row r="1419" spans="1:3" x14ac:dyDescent="0.25">
      <c r="A1419" s="787" t="s">
        <v>3852</v>
      </c>
      <c r="B1419" s="789" t="str">
        <f>IF('RO5'!E$48="","",'RO5'!E$48)</f>
        <v/>
      </c>
      <c r="C1419" s="790">
        <f ca="1">IF(ISERROR(VLOOKUP($A$1365,INDIRECT("notes_"&amp;LEFT($A$1365,3)),4,0)),0,VLOOKUP($A$1365,INDIRECT("notes_"&amp;LEFT($A$1365,3)),4,0))</f>
        <v>0</v>
      </c>
    </row>
    <row r="1420" spans="1:3" x14ac:dyDescent="0.25">
      <c r="A1420" s="787" t="s">
        <v>3853</v>
      </c>
      <c r="B1420" s="789" t="str">
        <f>IF('RO5'!E$50="","",'RO5'!E$50)</f>
        <v/>
      </c>
      <c r="C1420" s="790">
        <f ca="1">IF(ISERROR(VLOOKUP($A$1366,INDIRECT("notes_"&amp;LEFT($A$1366,3)),4,0)),0,VLOOKUP($A$1366,INDIRECT("notes_"&amp;LEFT($A$1366,3)),4,0))</f>
        <v>0</v>
      </c>
    </row>
    <row r="1421" spans="1:3" x14ac:dyDescent="0.25">
      <c r="A1421" s="787" t="s">
        <v>3854</v>
      </c>
      <c r="B1421" s="789">
        <f>IF('RO5'!E$52="","",'RO5'!E$52)</f>
        <v>0</v>
      </c>
      <c r="C1421" s="790">
        <f ca="1">IF(ISERROR(VLOOKUP($A$1367,INDIRECT("notes_"&amp;LEFT($A$1367,3)),4,0)),0,VLOOKUP($A$1367,INDIRECT("notes_"&amp;LEFT($A$1367,3)),4,0))</f>
        <v>0</v>
      </c>
    </row>
    <row r="1422" spans="1:3" x14ac:dyDescent="0.25">
      <c r="A1422" s="817" t="s">
        <v>2669</v>
      </c>
      <c r="B1422" s="818" t="str">
        <f>IF('RO5'!E$56="","",'RO5'!E$56)</f>
        <v/>
      </c>
      <c r="C1422" s="819">
        <f ca="1">IF(ISERROR(VLOOKUP($A$1422,INDIRECT("notes_"&amp;LEFT($A$1422,3)),4,0)),0,VLOOKUP($A$1422,INDIRECT("notes_"&amp;LEFT($A$1422,3)),4,0))</f>
        <v>0</v>
      </c>
    </row>
    <row r="1423" spans="1:3" x14ac:dyDescent="0.25">
      <c r="A1423" s="787" t="s">
        <v>3855</v>
      </c>
      <c r="B1423" s="789" t="str">
        <f>IF('RO5'!E$60="","",'RO5'!E$60)</f>
        <v/>
      </c>
      <c r="C1423" s="790">
        <f ca="1">IF(ISERROR(VLOOKUP($A$1368,INDIRECT("notes_"&amp;LEFT($A$1368,3)),4,0)),0,VLOOKUP($A$1368,INDIRECT("notes_"&amp;LEFT($A$1368,3)),4,0))</f>
        <v>0</v>
      </c>
    </row>
    <row r="1424" spans="1:3" x14ac:dyDescent="0.25">
      <c r="A1424" s="787" t="s">
        <v>3856</v>
      </c>
      <c r="B1424" s="789" t="str">
        <f>IF('RO5'!E$63="","",'RO5'!E$63)</f>
        <v/>
      </c>
      <c r="C1424" s="790">
        <f ca="1">IF(ISERROR(VLOOKUP($A$1369,INDIRECT("notes_"&amp;LEFT($A$1369,3)),4,0)),0,VLOOKUP($A$1369,INDIRECT("notes_"&amp;LEFT($A$1369,3)),4,0))</f>
        <v>0</v>
      </c>
    </row>
    <row r="1425" spans="1:3" x14ac:dyDescent="0.25">
      <c r="A1425" s="787" t="s">
        <v>3857</v>
      </c>
      <c r="B1425" s="789" t="str">
        <f>IF('RO5'!E$64="","",'RO5'!E$64)</f>
        <v/>
      </c>
      <c r="C1425" s="790">
        <f ca="1">IF(ISERROR(VLOOKUP($A$1370,INDIRECT("notes_"&amp;LEFT($A$1370,3)),4,0)),0,VLOOKUP($A$1370,INDIRECT("notes_"&amp;LEFT($A$1370,3)),4,0))</f>
        <v>0</v>
      </c>
    </row>
    <row r="1426" spans="1:3" x14ac:dyDescent="0.25">
      <c r="A1426" s="787" t="s">
        <v>3858</v>
      </c>
      <c r="B1426" s="789" t="str">
        <f>IF('RO5'!E$65="","",'RO5'!E$65)</f>
        <v/>
      </c>
      <c r="C1426" s="790">
        <f ca="1">IF(ISERROR(VLOOKUP($A$1371,INDIRECT("notes_"&amp;LEFT($A$1371,3)),4,0)),0,VLOOKUP($A$1371,INDIRECT("notes_"&amp;LEFT($A$1371,3)),4,0))</f>
        <v>0</v>
      </c>
    </row>
    <row r="1427" spans="1:3" x14ac:dyDescent="0.25">
      <c r="A1427" s="787" t="s">
        <v>3859</v>
      </c>
      <c r="B1427" s="789" t="str">
        <f>IF('RO5'!E$66="","",'RO5'!E$66)</f>
        <v/>
      </c>
      <c r="C1427" s="790">
        <f ca="1">IF(ISERROR(VLOOKUP($A$1372,INDIRECT("notes_"&amp;LEFT($A$1372,3)),4,0)),0,VLOOKUP($A$1372,INDIRECT("notes_"&amp;LEFT($A$1372,3)),4,0))</f>
        <v>0</v>
      </c>
    </row>
    <row r="1428" spans="1:3" x14ac:dyDescent="0.25">
      <c r="A1428" s="787" t="s">
        <v>3860</v>
      </c>
      <c r="B1428" s="789" t="str">
        <f>IF('RO5'!E$67="","",'RO5'!E$67)</f>
        <v/>
      </c>
      <c r="C1428" s="790">
        <f ca="1">IF(ISERROR(VLOOKUP($A$1373,INDIRECT("notes_"&amp;LEFT($A$1373,3)),4,0)),0,VLOOKUP($A$1373,INDIRECT("notes_"&amp;LEFT($A$1373,3)),4,0))</f>
        <v>0</v>
      </c>
    </row>
    <row r="1429" spans="1:3" x14ac:dyDescent="0.25">
      <c r="A1429" s="787" t="s">
        <v>3861</v>
      </c>
      <c r="B1429" s="789" t="str">
        <f>IF('RO5'!E$68="","",'RO5'!E$68)</f>
        <v/>
      </c>
      <c r="C1429" s="790">
        <f ca="1">IF(ISERROR(VLOOKUP($A$1374,INDIRECT("notes_"&amp;LEFT($A$1374,3)),4,0)),0,VLOOKUP($A$1374,INDIRECT("notes_"&amp;LEFT($A$1374,3)),4,0))</f>
        <v>0</v>
      </c>
    </row>
    <row r="1430" spans="1:3" x14ac:dyDescent="0.25">
      <c r="A1430" s="787" t="s">
        <v>3862</v>
      </c>
      <c r="B1430" s="789" t="str">
        <f>IF('RO5'!E$69="","",'RO5'!E$69)</f>
        <v/>
      </c>
      <c r="C1430" s="790">
        <f ca="1">IF(ISERROR(VLOOKUP($A$1375,INDIRECT("notes_"&amp;LEFT($A$1375,3)),4,0)),0,VLOOKUP($A$1375,INDIRECT("notes_"&amp;LEFT($A$1375,3)),4,0))</f>
        <v>0</v>
      </c>
    </row>
    <row r="1431" spans="1:3" x14ac:dyDescent="0.25">
      <c r="A1431" s="787" t="s">
        <v>3863</v>
      </c>
      <c r="B1431" s="789" t="str">
        <f>IF('RO5'!E$70="","",'RO5'!E$70)</f>
        <v/>
      </c>
      <c r="C1431" s="790">
        <f ca="1">IF(ISERROR(VLOOKUP($A$1376,INDIRECT("notes_"&amp;LEFT($A$1376,3)),4,0)),0,VLOOKUP($A$1376,INDIRECT("notes_"&amp;LEFT($A$1376,3)),4,0))</f>
        <v>0</v>
      </c>
    </row>
    <row r="1432" spans="1:3" x14ac:dyDescent="0.25">
      <c r="A1432" s="787" t="s">
        <v>3864</v>
      </c>
      <c r="B1432" s="789" t="str">
        <f>IF('RO5'!E$71="","",'RO5'!E$71)</f>
        <v/>
      </c>
      <c r="C1432" s="790">
        <f ca="1">IF(ISERROR(VLOOKUP($A$1377,INDIRECT("notes_"&amp;LEFT($A$1377,3)),4,0)),0,VLOOKUP($A$1377,INDIRECT("notes_"&amp;LEFT($A$1377,3)),4,0))</f>
        <v>0</v>
      </c>
    </row>
    <row r="1433" spans="1:3" x14ac:dyDescent="0.25">
      <c r="A1433" s="787" t="s">
        <v>3865</v>
      </c>
      <c r="B1433" s="789" t="str">
        <f>IF('RO5'!E$72="","",'RO5'!E$72)</f>
        <v/>
      </c>
      <c r="C1433" s="790">
        <f ca="1">IF(ISERROR(VLOOKUP($A$1378,INDIRECT("notes_"&amp;LEFT($A$1378,3)),4,0)),0,VLOOKUP($A$1378,INDIRECT("notes_"&amp;LEFT($A$1378,3)),4,0))</f>
        <v>0</v>
      </c>
    </row>
    <row r="1434" spans="1:3" x14ac:dyDescent="0.25">
      <c r="A1434" s="787" t="s">
        <v>3866</v>
      </c>
      <c r="B1434" s="789" t="str">
        <f>IF('RO5'!E$73="","",'RO5'!E$73)</f>
        <v/>
      </c>
      <c r="C1434" s="790">
        <f ca="1">IF(ISERROR(VLOOKUP($A$1379,INDIRECT("notes_"&amp;LEFT($A$1379,3)),4,0)),0,VLOOKUP($A$1379,INDIRECT("notes_"&amp;LEFT($A$1379,3)),4,0))</f>
        <v>0</v>
      </c>
    </row>
    <row r="1435" spans="1:3" x14ac:dyDescent="0.25">
      <c r="A1435" s="787" t="s">
        <v>3867</v>
      </c>
      <c r="B1435" s="789" t="str">
        <f>IF('RO5'!E$74="","",'RO5'!E$74)</f>
        <v/>
      </c>
      <c r="C1435" s="790">
        <f ca="1">IF(ISERROR(VLOOKUP($A$1380,INDIRECT("notes_"&amp;LEFT($A$1380,3)),4,0)),0,VLOOKUP($A$1380,INDIRECT("notes_"&amp;LEFT($A$1380,3)),4,0))</f>
        <v>0</v>
      </c>
    </row>
    <row r="1436" spans="1:3" x14ac:dyDescent="0.25">
      <c r="A1436" s="787" t="s">
        <v>3868</v>
      </c>
      <c r="B1436" s="789" t="str">
        <f>IF('RO5'!E$77="","",'RO5'!E$77)</f>
        <v/>
      </c>
      <c r="C1436" s="790">
        <f ca="1">IF(ISERROR(VLOOKUP($A$1381,INDIRECT("notes_"&amp;LEFT($A$1381,3)),4,0)),0,VLOOKUP($A$1381,INDIRECT("notes_"&amp;LEFT($A$1381,3)),4,0))</f>
        <v>0</v>
      </c>
    </row>
    <row r="1437" spans="1:3" x14ac:dyDescent="0.25">
      <c r="A1437" s="787" t="s">
        <v>3869</v>
      </c>
      <c r="B1437" s="789" t="str">
        <f>IF('RO5'!E$78="","",'RO5'!E$78)</f>
        <v/>
      </c>
      <c r="C1437" s="790">
        <f ca="1">IF(ISERROR(VLOOKUP($A$1382,INDIRECT("notes_"&amp;LEFT($A$1382,3)),4,0)),0,VLOOKUP($A$1382,INDIRECT("notes_"&amp;LEFT($A$1382,3)),4,0))</f>
        <v>0</v>
      </c>
    </row>
    <row r="1438" spans="1:3" x14ac:dyDescent="0.25">
      <c r="A1438" s="787" t="s">
        <v>3870</v>
      </c>
      <c r="B1438" s="789" t="str">
        <f>IF('RO5'!E$79="","",'RO5'!E$79)</f>
        <v/>
      </c>
      <c r="C1438" s="790">
        <f ca="1">IF(ISERROR(VLOOKUP($A$1383,INDIRECT("notes_"&amp;LEFT($A$1383,3)),4,0)),0,VLOOKUP($A$1383,INDIRECT("notes_"&amp;LEFT($A$1383,3)),4,0))</f>
        <v>0</v>
      </c>
    </row>
    <row r="1439" spans="1:3" x14ac:dyDescent="0.25">
      <c r="A1439" s="787" t="s">
        <v>3871</v>
      </c>
      <c r="B1439" s="789" t="str">
        <f>IF('RO5'!E$82="","",'RO5'!E$82)</f>
        <v/>
      </c>
      <c r="C1439" s="790">
        <f ca="1">IF(ISERROR(VLOOKUP($A$1384,INDIRECT("notes_"&amp;LEFT($A$1384,3)),4,0)),0,VLOOKUP($A$1384,INDIRECT("notes_"&amp;LEFT($A$1384,3)),4,0))</f>
        <v>0</v>
      </c>
    </row>
    <row r="1440" spans="1:3" x14ac:dyDescent="0.25">
      <c r="A1440" s="787" t="s">
        <v>3872</v>
      </c>
      <c r="B1440" s="789" t="str">
        <f>IF('RO5'!E$83="","",'RO5'!E$83)</f>
        <v/>
      </c>
      <c r="C1440" s="790">
        <f ca="1">IF(ISERROR(VLOOKUP($A$1385,INDIRECT("notes_"&amp;LEFT($A$1385,3)),4,0)),0,VLOOKUP($A$1385,INDIRECT("notes_"&amp;LEFT($A$1385,3)),4,0))</f>
        <v>0</v>
      </c>
    </row>
    <row r="1441" spans="1:3" x14ac:dyDescent="0.25">
      <c r="A1441" s="787" t="s">
        <v>3873</v>
      </c>
      <c r="B1441" s="789" t="str">
        <f>IF('RO5'!E$84="","",'RO5'!E$84)</f>
        <v/>
      </c>
      <c r="C1441" s="790">
        <f ca="1">IF(ISERROR(VLOOKUP($A$1386,INDIRECT("notes_"&amp;LEFT($A$1386,3)),4,0)),0,VLOOKUP($A$1386,INDIRECT("notes_"&amp;LEFT($A$1386,3)),4,0))</f>
        <v>0</v>
      </c>
    </row>
    <row r="1442" spans="1:3" x14ac:dyDescent="0.25">
      <c r="A1442" s="787" t="s">
        <v>3874</v>
      </c>
      <c r="B1442" s="789" t="str">
        <f>IF('RO5'!E$85="","",'RO5'!E$85)</f>
        <v/>
      </c>
      <c r="C1442" s="790">
        <f ca="1">IF(ISERROR(VLOOKUP($A$1387,INDIRECT("notes_"&amp;LEFT($A$1387,3)),4,0)),0,VLOOKUP($A$1387,INDIRECT("notes_"&amp;LEFT($A$1387,3)),4,0))</f>
        <v>0</v>
      </c>
    </row>
    <row r="1443" spans="1:3" x14ac:dyDescent="0.25">
      <c r="A1443" s="787" t="s">
        <v>3875</v>
      </c>
      <c r="B1443" s="789" t="str">
        <f>IF('RO5'!E$87="","",'RO5'!E$87)</f>
        <v/>
      </c>
      <c r="C1443" s="790">
        <f ca="1">IF(ISERROR(VLOOKUP($A$1388,INDIRECT("notes_"&amp;LEFT($A$1388,3)),4,0)),0,VLOOKUP($A$1388,INDIRECT("notes_"&amp;LEFT($A$1388,3)),4,0))</f>
        <v>0</v>
      </c>
    </row>
    <row r="1444" spans="1:3" x14ac:dyDescent="0.25">
      <c r="A1444" s="787" t="s">
        <v>3876</v>
      </c>
      <c r="B1444" s="789" t="str">
        <f>IF('RO5'!E$90="","",'RO5'!E$90)</f>
        <v/>
      </c>
      <c r="C1444" s="790">
        <f ca="1">IF(ISERROR(VLOOKUP($A$1389,INDIRECT("notes_"&amp;LEFT($A$1389,3)),4,0)),0,VLOOKUP($A$1389,INDIRECT("notes_"&amp;LEFT($A$1389,3)),4,0))</f>
        <v>0</v>
      </c>
    </row>
    <row r="1445" spans="1:3" x14ac:dyDescent="0.25">
      <c r="A1445" s="787" t="s">
        <v>3877</v>
      </c>
      <c r="B1445" s="789" t="str">
        <f>IF('RO5'!E$93="","",'RO5'!E$93)</f>
        <v/>
      </c>
      <c r="C1445" s="790">
        <f ca="1">IF(ISERROR(VLOOKUP($A$1390,INDIRECT("notes_"&amp;LEFT($A$1390,3)),4,0)),0,VLOOKUP($A$1390,INDIRECT("notes_"&amp;LEFT($A$1390,3)),4,0))</f>
        <v>0</v>
      </c>
    </row>
    <row r="1446" spans="1:3" x14ac:dyDescent="0.25">
      <c r="A1446" s="787" t="s">
        <v>3878</v>
      </c>
      <c r="B1446" s="789" t="str">
        <f>IF('RO5'!E$94="","",'RO5'!E$94)</f>
        <v/>
      </c>
      <c r="C1446" s="790">
        <f ca="1">IF(ISERROR(VLOOKUP($A$1391,INDIRECT("notes_"&amp;LEFT($A$1391,3)),4,0)),0,VLOOKUP($A$1391,INDIRECT("notes_"&amp;LEFT($A$1391,3)),4,0))</f>
        <v>0</v>
      </c>
    </row>
    <row r="1447" spans="1:3" x14ac:dyDescent="0.25">
      <c r="A1447" s="787" t="s">
        <v>3879</v>
      </c>
      <c r="B1447" s="789" t="str">
        <f>IF('RO5'!E$95="","",'RO5'!E$95)</f>
        <v/>
      </c>
      <c r="C1447" s="790">
        <f ca="1">IF(ISERROR(VLOOKUP($A$1392,INDIRECT("notes_"&amp;LEFT($A$1392,3)),4,0)),0,VLOOKUP($A$1392,INDIRECT("notes_"&amp;LEFT($A$1392,3)),4,0))</f>
        <v>0</v>
      </c>
    </row>
    <row r="1448" spans="1:3" x14ac:dyDescent="0.25">
      <c r="A1448" s="787" t="s">
        <v>3880</v>
      </c>
      <c r="B1448" s="789" t="str">
        <f>IF('RO5'!E$96="","",'RO5'!E$96)</f>
        <v/>
      </c>
      <c r="C1448" s="790">
        <f ca="1">IF(ISERROR(VLOOKUP($A$1393,INDIRECT("notes_"&amp;LEFT($A$1393,3)),4,0)),0,VLOOKUP($A$1393,INDIRECT("notes_"&amp;LEFT($A$1393,3)),4,0))</f>
        <v>0</v>
      </c>
    </row>
    <row r="1449" spans="1:3" x14ac:dyDescent="0.25">
      <c r="A1449" s="787" t="s">
        <v>3881</v>
      </c>
      <c r="B1449" s="789" t="str">
        <f>IF('RO5'!E$97="","",'RO5'!E$97)</f>
        <v/>
      </c>
      <c r="C1449" s="790">
        <f ca="1">IF(ISERROR(VLOOKUP($A$1394,INDIRECT("notes_"&amp;LEFT($A$1394,3)),4,0)),0,VLOOKUP($A$1394,INDIRECT("notes_"&amp;LEFT($A$1394,3)),4,0))</f>
        <v>0</v>
      </c>
    </row>
    <row r="1450" spans="1:3" x14ac:dyDescent="0.25">
      <c r="A1450" s="787" t="s">
        <v>3882</v>
      </c>
      <c r="B1450" s="789" t="str">
        <f>IF('RO5'!E$98="","",'RO5'!E$98)</f>
        <v/>
      </c>
      <c r="C1450" s="790">
        <f ca="1">IF(ISERROR(VLOOKUP($A$1395,INDIRECT("notes_"&amp;LEFT($A$1395,3)),4,0)),0,VLOOKUP($A$1395,INDIRECT("notes_"&amp;LEFT($A$1395,3)),4,0))</f>
        <v>0</v>
      </c>
    </row>
    <row r="1451" spans="1:3" x14ac:dyDescent="0.25">
      <c r="A1451" s="787" t="s">
        <v>3883</v>
      </c>
      <c r="B1451" s="789">
        <f>IF('RO5'!E$100="","",'RO5'!E$100)</f>
        <v>0</v>
      </c>
      <c r="C1451" s="790">
        <f ca="1">IF(ISERROR(VLOOKUP($A$1396,INDIRECT("notes_"&amp;LEFT($A$1396,3)),4,0)),0,VLOOKUP($A$1396,INDIRECT("notes_"&amp;LEFT($A$1396,3)),4,0))</f>
        <v>0</v>
      </c>
    </row>
    <row r="1452" spans="1:3" x14ac:dyDescent="0.25">
      <c r="A1452" s="817" t="s">
        <v>2699</v>
      </c>
      <c r="B1452" s="818">
        <f>IF('RO5'!E$100="","",'RO5'!E$104)</f>
        <v>0</v>
      </c>
      <c r="C1452" s="819">
        <f ca="1">IF(ISERROR(VLOOKUP($A$1452,INDIRECT("notes_"&amp;LEFT($A$1452,3)),4,0)),0,VLOOKUP($A$1452,INDIRECT("notes_"&amp;LEFT($A$1452,3)),4,0))</f>
        <v>0</v>
      </c>
    </row>
    <row r="1453" spans="1:3" x14ac:dyDescent="0.25">
      <c r="A1453" s="787" t="s">
        <v>3884</v>
      </c>
      <c r="B1453" s="789" t="str">
        <f>IF('RO5'!E$108="","",'RO5'!E$108)</f>
        <v/>
      </c>
      <c r="C1453" s="790">
        <f ca="1">IF(ISERROR(VLOOKUP($A$1397,INDIRECT("notes_"&amp;LEFT($A$1397,3)),4,0)),0,VLOOKUP($A$1397,INDIRECT("notes_"&amp;LEFT($A$1397,3)),4,0))</f>
        <v>0</v>
      </c>
    </row>
    <row r="1454" spans="1:3" x14ac:dyDescent="0.25">
      <c r="A1454" s="787" t="s">
        <v>3885</v>
      </c>
      <c r="B1454" s="789" t="str">
        <f>IF('RO5'!E$110="","",'RO5'!E$110)</f>
        <v/>
      </c>
      <c r="C1454" s="790">
        <f ca="1">IF(ISERROR(VLOOKUP($A$1398,INDIRECT("notes_"&amp;LEFT($A$1398,3)),4,0)),0,VLOOKUP($A$1398,INDIRECT("notes_"&amp;LEFT($A$1398,3)),4,0))</f>
        <v>0</v>
      </c>
    </row>
    <row r="1455" spans="1:3" x14ac:dyDescent="0.25">
      <c r="A1455" s="787" t="s">
        <v>3886</v>
      </c>
      <c r="B1455" s="789" t="str">
        <f>IF('RO5'!E$113="","",'RO5'!E$113)</f>
        <v/>
      </c>
      <c r="C1455" s="790">
        <f ca="1">IF(ISERROR(VLOOKUP($A$1399,INDIRECT("notes_"&amp;LEFT($A$1399,3)),4,0)),0,VLOOKUP($A$1399,INDIRECT("notes_"&amp;LEFT($A$1399,3)),4,0))</f>
        <v>0</v>
      </c>
    </row>
    <row r="1456" spans="1:3" x14ac:dyDescent="0.25">
      <c r="A1456" s="787" t="s">
        <v>3887</v>
      </c>
      <c r="B1456" s="789" t="str">
        <f>IF('RO5'!E$114="","",'RO5'!E$114)</f>
        <v/>
      </c>
      <c r="C1456" s="790">
        <f ca="1">IF(ISERROR(VLOOKUP($A$1400,INDIRECT("notes_"&amp;LEFT($A$1400,3)),4,0)),0,VLOOKUP($A$1400,INDIRECT("notes_"&amp;LEFT($A$1400,3)),4,0))</f>
        <v>0</v>
      </c>
    </row>
    <row r="1457" spans="1:3" x14ac:dyDescent="0.25">
      <c r="A1457" s="787" t="s">
        <v>3888</v>
      </c>
      <c r="B1457" s="789" t="str">
        <f>IF('RO5'!E$116="","",'RO5'!E$116)</f>
        <v/>
      </c>
      <c r="C1457" s="790">
        <f ca="1">IF(ISERROR(VLOOKUP($A$1401,INDIRECT("notes_"&amp;LEFT($A$1401,3)),4,0)),0,VLOOKUP($A$1401,INDIRECT("notes_"&amp;LEFT($A$1401,3)),4,0))</f>
        <v>0</v>
      </c>
    </row>
    <row r="1458" spans="1:3" x14ac:dyDescent="0.25">
      <c r="A1458" s="787" t="s">
        <v>3889</v>
      </c>
      <c r="B1458" s="789" t="str">
        <f>IF('RO5'!E$118="","",'RO5'!E$118)</f>
        <v/>
      </c>
      <c r="C1458" s="790">
        <f ca="1">IF(ISERROR(VLOOKUP($A$1402,INDIRECT("notes_"&amp;LEFT($A$1402,3)),4,0)),0,VLOOKUP($A$1402,INDIRECT("notes_"&amp;LEFT($A$1402,3)),4,0))</f>
        <v>0</v>
      </c>
    </row>
    <row r="1459" spans="1:3" x14ac:dyDescent="0.25">
      <c r="A1459" s="787" t="s">
        <v>3890</v>
      </c>
      <c r="B1459" s="789" t="str">
        <f>IF('RO5'!E$119="","",'RO5'!E$119)</f>
        <v/>
      </c>
      <c r="C1459" s="790">
        <f ca="1">IF(ISERROR(VLOOKUP($A$1403,INDIRECT("notes_"&amp;LEFT($A$1403,3)),4,0)),0,VLOOKUP($A$1403,INDIRECT("notes_"&amp;LEFT($A$1403,3)),4,0))</f>
        <v>0</v>
      </c>
    </row>
    <row r="1460" spans="1:3" x14ac:dyDescent="0.25">
      <c r="A1460" s="787" t="s">
        <v>3891</v>
      </c>
      <c r="B1460" s="789" t="str">
        <f>IF('RO5'!E$120="","",'RO5'!E$120)</f>
        <v/>
      </c>
      <c r="C1460" s="790">
        <f ca="1">IF(ISERROR(VLOOKUP($A$1404,INDIRECT("notes_"&amp;LEFT($A$1404,3)),4,0)),0,VLOOKUP($A$1404,INDIRECT("notes_"&amp;LEFT($A$1404,3)),4,0))</f>
        <v>0</v>
      </c>
    </row>
    <row r="1461" spans="1:3" x14ac:dyDescent="0.25">
      <c r="A1461" s="787" t="s">
        <v>3892</v>
      </c>
      <c r="B1461" s="789" t="str">
        <f>IF('RO5'!E$122="","",'RO5'!E$122)</f>
        <v/>
      </c>
      <c r="C1461" s="790">
        <f ca="1">IF(ISERROR(VLOOKUP($A$1405,INDIRECT("notes_"&amp;LEFT($A$1405,3)),4,0)),0,VLOOKUP($A$1405,INDIRECT("notes_"&amp;LEFT($A$1405,3)),4,0))</f>
        <v>0</v>
      </c>
    </row>
    <row r="1462" spans="1:3" x14ac:dyDescent="0.25">
      <c r="A1462" s="787" t="s">
        <v>3893</v>
      </c>
      <c r="B1462" s="789">
        <f>IF('RO5'!E$124="","",'RO5'!E$124)</f>
        <v>0</v>
      </c>
      <c r="C1462" s="790">
        <f ca="1">IF(ISERROR(VLOOKUP($A$1406,INDIRECT("notes_"&amp;LEFT($A$1406,3)),4,0)),0,VLOOKUP($A$1406,INDIRECT("notes_"&amp;LEFT($A$1406,3)),4,0))</f>
        <v>0</v>
      </c>
    </row>
    <row r="1463" spans="1:3" x14ac:dyDescent="0.25">
      <c r="A1463" s="817" t="s">
        <v>2710</v>
      </c>
      <c r="B1463" s="818" t="str">
        <f>IF('RO5'!E$128="","",'RO5'!E$128)</f>
        <v/>
      </c>
      <c r="C1463" s="819">
        <f ca="1">IF(ISERROR(VLOOKUP($A$1463,INDIRECT("notes_"&amp;LEFT($A$1463,3)),4,0)),0,VLOOKUP($A$1463,INDIRECT("notes_"&amp;LEFT($A$1463,3)),4,0))</f>
        <v>0</v>
      </c>
    </row>
    <row r="1464" spans="1:3" x14ac:dyDescent="0.25">
      <c r="A1464" s="787" t="s">
        <v>3894</v>
      </c>
      <c r="B1464" s="789">
        <f>IF('RO5'!E$130="","",'RO5'!E$130)</f>
        <v>0</v>
      </c>
      <c r="C1464" s="790">
        <f ca="1">IF(ISERROR(VLOOKUP($A$1407,INDIRECT("notes_"&amp;LEFT($A$1407,3)),4,0)),0,VLOOKUP($A$1407,INDIRECT("notes_"&amp;LEFT($A$1407,3)),4,0))</f>
        <v>0</v>
      </c>
    </row>
    <row r="1465" spans="1:3" x14ac:dyDescent="0.25">
      <c r="A1465" s="817" t="s">
        <v>2712</v>
      </c>
      <c r="B1465" s="818" t="str">
        <f>IF('RO5'!E$134="","",'RO5'!E$134)</f>
        <v/>
      </c>
      <c r="C1465" s="819">
        <f ca="1">IF(ISERROR(VLOOKUP($A$1465,INDIRECT("notes_"&amp;LEFT($A$1465,3)),4,0)),0,VLOOKUP($A$1465,INDIRECT("notes_"&amp;LEFT($A$1465,3)),4,0))</f>
        <v>0</v>
      </c>
    </row>
    <row r="1466" spans="1:3" x14ac:dyDescent="0.25">
      <c r="A1466" s="787" t="s">
        <v>3895</v>
      </c>
      <c r="B1466" s="789">
        <f>IF('RO5'!F$32="","",'RO5'!F$32)</f>
        <v>0</v>
      </c>
      <c r="C1466" s="790">
        <f ca="1">IF(ISERROR(VLOOKUP($A$1354,INDIRECT("notes_"&amp;LEFT($A$1354,3)),4,0)),0,VLOOKUP($A$1354,INDIRECT("notes_"&amp;LEFT($A$1354,3)),4,0))</f>
        <v>0</v>
      </c>
    </row>
    <row r="1467" spans="1:3" x14ac:dyDescent="0.25">
      <c r="A1467" s="787" t="s">
        <v>3896</v>
      </c>
      <c r="B1467" s="789">
        <f>IF('RO5'!F$33="","",'RO5'!F$33)</f>
        <v>0</v>
      </c>
      <c r="C1467" s="790">
        <f ca="1">IF(ISERROR(VLOOKUP($A$1355,INDIRECT("notes_"&amp;LEFT($A$1355,3)),4,0)),0,VLOOKUP($A$1355,INDIRECT("notes_"&amp;LEFT($A$1355,3)),4,0))</f>
        <v>0</v>
      </c>
    </row>
    <row r="1468" spans="1:3" x14ac:dyDescent="0.25">
      <c r="A1468" s="787" t="s">
        <v>3897</v>
      </c>
      <c r="B1468" s="789">
        <f>IF('RO5'!F$34="","",'RO5'!F$34)</f>
        <v>0</v>
      </c>
      <c r="C1468" s="790">
        <f ca="1">IF(ISERROR(VLOOKUP($A$1356,INDIRECT("notes_"&amp;LEFT($A$1356,3)),4,0)),0,VLOOKUP($A$1356,INDIRECT("notes_"&amp;LEFT($A$1356,3)),4,0))</f>
        <v>0</v>
      </c>
    </row>
    <row r="1469" spans="1:3" x14ac:dyDescent="0.25">
      <c r="A1469" s="787" t="s">
        <v>3898</v>
      </c>
      <c r="B1469" s="789">
        <f>IF('RO5'!F$35="","",'RO5'!F$35)</f>
        <v>0</v>
      </c>
      <c r="C1469" s="790">
        <f ca="1">IF(ISERROR(VLOOKUP($A$1357,INDIRECT("notes_"&amp;LEFT($A$1357,3)),4,0)),0,VLOOKUP($A$1357,INDIRECT("notes_"&amp;LEFT($A$1357,3)),4,0))</f>
        <v>0</v>
      </c>
    </row>
    <row r="1470" spans="1:3" x14ac:dyDescent="0.25">
      <c r="A1470" s="787" t="s">
        <v>3899</v>
      </c>
      <c r="B1470" s="789">
        <f>IF('RO5'!F$36="","",'RO5'!F$36)</f>
        <v>0</v>
      </c>
      <c r="C1470" s="790">
        <f ca="1">IF(ISERROR(VLOOKUP($A$1358,INDIRECT("notes_"&amp;LEFT($A$1358,3)),4,0)),0,VLOOKUP($A$1358,INDIRECT("notes_"&amp;LEFT($A$1358,3)),4,0))</f>
        <v>0</v>
      </c>
    </row>
    <row r="1471" spans="1:3" x14ac:dyDescent="0.25">
      <c r="A1471" s="787" t="s">
        <v>3900</v>
      </c>
      <c r="B1471" s="789">
        <f>IF('RO5'!F$39="","",'RO5'!F$39)</f>
        <v>0</v>
      </c>
      <c r="C1471" s="790">
        <f ca="1">IF(ISERROR(VLOOKUP($A$1359,INDIRECT("notes_"&amp;LEFT($A$1359,3)),4,0)),0,VLOOKUP($A$1359,INDIRECT("notes_"&amp;LEFT($A$1359,3)),4,0))</f>
        <v>0</v>
      </c>
    </row>
    <row r="1472" spans="1:3" x14ac:dyDescent="0.25">
      <c r="A1472" s="787" t="s">
        <v>3901</v>
      </c>
      <c r="B1472" s="789">
        <f>IF('RO5'!F$40="","",'RO5'!F$40)</f>
        <v>0</v>
      </c>
      <c r="C1472" s="790">
        <f ca="1">IF(ISERROR(VLOOKUP($A$1360,INDIRECT("notes_"&amp;LEFT($A$1360,3)),4,0)),0,VLOOKUP($A$1360,INDIRECT("notes_"&amp;LEFT($A$1360,3)),4,0))</f>
        <v>0</v>
      </c>
    </row>
    <row r="1473" spans="1:3" x14ac:dyDescent="0.25">
      <c r="A1473" s="787" t="s">
        <v>3902</v>
      </c>
      <c r="B1473" s="789">
        <f>IF('RO5'!F$41="","",'RO5'!F$41)</f>
        <v>0</v>
      </c>
      <c r="C1473" s="790">
        <f ca="1">IF(ISERROR(VLOOKUP($A$1361,INDIRECT("notes_"&amp;LEFT($A$1361,3)),4,0)),0,VLOOKUP($A$1361,INDIRECT("notes_"&amp;LEFT($A$1361,3)),4,0))</f>
        <v>0</v>
      </c>
    </row>
    <row r="1474" spans="1:3" x14ac:dyDescent="0.25">
      <c r="A1474" s="787" t="s">
        <v>3903</v>
      </c>
      <c r="B1474" s="789">
        <f>IF('RO5'!F$42="","",'RO5'!F$42)</f>
        <v>0</v>
      </c>
      <c r="C1474" s="790">
        <f ca="1">IF(ISERROR(VLOOKUP($A$1362,INDIRECT("notes_"&amp;LEFT($A$1362,3)),4,0)),0,VLOOKUP($A$1362,INDIRECT("notes_"&amp;LEFT($A$1362,3)),4,0))</f>
        <v>0</v>
      </c>
    </row>
    <row r="1475" spans="1:3" x14ac:dyDescent="0.25">
      <c r="A1475" s="787" t="s">
        <v>3904</v>
      </c>
      <c r="B1475" s="789">
        <f>IF('RO5'!F$44="","",'RO5'!F$44)</f>
        <v>0</v>
      </c>
      <c r="C1475" s="790">
        <f ca="1">IF(ISERROR(VLOOKUP($A$1363,INDIRECT("notes_"&amp;LEFT($A$1363,3)),4,0)),0,VLOOKUP($A$1363,INDIRECT("notes_"&amp;LEFT($A$1363,3)),4,0))</f>
        <v>0</v>
      </c>
    </row>
    <row r="1476" spans="1:3" x14ac:dyDescent="0.25">
      <c r="A1476" s="787" t="s">
        <v>3905</v>
      </c>
      <c r="B1476" s="789">
        <f>IF('RO5'!F$46="","",'RO5'!F$46)</f>
        <v>0</v>
      </c>
      <c r="C1476" s="790">
        <f ca="1">IF(ISERROR(VLOOKUP($A$1364,INDIRECT("notes_"&amp;LEFT($A$1364,3)),4,0)),0,VLOOKUP($A$1364,INDIRECT("notes_"&amp;LEFT($A$1364,3)),4,0))</f>
        <v>0</v>
      </c>
    </row>
    <row r="1477" spans="1:3" x14ac:dyDescent="0.25">
      <c r="A1477" s="787" t="s">
        <v>3906</v>
      </c>
      <c r="B1477" s="789">
        <f>IF('RO5'!F$48="","",'RO5'!F$48)</f>
        <v>0</v>
      </c>
      <c r="C1477" s="790">
        <f ca="1">IF(ISERROR(VLOOKUP($A$1365,INDIRECT("notes_"&amp;LEFT($A$1365,3)),4,0)),0,VLOOKUP($A$1365,INDIRECT("notes_"&amp;LEFT($A$1365,3)),4,0))</f>
        <v>0</v>
      </c>
    </row>
    <row r="1478" spans="1:3" x14ac:dyDescent="0.25">
      <c r="A1478" s="787" t="s">
        <v>3907</v>
      </c>
      <c r="B1478" s="789">
        <f>IF('RO5'!F$50="","",'RO5'!F$50)</f>
        <v>0</v>
      </c>
      <c r="C1478" s="790">
        <f ca="1">IF(ISERROR(VLOOKUP($A$1366,INDIRECT("notes_"&amp;LEFT($A$1366,3)),4,0)),0,VLOOKUP($A$1366,INDIRECT("notes_"&amp;LEFT($A$1366,3)),4,0))</f>
        <v>0</v>
      </c>
    </row>
    <row r="1479" spans="1:3" x14ac:dyDescent="0.25">
      <c r="A1479" s="787" t="s">
        <v>3908</v>
      </c>
      <c r="B1479" s="789">
        <f>IF('RO5'!F$52="","",'RO5'!F$52)</f>
        <v>0</v>
      </c>
      <c r="C1479" s="790">
        <f ca="1">IF(ISERROR(VLOOKUP($A$1367,INDIRECT("notes_"&amp;LEFT($A$1367,3)),4,0)),0,VLOOKUP($A$1367,INDIRECT("notes_"&amp;LEFT($A$1367,3)),4,0))</f>
        <v>0</v>
      </c>
    </row>
    <row r="1480" spans="1:3" x14ac:dyDescent="0.25">
      <c r="A1480" s="787" t="s">
        <v>3909</v>
      </c>
      <c r="B1480" s="789">
        <f>IF('RO5'!F$60="","",'RO5'!F$60)</f>
        <v>0</v>
      </c>
      <c r="C1480" s="790">
        <f ca="1">IF(ISERROR(VLOOKUP($A$1368,INDIRECT("notes_"&amp;LEFT($A$1368,3)),4,0)),0,VLOOKUP($A$1368,INDIRECT("notes_"&amp;LEFT($A$1368,3)),4,0))</f>
        <v>0</v>
      </c>
    </row>
    <row r="1481" spans="1:3" x14ac:dyDescent="0.25">
      <c r="A1481" s="787" t="s">
        <v>3910</v>
      </c>
      <c r="B1481" s="789">
        <f>IF('RO5'!F$63="","",'RO5'!F$63)</f>
        <v>0</v>
      </c>
      <c r="C1481" s="790">
        <f ca="1">IF(ISERROR(VLOOKUP($A$1369,INDIRECT("notes_"&amp;LEFT($A$1369,3)),4,0)),0,VLOOKUP($A$1369,INDIRECT("notes_"&amp;LEFT($A$1369,3)),4,0))</f>
        <v>0</v>
      </c>
    </row>
    <row r="1482" spans="1:3" x14ac:dyDescent="0.25">
      <c r="A1482" s="787" t="s">
        <v>3911</v>
      </c>
      <c r="B1482" s="789">
        <f>IF('RO5'!F$64="","",'RO5'!F$64)</f>
        <v>0</v>
      </c>
      <c r="C1482" s="790">
        <f ca="1">IF(ISERROR(VLOOKUP($A$1370,INDIRECT("notes_"&amp;LEFT($A$1370,3)),4,0)),0,VLOOKUP($A$1370,INDIRECT("notes_"&amp;LEFT($A$1370,3)),4,0))</f>
        <v>0</v>
      </c>
    </row>
    <row r="1483" spans="1:3" x14ac:dyDescent="0.25">
      <c r="A1483" s="787" t="s">
        <v>3912</v>
      </c>
      <c r="B1483" s="789">
        <f>IF('RO5'!F$65="","",'RO5'!F$65)</f>
        <v>0</v>
      </c>
      <c r="C1483" s="790">
        <f ca="1">IF(ISERROR(VLOOKUP($A$1371,INDIRECT("notes_"&amp;LEFT($A$1371,3)),4,0)),0,VLOOKUP($A$1371,INDIRECT("notes_"&amp;LEFT($A$1371,3)),4,0))</f>
        <v>0</v>
      </c>
    </row>
    <row r="1484" spans="1:3" x14ac:dyDescent="0.25">
      <c r="A1484" s="787" t="s">
        <v>3913</v>
      </c>
      <c r="B1484" s="789">
        <f>IF('RO5'!F$66="","",'RO5'!F$66)</f>
        <v>0</v>
      </c>
      <c r="C1484" s="790">
        <f ca="1">IF(ISERROR(VLOOKUP($A$1372,INDIRECT("notes_"&amp;LEFT($A$1372,3)),4,0)),0,VLOOKUP($A$1372,INDIRECT("notes_"&amp;LEFT($A$1372,3)),4,0))</f>
        <v>0</v>
      </c>
    </row>
    <row r="1485" spans="1:3" x14ac:dyDescent="0.25">
      <c r="A1485" s="787" t="s">
        <v>3914</v>
      </c>
      <c r="B1485" s="789">
        <f>IF('RO5'!F$67="","",'RO5'!F$67)</f>
        <v>0</v>
      </c>
      <c r="C1485" s="790">
        <f ca="1">IF(ISERROR(VLOOKUP($A$1373,INDIRECT("notes_"&amp;LEFT($A$1373,3)),4,0)),0,VLOOKUP($A$1373,INDIRECT("notes_"&amp;LEFT($A$1373,3)),4,0))</f>
        <v>0</v>
      </c>
    </row>
    <row r="1486" spans="1:3" x14ac:dyDescent="0.25">
      <c r="A1486" s="787" t="s">
        <v>3915</v>
      </c>
      <c r="B1486" s="789">
        <f>IF('RO5'!F$68="","",'RO5'!F$68)</f>
        <v>0</v>
      </c>
      <c r="C1486" s="790">
        <f ca="1">IF(ISERROR(VLOOKUP($A$1374,INDIRECT("notes_"&amp;LEFT($A$1374,3)),4,0)),0,VLOOKUP($A$1374,INDIRECT("notes_"&amp;LEFT($A$1374,3)),4,0))</f>
        <v>0</v>
      </c>
    </row>
    <row r="1487" spans="1:3" x14ac:dyDescent="0.25">
      <c r="A1487" s="787" t="s">
        <v>3916</v>
      </c>
      <c r="B1487" s="789">
        <f>IF('RO5'!F$69="","",'RO5'!F$69)</f>
        <v>0</v>
      </c>
      <c r="C1487" s="790">
        <f ca="1">IF(ISERROR(VLOOKUP($A$1375,INDIRECT("notes_"&amp;LEFT($A$1375,3)),4,0)),0,VLOOKUP($A$1375,INDIRECT("notes_"&amp;LEFT($A$1375,3)),4,0))</f>
        <v>0</v>
      </c>
    </row>
    <row r="1488" spans="1:3" x14ac:dyDescent="0.25">
      <c r="A1488" s="787" t="s">
        <v>3917</v>
      </c>
      <c r="B1488" s="789">
        <f>IF('RO5'!F$70="","",'RO5'!F$70)</f>
        <v>0</v>
      </c>
      <c r="C1488" s="790">
        <f ca="1">IF(ISERROR(VLOOKUP($A$1376,INDIRECT("notes_"&amp;LEFT($A$1376,3)),4,0)),0,VLOOKUP($A$1376,INDIRECT("notes_"&amp;LEFT($A$1376,3)),4,0))</f>
        <v>0</v>
      </c>
    </row>
    <row r="1489" spans="1:3" x14ac:dyDescent="0.25">
      <c r="A1489" s="787" t="s">
        <v>3918</v>
      </c>
      <c r="B1489" s="789">
        <f>IF('RO5'!F$71="","",'RO5'!F$71)</f>
        <v>0</v>
      </c>
      <c r="C1489" s="790">
        <f ca="1">IF(ISERROR(VLOOKUP($A$1377,INDIRECT("notes_"&amp;LEFT($A$1377,3)),4,0)),0,VLOOKUP($A$1377,INDIRECT("notes_"&amp;LEFT($A$1377,3)),4,0))</f>
        <v>0</v>
      </c>
    </row>
    <row r="1490" spans="1:3" x14ac:dyDescent="0.25">
      <c r="A1490" s="787" t="s">
        <v>3919</v>
      </c>
      <c r="B1490" s="789">
        <f>IF('RO5'!F$72="","",'RO5'!F$72)</f>
        <v>0</v>
      </c>
      <c r="C1490" s="790">
        <f ca="1">IF(ISERROR(VLOOKUP($A$1378,INDIRECT("notes_"&amp;LEFT($A$1378,3)),4,0)),0,VLOOKUP($A$1378,INDIRECT("notes_"&amp;LEFT($A$1378,3)),4,0))</f>
        <v>0</v>
      </c>
    </row>
    <row r="1491" spans="1:3" x14ac:dyDescent="0.25">
      <c r="A1491" s="787" t="s">
        <v>3920</v>
      </c>
      <c r="B1491" s="789">
        <f>IF('RO5'!F$73="","",'RO5'!F$73)</f>
        <v>0</v>
      </c>
      <c r="C1491" s="790">
        <f ca="1">IF(ISERROR(VLOOKUP($A$1379,INDIRECT("notes_"&amp;LEFT($A$1379,3)),4,0)),0,VLOOKUP($A$1379,INDIRECT("notes_"&amp;LEFT($A$1379,3)),4,0))</f>
        <v>0</v>
      </c>
    </row>
    <row r="1492" spans="1:3" x14ac:dyDescent="0.25">
      <c r="A1492" s="787" t="s">
        <v>3921</v>
      </c>
      <c r="B1492" s="789">
        <f>IF('RO5'!F$74="","",'RO5'!F$74)</f>
        <v>0</v>
      </c>
      <c r="C1492" s="790">
        <f ca="1">IF(ISERROR(VLOOKUP($A$1380,INDIRECT("notes_"&amp;LEFT($A$1380,3)),4,0)),0,VLOOKUP($A$1380,INDIRECT("notes_"&amp;LEFT($A$1380,3)),4,0))</f>
        <v>0</v>
      </c>
    </row>
    <row r="1493" spans="1:3" x14ac:dyDescent="0.25">
      <c r="A1493" s="787" t="s">
        <v>3922</v>
      </c>
      <c r="B1493" s="789">
        <f>IF('RO5'!F$77="","",'RO5'!F$77)</f>
        <v>0</v>
      </c>
      <c r="C1493" s="790">
        <f ca="1">IF(ISERROR(VLOOKUP($A$1381,INDIRECT("notes_"&amp;LEFT($A$1381,3)),4,0)),0,VLOOKUP($A$1381,INDIRECT("notes_"&amp;LEFT($A$1381,3)),4,0))</f>
        <v>0</v>
      </c>
    </row>
    <row r="1494" spans="1:3" x14ac:dyDescent="0.25">
      <c r="A1494" s="787" t="s">
        <v>3923</v>
      </c>
      <c r="B1494" s="789">
        <f>IF('RO5'!F$78="","",'RO5'!F$78)</f>
        <v>0</v>
      </c>
      <c r="C1494" s="790">
        <f ca="1">IF(ISERROR(VLOOKUP($A$1382,INDIRECT("notes_"&amp;LEFT($A$1382,3)),4,0)),0,VLOOKUP($A$1382,INDIRECT("notes_"&amp;LEFT($A$1382,3)),4,0))</f>
        <v>0</v>
      </c>
    </row>
    <row r="1495" spans="1:3" x14ac:dyDescent="0.25">
      <c r="A1495" s="787" t="s">
        <v>3924</v>
      </c>
      <c r="B1495" s="789">
        <f>IF('RO5'!F$79="","",'RO5'!F$79)</f>
        <v>0</v>
      </c>
      <c r="C1495" s="790">
        <f ca="1">IF(ISERROR(VLOOKUP($A$1383,INDIRECT("notes_"&amp;LEFT($A$1383,3)),4,0)),0,VLOOKUP($A$1383,INDIRECT("notes_"&amp;LEFT($A$1383,3)),4,0))</f>
        <v>0</v>
      </c>
    </row>
    <row r="1496" spans="1:3" x14ac:dyDescent="0.25">
      <c r="A1496" s="787" t="s">
        <v>3925</v>
      </c>
      <c r="B1496" s="789">
        <f>IF('RO5'!F$82="","",'RO5'!F$82)</f>
        <v>0</v>
      </c>
      <c r="C1496" s="790">
        <f ca="1">IF(ISERROR(VLOOKUP($A$1384,INDIRECT("notes_"&amp;LEFT($A$1384,3)),4,0)),0,VLOOKUP($A$1384,INDIRECT("notes_"&amp;LEFT($A$1384,3)),4,0))</f>
        <v>0</v>
      </c>
    </row>
    <row r="1497" spans="1:3" x14ac:dyDescent="0.25">
      <c r="A1497" s="787" t="s">
        <v>3926</v>
      </c>
      <c r="B1497" s="789">
        <f>IF('RO5'!F$83="","",'RO5'!F$83)</f>
        <v>0</v>
      </c>
      <c r="C1497" s="790">
        <f ca="1">IF(ISERROR(VLOOKUP($A$1385,INDIRECT("notes_"&amp;LEFT($A$1385,3)),4,0)),0,VLOOKUP($A$1385,INDIRECT("notes_"&amp;LEFT($A$1385,3)),4,0))</f>
        <v>0</v>
      </c>
    </row>
    <row r="1498" spans="1:3" x14ac:dyDescent="0.25">
      <c r="A1498" s="787" t="s">
        <v>3927</v>
      </c>
      <c r="B1498" s="789">
        <f>IF('RO5'!F$84="","",'RO5'!F$84)</f>
        <v>0</v>
      </c>
      <c r="C1498" s="790">
        <f ca="1">IF(ISERROR(VLOOKUP($A$1386,INDIRECT("notes_"&amp;LEFT($A$1386,3)),4,0)),0,VLOOKUP($A$1386,INDIRECT("notes_"&amp;LEFT($A$1386,3)),4,0))</f>
        <v>0</v>
      </c>
    </row>
    <row r="1499" spans="1:3" x14ac:dyDescent="0.25">
      <c r="A1499" s="787" t="s">
        <v>3928</v>
      </c>
      <c r="B1499" s="789">
        <f>IF('RO5'!F$85="","",'RO5'!F$85)</f>
        <v>0</v>
      </c>
      <c r="C1499" s="790">
        <f ca="1">IF(ISERROR(VLOOKUP($A$1387,INDIRECT("notes_"&amp;LEFT($A$1387,3)),4,0)),0,VLOOKUP($A$1387,INDIRECT("notes_"&amp;LEFT($A$1387,3)),4,0))</f>
        <v>0</v>
      </c>
    </row>
    <row r="1500" spans="1:3" x14ac:dyDescent="0.25">
      <c r="A1500" s="787" t="s">
        <v>3929</v>
      </c>
      <c r="B1500" s="789">
        <f>IF('RO5'!F$87="","",'RO5'!F$87)</f>
        <v>0</v>
      </c>
      <c r="C1500" s="790">
        <f ca="1">IF(ISERROR(VLOOKUP($A$1388,INDIRECT("notes_"&amp;LEFT($A$1388,3)),4,0)),0,VLOOKUP($A$1388,INDIRECT("notes_"&amp;LEFT($A$1388,3)),4,0))</f>
        <v>0</v>
      </c>
    </row>
    <row r="1501" spans="1:3" x14ac:dyDescent="0.25">
      <c r="A1501" s="787" t="s">
        <v>3930</v>
      </c>
      <c r="B1501" s="789">
        <f>IF('RO5'!F$90="","",'RO5'!F$90)</f>
        <v>0</v>
      </c>
      <c r="C1501" s="790">
        <f ca="1">IF(ISERROR(VLOOKUP($A$1389,INDIRECT("notes_"&amp;LEFT($A$1389,3)),4,0)),0,VLOOKUP($A$1389,INDIRECT("notes_"&amp;LEFT($A$1389,3)),4,0))</f>
        <v>0</v>
      </c>
    </row>
    <row r="1502" spans="1:3" x14ac:dyDescent="0.25">
      <c r="A1502" s="787" t="s">
        <v>3931</v>
      </c>
      <c r="B1502" s="789">
        <f>IF('RO5'!F$93="","",'RO5'!F$93)</f>
        <v>0</v>
      </c>
      <c r="C1502" s="790">
        <f ca="1">IF(ISERROR(VLOOKUP($A$1390,INDIRECT("notes_"&amp;LEFT($A$1390,3)),4,0)),0,VLOOKUP($A$1390,INDIRECT("notes_"&amp;LEFT($A$1390,3)),4,0))</f>
        <v>0</v>
      </c>
    </row>
    <row r="1503" spans="1:3" x14ac:dyDescent="0.25">
      <c r="A1503" s="787" t="s">
        <v>3932</v>
      </c>
      <c r="B1503" s="789">
        <f>IF('RO5'!F$94="","",'RO5'!F$94)</f>
        <v>0</v>
      </c>
      <c r="C1503" s="790">
        <f ca="1">IF(ISERROR(VLOOKUP($A$1391,INDIRECT("notes_"&amp;LEFT($A$1391,3)),4,0)),0,VLOOKUP($A$1391,INDIRECT("notes_"&amp;LEFT($A$1391,3)),4,0))</f>
        <v>0</v>
      </c>
    </row>
    <row r="1504" spans="1:3" x14ac:dyDescent="0.25">
      <c r="A1504" s="787" t="s">
        <v>3933</v>
      </c>
      <c r="B1504" s="789">
        <f>IF('RO5'!F$95="","",'RO5'!F$95)</f>
        <v>0</v>
      </c>
      <c r="C1504" s="790">
        <f ca="1">IF(ISERROR(VLOOKUP($A$1392,INDIRECT("notes_"&amp;LEFT($A$1392,3)),4,0)),0,VLOOKUP($A$1392,INDIRECT("notes_"&amp;LEFT($A$1392,3)),4,0))</f>
        <v>0</v>
      </c>
    </row>
    <row r="1505" spans="1:3" x14ac:dyDescent="0.25">
      <c r="A1505" s="787" t="s">
        <v>3934</v>
      </c>
      <c r="B1505" s="789">
        <f>IF('RO5'!F$96="","",'RO5'!F$96)</f>
        <v>0</v>
      </c>
      <c r="C1505" s="790">
        <f ca="1">IF(ISERROR(VLOOKUP($A$1393,INDIRECT("notes_"&amp;LEFT($A$1393,3)),4,0)),0,VLOOKUP($A$1393,INDIRECT("notes_"&amp;LEFT($A$1393,3)),4,0))</f>
        <v>0</v>
      </c>
    </row>
    <row r="1506" spans="1:3" x14ac:dyDescent="0.25">
      <c r="A1506" s="787" t="s">
        <v>3935</v>
      </c>
      <c r="B1506" s="789">
        <f>IF('RO5'!F$97="","",'RO5'!F$97)</f>
        <v>0</v>
      </c>
      <c r="C1506" s="790">
        <f ca="1">IF(ISERROR(VLOOKUP($A$1394,INDIRECT("notes_"&amp;LEFT($A$1394,3)),4,0)),0,VLOOKUP($A$1394,INDIRECT("notes_"&amp;LEFT($A$1394,3)),4,0))</f>
        <v>0</v>
      </c>
    </row>
    <row r="1507" spans="1:3" x14ac:dyDescent="0.25">
      <c r="A1507" s="787" t="s">
        <v>3936</v>
      </c>
      <c r="B1507" s="789">
        <f>IF('RO5'!F$98="","",'RO5'!F$98)</f>
        <v>0</v>
      </c>
      <c r="C1507" s="790">
        <f ca="1">IF(ISERROR(VLOOKUP($A$1395,INDIRECT("notes_"&amp;LEFT($A$1395,3)),4,0)),0,VLOOKUP($A$1395,INDIRECT("notes_"&amp;LEFT($A$1395,3)),4,0))</f>
        <v>0</v>
      </c>
    </row>
    <row r="1508" spans="1:3" x14ac:dyDescent="0.25">
      <c r="A1508" s="787" t="s">
        <v>3937</v>
      </c>
      <c r="B1508" s="789">
        <f>IF('RO5'!F$100="","",'RO5'!F$100)</f>
        <v>0</v>
      </c>
      <c r="C1508" s="790">
        <f ca="1">IF(ISERROR(VLOOKUP($A$1396,INDIRECT("notes_"&amp;LEFT($A$1396,3)),4,0)),0,VLOOKUP($A$1396,INDIRECT("notes_"&amp;LEFT($A$1396,3)),4,0))</f>
        <v>0</v>
      </c>
    </row>
    <row r="1509" spans="1:3" x14ac:dyDescent="0.25">
      <c r="A1509" s="787" t="s">
        <v>3938</v>
      </c>
      <c r="B1509" s="789">
        <f>IF('RO5'!F$108="","",'RO5'!F$108)</f>
        <v>0</v>
      </c>
      <c r="C1509" s="790">
        <f ca="1">IF(ISERROR(VLOOKUP($A$1397,INDIRECT("notes_"&amp;LEFT($A$1397,3)),4,0)),0,VLOOKUP($A$1397,INDIRECT("notes_"&amp;LEFT($A$1397,3)),4,0))</f>
        <v>0</v>
      </c>
    </row>
    <row r="1510" spans="1:3" x14ac:dyDescent="0.25">
      <c r="A1510" s="787" t="s">
        <v>3939</v>
      </c>
      <c r="B1510" s="789">
        <f>IF('RO5'!F$110="","",'RO5'!F$110)</f>
        <v>0</v>
      </c>
      <c r="C1510" s="790">
        <f ca="1">IF(ISERROR(VLOOKUP($A$1398,INDIRECT("notes_"&amp;LEFT($A$1398,3)),4,0)),0,VLOOKUP($A$1398,INDIRECT("notes_"&amp;LEFT($A$1398,3)),4,0))</f>
        <v>0</v>
      </c>
    </row>
    <row r="1511" spans="1:3" x14ac:dyDescent="0.25">
      <c r="A1511" s="787" t="s">
        <v>3940</v>
      </c>
      <c r="B1511" s="789">
        <f>IF('RO5'!F$113="","",'RO5'!F$113)</f>
        <v>0</v>
      </c>
      <c r="C1511" s="790">
        <f ca="1">IF(ISERROR(VLOOKUP($A$1399,INDIRECT("notes_"&amp;LEFT($A$1399,3)),4,0)),0,VLOOKUP($A$1399,INDIRECT("notes_"&amp;LEFT($A$1399,3)),4,0))</f>
        <v>0</v>
      </c>
    </row>
    <row r="1512" spans="1:3" x14ac:dyDescent="0.25">
      <c r="A1512" s="787" t="s">
        <v>3941</v>
      </c>
      <c r="B1512" s="789">
        <f>IF('RO5'!F$114="","",'RO5'!F$114)</f>
        <v>0</v>
      </c>
      <c r="C1512" s="790">
        <f ca="1">IF(ISERROR(VLOOKUP($A$1400,INDIRECT("notes_"&amp;LEFT($A$1400,3)),4,0)),0,VLOOKUP($A$1400,INDIRECT("notes_"&amp;LEFT($A$1400,3)),4,0))</f>
        <v>0</v>
      </c>
    </row>
    <row r="1513" spans="1:3" x14ac:dyDescent="0.25">
      <c r="A1513" s="787" t="s">
        <v>3942</v>
      </c>
      <c r="B1513" s="789">
        <f>IF('RO5'!F$116="","",'RO5'!F$116)</f>
        <v>0</v>
      </c>
      <c r="C1513" s="790">
        <f ca="1">IF(ISERROR(VLOOKUP($A$1401,INDIRECT("notes_"&amp;LEFT($A$1401,3)),4,0)),0,VLOOKUP($A$1401,INDIRECT("notes_"&amp;LEFT($A$1401,3)),4,0))</f>
        <v>0</v>
      </c>
    </row>
    <row r="1514" spans="1:3" x14ac:dyDescent="0.25">
      <c r="A1514" s="787" t="s">
        <v>3943</v>
      </c>
      <c r="B1514" s="789">
        <f>IF('RO5'!F$118="","",'RO5'!F$118)</f>
        <v>0</v>
      </c>
      <c r="C1514" s="790">
        <f ca="1">IF(ISERROR(VLOOKUP($A$1402,INDIRECT("notes_"&amp;LEFT($A$1402,3)),4,0)),0,VLOOKUP($A$1402,INDIRECT("notes_"&amp;LEFT($A$1402,3)),4,0))</f>
        <v>0</v>
      </c>
    </row>
    <row r="1515" spans="1:3" x14ac:dyDescent="0.25">
      <c r="A1515" s="787" t="s">
        <v>3944</v>
      </c>
      <c r="B1515" s="789">
        <f>IF('RO5'!F$119="","",'RO5'!F$119)</f>
        <v>0</v>
      </c>
      <c r="C1515" s="790">
        <f ca="1">IF(ISERROR(VLOOKUP($A$1403,INDIRECT("notes_"&amp;LEFT($A$1403,3)),4,0)),0,VLOOKUP($A$1403,INDIRECT("notes_"&amp;LEFT($A$1403,3)),4,0))</f>
        <v>0</v>
      </c>
    </row>
    <row r="1516" spans="1:3" x14ac:dyDescent="0.25">
      <c r="A1516" s="787" t="s">
        <v>3945</v>
      </c>
      <c r="B1516" s="789">
        <f>IF('RO5'!F$120="","",'RO5'!F$120)</f>
        <v>0</v>
      </c>
      <c r="C1516" s="790">
        <f ca="1">IF(ISERROR(VLOOKUP($A$1404,INDIRECT("notes_"&amp;LEFT($A$1404,3)),4,0)),0,VLOOKUP($A$1404,INDIRECT("notes_"&amp;LEFT($A$1404,3)),4,0))</f>
        <v>0</v>
      </c>
    </row>
    <row r="1517" spans="1:3" x14ac:dyDescent="0.25">
      <c r="A1517" s="787" t="s">
        <v>3946</v>
      </c>
      <c r="B1517" s="789">
        <f>IF('RO5'!F$122="","",'RO5'!F$122)</f>
        <v>0</v>
      </c>
      <c r="C1517" s="790">
        <f ca="1">IF(ISERROR(VLOOKUP($A$1405,INDIRECT("notes_"&amp;LEFT($A$1405,3)),4,0)),0,VLOOKUP($A$1405,INDIRECT("notes_"&amp;LEFT($A$1405,3)),4,0))</f>
        <v>0</v>
      </c>
    </row>
    <row r="1518" spans="1:3" x14ac:dyDescent="0.25">
      <c r="A1518" s="787" t="s">
        <v>3947</v>
      </c>
      <c r="B1518" s="789">
        <f>IF('RO5'!F$124="","",'RO5'!F$124)</f>
        <v>0</v>
      </c>
      <c r="C1518" s="790">
        <f ca="1">IF(ISERROR(VLOOKUP($A$1406,INDIRECT("notes_"&amp;LEFT($A$1406,3)),4,0)),0,VLOOKUP($A$1406,INDIRECT("notes_"&amp;LEFT($A$1406,3)),4,0))</f>
        <v>0</v>
      </c>
    </row>
    <row r="1519" spans="1:3" x14ac:dyDescent="0.25">
      <c r="A1519" s="787" t="s">
        <v>3948</v>
      </c>
      <c r="B1519" s="789">
        <f>IF('RO5'!F$130="","",'RO5'!F$130)</f>
        <v>0</v>
      </c>
      <c r="C1519" s="790">
        <f ca="1">IF(ISERROR(VLOOKUP($A$1407,INDIRECT("notes_"&amp;LEFT($A$1407,3)),4,0)),0,VLOOKUP($A$1407,INDIRECT("notes_"&amp;LEFT($A$1407,3)),4,0))</f>
        <v>0</v>
      </c>
    </row>
    <row r="1520" spans="1:3" x14ac:dyDescent="0.25">
      <c r="A1520" s="787" t="s">
        <v>3949</v>
      </c>
      <c r="B1520" s="789" t="str">
        <f>IF('RO5'!G$32="","",'RO5'!G$32)</f>
        <v/>
      </c>
      <c r="C1520" s="790">
        <f ca="1">IF(ISERROR(VLOOKUP($A$1354,INDIRECT("notes_"&amp;LEFT($A$1354,3)),4,0)),0,VLOOKUP($A$1354,INDIRECT("notes_"&amp;LEFT($A$1354,3)),4,0))</f>
        <v>0</v>
      </c>
    </row>
    <row r="1521" spans="1:3" x14ac:dyDescent="0.25">
      <c r="A1521" s="787" t="s">
        <v>3950</v>
      </c>
      <c r="B1521" s="789" t="str">
        <f>IF('RO5'!G$33="","",'RO5'!G$33)</f>
        <v/>
      </c>
      <c r="C1521" s="790">
        <f ca="1">IF(ISERROR(VLOOKUP($A$1355,INDIRECT("notes_"&amp;LEFT($A$1355,3)),4,0)),0,VLOOKUP($A$1355,INDIRECT("notes_"&amp;LEFT($A$1355,3)),4,0))</f>
        <v>0</v>
      </c>
    </row>
    <row r="1522" spans="1:3" x14ac:dyDescent="0.25">
      <c r="A1522" s="787" t="s">
        <v>3951</v>
      </c>
      <c r="B1522" s="789" t="str">
        <f>IF('RO5'!G$34="","",'RO5'!G$34)</f>
        <v/>
      </c>
      <c r="C1522" s="790">
        <f ca="1">IF(ISERROR(VLOOKUP($A$1356,INDIRECT("notes_"&amp;LEFT($A$1356,3)),4,0)),0,VLOOKUP($A$1356,INDIRECT("notes_"&amp;LEFT($A$1356,3)),4,0))</f>
        <v>0</v>
      </c>
    </row>
    <row r="1523" spans="1:3" x14ac:dyDescent="0.25">
      <c r="A1523" s="787" t="s">
        <v>3952</v>
      </c>
      <c r="B1523" s="789" t="str">
        <f>IF('RO5'!G$35="","",'RO5'!G$35)</f>
        <v/>
      </c>
      <c r="C1523" s="790">
        <f ca="1">IF(ISERROR(VLOOKUP($A$1357,INDIRECT("notes_"&amp;LEFT($A$1357,3)),4,0)),0,VLOOKUP($A$1357,INDIRECT("notes_"&amp;LEFT($A$1357,3)),4,0))</f>
        <v>0</v>
      </c>
    </row>
    <row r="1524" spans="1:3" x14ac:dyDescent="0.25">
      <c r="A1524" s="787" t="s">
        <v>3953</v>
      </c>
      <c r="B1524" s="789" t="str">
        <f>IF('RO5'!G$36="","",'RO5'!G$36)</f>
        <v/>
      </c>
      <c r="C1524" s="790">
        <f ca="1">IF(ISERROR(VLOOKUP($A$1358,INDIRECT("notes_"&amp;LEFT($A$1358,3)),4,0)),0,VLOOKUP($A$1358,INDIRECT("notes_"&amp;LEFT($A$1358,3)),4,0))</f>
        <v>0</v>
      </c>
    </row>
    <row r="1525" spans="1:3" x14ac:dyDescent="0.25">
      <c r="A1525" s="787" t="s">
        <v>3954</v>
      </c>
      <c r="B1525" s="789" t="str">
        <f>IF('RO5'!G$39="","",'RO5'!G$39)</f>
        <v/>
      </c>
      <c r="C1525" s="790">
        <f ca="1">IF(ISERROR(VLOOKUP($A$1359,INDIRECT("notes_"&amp;LEFT($A$1359,3)),4,0)),0,VLOOKUP($A$1359,INDIRECT("notes_"&amp;LEFT($A$1359,3)),4,0))</f>
        <v>0</v>
      </c>
    </row>
    <row r="1526" spans="1:3" x14ac:dyDescent="0.25">
      <c r="A1526" s="787" t="s">
        <v>3955</v>
      </c>
      <c r="B1526" s="789" t="str">
        <f>IF('RO5'!G$40="","",'RO5'!G$40)</f>
        <v/>
      </c>
      <c r="C1526" s="790">
        <f ca="1">IF(ISERROR(VLOOKUP($A$1360,INDIRECT("notes_"&amp;LEFT($A$1360,3)),4,0)),0,VLOOKUP($A$1360,INDIRECT("notes_"&amp;LEFT($A$1360,3)),4,0))</f>
        <v>0</v>
      </c>
    </row>
    <row r="1527" spans="1:3" x14ac:dyDescent="0.25">
      <c r="A1527" s="787" t="s">
        <v>3956</v>
      </c>
      <c r="B1527" s="789" t="str">
        <f>IF('RO5'!G$41="","",'RO5'!G$41)</f>
        <v/>
      </c>
      <c r="C1527" s="790">
        <f ca="1">IF(ISERROR(VLOOKUP($A$1361,INDIRECT("notes_"&amp;LEFT($A$1361,3)),4,0)),0,VLOOKUP($A$1361,INDIRECT("notes_"&amp;LEFT($A$1361,3)),4,0))</f>
        <v>0</v>
      </c>
    </row>
    <row r="1528" spans="1:3" x14ac:dyDescent="0.25">
      <c r="A1528" s="787" t="s">
        <v>3957</v>
      </c>
      <c r="B1528" s="789" t="str">
        <f>IF('RO5'!G$42="","",'RO5'!G$42)</f>
        <v/>
      </c>
      <c r="C1528" s="790">
        <f ca="1">IF(ISERROR(VLOOKUP($A$1362,INDIRECT("notes_"&amp;LEFT($A$1362,3)),4,0)),0,VLOOKUP($A$1362,INDIRECT("notes_"&amp;LEFT($A$1362,3)),4,0))</f>
        <v>0</v>
      </c>
    </row>
    <row r="1529" spans="1:3" x14ac:dyDescent="0.25">
      <c r="A1529" s="787" t="s">
        <v>3958</v>
      </c>
      <c r="B1529" s="789" t="str">
        <f>IF('RO5'!G$44="","",'RO5'!G$44)</f>
        <v/>
      </c>
      <c r="C1529" s="790">
        <f ca="1">IF(ISERROR(VLOOKUP($A$1363,INDIRECT("notes_"&amp;LEFT($A$1363,3)),4,0)),0,VLOOKUP($A$1363,INDIRECT("notes_"&amp;LEFT($A$1363,3)),4,0))</f>
        <v>0</v>
      </c>
    </row>
    <row r="1530" spans="1:3" x14ac:dyDescent="0.25">
      <c r="A1530" s="787" t="s">
        <v>3959</v>
      </c>
      <c r="B1530" s="789" t="str">
        <f>IF('RO5'!G$46="","",'RO5'!G$46)</f>
        <v/>
      </c>
      <c r="C1530" s="790">
        <f ca="1">IF(ISERROR(VLOOKUP($A$1364,INDIRECT("notes_"&amp;LEFT($A$1364,3)),4,0)),0,VLOOKUP($A$1364,INDIRECT("notes_"&amp;LEFT($A$1364,3)),4,0))</f>
        <v>0</v>
      </c>
    </row>
    <row r="1531" spans="1:3" x14ac:dyDescent="0.25">
      <c r="A1531" s="787" t="s">
        <v>3960</v>
      </c>
      <c r="B1531" s="789" t="str">
        <f>IF('RO5'!G$48="","",'RO5'!G$48)</f>
        <v/>
      </c>
      <c r="C1531" s="790">
        <f ca="1">IF(ISERROR(VLOOKUP($A$1365,INDIRECT("notes_"&amp;LEFT($A$1365,3)),4,0)),0,VLOOKUP($A$1365,INDIRECT("notes_"&amp;LEFT($A$1365,3)),4,0))</f>
        <v>0</v>
      </c>
    </row>
    <row r="1532" spans="1:3" x14ac:dyDescent="0.25">
      <c r="A1532" s="787" t="s">
        <v>3961</v>
      </c>
      <c r="B1532" s="789" t="str">
        <f>IF('RO5'!G$50="","",'RO5'!G$50)</f>
        <v/>
      </c>
      <c r="C1532" s="790">
        <f ca="1">IF(ISERROR(VLOOKUP($A$1366,INDIRECT("notes_"&amp;LEFT($A$1366,3)),4,0)),0,VLOOKUP($A$1366,INDIRECT("notes_"&amp;LEFT($A$1366,3)),4,0))</f>
        <v>0</v>
      </c>
    </row>
    <row r="1533" spans="1:3" x14ac:dyDescent="0.25">
      <c r="A1533" s="787" t="s">
        <v>3962</v>
      </c>
      <c r="B1533" s="789">
        <f>IF('RO5'!G$52="","",'RO5'!G$52)</f>
        <v>0</v>
      </c>
      <c r="C1533" s="790">
        <f ca="1">IF(ISERROR(VLOOKUP($A$1367,INDIRECT("notes_"&amp;LEFT($A$1367,3)),4,0)),0,VLOOKUP($A$1367,INDIRECT("notes_"&amp;LEFT($A$1367,3)),4,0))</f>
        <v>0</v>
      </c>
    </row>
    <row r="1534" spans="1:3" x14ac:dyDescent="0.25">
      <c r="A1534" s="787" t="s">
        <v>3963</v>
      </c>
      <c r="B1534" s="789" t="str">
        <f>IF('RO5'!G$60="","",'RO5'!G$60)</f>
        <v/>
      </c>
      <c r="C1534" s="790">
        <f ca="1">IF(ISERROR(VLOOKUP($A$1368,INDIRECT("notes_"&amp;LEFT($A$1368,3)),4,0)),0,VLOOKUP($A$1368,INDIRECT("notes_"&amp;LEFT($A$1368,3)),4,0))</f>
        <v>0</v>
      </c>
    </row>
    <row r="1535" spans="1:3" x14ac:dyDescent="0.25">
      <c r="A1535" s="787" t="s">
        <v>3964</v>
      </c>
      <c r="B1535" s="789" t="str">
        <f>IF('RO5'!G$63="","",'RO5'!G$63)</f>
        <v/>
      </c>
      <c r="C1535" s="790">
        <f ca="1">IF(ISERROR(VLOOKUP($A$1369,INDIRECT("notes_"&amp;LEFT($A$1369,3)),4,0)),0,VLOOKUP($A$1369,INDIRECT("notes_"&amp;LEFT($A$1369,3)),4,0))</f>
        <v>0</v>
      </c>
    </row>
    <row r="1536" spans="1:3" x14ac:dyDescent="0.25">
      <c r="A1536" s="787" t="s">
        <v>3965</v>
      </c>
      <c r="B1536" s="789" t="str">
        <f>IF('RO5'!G$64="","",'RO5'!G$64)</f>
        <v/>
      </c>
      <c r="C1536" s="790">
        <f ca="1">IF(ISERROR(VLOOKUP($A$1370,INDIRECT("notes_"&amp;LEFT($A$1370,3)),4,0)),0,VLOOKUP($A$1370,INDIRECT("notes_"&amp;LEFT($A$1370,3)),4,0))</f>
        <v>0</v>
      </c>
    </row>
    <row r="1537" spans="1:3" x14ac:dyDescent="0.25">
      <c r="A1537" s="787" t="s">
        <v>3966</v>
      </c>
      <c r="B1537" s="789" t="str">
        <f>IF('RO5'!G$65="","",'RO5'!G$65)</f>
        <v/>
      </c>
      <c r="C1537" s="790">
        <f ca="1">IF(ISERROR(VLOOKUP($A$1371,INDIRECT("notes_"&amp;LEFT($A$1371,3)),4,0)),0,VLOOKUP($A$1371,INDIRECT("notes_"&amp;LEFT($A$1371,3)),4,0))</f>
        <v>0</v>
      </c>
    </row>
    <row r="1538" spans="1:3" x14ac:dyDescent="0.25">
      <c r="A1538" s="787" t="s">
        <v>3967</v>
      </c>
      <c r="B1538" s="789" t="str">
        <f>IF('RO5'!G$66="","",'RO5'!G$66)</f>
        <v/>
      </c>
      <c r="C1538" s="790">
        <f ca="1">IF(ISERROR(VLOOKUP($A$1372,INDIRECT("notes_"&amp;LEFT($A$1372,3)),4,0)),0,VLOOKUP($A$1372,INDIRECT("notes_"&amp;LEFT($A$1372,3)),4,0))</f>
        <v>0</v>
      </c>
    </row>
    <row r="1539" spans="1:3" x14ac:dyDescent="0.25">
      <c r="A1539" s="787" t="s">
        <v>3968</v>
      </c>
      <c r="B1539" s="789" t="str">
        <f>IF('RO5'!G$67="","",'RO5'!G$67)</f>
        <v/>
      </c>
      <c r="C1539" s="790">
        <f ca="1">IF(ISERROR(VLOOKUP($A$1373,INDIRECT("notes_"&amp;LEFT($A$1373,3)),4,0)),0,VLOOKUP($A$1373,INDIRECT("notes_"&amp;LEFT($A$1373,3)),4,0))</f>
        <v>0</v>
      </c>
    </row>
    <row r="1540" spans="1:3" x14ac:dyDescent="0.25">
      <c r="A1540" s="787" t="s">
        <v>3969</v>
      </c>
      <c r="B1540" s="789" t="str">
        <f>IF('RO5'!G$68="","",'RO5'!G$68)</f>
        <v/>
      </c>
      <c r="C1540" s="790">
        <f ca="1">IF(ISERROR(VLOOKUP($A$1374,INDIRECT("notes_"&amp;LEFT($A$1374,3)),4,0)),0,VLOOKUP($A$1374,INDIRECT("notes_"&amp;LEFT($A$1374,3)),4,0))</f>
        <v>0</v>
      </c>
    </row>
    <row r="1541" spans="1:3" x14ac:dyDescent="0.25">
      <c r="A1541" s="787" t="s">
        <v>3970</v>
      </c>
      <c r="B1541" s="789" t="str">
        <f>IF('RO5'!G$69="","",'RO5'!G$69)</f>
        <v/>
      </c>
      <c r="C1541" s="790">
        <f ca="1">IF(ISERROR(VLOOKUP($A$1375,INDIRECT("notes_"&amp;LEFT($A$1375,3)),4,0)),0,VLOOKUP($A$1375,INDIRECT("notes_"&amp;LEFT($A$1375,3)),4,0))</f>
        <v>0</v>
      </c>
    </row>
    <row r="1542" spans="1:3" x14ac:dyDescent="0.25">
      <c r="A1542" s="787" t="s">
        <v>3971</v>
      </c>
      <c r="B1542" s="789" t="str">
        <f>IF('RO5'!G$70="","",'RO5'!G$70)</f>
        <v/>
      </c>
      <c r="C1542" s="790">
        <f ca="1">IF(ISERROR(VLOOKUP($A$1376,INDIRECT("notes_"&amp;LEFT($A$1376,3)),4,0)),0,VLOOKUP($A$1376,INDIRECT("notes_"&amp;LEFT($A$1376,3)),4,0))</f>
        <v>0</v>
      </c>
    </row>
    <row r="1543" spans="1:3" x14ac:dyDescent="0.25">
      <c r="A1543" s="787" t="s">
        <v>3972</v>
      </c>
      <c r="B1543" s="789" t="str">
        <f>IF('RO5'!G$71="","",'RO5'!G$71)</f>
        <v/>
      </c>
      <c r="C1543" s="790">
        <f ca="1">IF(ISERROR(VLOOKUP($A$1377,INDIRECT("notes_"&amp;LEFT($A$1377,3)),4,0)),0,VLOOKUP($A$1377,INDIRECT("notes_"&amp;LEFT($A$1377,3)),4,0))</f>
        <v>0</v>
      </c>
    </row>
    <row r="1544" spans="1:3" x14ac:dyDescent="0.25">
      <c r="A1544" s="787" t="s">
        <v>3973</v>
      </c>
      <c r="B1544" s="789" t="str">
        <f>IF('RO5'!G$72="","",'RO5'!G$72)</f>
        <v/>
      </c>
      <c r="C1544" s="790">
        <f ca="1">IF(ISERROR(VLOOKUP($A$1378,INDIRECT("notes_"&amp;LEFT($A$1378,3)),4,0)),0,VLOOKUP($A$1378,INDIRECT("notes_"&amp;LEFT($A$1378,3)),4,0))</f>
        <v>0</v>
      </c>
    </row>
    <row r="1545" spans="1:3" x14ac:dyDescent="0.25">
      <c r="A1545" s="787" t="s">
        <v>3974</v>
      </c>
      <c r="B1545" s="789" t="str">
        <f>IF('RO5'!G$73="","",'RO5'!G$73)</f>
        <v/>
      </c>
      <c r="C1545" s="790">
        <f ca="1">IF(ISERROR(VLOOKUP($A$1379,INDIRECT("notes_"&amp;LEFT($A$1379,3)),4,0)),0,VLOOKUP($A$1379,INDIRECT("notes_"&amp;LEFT($A$1379,3)),4,0))</f>
        <v>0</v>
      </c>
    </row>
    <row r="1546" spans="1:3" x14ac:dyDescent="0.25">
      <c r="A1546" s="787" t="s">
        <v>3975</v>
      </c>
      <c r="B1546" s="789" t="str">
        <f>IF('RO5'!G$74="","",'RO5'!G$74)</f>
        <v/>
      </c>
      <c r="C1546" s="790">
        <f ca="1">IF(ISERROR(VLOOKUP($A$1380,INDIRECT("notes_"&amp;LEFT($A$1380,3)),4,0)),0,VLOOKUP($A$1380,INDIRECT("notes_"&amp;LEFT($A$1380,3)),4,0))</f>
        <v>0</v>
      </c>
    </row>
    <row r="1547" spans="1:3" x14ac:dyDescent="0.25">
      <c r="A1547" s="787" t="s">
        <v>3976</v>
      </c>
      <c r="B1547" s="789" t="str">
        <f>IF('RO5'!G$77="","",'RO5'!G$77)</f>
        <v/>
      </c>
      <c r="C1547" s="790">
        <f ca="1">IF(ISERROR(VLOOKUP($A$1381,INDIRECT("notes_"&amp;LEFT($A$1381,3)),4,0)),0,VLOOKUP($A$1381,INDIRECT("notes_"&amp;LEFT($A$1381,3)),4,0))</f>
        <v>0</v>
      </c>
    </row>
    <row r="1548" spans="1:3" x14ac:dyDescent="0.25">
      <c r="A1548" s="787" t="s">
        <v>3977</v>
      </c>
      <c r="B1548" s="789" t="str">
        <f>IF('RO5'!G$78="","",'RO5'!G$78)</f>
        <v/>
      </c>
      <c r="C1548" s="790">
        <f ca="1">IF(ISERROR(VLOOKUP($A$1382,INDIRECT("notes_"&amp;LEFT($A$1382,3)),4,0)),0,VLOOKUP($A$1382,INDIRECT("notes_"&amp;LEFT($A$1382,3)),4,0))</f>
        <v>0</v>
      </c>
    </row>
    <row r="1549" spans="1:3" x14ac:dyDescent="0.25">
      <c r="A1549" s="787" t="s">
        <v>3978</v>
      </c>
      <c r="B1549" s="789" t="str">
        <f>IF('RO5'!G$79="","",'RO5'!G$79)</f>
        <v/>
      </c>
      <c r="C1549" s="790">
        <f ca="1">IF(ISERROR(VLOOKUP($A$1383,INDIRECT("notes_"&amp;LEFT($A$1383,3)),4,0)),0,VLOOKUP($A$1383,INDIRECT("notes_"&amp;LEFT($A$1383,3)),4,0))</f>
        <v>0</v>
      </c>
    </row>
    <row r="1550" spans="1:3" x14ac:dyDescent="0.25">
      <c r="A1550" s="787" t="s">
        <v>3979</v>
      </c>
      <c r="B1550" s="789" t="str">
        <f>IF('RO5'!G$82="","",'RO5'!G$82)</f>
        <v/>
      </c>
      <c r="C1550" s="790">
        <f ca="1">IF(ISERROR(VLOOKUP($A$1384,INDIRECT("notes_"&amp;LEFT($A$1384,3)),4,0)),0,VLOOKUP($A$1384,INDIRECT("notes_"&amp;LEFT($A$1384,3)),4,0))</f>
        <v>0</v>
      </c>
    </row>
    <row r="1551" spans="1:3" x14ac:dyDescent="0.25">
      <c r="A1551" s="787" t="s">
        <v>3980</v>
      </c>
      <c r="B1551" s="789" t="str">
        <f>IF('RO5'!G$83="","",'RO5'!G$83)</f>
        <v/>
      </c>
      <c r="C1551" s="790">
        <f ca="1">IF(ISERROR(VLOOKUP($A$1385,INDIRECT("notes_"&amp;LEFT($A$1385,3)),4,0)),0,VLOOKUP($A$1385,INDIRECT("notes_"&amp;LEFT($A$1385,3)),4,0))</f>
        <v>0</v>
      </c>
    </row>
    <row r="1552" spans="1:3" x14ac:dyDescent="0.25">
      <c r="A1552" s="787" t="s">
        <v>3981</v>
      </c>
      <c r="B1552" s="789" t="str">
        <f>IF('RO5'!G$84="","",'RO5'!G$84)</f>
        <v/>
      </c>
      <c r="C1552" s="790">
        <f ca="1">IF(ISERROR(VLOOKUP($A$1386,INDIRECT("notes_"&amp;LEFT($A$1386,3)),4,0)),0,VLOOKUP($A$1386,INDIRECT("notes_"&amp;LEFT($A$1386,3)),4,0))</f>
        <v>0</v>
      </c>
    </row>
    <row r="1553" spans="1:3" x14ac:dyDescent="0.25">
      <c r="A1553" s="787" t="s">
        <v>3982</v>
      </c>
      <c r="B1553" s="789" t="str">
        <f>IF('RO5'!G$85="","",'RO5'!G$85)</f>
        <v/>
      </c>
      <c r="C1553" s="790">
        <f ca="1">IF(ISERROR(VLOOKUP($A$1387,INDIRECT("notes_"&amp;LEFT($A$1387,3)),4,0)),0,VLOOKUP($A$1387,INDIRECT("notes_"&amp;LEFT($A$1387,3)),4,0))</f>
        <v>0</v>
      </c>
    </row>
    <row r="1554" spans="1:3" x14ac:dyDescent="0.25">
      <c r="A1554" s="787" t="s">
        <v>3983</v>
      </c>
      <c r="B1554" s="789" t="str">
        <f>IF('RO5'!G$87="","",'RO5'!G$87)</f>
        <v/>
      </c>
      <c r="C1554" s="790">
        <f ca="1">IF(ISERROR(VLOOKUP($A$1388,INDIRECT("notes_"&amp;LEFT($A$1388,3)),4,0)),0,VLOOKUP($A$1388,INDIRECT("notes_"&amp;LEFT($A$1388,3)),4,0))</f>
        <v>0</v>
      </c>
    </row>
    <row r="1555" spans="1:3" x14ac:dyDescent="0.25">
      <c r="A1555" s="787" t="s">
        <v>3984</v>
      </c>
      <c r="B1555" s="789" t="str">
        <f>IF('RO5'!G$90="","",'RO5'!G$90)</f>
        <v/>
      </c>
      <c r="C1555" s="790">
        <f ca="1">IF(ISERROR(VLOOKUP($A$1389,INDIRECT("notes_"&amp;LEFT($A$1389,3)),4,0)),0,VLOOKUP($A$1389,INDIRECT("notes_"&amp;LEFT($A$1389,3)),4,0))</f>
        <v>0</v>
      </c>
    </row>
    <row r="1556" spans="1:3" x14ac:dyDescent="0.25">
      <c r="A1556" s="787" t="s">
        <v>3985</v>
      </c>
      <c r="B1556" s="789" t="str">
        <f>IF('RO5'!G$93="","",'RO5'!G$93)</f>
        <v/>
      </c>
      <c r="C1556" s="790">
        <f ca="1">IF(ISERROR(VLOOKUP($A$1390,INDIRECT("notes_"&amp;LEFT($A$1390,3)),4,0)),0,VLOOKUP($A$1390,INDIRECT("notes_"&amp;LEFT($A$1390,3)),4,0))</f>
        <v>0</v>
      </c>
    </row>
    <row r="1557" spans="1:3" x14ac:dyDescent="0.25">
      <c r="A1557" s="787" t="s">
        <v>3986</v>
      </c>
      <c r="B1557" s="789" t="str">
        <f>IF('RO5'!G$94="","",'RO5'!G$94)</f>
        <v/>
      </c>
      <c r="C1557" s="790">
        <f ca="1">IF(ISERROR(VLOOKUP($A$1391,INDIRECT("notes_"&amp;LEFT($A$1391,3)),4,0)),0,VLOOKUP($A$1391,INDIRECT("notes_"&amp;LEFT($A$1391,3)),4,0))</f>
        <v>0</v>
      </c>
    </row>
    <row r="1558" spans="1:3" x14ac:dyDescent="0.25">
      <c r="A1558" s="787" t="s">
        <v>3987</v>
      </c>
      <c r="B1558" s="789" t="str">
        <f>IF('RO5'!G$95="","",'RO5'!G$95)</f>
        <v/>
      </c>
      <c r="C1558" s="790">
        <f ca="1">IF(ISERROR(VLOOKUP($A$1392,INDIRECT("notes_"&amp;LEFT($A$1392,3)),4,0)),0,VLOOKUP($A$1392,INDIRECT("notes_"&amp;LEFT($A$1392,3)),4,0))</f>
        <v>0</v>
      </c>
    </row>
    <row r="1559" spans="1:3" x14ac:dyDescent="0.25">
      <c r="A1559" s="787" t="s">
        <v>3988</v>
      </c>
      <c r="B1559" s="789" t="str">
        <f>IF('RO5'!G$96="","",'RO5'!G$96)</f>
        <v/>
      </c>
      <c r="C1559" s="790">
        <f ca="1">IF(ISERROR(VLOOKUP($A$1393,INDIRECT("notes_"&amp;LEFT($A$1393,3)),4,0)),0,VLOOKUP($A$1393,INDIRECT("notes_"&amp;LEFT($A$1393,3)),4,0))</f>
        <v>0</v>
      </c>
    </row>
    <row r="1560" spans="1:3" x14ac:dyDescent="0.25">
      <c r="A1560" s="787" t="s">
        <v>3989</v>
      </c>
      <c r="B1560" s="789" t="str">
        <f>IF('RO5'!G$97="","",'RO5'!G$97)</f>
        <v/>
      </c>
      <c r="C1560" s="790">
        <f ca="1">IF(ISERROR(VLOOKUP($A$1394,INDIRECT("notes_"&amp;LEFT($A$1394,3)),4,0)),0,VLOOKUP($A$1394,INDIRECT("notes_"&amp;LEFT($A$1394,3)),4,0))</f>
        <v>0</v>
      </c>
    </row>
    <row r="1561" spans="1:3" x14ac:dyDescent="0.25">
      <c r="A1561" s="787" t="s">
        <v>3990</v>
      </c>
      <c r="B1561" s="789" t="str">
        <f>IF('RO5'!G$98="","",'RO5'!G$98)</f>
        <v/>
      </c>
      <c r="C1561" s="790">
        <f ca="1">IF(ISERROR(VLOOKUP($A$1395,INDIRECT("notes_"&amp;LEFT($A$1395,3)),4,0)),0,VLOOKUP($A$1395,INDIRECT("notes_"&amp;LEFT($A$1395,3)),4,0))</f>
        <v>0</v>
      </c>
    </row>
    <row r="1562" spans="1:3" x14ac:dyDescent="0.25">
      <c r="A1562" s="787" t="s">
        <v>3991</v>
      </c>
      <c r="B1562" s="789">
        <f>IF('RO5'!G$100="","",'RO5'!G$100)</f>
        <v>0</v>
      </c>
      <c r="C1562" s="790">
        <f ca="1">IF(ISERROR(VLOOKUP($A$1396,INDIRECT("notes_"&amp;LEFT($A$1396,3)),4,0)),0,VLOOKUP($A$1396,INDIRECT("notes_"&amp;LEFT($A$1396,3)),4,0))</f>
        <v>0</v>
      </c>
    </row>
    <row r="1563" spans="1:3" x14ac:dyDescent="0.25">
      <c r="A1563" s="787" t="s">
        <v>3992</v>
      </c>
      <c r="B1563" s="789" t="str">
        <f>IF('RO5'!G$108="","",'RO5'!G$108)</f>
        <v/>
      </c>
      <c r="C1563" s="790">
        <f ca="1">IF(ISERROR(VLOOKUP($A$1397,INDIRECT("notes_"&amp;LEFT($A$1397,3)),4,0)),0,VLOOKUP($A$1397,INDIRECT("notes_"&amp;LEFT($A$1397,3)),4,0))</f>
        <v>0</v>
      </c>
    </row>
    <row r="1564" spans="1:3" x14ac:dyDescent="0.25">
      <c r="A1564" s="787" t="s">
        <v>3993</v>
      </c>
      <c r="B1564" s="789" t="str">
        <f>IF('RO5'!G$110="","",'RO5'!G$110)</f>
        <v/>
      </c>
      <c r="C1564" s="790">
        <f ca="1">IF(ISERROR(VLOOKUP($A$1398,INDIRECT("notes_"&amp;LEFT($A$1398,3)),4,0)),0,VLOOKUP($A$1398,INDIRECT("notes_"&amp;LEFT($A$1398,3)),4,0))</f>
        <v>0</v>
      </c>
    </row>
    <row r="1565" spans="1:3" x14ac:dyDescent="0.25">
      <c r="A1565" s="787" t="s">
        <v>3994</v>
      </c>
      <c r="B1565" s="789" t="str">
        <f>IF('RO5'!G$113="","",'RO5'!G$113)</f>
        <v/>
      </c>
      <c r="C1565" s="790">
        <f ca="1">IF(ISERROR(VLOOKUP($A$1399,INDIRECT("notes_"&amp;LEFT($A$1399,3)),4,0)),0,VLOOKUP($A$1399,INDIRECT("notes_"&amp;LEFT($A$1399,3)),4,0))</f>
        <v>0</v>
      </c>
    </row>
    <row r="1566" spans="1:3" x14ac:dyDescent="0.25">
      <c r="A1566" s="787" t="s">
        <v>3995</v>
      </c>
      <c r="B1566" s="789" t="str">
        <f>IF('RO5'!G$114="","",'RO5'!G$114)</f>
        <v/>
      </c>
      <c r="C1566" s="790">
        <f ca="1">IF(ISERROR(VLOOKUP($A$1400,INDIRECT("notes_"&amp;LEFT($A$1400,3)),4,0)),0,VLOOKUP($A$1400,INDIRECT("notes_"&amp;LEFT($A$1400,3)),4,0))</f>
        <v>0</v>
      </c>
    </row>
    <row r="1567" spans="1:3" x14ac:dyDescent="0.25">
      <c r="A1567" s="787" t="s">
        <v>3996</v>
      </c>
      <c r="B1567" s="789" t="str">
        <f>IF('RO5'!G$116="","",'RO5'!G$116)</f>
        <v/>
      </c>
      <c r="C1567" s="790">
        <f ca="1">IF(ISERROR(VLOOKUP($A$1401,INDIRECT("notes_"&amp;LEFT($A$1401,3)),4,0)),0,VLOOKUP($A$1401,INDIRECT("notes_"&amp;LEFT($A$1401,3)),4,0))</f>
        <v>0</v>
      </c>
    </row>
    <row r="1568" spans="1:3" x14ac:dyDescent="0.25">
      <c r="A1568" s="787" t="s">
        <v>3997</v>
      </c>
      <c r="B1568" s="789" t="str">
        <f>IF('RO5'!G$118="","",'RO5'!G$118)</f>
        <v/>
      </c>
      <c r="C1568" s="790">
        <f ca="1">IF(ISERROR(VLOOKUP($A$1402,INDIRECT("notes_"&amp;LEFT($A$1402,3)),4,0)),0,VLOOKUP($A$1402,INDIRECT("notes_"&amp;LEFT($A$1402,3)),4,0))</f>
        <v>0</v>
      </c>
    </row>
    <row r="1569" spans="1:3" x14ac:dyDescent="0.25">
      <c r="A1569" s="787" t="s">
        <v>3998</v>
      </c>
      <c r="B1569" s="789" t="str">
        <f>IF('RO5'!G$119="","",'RO5'!G$119)</f>
        <v/>
      </c>
      <c r="C1569" s="790">
        <f ca="1">IF(ISERROR(VLOOKUP($A$1403,INDIRECT("notes_"&amp;LEFT($A$1403,3)),4,0)),0,VLOOKUP($A$1403,INDIRECT("notes_"&amp;LEFT($A$1403,3)),4,0))</f>
        <v>0</v>
      </c>
    </row>
    <row r="1570" spans="1:3" x14ac:dyDescent="0.25">
      <c r="A1570" s="787" t="s">
        <v>3999</v>
      </c>
      <c r="B1570" s="789" t="str">
        <f>IF('RO5'!G$120="","",'RO5'!G$120)</f>
        <v/>
      </c>
      <c r="C1570" s="790">
        <f ca="1">IF(ISERROR(VLOOKUP($A$1404,INDIRECT("notes_"&amp;LEFT($A$1404,3)),4,0)),0,VLOOKUP($A$1404,INDIRECT("notes_"&amp;LEFT($A$1404,3)),4,0))</f>
        <v>0</v>
      </c>
    </row>
    <row r="1571" spans="1:3" x14ac:dyDescent="0.25">
      <c r="A1571" s="787" t="s">
        <v>4000</v>
      </c>
      <c r="B1571" s="789" t="str">
        <f>IF('RO5'!G$122="","",'RO5'!G$122)</f>
        <v/>
      </c>
      <c r="C1571" s="790">
        <f ca="1">IF(ISERROR(VLOOKUP($A$1405,INDIRECT("notes_"&amp;LEFT($A$1405,3)),4,0)),0,VLOOKUP($A$1405,INDIRECT("notes_"&amp;LEFT($A$1405,3)),4,0))</f>
        <v>0</v>
      </c>
    </row>
    <row r="1572" spans="1:3" x14ac:dyDescent="0.25">
      <c r="A1572" s="787" t="s">
        <v>4001</v>
      </c>
      <c r="B1572" s="789">
        <f>IF('RO5'!G$124="","",'RO5'!G$124)</f>
        <v>0</v>
      </c>
      <c r="C1572" s="790">
        <f ca="1">IF(ISERROR(VLOOKUP($A$1406,INDIRECT("notes_"&amp;LEFT($A$1406,3)),4,0)),0,VLOOKUP($A$1406,INDIRECT("notes_"&amp;LEFT($A$1406,3)),4,0))</f>
        <v>0</v>
      </c>
    </row>
    <row r="1573" spans="1:3" x14ac:dyDescent="0.25">
      <c r="A1573" s="787" t="s">
        <v>4002</v>
      </c>
      <c r="B1573" s="789">
        <f>IF('RO5'!G$130="","",'RO5'!G$130)</f>
        <v>0</v>
      </c>
      <c r="C1573" s="790">
        <f ca="1">IF(ISERROR(VLOOKUP($A$1407,INDIRECT("notes_"&amp;LEFT($A$1407,3)),4,0)),0,VLOOKUP($A$1407,INDIRECT("notes_"&amp;LEFT($A$1407,3)),4,0))</f>
        <v>0</v>
      </c>
    </row>
    <row r="1574" spans="1:3" x14ac:dyDescent="0.25">
      <c r="A1574" s="787" t="s">
        <v>4003</v>
      </c>
      <c r="B1574" s="789" t="str">
        <f>IF('RO5'!H$32="","",'RO5'!H$32)</f>
        <v/>
      </c>
      <c r="C1574" s="790">
        <f ca="1">IF(ISERROR(VLOOKUP($A$1354,INDIRECT("notes_"&amp;LEFT($A$1354,3)),4,0)),0,VLOOKUP($A$1354,INDIRECT("notes_"&amp;LEFT($A$1354,3)),4,0))</f>
        <v>0</v>
      </c>
    </row>
    <row r="1575" spans="1:3" x14ac:dyDescent="0.25">
      <c r="A1575" s="787" t="s">
        <v>4004</v>
      </c>
      <c r="B1575" s="789" t="str">
        <f>IF('RO5'!H$33="","",'RO5'!H$33)</f>
        <v/>
      </c>
      <c r="C1575" s="790">
        <f ca="1">IF(ISERROR(VLOOKUP($A$1355,INDIRECT("notes_"&amp;LEFT($A$1355,3)),4,0)),0,VLOOKUP($A$1355,INDIRECT("notes_"&amp;LEFT($A$1355,3)),4,0))</f>
        <v>0</v>
      </c>
    </row>
    <row r="1576" spans="1:3" x14ac:dyDescent="0.25">
      <c r="A1576" s="787" t="s">
        <v>4005</v>
      </c>
      <c r="B1576" s="789" t="str">
        <f>IF('RO5'!H$34="","",'RO5'!H$34)</f>
        <v/>
      </c>
      <c r="C1576" s="790">
        <f ca="1">IF(ISERROR(VLOOKUP($A$1356,INDIRECT("notes_"&amp;LEFT($A$1356,3)),4,0)),0,VLOOKUP($A$1356,INDIRECT("notes_"&amp;LEFT($A$1356,3)),4,0))</f>
        <v>0</v>
      </c>
    </row>
    <row r="1577" spans="1:3" x14ac:dyDescent="0.25">
      <c r="A1577" s="787" t="s">
        <v>4006</v>
      </c>
      <c r="B1577" s="789" t="str">
        <f>IF('RO5'!H$35="","",'RO5'!H$35)</f>
        <v/>
      </c>
      <c r="C1577" s="790">
        <f ca="1">IF(ISERROR(VLOOKUP($A$1357,INDIRECT("notes_"&amp;LEFT($A$1357,3)),4,0)),0,VLOOKUP($A$1357,INDIRECT("notes_"&amp;LEFT($A$1357,3)),4,0))</f>
        <v>0</v>
      </c>
    </row>
    <row r="1578" spans="1:3" x14ac:dyDescent="0.25">
      <c r="A1578" s="787" t="s">
        <v>4007</v>
      </c>
      <c r="B1578" s="789" t="str">
        <f>IF('RO5'!H$36="","",'RO5'!H$36)</f>
        <v/>
      </c>
      <c r="C1578" s="790">
        <f ca="1">IF(ISERROR(VLOOKUP($A$1358,INDIRECT("notes_"&amp;LEFT($A$1358,3)),4,0)),0,VLOOKUP($A$1358,INDIRECT("notes_"&amp;LEFT($A$1358,3)),4,0))</f>
        <v>0</v>
      </c>
    </row>
    <row r="1579" spans="1:3" x14ac:dyDescent="0.25">
      <c r="A1579" s="787" t="s">
        <v>4008</v>
      </c>
      <c r="B1579" s="789" t="str">
        <f>IF('RO5'!H$39="","",'RO5'!H$39)</f>
        <v/>
      </c>
      <c r="C1579" s="790">
        <f ca="1">IF(ISERROR(VLOOKUP($A$1359,INDIRECT("notes_"&amp;LEFT($A$1359,3)),4,0)),0,VLOOKUP($A$1359,INDIRECT("notes_"&amp;LEFT($A$1359,3)),4,0))</f>
        <v>0</v>
      </c>
    </row>
    <row r="1580" spans="1:3" x14ac:dyDescent="0.25">
      <c r="A1580" s="787" t="s">
        <v>4009</v>
      </c>
      <c r="B1580" s="789" t="str">
        <f>IF('RO5'!H$40="","",'RO5'!H$40)</f>
        <v/>
      </c>
      <c r="C1580" s="790">
        <f ca="1">IF(ISERROR(VLOOKUP($A$1360,INDIRECT("notes_"&amp;LEFT($A$1360,3)),4,0)),0,VLOOKUP($A$1360,INDIRECT("notes_"&amp;LEFT($A$1360,3)),4,0))</f>
        <v>0</v>
      </c>
    </row>
    <row r="1581" spans="1:3" x14ac:dyDescent="0.25">
      <c r="A1581" s="787" t="s">
        <v>4010</v>
      </c>
      <c r="B1581" s="789" t="str">
        <f>IF('RO5'!H$41="","",'RO5'!H$41)</f>
        <v/>
      </c>
      <c r="C1581" s="790">
        <f ca="1">IF(ISERROR(VLOOKUP($A$1361,INDIRECT("notes_"&amp;LEFT($A$1361,3)),4,0)),0,VLOOKUP($A$1361,INDIRECT("notes_"&amp;LEFT($A$1361,3)),4,0))</f>
        <v>0</v>
      </c>
    </row>
    <row r="1582" spans="1:3" x14ac:dyDescent="0.25">
      <c r="A1582" s="787" t="s">
        <v>4011</v>
      </c>
      <c r="B1582" s="789" t="str">
        <f>IF('RO5'!H$42="","",'RO5'!H$42)</f>
        <v/>
      </c>
      <c r="C1582" s="790">
        <f ca="1">IF(ISERROR(VLOOKUP($A$1362,INDIRECT("notes_"&amp;LEFT($A$1362,3)),4,0)),0,VLOOKUP($A$1362,INDIRECT("notes_"&amp;LEFT($A$1362,3)),4,0))</f>
        <v>0</v>
      </c>
    </row>
    <row r="1583" spans="1:3" x14ac:dyDescent="0.25">
      <c r="A1583" s="787" t="s">
        <v>4012</v>
      </c>
      <c r="B1583" s="789" t="str">
        <f>IF('RO5'!H$44="","",'RO5'!H$44)</f>
        <v/>
      </c>
      <c r="C1583" s="790">
        <f ca="1">IF(ISERROR(VLOOKUP($A$1363,INDIRECT("notes_"&amp;LEFT($A$1363,3)),4,0)),0,VLOOKUP($A$1363,INDIRECT("notes_"&amp;LEFT($A$1363,3)),4,0))</f>
        <v>0</v>
      </c>
    </row>
    <row r="1584" spans="1:3" x14ac:dyDescent="0.25">
      <c r="A1584" s="787" t="s">
        <v>4013</v>
      </c>
      <c r="B1584" s="789" t="str">
        <f>IF('RO5'!H$46="","",'RO5'!H$46)</f>
        <v/>
      </c>
      <c r="C1584" s="790">
        <f ca="1">IF(ISERROR(VLOOKUP($A$1364,INDIRECT("notes_"&amp;LEFT($A$1364,3)),4,0)),0,VLOOKUP($A$1364,INDIRECT("notes_"&amp;LEFT($A$1364,3)),4,0))</f>
        <v>0</v>
      </c>
    </row>
    <row r="1585" spans="1:3" x14ac:dyDescent="0.25">
      <c r="A1585" s="787" t="s">
        <v>4014</v>
      </c>
      <c r="B1585" s="789" t="str">
        <f>IF('RO5'!H$48="","",'RO5'!H$48)</f>
        <v/>
      </c>
      <c r="C1585" s="790">
        <f ca="1">IF(ISERROR(VLOOKUP($A$1365,INDIRECT("notes_"&amp;LEFT($A$1365,3)),4,0)),0,VLOOKUP($A$1365,INDIRECT("notes_"&amp;LEFT($A$1365,3)),4,0))</f>
        <v>0</v>
      </c>
    </row>
    <row r="1586" spans="1:3" x14ac:dyDescent="0.25">
      <c r="A1586" s="787" t="s">
        <v>4015</v>
      </c>
      <c r="B1586" s="789" t="str">
        <f>IF('RO5'!H$50="","",'RO5'!H$50)</f>
        <v/>
      </c>
      <c r="C1586" s="790">
        <f ca="1">IF(ISERROR(VLOOKUP($A$1366,INDIRECT("notes_"&amp;LEFT($A$1366,3)),4,0)),0,VLOOKUP($A$1366,INDIRECT("notes_"&amp;LEFT($A$1366,3)),4,0))</f>
        <v>0</v>
      </c>
    </row>
    <row r="1587" spans="1:3" x14ac:dyDescent="0.25">
      <c r="A1587" s="787" t="s">
        <v>4016</v>
      </c>
      <c r="B1587" s="789">
        <f>IF('RO5'!H$52="","",'RO5'!H$52)</f>
        <v>0</v>
      </c>
      <c r="C1587" s="790">
        <f ca="1">IF(ISERROR(VLOOKUP($A$1367,INDIRECT("notes_"&amp;LEFT($A$1367,3)),4,0)),0,VLOOKUP($A$1367,INDIRECT("notes_"&amp;LEFT($A$1367,3)),4,0))</f>
        <v>0</v>
      </c>
    </row>
    <row r="1588" spans="1:3" x14ac:dyDescent="0.25">
      <c r="A1588" s="787" t="s">
        <v>4017</v>
      </c>
      <c r="B1588" s="789" t="str">
        <f>IF('RO5'!H$60="","",'RO5'!H$60)</f>
        <v/>
      </c>
      <c r="C1588" s="790">
        <f ca="1">IF(ISERROR(VLOOKUP($A$1368,INDIRECT("notes_"&amp;LEFT($A$1368,3)),4,0)),0,VLOOKUP($A$1368,INDIRECT("notes_"&amp;LEFT($A$1368,3)),4,0))</f>
        <v>0</v>
      </c>
    </row>
    <row r="1589" spans="1:3" x14ac:dyDescent="0.25">
      <c r="A1589" s="787" t="s">
        <v>4018</v>
      </c>
      <c r="B1589" s="789" t="str">
        <f>IF('RO5'!H$63="","",'RO5'!H$63)</f>
        <v/>
      </c>
      <c r="C1589" s="790">
        <f ca="1">IF(ISERROR(VLOOKUP($A$1369,INDIRECT("notes_"&amp;LEFT($A$1369,3)),4,0)),0,VLOOKUP($A$1369,INDIRECT("notes_"&amp;LEFT($A$1369,3)),4,0))</f>
        <v>0</v>
      </c>
    </row>
    <row r="1590" spans="1:3" x14ac:dyDescent="0.25">
      <c r="A1590" s="787" t="s">
        <v>4019</v>
      </c>
      <c r="B1590" s="789" t="str">
        <f>IF('RO5'!H$64="","",'RO5'!H$64)</f>
        <v/>
      </c>
      <c r="C1590" s="790">
        <f ca="1">IF(ISERROR(VLOOKUP($A$1370,INDIRECT("notes_"&amp;LEFT($A$1370,3)),4,0)),0,VLOOKUP($A$1370,INDIRECT("notes_"&amp;LEFT($A$1370,3)),4,0))</f>
        <v>0</v>
      </c>
    </row>
    <row r="1591" spans="1:3" x14ac:dyDescent="0.25">
      <c r="A1591" s="787" t="s">
        <v>4020</v>
      </c>
      <c r="B1591" s="789" t="str">
        <f>IF('RO5'!H$65="","",'RO5'!H$65)</f>
        <v/>
      </c>
      <c r="C1591" s="790">
        <f ca="1">IF(ISERROR(VLOOKUP($A$1371,INDIRECT("notes_"&amp;LEFT($A$1371,3)),4,0)),0,VLOOKUP($A$1371,INDIRECT("notes_"&amp;LEFT($A$1371,3)),4,0))</f>
        <v>0</v>
      </c>
    </row>
    <row r="1592" spans="1:3" x14ac:dyDescent="0.25">
      <c r="A1592" s="787" t="s">
        <v>4021</v>
      </c>
      <c r="B1592" s="789" t="str">
        <f>IF('RO5'!H$66="","",'RO5'!H$66)</f>
        <v/>
      </c>
      <c r="C1592" s="790">
        <f ca="1">IF(ISERROR(VLOOKUP($A$1372,INDIRECT("notes_"&amp;LEFT($A$1372,3)),4,0)),0,VLOOKUP($A$1372,INDIRECT("notes_"&amp;LEFT($A$1372,3)),4,0))</f>
        <v>0</v>
      </c>
    </row>
    <row r="1593" spans="1:3" x14ac:dyDescent="0.25">
      <c r="A1593" s="787" t="s">
        <v>4022</v>
      </c>
      <c r="B1593" s="789" t="str">
        <f>IF('RO5'!H$67="","",'RO5'!H$67)</f>
        <v/>
      </c>
      <c r="C1593" s="790">
        <f ca="1">IF(ISERROR(VLOOKUP($A$1373,INDIRECT("notes_"&amp;LEFT($A$1373,3)),4,0)),0,VLOOKUP($A$1373,INDIRECT("notes_"&amp;LEFT($A$1373,3)),4,0))</f>
        <v>0</v>
      </c>
    </row>
    <row r="1594" spans="1:3" x14ac:dyDescent="0.25">
      <c r="A1594" s="787" t="s">
        <v>4023</v>
      </c>
      <c r="B1594" s="789" t="str">
        <f>IF('RO5'!H$68="","",'RO5'!H$68)</f>
        <v/>
      </c>
      <c r="C1594" s="790">
        <f ca="1">IF(ISERROR(VLOOKUP($A$1374,INDIRECT("notes_"&amp;LEFT($A$1374,3)),4,0)),0,VLOOKUP($A$1374,INDIRECT("notes_"&amp;LEFT($A$1374,3)),4,0))</f>
        <v>0</v>
      </c>
    </row>
    <row r="1595" spans="1:3" x14ac:dyDescent="0.25">
      <c r="A1595" s="787" t="s">
        <v>4024</v>
      </c>
      <c r="B1595" s="789" t="str">
        <f>IF('RO5'!H$69="","",'RO5'!H$69)</f>
        <v/>
      </c>
      <c r="C1595" s="790">
        <f ca="1">IF(ISERROR(VLOOKUP($A$1375,INDIRECT("notes_"&amp;LEFT($A$1375,3)),4,0)),0,VLOOKUP($A$1375,INDIRECT("notes_"&amp;LEFT($A$1375,3)),4,0))</f>
        <v>0</v>
      </c>
    </row>
    <row r="1596" spans="1:3" x14ac:dyDescent="0.25">
      <c r="A1596" s="787" t="s">
        <v>4025</v>
      </c>
      <c r="B1596" s="789" t="str">
        <f>IF('RO5'!H$70="","",'RO5'!H$70)</f>
        <v/>
      </c>
      <c r="C1596" s="790">
        <f ca="1">IF(ISERROR(VLOOKUP($A$1376,INDIRECT("notes_"&amp;LEFT($A$1376,3)),4,0)),0,VLOOKUP($A$1376,INDIRECT("notes_"&amp;LEFT($A$1376,3)),4,0))</f>
        <v>0</v>
      </c>
    </row>
    <row r="1597" spans="1:3" x14ac:dyDescent="0.25">
      <c r="A1597" s="787" t="s">
        <v>4026</v>
      </c>
      <c r="B1597" s="789" t="str">
        <f>IF('RO5'!H$71="","",'RO5'!H$71)</f>
        <v/>
      </c>
      <c r="C1597" s="790">
        <f ca="1">IF(ISERROR(VLOOKUP($A$1377,INDIRECT("notes_"&amp;LEFT($A$1377,3)),4,0)),0,VLOOKUP($A$1377,INDIRECT("notes_"&amp;LEFT($A$1377,3)),4,0))</f>
        <v>0</v>
      </c>
    </row>
    <row r="1598" spans="1:3" x14ac:dyDescent="0.25">
      <c r="A1598" s="787" t="s">
        <v>4027</v>
      </c>
      <c r="B1598" s="789" t="str">
        <f>IF('RO5'!H$72="","",'RO5'!H$72)</f>
        <v/>
      </c>
      <c r="C1598" s="790">
        <f ca="1">IF(ISERROR(VLOOKUP($A$1378,INDIRECT("notes_"&amp;LEFT($A$1378,3)),4,0)),0,VLOOKUP($A$1378,INDIRECT("notes_"&amp;LEFT($A$1378,3)),4,0))</f>
        <v>0</v>
      </c>
    </row>
    <row r="1599" spans="1:3" x14ac:dyDescent="0.25">
      <c r="A1599" s="787" t="s">
        <v>4028</v>
      </c>
      <c r="B1599" s="789" t="str">
        <f>IF('RO5'!H$73="","",'RO5'!H$73)</f>
        <v/>
      </c>
      <c r="C1599" s="790">
        <f ca="1">IF(ISERROR(VLOOKUP($A$1379,INDIRECT("notes_"&amp;LEFT($A$1379,3)),4,0)),0,VLOOKUP($A$1379,INDIRECT("notes_"&amp;LEFT($A$1379,3)),4,0))</f>
        <v>0</v>
      </c>
    </row>
    <row r="1600" spans="1:3" x14ac:dyDescent="0.25">
      <c r="A1600" s="787" t="s">
        <v>4029</v>
      </c>
      <c r="B1600" s="789" t="str">
        <f>IF('RO5'!H$74="","",'RO5'!H$74)</f>
        <v/>
      </c>
      <c r="C1600" s="790">
        <f ca="1">IF(ISERROR(VLOOKUP($A$1380,INDIRECT("notes_"&amp;LEFT($A$1380,3)),4,0)),0,VLOOKUP($A$1380,INDIRECT("notes_"&amp;LEFT($A$1380,3)),4,0))</f>
        <v>0</v>
      </c>
    </row>
    <row r="1601" spans="1:3" x14ac:dyDescent="0.25">
      <c r="A1601" s="787" t="s">
        <v>4030</v>
      </c>
      <c r="B1601" s="789" t="str">
        <f>IF('RO5'!H$77="","",'RO5'!H$77)</f>
        <v/>
      </c>
      <c r="C1601" s="790">
        <f ca="1">IF(ISERROR(VLOOKUP($A$1381,INDIRECT("notes_"&amp;LEFT($A$1381,3)),4,0)),0,VLOOKUP($A$1381,INDIRECT("notes_"&amp;LEFT($A$1381,3)),4,0))</f>
        <v>0</v>
      </c>
    </row>
    <row r="1602" spans="1:3" x14ac:dyDescent="0.25">
      <c r="A1602" s="787" t="s">
        <v>4031</v>
      </c>
      <c r="B1602" s="789" t="str">
        <f>IF('RO5'!H$78="","",'RO5'!H$78)</f>
        <v/>
      </c>
      <c r="C1602" s="790">
        <f ca="1">IF(ISERROR(VLOOKUP($A$1382,INDIRECT("notes_"&amp;LEFT($A$1382,3)),4,0)),0,VLOOKUP($A$1382,INDIRECT("notes_"&amp;LEFT($A$1382,3)),4,0))</f>
        <v>0</v>
      </c>
    </row>
    <row r="1603" spans="1:3" x14ac:dyDescent="0.25">
      <c r="A1603" s="787" t="s">
        <v>4032</v>
      </c>
      <c r="B1603" s="789" t="str">
        <f>IF('RO5'!H$79="","",'RO5'!H$79)</f>
        <v/>
      </c>
      <c r="C1603" s="790">
        <f ca="1">IF(ISERROR(VLOOKUP($A$1383,INDIRECT("notes_"&amp;LEFT($A$1383,3)),4,0)),0,VLOOKUP($A$1383,INDIRECT("notes_"&amp;LEFT($A$1383,3)),4,0))</f>
        <v>0</v>
      </c>
    </row>
    <row r="1604" spans="1:3" x14ac:dyDescent="0.25">
      <c r="A1604" s="787" t="s">
        <v>4033</v>
      </c>
      <c r="B1604" s="789" t="str">
        <f>IF('RO5'!H$82="","",'RO5'!H$82)</f>
        <v/>
      </c>
      <c r="C1604" s="790">
        <f ca="1">IF(ISERROR(VLOOKUP($A$1384,INDIRECT("notes_"&amp;LEFT($A$1384,3)),4,0)),0,VLOOKUP($A$1384,INDIRECT("notes_"&amp;LEFT($A$1384,3)),4,0))</f>
        <v>0</v>
      </c>
    </row>
    <row r="1605" spans="1:3" x14ac:dyDescent="0.25">
      <c r="A1605" s="787" t="s">
        <v>4034</v>
      </c>
      <c r="B1605" s="789" t="str">
        <f>IF('RO5'!H$83="","",'RO5'!H$83)</f>
        <v/>
      </c>
      <c r="C1605" s="790">
        <f ca="1">IF(ISERROR(VLOOKUP($A$1385,INDIRECT("notes_"&amp;LEFT($A$1385,3)),4,0)),0,VLOOKUP($A$1385,INDIRECT("notes_"&amp;LEFT($A$1385,3)),4,0))</f>
        <v>0</v>
      </c>
    </row>
    <row r="1606" spans="1:3" x14ac:dyDescent="0.25">
      <c r="A1606" s="787" t="s">
        <v>4035</v>
      </c>
      <c r="B1606" s="789" t="str">
        <f>IF('RO5'!H$84="","",'RO5'!H$84)</f>
        <v/>
      </c>
      <c r="C1606" s="790">
        <f ca="1">IF(ISERROR(VLOOKUP($A$1386,INDIRECT("notes_"&amp;LEFT($A$1386,3)),4,0)),0,VLOOKUP($A$1386,INDIRECT("notes_"&amp;LEFT($A$1386,3)),4,0))</f>
        <v>0</v>
      </c>
    </row>
    <row r="1607" spans="1:3" x14ac:dyDescent="0.25">
      <c r="A1607" s="787" t="s">
        <v>4036</v>
      </c>
      <c r="B1607" s="789" t="str">
        <f>IF('RO5'!H$85="","",'RO5'!H$85)</f>
        <v/>
      </c>
      <c r="C1607" s="790">
        <f ca="1">IF(ISERROR(VLOOKUP($A$1387,INDIRECT("notes_"&amp;LEFT($A$1387,3)),4,0)),0,VLOOKUP($A$1387,INDIRECT("notes_"&amp;LEFT($A$1387,3)),4,0))</f>
        <v>0</v>
      </c>
    </row>
    <row r="1608" spans="1:3" x14ac:dyDescent="0.25">
      <c r="A1608" s="787" t="s">
        <v>4037</v>
      </c>
      <c r="B1608" s="789" t="str">
        <f>IF('RO5'!H$87="","",'RO5'!H$87)</f>
        <v/>
      </c>
      <c r="C1608" s="790">
        <f ca="1">IF(ISERROR(VLOOKUP($A$1388,INDIRECT("notes_"&amp;LEFT($A$1388,3)),4,0)),0,VLOOKUP($A$1388,INDIRECT("notes_"&amp;LEFT($A$1388,3)),4,0))</f>
        <v>0</v>
      </c>
    </row>
    <row r="1609" spans="1:3" x14ac:dyDescent="0.25">
      <c r="A1609" s="787" t="s">
        <v>4038</v>
      </c>
      <c r="B1609" s="789" t="str">
        <f>IF('RO5'!H$90="","",'RO5'!H$90)</f>
        <v/>
      </c>
      <c r="C1609" s="790">
        <f ca="1">IF(ISERROR(VLOOKUP($A$1389,INDIRECT("notes_"&amp;LEFT($A$1389,3)),4,0)),0,VLOOKUP($A$1389,INDIRECT("notes_"&amp;LEFT($A$1389,3)),4,0))</f>
        <v>0</v>
      </c>
    </row>
    <row r="1610" spans="1:3" x14ac:dyDescent="0.25">
      <c r="A1610" s="787" t="s">
        <v>4039</v>
      </c>
      <c r="B1610" s="789" t="str">
        <f>IF('RO5'!H$93="","",'RO5'!H$93)</f>
        <v/>
      </c>
      <c r="C1610" s="790">
        <f ca="1">IF(ISERROR(VLOOKUP($A$1390,INDIRECT("notes_"&amp;LEFT($A$1390,3)),4,0)),0,VLOOKUP($A$1390,INDIRECT("notes_"&amp;LEFT($A$1390,3)),4,0))</f>
        <v>0</v>
      </c>
    </row>
    <row r="1611" spans="1:3" x14ac:dyDescent="0.25">
      <c r="A1611" s="787" t="s">
        <v>4040</v>
      </c>
      <c r="B1611" s="789" t="str">
        <f>IF('RO5'!H$94="","",'RO5'!H$94)</f>
        <v/>
      </c>
      <c r="C1611" s="790">
        <f ca="1">IF(ISERROR(VLOOKUP($A$1391,INDIRECT("notes_"&amp;LEFT($A$1391,3)),4,0)),0,VLOOKUP($A$1391,INDIRECT("notes_"&amp;LEFT($A$1391,3)),4,0))</f>
        <v>0</v>
      </c>
    </row>
    <row r="1612" spans="1:3" x14ac:dyDescent="0.25">
      <c r="A1612" s="787" t="s">
        <v>4041</v>
      </c>
      <c r="B1612" s="789" t="str">
        <f>IF('RO5'!H$95="","",'RO5'!H$95)</f>
        <v/>
      </c>
      <c r="C1612" s="790">
        <f ca="1">IF(ISERROR(VLOOKUP($A$1392,INDIRECT("notes_"&amp;LEFT($A$1392,3)),4,0)),0,VLOOKUP($A$1392,INDIRECT("notes_"&amp;LEFT($A$1392,3)),4,0))</f>
        <v>0</v>
      </c>
    </row>
    <row r="1613" spans="1:3" x14ac:dyDescent="0.25">
      <c r="A1613" s="787" t="s">
        <v>4042</v>
      </c>
      <c r="B1613" s="789" t="str">
        <f>IF('RO5'!H$96="","",'RO5'!H$96)</f>
        <v/>
      </c>
      <c r="C1613" s="790">
        <f ca="1">IF(ISERROR(VLOOKUP($A$1393,INDIRECT("notes_"&amp;LEFT($A$1393,3)),4,0)),0,VLOOKUP($A$1393,INDIRECT("notes_"&amp;LEFT($A$1393,3)),4,0))</f>
        <v>0</v>
      </c>
    </row>
    <row r="1614" spans="1:3" x14ac:dyDescent="0.25">
      <c r="A1614" s="787" t="s">
        <v>4043</v>
      </c>
      <c r="B1614" s="789" t="str">
        <f>IF('RO5'!H$97="","",'RO5'!H$97)</f>
        <v/>
      </c>
      <c r="C1614" s="790">
        <f ca="1">IF(ISERROR(VLOOKUP($A$1394,INDIRECT("notes_"&amp;LEFT($A$1394,3)),4,0)),0,VLOOKUP($A$1394,INDIRECT("notes_"&amp;LEFT($A$1394,3)),4,0))</f>
        <v>0</v>
      </c>
    </row>
    <row r="1615" spans="1:3" x14ac:dyDescent="0.25">
      <c r="A1615" s="787" t="s">
        <v>4044</v>
      </c>
      <c r="B1615" s="789" t="str">
        <f>IF('RO5'!H$98="","",'RO5'!H$98)</f>
        <v/>
      </c>
      <c r="C1615" s="790">
        <f ca="1">IF(ISERROR(VLOOKUP($A$1395,INDIRECT("notes_"&amp;LEFT($A$1395,3)),4,0)),0,VLOOKUP($A$1395,INDIRECT("notes_"&amp;LEFT($A$1395,3)),4,0))</f>
        <v>0</v>
      </c>
    </row>
    <row r="1616" spans="1:3" x14ac:dyDescent="0.25">
      <c r="A1616" s="787" t="s">
        <v>4045</v>
      </c>
      <c r="B1616" s="789">
        <f>IF('RO5'!H$100="","",'RO5'!H$100)</f>
        <v>0</v>
      </c>
      <c r="C1616" s="790">
        <f ca="1">IF(ISERROR(VLOOKUP($A$1396,INDIRECT("notes_"&amp;LEFT($A$1396,3)),4,0)),0,VLOOKUP($A$1396,INDIRECT("notes_"&amp;LEFT($A$1396,3)),4,0))</f>
        <v>0</v>
      </c>
    </row>
    <row r="1617" spans="1:3" x14ac:dyDescent="0.25">
      <c r="A1617" s="787" t="s">
        <v>4046</v>
      </c>
      <c r="B1617" s="789" t="str">
        <f>IF('RO5'!H$108="","",'RO5'!H$108)</f>
        <v/>
      </c>
      <c r="C1617" s="790">
        <f ca="1">IF(ISERROR(VLOOKUP($A$1397,INDIRECT("notes_"&amp;LEFT($A$1397,3)),4,0)),0,VLOOKUP($A$1397,INDIRECT("notes_"&amp;LEFT($A$1397,3)),4,0))</f>
        <v>0</v>
      </c>
    </row>
    <row r="1618" spans="1:3" x14ac:dyDescent="0.25">
      <c r="A1618" s="787" t="s">
        <v>4047</v>
      </c>
      <c r="B1618" s="789" t="str">
        <f>IF('RO5'!H$110="","",'RO5'!H$110)</f>
        <v/>
      </c>
      <c r="C1618" s="790">
        <f ca="1">IF(ISERROR(VLOOKUP($A$1398,INDIRECT("notes_"&amp;LEFT($A$1398,3)),4,0)),0,VLOOKUP($A$1398,INDIRECT("notes_"&amp;LEFT($A$1398,3)),4,0))</f>
        <v>0</v>
      </c>
    </row>
    <row r="1619" spans="1:3" x14ac:dyDescent="0.25">
      <c r="A1619" s="787" t="s">
        <v>4048</v>
      </c>
      <c r="B1619" s="789" t="str">
        <f>IF('RO5'!H$113="","",'RO5'!H$113)</f>
        <v/>
      </c>
      <c r="C1619" s="790">
        <f ca="1">IF(ISERROR(VLOOKUP($A$1399,INDIRECT("notes_"&amp;LEFT($A$1399,3)),4,0)),0,VLOOKUP($A$1399,INDIRECT("notes_"&amp;LEFT($A$1399,3)),4,0))</f>
        <v>0</v>
      </c>
    </row>
    <row r="1620" spans="1:3" x14ac:dyDescent="0.25">
      <c r="A1620" s="787" t="s">
        <v>4049</v>
      </c>
      <c r="B1620" s="789" t="str">
        <f>IF('RO5'!H$114="","",'RO5'!H$114)</f>
        <v/>
      </c>
      <c r="C1620" s="790">
        <f ca="1">IF(ISERROR(VLOOKUP($A$1400,INDIRECT("notes_"&amp;LEFT($A$1400,3)),4,0)),0,VLOOKUP($A$1400,INDIRECT("notes_"&amp;LEFT($A$1400,3)),4,0))</f>
        <v>0</v>
      </c>
    </row>
    <row r="1621" spans="1:3" x14ac:dyDescent="0.25">
      <c r="A1621" s="787" t="s">
        <v>4050</v>
      </c>
      <c r="B1621" s="789" t="str">
        <f>IF('RO5'!H$116="","",'RO5'!H$116)</f>
        <v/>
      </c>
      <c r="C1621" s="790">
        <f ca="1">IF(ISERROR(VLOOKUP($A$1401,INDIRECT("notes_"&amp;LEFT($A$1401,3)),4,0)),0,VLOOKUP($A$1401,INDIRECT("notes_"&amp;LEFT($A$1401,3)),4,0))</f>
        <v>0</v>
      </c>
    </row>
    <row r="1622" spans="1:3" x14ac:dyDescent="0.25">
      <c r="A1622" s="787" t="s">
        <v>4051</v>
      </c>
      <c r="B1622" s="789" t="str">
        <f>IF('RO5'!H$118="","",'RO5'!H$118)</f>
        <v/>
      </c>
      <c r="C1622" s="790">
        <f ca="1">IF(ISERROR(VLOOKUP($A$1402,INDIRECT("notes_"&amp;LEFT($A$1402,3)),4,0)),0,VLOOKUP($A$1402,INDIRECT("notes_"&amp;LEFT($A$1402,3)),4,0))</f>
        <v>0</v>
      </c>
    </row>
    <row r="1623" spans="1:3" x14ac:dyDescent="0.25">
      <c r="A1623" s="787" t="s">
        <v>4052</v>
      </c>
      <c r="B1623" s="789" t="str">
        <f>IF('RO5'!H$119="","",'RO5'!H$119)</f>
        <v/>
      </c>
      <c r="C1623" s="790">
        <f ca="1">IF(ISERROR(VLOOKUP($A$1403,INDIRECT("notes_"&amp;LEFT($A$1403,3)),4,0)),0,VLOOKUP($A$1403,INDIRECT("notes_"&amp;LEFT($A$1403,3)),4,0))</f>
        <v>0</v>
      </c>
    </row>
    <row r="1624" spans="1:3" x14ac:dyDescent="0.25">
      <c r="A1624" s="787" t="s">
        <v>4053</v>
      </c>
      <c r="B1624" s="789" t="str">
        <f>IF('RO5'!H$120="","",'RO5'!H$120)</f>
        <v/>
      </c>
      <c r="C1624" s="790">
        <f ca="1">IF(ISERROR(VLOOKUP($A$1404,INDIRECT("notes_"&amp;LEFT($A$1404,3)),4,0)),0,VLOOKUP($A$1404,INDIRECT("notes_"&amp;LEFT($A$1404,3)),4,0))</f>
        <v>0</v>
      </c>
    </row>
    <row r="1625" spans="1:3" x14ac:dyDescent="0.25">
      <c r="A1625" s="787" t="s">
        <v>4054</v>
      </c>
      <c r="B1625" s="789" t="str">
        <f>IF('RO5'!H$122="","",'RO5'!H$122)</f>
        <v/>
      </c>
      <c r="C1625" s="790">
        <f ca="1">IF(ISERROR(VLOOKUP($A$1405,INDIRECT("notes_"&amp;LEFT($A$1405,3)),4,0)),0,VLOOKUP($A$1405,INDIRECT("notes_"&amp;LEFT($A$1405,3)),4,0))</f>
        <v>0</v>
      </c>
    </row>
    <row r="1626" spans="1:3" x14ac:dyDescent="0.25">
      <c r="A1626" s="787" t="s">
        <v>4055</v>
      </c>
      <c r="B1626" s="789">
        <f>IF('RO5'!H$124="","",'RO5'!H$124)</f>
        <v>0</v>
      </c>
      <c r="C1626" s="790">
        <f ca="1">IF(ISERROR(VLOOKUP($A$1406,INDIRECT("notes_"&amp;LEFT($A$1406,3)),4,0)),0,VLOOKUP($A$1406,INDIRECT("notes_"&amp;LEFT($A$1406,3)),4,0))</f>
        <v>0</v>
      </c>
    </row>
    <row r="1627" spans="1:3" x14ac:dyDescent="0.25">
      <c r="A1627" s="787" t="s">
        <v>4056</v>
      </c>
      <c r="B1627" s="789">
        <f>IF('RO5'!H$130="","",'RO5'!H$130)</f>
        <v>0</v>
      </c>
      <c r="C1627" s="790">
        <f ca="1">IF(ISERROR(VLOOKUP($A$1407,INDIRECT("notes_"&amp;LEFT($A$1407,3)),4,0)),0,VLOOKUP($A$1407,INDIRECT("notes_"&amp;LEFT($A$1407,3)),4,0))</f>
        <v>0</v>
      </c>
    </row>
    <row r="1628" spans="1:3" x14ac:dyDescent="0.25">
      <c r="A1628" s="787" t="s">
        <v>4057</v>
      </c>
      <c r="B1628" s="789">
        <f>IF('RO5'!I$32="","",'RO5'!I$32)</f>
        <v>0</v>
      </c>
      <c r="C1628" s="790">
        <f ca="1">IF(ISERROR(VLOOKUP($A$1354,INDIRECT("notes_"&amp;LEFT($A$1354,3)),4,0)),0,VLOOKUP($A$1354,INDIRECT("notes_"&amp;LEFT($A$1354,3)),4,0))</f>
        <v>0</v>
      </c>
    </row>
    <row r="1629" spans="1:3" x14ac:dyDescent="0.25">
      <c r="A1629" s="787" t="s">
        <v>4058</v>
      </c>
      <c r="B1629" s="789">
        <f>IF('RO5'!I$33="","",'RO5'!I$33)</f>
        <v>0</v>
      </c>
      <c r="C1629" s="790">
        <f ca="1">IF(ISERROR(VLOOKUP($A$1355,INDIRECT("notes_"&amp;LEFT($A$1355,3)),4,0)),0,VLOOKUP($A$1355,INDIRECT("notes_"&amp;LEFT($A$1355,3)),4,0))</f>
        <v>0</v>
      </c>
    </row>
    <row r="1630" spans="1:3" x14ac:dyDescent="0.25">
      <c r="A1630" s="787" t="s">
        <v>4059</v>
      </c>
      <c r="B1630" s="789">
        <f>IF('RO5'!I$34="","",'RO5'!I$34)</f>
        <v>0</v>
      </c>
      <c r="C1630" s="790">
        <f ca="1">IF(ISERROR(VLOOKUP($A$1356,INDIRECT("notes_"&amp;LEFT($A$1356,3)),4,0)),0,VLOOKUP($A$1356,INDIRECT("notes_"&amp;LEFT($A$1356,3)),4,0))</f>
        <v>0</v>
      </c>
    </row>
    <row r="1631" spans="1:3" x14ac:dyDescent="0.25">
      <c r="A1631" s="787" t="s">
        <v>4060</v>
      </c>
      <c r="B1631" s="789">
        <f>IF('RO5'!I$35="","",'RO5'!I$35)</f>
        <v>0</v>
      </c>
      <c r="C1631" s="790">
        <f ca="1">IF(ISERROR(VLOOKUP($A$1357,INDIRECT("notes_"&amp;LEFT($A$1357,3)),4,0)),0,VLOOKUP($A$1357,INDIRECT("notes_"&amp;LEFT($A$1357,3)),4,0))</f>
        <v>0</v>
      </c>
    </row>
    <row r="1632" spans="1:3" x14ac:dyDescent="0.25">
      <c r="A1632" s="787" t="s">
        <v>4061</v>
      </c>
      <c r="B1632" s="789">
        <f>IF('RO5'!I$36="","",'RO5'!I$36)</f>
        <v>0</v>
      </c>
      <c r="C1632" s="790">
        <f ca="1">IF(ISERROR(VLOOKUP($A$1358,INDIRECT("notes_"&amp;LEFT($A$1358,3)),4,0)),0,VLOOKUP($A$1358,INDIRECT("notes_"&amp;LEFT($A$1358,3)),4,0))</f>
        <v>0</v>
      </c>
    </row>
    <row r="1633" spans="1:3" x14ac:dyDescent="0.25">
      <c r="A1633" s="787" t="s">
        <v>4062</v>
      </c>
      <c r="B1633" s="789">
        <f>IF('RO5'!I$39="","",'RO5'!I$39)</f>
        <v>0</v>
      </c>
      <c r="C1633" s="790">
        <f ca="1">IF(ISERROR(VLOOKUP($A$1359,INDIRECT("notes_"&amp;LEFT($A$1359,3)),4,0)),0,VLOOKUP($A$1359,INDIRECT("notes_"&amp;LEFT($A$1359,3)),4,0))</f>
        <v>0</v>
      </c>
    </row>
    <row r="1634" spans="1:3" x14ac:dyDescent="0.25">
      <c r="A1634" s="787" t="s">
        <v>4063</v>
      </c>
      <c r="B1634" s="789">
        <f>IF('RO5'!I$40="","",'RO5'!I$40)</f>
        <v>0</v>
      </c>
      <c r="C1634" s="790">
        <f ca="1">IF(ISERROR(VLOOKUP($A$1360,INDIRECT("notes_"&amp;LEFT($A$1360,3)),4,0)),0,VLOOKUP($A$1360,INDIRECT("notes_"&amp;LEFT($A$1360,3)),4,0))</f>
        <v>0</v>
      </c>
    </row>
    <row r="1635" spans="1:3" x14ac:dyDescent="0.25">
      <c r="A1635" s="787" t="s">
        <v>4064</v>
      </c>
      <c r="B1635" s="789">
        <f>IF('RO5'!I$41="","",'RO5'!I$41)</f>
        <v>0</v>
      </c>
      <c r="C1635" s="790">
        <f ca="1">IF(ISERROR(VLOOKUP($A$1361,INDIRECT("notes_"&amp;LEFT($A$1361,3)),4,0)),0,VLOOKUP($A$1361,INDIRECT("notes_"&amp;LEFT($A$1361,3)),4,0))</f>
        <v>0</v>
      </c>
    </row>
    <row r="1636" spans="1:3" x14ac:dyDescent="0.25">
      <c r="A1636" s="787" t="s">
        <v>4065</v>
      </c>
      <c r="B1636" s="789">
        <f>IF('RO5'!I$42="","",'RO5'!I$42)</f>
        <v>0</v>
      </c>
      <c r="C1636" s="790">
        <f ca="1">IF(ISERROR(VLOOKUP($A$1362,INDIRECT("notes_"&amp;LEFT($A$1362,3)),4,0)),0,VLOOKUP($A$1362,INDIRECT("notes_"&amp;LEFT($A$1362,3)),4,0))</f>
        <v>0</v>
      </c>
    </row>
    <row r="1637" spans="1:3" x14ac:dyDescent="0.25">
      <c r="A1637" s="787" t="s">
        <v>4066</v>
      </c>
      <c r="B1637" s="789">
        <f>IF('RO5'!I$44="","",'RO5'!I$44)</f>
        <v>0</v>
      </c>
      <c r="C1637" s="790">
        <f ca="1">IF(ISERROR(VLOOKUP($A$1363,INDIRECT("notes_"&amp;LEFT($A$1363,3)),4,0)),0,VLOOKUP($A$1363,INDIRECT("notes_"&amp;LEFT($A$1363,3)),4,0))</f>
        <v>0</v>
      </c>
    </row>
    <row r="1638" spans="1:3" x14ac:dyDescent="0.25">
      <c r="A1638" s="787" t="s">
        <v>4067</v>
      </c>
      <c r="B1638" s="789">
        <f>IF('RO5'!I$46="","",'RO5'!I$46)</f>
        <v>0</v>
      </c>
      <c r="C1638" s="790">
        <f ca="1">IF(ISERROR(VLOOKUP($A$1364,INDIRECT("notes_"&amp;LEFT($A$1364,3)),4,0)),0,VLOOKUP($A$1364,INDIRECT("notes_"&amp;LEFT($A$1364,3)),4,0))</f>
        <v>0</v>
      </c>
    </row>
    <row r="1639" spans="1:3" x14ac:dyDescent="0.25">
      <c r="A1639" s="787" t="s">
        <v>4068</v>
      </c>
      <c r="B1639" s="789">
        <f>IF('RO5'!I$48="","",'RO5'!I$48)</f>
        <v>0</v>
      </c>
      <c r="C1639" s="790">
        <f ca="1">IF(ISERROR(VLOOKUP($A$1365,INDIRECT("notes_"&amp;LEFT($A$1365,3)),4,0)),0,VLOOKUP($A$1365,INDIRECT("notes_"&amp;LEFT($A$1365,3)),4,0))</f>
        <v>0</v>
      </c>
    </row>
    <row r="1640" spans="1:3" x14ac:dyDescent="0.25">
      <c r="A1640" s="787" t="s">
        <v>4069</v>
      </c>
      <c r="B1640" s="789">
        <f>IF('RO5'!I$50="","",'RO5'!I$50)</f>
        <v>0</v>
      </c>
      <c r="C1640" s="790">
        <f ca="1">IF(ISERROR(VLOOKUP($A$1366,INDIRECT("notes_"&amp;LEFT($A$1366,3)),4,0)),0,VLOOKUP($A$1366,INDIRECT("notes_"&amp;LEFT($A$1366,3)),4,0))</f>
        <v>0</v>
      </c>
    </row>
    <row r="1641" spans="1:3" x14ac:dyDescent="0.25">
      <c r="A1641" s="787" t="s">
        <v>4070</v>
      </c>
      <c r="B1641" s="789">
        <f>IF('RO5'!I$52="","",'RO5'!I$52)</f>
        <v>0</v>
      </c>
      <c r="C1641" s="790">
        <f ca="1">IF(ISERROR(VLOOKUP($A$1367,INDIRECT("notes_"&amp;LEFT($A$1367,3)),4,0)),0,VLOOKUP($A$1367,INDIRECT("notes_"&amp;LEFT($A$1367,3)),4,0))</f>
        <v>0</v>
      </c>
    </row>
    <row r="1642" spans="1:3" x14ac:dyDescent="0.25">
      <c r="A1642" s="787" t="s">
        <v>4071</v>
      </c>
      <c r="B1642" s="789">
        <f>IF('RO5'!I$60="","",'RO5'!I$60)</f>
        <v>0</v>
      </c>
      <c r="C1642" s="790">
        <f ca="1">IF(ISERROR(VLOOKUP($A$1368,INDIRECT("notes_"&amp;LEFT($A$1368,3)),4,0)),0,VLOOKUP($A$1368,INDIRECT("notes_"&amp;LEFT($A$1368,3)),4,0))</f>
        <v>0</v>
      </c>
    </row>
    <row r="1643" spans="1:3" x14ac:dyDescent="0.25">
      <c r="A1643" s="787" t="s">
        <v>4072</v>
      </c>
      <c r="B1643" s="789">
        <f>IF('RO5'!I$63="","",'RO5'!I$63)</f>
        <v>0</v>
      </c>
      <c r="C1643" s="790">
        <f ca="1">IF(ISERROR(VLOOKUP($A$1369,INDIRECT("notes_"&amp;LEFT($A$1369,3)),4,0)),0,VLOOKUP($A$1369,INDIRECT("notes_"&amp;LEFT($A$1369,3)),4,0))</f>
        <v>0</v>
      </c>
    </row>
    <row r="1644" spans="1:3" x14ac:dyDescent="0.25">
      <c r="A1644" s="787" t="s">
        <v>4073</v>
      </c>
      <c r="B1644" s="789">
        <f>IF('RO5'!I$64="","",'RO5'!I$64)</f>
        <v>0</v>
      </c>
      <c r="C1644" s="790">
        <f ca="1">IF(ISERROR(VLOOKUP($A$1370,INDIRECT("notes_"&amp;LEFT($A$1370,3)),4,0)),0,VLOOKUP($A$1370,INDIRECT("notes_"&amp;LEFT($A$1370,3)),4,0))</f>
        <v>0</v>
      </c>
    </row>
    <row r="1645" spans="1:3" x14ac:dyDescent="0.25">
      <c r="A1645" s="787" t="s">
        <v>4074</v>
      </c>
      <c r="B1645" s="789">
        <f>IF('RO5'!I$65="","",'RO5'!I$65)</f>
        <v>0</v>
      </c>
      <c r="C1645" s="790">
        <f ca="1">IF(ISERROR(VLOOKUP($A$1371,INDIRECT("notes_"&amp;LEFT($A$1371,3)),4,0)),0,VLOOKUP($A$1371,INDIRECT("notes_"&amp;LEFT($A$1371,3)),4,0))</f>
        <v>0</v>
      </c>
    </row>
    <row r="1646" spans="1:3" x14ac:dyDescent="0.25">
      <c r="A1646" s="787" t="s">
        <v>4075</v>
      </c>
      <c r="B1646" s="789">
        <f>IF('RO5'!I$66="","",'RO5'!I$66)</f>
        <v>0</v>
      </c>
      <c r="C1646" s="790">
        <f ca="1">IF(ISERROR(VLOOKUP($A$1372,INDIRECT("notes_"&amp;LEFT($A$1372,3)),4,0)),0,VLOOKUP($A$1372,INDIRECT("notes_"&amp;LEFT($A$1372,3)),4,0))</f>
        <v>0</v>
      </c>
    </row>
    <row r="1647" spans="1:3" x14ac:dyDescent="0.25">
      <c r="A1647" s="787" t="s">
        <v>4076</v>
      </c>
      <c r="B1647" s="789">
        <f>IF('RO5'!I$67="","",'RO5'!I$67)</f>
        <v>0</v>
      </c>
      <c r="C1647" s="790">
        <f ca="1">IF(ISERROR(VLOOKUP($A$1373,INDIRECT("notes_"&amp;LEFT($A$1373,3)),4,0)),0,VLOOKUP($A$1373,INDIRECT("notes_"&amp;LEFT($A$1373,3)),4,0))</f>
        <v>0</v>
      </c>
    </row>
    <row r="1648" spans="1:3" x14ac:dyDescent="0.25">
      <c r="A1648" s="787" t="s">
        <v>4077</v>
      </c>
      <c r="B1648" s="789">
        <f>IF('RO5'!I$68="","",'RO5'!I$68)</f>
        <v>0</v>
      </c>
      <c r="C1648" s="790">
        <f ca="1">IF(ISERROR(VLOOKUP($A$1374,INDIRECT("notes_"&amp;LEFT($A$1374,3)),4,0)),0,VLOOKUP($A$1374,INDIRECT("notes_"&amp;LEFT($A$1374,3)),4,0))</f>
        <v>0</v>
      </c>
    </row>
    <row r="1649" spans="1:3" x14ac:dyDescent="0.25">
      <c r="A1649" s="787" t="s">
        <v>4078</v>
      </c>
      <c r="B1649" s="789">
        <f>IF('RO5'!I$69="","",'RO5'!I$69)</f>
        <v>0</v>
      </c>
      <c r="C1649" s="790">
        <f ca="1">IF(ISERROR(VLOOKUP($A$1375,INDIRECT("notes_"&amp;LEFT($A$1375,3)),4,0)),0,VLOOKUP($A$1375,INDIRECT("notes_"&amp;LEFT($A$1375,3)),4,0))</f>
        <v>0</v>
      </c>
    </row>
    <row r="1650" spans="1:3" x14ac:dyDescent="0.25">
      <c r="A1650" s="787" t="s">
        <v>4079</v>
      </c>
      <c r="B1650" s="789">
        <f>IF('RO5'!I$70="","",'RO5'!I$70)</f>
        <v>0</v>
      </c>
      <c r="C1650" s="790">
        <f ca="1">IF(ISERROR(VLOOKUP($A$1376,INDIRECT("notes_"&amp;LEFT($A$1376,3)),4,0)),0,VLOOKUP($A$1376,INDIRECT("notes_"&amp;LEFT($A$1376,3)),4,0))</f>
        <v>0</v>
      </c>
    </row>
    <row r="1651" spans="1:3" x14ac:dyDescent="0.25">
      <c r="A1651" s="787" t="s">
        <v>4080</v>
      </c>
      <c r="B1651" s="789">
        <f>IF('RO5'!I$71="","",'RO5'!I$71)</f>
        <v>0</v>
      </c>
      <c r="C1651" s="790">
        <f ca="1">IF(ISERROR(VLOOKUP($A$1377,INDIRECT("notes_"&amp;LEFT($A$1377,3)),4,0)),0,VLOOKUP($A$1377,INDIRECT("notes_"&amp;LEFT($A$1377,3)),4,0))</f>
        <v>0</v>
      </c>
    </row>
    <row r="1652" spans="1:3" x14ac:dyDescent="0.25">
      <c r="A1652" s="787" t="s">
        <v>4081</v>
      </c>
      <c r="B1652" s="789">
        <f>IF('RO5'!I$72="","",'RO5'!I$72)</f>
        <v>0</v>
      </c>
      <c r="C1652" s="790">
        <f ca="1">IF(ISERROR(VLOOKUP($A$1378,INDIRECT("notes_"&amp;LEFT($A$1378,3)),4,0)),0,VLOOKUP($A$1378,INDIRECT("notes_"&amp;LEFT($A$1378,3)),4,0))</f>
        <v>0</v>
      </c>
    </row>
    <row r="1653" spans="1:3" x14ac:dyDescent="0.25">
      <c r="A1653" s="787" t="s">
        <v>4082</v>
      </c>
      <c r="B1653" s="789">
        <f>IF('RO5'!I$73="","",'RO5'!I$73)</f>
        <v>0</v>
      </c>
      <c r="C1653" s="790">
        <f ca="1">IF(ISERROR(VLOOKUP($A$1379,INDIRECT("notes_"&amp;LEFT($A$1379,3)),4,0)),0,VLOOKUP($A$1379,INDIRECT("notes_"&amp;LEFT($A$1379,3)),4,0))</f>
        <v>0</v>
      </c>
    </row>
    <row r="1654" spans="1:3" x14ac:dyDescent="0.25">
      <c r="A1654" s="787" t="s">
        <v>4083</v>
      </c>
      <c r="B1654" s="789">
        <f>IF('RO5'!I$74="","",'RO5'!I$74)</f>
        <v>0</v>
      </c>
      <c r="C1654" s="790">
        <f ca="1">IF(ISERROR(VLOOKUP($A$1380,INDIRECT("notes_"&amp;LEFT($A$1380,3)),4,0)),0,VLOOKUP($A$1380,INDIRECT("notes_"&amp;LEFT($A$1380,3)),4,0))</f>
        <v>0</v>
      </c>
    </row>
    <row r="1655" spans="1:3" x14ac:dyDescent="0.25">
      <c r="A1655" s="787" t="s">
        <v>4084</v>
      </c>
      <c r="B1655" s="789">
        <f>IF('RO5'!I$77="","",'RO5'!I$77)</f>
        <v>0</v>
      </c>
      <c r="C1655" s="790">
        <f ca="1">IF(ISERROR(VLOOKUP($A$1381,INDIRECT("notes_"&amp;LEFT($A$1381,3)),4,0)),0,VLOOKUP($A$1381,INDIRECT("notes_"&amp;LEFT($A$1381,3)),4,0))</f>
        <v>0</v>
      </c>
    </row>
    <row r="1656" spans="1:3" x14ac:dyDescent="0.25">
      <c r="A1656" s="787" t="s">
        <v>4085</v>
      </c>
      <c r="B1656" s="789">
        <f>IF('RO5'!I$78="","",'RO5'!I$78)</f>
        <v>0</v>
      </c>
      <c r="C1656" s="790">
        <f ca="1">IF(ISERROR(VLOOKUP($A$1382,INDIRECT("notes_"&amp;LEFT($A$1382,3)),4,0)),0,VLOOKUP($A$1382,INDIRECT("notes_"&amp;LEFT($A$1382,3)),4,0))</f>
        <v>0</v>
      </c>
    </row>
    <row r="1657" spans="1:3" x14ac:dyDescent="0.25">
      <c r="A1657" s="787" t="s">
        <v>4086</v>
      </c>
      <c r="B1657" s="789">
        <f>IF('RO5'!I$79="","",'RO5'!I$79)</f>
        <v>0</v>
      </c>
      <c r="C1657" s="790">
        <f ca="1">IF(ISERROR(VLOOKUP($A$1383,INDIRECT("notes_"&amp;LEFT($A$1383,3)),4,0)),0,VLOOKUP($A$1383,INDIRECT("notes_"&amp;LEFT($A$1383,3)),4,0))</f>
        <v>0</v>
      </c>
    </row>
    <row r="1658" spans="1:3" x14ac:dyDescent="0.25">
      <c r="A1658" s="787" t="s">
        <v>4087</v>
      </c>
      <c r="B1658" s="789">
        <f>IF('RO5'!I$82="","",'RO5'!I$82)</f>
        <v>0</v>
      </c>
      <c r="C1658" s="790">
        <f ca="1">IF(ISERROR(VLOOKUP($A$1384,INDIRECT("notes_"&amp;LEFT($A$1384,3)),4,0)),0,VLOOKUP($A$1384,INDIRECT("notes_"&amp;LEFT($A$1384,3)),4,0))</f>
        <v>0</v>
      </c>
    </row>
    <row r="1659" spans="1:3" x14ac:dyDescent="0.25">
      <c r="A1659" s="787" t="s">
        <v>4088</v>
      </c>
      <c r="B1659" s="789">
        <f>IF('RO5'!I$83="","",'RO5'!I$83)</f>
        <v>0</v>
      </c>
      <c r="C1659" s="790">
        <f ca="1">IF(ISERROR(VLOOKUP($A$1385,INDIRECT("notes_"&amp;LEFT($A$1385,3)),4,0)),0,VLOOKUP($A$1385,INDIRECT("notes_"&amp;LEFT($A$1385,3)),4,0))</f>
        <v>0</v>
      </c>
    </row>
    <row r="1660" spans="1:3" x14ac:dyDescent="0.25">
      <c r="A1660" s="787" t="s">
        <v>4089</v>
      </c>
      <c r="B1660" s="789">
        <f>IF('RO5'!I$84="","",'RO5'!I$84)</f>
        <v>0</v>
      </c>
      <c r="C1660" s="790">
        <f ca="1">IF(ISERROR(VLOOKUP($A$1386,INDIRECT("notes_"&amp;LEFT($A$1386,3)),4,0)),0,VLOOKUP($A$1386,INDIRECT("notes_"&amp;LEFT($A$1386,3)),4,0))</f>
        <v>0</v>
      </c>
    </row>
    <row r="1661" spans="1:3" x14ac:dyDescent="0.25">
      <c r="A1661" s="787" t="s">
        <v>4090</v>
      </c>
      <c r="B1661" s="789">
        <f>IF('RO5'!I$85="","",'RO5'!I$85)</f>
        <v>0</v>
      </c>
      <c r="C1661" s="790">
        <f ca="1">IF(ISERROR(VLOOKUP($A$1387,INDIRECT("notes_"&amp;LEFT($A$1387,3)),4,0)),0,VLOOKUP($A$1387,INDIRECT("notes_"&amp;LEFT($A$1387,3)),4,0))</f>
        <v>0</v>
      </c>
    </row>
    <row r="1662" spans="1:3" x14ac:dyDescent="0.25">
      <c r="A1662" s="787" t="s">
        <v>4091</v>
      </c>
      <c r="B1662" s="789">
        <f>IF('RO5'!I$87="","",'RO5'!I$87)</f>
        <v>0</v>
      </c>
      <c r="C1662" s="790">
        <f ca="1">IF(ISERROR(VLOOKUP($A$1388,INDIRECT("notes_"&amp;LEFT($A$1388,3)),4,0)),0,VLOOKUP($A$1388,INDIRECT("notes_"&amp;LEFT($A$1388,3)),4,0))</f>
        <v>0</v>
      </c>
    </row>
    <row r="1663" spans="1:3" x14ac:dyDescent="0.25">
      <c r="A1663" s="787" t="s">
        <v>4092</v>
      </c>
      <c r="B1663" s="789">
        <f>IF('RO5'!I$90="","",'RO5'!I$90)</f>
        <v>0</v>
      </c>
      <c r="C1663" s="790">
        <f ca="1">IF(ISERROR(VLOOKUP($A$1389,INDIRECT("notes_"&amp;LEFT($A$1389,3)),4,0)),0,VLOOKUP($A$1389,INDIRECT("notes_"&amp;LEFT($A$1389,3)),4,0))</f>
        <v>0</v>
      </c>
    </row>
    <row r="1664" spans="1:3" x14ac:dyDescent="0.25">
      <c r="A1664" s="787" t="s">
        <v>4093</v>
      </c>
      <c r="B1664" s="789">
        <f>IF('RO5'!I$93="","",'RO5'!I$93)</f>
        <v>0</v>
      </c>
      <c r="C1664" s="790">
        <f ca="1">IF(ISERROR(VLOOKUP($A$1390,INDIRECT("notes_"&amp;LEFT($A$1390,3)),4,0)),0,VLOOKUP($A$1390,INDIRECT("notes_"&amp;LEFT($A$1390,3)),4,0))</f>
        <v>0</v>
      </c>
    </row>
    <row r="1665" spans="1:3" x14ac:dyDescent="0.25">
      <c r="A1665" s="787" t="s">
        <v>4094</v>
      </c>
      <c r="B1665" s="789">
        <f>IF('RO5'!I$94="","",'RO5'!I$94)</f>
        <v>0</v>
      </c>
      <c r="C1665" s="790">
        <f ca="1">IF(ISERROR(VLOOKUP($A$1391,INDIRECT("notes_"&amp;LEFT($A$1391,3)),4,0)),0,VLOOKUP($A$1391,INDIRECT("notes_"&amp;LEFT($A$1391,3)),4,0))</f>
        <v>0</v>
      </c>
    </row>
    <row r="1666" spans="1:3" x14ac:dyDescent="0.25">
      <c r="A1666" s="787" t="s">
        <v>4095</v>
      </c>
      <c r="B1666" s="789">
        <f>IF('RO5'!I$95="","",'RO5'!I$95)</f>
        <v>0</v>
      </c>
      <c r="C1666" s="790">
        <f ca="1">IF(ISERROR(VLOOKUP($A$1392,INDIRECT("notes_"&amp;LEFT($A$1392,3)),4,0)),0,VLOOKUP($A$1392,INDIRECT("notes_"&amp;LEFT($A$1392,3)),4,0))</f>
        <v>0</v>
      </c>
    </row>
    <row r="1667" spans="1:3" x14ac:dyDescent="0.25">
      <c r="A1667" s="787" t="s">
        <v>4096</v>
      </c>
      <c r="B1667" s="789">
        <f>IF('RO5'!I$96="","",'RO5'!I$96)</f>
        <v>0</v>
      </c>
      <c r="C1667" s="790">
        <f ca="1">IF(ISERROR(VLOOKUP($A$1393,INDIRECT("notes_"&amp;LEFT($A$1393,3)),4,0)),0,VLOOKUP($A$1393,INDIRECT("notes_"&amp;LEFT($A$1393,3)),4,0))</f>
        <v>0</v>
      </c>
    </row>
    <row r="1668" spans="1:3" x14ac:dyDescent="0.25">
      <c r="A1668" s="787" t="s">
        <v>4097</v>
      </c>
      <c r="B1668" s="789">
        <f>IF('RO5'!I$97="","",'RO5'!I$97)</f>
        <v>0</v>
      </c>
      <c r="C1668" s="790">
        <f ca="1">IF(ISERROR(VLOOKUP($A$1394,INDIRECT("notes_"&amp;LEFT($A$1394,3)),4,0)),0,VLOOKUP($A$1394,INDIRECT("notes_"&amp;LEFT($A$1394,3)),4,0))</f>
        <v>0</v>
      </c>
    </row>
    <row r="1669" spans="1:3" x14ac:dyDescent="0.25">
      <c r="A1669" s="787" t="s">
        <v>4098</v>
      </c>
      <c r="B1669" s="789">
        <f>IF('RO5'!I$98="","",'RO5'!I$98)</f>
        <v>0</v>
      </c>
      <c r="C1669" s="790">
        <f ca="1">IF(ISERROR(VLOOKUP($A$1395,INDIRECT("notes_"&amp;LEFT($A$1395,3)),4,0)),0,VLOOKUP($A$1395,INDIRECT("notes_"&amp;LEFT($A$1395,3)),4,0))</f>
        <v>0</v>
      </c>
    </row>
    <row r="1670" spans="1:3" x14ac:dyDescent="0.25">
      <c r="A1670" s="787" t="s">
        <v>4099</v>
      </c>
      <c r="B1670" s="789">
        <f>IF('RO5'!I$100="","",'RO5'!I$100)</f>
        <v>0</v>
      </c>
      <c r="C1670" s="790">
        <f ca="1">IF(ISERROR(VLOOKUP($A$1396,INDIRECT("notes_"&amp;LEFT($A$1396,3)),4,0)),0,VLOOKUP($A$1396,INDIRECT("notes_"&amp;LEFT($A$1396,3)),4,0))</f>
        <v>0</v>
      </c>
    </row>
    <row r="1671" spans="1:3" x14ac:dyDescent="0.25">
      <c r="A1671" s="787" t="s">
        <v>4100</v>
      </c>
      <c r="B1671" s="789">
        <f>IF('RO5'!I$108="","",'RO5'!I$108)</f>
        <v>0</v>
      </c>
      <c r="C1671" s="790">
        <f ca="1">IF(ISERROR(VLOOKUP($A$1397,INDIRECT("notes_"&amp;LEFT($A$1397,3)),4,0)),0,VLOOKUP($A$1397,INDIRECT("notes_"&amp;LEFT($A$1397,3)),4,0))</f>
        <v>0</v>
      </c>
    </row>
    <row r="1672" spans="1:3" x14ac:dyDescent="0.25">
      <c r="A1672" s="787" t="s">
        <v>4101</v>
      </c>
      <c r="B1672" s="789">
        <f>IF('RO5'!I$110="","",'RO5'!I$110)</f>
        <v>0</v>
      </c>
      <c r="C1672" s="790">
        <f ca="1">IF(ISERROR(VLOOKUP($A$1398,INDIRECT("notes_"&amp;LEFT($A$1398,3)),4,0)),0,VLOOKUP($A$1398,INDIRECT("notes_"&amp;LEFT($A$1398,3)),4,0))</f>
        <v>0</v>
      </c>
    </row>
    <row r="1673" spans="1:3" x14ac:dyDescent="0.25">
      <c r="A1673" s="787" t="s">
        <v>4102</v>
      </c>
      <c r="B1673" s="789">
        <f>IF('RO5'!I$113="","",'RO5'!I$113)</f>
        <v>0</v>
      </c>
      <c r="C1673" s="790">
        <f ca="1">IF(ISERROR(VLOOKUP($A$1399,INDIRECT("notes_"&amp;LEFT($A$1399,3)),4,0)),0,VLOOKUP($A$1399,INDIRECT("notes_"&amp;LEFT($A$1399,3)),4,0))</f>
        <v>0</v>
      </c>
    </row>
    <row r="1674" spans="1:3" x14ac:dyDescent="0.25">
      <c r="A1674" s="787" t="s">
        <v>4103</v>
      </c>
      <c r="B1674" s="789">
        <f>IF('RO5'!I$114="","",'RO5'!I$114)</f>
        <v>0</v>
      </c>
      <c r="C1674" s="790">
        <f ca="1">IF(ISERROR(VLOOKUP($A$1400,INDIRECT("notes_"&amp;LEFT($A$1400,3)),4,0)),0,VLOOKUP($A$1400,INDIRECT("notes_"&amp;LEFT($A$1400,3)),4,0))</f>
        <v>0</v>
      </c>
    </row>
    <row r="1675" spans="1:3" x14ac:dyDescent="0.25">
      <c r="A1675" s="787" t="s">
        <v>4104</v>
      </c>
      <c r="B1675" s="789">
        <f>IF('RO5'!I$116="","",'RO5'!I$116)</f>
        <v>0</v>
      </c>
      <c r="C1675" s="790">
        <f ca="1">IF(ISERROR(VLOOKUP($A$1401,INDIRECT("notes_"&amp;LEFT($A$1401,3)),4,0)),0,VLOOKUP($A$1401,INDIRECT("notes_"&amp;LEFT($A$1401,3)),4,0))</f>
        <v>0</v>
      </c>
    </row>
    <row r="1676" spans="1:3" x14ac:dyDescent="0.25">
      <c r="A1676" s="787" t="s">
        <v>4105</v>
      </c>
      <c r="B1676" s="789">
        <f>IF('RO5'!I$118="","",'RO5'!I$118)</f>
        <v>0</v>
      </c>
      <c r="C1676" s="790">
        <f ca="1">IF(ISERROR(VLOOKUP($A$1402,INDIRECT("notes_"&amp;LEFT($A$1402,3)),4,0)),0,VLOOKUP($A$1402,INDIRECT("notes_"&amp;LEFT($A$1402,3)),4,0))</f>
        <v>0</v>
      </c>
    </row>
    <row r="1677" spans="1:3" x14ac:dyDescent="0.25">
      <c r="A1677" s="787" t="s">
        <v>4106</v>
      </c>
      <c r="B1677" s="789">
        <f>IF('RO5'!I$119="","",'RO5'!I$119)</f>
        <v>0</v>
      </c>
      <c r="C1677" s="790">
        <f ca="1">IF(ISERROR(VLOOKUP($A$1403,INDIRECT("notes_"&amp;LEFT($A$1403,3)),4,0)),0,VLOOKUP($A$1403,INDIRECT("notes_"&amp;LEFT($A$1403,3)),4,0))</f>
        <v>0</v>
      </c>
    </row>
    <row r="1678" spans="1:3" x14ac:dyDescent="0.25">
      <c r="A1678" s="787" t="s">
        <v>4107</v>
      </c>
      <c r="B1678" s="789">
        <f>IF('RO5'!I$120="","",'RO5'!I$120)</f>
        <v>0</v>
      </c>
      <c r="C1678" s="790">
        <f ca="1">IF(ISERROR(VLOOKUP($A$1404,INDIRECT("notes_"&amp;LEFT($A$1404,3)),4,0)),0,VLOOKUP($A$1404,INDIRECT("notes_"&amp;LEFT($A$1404,3)),4,0))</f>
        <v>0</v>
      </c>
    </row>
    <row r="1679" spans="1:3" x14ac:dyDescent="0.25">
      <c r="A1679" s="787" t="s">
        <v>4108</v>
      </c>
      <c r="B1679" s="789">
        <f>IF('RO5'!I$122="","",'RO5'!I$122)</f>
        <v>0</v>
      </c>
      <c r="C1679" s="790">
        <f ca="1">IF(ISERROR(VLOOKUP($A$1405,INDIRECT("notes_"&amp;LEFT($A$1405,3)),4,0)),0,VLOOKUP($A$1405,INDIRECT("notes_"&amp;LEFT($A$1405,3)),4,0))</f>
        <v>0</v>
      </c>
    </row>
    <row r="1680" spans="1:3" x14ac:dyDescent="0.25">
      <c r="A1680" s="787" t="s">
        <v>4109</v>
      </c>
      <c r="B1680" s="789">
        <f>IF('RO5'!I$124="","",'RO5'!I$124)</f>
        <v>0</v>
      </c>
      <c r="C1680" s="790">
        <f ca="1">IF(ISERROR(VLOOKUP($A$1406,INDIRECT("notes_"&amp;LEFT($A$1406,3)),4,0)),0,VLOOKUP($A$1406,INDIRECT("notes_"&amp;LEFT($A$1406,3)),4,0))</f>
        <v>0</v>
      </c>
    </row>
    <row r="1681" spans="1:6" x14ac:dyDescent="0.25">
      <c r="A1681" s="787" t="s">
        <v>4110</v>
      </c>
      <c r="B1681" s="789">
        <f>IF('RO5'!I$130="","",'RO5'!I$130)</f>
        <v>0</v>
      </c>
      <c r="C1681" s="790">
        <f ca="1">IF(ISERROR(VLOOKUP($A$1407,INDIRECT("notes_"&amp;LEFT($A$1407,3)),4,0)),0,VLOOKUP($A$1407,INDIRECT("notes_"&amp;LEFT($A$1407,3)),4,0))</f>
        <v>0</v>
      </c>
    </row>
    <row r="1682" spans="1:6" x14ac:dyDescent="0.25">
      <c r="A1682" s="787" t="s">
        <v>4111</v>
      </c>
      <c r="B1682" s="789">
        <f>IF('RO5'!J$32="","",'RO5'!J$32)</f>
        <v>0</v>
      </c>
      <c r="C1682" s="790">
        <f ca="1">IF(ISERROR(VLOOKUP($A$1354,INDIRECT("notes_"&amp;LEFT($A$1354,3)),4,0)),0,VLOOKUP($A$1354,INDIRECT("notes_"&amp;LEFT($A$1354,3)),4,0))</f>
        <v>0</v>
      </c>
      <c r="D1682" s="789" t="str">
        <f>'RO5'!L32</f>
        <v/>
      </c>
      <c r="E1682" s="789" t="str">
        <f>'RO5'!M32</f>
        <v/>
      </c>
      <c r="F1682" s="789" t="str">
        <f>'RO5'!O32</f>
        <v/>
      </c>
    </row>
    <row r="1683" spans="1:6" x14ac:dyDescent="0.25">
      <c r="A1683" s="787" t="s">
        <v>4112</v>
      </c>
      <c r="B1683" s="789">
        <f>IF('RO5'!J$33="","",'RO5'!J$33)</f>
        <v>0</v>
      </c>
      <c r="C1683" s="790">
        <f ca="1">IF(ISERROR(VLOOKUP($A$1355,INDIRECT("notes_"&amp;LEFT($A$1355,3)),4,0)),0,VLOOKUP($A$1355,INDIRECT("notes_"&amp;LEFT($A$1355,3)),4,0))</f>
        <v>0</v>
      </c>
      <c r="D1683" s="789" t="str">
        <f>'RO5'!L33</f>
        <v/>
      </c>
      <c r="E1683" s="789" t="str">
        <f>'RO5'!M33</f>
        <v/>
      </c>
      <c r="F1683" s="789" t="str">
        <f>'RO5'!O33</f>
        <v/>
      </c>
    </row>
    <row r="1684" spans="1:6" x14ac:dyDescent="0.25">
      <c r="A1684" s="787" t="s">
        <v>4113</v>
      </c>
      <c r="B1684" s="789">
        <f>IF('RO5'!J$34="","",'RO5'!J$34)</f>
        <v>0</v>
      </c>
      <c r="C1684" s="790">
        <f ca="1">IF(ISERROR(VLOOKUP($A$1356,INDIRECT("notes_"&amp;LEFT($A$1356,3)),4,0)),0,VLOOKUP($A$1356,INDIRECT("notes_"&amp;LEFT($A$1356,3)),4,0))</f>
        <v>0</v>
      </c>
      <c r="D1684" s="789" t="str">
        <f>'RO5'!L34</f>
        <v/>
      </c>
      <c r="E1684" s="789" t="str">
        <f>'RO5'!M34</f>
        <v/>
      </c>
      <c r="F1684" s="789" t="str">
        <f>'RO5'!O34</f>
        <v/>
      </c>
    </row>
    <row r="1685" spans="1:6" x14ac:dyDescent="0.25">
      <c r="A1685" s="787" t="s">
        <v>4114</v>
      </c>
      <c r="B1685" s="789">
        <f>IF('RO5'!J$35="","",'RO5'!J$35)</f>
        <v>0</v>
      </c>
      <c r="C1685" s="790">
        <f ca="1">IF(ISERROR(VLOOKUP($A$1357,INDIRECT("notes_"&amp;LEFT($A$1357,3)),4,0)),0,VLOOKUP($A$1357,INDIRECT("notes_"&amp;LEFT($A$1357,3)),4,0))</f>
        <v>0</v>
      </c>
      <c r="D1685" s="789" t="str">
        <f>'RO5'!L35</f>
        <v/>
      </c>
      <c r="E1685" s="789" t="str">
        <f>'RO5'!M35</f>
        <v/>
      </c>
      <c r="F1685" s="789" t="str">
        <f>'RO5'!O35</f>
        <v/>
      </c>
    </row>
    <row r="1686" spans="1:6" x14ac:dyDescent="0.25">
      <c r="A1686" s="787" t="s">
        <v>4115</v>
      </c>
      <c r="B1686" s="789">
        <f>IF('RO5'!J$36="","",'RO5'!J$36)</f>
        <v>0</v>
      </c>
      <c r="C1686" s="790">
        <f ca="1">IF(ISERROR(VLOOKUP($A$1358,INDIRECT("notes_"&amp;LEFT($A$1358,3)),4,0)),0,VLOOKUP($A$1358,INDIRECT("notes_"&amp;LEFT($A$1358,3)),4,0))</f>
        <v>0</v>
      </c>
      <c r="D1686" s="789" t="str">
        <f>'RO5'!L36</f>
        <v/>
      </c>
      <c r="E1686" s="789" t="str">
        <f>'RO5'!M36</f>
        <v/>
      </c>
      <c r="F1686" s="789" t="str">
        <f>'RO5'!O36</f>
        <v/>
      </c>
    </row>
    <row r="1687" spans="1:6" x14ac:dyDescent="0.25">
      <c r="A1687" s="787" t="s">
        <v>4116</v>
      </c>
      <c r="B1687" s="789">
        <f>IF('RO5'!J$39="","",'RO5'!J$39)</f>
        <v>0</v>
      </c>
      <c r="C1687" s="790">
        <f ca="1">IF(ISERROR(VLOOKUP($A$1359,INDIRECT("notes_"&amp;LEFT($A$1359,3)),4,0)),0,VLOOKUP($A$1359,INDIRECT("notes_"&amp;LEFT($A$1359,3)),4,0))</f>
        <v>0</v>
      </c>
      <c r="D1687" s="789" t="str">
        <f>'RO5'!L39</f>
        <v/>
      </c>
      <c r="E1687" s="789" t="str">
        <f>'RO5'!M39</f>
        <v/>
      </c>
      <c r="F1687" s="789" t="str">
        <f>'RO5'!O39</f>
        <v/>
      </c>
    </row>
    <row r="1688" spans="1:6" x14ac:dyDescent="0.25">
      <c r="A1688" s="787" t="s">
        <v>4117</v>
      </c>
      <c r="B1688" s="789">
        <f>IF('RO5'!J$40="","",'RO5'!J$40)</f>
        <v>0</v>
      </c>
      <c r="C1688" s="790">
        <f ca="1">IF(ISERROR(VLOOKUP($A$1360,INDIRECT("notes_"&amp;LEFT($A$1360,3)),4,0)),0,VLOOKUP($A$1360,INDIRECT("notes_"&amp;LEFT($A$1360,3)),4,0))</f>
        <v>0</v>
      </c>
      <c r="D1688" s="789" t="str">
        <f>'RO5'!L40</f>
        <v/>
      </c>
      <c r="E1688" s="789" t="str">
        <f>'RO5'!M40</f>
        <v/>
      </c>
      <c r="F1688" s="789" t="str">
        <f>'RO5'!O40</f>
        <v/>
      </c>
    </row>
    <row r="1689" spans="1:6" x14ac:dyDescent="0.25">
      <c r="A1689" s="787" t="s">
        <v>4118</v>
      </c>
      <c r="B1689" s="789">
        <f>IF('RO5'!J$41="","",'RO5'!J$41)</f>
        <v>0</v>
      </c>
      <c r="C1689" s="790">
        <f ca="1">IF(ISERROR(VLOOKUP($A$1361,INDIRECT("notes_"&amp;LEFT($A$1361,3)),4,0)),0,VLOOKUP($A$1361,INDIRECT("notes_"&amp;LEFT($A$1361,3)),4,0))</f>
        <v>0</v>
      </c>
      <c r="D1689" s="789" t="str">
        <f>'RO5'!L41</f>
        <v/>
      </c>
      <c r="E1689" s="789" t="str">
        <f>'RO5'!M41</f>
        <v/>
      </c>
      <c r="F1689" s="789" t="str">
        <f>'RO5'!O41</f>
        <v/>
      </c>
    </row>
    <row r="1690" spans="1:6" x14ac:dyDescent="0.25">
      <c r="A1690" s="787" t="s">
        <v>4119</v>
      </c>
      <c r="B1690" s="789">
        <f>IF('RO5'!J$42="","",'RO5'!J$42)</f>
        <v>0</v>
      </c>
      <c r="C1690" s="790">
        <f ca="1">IF(ISERROR(VLOOKUP($A$1362,INDIRECT("notes_"&amp;LEFT($A$1362,3)),4,0)),0,VLOOKUP($A$1362,INDIRECT("notes_"&amp;LEFT($A$1362,3)),4,0))</f>
        <v>0</v>
      </c>
      <c r="D1690" s="789" t="str">
        <f>'RO5'!L42</f>
        <v/>
      </c>
      <c r="E1690" s="789" t="str">
        <f>'RO5'!M42</f>
        <v/>
      </c>
      <c r="F1690" s="789" t="str">
        <f>'RO5'!O42</f>
        <v/>
      </c>
    </row>
    <row r="1691" spans="1:6" x14ac:dyDescent="0.25">
      <c r="A1691" s="787" t="s">
        <v>4120</v>
      </c>
      <c r="B1691" s="789">
        <f>IF('RO5'!J$44="","",'RO5'!J$44)</f>
        <v>0</v>
      </c>
      <c r="C1691" s="790">
        <f ca="1">IF(ISERROR(VLOOKUP($A$1363,INDIRECT("notes_"&amp;LEFT($A$1363,3)),4,0)),0,VLOOKUP($A$1363,INDIRECT("notes_"&amp;LEFT($A$1363,3)),4,0))</f>
        <v>0</v>
      </c>
      <c r="D1691" s="789" t="str">
        <f>'RO5'!L44</f>
        <v/>
      </c>
      <c r="E1691" s="789" t="str">
        <f>'RO5'!M44</f>
        <v/>
      </c>
      <c r="F1691" s="789" t="str">
        <f>'RO5'!O44</f>
        <v/>
      </c>
    </row>
    <row r="1692" spans="1:6" x14ac:dyDescent="0.25">
      <c r="A1692" s="787" t="s">
        <v>4121</v>
      </c>
      <c r="B1692" s="789">
        <f>IF('RO5'!J$46="","",'RO5'!J$46)</f>
        <v>0</v>
      </c>
      <c r="C1692" s="790">
        <f ca="1">IF(ISERROR(VLOOKUP($A$1364,INDIRECT("notes_"&amp;LEFT($A$1364,3)),4,0)),0,VLOOKUP($A$1364,INDIRECT("notes_"&amp;LEFT($A$1364,3)),4,0))</f>
        <v>0</v>
      </c>
      <c r="D1692" s="789" t="str">
        <f>'RO5'!L46</f>
        <v/>
      </c>
      <c r="E1692" s="789" t="str">
        <f>'RO5'!M46</f>
        <v/>
      </c>
      <c r="F1692" s="789" t="str">
        <f>'RO5'!O46</f>
        <v/>
      </c>
    </row>
    <row r="1693" spans="1:6" x14ac:dyDescent="0.25">
      <c r="A1693" s="787" t="s">
        <v>4122</v>
      </c>
      <c r="B1693" s="789">
        <f>IF('RO5'!J$48="","",'RO5'!J$48)</f>
        <v>0</v>
      </c>
      <c r="C1693" s="790">
        <f ca="1">IF(ISERROR(VLOOKUP($A$1365,INDIRECT("notes_"&amp;LEFT($A$1365,3)),4,0)),0,VLOOKUP($A$1365,INDIRECT("notes_"&amp;LEFT($A$1365,3)),4,0))</f>
        <v>0</v>
      </c>
      <c r="D1693" s="789" t="str">
        <f>'RO5'!L48</f>
        <v/>
      </c>
      <c r="E1693" s="789" t="str">
        <f>'RO5'!M48</f>
        <v/>
      </c>
      <c r="F1693" s="789" t="str">
        <f>'RO5'!O48</f>
        <v/>
      </c>
    </row>
    <row r="1694" spans="1:6" x14ac:dyDescent="0.25">
      <c r="A1694" s="787" t="s">
        <v>4123</v>
      </c>
      <c r="B1694" s="789">
        <f>IF('RO5'!J$50="","",'RO5'!J$50)</f>
        <v>0</v>
      </c>
      <c r="C1694" s="790">
        <f ca="1">IF(ISERROR(VLOOKUP($A$1366,INDIRECT("notes_"&amp;LEFT($A$1366,3)),4,0)),0,VLOOKUP($A$1366,INDIRECT("notes_"&amp;LEFT($A$1366,3)),4,0))</f>
        <v>0</v>
      </c>
      <c r="D1694" s="789" t="str">
        <f>'RO5'!L50</f>
        <v/>
      </c>
      <c r="E1694" s="789" t="e">
        <f>'RO5'!M50</f>
        <v>#N/A</v>
      </c>
      <c r="F1694" s="789" t="e">
        <f>'RO5'!O50</f>
        <v>#N/A</v>
      </c>
    </row>
    <row r="1695" spans="1:6" x14ac:dyDescent="0.25">
      <c r="A1695" s="787" t="s">
        <v>4124</v>
      </c>
      <c r="B1695" s="789">
        <f>IF('RO5'!J$52="","",'RO5'!J$52)</f>
        <v>0</v>
      </c>
      <c r="C1695" s="790">
        <f ca="1">IF(ISERROR(VLOOKUP($A$1367,INDIRECT("notes_"&amp;LEFT($A$1367,3)),4,0)),0,VLOOKUP($A$1367,INDIRECT("notes_"&amp;LEFT($A$1367,3)),4,0))</f>
        <v>0</v>
      </c>
      <c r="D1695" s="789" t="str">
        <f>'RO5'!L52</f>
        <v/>
      </c>
      <c r="E1695" s="789" t="str">
        <f>'RO5'!M52</f>
        <v/>
      </c>
      <c r="F1695" s="789" t="str">
        <f>'RO5'!O52</f>
        <v/>
      </c>
    </row>
    <row r="1696" spans="1:6" x14ac:dyDescent="0.25">
      <c r="A1696" s="787" t="s">
        <v>4125</v>
      </c>
      <c r="B1696" s="789">
        <f>IF('RO5'!J$60="","",'RO5'!J$60)</f>
        <v>0</v>
      </c>
      <c r="C1696" s="790">
        <f ca="1">IF(ISERROR(VLOOKUP($A$1368,INDIRECT("notes_"&amp;LEFT($A$1368,3)),4,0)),0,VLOOKUP($A$1368,INDIRECT("notes_"&amp;LEFT($A$1368,3)),4,0))</f>
        <v>0</v>
      </c>
      <c r="D1696" s="789" t="str">
        <f>'RO5'!L60</f>
        <v/>
      </c>
      <c r="E1696" s="789" t="str">
        <f>'RO5'!M60</f>
        <v/>
      </c>
      <c r="F1696" s="789" t="str">
        <f>'RO5'!O60</f>
        <v/>
      </c>
    </row>
    <row r="1697" spans="1:6" x14ac:dyDescent="0.25">
      <c r="A1697" s="787" t="s">
        <v>4126</v>
      </c>
      <c r="B1697" s="789">
        <f>IF('RO5'!J$63="","",'RO5'!J$63)</f>
        <v>0</v>
      </c>
      <c r="C1697" s="790">
        <f ca="1">IF(ISERROR(VLOOKUP($A$1369,INDIRECT("notes_"&amp;LEFT($A$1369,3)),4,0)),0,VLOOKUP($A$1369,INDIRECT("notes_"&amp;LEFT($A$1369,3)),4,0))</f>
        <v>0</v>
      </c>
      <c r="D1697" s="789" t="str">
        <f>'RO5'!L63</f>
        <v/>
      </c>
      <c r="E1697" s="789" t="e">
        <f>'RO5'!M63</f>
        <v>#N/A</v>
      </c>
      <c r="F1697" s="789" t="e">
        <f>'RO5'!O63</f>
        <v>#N/A</v>
      </c>
    </row>
    <row r="1698" spans="1:6" x14ac:dyDescent="0.25">
      <c r="A1698" s="787" t="s">
        <v>4127</v>
      </c>
      <c r="B1698" s="789">
        <f>IF('RO5'!J$64="","",'RO5'!J$64)</f>
        <v>0</v>
      </c>
      <c r="C1698" s="790">
        <f ca="1">IF(ISERROR(VLOOKUP($A$1370,INDIRECT("notes_"&amp;LEFT($A$1370,3)),4,0)),0,VLOOKUP($A$1370,INDIRECT("notes_"&amp;LEFT($A$1370,3)),4,0))</f>
        <v>0</v>
      </c>
      <c r="D1698" s="789" t="str">
        <f>'RO5'!L64</f>
        <v/>
      </c>
      <c r="E1698" s="789" t="str">
        <f>'RO5'!M64</f>
        <v/>
      </c>
      <c r="F1698" s="789" t="str">
        <f>'RO5'!O64</f>
        <v/>
      </c>
    </row>
    <row r="1699" spans="1:6" x14ac:dyDescent="0.25">
      <c r="A1699" s="787" t="s">
        <v>4128</v>
      </c>
      <c r="B1699" s="789">
        <f>IF('RO5'!J$65="","",'RO5'!J$65)</f>
        <v>0</v>
      </c>
      <c r="C1699" s="790">
        <f ca="1">IF(ISERROR(VLOOKUP($A$1371,INDIRECT("notes_"&amp;LEFT($A$1371,3)),4,0)),0,VLOOKUP($A$1371,INDIRECT("notes_"&amp;LEFT($A$1371,3)),4,0))</f>
        <v>0</v>
      </c>
      <c r="D1699" s="789" t="str">
        <f>'RO5'!L65</f>
        <v/>
      </c>
      <c r="E1699" s="789" t="str">
        <f>'RO5'!M65</f>
        <v/>
      </c>
      <c r="F1699" s="789" t="str">
        <f>'RO5'!O65</f>
        <v/>
      </c>
    </row>
    <row r="1700" spans="1:6" x14ac:dyDescent="0.25">
      <c r="A1700" s="787" t="s">
        <v>4129</v>
      </c>
      <c r="B1700" s="789">
        <f>IF('RO5'!J$66="","",'RO5'!J$66)</f>
        <v>0</v>
      </c>
      <c r="C1700" s="790">
        <f ca="1">IF(ISERROR(VLOOKUP($A$1372,INDIRECT("notes_"&amp;LEFT($A$1372,3)),4,0)),0,VLOOKUP($A$1372,INDIRECT("notes_"&amp;LEFT($A$1372,3)),4,0))</f>
        <v>0</v>
      </c>
      <c r="D1700" s="789" t="str">
        <f>'RO5'!L66</f>
        <v/>
      </c>
      <c r="E1700" s="789" t="str">
        <f>'RO5'!M66</f>
        <v/>
      </c>
      <c r="F1700" s="789" t="str">
        <f>'RO5'!O66</f>
        <v/>
      </c>
    </row>
    <row r="1701" spans="1:6" x14ac:dyDescent="0.25">
      <c r="A1701" s="787" t="s">
        <v>4130</v>
      </c>
      <c r="B1701" s="789">
        <f>IF('RO5'!J$67="","",'RO5'!J$67)</f>
        <v>0</v>
      </c>
      <c r="C1701" s="790">
        <f ca="1">IF(ISERROR(VLOOKUP($A$1373,INDIRECT("notes_"&amp;LEFT($A$1373,3)),4,0)),0,VLOOKUP($A$1373,INDIRECT("notes_"&amp;LEFT($A$1373,3)),4,0))</f>
        <v>0</v>
      </c>
      <c r="D1701" s="789" t="str">
        <f>'RO5'!L67</f>
        <v/>
      </c>
      <c r="E1701" s="789" t="str">
        <f>'RO5'!M67</f>
        <v/>
      </c>
      <c r="F1701" s="789" t="str">
        <f>'RO5'!O67</f>
        <v/>
      </c>
    </row>
    <row r="1702" spans="1:6" x14ac:dyDescent="0.25">
      <c r="A1702" s="787" t="s">
        <v>4131</v>
      </c>
      <c r="B1702" s="789">
        <f>IF('RO5'!J$68="","",'RO5'!J$68)</f>
        <v>0</v>
      </c>
      <c r="C1702" s="790">
        <f ca="1">IF(ISERROR(VLOOKUP($A$1374,INDIRECT("notes_"&amp;LEFT($A$1374,3)),4,0)),0,VLOOKUP($A$1374,INDIRECT("notes_"&amp;LEFT($A$1374,3)),4,0))</f>
        <v>0</v>
      </c>
      <c r="D1702" s="789" t="str">
        <f>'RO5'!L68</f>
        <v/>
      </c>
      <c r="E1702" s="789" t="str">
        <f>'RO5'!M68</f>
        <v/>
      </c>
      <c r="F1702" s="789" t="str">
        <f>'RO5'!O68</f>
        <v/>
      </c>
    </row>
    <row r="1703" spans="1:6" x14ac:dyDescent="0.25">
      <c r="A1703" s="787" t="s">
        <v>4132</v>
      </c>
      <c r="B1703" s="789">
        <f>IF('RO5'!J$69="","",'RO5'!J$69)</f>
        <v>0</v>
      </c>
      <c r="C1703" s="790">
        <f ca="1">IF(ISERROR(VLOOKUP($A$1375,INDIRECT("notes_"&amp;LEFT($A$1375,3)),4,0)),0,VLOOKUP($A$1375,INDIRECT("notes_"&amp;LEFT($A$1375,3)),4,0))</f>
        <v>0</v>
      </c>
      <c r="D1703" s="789" t="str">
        <f>'RO5'!L69</f>
        <v/>
      </c>
      <c r="E1703" s="789" t="str">
        <f>'RO5'!M69</f>
        <v/>
      </c>
      <c r="F1703" s="789" t="str">
        <f>'RO5'!O69</f>
        <v/>
      </c>
    </row>
    <row r="1704" spans="1:6" x14ac:dyDescent="0.25">
      <c r="A1704" s="787" t="s">
        <v>4133</v>
      </c>
      <c r="B1704" s="789">
        <f>IF('RO5'!J$70="","",'RO5'!J$70)</f>
        <v>0</v>
      </c>
      <c r="C1704" s="790">
        <f ca="1">IF(ISERROR(VLOOKUP($A$1376,INDIRECT("notes_"&amp;LEFT($A$1376,3)),4,0)),0,VLOOKUP($A$1376,INDIRECT("notes_"&amp;LEFT($A$1376,3)),4,0))</f>
        <v>0</v>
      </c>
      <c r="D1704" s="789" t="str">
        <f>'RO5'!L70</f>
        <v/>
      </c>
      <c r="E1704" s="789" t="str">
        <f>'RO5'!M70</f>
        <v/>
      </c>
      <c r="F1704" s="789" t="str">
        <f>'RO5'!O70</f>
        <v/>
      </c>
    </row>
    <row r="1705" spans="1:6" x14ac:dyDescent="0.25">
      <c r="A1705" s="787" t="s">
        <v>4134</v>
      </c>
      <c r="B1705" s="789">
        <f>IF('RO5'!J$71="","",'RO5'!J$71)</f>
        <v>0</v>
      </c>
      <c r="C1705" s="790">
        <f ca="1">IF(ISERROR(VLOOKUP($A$1377,INDIRECT("notes_"&amp;LEFT($A$1377,3)),4,0)),0,VLOOKUP($A$1377,INDIRECT("notes_"&amp;LEFT($A$1377,3)),4,0))</f>
        <v>0</v>
      </c>
      <c r="D1705" s="789" t="str">
        <f>'RO5'!L71</f>
        <v/>
      </c>
      <c r="E1705" s="789" t="str">
        <f>'RO5'!M71</f>
        <v/>
      </c>
      <c r="F1705" s="789" t="str">
        <f>'RO5'!O71</f>
        <v/>
      </c>
    </row>
    <row r="1706" spans="1:6" x14ac:dyDescent="0.25">
      <c r="A1706" s="787" t="s">
        <v>4135</v>
      </c>
      <c r="B1706" s="789">
        <f>IF('RO5'!J$72="","",'RO5'!J$72)</f>
        <v>0</v>
      </c>
      <c r="C1706" s="790">
        <f ca="1">IF(ISERROR(VLOOKUP($A$1378,INDIRECT("notes_"&amp;LEFT($A$1378,3)),4,0)),0,VLOOKUP($A$1378,INDIRECT("notes_"&amp;LEFT($A$1378,3)),4,0))</f>
        <v>0</v>
      </c>
      <c r="D1706" s="789" t="str">
        <f>'RO5'!L72</f>
        <v/>
      </c>
      <c r="E1706" s="789" t="str">
        <f>'RO5'!M72</f>
        <v/>
      </c>
      <c r="F1706" s="789" t="str">
        <f>'RO5'!O72</f>
        <v/>
      </c>
    </row>
    <row r="1707" spans="1:6" x14ac:dyDescent="0.25">
      <c r="A1707" s="787" t="s">
        <v>4136</v>
      </c>
      <c r="B1707" s="789">
        <f>IF('RO5'!J$73="","",'RO5'!J$73)</f>
        <v>0</v>
      </c>
      <c r="C1707" s="790">
        <f ca="1">IF(ISERROR(VLOOKUP($A$1379,INDIRECT("notes_"&amp;LEFT($A$1379,3)),4,0)),0,VLOOKUP($A$1379,INDIRECT("notes_"&amp;LEFT($A$1379,3)),4,0))</f>
        <v>0</v>
      </c>
      <c r="D1707" s="789" t="str">
        <f>'RO5'!L73</f>
        <v/>
      </c>
      <c r="E1707" s="789" t="str">
        <f>'RO5'!M73</f>
        <v/>
      </c>
      <c r="F1707" s="789" t="str">
        <f>'RO5'!O73</f>
        <v/>
      </c>
    </row>
    <row r="1708" spans="1:6" x14ac:dyDescent="0.25">
      <c r="A1708" s="787" t="s">
        <v>4137</v>
      </c>
      <c r="B1708" s="789">
        <f>IF('RO5'!J$74="","",'RO5'!J$74)</f>
        <v>0</v>
      </c>
      <c r="C1708" s="790">
        <f ca="1">IF(ISERROR(VLOOKUP($A$1380,INDIRECT("notes_"&amp;LEFT($A$1380,3)),4,0)),0,VLOOKUP($A$1380,INDIRECT("notes_"&amp;LEFT($A$1380,3)),4,0))</f>
        <v>0</v>
      </c>
      <c r="D1708" s="789" t="str">
        <f>'RO5'!L74</f>
        <v/>
      </c>
      <c r="E1708" s="789" t="str">
        <f>'RO5'!M74</f>
        <v/>
      </c>
      <c r="F1708" s="789" t="str">
        <f>'RO5'!O74</f>
        <v/>
      </c>
    </row>
    <row r="1709" spans="1:6" x14ac:dyDescent="0.25">
      <c r="A1709" s="787" t="s">
        <v>4138</v>
      </c>
      <c r="B1709" s="789">
        <f>IF('RO5'!J$77="","",'RO5'!J$77)</f>
        <v>0</v>
      </c>
      <c r="C1709" s="790">
        <f ca="1">IF(ISERROR(VLOOKUP($A$1381,INDIRECT("notes_"&amp;LEFT($A$1381,3)),4,0)),0,VLOOKUP($A$1381,INDIRECT("notes_"&amp;LEFT($A$1381,3)),4,0))</f>
        <v>0</v>
      </c>
      <c r="D1709" s="789" t="str">
        <f>'RO5'!L77</f>
        <v/>
      </c>
      <c r="E1709" s="789" t="str">
        <f>'RO5'!M77</f>
        <v/>
      </c>
      <c r="F1709" s="789" t="str">
        <f>'RO5'!O77</f>
        <v/>
      </c>
    </row>
    <row r="1710" spans="1:6" x14ac:dyDescent="0.25">
      <c r="A1710" s="787" t="s">
        <v>4139</v>
      </c>
      <c r="B1710" s="789">
        <f>IF('RO5'!J$78="","",'RO5'!J$78)</f>
        <v>0</v>
      </c>
      <c r="C1710" s="790">
        <f ca="1">IF(ISERROR(VLOOKUP($A$1382,INDIRECT("notes_"&amp;LEFT($A$1382,3)),4,0)),0,VLOOKUP($A$1382,INDIRECT("notes_"&amp;LEFT($A$1382,3)),4,0))</f>
        <v>0</v>
      </c>
      <c r="D1710" s="789" t="str">
        <f>'RO5'!L78</f>
        <v/>
      </c>
      <c r="E1710" s="789" t="str">
        <f>'RO5'!M78</f>
        <v/>
      </c>
      <c r="F1710" s="789" t="str">
        <f>'RO5'!O78</f>
        <v/>
      </c>
    </row>
    <row r="1711" spans="1:6" x14ac:dyDescent="0.25">
      <c r="A1711" s="787" t="s">
        <v>4140</v>
      </c>
      <c r="B1711" s="789">
        <f>IF('RO5'!J$79="","",'RO5'!J$79)</f>
        <v>0</v>
      </c>
      <c r="C1711" s="790">
        <f ca="1">IF(ISERROR(VLOOKUP($A$1383,INDIRECT("notes_"&amp;LEFT($A$1383,3)),4,0)),0,VLOOKUP($A$1383,INDIRECT("notes_"&amp;LEFT($A$1383,3)),4,0))</f>
        <v>0</v>
      </c>
      <c r="D1711" s="789" t="str">
        <f>'RO5'!L79</f>
        <v/>
      </c>
      <c r="E1711" s="789" t="str">
        <f>'RO5'!M79</f>
        <v/>
      </c>
      <c r="F1711" s="789" t="str">
        <f>'RO5'!O79</f>
        <v/>
      </c>
    </row>
    <row r="1712" spans="1:6" x14ac:dyDescent="0.25">
      <c r="A1712" s="787" t="s">
        <v>4141</v>
      </c>
      <c r="B1712" s="789">
        <f>IF('RO5'!J$82="","",'RO5'!J$82)</f>
        <v>0</v>
      </c>
      <c r="C1712" s="790">
        <f ca="1">IF(ISERROR(VLOOKUP($A$1384,INDIRECT("notes_"&amp;LEFT($A$1384,3)),4,0)),0,VLOOKUP($A$1384,INDIRECT("notes_"&amp;LEFT($A$1384,3)),4,0))</f>
        <v>0</v>
      </c>
      <c r="D1712" s="789" t="str">
        <f>'RO5'!L82</f>
        <v/>
      </c>
      <c r="E1712" s="789" t="str">
        <f>'RO5'!M82</f>
        <v/>
      </c>
      <c r="F1712" s="789" t="str">
        <f>'RO5'!O82</f>
        <v/>
      </c>
    </row>
    <row r="1713" spans="1:6" x14ac:dyDescent="0.25">
      <c r="A1713" s="787" t="s">
        <v>4142</v>
      </c>
      <c r="B1713" s="789">
        <f>IF('RO5'!J$83="","",'RO5'!J$83)</f>
        <v>0</v>
      </c>
      <c r="C1713" s="790">
        <f ca="1">IF(ISERROR(VLOOKUP($A$1385,INDIRECT("notes_"&amp;LEFT($A$1385,3)),4,0)),0,VLOOKUP($A$1385,INDIRECT("notes_"&amp;LEFT($A$1385,3)),4,0))</f>
        <v>0</v>
      </c>
      <c r="D1713" s="789" t="str">
        <f>'RO5'!L83</f>
        <v/>
      </c>
      <c r="E1713" s="789" t="str">
        <f>'RO5'!M83</f>
        <v/>
      </c>
      <c r="F1713" s="789" t="str">
        <f>'RO5'!O83</f>
        <v/>
      </c>
    </row>
    <row r="1714" spans="1:6" x14ac:dyDescent="0.25">
      <c r="A1714" s="787" t="s">
        <v>4143</v>
      </c>
      <c r="B1714" s="789">
        <f>IF('RO5'!J$84="","",'RO5'!J$84)</f>
        <v>0</v>
      </c>
      <c r="C1714" s="790">
        <f ca="1">IF(ISERROR(VLOOKUP($A$1386,INDIRECT("notes_"&amp;LEFT($A$1386,3)),4,0)),0,VLOOKUP($A$1386,INDIRECT("notes_"&amp;LEFT($A$1386,3)),4,0))</f>
        <v>0</v>
      </c>
      <c r="D1714" s="789" t="str">
        <f>'RO5'!L84</f>
        <v/>
      </c>
      <c r="E1714" s="789" t="str">
        <f>'RO5'!M84</f>
        <v/>
      </c>
      <c r="F1714" s="789" t="str">
        <f>'RO5'!O84</f>
        <v/>
      </c>
    </row>
    <row r="1715" spans="1:6" x14ac:dyDescent="0.25">
      <c r="A1715" s="787" t="s">
        <v>4144</v>
      </c>
      <c r="B1715" s="789">
        <f>IF('RO5'!J$85="","",'RO5'!J$85)</f>
        <v>0</v>
      </c>
      <c r="C1715" s="790">
        <f ca="1">IF(ISERROR(VLOOKUP($A$1387,INDIRECT("notes_"&amp;LEFT($A$1387,3)),4,0)),0,VLOOKUP($A$1387,INDIRECT("notes_"&amp;LEFT($A$1387,3)),4,0))</f>
        <v>0</v>
      </c>
      <c r="D1715" s="789" t="str">
        <f>'RO5'!L85</f>
        <v/>
      </c>
      <c r="E1715" s="789" t="str">
        <f>'RO5'!M85</f>
        <v/>
      </c>
      <c r="F1715" s="789" t="str">
        <f>'RO5'!O85</f>
        <v/>
      </c>
    </row>
    <row r="1716" spans="1:6" x14ac:dyDescent="0.25">
      <c r="A1716" s="787" t="s">
        <v>4145</v>
      </c>
      <c r="B1716" s="789">
        <f>IF('RO5'!J$87="","",'RO5'!J$87)</f>
        <v>0</v>
      </c>
      <c r="C1716" s="790">
        <f ca="1">IF(ISERROR(VLOOKUP($A$1388,INDIRECT("notes_"&amp;LEFT($A$1388,3)),4,0)),0,VLOOKUP($A$1388,INDIRECT("notes_"&amp;LEFT($A$1388,3)),4,0))</f>
        <v>0</v>
      </c>
      <c r="D1716" s="789" t="str">
        <f>'RO5'!L87</f>
        <v/>
      </c>
      <c r="E1716" s="789" t="str">
        <f>'RO5'!M87</f>
        <v/>
      </c>
      <c r="F1716" s="789" t="str">
        <f>'RO5'!O87</f>
        <v/>
      </c>
    </row>
    <row r="1717" spans="1:6" x14ac:dyDescent="0.25">
      <c r="A1717" s="787" t="s">
        <v>4146</v>
      </c>
      <c r="B1717" s="789">
        <f>IF('RO5'!J$90="","",'RO5'!J$90)</f>
        <v>0</v>
      </c>
      <c r="C1717" s="790">
        <f ca="1">IF(ISERROR(VLOOKUP($A$1389,INDIRECT("notes_"&amp;LEFT($A$1389,3)),4,0)),0,VLOOKUP($A$1389,INDIRECT("notes_"&amp;LEFT($A$1389,3)),4,0))</f>
        <v>0</v>
      </c>
      <c r="D1717" s="789" t="str">
        <f>'RO5'!L90</f>
        <v/>
      </c>
      <c r="E1717" s="789" t="str">
        <f>'RO5'!M90</f>
        <v/>
      </c>
      <c r="F1717" s="789" t="str">
        <f>'RO5'!O90</f>
        <v/>
      </c>
    </row>
    <row r="1718" spans="1:6" x14ac:dyDescent="0.25">
      <c r="A1718" s="787" t="s">
        <v>4147</v>
      </c>
      <c r="B1718" s="789">
        <f>IF('RO5'!J$93="","",'RO5'!J$93)</f>
        <v>0</v>
      </c>
      <c r="C1718" s="790">
        <f ca="1">IF(ISERROR(VLOOKUP($A$1390,INDIRECT("notes_"&amp;LEFT($A$1390,3)),4,0)),0,VLOOKUP($A$1390,INDIRECT("notes_"&amp;LEFT($A$1390,3)),4,0))</f>
        <v>0</v>
      </c>
      <c r="D1718" s="789" t="str">
        <f>'RO5'!L93</f>
        <v/>
      </c>
      <c r="E1718" s="789" t="str">
        <f>'RO5'!M93</f>
        <v/>
      </c>
      <c r="F1718" s="789" t="str">
        <f>'RO5'!O93</f>
        <v/>
      </c>
    </row>
    <row r="1719" spans="1:6" x14ac:dyDescent="0.25">
      <c r="A1719" s="787" t="s">
        <v>4148</v>
      </c>
      <c r="B1719" s="789">
        <f>IF('RO5'!J$94="","",'RO5'!J$94)</f>
        <v>0</v>
      </c>
      <c r="C1719" s="790">
        <f ca="1">IF(ISERROR(VLOOKUP($A$1391,INDIRECT("notes_"&amp;LEFT($A$1391,3)),4,0)),0,VLOOKUP($A$1391,INDIRECT("notes_"&amp;LEFT($A$1391,3)),4,0))</f>
        <v>0</v>
      </c>
      <c r="D1719" s="789" t="str">
        <f>'RO5'!L94</f>
        <v/>
      </c>
      <c r="E1719" s="789" t="str">
        <f>'RO5'!M94</f>
        <v/>
      </c>
      <c r="F1719" s="789" t="str">
        <f>'RO5'!O94</f>
        <v/>
      </c>
    </row>
    <row r="1720" spans="1:6" x14ac:dyDescent="0.25">
      <c r="A1720" s="787" t="s">
        <v>4149</v>
      </c>
      <c r="B1720" s="789">
        <f>IF('RO5'!J$95="","",'RO5'!J$95)</f>
        <v>0</v>
      </c>
      <c r="C1720" s="790">
        <f ca="1">IF(ISERROR(VLOOKUP($A$1392,INDIRECT("notes_"&amp;LEFT($A$1392,3)),4,0)),0,VLOOKUP($A$1392,INDIRECT("notes_"&amp;LEFT($A$1392,3)),4,0))</f>
        <v>0</v>
      </c>
      <c r="D1720" s="789" t="str">
        <f>'RO5'!L95</f>
        <v/>
      </c>
      <c r="E1720" s="789" t="str">
        <f>'RO5'!M95</f>
        <v/>
      </c>
      <c r="F1720" s="789" t="str">
        <f>'RO5'!O95</f>
        <v/>
      </c>
    </row>
    <row r="1721" spans="1:6" x14ac:dyDescent="0.25">
      <c r="A1721" s="787" t="s">
        <v>4150</v>
      </c>
      <c r="B1721" s="789">
        <f>IF('RO5'!J$96="","",'RO5'!J$96)</f>
        <v>0</v>
      </c>
      <c r="C1721" s="790">
        <f ca="1">IF(ISERROR(VLOOKUP($A$1393,INDIRECT("notes_"&amp;LEFT($A$1393,3)),4,0)),0,VLOOKUP($A$1393,INDIRECT("notes_"&amp;LEFT($A$1393,3)),4,0))</f>
        <v>0</v>
      </c>
      <c r="D1721" s="789" t="str">
        <f>'RO5'!L96</f>
        <v/>
      </c>
      <c r="E1721" s="789" t="str">
        <f>'RO5'!M96</f>
        <v/>
      </c>
      <c r="F1721" s="789" t="str">
        <f>'RO5'!O96</f>
        <v/>
      </c>
    </row>
    <row r="1722" spans="1:6" x14ac:dyDescent="0.25">
      <c r="A1722" s="787" t="s">
        <v>4151</v>
      </c>
      <c r="B1722" s="789">
        <f>IF('RO5'!J$97="","",'RO5'!J$97)</f>
        <v>0</v>
      </c>
      <c r="C1722" s="790">
        <f ca="1">IF(ISERROR(VLOOKUP($A$1394,INDIRECT("notes_"&amp;LEFT($A$1394,3)),4,0)),0,VLOOKUP($A$1394,INDIRECT("notes_"&amp;LEFT($A$1394,3)),4,0))</f>
        <v>0</v>
      </c>
      <c r="D1722" s="789" t="str">
        <f>'RO5'!L97</f>
        <v/>
      </c>
      <c r="E1722" s="789" t="str">
        <f>'RO5'!M97</f>
        <v/>
      </c>
      <c r="F1722" s="789" t="str">
        <f>'RO5'!O97</f>
        <v/>
      </c>
    </row>
    <row r="1723" spans="1:6" x14ac:dyDescent="0.25">
      <c r="A1723" s="787" t="s">
        <v>4152</v>
      </c>
      <c r="B1723" s="789">
        <f>IF('RO5'!J$98="","",'RO5'!J$98)</f>
        <v>0</v>
      </c>
      <c r="C1723" s="790">
        <f ca="1">IF(ISERROR(VLOOKUP($A$1395,INDIRECT("notes_"&amp;LEFT($A$1395,3)),4,0)),0,VLOOKUP($A$1395,INDIRECT("notes_"&amp;LEFT($A$1395,3)),4,0))</f>
        <v>0</v>
      </c>
      <c r="D1723" s="789" t="str">
        <f>'RO5'!L98</f>
        <v/>
      </c>
      <c r="E1723" s="789" t="str">
        <f>'RO5'!M98</f>
        <v/>
      </c>
      <c r="F1723" s="789" t="str">
        <f>'RO5'!O98</f>
        <v/>
      </c>
    </row>
    <row r="1724" spans="1:6" x14ac:dyDescent="0.25">
      <c r="A1724" s="787" t="s">
        <v>4153</v>
      </c>
      <c r="B1724" s="789">
        <f>IF('RO5'!J$100="","",'RO5'!J$100)</f>
        <v>0</v>
      </c>
      <c r="C1724" s="790">
        <f ca="1">IF(ISERROR(VLOOKUP($A$1396,INDIRECT("notes_"&amp;LEFT($A$1396,3)),4,0)),0,VLOOKUP($A$1396,INDIRECT("notes_"&amp;LEFT($A$1396,3)),4,0))</f>
        <v>0</v>
      </c>
      <c r="D1724" s="789" t="str">
        <f>'RO5'!L100</f>
        <v/>
      </c>
      <c r="E1724" s="789" t="str">
        <f>'RO5'!M100</f>
        <v/>
      </c>
      <c r="F1724" s="789" t="str">
        <f>'RO5'!O100</f>
        <v/>
      </c>
    </row>
    <row r="1725" spans="1:6" x14ac:dyDescent="0.25">
      <c r="A1725" s="787" t="s">
        <v>4154</v>
      </c>
      <c r="B1725" s="789">
        <f>IF('RO5'!J$108="","",'RO5'!J$108)</f>
        <v>0</v>
      </c>
      <c r="C1725" s="790">
        <f ca="1">IF(ISERROR(VLOOKUP($A$1397,INDIRECT("notes_"&amp;LEFT($A$1397,3)),4,0)),0,VLOOKUP($A$1397,INDIRECT("notes_"&amp;LEFT($A$1397,3)),4,0))</f>
        <v>0</v>
      </c>
      <c r="D1725" s="789" t="str">
        <f>'RO5'!L108</f>
        <v/>
      </c>
      <c r="E1725" s="789" t="str">
        <f>'RO5'!M108</f>
        <v/>
      </c>
      <c r="F1725" s="789" t="str">
        <f>'RO5'!O108</f>
        <v/>
      </c>
    </row>
    <row r="1726" spans="1:6" x14ac:dyDescent="0.25">
      <c r="A1726" s="787" t="s">
        <v>4155</v>
      </c>
      <c r="B1726" s="789">
        <f>IF('RO5'!J$110="","",'RO5'!J$110)</f>
        <v>0</v>
      </c>
      <c r="C1726" s="790">
        <f ca="1">IF(ISERROR(VLOOKUP($A$1398,INDIRECT("notes_"&amp;LEFT($A$1398,3)),4,0)),0,VLOOKUP($A$1398,INDIRECT("notes_"&amp;LEFT($A$1398,3)),4,0))</f>
        <v>0</v>
      </c>
      <c r="D1726" s="789" t="str">
        <f>'RO5'!L110</f>
        <v/>
      </c>
      <c r="E1726" s="789" t="str">
        <f>'RO5'!M110</f>
        <v/>
      </c>
      <c r="F1726" s="789" t="str">
        <f>'RO5'!O110</f>
        <v/>
      </c>
    </row>
    <row r="1727" spans="1:6" x14ac:dyDescent="0.25">
      <c r="A1727" s="787" t="s">
        <v>4156</v>
      </c>
      <c r="B1727" s="789">
        <f>IF('RO5'!J$113="","",'RO5'!J$113)</f>
        <v>0</v>
      </c>
      <c r="C1727" s="790">
        <f ca="1">IF(ISERROR(VLOOKUP($A$1399,INDIRECT("notes_"&amp;LEFT($A$1399,3)),4,0)),0,VLOOKUP($A$1399,INDIRECT("notes_"&amp;LEFT($A$1399,3)),4,0))</f>
        <v>0</v>
      </c>
      <c r="D1727" s="789" t="str">
        <f>'RO5'!L113</f>
        <v/>
      </c>
      <c r="E1727" s="789" t="str">
        <f>'RO5'!M113</f>
        <v/>
      </c>
      <c r="F1727" s="789" t="str">
        <f>'RO5'!O113</f>
        <v/>
      </c>
    </row>
    <row r="1728" spans="1:6" x14ac:dyDescent="0.25">
      <c r="A1728" s="787" t="s">
        <v>4157</v>
      </c>
      <c r="B1728" s="789">
        <f>IF('RO5'!J$114="","",'RO5'!J$114)</f>
        <v>0</v>
      </c>
      <c r="C1728" s="790">
        <f ca="1">IF(ISERROR(VLOOKUP($A$1400,INDIRECT("notes_"&amp;LEFT($A$1400,3)),4,0)),0,VLOOKUP($A$1400,INDIRECT("notes_"&amp;LEFT($A$1400,3)),4,0))</f>
        <v>0</v>
      </c>
      <c r="D1728" s="789" t="str">
        <f>'RO5'!L114</f>
        <v/>
      </c>
      <c r="E1728" s="789" t="str">
        <f>'RO5'!M114</f>
        <v/>
      </c>
      <c r="F1728" s="789" t="str">
        <f>'RO5'!O114</f>
        <v/>
      </c>
    </row>
    <row r="1729" spans="1:6" x14ac:dyDescent="0.25">
      <c r="A1729" s="787" t="s">
        <v>4158</v>
      </c>
      <c r="B1729" s="789">
        <f>IF('RO5'!J$116="","",'RO5'!J$116)</f>
        <v>0</v>
      </c>
      <c r="C1729" s="790">
        <f ca="1">IF(ISERROR(VLOOKUP($A$1401,INDIRECT("notes_"&amp;LEFT($A$1401,3)),4,0)),0,VLOOKUP($A$1401,INDIRECT("notes_"&amp;LEFT($A$1401,3)),4,0))</f>
        <v>0</v>
      </c>
      <c r="D1729" s="789" t="str">
        <f>'RO5'!L116</f>
        <v/>
      </c>
      <c r="E1729" s="789" t="str">
        <f>'RO5'!M116</f>
        <v/>
      </c>
      <c r="F1729" s="789" t="str">
        <f>'RO5'!O116</f>
        <v/>
      </c>
    </row>
    <row r="1730" spans="1:6" x14ac:dyDescent="0.25">
      <c r="A1730" s="787" t="s">
        <v>4159</v>
      </c>
      <c r="B1730" s="789">
        <f>IF('RO5'!J$118="","",'RO5'!J$118)</f>
        <v>0</v>
      </c>
      <c r="C1730" s="790">
        <f ca="1">IF(ISERROR(VLOOKUP($A$1402,INDIRECT("notes_"&amp;LEFT($A$1402,3)),4,0)),0,VLOOKUP($A$1402,INDIRECT("notes_"&amp;LEFT($A$1402,3)),4,0))</f>
        <v>0</v>
      </c>
      <c r="D1730" s="789" t="str">
        <f>'RO5'!L118</f>
        <v/>
      </c>
      <c r="E1730" s="789" t="str">
        <f>'RO5'!M118</f>
        <v/>
      </c>
      <c r="F1730" s="789" t="str">
        <f>'RO5'!O118</f>
        <v/>
      </c>
    </row>
    <row r="1731" spans="1:6" x14ac:dyDescent="0.25">
      <c r="A1731" s="787" t="s">
        <v>4160</v>
      </c>
      <c r="B1731" s="789">
        <f>IF('RO5'!J$119="","",'RO5'!J$119)</f>
        <v>0</v>
      </c>
      <c r="C1731" s="790">
        <f ca="1">IF(ISERROR(VLOOKUP($A$1403,INDIRECT("notes_"&amp;LEFT($A$1403,3)),4,0)),0,VLOOKUP($A$1403,INDIRECT("notes_"&amp;LEFT($A$1403,3)),4,0))</f>
        <v>0</v>
      </c>
      <c r="D1731" s="789" t="str">
        <f>'RO5'!L119</f>
        <v/>
      </c>
      <c r="E1731" s="789" t="str">
        <f>'RO5'!M119</f>
        <v/>
      </c>
      <c r="F1731" s="789" t="str">
        <f>'RO5'!O119</f>
        <v/>
      </c>
    </row>
    <row r="1732" spans="1:6" x14ac:dyDescent="0.25">
      <c r="A1732" s="787" t="s">
        <v>4161</v>
      </c>
      <c r="B1732" s="789">
        <f>IF('RO5'!J$120="","",'RO5'!J$120)</f>
        <v>0</v>
      </c>
      <c r="C1732" s="790">
        <f ca="1">IF(ISERROR(VLOOKUP($A$1404,INDIRECT("notes_"&amp;LEFT($A$1404,3)),4,0)),0,VLOOKUP($A$1404,INDIRECT("notes_"&amp;LEFT($A$1404,3)),4,0))</f>
        <v>0</v>
      </c>
      <c r="D1732" s="789" t="str">
        <f>'RO5'!L120</f>
        <v/>
      </c>
      <c r="E1732" s="789" t="str">
        <f>'RO5'!M120</f>
        <v/>
      </c>
      <c r="F1732" s="789" t="str">
        <f>'RO5'!O120</f>
        <v/>
      </c>
    </row>
    <row r="1733" spans="1:6" x14ac:dyDescent="0.25">
      <c r="A1733" s="787" t="s">
        <v>4162</v>
      </c>
      <c r="B1733" s="789">
        <f>IF('RO5'!J$122="","",'RO5'!J$122)</f>
        <v>0</v>
      </c>
      <c r="C1733" s="790">
        <f ca="1">IF(ISERROR(VLOOKUP($A$1405,INDIRECT("notes_"&amp;LEFT($A$1405,3)),4,0)),0,VLOOKUP($A$1405,INDIRECT("notes_"&amp;LEFT($A$1405,3)),4,0))</f>
        <v>0</v>
      </c>
      <c r="D1733" s="789" t="str">
        <f>'RO5'!L122</f>
        <v/>
      </c>
      <c r="E1733" s="789" t="str">
        <f>'RO5'!M122</f>
        <v/>
      </c>
      <c r="F1733" s="789" t="str">
        <f>'RO5'!O122</f>
        <v/>
      </c>
    </row>
    <row r="1734" spans="1:6" x14ac:dyDescent="0.25">
      <c r="A1734" s="787" t="s">
        <v>4163</v>
      </c>
      <c r="B1734" s="789">
        <f>IF('RO5'!J$124="","",'RO5'!J$124)</f>
        <v>0</v>
      </c>
      <c r="C1734" s="790">
        <f ca="1">IF(ISERROR(VLOOKUP($A$1406,INDIRECT("notes_"&amp;LEFT($A$1406,3)),4,0)),0,VLOOKUP($A$1406,INDIRECT("notes_"&amp;LEFT($A$1406,3)),4,0))</f>
        <v>0</v>
      </c>
      <c r="D1734" s="789" t="str">
        <f>'RO5'!L124</f>
        <v/>
      </c>
      <c r="E1734" s="789" t="str">
        <f>'RO5'!M124</f>
        <v/>
      </c>
      <c r="F1734" s="789" t="str">
        <f>'RO5'!O124</f>
        <v/>
      </c>
    </row>
    <row r="1735" spans="1:6" x14ac:dyDescent="0.25">
      <c r="A1735" s="787" t="s">
        <v>4164</v>
      </c>
      <c r="B1735" s="789">
        <f>IF('RO5'!J$130="","",'RO5'!J$130)</f>
        <v>0</v>
      </c>
      <c r="C1735" s="790">
        <f ca="1">IF(ISERROR(VLOOKUP($A$1407,INDIRECT("notes_"&amp;LEFT($A$1407,3)),4,0)),0,VLOOKUP($A$1407,INDIRECT("notes_"&amp;LEFT($A$1407,3)),4,0))</f>
        <v>0</v>
      </c>
      <c r="D1735" s="789" t="str">
        <f>'RO5'!L130</f>
        <v/>
      </c>
      <c r="E1735" s="789" t="str">
        <f>'RO5'!M130</f>
        <v/>
      </c>
      <c r="F1735" s="789" t="str">
        <f>'RO5'!O130</f>
        <v/>
      </c>
    </row>
    <row r="1736" spans="1:6" x14ac:dyDescent="0.25">
      <c r="A1736" s="787" t="s">
        <v>4165</v>
      </c>
      <c r="B1736" s="789" t="str">
        <f>IF(ISNUMBER(SEARCH("resolve",'RO6'!A17)),'RO6'!A17,"")</f>
        <v/>
      </c>
      <c r="C1736" s="790"/>
    </row>
    <row r="1737" spans="1:6" x14ac:dyDescent="0.25">
      <c r="A1737" s="787" t="s">
        <v>2713</v>
      </c>
      <c r="B1737" s="789" t="str">
        <f>IF('RO6'!D$32="","",'RO6'!D$32)</f>
        <v/>
      </c>
      <c r="C1737" s="790">
        <f ca="1">IF(ISERROR(VLOOKUP($A$1737,INDIRECT("notes_"&amp;LEFT($A$1737,3)),4,0)),0,VLOOKUP($A$1737,INDIRECT("notes_"&amp;LEFT($A$1737,3)),4,0))</f>
        <v>0</v>
      </c>
    </row>
    <row r="1738" spans="1:6" x14ac:dyDescent="0.25">
      <c r="A1738" s="787" t="s">
        <v>2716</v>
      </c>
      <c r="B1738" s="789" t="str">
        <f>IF('RO6'!D$39="","",'RO6'!D$39)</f>
        <v/>
      </c>
      <c r="C1738" s="790">
        <f ca="1">IF(ISERROR(VLOOKUP($A$1738,INDIRECT("notes_"&amp;LEFT($A$1738,3)),4,0)),0,VLOOKUP($A$1738,INDIRECT("notes_"&amp;LEFT($A$1738,3)),4,0))</f>
        <v>0</v>
      </c>
    </row>
    <row r="1739" spans="1:6" x14ac:dyDescent="0.25">
      <c r="A1739" s="787" t="s">
        <v>2717</v>
      </c>
      <c r="B1739" s="789" t="str">
        <f>IF('RO6'!D$40="","",'RO6'!D$40)</f>
        <v/>
      </c>
      <c r="C1739" s="790">
        <f ca="1">IF(ISERROR(VLOOKUP($A$1739,INDIRECT("notes_"&amp;LEFT($A$1739,3)),4,0)),0,VLOOKUP($A$1739,INDIRECT("notes_"&amp;LEFT($A$1739,3)),4,0))</f>
        <v>0</v>
      </c>
    </row>
    <row r="1740" spans="1:6" x14ac:dyDescent="0.25">
      <c r="A1740" s="787" t="s">
        <v>2718</v>
      </c>
      <c r="B1740" s="789" t="str">
        <f>IF('RO6'!D$41="","",'RO6'!D$41)</f>
        <v/>
      </c>
      <c r="C1740" s="790">
        <f ca="1">IF(ISERROR(VLOOKUP($A$1740,INDIRECT("notes_"&amp;LEFT($A$1740,3)),4,0)),0,VLOOKUP($A$1740,INDIRECT("notes_"&amp;LEFT($A$1740,3)),4,0))</f>
        <v>0</v>
      </c>
    </row>
    <row r="1741" spans="1:6" x14ac:dyDescent="0.25">
      <c r="A1741" s="787" t="s">
        <v>2719</v>
      </c>
      <c r="B1741" s="789">
        <f>IF('RO6'!D$42="","",'RO6'!D$42)</f>
        <v>0</v>
      </c>
      <c r="C1741" s="790">
        <f ca="1">IF(ISERROR(VLOOKUP($A$1741,INDIRECT("notes_"&amp;LEFT($A$1741,3)),4,0)),0,VLOOKUP($A$1741,INDIRECT("notes_"&amp;LEFT($A$1741,3)),4,0))</f>
        <v>0</v>
      </c>
    </row>
    <row r="1742" spans="1:6" x14ac:dyDescent="0.25">
      <c r="A1742" s="787" t="s">
        <v>2721</v>
      </c>
      <c r="B1742" s="789" t="str">
        <f>IF('RO6'!D$50="","",'RO6'!D$50)</f>
        <v/>
      </c>
      <c r="C1742" s="790">
        <f ca="1">IF(ISERROR(VLOOKUP($A$1742,INDIRECT("notes_"&amp;LEFT($A$1742,3)),4,0)),0,VLOOKUP($A$1742,INDIRECT("notes_"&amp;LEFT($A$1742,3)),4,0))</f>
        <v>0</v>
      </c>
    </row>
    <row r="1743" spans="1:6" x14ac:dyDescent="0.25">
      <c r="A1743" s="787" t="s">
        <v>2722</v>
      </c>
      <c r="B1743" s="789" t="str">
        <f>IF('RO6'!D$55="","",'RO6'!D$55)</f>
        <v/>
      </c>
      <c r="C1743" s="790">
        <f ca="1">IF(ISERROR(VLOOKUP($A$1743,INDIRECT("notes_"&amp;LEFT($A$1743,3)),4,0)),0,VLOOKUP($A$1743,INDIRECT("notes_"&amp;LEFT($A$1743,3)),4,0))</f>
        <v>0</v>
      </c>
    </row>
    <row r="1744" spans="1:6" x14ac:dyDescent="0.25">
      <c r="A1744" s="787" t="s">
        <v>2723</v>
      </c>
      <c r="B1744" s="789" t="str">
        <f>IF('RO6'!D$56="","",'RO6'!D$56)</f>
        <v/>
      </c>
      <c r="C1744" s="790">
        <f ca="1">IF(ISERROR(VLOOKUP($A$1744,INDIRECT("notes_"&amp;LEFT($A$1744,3)),4,0)),0,VLOOKUP($A$1744,INDIRECT("notes_"&amp;LEFT($A$1744,3)),4,0))</f>
        <v>0</v>
      </c>
    </row>
    <row r="1745" spans="1:3" x14ac:dyDescent="0.25">
      <c r="A1745" s="787" t="s">
        <v>2724</v>
      </c>
      <c r="B1745" s="789" t="str">
        <f>IF('RO6'!D$57="","",'RO6'!D$57)</f>
        <v/>
      </c>
      <c r="C1745" s="790">
        <f ca="1">IF(ISERROR(VLOOKUP($A$1745,INDIRECT("notes_"&amp;LEFT($A$1745,3)),4,0)),0,VLOOKUP($A$1745,INDIRECT("notes_"&amp;LEFT($A$1745,3)),4,0))</f>
        <v>0</v>
      </c>
    </row>
    <row r="1746" spans="1:3" x14ac:dyDescent="0.25">
      <c r="A1746" s="787" t="s">
        <v>2725</v>
      </c>
      <c r="B1746" s="789" t="str">
        <f>IF('RO6'!D$58="","",'RO6'!D$58)</f>
        <v/>
      </c>
      <c r="C1746" s="790">
        <f ca="1">IF(ISERROR(VLOOKUP($A$1746,INDIRECT("notes_"&amp;LEFT($A$1746,3)),4,0)),0,VLOOKUP($A$1746,INDIRECT("notes_"&amp;LEFT($A$1746,3)),4,0))</f>
        <v>0</v>
      </c>
    </row>
    <row r="1747" spans="1:3" x14ac:dyDescent="0.25">
      <c r="A1747" s="787" t="s">
        <v>2726</v>
      </c>
      <c r="B1747" s="789" t="str">
        <f>IF('RO6'!D$59="","",'RO6'!D$59)</f>
        <v/>
      </c>
      <c r="C1747" s="790">
        <f ca="1">IF(ISERROR(VLOOKUP($A$1747,INDIRECT("notes_"&amp;LEFT($A$1747,3)),4,0)),0,VLOOKUP($A$1747,INDIRECT("notes_"&amp;LEFT($A$1747,3)),4,0))</f>
        <v>0</v>
      </c>
    </row>
    <row r="1748" spans="1:3" x14ac:dyDescent="0.25">
      <c r="A1748" s="787" t="s">
        <v>2727</v>
      </c>
      <c r="B1748" s="789" t="str">
        <f>IF('RO6'!D$60="","",'RO6'!D$60)</f>
        <v/>
      </c>
      <c r="C1748" s="790">
        <f ca="1">IF(ISERROR(VLOOKUP($A$1748,INDIRECT("notes_"&amp;LEFT($A$1748,3)),4,0)),0,VLOOKUP($A$1748,INDIRECT("notes_"&amp;LEFT($A$1748,3)),4,0))</f>
        <v>0</v>
      </c>
    </row>
    <row r="1749" spans="1:3" x14ac:dyDescent="0.25">
      <c r="A1749" s="787" t="s">
        <v>2728</v>
      </c>
      <c r="B1749" s="789" t="str">
        <f>IF('RO6'!D$62="","",'RO6'!D$62)</f>
        <v/>
      </c>
      <c r="C1749" s="790">
        <f ca="1">IF(ISERROR(VLOOKUP($A$1749,INDIRECT("notes_"&amp;LEFT($A$1749,3)),4,0)),0,VLOOKUP($A$1749,INDIRECT("notes_"&amp;LEFT($A$1749,3)),4,0))</f>
        <v>0</v>
      </c>
    </row>
    <row r="1750" spans="1:3" x14ac:dyDescent="0.25">
      <c r="A1750" s="787" t="s">
        <v>2729</v>
      </c>
      <c r="B1750" s="789" t="str">
        <f>IF('RO6'!D$65="","",'RO6'!D$65)</f>
        <v/>
      </c>
      <c r="C1750" s="790">
        <f ca="1">IF(ISERROR(VLOOKUP($A$1750,INDIRECT("notes_"&amp;LEFT($A$1750,3)),4,0)),0,VLOOKUP($A$1750,INDIRECT("notes_"&amp;LEFT($A$1750,3)),4,0))</f>
        <v>0</v>
      </c>
    </row>
    <row r="1751" spans="1:3" x14ac:dyDescent="0.25">
      <c r="A1751" s="787" t="s">
        <v>2730</v>
      </c>
      <c r="B1751" s="789" t="str">
        <f>IF('RO6'!D$66="","",'RO6'!D$66)</f>
        <v/>
      </c>
      <c r="C1751" s="790">
        <f ca="1">IF(ISERROR(VLOOKUP($A$1751,INDIRECT("notes_"&amp;LEFT($A$1751,3)),4,0)),0,VLOOKUP($A$1751,INDIRECT("notes_"&amp;LEFT($A$1751,3)),4,0))</f>
        <v>0</v>
      </c>
    </row>
    <row r="1752" spans="1:3" x14ac:dyDescent="0.25">
      <c r="A1752" s="787" t="s">
        <v>2731</v>
      </c>
      <c r="B1752" s="789" t="str">
        <f>IF('RO6'!D$68="","",'RO6'!D$68)</f>
        <v/>
      </c>
      <c r="C1752" s="790">
        <f ca="1">IF(ISERROR(VLOOKUP($A$1752,INDIRECT("notes_"&amp;LEFT($A$1752,3)),4,0)),0,VLOOKUP($A$1752,INDIRECT("notes_"&amp;LEFT($A$1752,3)),4,0))</f>
        <v>0</v>
      </c>
    </row>
    <row r="1753" spans="1:3" x14ac:dyDescent="0.25">
      <c r="A1753" s="787" t="s">
        <v>2732</v>
      </c>
      <c r="B1753" s="789" t="str">
        <f>IF('RO6'!D$70="","",'RO6'!D$70)</f>
        <v/>
      </c>
      <c r="C1753" s="790">
        <f ca="1">IF(ISERROR(VLOOKUP($A$1753,INDIRECT("notes_"&amp;LEFT($A$1753,3)),4,0)),0,VLOOKUP($A$1753,INDIRECT("notes_"&amp;LEFT($A$1753,3)),4,0))</f>
        <v>0</v>
      </c>
    </row>
    <row r="1754" spans="1:3" x14ac:dyDescent="0.25">
      <c r="A1754" s="787" t="s">
        <v>2733</v>
      </c>
      <c r="B1754" s="789" t="str">
        <f>IF('RO6'!D$72="","",'RO6'!D$72)</f>
        <v/>
      </c>
      <c r="C1754" s="790">
        <f ca="1">IF(ISERROR(VLOOKUP($A$1754,INDIRECT("notes_"&amp;LEFT($A$1754,3)),4,0)),0,VLOOKUP($A$1754,INDIRECT("notes_"&amp;LEFT($A$1754,3)),4,0))</f>
        <v>0</v>
      </c>
    </row>
    <row r="1755" spans="1:3" x14ac:dyDescent="0.25">
      <c r="A1755" s="787" t="s">
        <v>2734</v>
      </c>
      <c r="B1755" s="789" t="str">
        <f>IF('RO6'!D$74="","",'RO6'!D$74)</f>
        <v/>
      </c>
      <c r="C1755" s="790">
        <f ca="1">IF(ISERROR(VLOOKUP($A$1755,INDIRECT("notes_"&amp;LEFT($A$1755,3)),4,0)),0,VLOOKUP($A$1755,INDIRECT("notes_"&amp;LEFT($A$1755,3)),4,0))</f>
        <v>0</v>
      </c>
    </row>
    <row r="1756" spans="1:3" x14ac:dyDescent="0.25">
      <c r="A1756" s="787" t="s">
        <v>2735</v>
      </c>
      <c r="B1756" s="789" t="str">
        <f>IF('RO6'!D$76="","",'RO6'!D$76)</f>
        <v/>
      </c>
      <c r="C1756" s="790">
        <f ca="1">IF(ISERROR(VLOOKUP($A$1756,INDIRECT("notes_"&amp;LEFT($A$1756,3)),4,0)),0,VLOOKUP($A$1756,INDIRECT("notes_"&amp;LEFT($A$1756,3)),4,0))</f>
        <v>0</v>
      </c>
    </row>
    <row r="1757" spans="1:3" x14ac:dyDescent="0.25">
      <c r="A1757" s="787" t="s">
        <v>2736</v>
      </c>
      <c r="B1757" s="789" t="str">
        <f>IF('RO6'!D$77="","",'RO6'!D$77)</f>
        <v/>
      </c>
      <c r="C1757" s="790">
        <f ca="1">IF(ISERROR(VLOOKUP($A$1757,INDIRECT("notes_"&amp;LEFT($A$1757,3)),4,0)),0,VLOOKUP($A$1757,INDIRECT("notes_"&amp;LEFT($A$1757,3)),4,0))</f>
        <v>0</v>
      </c>
    </row>
    <row r="1758" spans="1:3" x14ac:dyDescent="0.25">
      <c r="A1758" s="787" t="s">
        <v>2737</v>
      </c>
      <c r="B1758" s="789" t="str">
        <f>IF('RO6'!D$80="","",'RO6'!D$80)</f>
        <v/>
      </c>
      <c r="C1758" s="790">
        <f ca="1">IF(ISERROR(VLOOKUP($A$1758,INDIRECT("notes_"&amp;LEFT($A$1758,3)),4,0)),0,VLOOKUP($A$1758,INDIRECT("notes_"&amp;LEFT($A$1758,3)),4,0))</f>
        <v>0</v>
      </c>
    </row>
    <row r="1759" spans="1:3" x14ac:dyDescent="0.25">
      <c r="A1759" s="787" t="s">
        <v>2738</v>
      </c>
      <c r="B1759" s="789" t="str">
        <f>IF('RO6'!D$81="","",'RO6'!D$81)</f>
        <v/>
      </c>
      <c r="C1759" s="790">
        <f ca="1">IF(ISERROR(VLOOKUP($A$1759,INDIRECT("notes_"&amp;LEFT($A$1759,3)),4,0)),0,VLOOKUP($A$1759,INDIRECT("notes_"&amp;LEFT($A$1759,3)),4,0))</f>
        <v>0</v>
      </c>
    </row>
    <row r="1760" spans="1:3" x14ac:dyDescent="0.25">
      <c r="A1760" s="787" t="s">
        <v>2739</v>
      </c>
      <c r="B1760" s="789" t="str">
        <f>IF('RO6'!D$82="","",'RO6'!D$82)</f>
        <v/>
      </c>
      <c r="C1760" s="790">
        <f ca="1">IF(ISERROR(VLOOKUP($A$1760,INDIRECT("notes_"&amp;LEFT($A$1760,3)),4,0)),0,VLOOKUP($A$1760,INDIRECT("notes_"&amp;LEFT($A$1760,3)),4,0))</f>
        <v>0</v>
      </c>
    </row>
    <row r="1761" spans="1:7" x14ac:dyDescent="0.25">
      <c r="A1761" s="787" t="s">
        <v>2740</v>
      </c>
      <c r="B1761" s="789" t="str">
        <f>IF('RO6'!D$84="","",'RO6'!D$84)</f>
        <v/>
      </c>
      <c r="C1761" s="790">
        <f ca="1">IF(ISERROR(VLOOKUP($A$1761,INDIRECT("notes_"&amp;LEFT($A$1761,3)),4,0)),0,VLOOKUP($A$1761,INDIRECT("notes_"&amp;LEFT($A$1761,3)),4,0))</f>
        <v>0</v>
      </c>
    </row>
    <row r="1762" spans="1:7" x14ac:dyDescent="0.25">
      <c r="A1762" s="787" t="s">
        <v>2741</v>
      </c>
      <c r="B1762" s="789">
        <f>IF('RO6'!D$86="","",'RO6'!D$86)</f>
        <v>0</v>
      </c>
      <c r="C1762" s="790">
        <f ca="1">IF(ISERROR(VLOOKUP($A$1762,INDIRECT("notes_"&amp;LEFT($A$1762,3)),4,0)),0,VLOOKUP($A$1762,INDIRECT("notes_"&amp;LEFT($A$1762,3)),4,0))</f>
        <v>0</v>
      </c>
    </row>
    <row r="1763" spans="1:7" x14ac:dyDescent="0.25">
      <c r="A1763" s="787" t="s">
        <v>2748</v>
      </c>
      <c r="B1763" s="789">
        <f>IF('RO6'!D$100="","",'RO6'!D$100)</f>
        <v>0</v>
      </c>
      <c r="C1763" s="790">
        <f ca="1">IF(ISERROR(VLOOKUP($A$1763,INDIRECT("notes_"&amp;LEFT($A$1763,3)),4,0)),0,VLOOKUP($A$1763,INDIRECT("notes_"&amp;LEFT($A$1763,3)),4,0))</f>
        <v>0</v>
      </c>
    </row>
    <row r="1764" spans="1:7" x14ac:dyDescent="0.25">
      <c r="A1764" s="787" t="s">
        <v>2750</v>
      </c>
      <c r="B1764" s="789" t="str">
        <f>IF('RO6'!D$107="","",'RO6'!D$107)</f>
        <v/>
      </c>
      <c r="C1764" s="790">
        <f ca="1">IF(ISERROR(VLOOKUP($A$1764,INDIRECT("notes_"&amp;LEFT($A$1764,3)),4,0)),0,VLOOKUP($A$1764,INDIRECT("notes_"&amp;LEFT($A$1764,3)),4,0))</f>
        <v>0</v>
      </c>
      <c r="G1764" s="787" t="str">
        <f>IF(ISNUMBER(SEARCH("specify",'RO6'!B107)),"",'RO6'!B107)</f>
        <v/>
      </c>
    </row>
    <row r="1765" spans="1:7" x14ac:dyDescent="0.25">
      <c r="A1765" s="787" t="s">
        <v>2751</v>
      </c>
      <c r="B1765" s="789" t="str">
        <f>IF('RO6'!D$108="","",'RO6'!D$108)</f>
        <v/>
      </c>
      <c r="C1765" s="790">
        <f ca="1">IF(ISERROR(VLOOKUP($A$1765,INDIRECT("notes_"&amp;LEFT($A$1765,3)),4,0)),0,VLOOKUP($A$1765,INDIRECT("notes_"&amp;LEFT($A$1765,3)),4,0))</f>
        <v>0</v>
      </c>
      <c r="G1765" s="787" t="str">
        <f>IF(ISNUMBER(SEARCH("specify",'RO6'!B108)),"",'RO6'!B108)</f>
        <v/>
      </c>
    </row>
    <row r="1766" spans="1:7" x14ac:dyDescent="0.25">
      <c r="A1766" s="787" t="s">
        <v>2752</v>
      </c>
      <c r="B1766" s="789" t="str">
        <f>IF('RO6'!D$109="","",'RO6'!D$109)</f>
        <v/>
      </c>
      <c r="C1766" s="790">
        <f ca="1">IF(ISERROR(VLOOKUP($A$1766,INDIRECT("notes_"&amp;LEFT($A$1766,3)),4,0)),0,VLOOKUP($A$1766,INDIRECT("notes_"&amp;LEFT($A$1766,3)),4,0))</f>
        <v>0</v>
      </c>
      <c r="G1766" s="787" t="str">
        <f>IF(ISNUMBER(SEARCH("specify",'RO6'!B109)),"",'RO6'!B109)</f>
        <v/>
      </c>
    </row>
    <row r="1767" spans="1:7" x14ac:dyDescent="0.25">
      <c r="A1767" s="787" t="s">
        <v>2753</v>
      </c>
      <c r="B1767" s="789" t="str">
        <f>IF('RO6'!D$110="","",'RO6'!D$110)</f>
        <v/>
      </c>
      <c r="C1767" s="790">
        <f ca="1">IF(ISERROR(VLOOKUP($A$1767,INDIRECT("notes_"&amp;LEFT($A$1767,3)),4,0)),0,VLOOKUP($A$1767,INDIRECT("notes_"&amp;LEFT($A$1767,3)),4,0))</f>
        <v>0</v>
      </c>
      <c r="G1767" s="787" t="str">
        <f>IF(ISNUMBER(SEARCH("specify",'RO6'!B110)),"",'RO6'!B110)</f>
        <v/>
      </c>
    </row>
    <row r="1768" spans="1:7" x14ac:dyDescent="0.25">
      <c r="A1768" s="787" t="s">
        <v>2754</v>
      </c>
      <c r="B1768" s="789" t="str">
        <f>IF('RO6'!D$111="","",'RO6'!D$111)</f>
        <v/>
      </c>
      <c r="C1768" s="790">
        <f ca="1">IF(ISERROR(VLOOKUP($A$1768,INDIRECT("notes_"&amp;LEFT($A$1768,3)),4,0)),0,VLOOKUP($A$1768,INDIRECT("notes_"&amp;LEFT($A$1768,3)),4,0))</f>
        <v>0</v>
      </c>
      <c r="G1768" s="787" t="str">
        <f>IF(ISNUMBER(SEARCH("specify",'RO6'!B111)),"",'RO6'!B111)</f>
        <v/>
      </c>
    </row>
    <row r="1769" spans="1:7" x14ac:dyDescent="0.25">
      <c r="A1769" s="787" t="s">
        <v>2755</v>
      </c>
      <c r="B1769" s="789" t="str">
        <f>IF('RO6'!D$112="","",'RO6'!D$112)</f>
        <v/>
      </c>
      <c r="C1769" s="790">
        <f ca="1">IF(ISERROR(VLOOKUP($A$1769,INDIRECT("notes_"&amp;LEFT($A$1769,3)),4,0)),0,VLOOKUP($A$1769,INDIRECT("notes_"&amp;LEFT($A$1769,3)),4,0))</f>
        <v>0</v>
      </c>
      <c r="G1769" s="787" t="str">
        <f>IF(ISNUMBER(SEARCH("specify",'RO6'!B112)),"",'RO6'!B112)</f>
        <v/>
      </c>
    </row>
    <row r="1770" spans="1:7" x14ac:dyDescent="0.25">
      <c r="A1770" s="787" t="s">
        <v>2756</v>
      </c>
      <c r="B1770" s="789" t="str">
        <f>IF('RO6'!D$113="","",'RO6'!D$113)</f>
        <v/>
      </c>
      <c r="C1770" s="790">
        <f ca="1">IF(ISERROR(VLOOKUP($A$1770,INDIRECT("notes_"&amp;LEFT($A$1770,3)),4,0)),0,VLOOKUP($A$1770,INDIRECT("notes_"&amp;LEFT($A$1770,3)),4,0))</f>
        <v>0</v>
      </c>
      <c r="G1770" s="787" t="str">
        <f>IF(ISNUMBER(SEARCH("specify",'RO6'!B113)),"",'RO6'!B113)</f>
        <v/>
      </c>
    </row>
    <row r="1771" spans="1:7" x14ac:dyDescent="0.25">
      <c r="A1771" s="787" t="s">
        <v>2757</v>
      </c>
      <c r="B1771" s="789" t="str">
        <f>IF('RO6'!D$114="","",'RO6'!D$114)</f>
        <v/>
      </c>
      <c r="C1771" s="790">
        <f ca="1">IF(ISERROR(VLOOKUP($A$1771,INDIRECT("notes_"&amp;LEFT($A$1771,3)),4,0)),0,VLOOKUP($A$1771,INDIRECT("notes_"&amp;LEFT($A$1771,3)),4,0))</f>
        <v>0</v>
      </c>
      <c r="G1771" s="787" t="str">
        <f>IF(ISNUMBER(SEARCH("specify",'RO6'!B114)),"",'RO6'!B114)</f>
        <v/>
      </c>
    </row>
    <row r="1772" spans="1:7" x14ac:dyDescent="0.25">
      <c r="A1772" s="787" t="s">
        <v>2758</v>
      </c>
      <c r="B1772" s="789" t="str">
        <f>IF('RO6'!D$115="","",'RO6'!D$115)</f>
        <v/>
      </c>
      <c r="C1772" s="790">
        <f ca="1">IF(ISERROR(VLOOKUP($A$1772,INDIRECT("notes_"&amp;LEFT($A$1772,3)),4,0)),0,VLOOKUP($A$1772,INDIRECT("notes_"&amp;LEFT($A$1772,3)),4,0))</f>
        <v>0</v>
      </c>
      <c r="G1772" s="787" t="str">
        <f>IF(ISNUMBER(SEARCH("specify",'RO6'!B115)),"",'RO6'!B115)</f>
        <v/>
      </c>
    </row>
    <row r="1773" spans="1:7" x14ac:dyDescent="0.25">
      <c r="A1773" s="787" t="s">
        <v>2759</v>
      </c>
      <c r="B1773" s="789" t="str">
        <f>IF('RO6'!D$116="","",'RO6'!D$116)</f>
        <v/>
      </c>
      <c r="C1773" s="790">
        <f ca="1">IF(ISERROR(VLOOKUP($A$1773,INDIRECT("notes_"&amp;LEFT($A$1773,3)),4,0)),0,VLOOKUP($A$1773,INDIRECT("notes_"&amp;LEFT($A$1773,3)),4,0))</f>
        <v>0</v>
      </c>
      <c r="G1773" s="787" t="str">
        <f>IF(ISNUMBER(SEARCH("specify",'RO6'!B116)),"",'RO6'!B116)</f>
        <v/>
      </c>
    </row>
    <row r="1774" spans="1:7" x14ac:dyDescent="0.25">
      <c r="A1774" s="787" t="s">
        <v>2760</v>
      </c>
      <c r="B1774" s="789" t="str">
        <f>IF('RO6'!D$117="","",'RO6'!D$117)</f>
        <v/>
      </c>
      <c r="C1774" s="790">
        <f ca="1">IF(ISERROR(VLOOKUP($A$1774,INDIRECT("notes_"&amp;LEFT($A$1774,3)),4,0)),0,VLOOKUP($A$1774,INDIRECT("notes_"&amp;LEFT($A$1774,3)),4,0))</f>
        <v>0</v>
      </c>
      <c r="G1774" s="787" t="str">
        <f>IF(ISNUMBER(SEARCH("specify",'RO6'!B117)),"",'RO6'!B117)</f>
        <v/>
      </c>
    </row>
    <row r="1775" spans="1:7" x14ac:dyDescent="0.25">
      <c r="A1775" s="787" t="s">
        <v>2761</v>
      </c>
      <c r="B1775" s="789" t="str">
        <f>IF('RO6'!D$118="","",'RO6'!D$118)</f>
        <v/>
      </c>
      <c r="C1775" s="790">
        <f ca="1">IF(ISERROR(VLOOKUP($A$1775,INDIRECT("notes_"&amp;LEFT($A$1775,3)),4,0)),0,VLOOKUP($A$1775,INDIRECT("notes_"&amp;LEFT($A$1775,3)),4,0))</f>
        <v>0</v>
      </c>
      <c r="G1775" s="787" t="str">
        <f>IF(ISNUMBER(SEARCH("specify",'RO6'!B118)),"",'RO6'!B118)</f>
        <v/>
      </c>
    </row>
    <row r="1776" spans="1:7" x14ac:dyDescent="0.25">
      <c r="A1776" s="787" t="s">
        <v>2762</v>
      </c>
      <c r="B1776" s="789" t="str">
        <f>IF('RO6'!D$119="","",'RO6'!D$119)</f>
        <v/>
      </c>
      <c r="C1776" s="790">
        <f ca="1">IF(ISERROR(VLOOKUP($A$1776,INDIRECT("notes_"&amp;LEFT($A$1776,3)),4,0)),0,VLOOKUP($A$1776,INDIRECT("notes_"&amp;LEFT($A$1776,3)),4,0))</f>
        <v>0</v>
      </c>
      <c r="G1776" s="787" t="str">
        <f>IF(ISNUMBER(SEARCH("specify",'RO6'!B119)),"",'RO6'!B119)</f>
        <v/>
      </c>
    </row>
    <row r="1777" spans="1:7" x14ac:dyDescent="0.25">
      <c r="A1777" s="787" t="s">
        <v>2763</v>
      </c>
      <c r="B1777" s="789" t="str">
        <f>IF('RO6'!D$120="","",'RO6'!D$120)</f>
        <v/>
      </c>
      <c r="C1777" s="790">
        <f ca="1">IF(ISERROR(VLOOKUP($A$1777,INDIRECT("notes_"&amp;LEFT($A$1777,3)),4,0)),0,VLOOKUP($A$1777,INDIRECT("notes_"&amp;LEFT($A$1777,3)),4,0))</f>
        <v>0</v>
      </c>
      <c r="G1777" s="787" t="str">
        <f>IF(ISNUMBER(SEARCH("specify",'RO6'!B120)),"",'RO6'!B120)</f>
        <v/>
      </c>
    </row>
    <row r="1778" spans="1:7" x14ac:dyDescent="0.25">
      <c r="A1778" s="787" t="s">
        <v>2764</v>
      </c>
      <c r="B1778" s="789" t="str">
        <f>IF('RO6'!D$121="","",'RO6'!D$121)</f>
        <v/>
      </c>
      <c r="C1778" s="790">
        <f ca="1">IF(ISERROR(VLOOKUP($A$1778,INDIRECT("notes_"&amp;LEFT($A$1778,3)),4,0)),0,VLOOKUP($A$1778,INDIRECT("notes_"&amp;LEFT($A$1778,3)),4,0))</f>
        <v>0</v>
      </c>
      <c r="G1778" s="787" t="str">
        <f>IF(ISNUMBER(SEARCH("specify",'RO6'!B121)),"",'RO6'!B121)</f>
        <v/>
      </c>
    </row>
    <row r="1779" spans="1:7" x14ac:dyDescent="0.25">
      <c r="A1779" s="787" t="s">
        <v>2765</v>
      </c>
      <c r="B1779" s="789" t="str">
        <f>IF('RO6'!D$122="","",'RO6'!D$122)</f>
        <v/>
      </c>
      <c r="C1779" s="790">
        <f ca="1">IF(ISERROR(VLOOKUP($A$1779,INDIRECT("notes_"&amp;LEFT($A$1779,3)),4,0)),0,VLOOKUP($A$1779,INDIRECT("notes_"&amp;LEFT($A$1779,3)),4,0))</f>
        <v>0</v>
      </c>
      <c r="G1779" s="787" t="str">
        <f>IF(ISNUMBER(SEARCH("specify",'RO6'!B122)),"",'RO6'!B122)</f>
        <v/>
      </c>
    </row>
    <row r="1780" spans="1:7" x14ac:dyDescent="0.25">
      <c r="A1780" s="787" t="s">
        <v>2766</v>
      </c>
      <c r="B1780" s="789" t="str">
        <f>IF('RO6'!D$123="","",'RO6'!D$123)</f>
        <v/>
      </c>
      <c r="C1780" s="790">
        <f ca="1">IF(ISERROR(VLOOKUP($A$1780,INDIRECT("notes_"&amp;LEFT($A$1780,3)),4,0)),0,VLOOKUP($A$1780,INDIRECT("notes_"&amp;LEFT($A$1780,3)),4,0))</f>
        <v>0</v>
      </c>
      <c r="G1780" s="787" t="str">
        <f>IF(ISNUMBER(SEARCH("specify",'RO6'!B123)),"",'RO6'!B123)</f>
        <v/>
      </c>
    </row>
    <row r="1781" spans="1:7" x14ac:dyDescent="0.25">
      <c r="A1781" s="787" t="s">
        <v>2767</v>
      </c>
      <c r="B1781" s="789" t="str">
        <f>IF('RO6'!D$124="","",'RO6'!D$124)</f>
        <v/>
      </c>
      <c r="C1781" s="790">
        <f ca="1">IF(ISERROR(VLOOKUP($A$1781,INDIRECT("notes_"&amp;LEFT($A$1781,3)),4,0)),0,VLOOKUP($A$1781,INDIRECT("notes_"&amp;LEFT($A$1781,3)),4,0))</f>
        <v>0</v>
      </c>
      <c r="G1781" s="787" t="str">
        <f>IF(ISNUMBER(SEARCH("specify",'RO6'!B124)),"",'RO6'!B124)</f>
        <v/>
      </c>
    </row>
    <row r="1782" spans="1:7" x14ac:dyDescent="0.25">
      <c r="A1782" s="787" t="s">
        <v>2768</v>
      </c>
      <c r="B1782" s="789" t="str">
        <f>IF('RO6'!D$125="","",'RO6'!D$125)</f>
        <v/>
      </c>
      <c r="C1782" s="790">
        <f ca="1">IF(ISERROR(VLOOKUP($A$1782,INDIRECT("notes_"&amp;LEFT($A$1782,3)),4,0)),0,VLOOKUP($A$1782,INDIRECT("notes_"&amp;LEFT($A$1782,3)),4,0))</f>
        <v>0</v>
      </c>
      <c r="G1782" s="787" t="str">
        <f>IF(ISNUMBER(SEARCH("specify",'RO6'!B125)),"",'RO6'!B125)</f>
        <v/>
      </c>
    </row>
    <row r="1783" spans="1:7" x14ac:dyDescent="0.25">
      <c r="A1783" s="787" t="s">
        <v>2769</v>
      </c>
      <c r="B1783" s="789" t="str">
        <f>IF('RO6'!D$126="","",'RO6'!D$126)</f>
        <v/>
      </c>
      <c r="C1783" s="790">
        <f ca="1">IF(ISERROR(VLOOKUP($A$1783,INDIRECT("notes_"&amp;LEFT($A$1783,3)),4,0)),0,VLOOKUP($A$1783,INDIRECT("notes_"&amp;LEFT($A$1783,3)),4,0))</f>
        <v>0</v>
      </c>
      <c r="G1783" s="787" t="str">
        <f>IF(ISNUMBER(SEARCH("specify",'RO6'!B126)),"",'RO6'!B126)</f>
        <v/>
      </c>
    </row>
    <row r="1784" spans="1:7" x14ac:dyDescent="0.25">
      <c r="A1784" s="787" t="s">
        <v>2770</v>
      </c>
      <c r="B1784" s="789">
        <f>IF('RO6'!D$127="","",'RO6'!D$127)</f>
        <v>0</v>
      </c>
      <c r="C1784" s="790">
        <f ca="1">IF(ISERROR(VLOOKUP($A$1784,INDIRECT("notes_"&amp;LEFT($A$1784,3)),4,0)),0,VLOOKUP($A$1784,INDIRECT("notes_"&amp;LEFT($A$1784,3)),4,0))</f>
        <v>0</v>
      </c>
    </row>
    <row r="1785" spans="1:7" x14ac:dyDescent="0.25">
      <c r="A1785" s="787" t="s">
        <v>4166</v>
      </c>
      <c r="B1785" s="789" t="str">
        <f>IF('RO6'!E$32="","",'RO6'!E$32)</f>
        <v/>
      </c>
      <c r="C1785" s="790">
        <f ca="1">IF(ISERROR(VLOOKUP($A$1737,INDIRECT("notes_"&amp;LEFT($A$1737,3)),4,0)),0,VLOOKUP($A$1737,INDIRECT("notes_"&amp;LEFT($A$1737,3)),4,0))</f>
        <v>0</v>
      </c>
    </row>
    <row r="1786" spans="1:7" x14ac:dyDescent="0.25">
      <c r="A1786" s="817" t="s">
        <v>2715</v>
      </c>
      <c r="B1786" s="818" t="str">
        <f>IF('RO6'!E$36="","",'RO6'!E$36)</f>
        <v/>
      </c>
      <c r="C1786" s="819">
        <f ca="1">IF(ISERROR(VLOOKUP($A$1786,INDIRECT("notes_"&amp;LEFT($A$1786,3)),4,0)),0,VLOOKUP($A$1786,INDIRECT("notes_"&amp;LEFT($A$1786,3)),4,0))</f>
        <v>0</v>
      </c>
    </row>
    <row r="1787" spans="1:7" x14ac:dyDescent="0.25">
      <c r="A1787" s="787" t="s">
        <v>4167</v>
      </c>
      <c r="B1787" s="789" t="str">
        <f>IF('RO6'!E$39="","",'RO6'!E$39)</f>
        <v/>
      </c>
      <c r="C1787" s="790">
        <f ca="1">IF(ISERROR(VLOOKUP($A$1738,INDIRECT("notes_"&amp;LEFT($A$1738,3)),4,0)),0,VLOOKUP($A$1738,INDIRECT("notes_"&amp;LEFT($A$1738,3)),4,0))</f>
        <v>0</v>
      </c>
    </row>
    <row r="1788" spans="1:7" x14ac:dyDescent="0.25">
      <c r="A1788" s="787" t="s">
        <v>4168</v>
      </c>
      <c r="B1788" s="789" t="str">
        <f>IF('RO6'!E$40="","",'RO6'!E$40)</f>
        <v/>
      </c>
      <c r="C1788" s="790">
        <f ca="1">IF(ISERROR(VLOOKUP($A$1739,INDIRECT("notes_"&amp;LEFT($A$1739,3)),4,0)),0,VLOOKUP($A$1739,INDIRECT("notes_"&amp;LEFT($A$1739,3)),4,0))</f>
        <v>0</v>
      </c>
    </row>
    <row r="1789" spans="1:7" x14ac:dyDescent="0.25">
      <c r="A1789" s="787" t="s">
        <v>4169</v>
      </c>
      <c r="B1789" s="789" t="str">
        <f>IF('RO6'!E$41="","",'RO6'!E$41)</f>
        <v/>
      </c>
      <c r="C1789" s="790">
        <f ca="1">IF(ISERROR(VLOOKUP($A$1740,INDIRECT("notes_"&amp;LEFT($A$1740,3)),4,0)),0,VLOOKUP($A$1740,INDIRECT("notes_"&amp;LEFT($A$1740,3)),4,0))</f>
        <v>0</v>
      </c>
    </row>
    <row r="1790" spans="1:7" x14ac:dyDescent="0.25">
      <c r="A1790" s="787" t="s">
        <v>4170</v>
      </c>
      <c r="B1790" s="789">
        <f>IF('RO6'!E$42="","",'RO6'!E$42)</f>
        <v>0</v>
      </c>
      <c r="C1790" s="790">
        <f ca="1">IF(ISERROR(VLOOKUP($A$1741,INDIRECT("notes_"&amp;LEFT($A$1741,3)),4,0)),0,VLOOKUP($A$1741,INDIRECT("notes_"&amp;LEFT($A$1741,3)),4,0))</f>
        <v>0</v>
      </c>
    </row>
    <row r="1791" spans="1:7" x14ac:dyDescent="0.25">
      <c r="A1791" s="817" t="s">
        <v>2720</v>
      </c>
      <c r="B1791" s="818" t="str">
        <f>IF('RO6'!E$46="","",'RO6'!E$46)</f>
        <v/>
      </c>
      <c r="C1791" s="819">
        <f ca="1">IF(ISERROR(VLOOKUP($A$1791,INDIRECT("notes_"&amp;LEFT($A$1791,3)),4,0)),0,VLOOKUP($A$1791,INDIRECT("notes_"&amp;LEFT($A$1791,3)),4,0))</f>
        <v>0</v>
      </c>
    </row>
    <row r="1792" spans="1:7" x14ac:dyDescent="0.25">
      <c r="A1792" s="787" t="s">
        <v>4171</v>
      </c>
      <c r="B1792" s="789" t="str">
        <f>IF('RO6'!E$50="","",'RO6'!E$50)</f>
        <v/>
      </c>
      <c r="C1792" s="790">
        <f ca="1">IF(ISERROR(VLOOKUP($A$1742,INDIRECT("notes_"&amp;LEFT($A$1742,3)),4,0)),0,VLOOKUP($A$1742,INDIRECT("notes_"&amp;LEFT($A$1742,3)),4,0))</f>
        <v>0</v>
      </c>
    </row>
    <row r="1793" spans="1:3" x14ac:dyDescent="0.25">
      <c r="A1793" s="787" t="s">
        <v>4172</v>
      </c>
      <c r="B1793" s="789" t="str">
        <f>IF('RO6'!E$55="","",'RO6'!E$55)</f>
        <v/>
      </c>
      <c r="C1793" s="790">
        <f ca="1">IF(ISERROR(VLOOKUP($A$1743,INDIRECT("notes_"&amp;LEFT($A$1743,3)),4,0)),0,VLOOKUP($A$1743,INDIRECT("notes_"&amp;LEFT($A$1743,3)),4,0))</f>
        <v>0</v>
      </c>
    </row>
    <row r="1794" spans="1:3" x14ac:dyDescent="0.25">
      <c r="A1794" s="787" t="s">
        <v>4173</v>
      </c>
      <c r="B1794" s="789" t="str">
        <f>IF('RO6'!E$56="","",'RO6'!E$56)</f>
        <v/>
      </c>
      <c r="C1794" s="790">
        <f ca="1">IF(ISERROR(VLOOKUP($A$1744,INDIRECT("notes_"&amp;LEFT($A$1744,3)),4,0)),0,VLOOKUP($A$1744,INDIRECT("notes_"&amp;LEFT($A$1744,3)),4,0))</f>
        <v>0</v>
      </c>
    </row>
    <row r="1795" spans="1:3" x14ac:dyDescent="0.25">
      <c r="A1795" s="787" t="s">
        <v>4174</v>
      </c>
      <c r="B1795" s="789" t="str">
        <f>IF('RO6'!E$57="","",'RO6'!E$57)</f>
        <v/>
      </c>
      <c r="C1795" s="790">
        <f ca="1">IF(ISERROR(VLOOKUP($A$1745,INDIRECT("notes_"&amp;LEFT($A$1745,3)),4,0)),0,VLOOKUP($A$1745,INDIRECT("notes_"&amp;LEFT($A$1745,3)),4,0))</f>
        <v>0</v>
      </c>
    </row>
    <row r="1796" spans="1:3" x14ac:dyDescent="0.25">
      <c r="A1796" s="787" t="s">
        <v>4175</v>
      </c>
      <c r="B1796" s="789" t="str">
        <f>IF('RO6'!E$58="","",'RO6'!E$58)</f>
        <v/>
      </c>
      <c r="C1796" s="790">
        <f ca="1">IF(ISERROR(VLOOKUP($A$1746,INDIRECT("notes_"&amp;LEFT($A$1746,3)),4,0)),0,VLOOKUP($A$1746,INDIRECT("notes_"&amp;LEFT($A$1746,3)),4,0))</f>
        <v>0</v>
      </c>
    </row>
    <row r="1797" spans="1:3" x14ac:dyDescent="0.25">
      <c r="A1797" s="787" t="s">
        <v>4176</v>
      </c>
      <c r="B1797" s="789" t="str">
        <f>IF('RO6'!E$59="","",'RO6'!E$59)</f>
        <v/>
      </c>
      <c r="C1797" s="790">
        <f ca="1">IF(ISERROR(VLOOKUP($A$1747,INDIRECT("notes_"&amp;LEFT($A$1747,3)),4,0)),0,VLOOKUP($A$1747,INDIRECT("notes_"&amp;LEFT($A$1747,3)),4,0))</f>
        <v>0</v>
      </c>
    </row>
    <row r="1798" spans="1:3" x14ac:dyDescent="0.25">
      <c r="A1798" s="787" t="s">
        <v>4177</v>
      </c>
      <c r="B1798" s="789" t="str">
        <f>IF('RO6'!E$60="","",'RO6'!E$60)</f>
        <v/>
      </c>
      <c r="C1798" s="790">
        <f ca="1">IF(ISERROR(VLOOKUP($A$1748,INDIRECT("notes_"&amp;LEFT($A$1748,3)),4,0)),0,VLOOKUP($A$1748,INDIRECT("notes_"&amp;LEFT($A$1748,3)),4,0))</f>
        <v>0</v>
      </c>
    </row>
    <row r="1799" spans="1:3" x14ac:dyDescent="0.25">
      <c r="A1799" s="787" t="s">
        <v>4178</v>
      </c>
      <c r="B1799" s="789" t="str">
        <f>IF('RO6'!E$62="","",'RO6'!E$62)</f>
        <v/>
      </c>
      <c r="C1799" s="790">
        <f ca="1">IF(ISERROR(VLOOKUP($A$1749,INDIRECT("notes_"&amp;LEFT($A$1749,3)),4,0)),0,VLOOKUP($A$1749,INDIRECT("notes_"&amp;LEFT($A$1749,3)),4,0))</f>
        <v>0</v>
      </c>
    </row>
    <row r="1800" spans="1:3" x14ac:dyDescent="0.25">
      <c r="A1800" s="787" t="s">
        <v>4179</v>
      </c>
      <c r="B1800" s="789" t="str">
        <f>IF('RO6'!E$65="","",'RO6'!E$65)</f>
        <v/>
      </c>
      <c r="C1800" s="790">
        <f ca="1">IF(ISERROR(VLOOKUP($A$1750,INDIRECT("notes_"&amp;LEFT($A$1750,3)),4,0)),0,VLOOKUP($A$1750,INDIRECT("notes_"&amp;LEFT($A$1750,3)),4,0))</f>
        <v>0</v>
      </c>
    </row>
    <row r="1801" spans="1:3" x14ac:dyDescent="0.25">
      <c r="A1801" s="787" t="s">
        <v>4180</v>
      </c>
      <c r="B1801" s="789" t="str">
        <f>IF('RO6'!E$66="","",'RO6'!E$66)</f>
        <v/>
      </c>
      <c r="C1801" s="790">
        <f ca="1">IF(ISERROR(VLOOKUP($A$1751,INDIRECT("notes_"&amp;LEFT($A$1751,3)),4,0)),0,VLOOKUP($A$1751,INDIRECT("notes_"&amp;LEFT($A$1751,3)),4,0))</f>
        <v>0</v>
      </c>
    </row>
    <row r="1802" spans="1:3" x14ac:dyDescent="0.25">
      <c r="A1802" s="787" t="s">
        <v>4181</v>
      </c>
      <c r="B1802" s="789" t="str">
        <f>IF('RO6'!E$68="","",'RO6'!E$68)</f>
        <v/>
      </c>
      <c r="C1802" s="790">
        <f ca="1">IF(ISERROR(VLOOKUP($A$1752,INDIRECT("notes_"&amp;LEFT($A$1752,3)),4,0)),0,VLOOKUP($A$1752,INDIRECT("notes_"&amp;LEFT($A$1752,3)),4,0))</f>
        <v>0</v>
      </c>
    </row>
    <row r="1803" spans="1:3" x14ac:dyDescent="0.25">
      <c r="A1803" s="787" t="s">
        <v>4182</v>
      </c>
      <c r="B1803" s="789" t="str">
        <f>IF('RO6'!E$70="","",'RO6'!E$70)</f>
        <v/>
      </c>
      <c r="C1803" s="790">
        <f ca="1">IF(ISERROR(VLOOKUP($A$1753,INDIRECT("notes_"&amp;LEFT($A$1753,3)),4,0)),0,VLOOKUP($A$1753,INDIRECT("notes_"&amp;LEFT($A$1753,3)),4,0))</f>
        <v>0</v>
      </c>
    </row>
    <row r="1804" spans="1:3" x14ac:dyDescent="0.25">
      <c r="A1804" s="787" t="s">
        <v>4183</v>
      </c>
      <c r="B1804" s="789" t="str">
        <f>IF('RO6'!E$72="","",'RO6'!E$72)</f>
        <v/>
      </c>
      <c r="C1804" s="790">
        <f ca="1">IF(ISERROR(VLOOKUP($A$1754,INDIRECT("notes_"&amp;LEFT($A$1754,3)),4,0)),0,VLOOKUP($A$1754,INDIRECT("notes_"&amp;LEFT($A$1754,3)),4,0))</f>
        <v>0</v>
      </c>
    </row>
    <row r="1805" spans="1:3" x14ac:dyDescent="0.25">
      <c r="A1805" s="787" t="s">
        <v>4184</v>
      </c>
      <c r="B1805" s="789" t="str">
        <f>IF('RO6'!E$74="","",'RO6'!E$74)</f>
        <v/>
      </c>
      <c r="C1805" s="790">
        <f ca="1">IF(ISERROR(VLOOKUP($A$1755,INDIRECT("notes_"&amp;LEFT($A$1755,3)),4,0)),0,VLOOKUP($A$1755,INDIRECT("notes_"&amp;LEFT($A$1755,3)),4,0))</f>
        <v>0</v>
      </c>
    </row>
    <row r="1806" spans="1:3" x14ac:dyDescent="0.25">
      <c r="A1806" s="787" t="s">
        <v>4185</v>
      </c>
      <c r="B1806" s="789" t="str">
        <f>IF('RO6'!E$76="","",'RO6'!E$76)</f>
        <v/>
      </c>
      <c r="C1806" s="790">
        <f ca="1">IF(ISERROR(VLOOKUP($A$1756,INDIRECT("notes_"&amp;LEFT($A$1756,3)),4,0)),0,VLOOKUP($A$1756,INDIRECT("notes_"&amp;LEFT($A$1756,3)),4,0))</f>
        <v>0</v>
      </c>
    </row>
    <row r="1807" spans="1:3" x14ac:dyDescent="0.25">
      <c r="A1807" s="787" t="s">
        <v>4186</v>
      </c>
      <c r="B1807" s="789" t="str">
        <f>IF('RO6'!E$77="","",'RO6'!E$77)</f>
        <v/>
      </c>
      <c r="C1807" s="790">
        <f ca="1">IF(ISERROR(VLOOKUP($A$1757,INDIRECT("notes_"&amp;LEFT($A$1757,3)),4,0)),0,VLOOKUP($A$1757,INDIRECT("notes_"&amp;LEFT($A$1757,3)),4,0))</f>
        <v>0</v>
      </c>
    </row>
    <row r="1808" spans="1:3" x14ac:dyDescent="0.25">
      <c r="A1808" s="787" t="s">
        <v>4187</v>
      </c>
      <c r="B1808" s="789" t="str">
        <f>IF('RO6'!E$80="","",'RO6'!E$80)</f>
        <v/>
      </c>
      <c r="C1808" s="790">
        <f ca="1">IF(ISERROR(VLOOKUP($A$1758,INDIRECT("notes_"&amp;LEFT($A$1758,3)),4,0)),0,VLOOKUP($A$1758,INDIRECT("notes_"&amp;LEFT($A$1758,3)),4,0))</f>
        <v>0</v>
      </c>
    </row>
    <row r="1809" spans="1:7" x14ac:dyDescent="0.25">
      <c r="A1809" s="787" t="s">
        <v>4188</v>
      </c>
      <c r="B1809" s="789" t="str">
        <f>IF('RO6'!E$81="","",'RO6'!E$81)</f>
        <v/>
      </c>
      <c r="C1809" s="790">
        <f ca="1">IF(ISERROR(VLOOKUP($A$1759,INDIRECT("notes_"&amp;LEFT($A$1759,3)),4,0)),0,VLOOKUP($A$1759,INDIRECT("notes_"&amp;LEFT($A$1759,3)),4,0))</f>
        <v>0</v>
      </c>
    </row>
    <row r="1810" spans="1:7" x14ac:dyDescent="0.25">
      <c r="A1810" s="787" t="s">
        <v>4189</v>
      </c>
      <c r="B1810" s="789" t="str">
        <f>IF('RO6'!E$82="","",'RO6'!E$82)</f>
        <v/>
      </c>
      <c r="C1810" s="790">
        <f ca="1">IF(ISERROR(VLOOKUP($A$1760,INDIRECT("notes_"&amp;LEFT($A$1760,3)),4,0)),0,VLOOKUP($A$1760,INDIRECT("notes_"&amp;LEFT($A$1760,3)),4,0))</f>
        <v>0</v>
      </c>
    </row>
    <row r="1811" spans="1:7" x14ac:dyDescent="0.25">
      <c r="A1811" s="787" t="s">
        <v>4190</v>
      </c>
      <c r="B1811" s="789" t="str">
        <f>IF('RO6'!E$84="","",'RO6'!E$84)</f>
        <v/>
      </c>
      <c r="C1811" s="790">
        <f ca="1">IF(ISERROR(VLOOKUP($A$1761,INDIRECT("notes_"&amp;LEFT($A$1761,3)),4,0)),0,VLOOKUP($A$1761,INDIRECT("notes_"&amp;LEFT($A$1761,3)),4,0))</f>
        <v>0</v>
      </c>
    </row>
    <row r="1812" spans="1:7" x14ac:dyDescent="0.25">
      <c r="A1812" s="787" t="s">
        <v>4191</v>
      </c>
      <c r="B1812" s="789">
        <f>IF('RO6'!E$86="","",'RO6'!E$86)</f>
        <v>0</v>
      </c>
      <c r="C1812" s="790">
        <f ca="1">IF(ISERROR(VLOOKUP($A$1762,INDIRECT("notes_"&amp;LEFT($A$1762,3)),4,0)),0,VLOOKUP($A$1762,INDIRECT("notes_"&amp;LEFT($A$1762,3)),4,0))</f>
        <v>0</v>
      </c>
    </row>
    <row r="1813" spans="1:7" x14ac:dyDescent="0.25">
      <c r="A1813" s="817" t="s">
        <v>2742</v>
      </c>
      <c r="B1813" s="818" t="str">
        <f>IF('RO6'!E$90="","",'RO6'!E$90)</f>
        <v/>
      </c>
      <c r="C1813" s="819">
        <f ca="1">IF(ISERROR(VLOOKUP($A$1813,INDIRECT("notes_"&amp;LEFT($A$1813,3)),4,0)),0,VLOOKUP($A$1813,INDIRECT("notes_"&amp;LEFT($A$1813,3)),4,0))</f>
        <v>0</v>
      </c>
    </row>
    <row r="1814" spans="1:7" x14ac:dyDescent="0.25">
      <c r="A1814" s="787" t="s">
        <v>4192</v>
      </c>
      <c r="B1814" s="789">
        <f>IF('RO6'!E$100="","",'RO6'!E$100)</f>
        <v>0</v>
      </c>
      <c r="C1814" s="790">
        <f ca="1">IF(ISERROR(VLOOKUP($A$1763,INDIRECT("notes_"&amp;LEFT($A$1763,3)),4,0)),0,VLOOKUP($A$1763,INDIRECT("notes_"&amp;LEFT($A$1763,3)),4,0))</f>
        <v>0</v>
      </c>
    </row>
    <row r="1815" spans="1:7" x14ac:dyDescent="0.25">
      <c r="A1815" s="817" t="s">
        <v>2749</v>
      </c>
      <c r="B1815" s="818" t="str">
        <f>IF('RO6'!E$104="","",'RO6'!E$104)</f>
        <v/>
      </c>
      <c r="C1815" s="819">
        <f ca="1">IF(ISERROR(VLOOKUP($A$1815,INDIRECT("notes_"&amp;LEFT($A$1815,3)),4,0)),0,VLOOKUP($A$1815,INDIRECT("notes_"&amp;LEFT($A$1815,3)),4,0))</f>
        <v>0</v>
      </c>
    </row>
    <row r="1816" spans="1:7" x14ac:dyDescent="0.25">
      <c r="A1816" s="787" t="s">
        <v>4193</v>
      </c>
      <c r="B1816" s="789" t="str">
        <f>IF('RO6'!E$107="","",'RO6'!E$107)</f>
        <v/>
      </c>
      <c r="C1816" s="790">
        <f ca="1">IF(ISERROR(VLOOKUP($A$1764,INDIRECT("notes_"&amp;LEFT($A$1764,3)),4,0)),0,VLOOKUP($A$1764,INDIRECT("notes_"&amp;LEFT($A$1764,3)),4,0))</f>
        <v>0</v>
      </c>
      <c r="G1816" s="787" t="str">
        <f>IF(ISNUMBER(SEARCH("specify",'RO6'!B107)),"",'RO6'!B107)</f>
        <v/>
      </c>
    </row>
    <row r="1817" spans="1:7" x14ac:dyDescent="0.25">
      <c r="A1817" s="787" t="s">
        <v>4194</v>
      </c>
      <c r="B1817" s="789" t="str">
        <f>IF('RO6'!E$108="","",'RO6'!E$108)</f>
        <v/>
      </c>
      <c r="C1817" s="790">
        <f ca="1">IF(ISERROR(VLOOKUP($A$1765,INDIRECT("notes_"&amp;LEFT($A$1765,3)),4,0)),0,VLOOKUP($A$1765,INDIRECT("notes_"&amp;LEFT($A$1765,3)),4,0))</f>
        <v>0</v>
      </c>
      <c r="G1817" s="787" t="str">
        <f>IF(ISNUMBER(SEARCH("specify",'RO6'!B108)),"",'RO6'!B108)</f>
        <v/>
      </c>
    </row>
    <row r="1818" spans="1:7" x14ac:dyDescent="0.25">
      <c r="A1818" s="787" t="s">
        <v>4195</v>
      </c>
      <c r="B1818" s="789" t="str">
        <f>IF('RO6'!E$109="","",'RO6'!E$109)</f>
        <v/>
      </c>
      <c r="C1818" s="790">
        <f ca="1">IF(ISERROR(VLOOKUP($A$1766,INDIRECT("notes_"&amp;LEFT($A$1766,3)),4,0)),0,VLOOKUP($A$1766,INDIRECT("notes_"&amp;LEFT($A$1766,3)),4,0))</f>
        <v>0</v>
      </c>
      <c r="G1818" s="787" t="str">
        <f>IF(ISNUMBER(SEARCH("specify",'RO6'!B109)),"",'RO6'!B109)</f>
        <v/>
      </c>
    </row>
    <row r="1819" spans="1:7" x14ac:dyDescent="0.25">
      <c r="A1819" s="787" t="s">
        <v>4196</v>
      </c>
      <c r="B1819" s="789" t="str">
        <f>IF('RO6'!E$110="","",'RO6'!E$110)</f>
        <v/>
      </c>
      <c r="C1819" s="790">
        <f ca="1">IF(ISERROR(VLOOKUP($A$1767,INDIRECT("notes_"&amp;LEFT($A$1767,3)),4,0)),0,VLOOKUP($A$1767,INDIRECT("notes_"&amp;LEFT($A$1767,3)),4,0))</f>
        <v>0</v>
      </c>
      <c r="G1819" s="787" t="str">
        <f>IF(ISNUMBER(SEARCH("specify",'RO6'!B110)),"",'RO6'!B110)</f>
        <v/>
      </c>
    </row>
    <row r="1820" spans="1:7" x14ac:dyDescent="0.25">
      <c r="A1820" s="787" t="s">
        <v>4197</v>
      </c>
      <c r="B1820" s="789" t="str">
        <f>IF('RO6'!E$111="","",'RO6'!E$111)</f>
        <v/>
      </c>
      <c r="C1820" s="790">
        <f ca="1">IF(ISERROR(VLOOKUP($A$1768,INDIRECT("notes_"&amp;LEFT($A$1768,3)),4,0)),0,VLOOKUP($A$1768,INDIRECT("notes_"&amp;LEFT($A$1768,3)),4,0))</f>
        <v>0</v>
      </c>
      <c r="G1820" s="787" t="str">
        <f>IF(ISNUMBER(SEARCH("specify",'RO6'!B111)),"",'RO6'!B111)</f>
        <v/>
      </c>
    </row>
    <row r="1821" spans="1:7" x14ac:dyDescent="0.25">
      <c r="A1821" s="787" t="s">
        <v>4198</v>
      </c>
      <c r="B1821" s="789" t="str">
        <f>IF('RO6'!E$112="","",'RO6'!E$112)</f>
        <v/>
      </c>
      <c r="C1821" s="790">
        <f ca="1">IF(ISERROR(VLOOKUP($A$1769,INDIRECT("notes_"&amp;LEFT($A$1769,3)),4,0)),0,VLOOKUP($A$1769,INDIRECT("notes_"&amp;LEFT($A$1769,3)),4,0))</f>
        <v>0</v>
      </c>
      <c r="G1821" s="787" t="str">
        <f>IF(ISNUMBER(SEARCH("specify",'RO6'!B112)),"",'RO6'!B112)</f>
        <v/>
      </c>
    </row>
    <row r="1822" spans="1:7" x14ac:dyDescent="0.25">
      <c r="A1822" s="787" t="s">
        <v>4199</v>
      </c>
      <c r="B1822" s="789" t="str">
        <f>IF('RO6'!E$113="","",'RO6'!E$113)</f>
        <v/>
      </c>
      <c r="C1822" s="790">
        <f ca="1">IF(ISERROR(VLOOKUP($A$1770,INDIRECT("notes_"&amp;LEFT($A$1770,3)),4,0)),0,VLOOKUP($A$1770,INDIRECT("notes_"&amp;LEFT($A$1770,3)),4,0))</f>
        <v>0</v>
      </c>
      <c r="G1822" s="787" t="str">
        <f>IF(ISNUMBER(SEARCH("specify",'RO6'!B113)),"",'RO6'!B113)</f>
        <v/>
      </c>
    </row>
    <row r="1823" spans="1:7" x14ac:dyDescent="0.25">
      <c r="A1823" s="787" t="s">
        <v>4200</v>
      </c>
      <c r="B1823" s="789" t="str">
        <f>IF('RO6'!E$114="","",'RO6'!E$114)</f>
        <v/>
      </c>
      <c r="C1823" s="790">
        <f ca="1">IF(ISERROR(VLOOKUP($A$1771,INDIRECT("notes_"&amp;LEFT($A$1771,3)),4,0)),0,VLOOKUP($A$1771,INDIRECT("notes_"&amp;LEFT($A$1771,3)),4,0))</f>
        <v>0</v>
      </c>
      <c r="G1823" s="787" t="str">
        <f>IF(ISNUMBER(SEARCH("specify",'RO6'!B114)),"",'RO6'!B114)</f>
        <v/>
      </c>
    </row>
    <row r="1824" spans="1:7" x14ac:dyDescent="0.25">
      <c r="A1824" s="787" t="s">
        <v>4201</v>
      </c>
      <c r="B1824" s="789" t="str">
        <f>IF('RO6'!E$115="","",'RO6'!E$115)</f>
        <v/>
      </c>
      <c r="C1824" s="790">
        <f ca="1">IF(ISERROR(VLOOKUP($A$1772,INDIRECT("notes_"&amp;LEFT($A$1772,3)),4,0)),0,VLOOKUP($A$1772,INDIRECT("notes_"&amp;LEFT($A$1772,3)),4,0))</f>
        <v>0</v>
      </c>
      <c r="G1824" s="787" t="str">
        <f>IF(ISNUMBER(SEARCH("specify",'RO6'!B115)),"",'RO6'!B115)</f>
        <v/>
      </c>
    </row>
    <row r="1825" spans="1:7" x14ac:dyDescent="0.25">
      <c r="A1825" s="787" t="s">
        <v>4202</v>
      </c>
      <c r="B1825" s="789" t="str">
        <f>IF('RO6'!E$116="","",'RO6'!E$116)</f>
        <v/>
      </c>
      <c r="C1825" s="790">
        <f ca="1">IF(ISERROR(VLOOKUP($A$1773,INDIRECT("notes_"&amp;LEFT($A$1773,3)),4,0)),0,VLOOKUP($A$1773,INDIRECT("notes_"&amp;LEFT($A$1773,3)),4,0))</f>
        <v>0</v>
      </c>
      <c r="G1825" s="787" t="str">
        <f>IF(ISNUMBER(SEARCH("specify",'RO6'!B116)),"",'RO6'!B116)</f>
        <v/>
      </c>
    </row>
    <row r="1826" spans="1:7" x14ac:dyDescent="0.25">
      <c r="A1826" s="787" t="s">
        <v>4203</v>
      </c>
      <c r="B1826" s="789" t="str">
        <f>IF('RO6'!E$117="","",'RO6'!E$117)</f>
        <v/>
      </c>
      <c r="C1826" s="790">
        <f ca="1">IF(ISERROR(VLOOKUP($A$1774,INDIRECT("notes_"&amp;LEFT($A$1774,3)),4,0)),0,VLOOKUP($A$1774,INDIRECT("notes_"&amp;LEFT($A$1774,3)),4,0))</f>
        <v>0</v>
      </c>
      <c r="G1826" s="787" t="str">
        <f>IF(ISNUMBER(SEARCH("specify",'RO6'!B117)),"",'RO6'!B117)</f>
        <v/>
      </c>
    </row>
    <row r="1827" spans="1:7" x14ac:dyDescent="0.25">
      <c r="A1827" s="787" t="s">
        <v>4204</v>
      </c>
      <c r="B1827" s="789" t="str">
        <f>IF('RO6'!E$118="","",'RO6'!E$118)</f>
        <v/>
      </c>
      <c r="C1827" s="790">
        <f ca="1">IF(ISERROR(VLOOKUP($A$1775,INDIRECT("notes_"&amp;LEFT($A$1775,3)),4,0)),0,VLOOKUP($A$1775,INDIRECT("notes_"&amp;LEFT($A$1775,3)),4,0))</f>
        <v>0</v>
      </c>
      <c r="G1827" s="787" t="str">
        <f>IF(ISNUMBER(SEARCH("specify",'RO6'!B118)),"",'RO6'!B118)</f>
        <v/>
      </c>
    </row>
    <row r="1828" spans="1:7" x14ac:dyDescent="0.25">
      <c r="A1828" s="787" t="s">
        <v>4205</v>
      </c>
      <c r="B1828" s="789" t="str">
        <f>IF('RO6'!E$119="","",'RO6'!E$119)</f>
        <v/>
      </c>
      <c r="C1828" s="790">
        <f ca="1">IF(ISERROR(VLOOKUP($A$1776,INDIRECT("notes_"&amp;LEFT($A$1776,3)),4,0)),0,VLOOKUP($A$1776,INDIRECT("notes_"&amp;LEFT($A$1776,3)),4,0))</f>
        <v>0</v>
      </c>
      <c r="G1828" s="787" t="str">
        <f>IF(ISNUMBER(SEARCH("specify",'RO6'!B119)),"",'RO6'!B119)</f>
        <v/>
      </c>
    </row>
    <row r="1829" spans="1:7" x14ac:dyDescent="0.25">
      <c r="A1829" s="787" t="s">
        <v>4206</v>
      </c>
      <c r="B1829" s="789" t="str">
        <f>IF('RO6'!E$120="","",'RO6'!E$120)</f>
        <v/>
      </c>
      <c r="C1829" s="790">
        <f ca="1">IF(ISERROR(VLOOKUP($A$1777,INDIRECT("notes_"&amp;LEFT($A$1777,3)),4,0)),0,VLOOKUP($A$1777,INDIRECT("notes_"&amp;LEFT($A$1777,3)),4,0))</f>
        <v>0</v>
      </c>
      <c r="G1829" s="787" t="str">
        <f>IF(ISNUMBER(SEARCH("specify",'RO6'!B120)),"",'RO6'!B120)</f>
        <v/>
      </c>
    </row>
    <row r="1830" spans="1:7" x14ac:dyDescent="0.25">
      <c r="A1830" s="787" t="s">
        <v>4207</v>
      </c>
      <c r="B1830" s="789" t="str">
        <f>IF('RO6'!E$121="","",'RO6'!E$121)</f>
        <v/>
      </c>
      <c r="C1830" s="790">
        <f ca="1">IF(ISERROR(VLOOKUP($A$1778,INDIRECT("notes_"&amp;LEFT($A$1778,3)),4,0)),0,VLOOKUP($A$1778,INDIRECT("notes_"&amp;LEFT($A$1778,3)),4,0))</f>
        <v>0</v>
      </c>
      <c r="G1830" s="787" t="str">
        <f>IF(ISNUMBER(SEARCH("specify",'RO6'!B121)),"",'RO6'!B121)</f>
        <v/>
      </c>
    </row>
    <row r="1831" spans="1:7" x14ac:dyDescent="0.25">
      <c r="A1831" s="787" t="s">
        <v>4208</v>
      </c>
      <c r="B1831" s="789" t="str">
        <f>IF('RO6'!E$122="","",'RO6'!E$122)</f>
        <v/>
      </c>
      <c r="C1831" s="790">
        <f ca="1">IF(ISERROR(VLOOKUP($A$1779,INDIRECT("notes_"&amp;LEFT($A$1779,3)),4,0)),0,VLOOKUP($A$1779,INDIRECT("notes_"&amp;LEFT($A$1779,3)),4,0))</f>
        <v>0</v>
      </c>
      <c r="G1831" s="787" t="str">
        <f>IF(ISNUMBER(SEARCH("specify",'RO6'!B122)),"",'RO6'!B122)</f>
        <v/>
      </c>
    </row>
    <row r="1832" spans="1:7" x14ac:dyDescent="0.25">
      <c r="A1832" s="787" t="s">
        <v>4209</v>
      </c>
      <c r="B1832" s="789" t="str">
        <f>IF('RO6'!E$123="","",'RO6'!E$123)</f>
        <v/>
      </c>
      <c r="C1832" s="790">
        <f ca="1">IF(ISERROR(VLOOKUP($A$1780,INDIRECT("notes_"&amp;LEFT($A$1780,3)),4,0)),0,VLOOKUP($A$1780,INDIRECT("notes_"&amp;LEFT($A$1780,3)),4,0))</f>
        <v>0</v>
      </c>
      <c r="G1832" s="787" t="str">
        <f>IF(ISNUMBER(SEARCH("specify",'RO6'!B123)),"",'RO6'!B123)</f>
        <v/>
      </c>
    </row>
    <row r="1833" spans="1:7" x14ac:dyDescent="0.25">
      <c r="A1833" s="787" t="s">
        <v>4210</v>
      </c>
      <c r="B1833" s="789" t="str">
        <f>IF('RO6'!E$124="","",'RO6'!E$124)</f>
        <v/>
      </c>
      <c r="C1833" s="790">
        <f ca="1">IF(ISERROR(VLOOKUP($A$1781,INDIRECT("notes_"&amp;LEFT($A$1781,3)),4,0)),0,VLOOKUP($A$1781,INDIRECT("notes_"&amp;LEFT($A$1781,3)),4,0))</f>
        <v>0</v>
      </c>
      <c r="G1833" s="787" t="str">
        <f>IF(ISNUMBER(SEARCH("specify",'RO6'!B124)),"",'RO6'!B124)</f>
        <v/>
      </c>
    </row>
    <row r="1834" spans="1:7" x14ac:dyDescent="0.25">
      <c r="A1834" s="787" t="s">
        <v>4211</v>
      </c>
      <c r="B1834" s="789" t="str">
        <f>IF('RO6'!E$125="","",'RO6'!E$125)</f>
        <v/>
      </c>
      <c r="C1834" s="790">
        <f ca="1">IF(ISERROR(VLOOKUP($A$1782,INDIRECT("notes_"&amp;LEFT($A$1782,3)),4,0)),0,VLOOKUP($A$1782,INDIRECT("notes_"&amp;LEFT($A$1782,3)),4,0))</f>
        <v>0</v>
      </c>
      <c r="G1834" s="787" t="str">
        <f>IF(ISNUMBER(SEARCH("specify",'RO6'!B125)),"",'RO6'!B125)</f>
        <v/>
      </c>
    </row>
    <row r="1835" spans="1:7" x14ac:dyDescent="0.25">
      <c r="A1835" s="787" t="s">
        <v>4212</v>
      </c>
      <c r="B1835" s="789" t="str">
        <f>IF('RO6'!E$126="","",'RO6'!E$126)</f>
        <v/>
      </c>
      <c r="C1835" s="790">
        <f ca="1">IF(ISERROR(VLOOKUP($A$1783,INDIRECT("notes_"&amp;LEFT($A$1783,3)),4,0)),0,VLOOKUP($A$1783,INDIRECT("notes_"&amp;LEFT($A$1783,3)),4,0))</f>
        <v>0</v>
      </c>
      <c r="G1835" s="787" t="str">
        <f>IF(ISNUMBER(SEARCH("specify",'RO6'!B126)),"",'RO6'!B126)</f>
        <v/>
      </c>
    </row>
    <row r="1836" spans="1:7" x14ac:dyDescent="0.25">
      <c r="A1836" s="787" t="s">
        <v>4213</v>
      </c>
      <c r="B1836" s="789">
        <f>IF('RO6'!E$127="","",'RO6'!E$127)</f>
        <v>0</v>
      </c>
      <c r="C1836" s="790">
        <f ca="1">IF(ISERROR(VLOOKUP($A$1784,INDIRECT("notes_"&amp;LEFT($A$1784,3)),4,0)),0,VLOOKUP($A$1784,INDIRECT("notes_"&amp;LEFT($A$1784,3)),4,0))</f>
        <v>0</v>
      </c>
    </row>
    <row r="1837" spans="1:7" x14ac:dyDescent="0.25">
      <c r="A1837" s="787" t="s">
        <v>4214</v>
      </c>
      <c r="B1837" s="789">
        <f>IF('RO6'!F$32="","",'RO6'!F$32)</f>
        <v>0</v>
      </c>
      <c r="C1837" s="790">
        <f ca="1">IF(ISERROR(VLOOKUP($A$1737,INDIRECT("notes_"&amp;LEFT($A$1737,3)),4,0)),0,VLOOKUP($A$1737,INDIRECT("notes_"&amp;LEFT($A$1737,3)),4,0))</f>
        <v>0</v>
      </c>
    </row>
    <row r="1838" spans="1:7" x14ac:dyDescent="0.25">
      <c r="A1838" s="787" t="s">
        <v>4215</v>
      </c>
      <c r="B1838" s="789">
        <f>IF('RO6'!F$39="","",'RO6'!F$39)</f>
        <v>0</v>
      </c>
      <c r="C1838" s="790">
        <f ca="1">IF(ISERROR(VLOOKUP($A$1738,INDIRECT("notes_"&amp;LEFT($A$1738,3)),4,0)),0,VLOOKUP($A$1738,INDIRECT("notes_"&amp;LEFT($A$1738,3)),4,0))</f>
        <v>0</v>
      </c>
    </row>
    <row r="1839" spans="1:7" x14ac:dyDescent="0.25">
      <c r="A1839" s="787" t="s">
        <v>4216</v>
      </c>
      <c r="B1839" s="789">
        <f>IF('RO6'!F$40="","",'RO6'!F$40)</f>
        <v>0</v>
      </c>
      <c r="C1839" s="790">
        <f ca="1">IF(ISERROR(VLOOKUP($A$1739,INDIRECT("notes_"&amp;LEFT($A$1739,3)),4,0)),0,VLOOKUP($A$1739,INDIRECT("notes_"&amp;LEFT($A$1739,3)),4,0))</f>
        <v>0</v>
      </c>
    </row>
    <row r="1840" spans="1:7" x14ac:dyDescent="0.25">
      <c r="A1840" s="787" t="s">
        <v>4217</v>
      </c>
      <c r="B1840" s="789">
        <f>IF('RO6'!F$41="","",'RO6'!F$41)</f>
        <v>0</v>
      </c>
      <c r="C1840" s="790">
        <f ca="1">IF(ISERROR(VLOOKUP($A$1740,INDIRECT("notes_"&amp;LEFT($A$1740,3)),4,0)),0,VLOOKUP($A$1740,INDIRECT("notes_"&amp;LEFT($A$1740,3)),4,0))</f>
        <v>0</v>
      </c>
    </row>
    <row r="1841" spans="1:3" x14ac:dyDescent="0.25">
      <c r="A1841" s="787" t="s">
        <v>4218</v>
      </c>
      <c r="B1841" s="789">
        <f>IF('RO6'!F$42="","",'RO6'!F$42)</f>
        <v>0</v>
      </c>
      <c r="C1841" s="790">
        <f ca="1">IF(ISERROR(VLOOKUP($A$1741,INDIRECT("notes_"&amp;LEFT($A$1741,3)),4,0)),0,VLOOKUP($A$1741,INDIRECT("notes_"&amp;LEFT($A$1741,3)),4,0))</f>
        <v>0</v>
      </c>
    </row>
    <row r="1842" spans="1:3" x14ac:dyDescent="0.25">
      <c r="A1842" s="787" t="s">
        <v>4219</v>
      </c>
      <c r="B1842" s="789">
        <f>IF('RO6'!F$50="","",'RO6'!F$50)</f>
        <v>0</v>
      </c>
      <c r="C1842" s="790">
        <f ca="1">IF(ISERROR(VLOOKUP($A$1742,INDIRECT("notes_"&amp;LEFT($A$1742,3)),4,0)),0,VLOOKUP($A$1742,INDIRECT("notes_"&amp;LEFT($A$1742,3)),4,0))</f>
        <v>0</v>
      </c>
    </row>
    <row r="1843" spans="1:3" x14ac:dyDescent="0.25">
      <c r="A1843" s="787" t="s">
        <v>4220</v>
      </c>
      <c r="B1843" s="789">
        <f>IF('RO6'!F$55="","",'RO6'!F$55)</f>
        <v>0</v>
      </c>
      <c r="C1843" s="790">
        <f ca="1">IF(ISERROR(VLOOKUP($A$1743,INDIRECT("notes_"&amp;LEFT($A$1743,3)),4,0)),0,VLOOKUP($A$1743,INDIRECT("notes_"&amp;LEFT($A$1743,3)),4,0))</f>
        <v>0</v>
      </c>
    </row>
    <row r="1844" spans="1:3" x14ac:dyDescent="0.25">
      <c r="A1844" s="787" t="s">
        <v>4221</v>
      </c>
      <c r="B1844" s="789">
        <f>IF('RO6'!F$56="","",'RO6'!F$56)</f>
        <v>0</v>
      </c>
      <c r="C1844" s="790">
        <f ca="1">IF(ISERROR(VLOOKUP($A$1744,INDIRECT("notes_"&amp;LEFT($A$1744,3)),4,0)),0,VLOOKUP($A$1744,INDIRECT("notes_"&amp;LEFT($A$1744,3)),4,0))</f>
        <v>0</v>
      </c>
    </row>
    <row r="1845" spans="1:3" x14ac:dyDescent="0.25">
      <c r="A1845" s="787" t="s">
        <v>4222</v>
      </c>
      <c r="B1845" s="789">
        <f>IF('RO6'!F$57="","",'RO6'!F$57)</f>
        <v>0</v>
      </c>
      <c r="C1845" s="790">
        <f ca="1">IF(ISERROR(VLOOKUP($A$1745,INDIRECT("notes_"&amp;LEFT($A$1745,3)),4,0)),0,VLOOKUP($A$1745,INDIRECT("notes_"&amp;LEFT($A$1745,3)),4,0))</f>
        <v>0</v>
      </c>
    </row>
    <row r="1846" spans="1:3" x14ac:dyDescent="0.25">
      <c r="A1846" s="787" t="s">
        <v>4223</v>
      </c>
      <c r="B1846" s="789">
        <f>IF('RO6'!F$58="","",'RO6'!F$58)</f>
        <v>0</v>
      </c>
      <c r="C1846" s="790">
        <f ca="1">IF(ISERROR(VLOOKUP($A$1746,INDIRECT("notes_"&amp;LEFT($A$1746,3)),4,0)),0,VLOOKUP($A$1746,INDIRECT("notes_"&amp;LEFT($A$1746,3)),4,0))</f>
        <v>0</v>
      </c>
    </row>
    <row r="1847" spans="1:3" x14ac:dyDescent="0.25">
      <c r="A1847" s="787" t="s">
        <v>4224</v>
      </c>
      <c r="B1847" s="789">
        <f>IF('RO6'!F$59="","",'RO6'!F$59)</f>
        <v>0</v>
      </c>
      <c r="C1847" s="790">
        <f ca="1">IF(ISERROR(VLOOKUP($A$1747,INDIRECT("notes_"&amp;LEFT($A$1747,3)),4,0)),0,VLOOKUP($A$1747,INDIRECT("notes_"&amp;LEFT($A$1747,3)),4,0))</f>
        <v>0</v>
      </c>
    </row>
    <row r="1848" spans="1:3" x14ac:dyDescent="0.25">
      <c r="A1848" s="787" t="s">
        <v>4225</v>
      </c>
      <c r="B1848" s="789">
        <f>IF('RO6'!F$60="","",'RO6'!F$60)</f>
        <v>0</v>
      </c>
      <c r="C1848" s="790">
        <f ca="1">IF(ISERROR(VLOOKUP($A$1748,INDIRECT("notes_"&amp;LEFT($A$1748,3)),4,0)),0,VLOOKUP($A$1748,INDIRECT("notes_"&amp;LEFT($A$1748,3)),4,0))</f>
        <v>0</v>
      </c>
    </row>
    <row r="1849" spans="1:3" x14ac:dyDescent="0.25">
      <c r="A1849" s="787" t="s">
        <v>4226</v>
      </c>
      <c r="B1849" s="789">
        <f>IF('RO6'!F$62="","",'RO6'!F$62)</f>
        <v>0</v>
      </c>
      <c r="C1849" s="790">
        <f ca="1">IF(ISERROR(VLOOKUP($A$1749,INDIRECT("notes_"&amp;LEFT($A$1749,3)),4,0)),0,VLOOKUP($A$1749,INDIRECT("notes_"&amp;LEFT($A$1749,3)),4,0))</f>
        <v>0</v>
      </c>
    </row>
    <row r="1850" spans="1:3" x14ac:dyDescent="0.25">
      <c r="A1850" s="787" t="s">
        <v>4227</v>
      </c>
      <c r="B1850" s="789">
        <f>IF('RO6'!F$65="","",'RO6'!F$65)</f>
        <v>0</v>
      </c>
      <c r="C1850" s="790">
        <f ca="1">IF(ISERROR(VLOOKUP($A$1750,INDIRECT("notes_"&amp;LEFT($A$1750,3)),4,0)),0,VLOOKUP($A$1750,INDIRECT("notes_"&amp;LEFT($A$1750,3)),4,0))</f>
        <v>0</v>
      </c>
    </row>
    <row r="1851" spans="1:3" x14ac:dyDescent="0.25">
      <c r="A1851" s="787" t="s">
        <v>4228</v>
      </c>
      <c r="B1851" s="789">
        <f>IF('RO6'!F$66="","",'RO6'!F$66)</f>
        <v>0</v>
      </c>
      <c r="C1851" s="790">
        <f ca="1">IF(ISERROR(VLOOKUP($A$1751,INDIRECT("notes_"&amp;LEFT($A$1751,3)),4,0)),0,VLOOKUP($A$1751,INDIRECT("notes_"&amp;LEFT($A$1751,3)),4,0))</f>
        <v>0</v>
      </c>
    </row>
    <row r="1852" spans="1:3" x14ac:dyDescent="0.25">
      <c r="A1852" s="787" t="s">
        <v>4229</v>
      </c>
      <c r="B1852" s="789">
        <f>IF('RO6'!F$68="","",'RO6'!F$68)</f>
        <v>0</v>
      </c>
      <c r="C1852" s="790">
        <f ca="1">IF(ISERROR(VLOOKUP($A$1752,INDIRECT("notes_"&amp;LEFT($A$1752,3)),4,0)),0,VLOOKUP($A$1752,INDIRECT("notes_"&amp;LEFT($A$1752,3)),4,0))</f>
        <v>0</v>
      </c>
    </row>
    <row r="1853" spans="1:3" x14ac:dyDescent="0.25">
      <c r="A1853" s="787" t="s">
        <v>4230</v>
      </c>
      <c r="B1853" s="789">
        <f>IF('RO6'!F$70="","",'RO6'!F$70)</f>
        <v>0</v>
      </c>
      <c r="C1853" s="790">
        <f ca="1">IF(ISERROR(VLOOKUP($A$1753,INDIRECT("notes_"&amp;LEFT($A$1753,3)),4,0)),0,VLOOKUP($A$1753,INDIRECT("notes_"&amp;LEFT($A$1753,3)),4,0))</f>
        <v>0</v>
      </c>
    </row>
    <row r="1854" spans="1:3" x14ac:dyDescent="0.25">
      <c r="A1854" s="787" t="s">
        <v>4231</v>
      </c>
      <c r="B1854" s="789">
        <f>IF('RO6'!F$72="","",'RO6'!F$72)</f>
        <v>0</v>
      </c>
      <c r="C1854" s="790">
        <f ca="1">IF(ISERROR(VLOOKUP($A$1754,INDIRECT("notes_"&amp;LEFT($A$1754,3)),4,0)),0,VLOOKUP($A$1754,INDIRECT("notes_"&amp;LEFT($A$1754,3)),4,0))</f>
        <v>0</v>
      </c>
    </row>
    <row r="1855" spans="1:3" x14ac:dyDescent="0.25">
      <c r="A1855" s="787" t="s">
        <v>4232</v>
      </c>
      <c r="B1855" s="789">
        <f>IF('RO6'!F$74="","",'RO6'!F$74)</f>
        <v>0</v>
      </c>
      <c r="C1855" s="790">
        <f ca="1">IF(ISERROR(VLOOKUP($A$1755,INDIRECT("notes_"&amp;LEFT($A$1755,3)),4,0)),0,VLOOKUP($A$1755,INDIRECT("notes_"&amp;LEFT($A$1755,3)),4,0))</f>
        <v>0</v>
      </c>
    </row>
    <row r="1856" spans="1:3" x14ac:dyDescent="0.25">
      <c r="A1856" s="787" t="s">
        <v>4233</v>
      </c>
      <c r="B1856" s="789">
        <f>IF('RO6'!F$76="","",'RO6'!F$76)</f>
        <v>0</v>
      </c>
      <c r="C1856" s="790">
        <f ca="1">IF(ISERROR(VLOOKUP($A$1756,INDIRECT("notes_"&amp;LEFT($A$1756,3)),4,0)),0,VLOOKUP($A$1756,INDIRECT("notes_"&amp;LEFT($A$1756,3)),4,0))</f>
        <v>0</v>
      </c>
    </row>
    <row r="1857" spans="1:7" x14ac:dyDescent="0.25">
      <c r="A1857" s="787" t="s">
        <v>4234</v>
      </c>
      <c r="B1857" s="789">
        <f>IF('RO6'!F$77="","",'RO6'!F$77)</f>
        <v>0</v>
      </c>
      <c r="C1857" s="790">
        <f ca="1">IF(ISERROR(VLOOKUP($A$1757,INDIRECT("notes_"&amp;LEFT($A$1757,3)),4,0)),0,VLOOKUP($A$1757,INDIRECT("notes_"&amp;LEFT($A$1757,3)),4,0))</f>
        <v>0</v>
      </c>
    </row>
    <row r="1858" spans="1:7" x14ac:dyDescent="0.25">
      <c r="A1858" s="787" t="s">
        <v>4235</v>
      </c>
      <c r="B1858" s="789">
        <f>IF('RO6'!F$80="","",'RO6'!F$80)</f>
        <v>0</v>
      </c>
      <c r="C1858" s="790">
        <f ca="1">IF(ISERROR(VLOOKUP($A$1758,INDIRECT("notes_"&amp;LEFT($A$1758,3)),4,0)),0,VLOOKUP($A$1758,INDIRECT("notes_"&amp;LEFT($A$1758,3)),4,0))</f>
        <v>0</v>
      </c>
    </row>
    <row r="1859" spans="1:7" x14ac:dyDescent="0.25">
      <c r="A1859" s="787" t="s">
        <v>4236</v>
      </c>
      <c r="B1859" s="789">
        <f>IF('RO6'!F$81="","",'RO6'!F$81)</f>
        <v>0</v>
      </c>
      <c r="C1859" s="790">
        <f ca="1">IF(ISERROR(VLOOKUP($A$1759,INDIRECT("notes_"&amp;LEFT($A$1759,3)),4,0)),0,VLOOKUP($A$1759,INDIRECT("notes_"&amp;LEFT($A$1759,3)),4,0))</f>
        <v>0</v>
      </c>
    </row>
    <row r="1860" spans="1:7" x14ac:dyDescent="0.25">
      <c r="A1860" s="787" t="s">
        <v>4237</v>
      </c>
      <c r="B1860" s="789">
        <f>IF('RO6'!F$82="","",'RO6'!F$82)</f>
        <v>0</v>
      </c>
      <c r="C1860" s="790">
        <f ca="1">IF(ISERROR(VLOOKUP($A$1760,INDIRECT("notes_"&amp;LEFT($A$1760,3)),4,0)),0,VLOOKUP($A$1760,INDIRECT("notes_"&amp;LEFT($A$1760,3)),4,0))</f>
        <v>0</v>
      </c>
    </row>
    <row r="1861" spans="1:7" x14ac:dyDescent="0.25">
      <c r="A1861" s="787" t="s">
        <v>4238</v>
      </c>
      <c r="B1861" s="789">
        <f>IF('RO6'!F$84="","",'RO6'!F$84)</f>
        <v>0</v>
      </c>
      <c r="C1861" s="790">
        <f ca="1">IF(ISERROR(VLOOKUP($A$1761,INDIRECT("notes_"&amp;LEFT($A$1761,3)),4,0)),0,VLOOKUP($A$1761,INDIRECT("notes_"&amp;LEFT($A$1761,3)),4,0))</f>
        <v>0</v>
      </c>
    </row>
    <row r="1862" spans="1:7" x14ac:dyDescent="0.25">
      <c r="A1862" s="787" t="s">
        <v>4239</v>
      </c>
      <c r="B1862" s="789">
        <f>IF('RO6'!F$86="","",'RO6'!F$86)</f>
        <v>0</v>
      </c>
      <c r="C1862" s="790">
        <f ca="1">IF(ISERROR(VLOOKUP($A$1762,INDIRECT("notes_"&amp;LEFT($A$1762,3)),4,0)),0,VLOOKUP($A$1762,INDIRECT("notes_"&amp;LEFT($A$1762,3)),4,0))</f>
        <v>0</v>
      </c>
    </row>
    <row r="1863" spans="1:7" x14ac:dyDescent="0.25">
      <c r="A1863" s="787" t="s">
        <v>4240</v>
      </c>
      <c r="B1863" s="789">
        <f>IF('RO6'!F$100="","",'RO6'!F$100)</f>
        <v>0</v>
      </c>
      <c r="C1863" s="790">
        <f ca="1">IF(ISERROR(VLOOKUP($A$1763,INDIRECT("notes_"&amp;LEFT($A$1763,3)),4,0)),0,VLOOKUP($A$1763,INDIRECT("notes_"&amp;LEFT($A$1763,3)),4,0))</f>
        <v>0</v>
      </c>
    </row>
    <row r="1864" spans="1:7" x14ac:dyDescent="0.25">
      <c r="A1864" s="787" t="s">
        <v>4241</v>
      </c>
      <c r="B1864" s="789">
        <f>IF('RO6'!F$107="","",'RO6'!F$107)</f>
        <v>0</v>
      </c>
      <c r="C1864" s="790">
        <f ca="1">IF(ISERROR(VLOOKUP($A$1764,INDIRECT("notes_"&amp;LEFT($A$1764,3)),4,0)),0,VLOOKUP($A$1764,INDIRECT("notes_"&amp;LEFT($A$1764,3)),4,0))</f>
        <v>0</v>
      </c>
      <c r="G1864" s="787" t="str">
        <f>IF(ISNUMBER(SEARCH("specify",'RO6'!B107)),"",'RO6'!B107)</f>
        <v/>
      </c>
    </row>
    <row r="1865" spans="1:7" x14ac:dyDescent="0.25">
      <c r="A1865" s="787" t="s">
        <v>4242</v>
      </c>
      <c r="B1865" s="789">
        <f>IF('RO6'!F$108="","",'RO6'!F$108)</f>
        <v>0</v>
      </c>
      <c r="C1865" s="790">
        <f ca="1">IF(ISERROR(VLOOKUP($A$1765,INDIRECT("notes_"&amp;LEFT($A$1765,3)),4,0)),0,VLOOKUP($A$1765,INDIRECT("notes_"&amp;LEFT($A$1765,3)),4,0))</f>
        <v>0</v>
      </c>
      <c r="G1865" s="787" t="str">
        <f>IF(ISNUMBER(SEARCH("specify",'RO6'!B108)),"",'RO6'!B108)</f>
        <v/>
      </c>
    </row>
    <row r="1866" spans="1:7" x14ac:dyDescent="0.25">
      <c r="A1866" s="787" t="s">
        <v>4243</v>
      </c>
      <c r="B1866" s="789">
        <f>IF('RO6'!F$109="","",'RO6'!F$109)</f>
        <v>0</v>
      </c>
      <c r="C1866" s="790">
        <f ca="1">IF(ISERROR(VLOOKUP($A$1766,INDIRECT("notes_"&amp;LEFT($A$1766,3)),4,0)),0,VLOOKUP($A$1766,INDIRECT("notes_"&amp;LEFT($A$1766,3)),4,0))</f>
        <v>0</v>
      </c>
      <c r="G1866" s="787" t="str">
        <f>IF(ISNUMBER(SEARCH("specify",'RO6'!B109)),"",'RO6'!B109)</f>
        <v/>
      </c>
    </row>
    <row r="1867" spans="1:7" x14ac:dyDescent="0.25">
      <c r="A1867" s="787" t="s">
        <v>4244</v>
      </c>
      <c r="B1867" s="789">
        <f>IF('RO6'!F$110="","",'RO6'!F$110)</f>
        <v>0</v>
      </c>
      <c r="C1867" s="790">
        <f ca="1">IF(ISERROR(VLOOKUP($A$1767,INDIRECT("notes_"&amp;LEFT($A$1767,3)),4,0)),0,VLOOKUP($A$1767,INDIRECT("notes_"&amp;LEFT($A$1767,3)),4,0))</f>
        <v>0</v>
      </c>
      <c r="G1867" s="787" t="str">
        <f>IF(ISNUMBER(SEARCH("specify",'RO6'!B110)),"",'RO6'!B110)</f>
        <v/>
      </c>
    </row>
    <row r="1868" spans="1:7" x14ac:dyDescent="0.25">
      <c r="A1868" s="787" t="s">
        <v>4245</v>
      </c>
      <c r="B1868" s="789">
        <f>IF('RO6'!F$111="","",'RO6'!F$111)</f>
        <v>0</v>
      </c>
      <c r="C1868" s="790">
        <f ca="1">IF(ISERROR(VLOOKUP($A$1768,INDIRECT("notes_"&amp;LEFT($A$1768,3)),4,0)),0,VLOOKUP($A$1768,INDIRECT("notes_"&amp;LEFT($A$1768,3)),4,0))</f>
        <v>0</v>
      </c>
      <c r="G1868" s="787" t="str">
        <f>IF(ISNUMBER(SEARCH("specify",'RO6'!B111)),"",'RO6'!B111)</f>
        <v/>
      </c>
    </row>
    <row r="1869" spans="1:7" x14ac:dyDescent="0.25">
      <c r="A1869" s="787" t="s">
        <v>4246</v>
      </c>
      <c r="B1869" s="789">
        <f>IF('RO6'!F$112="","",'RO6'!F$112)</f>
        <v>0</v>
      </c>
      <c r="C1869" s="790">
        <f ca="1">IF(ISERROR(VLOOKUP($A$1769,INDIRECT("notes_"&amp;LEFT($A$1769,3)),4,0)),0,VLOOKUP($A$1769,INDIRECT("notes_"&amp;LEFT($A$1769,3)),4,0))</f>
        <v>0</v>
      </c>
      <c r="G1869" s="787" t="str">
        <f>IF(ISNUMBER(SEARCH("specify",'RO6'!B112)),"",'RO6'!B112)</f>
        <v/>
      </c>
    </row>
    <row r="1870" spans="1:7" x14ac:dyDescent="0.25">
      <c r="A1870" s="787" t="s">
        <v>4247</v>
      </c>
      <c r="B1870" s="789">
        <f>IF('RO6'!F$113="","",'RO6'!F$113)</f>
        <v>0</v>
      </c>
      <c r="C1870" s="790">
        <f ca="1">IF(ISERROR(VLOOKUP($A$1770,INDIRECT("notes_"&amp;LEFT($A$1770,3)),4,0)),0,VLOOKUP($A$1770,INDIRECT("notes_"&amp;LEFT($A$1770,3)),4,0))</f>
        <v>0</v>
      </c>
      <c r="G1870" s="787" t="str">
        <f>IF(ISNUMBER(SEARCH("specify",'RO6'!B113)),"",'RO6'!B113)</f>
        <v/>
      </c>
    </row>
    <row r="1871" spans="1:7" x14ac:dyDescent="0.25">
      <c r="A1871" s="787" t="s">
        <v>4248</v>
      </c>
      <c r="B1871" s="789">
        <f>IF('RO6'!F$114="","",'RO6'!F$114)</f>
        <v>0</v>
      </c>
      <c r="C1871" s="790">
        <f ca="1">IF(ISERROR(VLOOKUP($A$1771,INDIRECT("notes_"&amp;LEFT($A$1771,3)),4,0)),0,VLOOKUP($A$1771,INDIRECT("notes_"&amp;LEFT($A$1771,3)),4,0))</f>
        <v>0</v>
      </c>
      <c r="G1871" s="787" t="str">
        <f>IF(ISNUMBER(SEARCH("specify",'RO6'!B114)),"",'RO6'!B114)</f>
        <v/>
      </c>
    </row>
    <row r="1872" spans="1:7" x14ac:dyDescent="0.25">
      <c r="A1872" s="787" t="s">
        <v>4249</v>
      </c>
      <c r="B1872" s="789">
        <f>IF('RO6'!F$115="","",'RO6'!F$115)</f>
        <v>0</v>
      </c>
      <c r="C1872" s="790">
        <f ca="1">IF(ISERROR(VLOOKUP($A$1772,INDIRECT("notes_"&amp;LEFT($A$1772,3)),4,0)),0,VLOOKUP($A$1772,INDIRECT("notes_"&amp;LEFT($A$1772,3)),4,0))</f>
        <v>0</v>
      </c>
      <c r="G1872" s="787" t="str">
        <f>IF(ISNUMBER(SEARCH("specify",'RO6'!B115)),"",'RO6'!B115)</f>
        <v/>
      </c>
    </row>
    <row r="1873" spans="1:7" x14ac:dyDescent="0.25">
      <c r="A1873" s="787" t="s">
        <v>4250</v>
      </c>
      <c r="B1873" s="789">
        <f>IF('RO6'!F$116="","",'RO6'!F$116)</f>
        <v>0</v>
      </c>
      <c r="C1873" s="790">
        <f ca="1">IF(ISERROR(VLOOKUP($A$1773,INDIRECT("notes_"&amp;LEFT($A$1773,3)),4,0)),0,VLOOKUP($A$1773,INDIRECT("notes_"&amp;LEFT($A$1773,3)),4,0))</f>
        <v>0</v>
      </c>
      <c r="G1873" s="787" t="str">
        <f>IF(ISNUMBER(SEARCH("specify",'RO6'!B116)),"",'RO6'!B116)</f>
        <v/>
      </c>
    </row>
    <row r="1874" spans="1:7" x14ac:dyDescent="0.25">
      <c r="A1874" s="787" t="s">
        <v>4251</v>
      </c>
      <c r="B1874" s="789">
        <f>IF('RO6'!F$117="","",'RO6'!F$117)</f>
        <v>0</v>
      </c>
      <c r="C1874" s="790">
        <f ca="1">IF(ISERROR(VLOOKUP($A$1774,INDIRECT("notes_"&amp;LEFT($A$1774,3)),4,0)),0,VLOOKUP($A$1774,INDIRECT("notes_"&amp;LEFT($A$1774,3)),4,0))</f>
        <v>0</v>
      </c>
      <c r="G1874" s="787" t="str">
        <f>IF(ISNUMBER(SEARCH("specify",'RO6'!B117)),"",'RO6'!B117)</f>
        <v/>
      </c>
    </row>
    <row r="1875" spans="1:7" x14ac:dyDescent="0.25">
      <c r="A1875" s="787" t="s">
        <v>4252</v>
      </c>
      <c r="B1875" s="789">
        <f>IF('RO6'!F$118="","",'RO6'!F$118)</f>
        <v>0</v>
      </c>
      <c r="C1875" s="790">
        <f ca="1">IF(ISERROR(VLOOKUP($A$1775,INDIRECT("notes_"&amp;LEFT($A$1775,3)),4,0)),0,VLOOKUP($A$1775,INDIRECT("notes_"&amp;LEFT($A$1775,3)),4,0))</f>
        <v>0</v>
      </c>
      <c r="G1875" s="787" t="str">
        <f>IF(ISNUMBER(SEARCH("specify",'RO6'!B118)),"",'RO6'!B118)</f>
        <v/>
      </c>
    </row>
    <row r="1876" spans="1:7" x14ac:dyDescent="0.25">
      <c r="A1876" s="787" t="s">
        <v>4253</v>
      </c>
      <c r="B1876" s="789">
        <f>IF('RO6'!F$119="","",'RO6'!F$119)</f>
        <v>0</v>
      </c>
      <c r="C1876" s="790">
        <f ca="1">IF(ISERROR(VLOOKUP($A$1776,INDIRECT("notes_"&amp;LEFT($A$1776,3)),4,0)),0,VLOOKUP($A$1776,INDIRECT("notes_"&amp;LEFT($A$1776,3)),4,0))</f>
        <v>0</v>
      </c>
      <c r="G1876" s="787" t="str">
        <f>IF(ISNUMBER(SEARCH("specify",'RO6'!B119)),"",'RO6'!B119)</f>
        <v/>
      </c>
    </row>
    <row r="1877" spans="1:7" x14ac:dyDescent="0.25">
      <c r="A1877" s="787" t="s">
        <v>4254</v>
      </c>
      <c r="B1877" s="789">
        <f>IF('RO6'!F$120="","",'RO6'!F$120)</f>
        <v>0</v>
      </c>
      <c r="C1877" s="790">
        <f ca="1">IF(ISERROR(VLOOKUP($A$1777,INDIRECT("notes_"&amp;LEFT($A$1777,3)),4,0)),0,VLOOKUP($A$1777,INDIRECT("notes_"&amp;LEFT($A$1777,3)),4,0))</f>
        <v>0</v>
      </c>
      <c r="G1877" s="787" t="str">
        <f>IF(ISNUMBER(SEARCH("specify",'RO6'!B120)),"",'RO6'!B120)</f>
        <v/>
      </c>
    </row>
    <row r="1878" spans="1:7" x14ac:dyDescent="0.25">
      <c r="A1878" s="787" t="s">
        <v>4255</v>
      </c>
      <c r="B1878" s="789">
        <f>IF('RO6'!F$121="","",'RO6'!F$121)</f>
        <v>0</v>
      </c>
      <c r="C1878" s="790">
        <f ca="1">IF(ISERROR(VLOOKUP($A$1778,INDIRECT("notes_"&amp;LEFT($A$1778,3)),4,0)),0,VLOOKUP($A$1778,INDIRECT("notes_"&amp;LEFT($A$1778,3)),4,0))</f>
        <v>0</v>
      </c>
      <c r="G1878" s="787" t="str">
        <f>IF(ISNUMBER(SEARCH("specify",'RO6'!B121)),"",'RO6'!B121)</f>
        <v/>
      </c>
    </row>
    <row r="1879" spans="1:7" x14ac:dyDescent="0.25">
      <c r="A1879" s="787" t="s">
        <v>4256</v>
      </c>
      <c r="B1879" s="789">
        <f>IF('RO6'!F$122="","",'RO6'!F$122)</f>
        <v>0</v>
      </c>
      <c r="C1879" s="790">
        <f ca="1">IF(ISERROR(VLOOKUP($A$1779,INDIRECT("notes_"&amp;LEFT($A$1779,3)),4,0)),0,VLOOKUP($A$1779,INDIRECT("notes_"&amp;LEFT($A$1779,3)),4,0))</f>
        <v>0</v>
      </c>
      <c r="G1879" s="787" t="str">
        <f>IF(ISNUMBER(SEARCH("specify",'RO6'!B122)),"",'RO6'!B122)</f>
        <v/>
      </c>
    </row>
    <row r="1880" spans="1:7" x14ac:dyDescent="0.25">
      <c r="A1880" s="787" t="s">
        <v>4257</v>
      </c>
      <c r="B1880" s="789">
        <f>IF('RO6'!F$123="","",'RO6'!F$123)</f>
        <v>0</v>
      </c>
      <c r="C1880" s="790">
        <f ca="1">IF(ISERROR(VLOOKUP($A$1780,INDIRECT("notes_"&amp;LEFT($A$1780,3)),4,0)),0,VLOOKUP($A$1780,INDIRECT("notes_"&amp;LEFT($A$1780,3)),4,0))</f>
        <v>0</v>
      </c>
      <c r="G1880" s="787" t="str">
        <f>IF(ISNUMBER(SEARCH("specify",'RO6'!B123)),"",'RO6'!B123)</f>
        <v/>
      </c>
    </row>
    <row r="1881" spans="1:7" x14ac:dyDescent="0.25">
      <c r="A1881" s="787" t="s">
        <v>4258</v>
      </c>
      <c r="B1881" s="789">
        <f>IF('RO6'!F$124="","",'RO6'!F$124)</f>
        <v>0</v>
      </c>
      <c r="C1881" s="790">
        <f ca="1">IF(ISERROR(VLOOKUP($A$1781,INDIRECT("notes_"&amp;LEFT($A$1781,3)),4,0)),0,VLOOKUP($A$1781,INDIRECT("notes_"&amp;LEFT($A$1781,3)),4,0))</f>
        <v>0</v>
      </c>
      <c r="G1881" s="787" t="str">
        <f>IF(ISNUMBER(SEARCH("specify",'RO6'!B124)),"",'RO6'!B124)</f>
        <v/>
      </c>
    </row>
    <row r="1882" spans="1:7" x14ac:dyDescent="0.25">
      <c r="A1882" s="787" t="s">
        <v>4259</v>
      </c>
      <c r="B1882" s="789">
        <f>IF('RO6'!F$125="","",'RO6'!F$125)</f>
        <v>0</v>
      </c>
      <c r="C1882" s="790">
        <f ca="1">IF(ISERROR(VLOOKUP($A$1782,INDIRECT("notes_"&amp;LEFT($A$1782,3)),4,0)),0,VLOOKUP($A$1782,INDIRECT("notes_"&amp;LEFT($A$1782,3)),4,0))</f>
        <v>0</v>
      </c>
      <c r="G1882" s="787" t="str">
        <f>IF(ISNUMBER(SEARCH("specify",'RO6'!B125)),"",'RO6'!B125)</f>
        <v/>
      </c>
    </row>
    <row r="1883" spans="1:7" x14ac:dyDescent="0.25">
      <c r="A1883" s="787" t="s">
        <v>4260</v>
      </c>
      <c r="B1883" s="789">
        <f>IF('RO6'!F$126="","",'RO6'!F$126)</f>
        <v>0</v>
      </c>
      <c r="C1883" s="790">
        <f ca="1">IF(ISERROR(VLOOKUP($A$1783,INDIRECT("notes_"&amp;LEFT($A$1783,3)),4,0)),0,VLOOKUP($A$1783,INDIRECT("notes_"&amp;LEFT($A$1783,3)),4,0))</f>
        <v>0</v>
      </c>
      <c r="G1883" s="787" t="str">
        <f>IF(ISNUMBER(SEARCH("specify",'RO6'!B126)),"",'RO6'!B126)</f>
        <v/>
      </c>
    </row>
    <row r="1884" spans="1:7" x14ac:dyDescent="0.25">
      <c r="A1884" s="787" t="s">
        <v>4261</v>
      </c>
      <c r="B1884" s="789">
        <f>IF('RO6'!F$127="","",'RO6'!F$127)</f>
        <v>0</v>
      </c>
      <c r="C1884" s="790">
        <f ca="1">IF(ISERROR(VLOOKUP($A$1784,INDIRECT("notes_"&amp;LEFT($A$1784,3)),4,0)),0,VLOOKUP($A$1784,INDIRECT("notes_"&amp;LEFT($A$1784,3)),4,0))</f>
        <v>0</v>
      </c>
    </row>
    <row r="1885" spans="1:7" x14ac:dyDescent="0.25">
      <c r="A1885" s="787" t="s">
        <v>4262</v>
      </c>
      <c r="B1885" s="789" t="str">
        <f>IF('RO6'!G$32="","",'RO6'!G$32)</f>
        <v/>
      </c>
      <c r="C1885" s="790">
        <f ca="1">IF(ISERROR(VLOOKUP($A$1737,INDIRECT("notes_"&amp;LEFT($A$1737,3)),4,0)),0,VLOOKUP($A$1737,INDIRECT("notes_"&amp;LEFT($A$1737,3)),4,0))</f>
        <v>0</v>
      </c>
    </row>
    <row r="1886" spans="1:7" x14ac:dyDescent="0.25">
      <c r="A1886" s="787" t="s">
        <v>4263</v>
      </c>
      <c r="B1886" s="789" t="str">
        <f>IF('RO6'!G$39="","",'RO6'!G$39)</f>
        <v/>
      </c>
      <c r="C1886" s="790">
        <f ca="1">IF(ISERROR(VLOOKUP($A$1738,INDIRECT("notes_"&amp;LEFT($A$1738,3)),4,0)),0,VLOOKUP($A$1738,INDIRECT("notes_"&amp;LEFT($A$1738,3)),4,0))</f>
        <v>0</v>
      </c>
    </row>
    <row r="1887" spans="1:7" x14ac:dyDescent="0.25">
      <c r="A1887" s="787" t="s">
        <v>4264</v>
      </c>
      <c r="B1887" s="789" t="str">
        <f>IF('RO6'!G$40="","",'RO6'!G$40)</f>
        <v/>
      </c>
      <c r="C1887" s="790">
        <f ca="1">IF(ISERROR(VLOOKUP($A$1739,INDIRECT("notes_"&amp;LEFT($A$1739,3)),4,0)),0,VLOOKUP($A$1739,INDIRECT("notes_"&amp;LEFT($A$1739,3)),4,0))</f>
        <v>0</v>
      </c>
    </row>
    <row r="1888" spans="1:7" x14ac:dyDescent="0.25">
      <c r="A1888" s="787" t="s">
        <v>4265</v>
      </c>
      <c r="B1888" s="789" t="str">
        <f>IF('RO6'!G$41="","",'RO6'!G$41)</f>
        <v/>
      </c>
      <c r="C1888" s="790">
        <f ca="1">IF(ISERROR(VLOOKUP($A$1740,INDIRECT("notes_"&amp;LEFT($A$1740,3)),4,0)),0,VLOOKUP($A$1740,INDIRECT("notes_"&amp;LEFT($A$1740,3)),4,0))</f>
        <v>0</v>
      </c>
    </row>
    <row r="1889" spans="1:3" x14ac:dyDescent="0.25">
      <c r="A1889" s="787" t="s">
        <v>4266</v>
      </c>
      <c r="B1889" s="789">
        <f>IF('RO6'!G$42="","",'RO6'!G$42)</f>
        <v>0</v>
      </c>
      <c r="C1889" s="790">
        <f ca="1">IF(ISERROR(VLOOKUP($A$1741,INDIRECT("notes_"&amp;LEFT($A$1741,3)),4,0)),0,VLOOKUP($A$1741,INDIRECT("notes_"&amp;LEFT($A$1741,3)),4,0))</f>
        <v>0</v>
      </c>
    </row>
    <row r="1890" spans="1:3" x14ac:dyDescent="0.25">
      <c r="A1890" s="787" t="s">
        <v>4267</v>
      </c>
      <c r="B1890" s="789" t="str">
        <f>IF('RO6'!G$50="","",'RO6'!G$50)</f>
        <v/>
      </c>
      <c r="C1890" s="790">
        <f ca="1">IF(ISERROR(VLOOKUP($A$1742,INDIRECT("notes_"&amp;LEFT($A$1742,3)),4,0)),0,VLOOKUP($A$1742,INDIRECT("notes_"&amp;LEFT($A$1742,3)),4,0))</f>
        <v>0</v>
      </c>
    </row>
    <row r="1891" spans="1:3" x14ac:dyDescent="0.25">
      <c r="A1891" s="787" t="s">
        <v>4268</v>
      </c>
      <c r="B1891" s="789" t="str">
        <f>IF('RO6'!G$55="","",'RO6'!G$55)</f>
        <v/>
      </c>
      <c r="C1891" s="790">
        <f ca="1">IF(ISERROR(VLOOKUP($A$1743,INDIRECT("notes_"&amp;LEFT($A$1743,3)),4,0)),0,VLOOKUP($A$1743,INDIRECT("notes_"&amp;LEFT($A$1743,3)),4,0))</f>
        <v>0</v>
      </c>
    </row>
    <row r="1892" spans="1:3" x14ac:dyDescent="0.25">
      <c r="A1892" s="787" t="s">
        <v>4269</v>
      </c>
      <c r="B1892" s="789" t="str">
        <f>IF('RO6'!G$56="","",'RO6'!G$56)</f>
        <v/>
      </c>
      <c r="C1892" s="790">
        <f ca="1">IF(ISERROR(VLOOKUP($A$1744,INDIRECT("notes_"&amp;LEFT($A$1744,3)),4,0)),0,VLOOKUP($A$1744,INDIRECT("notes_"&amp;LEFT($A$1744,3)),4,0))</f>
        <v>0</v>
      </c>
    </row>
    <row r="1893" spans="1:3" x14ac:dyDescent="0.25">
      <c r="A1893" s="787" t="s">
        <v>4270</v>
      </c>
      <c r="B1893" s="789" t="str">
        <f>IF('RO6'!G$57="","",'RO6'!G$57)</f>
        <v/>
      </c>
      <c r="C1893" s="790">
        <f ca="1">IF(ISERROR(VLOOKUP($A$1745,INDIRECT("notes_"&amp;LEFT($A$1745,3)),4,0)),0,VLOOKUP($A$1745,INDIRECT("notes_"&amp;LEFT($A$1745,3)),4,0))</f>
        <v>0</v>
      </c>
    </row>
    <row r="1894" spans="1:3" x14ac:dyDescent="0.25">
      <c r="A1894" s="787" t="s">
        <v>4271</v>
      </c>
      <c r="B1894" s="789" t="str">
        <f>IF('RO6'!G$58="","",'RO6'!G$58)</f>
        <v/>
      </c>
      <c r="C1894" s="790">
        <f ca="1">IF(ISERROR(VLOOKUP($A$1746,INDIRECT("notes_"&amp;LEFT($A$1746,3)),4,0)),0,VLOOKUP($A$1746,INDIRECT("notes_"&amp;LEFT($A$1746,3)),4,0))</f>
        <v>0</v>
      </c>
    </row>
    <row r="1895" spans="1:3" x14ac:dyDescent="0.25">
      <c r="A1895" s="787" t="s">
        <v>4272</v>
      </c>
      <c r="B1895" s="789" t="str">
        <f>IF('RO6'!G$59="","",'RO6'!G$59)</f>
        <v/>
      </c>
      <c r="C1895" s="790">
        <f ca="1">IF(ISERROR(VLOOKUP($A$1747,INDIRECT("notes_"&amp;LEFT($A$1747,3)),4,0)),0,VLOOKUP($A$1747,INDIRECT("notes_"&amp;LEFT($A$1747,3)),4,0))</f>
        <v>0</v>
      </c>
    </row>
    <row r="1896" spans="1:3" x14ac:dyDescent="0.25">
      <c r="A1896" s="787" t="s">
        <v>4273</v>
      </c>
      <c r="B1896" s="789" t="str">
        <f>IF('RO6'!G$60="","",'RO6'!G$60)</f>
        <v/>
      </c>
      <c r="C1896" s="790">
        <f ca="1">IF(ISERROR(VLOOKUP($A$1748,INDIRECT("notes_"&amp;LEFT($A$1748,3)),4,0)),0,VLOOKUP($A$1748,INDIRECT("notes_"&amp;LEFT($A$1748,3)),4,0))</f>
        <v>0</v>
      </c>
    </row>
    <row r="1897" spans="1:3" x14ac:dyDescent="0.25">
      <c r="A1897" s="787" t="s">
        <v>4274</v>
      </c>
      <c r="B1897" s="789" t="str">
        <f>IF('RO6'!G$62="","",'RO6'!G$62)</f>
        <v/>
      </c>
      <c r="C1897" s="790">
        <f ca="1">IF(ISERROR(VLOOKUP($A$1749,INDIRECT("notes_"&amp;LEFT($A$1749,3)),4,0)),0,VLOOKUP($A$1749,INDIRECT("notes_"&amp;LEFT($A$1749,3)),4,0))</f>
        <v>0</v>
      </c>
    </row>
    <row r="1898" spans="1:3" x14ac:dyDescent="0.25">
      <c r="A1898" s="787" t="s">
        <v>4275</v>
      </c>
      <c r="B1898" s="789" t="str">
        <f>IF('RO6'!G$65="","",'RO6'!G$65)</f>
        <v/>
      </c>
      <c r="C1898" s="790">
        <f ca="1">IF(ISERROR(VLOOKUP($A$1750,INDIRECT("notes_"&amp;LEFT($A$1750,3)),4,0)),0,VLOOKUP($A$1750,INDIRECT("notes_"&amp;LEFT($A$1750,3)),4,0))</f>
        <v>0</v>
      </c>
    </row>
    <row r="1899" spans="1:3" x14ac:dyDescent="0.25">
      <c r="A1899" s="787" t="s">
        <v>4276</v>
      </c>
      <c r="B1899" s="789" t="str">
        <f>IF('RO6'!G$66="","",'RO6'!G$66)</f>
        <v/>
      </c>
      <c r="C1899" s="790">
        <f ca="1">IF(ISERROR(VLOOKUP($A$1751,INDIRECT("notes_"&amp;LEFT($A$1751,3)),4,0)),0,VLOOKUP($A$1751,INDIRECT("notes_"&amp;LEFT($A$1751,3)),4,0))</f>
        <v>0</v>
      </c>
    </row>
    <row r="1900" spans="1:3" x14ac:dyDescent="0.25">
      <c r="A1900" s="787" t="s">
        <v>4277</v>
      </c>
      <c r="B1900" s="789" t="str">
        <f>IF('RO6'!G$68="","",'RO6'!G$68)</f>
        <v/>
      </c>
      <c r="C1900" s="790">
        <f ca="1">IF(ISERROR(VLOOKUP($A$1752,INDIRECT("notes_"&amp;LEFT($A$1752,3)),4,0)),0,VLOOKUP($A$1752,INDIRECT("notes_"&amp;LEFT($A$1752,3)),4,0))</f>
        <v>0</v>
      </c>
    </row>
    <row r="1901" spans="1:3" x14ac:dyDescent="0.25">
      <c r="A1901" s="787" t="s">
        <v>4278</v>
      </c>
      <c r="B1901" s="789" t="str">
        <f>IF('RO6'!G$70="","",'RO6'!G$70)</f>
        <v/>
      </c>
      <c r="C1901" s="790">
        <f ca="1">IF(ISERROR(VLOOKUP($A$1753,INDIRECT("notes_"&amp;LEFT($A$1753,3)),4,0)),0,VLOOKUP($A$1753,INDIRECT("notes_"&amp;LEFT($A$1753,3)),4,0))</f>
        <v>0</v>
      </c>
    </row>
    <row r="1902" spans="1:3" x14ac:dyDescent="0.25">
      <c r="A1902" s="787" t="s">
        <v>4279</v>
      </c>
      <c r="B1902" s="789" t="str">
        <f>IF('RO6'!G$72="","",'RO6'!G$72)</f>
        <v/>
      </c>
      <c r="C1902" s="790">
        <f ca="1">IF(ISERROR(VLOOKUP($A$1754,INDIRECT("notes_"&amp;LEFT($A$1754,3)),4,0)),0,VLOOKUP($A$1754,INDIRECT("notes_"&amp;LEFT($A$1754,3)),4,0))</f>
        <v>0</v>
      </c>
    </row>
    <row r="1903" spans="1:3" x14ac:dyDescent="0.25">
      <c r="A1903" s="787" t="s">
        <v>4280</v>
      </c>
      <c r="B1903" s="789" t="str">
        <f>IF('RO6'!G$74="","",'RO6'!G$74)</f>
        <v/>
      </c>
      <c r="C1903" s="790">
        <f ca="1">IF(ISERROR(VLOOKUP($A$1755,INDIRECT("notes_"&amp;LEFT($A$1755,3)),4,0)),0,VLOOKUP($A$1755,INDIRECT("notes_"&amp;LEFT($A$1755,3)),4,0))</f>
        <v>0</v>
      </c>
    </row>
    <row r="1904" spans="1:3" x14ac:dyDescent="0.25">
      <c r="A1904" s="787" t="s">
        <v>4281</v>
      </c>
      <c r="B1904" s="789" t="str">
        <f>IF('RO6'!G$76="","",'RO6'!G$76)</f>
        <v/>
      </c>
      <c r="C1904" s="790">
        <f ca="1">IF(ISERROR(VLOOKUP($A$1756,INDIRECT("notes_"&amp;LEFT($A$1756,3)),4,0)),0,VLOOKUP($A$1756,INDIRECT("notes_"&amp;LEFT($A$1756,3)),4,0))</f>
        <v>0</v>
      </c>
    </row>
    <row r="1905" spans="1:7" x14ac:dyDescent="0.25">
      <c r="A1905" s="787" t="s">
        <v>4282</v>
      </c>
      <c r="B1905" s="789" t="str">
        <f>IF('RO6'!G$77="","",'RO6'!G$77)</f>
        <v/>
      </c>
      <c r="C1905" s="790">
        <f ca="1">IF(ISERROR(VLOOKUP($A$1757,INDIRECT("notes_"&amp;LEFT($A$1757,3)),4,0)),0,VLOOKUP($A$1757,INDIRECT("notes_"&amp;LEFT($A$1757,3)),4,0))</f>
        <v>0</v>
      </c>
    </row>
    <row r="1906" spans="1:7" x14ac:dyDescent="0.25">
      <c r="A1906" s="787" t="s">
        <v>4283</v>
      </c>
      <c r="B1906" s="789" t="str">
        <f>IF('RO6'!G$80="","",'RO6'!G$80)</f>
        <v/>
      </c>
      <c r="C1906" s="790">
        <f ca="1">IF(ISERROR(VLOOKUP($A$1758,INDIRECT("notes_"&amp;LEFT($A$1758,3)),4,0)),0,VLOOKUP($A$1758,INDIRECT("notes_"&amp;LEFT($A$1758,3)),4,0))</f>
        <v>0</v>
      </c>
    </row>
    <row r="1907" spans="1:7" x14ac:dyDescent="0.25">
      <c r="A1907" s="787" t="s">
        <v>4284</v>
      </c>
      <c r="B1907" s="789" t="str">
        <f>IF('RO6'!G$81="","",'RO6'!G$81)</f>
        <v/>
      </c>
      <c r="C1907" s="790">
        <f ca="1">IF(ISERROR(VLOOKUP($A$1759,INDIRECT("notes_"&amp;LEFT($A$1759,3)),4,0)),0,VLOOKUP($A$1759,INDIRECT("notes_"&amp;LEFT($A$1759,3)),4,0))</f>
        <v>0</v>
      </c>
    </row>
    <row r="1908" spans="1:7" x14ac:dyDescent="0.25">
      <c r="A1908" s="787" t="s">
        <v>4285</v>
      </c>
      <c r="B1908" s="789" t="str">
        <f>IF('RO6'!G$82="","",'RO6'!G$82)</f>
        <v/>
      </c>
      <c r="C1908" s="790">
        <f ca="1">IF(ISERROR(VLOOKUP($A$1760,INDIRECT("notes_"&amp;LEFT($A$1760,3)),4,0)),0,VLOOKUP($A$1760,INDIRECT("notes_"&amp;LEFT($A$1760,3)),4,0))</f>
        <v>0</v>
      </c>
    </row>
    <row r="1909" spans="1:7" x14ac:dyDescent="0.25">
      <c r="A1909" s="787" t="s">
        <v>4286</v>
      </c>
      <c r="B1909" s="789" t="str">
        <f>IF('RO6'!G$84="","",'RO6'!G$84)</f>
        <v/>
      </c>
      <c r="C1909" s="790">
        <f ca="1">IF(ISERROR(VLOOKUP($A$1761,INDIRECT("notes_"&amp;LEFT($A$1761,3)),4,0)),0,VLOOKUP($A$1761,INDIRECT("notes_"&amp;LEFT($A$1761,3)),4,0))</f>
        <v>0</v>
      </c>
    </row>
    <row r="1910" spans="1:7" x14ac:dyDescent="0.25">
      <c r="A1910" s="787" t="s">
        <v>4287</v>
      </c>
      <c r="B1910" s="789">
        <f>IF('RO6'!G$86="","",'RO6'!G$86)</f>
        <v>0</v>
      </c>
      <c r="C1910" s="790">
        <f ca="1">IF(ISERROR(VLOOKUP($A$1762,INDIRECT("notes_"&amp;LEFT($A$1762,3)),4,0)),0,VLOOKUP($A$1762,INDIRECT("notes_"&amp;LEFT($A$1762,3)),4,0))</f>
        <v>0</v>
      </c>
    </row>
    <row r="1911" spans="1:7" x14ac:dyDescent="0.25">
      <c r="A1911" s="787" t="s">
        <v>4288</v>
      </c>
      <c r="B1911" s="789">
        <f>IF('RO6'!G$100="","",'RO6'!G$100)</f>
        <v>0</v>
      </c>
      <c r="C1911" s="790">
        <f ca="1">IF(ISERROR(VLOOKUP($A$1763,INDIRECT("notes_"&amp;LEFT($A$1763,3)),4,0)),0,VLOOKUP($A$1763,INDIRECT("notes_"&amp;LEFT($A$1763,3)),4,0))</f>
        <v>0</v>
      </c>
    </row>
    <row r="1912" spans="1:7" x14ac:dyDescent="0.25">
      <c r="A1912" s="787" t="s">
        <v>4289</v>
      </c>
      <c r="B1912" s="789" t="str">
        <f>IF('RO6'!G$107="","",'RO6'!G$107)</f>
        <v/>
      </c>
      <c r="C1912" s="790">
        <f ca="1">IF(ISERROR(VLOOKUP($A$1764,INDIRECT("notes_"&amp;LEFT($A$1764,3)),4,0)),0,VLOOKUP($A$1764,INDIRECT("notes_"&amp;LEFT($A$1764,3)),4,0))</f>
        <v>0</v>
      </c>
      <c r="G1912" s="787" t="str">
        <f>IF(ISNUMBER(SEARCH("specify",'RO6'!B107)),"",'RO6'!B107)</f>
        <v/>
      </c>
    </row>
    <row r="1913" spans="1:7" x14ac:dyDescent="0.25">
      <c r="A1913" s="787" t="s">
        <v>4290</v>
      </c>
      <c r="B1913" s="789" t="str">
        <f>IF('RO6'!G$108="","",'RO6'!G$108)</f>
        <v/>
      </c>
      <c r="C1913" s="790">
        <f ca="1">IF(ISERROR(VLOOKUP($A$1765,INDIRECT("notes_"&amp;LEFT($A$1765,3)),4,0)),0,VLOOKUP($A$1765,INDIRECT("notes_"&amp;LEFT($A$1765,3)),4,0))</f>
        <v>0</v>
      </c>
      <c r="G1913" s="787" t="str">
        <f>IF(ISNUMBER(SEARCH("specify",'RO6'!B108)),"",'RO6'!B108)</f>
        <v/>
      </c>
    </row>
    <row r="1914" spans="1:7" x14ac:dyDescent="0.25">
      <c r="A1914" s="787" t="s">
        <v>4291</v>
      </c>
      <c r="B1914" s="789" t="str">
        <f>IF('RO6'!G$109="","",'RO6'!G$109)</f>
        <v/>
      </c>
      <c r="C1914" s="790">
        <f ca="1">IF(ISERROR(VLOOKUP($A$1766,INDIRECT("notes_"&amp;LEFT($A$1766,3)),4,0)),0,VLOOKUP($A$1766,INDIRECT("notes_"&amp;LEFT($A$1766,3)),4,0))</f>
        <v>0</v>
      </c>
      <c r="G1914" s="787" t="str">
        <f>IF(ISNUMBER(SEARCH("specify",'RO6'!B109)),"",'RO6'!B109)</f>
        <v/>
      </c>
    </row>
    <row r="1915" spans="1:7" x14ac:dyDescent="0.25">
      <c r="A1915" s="787" t="s">
        <v>4292</v>
      </c>
      <c r="B1915" s="789" t="str">
        <f>IF('RO6'!G$110="","",'RO6'!G$110)</f>
        <v/>
      </c>
      <c r="C1915" s="790">
        <f ca="1">IF(ISERROR(VLOOKUP($A$1767,INDIRECT("notes_"&amp;LEFT($A$1767,3)),4,0)),0,VLOOKUP($A$1767,INDIRECT("notes_"&amp;LEFT($A$1767,3)),4,0))</f>
        <v>0</v>
      </c>
      <c r="G1915" s="787" t="str">
        <f>IF(ISNUMBER(SEARCH("specify",'RO6'!B110)),"",'RO6'!B110)</f>
        <v/>
      </c>
    </row>
    <row r="1916" spans="1:7" x14ac:dyDescent="0.25">
      <c r="A1916" s="787" t="s">
        <v>4293</v>
      </c>
      <c r="B1916" s="789" t="str">
        <f>IF('RO6'!G$111="","",'RO6'!G$111)</f>
        <v/>
      </c>
      <c r="C1916" s="790">
        <f ca="1">IF(ISERROR(VLOOKUP($A$1768,INDIRECT("notes_"&amp;LEFT($A$1768,3)),4,0)),0,VLOOKUP($A$1768,INDIRECT("notes_"&amp;LEFT($A$1768,3)),4,0))</f>
        <v>0</v>
      </c>
      <c r="G1916" s="787" t="str">
        <f>IF(ISNUMBER(SEARCH("specify",'RO6'!B111)),"",'RO6'!B111)</f>
        <v/>
      </c>
    </row>
    <row r="1917" spans="1:7" x14ac:dyDescent="0.25">
      <c r="A1917" s="787" t="s">
        <v>4294</v>
      </c>
      <c r="B1917" s="789" t="str">
        <f>IF('RO6'!G$112="","",'RO6'!G$112)</f>
        <v/>
      </c>
      <c r="C1917" s="790">
        <f ca="1">IF(ISERROR(VLOOKUP($A$1769,INDIRECT("notes_"&amp;LEFT($A$1769,3)),4,0)),0,VLOOKUP($A$1769,INDIRECT("notes_"&amp;LEFT($A$1769,3)),4,0))</f>
        <v>0</v>
      </c>
      <c r="G1917" s="787" t="str">
        <f>IF(ISNUMBER(SEARCH("specify",'RO6'!B112)),"",'RO6'!B112)</f>
        <v/>
      </c>
    </row>
    <row r="1918" spans="1:7" x14ac:dyDescent="0.25">
      <c r="A1918" s="787" t="s">
        <v>4295</v>
      </c>
      <c r="B1918" s="789" t="str">
        <f>IF('RO6'!G$113="","",'RO6'!G$113)</f>
        <v/>
      </c>
      <c r="C1918" s="790">
        <f ca="1">IF(ISERROR(VLOOKUP($A$1770,INDIRECT("notes_"&amp;LEFT($A$1770,3)),4,0)),0,VLOOKUP($A$1770,INDIRECT("notes_"&amp;LEFT($A$1770,3)),4,0))</f>
        <v>0</v>
      </c>
      <c r="G1918" s="787" t="str">
        <f>IF(ISNUMBER(SEARCH("specify",'RO6'!B113)),"",'RO6'!B113)</f>
        <v/>
      </c>
    </row>
    <row r="1919" spans="1:7" x14ac:dyDescent="0.25">
      <c r="A1919" s="787" t="s">
        <v>4296</v>
      </c>
      <c r="B1919" s="789" t="str">
        <f>IF('RO6'!G$114="","",'RO6'!G$114)</f>
        <v/>
      </c>
      <c r="C1919" s="790">
        <f ca="1">IF(ISERROR(VLOOKUP($A$1771,INDIRECT("notes_"&amp;LEFT($A$1771,3)),4,0)),0,VLOOKUP($A$1771,INDIRECT("notes_"&amp;LEFT($A$1771,3)),4,0))</f>
        <v>0</v>
      </c>
      <c r="G1919" s="787" t="str">
        <f>IF(ISNUMBER(SEARCH("specify",'RO6'!B114)),"",'RO6'!B114)</f>
        <v/>
      </c>
    </row>
    <row r="1920" spans="1:7" x14ac:dyDescent="0.25">
      <c r="A1920" s="787" t="s">
        <v>4297</v>
      </c>
      <c r="B1920" s="789" t="str">
        <f>IF('RO6'!G$115="","",'RO6'!G$115)</f>
        <v/>
      </c>
      <c r="C1920" s="790">
        <f ca="1">IF(ISERROR(VLOOKUP($A$1772,INDIRECT("notes_"&amp;LEFT($A$1772,3)),4,0)),0,VLOOKUP($A$1772,INDIRECT("notes_"&amp;LEFT($A$1772,3)),4,0))</f>
        <v>0</v>
      </c>
      <c r="G1920" s="787" t="str">
        <f>IF(ISNUMBER(SEARCH("specify",'RO6'!B115)),"",'RO6'!B115)</f>
        <v/>
      </c>
    </row>
    <row r="1921" spans="1:7" x14ac:dyDescent="0.25">
      <c r="A1921" s="787" t="s">
        <v>4298</v>
      </c>
      <c r="B1921" s="789" t="str">
        <f>IF('RO6'!G$116="","",'RO6'!G$116)</f>
        <v/>
      </c>
      <c r="C1921" s="790">
        <f ca="1">IF(ISERROR(VLOOKUP($A$1773,INDIRECT("notes_"&amp;LEFT($A$1773,3)),4,0)),0,VLOOKUP($A$1773,INDIRECT("notes_"&amp;LEFT($A$1773,3)),4,0))</f>
        <v>0</v>
      </c>
      <c r="G1921" s="787" t="str">
        <f>IF(ISNUMBER(SEARCH("specify",'RO6'!B116)),"",'RO6'!B116)</f>
        <v/>
      </c>
    </row>
    <row r="1922" spans="1:7" x14ac:dyDescent="0.25">
      <c r="A1922" s="787" t="s">
        <v>4299</v>
      </c>
      <c r="B1922" s="789" t="str">
        <f>IF('RO6'!G$117="","",'RO6'!G$117)</f>
        <v/>
      </c>
      <c r="C1922" s="790">
        <f ca="1">IF(ISERROR(VLOOKUP($A$1774,INDIRECT("notes_"&amp;LEFT($A$1774,3)),4,0)),0,VLOOKUP($A$1774,INDIRECT("notes_"&amp;LEFT($A$1774,3)),4,0))</f>
        <v>0</v>
      </c>
      <c r="G1922" s="787" t="str">
        <f>IF(ISNUMBER(SEARCH("specify",'RO6'!B117)),"",'RO6'!B117)</f>
        <v/>
      </c>
    </row>
    <row r="1923" spans="1:7" x14ac:dyDescent="0.25">
      <c r="A1923" s="787" t="s">
        <v>4300</v>
      </c>
      <c r="B1923" s="789" t="str">
        <f>IF('RO6'!G$118="","",'RO6'!G$118)</f>
        <v/>
      </c>
      <c r="C1923" s="790">
        <f ca="1">IF(ISERROR(VLOOKUP($A$1775,INDIRECT("notes_"&amp;LEFT($A$1775,3)),4,0)),0,VLOOKUP($A$1775,INDIRECT("notes_"&amp;LEFT($A$1775,3)),4,0))</f>
        <v>0</v>
      </c>
      <c r="G1923" s="787" t="str">
        <f>IF(ISNUMBER(SEARCH("specify",'RO6'!B118)),"",'RO6'!B118)</f>
        <v/>
      </c>
    </row>
    <row r="1924" spans="1:7" x14ac:dyDescent="0.25">
      <c r="A1924" s="787" t="s">
        <v>4301</v>
      </c>
      <c r="B1924" s="789" t="str">
        <f>IF('RO6'!G$119="","",'RO6'!G$119)</f>
        <v/>
      </c>
      <c r="C1924" s="790">
        <f ca="1">IF(ISERROR(VLOOKUP($A$1776,INDIRECT("notes_"&amp;LEFT($A$1776,3)),4,0)),0,VLOOKUP($A$1776,INDIRECT("notes_"&amp;LEFT($A$1776,3)),4,0))</f>
        <v>0</v>
      </c>
      <c r="G1924" s="787" t="str">
        <f>IF(ISNUMBER(SEARCH("specify",'RO6'!B119)),"",'RO6'!B119)</f>
        <v/>
      </c>
    </row>
    <row r="1925" spans="1:7" x14ac:dyDescent="0.25">
      <c r="A1925" s="787" t="s">
        <v>4302</v>
      </c>
      <c r="B1925" s="789" t="str">
        <f>IF('RO6'!G$120="","",'RO6'!G$120)</f>
        <v/>
      </c>
      <c r="C1925" s="790">
        <f ca="1">IF(ISERROR(VLOOKUP($A$1777,INDIRECT("notes_"&amp;LEFT($A$1777,3)),4,0)),0,VLOOKUP($A$1777,INDIRECT("notes_"&amp;LEFT($A$1777,3)),4,0))</f>
        <v>0</v>
      </c>
      <c r="G1925" s="787" t="str">
        <f>IF(ISNUMBER(SEARCH("specify",'RO6'!B120)),"",'RO6'!B120)</f>
        <v/>
      </c>
    </row>
    <row r="1926" spans="1:7" x14ac:dyDescent="0.25">
      <c r="A1926" s="787" t="s">
        <v>4303</v>
      </c>
      <c r="B1926" s="789" t="str">
        <f>IF('RO6'!G$121="","",'RO6'!G$121)</f>
        <v/>
      </c>
      <c r="C1926" s="790">
        <f ca="1">IF(ISERROR(VLOOKUP($A$1778,INDIRECT("notes_"&amp;LEFT($A$1778,3)),4,0)),0,VLOOKUP($A$1778,INDIRECT("notes_"&amp;LEFT($A$1778,3)),4,0))</f>
        <v>0</v>
      </c>
      <c r="G1926" s="787" t="str">
        <f>IF(ISNUMBER(SEARCH("specify",'RO6'!B121)),"",'RO6'!B121)</f>
        <v/>
      </c>
    </row>
    <row r="1927" spans="1:7" x14ac:dyDescent="0.25">
      <c r="A1927" s="787" t="s">
        <v>4304</v>
      </c>
      <c r="B1927" s="789" t="str">
        <f>IF('RO6'!G$122="","",'RO6'!G$122)</f>
        <v/>
      </c>
      <c r="C1927" s="790">
        <f ca="1">IF(ISERROR(VLOOKUP($A$1779,INDIRECT("notes_"&amp;LEFT($A$1779,3)),4,0)),0,VLOOKUP($A$1779,INDIRECT("notes_"&amp;LEFT($A$1779,3)),4,0))</f>
        <v>0</v>
      </c>
      <c r="G1927" s="787" t="str">
        <f>IF(ISNUMBER(SEARCH("specify",'RO6'!B122)),"",'RO6'!B122)</f>
        <v/>
      </c>
    </row>
    <row r="1928" spans="1:7" x14ac:dyDescent="0.25">
      <c r="A1928" s="787" t="s">
        <v>4305</v>
      </c>
      <c r="B1928" s="789" t="str">
        <f>IF('RO6'!G$123="","",'RO6'!G$123)</f>
        <v/>
      </c>
      <c r="C1928" s="790">
        <f ca="1">IF(ISERROR(VLOOKUP($A$1780,INDIRECT("notes_"&amp;LEFT($A$1780,3)),4,0)),0,VLOOKUP($A$1780,INDIRECT("notes_"&amp;LEFT($A$1780,3)),4,0))</f>
        <v>0</v>
      </c>
      <c r="G1928" s="787" t="str">
        <f>IF(ISNUMBER(SEARCH("specify",'RO6'!B123)),"",'RO6'!B123)</f>
        <v/>
      </c>
    </row>
    <row r="1929" spans="1:7" x14ac:dyDescent="0.25">
      <c r="A1929" s="787" t="s">
        <v>4306</v>
      </c>
      <c r="B1929" s="789" t="str">
        <f>IF('RO6'!G$124="","",'RO6'!G$124)</f>
        <v/>
      </c>
      <c r="C1929" s="790">
        <f ca="1">IF(ISERROR(VLOOKUP($A$1781,INDIRECT("notes_"&amp;LEFT($A$1781,3)),4,0)),0,VLOOKUP($A$1781,INDIRECT("notes_"&amp;LEFT($A$1781,3)),4,0))</f>
        <v>0</v>
      </c>
      <c r="G1929" s="787" t="str">
        <f>IF(ISNUMBER(SEARCH("specify",'RO6'!B124)),"",'RO6'!B124)</f>
        <v/>
      </c>
    </row>
    <row r="1930" spans="1:7" x14ac:dyDescent="0.25">
      <c r="A1930" s="787" t="s">
        <v>4307</v>
      </c>
      <c r="B1930" s="789" t="str">
        <f>IF('RO6'!G$125="","",'RO6'!G$125)</f>
        <v/>
      </c>
      <c r="C1930" s="790">
        <f ca="1">IF(ISERROR(VLOOKUP($A$1782,INDIRECT("notes_"&amp;LEFT($A$1782,3)),4,0)),0,VLOOKUP($A$1782,INDIRECT("notes_"&amp;LEFT($A$1782,3)),4,0))</f>
        <v>0</v>
      </c>
      <c r="G1930" s="787" t="str">
        <f>IF(ISNUMBER(SEARCH("specify",'RO6'!B125)),"",'RO6'!B125)</f>
        <v/>
      </c>
    </row>
    <row r="1931" spans="1:7" x14ac:dyDescent="0.25">
      <c r="A1931" s="787" t="s">
        <v>4308</v>
      </c>
      <c r="B1931" s="789" t="str">
        <f>IF('RO6'!G$126="","",'RO6'!G$126)</f>
        <v/>
      </c>
      <c r="C1931" s="790">
        <f ca="1">IF(ISERROR(VLOOKUP($A$1783,INDIRECT("notes_"&amp;LEFT($A$1783,3)),4,0)),0,VLOOKUP($A$1783,INDIRECT("notes_"&amp;LEFT($A$1783,3)),4,0))</f>
        <v>0</v>
      </c>
      <c r="G1931" s="787" t="str">
        <f>IF(ISNUMBER(SEARCH("specify",'RO6'!B126)),"",'RO6'!B126)</f>
        <v/>
      </c>
    </row>
    <row r="1932" spans="1:7" x14ac:dyDescent="0.25">
      <c r="A1932" s="787" t="s">
        <v>4309</v>
      </c>
      <c r="B1932" s="789">
        <f>IF('RO6'!G$127="","",'RO6'!G$127)</f>
        <v>0</v>
      </c>
      <c r="C1932" s="790">
        <f ca="1">IF(ISERROR(VLOOKUP($A$1784,INDIRECT("notes_"&amp;LEFT($A$1784,3)),4,0)),0,VLOOKUP($A$1784,INDIRECT("notes_"&amp;LEFT($A$1784,3)),4,0))</f>
        <v>0</v>
      </c>
    </row>
    <row r="1933" spans="1:7" x14ac:dyDescent="0.25">
      <c r="A1933" s="787" t="s">
        <v>4310</v>
      </c>
      <c r="B1933" s="789" t="str">
        <f>IF('RO6'!H$32="","",'RO6'!H$32)</f>
        <v/>
      </c>
      <c r="C1933" s="790">
        <f ca="1">IF(ISERROR(VLOOKUP($A$1737,INDIRECT("notes_"&amp;LEFT($A$1737,3)),4,0)),0,VLOOKUP($A$1737,INDIRECT("notes_"&amp;LEFT($A$1737,3)),4,0))</f>
        <v>0</v>
      </c>
    </row>
    <row r="1934" spans="1:7" x14ac:dyDescent="0.25">
      <c r="A1934" s="787" t="s">
        <v>4311</v>
      </c>
      <c r="B1934" s="789" t="str">
        <f>IF('RO6'!H$39="","",'RO6'!H$39)</f>
        <v/>
      </c>
      <c r="C1934" s="790">
        <f ca="1">IF(ISERROR(VLOOKUP($A$1738,INDIRECT("notes_"&amp;LEFT($A$1738,3)),4,0)),0,VLOOKUP($A$1738,INDIRECT("notes_"&amp;LEFT($A$1738,3)),4,0))</f>
        <v>0</v>
      </c>
    </row>
    <row r="1935" spans="1:7" x14ac:dyDescent="0.25">
      <c r="A1935" s="787" t="s">
        <v>4312</v>
      </c>
      <c r="B1935" s="789" t="str">
        <f>IF('RO6'!H$40="","",'RO6'!H$40)</f>
        <v/>
      </c>
      <c r="C1935" s="790">
        <f ca="1">IF(ISERROR(VLOOKUP($A$1739,INDIRECT("notes_"&amp;LEFT($A$1739,3)),4,0)),0,VLOOKUP($A$1739,INDIRECT("notes_"&amp;LEFT($A$1739,3)),4,0))</f>
        <v>0</v>
      </c>
    </row>
    <row r="1936" spans="1:7" x14ac:dyDescent="0.25">
      <c r="A1936" s="787" t="s">
        <v>4313</v>
      </c>
      <c r="B1936" s="789" t="str">
        <f>IF('RO6'!H$41="","",'RO6'!H$41)</f>
        <v/>
      </c>
      <c r="C1936" s="790">
        <f ca="1">IF(ISERROR(VLOOKUP($A$1740,INDIRECT("notes_"&amp;LEFT($A$1740,3)),4,0)),0,VLOOKUP($A$1740,INDIRECT("notes_"&amp;LEFT($A$1740,3)),4,0))</f>
        <v>0</v>
      </c>
    </row>
    <row r="1937" spans="1:3" x14ac:dyDescent="0.25">
      <c r="A1937" s="787" t="s">
        <v>4314</v>
      </c>
      <c r="B1937" s="789">
        <f>IF('RO6'!H$42="","",'RO6'!H$42)</f>
        <v>0</v>
      </c>
      <c r="C1937" s="790">
        <f ca="1">IF(ISERROR(VLOOKUP($A$1741,INDIRECT("notes_"&amp;LEFT($A$1741,3)),4,0)),0,VLOOKUP($A$1741,INDIRECT("notes_"&amp;LEFT($A$1741,3)),4,0))</f>
        <v>0</v>
      </c>
    </row>
    <row r="1938" spans="1:3" x14ac:dyDescent="0.25">
      <c r="A1938" s="787" t="s">
        <v>4315</v>
      </c>
      <c r="B1938" s="789" t="str">
        <f>IF('RO6'!H$50="","",'RO6'!H$50)</f>
        <v/>
      </c>
      <c r="C1938" s="790">
        <f ca="1">IF(ISERROR(VLOOKUP($A$1742,INDIRECT("notes_"&amp;LEFT($A$1742,3)),4,0)),0,VLOOKUP($A$1742,INDIRECT("notes_"&amp;LEFT($A$1742,3)),4,0))</f>
        <v>0</v>
      </c>
    </row>
    <row r="1939" spans="1:3" x14ac:dyDescent="0.25">
      <c r="A1939" s="787" t="s">
        <v>4316</v>
      </c>
      <c r="B1939" s="789" t="str">
        <f>IF('RO6'!H$55="","",'RO6'!H$55)</f>
        <v/>
      </c>
      <c r="C1939" s="790">
        <f ca="1">IF(ISERROR(VLOOKUP($A$1743,INDIRECT("notes_"&amp;LEFT($A$1743,3)),4,0)),0,VLOOKUP($A$1743,INDIRECT("notes_"&amp;LEFT($A$1743,3)),4,0))</f>
        <v>0</v>
      </c>
    </row>
    <row r="1940" spans="1:3" x14ac:dyDescent="0.25">
      <c r="A1940" s="787" t="s">
        <v>4317</v>
      </c>
      <c r="B1940" s="789" t="str">
        <f>IF('RO6'!H$56="","",'RO6'!H$56)</f>
        <v/>
      </c>
      <c r="C1940" s="790">
        <f ca="1">IF(ISERROR(VLOOKUP($A$1744,INDIRECT("notes_"&amp;LEFT($A$1744,3)),4,0)),0,VLOOKUP($A$1744,INDIRECT("notes_"&amp;LEFT($A$1744,3)),4,0))</f>
        <v>0</v>
      </c>
    </row>
    <row r="1941" spans="1:3" x14ac:dyDescent="0.25">
      <c r="A1941" s="787" t="s">
        <v>4318</v>
      </c>
      <c r="B1941" s="789" t="str">
        <f>IF('RO6'!H$57="","",'RO6'!H$57)</f>
        <v/>
      </c>
      <c r="C1941" s="790">
        <f ca="1">IF(ISERROR(VLOOKUP($A$1745,INDIRECT("notes_"&amp;LEFT($A$1745,3)),4,0)),0,VLOOKUP($A$1745,INDIRECT("notes_"&amp;LEFT($A$1745,3)),4,0))</f>
        <v>0</v>
      </c>
    </row>
    <row r="1942" spans="1:3" x14ac:dyDescent="0.25">
      <c r="A1942" s="787" t="s">
        <v>4319</v>
      </c>
      <c r="B1942" s="789" t="str">
        <f>IF('RO6'!H$58="","",'RO6'!H$58)</f>
        <v/>
      </c>
      <c r="C1942" s="790">
        <f ca="1">IF(ISERROR(VLOOKUP($A$1746,INDIRECT("notes_"&amp;LEFT($A$1746,3)),4,0)),0,VLOOKUP($A$1746,INDIRECT("notes_"&amp;LEFT($A$1746,3)),4,0))</f>
        <v>0</v>
      </c>
    </row>
    <row r="1943" spans="1:3" x14ac:dyDescent="0.25">
      <c r="A1943" s="787" t="s">
        <v>4320</v>
      </c>
      <c r="B1943" s="789" t="str">
        <f>IF('RO6'!H$59="","",'RO6'!H$59)</f>
        <v/>
      </c>
      <c r="C1943" s="790">
        <f ca="1">IF(ISERROR(VLOOKUP($A$1747,INDIRECT("notes_"&amp;LEFT($A$1747,3)),4,0)),0,VLOOKUP($A$1747,INDIRECT("notes_"&amp;LEFT($A$1747,3)),4,0))</f>
        <v>0</v>
      </c>
    </row>
    <row r="1944" spans="1:3" x14ac:dyDescent="0.25">
      <c r="A1944" s="787" t="s">
        <v>4321</v>
      </c>
      <c r="B1944" s="789" t="str">
        <f>IF('RO6'!H$60="","",'RO6'!H$60)</f>
        <v/>
      </c>
      <c r="C1944" s="790">
        <f ca="1">IF(ISERROR(VLOOKUP($A$1748,INDIRECT("notes_"&amp;LEFT($A$1748,3)),4,0)),0,VLOOKUP($A$1748,INDIRECT("notes_"&amp;LEFT($A$1748,3)),4,0))</f>
        <v>0</v>
      </c>
    </row>
    <row r="1945" spans="1:3" x14ac:dyDescent="0.25">
      <c r="A1945" s="787" t="s">
        <v>4322</v>
      </c>
      <c r="B1945" s="789" t="str">
        <f>IF('RO6'!H$62="","",'RO6'!H$62)</f>
        <v/>
      </c>
      <c r="C1945" s="790">
        <f ca="1">IF(ISERROR(VLOOKUP($A$1749,INDIRECT("notes_"&amp;LEFT($A$1749,3)),4,0)),0,VLOOKUP($A$1749,INDIRECT("notes_"&amp;LEFT($A$1749,3)),4,0))</f>
        <v>0</v>
      </c>
    </row>
    <row r="1946" spans="1:3" x14ac:dyDescent="0.25">
      <c r="A1946" s="787" t="s">
        <v>4323</v>
      </c>
      <c r="B1946" s="789" t="str">
        <f>IF('RO6'!H$65="","",'RO6'!H$65)</f>
        <v/>
      </c>
      <c r="C1946" s="790">
        <f ca="1">IF(ISERROR(VLOOKUP($A$1750,INDIRECT("notes_"&amp;LEFT($A$1750,3)),4,0)),0,VLOOKUP($A$1750,INDIRECT("notes_"&amp;LEFT($A$1750,3)),4,0))</f>
        <v>0</v>
      </c>
    </row>
    <row r="1947" spans="1:3" x14ac:dyDescent="0.25">
      <c r="A1947" s="787" t="s">
        <v>4324</v>
      </c>
      <c r="B1947" s="789" t="str">
        <f>IF('RO6'!H$66="","",'RO6'!H$66)</f>
        <v/>
      </c>
      <c r="C1947" s="790">
        <f ca="1">IF(ISERROR(VLOOKUP($A$1751,INDIRECT("notes_"&amp;LEFT($A$1751,3)),4,0)),0,VLOOKUP($A$1751,INDIRECT("notes_"&amp;LEFT($A$1751,3)),4,0))</f>
        <v>0</v>
      </c>
    </row>
    <row r="1948" spans="1:3" x14ac:dyDescent="0.25">
      <c r="A1948" s="787" t="s">
        <v>4325</v>
      </c>
      <c r="B1948" s="789" t="str">
        <f>IF('RO6'!H$68="","",'RO6'!H$68)</f>
        <v/>
      </c>
      <c r="C1948" s="790">
        <f ca="1">IF(ISERROR(VLOOKUP($A$1752,INDIRECT("notes_"&amp;LEFT($A$1752,3)),4,0)),0,VLOOKUP($A$1752,INDIRECT("notes_"&amp;LEFT($A$1752,3)),4,0))</f>
        <v>0</v>
      </c>
    </row>
    <row r="1949" spans="1:3" x14ac:dyDescent="0.25">
      <c r="A1949" s="787" t="s">
        <v>4326</v>
      </c>
      <c r="B1949" s="789" t="str">
        <f>IF('RO6'!H$70="","",'RO6'!H$70)</f>
        <v/>
      </c>
      <c r="C1949" s="790">
        <f ca="1">IF(ISERROR(VLOOKUP($A$1753,INDIRECT("notes_"&amp;LEFT($A$1753,3)),4,0)),0,VLOOKUP($A$1753,INDIRECT("notes_"&amp;LEFT($A$1753,3)),4,0))</f>
        <v>0</v>
      </c>
    </row>
    <row r="1950" spans="1:3" x14ac:dyDescent="0.25">
      <c r="A1950" s="787" t="s">
        <v>4327</v>
      </c>
      <c r="B1950" s="789" t="str">
        <f>IF('RO6'!H$72="","",'RO6'!H$72)</f>
        <v/>
      </c>
      <c r="C1950" s="790">
        <f ca="1">IF(ISERROR(VLOOKUP($A$1754,INDIRECT("notes_"&amp;LEFT($A$1754,3)),4,0)),0,VLOOKUP($A$1754,INDIRECT("notes_"&amp;LEFT($A$1754,3)),4,0))</f>
        <v>0</v>
      </c>
    </row>
    <row r="1951" spans="1:3" x14ac:dyDescent="0.25">
      <c r="A1951" s="787" t="s">
        <v>4328</v>
      </c>
      <c r="B1951" s="789" t="str">
        <f>IF('RO6'!H$74="","",'RO6'!H$74)</f>
        <v/>
      </c>
      <c r="C1951" s="790">
        <f ca="1">IF(ISERROR(VLOOKUP($A$1755,INDIRECT("notes_"&amp;LEFT($A$1755,3)),4,0)),0,VLOOKUP($A$1755,INDIRECT("notes_"&amp;LEFT($A$1755,3)),4,0))</f>
        <v>0</v>
      </c>
    </row>
    <row r="1952" spans="1:3" x14ac:dyDescent="0.25">
      <c r="A1952" s="787" t="s">
        <v>4329</v>
      </c>
      <c r="B1952" s="789" t="str">
        <f>IF('RO6'!H$76="","",'RO6'!H$76)</f>
        <v/>
      </c>
      <c r="C1952" s="790">
        <f ca="1">IF(ISERROR(VLOOKUP($A$1756,INDIRECT("notes_"&amp;LEFT($A$1756,3)),4,0)),0,VLOOKUP($A$1756,INDIRECT("notes_"&amp;LEFT($A$1756,3)),4,0))</f>
        <v>0</v>
      </c>
    </row>
    <row r="1953" spans="1:7" x14ac:dyDescent="0.25">
      <c r="A1953" s="787" t="s">
        <v>4330</v>
      </c>
      <c r="B1953" s="789" t="str">
        <f>IF('RO6'!H$77="","",'RO6'!H$77)</f>
        <v/>
      </c>
      <c r="C1953" s="790">
        <f ca="1">IF(ISERROR(VLOOKUP($A$1757,INDIRECT("notes_"&amp;LEFT($A$1757,3)),4,0)),0,VLOOKUP($A$1757,INDIRECT("notes_"&amp;LEFT($A$1757,3)),4,0))</f>
        <v>0</v>
      </c>
    </row>
    <row r="1954" spans="1:7" x14ac:dyDescent="0.25">
      <c r="A1954" s="787" t="s">
        <v>4331</v>
      </c>
      <c r="B1954" s="789" t="str">
        <f>IF('RO6'!H$80="","",'RO6'!H$80)</f>
        <v/>
      </c>
      <c r="C1954" s="790">
        <f ca="1">IF(ISERROR(VLOOKUP($A$1758,INDIRECT("notes_"&amp;LEFT($A$1758,3)),4,0)),0,VLOOKUP($A$1758,INDIRECT("notes_"&amp;LEFT($A$1758,3)),4,0))</f>
        <v>0</v>
      </c>
    </row>
    <row r="1955" spans="1:7" x14ac:dyDescent="0.25">
      <c r="A1955" s="787" t="s">
        <v>4332</v>
      </c>
      <c r="B1955" s="789" t="str">
        <f>IF('RO6'!H$81="","",'RO6'!H$81)</f>
        <v/>
      </c>
      <c r="C1955" s="790">
        <f ca="1">IF(ISERROR(VLOOKUP($A$1759,INDIRECT("notes_"&amp;LEFT($A$1759,3)),4,0)),0,VLOOKUP($A$1759,INDIRECT("notes_"&amp;LEFT($A$1759,3)),4,0))</f>
        <v>0</v>
      </c>
    </row>
    <row r="1956" spans="1:7" x14ac:dyDescent="0.25">
      <c r="A1956" s="787" t="s">
        <v>4333</v>
      </c>
      <c r="B1956" s="789" t="str">
        <f>IF('RO6'!H$82="","",'RO6'!H$82)</f>
        <v/>
      </c>
      <c r="C1956" s="790">
        <f ca="1">IF(ISERROR(VLOOKUP($A$1760,INDIRECT("notes_"&amp;LEFT($A$1760,3)),4,0)),0,VLOOKUP($A$1760,INDIRECT("notes_"&amp;LEFT($A$1760,3)),4,0))</f>
        <v>0</v>
      </c>
    </row>
    <row r="1957" spans="1:7" x14ac:dyDescent="0.25">
      <c r="A1957" s="787" t="s">
        <v>4334</v>
      </c>
      <c r="B1957" s="789">
        <f>IF('RO6'!H$84="","",'RO6'!H$84)</f>
        <v>0</v>
      </c>
      <c r="C1957" s="790">
        <f ca="1">IF(ISERROR(VLOOKUP($A$1761,INDIRECT("notes_"&amp;LEFT($A$1761,3)),4,0)),0,VLOOKUP($A$1761,INDIRECT("notes_"&amp;LEFT($A$1761,3)),4,0))</f>
        <v>0</v>
      </c>
    </row>
    <row r="1958" spans="1:7" x14ac:dyDescent="0.25">
      <c r="A1958" s="787" t="s">
        <v>4335</v>
      </c>
      <c r="B1958" s="789">
        <f>IF('RO6'!H$86="","",'RO6'!H$86)</f>
        <v>0</v>
      </c>
      <c r="C1958" s="790">
        <f ca="1">IF(ISERROR(VLOOKUP($A$1762,INDIRECT("notes_"&amp;LEFT($A$1762,3)),4,0)),0,VLOOKUP($A$1762,INDIRECT("notes_"&amp;LEFT($A$1762,3)),4,0))</f>
        <v>0</v>
      </c>
    </row>
    <row r="1959" spans="1:7" x14ac:dyDescent="0.25">
      <c r="A1959" s="787" t="s">
        <v>2743</v>
      </c>
      <c r="B1959" s="789" t="str">
        <f>IF('RO6'!H$93="","",'RO6'!H$93)</f>
        <v/>
      </c>
      <c r="C1959" s="790">
        <f ca="1">IF(ISERROR(VLOOKUP(A1959,INDIRECT("notes_"&amp;LEFT(A1959,3)),4,0)),0,VLOOKUP(A1959,INDIRECT("notes_"&amp;LEFT(A1959,3)),4,0))</f>
        <v>0</v>
      </c>
    </row>
    <row r="1960" spans="1:7" x14ac:dyDescent="0.25">
      <c r="A1960" s="787" t="s">
        <v>2744</v>
      </c>
      <c r="B1960" s="789" t="str">
        <f>IF('RO6'!H$94="","",'RO6'!H$94)</f>
        <v/>
      </c>
      <c r="C1960" s="790">
        <f ca="1">IF(ISERROR(VLOOKUP(A1960,INDIRECT("notes_"&amp;LEFT(A1960,3)),4,0)),0,VLOOKUP(A1960,INDIRECT("notes_"&amp;LEFT(A1960,3)),4,0))</f>
        <v>0</v>
      </c>
    </row>
    <row r="1961" spans="1:7" x14ac:dyDescent="0.25">
      <c r="A1961" s="787" t="s">
        <v>2745</v>
      </c>
      <c r="B1961" s="789" t="str">
        <f>IF('RO6'!H$95="","",'RO6'!H$95)</f>
        <v/>
      </c>
      <c r="C1961" s="790">
        <f ca="1">IF(ISERROR(VLOOKUP(A1961,INDIRECT("notes_"&amp;LEFT(A1961,3)),4,0)),0,VLOOKUP(A1961,INDIRECT("notes_"&amp;LEFT(A1961,3)),4,0))</f>
        <v>0</v>
      </c>
    </row>
    <row r="1962" spans="1:7" x14ac:dyDescent="0.25">
      <c r="A1962" s="787" t="s">
        <v>2746</v>
      </c>
      <c r="B1962" s="789" t="str">
        <f>IF('RO6'!H$96="","",'RO6'!H$96)</f>
        <v/>
      </c>
      <c r="C1962" s="790">
        <f ca="1">IF(ISERROR(VLOOKUP(A1962,INDIRECT("notes_"&amp;LEFT(A1962,3)),4,0)),0,VLOOKUP(A1962,INDIRECT("notes_"&amp;LEFT(A1962,3)),4,0))</f>
        <v>0</v>
      </c>
    </row>
    <row r="1963" spans="1:7" x14ac:dyDescent="0.25">
      <c r="A1963" s="787" t="s">
        <v>2747</v>
      </c>
      <c r="B1963" s="789" t="str">
        <f>IF('RO6'!H$97="","",'RO6'!H$97)</f>
        <v/>
      </c>
      <c r="C1963" s="790">
        <f ca="1">IF(ISERROR(VLOOKUP(A1963,INDIRECT("notes_"&amp;LEFT(A1963,3)),4,0)),0,VLOOKUP(A1963,INDIRECT("notes_"&amp;LEFT(A1963,3)),4,0))</f>
        <v>0</v>
      </c>
    </row>
    <row r="1964" spans="1:7" x14ac:dyDescent="0.25">
      <c r="A1964" s="787" t="s">
        <v>4336</v>
      </c>
      <c r="B1964" s="789">
        <f>IF('RO6'!H$100="","",'RO6'!H$100)</f>
        <v>0</v>
      </c>
      <c r="C1964" s="790">
        <f ca="1">IF(ISERROR(VLOOKUP($A$1763,INDIRECT("notes_"&amp;LEFT($A$1763,3)),4,0)),0,VLOOKUP($A$1763,INDIRECT("notes_"&amp;LEFT($A$1763,3)),4,0))</f>
        <v>0</v>
      </c>
    </row>
    <row r="1965" spans="1:7" x14ac:dyDescent="0.25">
      <c r="A1965" s="787" t="s">
        <v>4337</v>
      </c>
      <c r="B1965" s="789" t="str">
        <f>IF('RO6'!H$107="","",'RO6'!H$107)</f>
        <v/>
      </c>
      <c r="C1965" s="790">
        <f ca="1">IF(ISERROR(VLOOKUP($A$1764,INDIRECT("notes_"&amp;LEFT($A$1764,3)),4,0)),0,VLOOKUP($A$1764,INDIRECT("notes_"&amp;LEFT($A$1764,3)),4,0))</f>
        <v>0</v>
      </c>
      <c r="G1965" s="787" t="str">
        <f>IF(ISNUMBER(SEARCH("specify",'RO6'!B107)),"",'RO6'!B107)</f>
        <v/>
      </c>
    </row>
    <row r="1966" spans="1:7" x14ac:dyDescent="0.25">
      <c r="A1966" s="787" t="s">
        <v>4338</v>
      </c>
      <c r="B1966" s="789" t="str">
        <f>IF('RO6'!H$108="","",'RO6'!H$108)</f>
        <v/>
      </c>
      <c r="C1966" s="790">
        <f ca="1">IF(ISERROR(VLOOKUP($A$1765,INDIRECT("notes_"&amp;LEFT($A$1765,3)),4,0)),0,VLOOKUP($A$1765,INDIRECT("notes_"&amp;LEFT($A$1765,3)),4,0))</f>
        <v>0</v>
      </c>
      <c r="G1966" s="787" t="str">
        <f>IF(ISNUMBER(SEARCH("specify",'RO6'!B108)),"",'RO6'!B108)</f>
        <v/>
      </c>
    </row>
    <row r="1967" spans="1:7" x14ac:dyDescent="0.25">
      <c r="A1967" s="787" t="s">
        <v>4339</v>
      </c>
      <c r="B1967" s="789" t="str">
        <f>IF('RO6'!H$109="","",'RO6'!H$109)</f>
        <v/>
      </c>
      <c r="C1967" s="790">
        <f ca="1">IF(ISERROR(VLOOKUP($A$1766,INDIRECT("notes_"&amp;LEFT($A$1766,3)),4,0)),0,VLOOKUP($A$1766,INDIRECT("notes_"&amp;LEFT($A$1766,3)),4,0))</f>
        <v>0</v>
      </c>
      <c r="G1967" s="787" t="str">
        <f>IF(ISNUMBER(SEARCH("specify",'RO6'!B109)),"",'RO6'!B109)</f>
        <v/>
      </c>
    </row>
    <row r="1968" spans="1:7" x14ac:dyDescent="0.25">
      <c r="A1968" s="787" t="s">
        <v>4340</v>
      </c>
      <c r="B1968" s="789" t="str">
        <f>IF('RO6'!H$110="","",'RO6'!H$110)</f>
        <v/>
      </c>
      <c r="C1968" s="790">
        <f ca="1">IF(ISERROR(VLOOKUP($A$1767,INDIRECT("notes_"&amp;LEFT($A$1767,3)),4,0)),0,VLOOKUP($A$1767,INDIRECT("notes_"&amp;LEFT($A$1767,3)),4,0))</f>
        <v>0</v>
      </c>
      <c r="G1968" s="787" t="str">
        <f>IF(ISNUMBER(SEARCH("specify",'RO6'!B110)),"",'RO6'!B110)</f>
        <v/>
      </c>
    </row>
    <row r="1969" spans="1:7" x14ac:dyDescent="0.25">
      <c r="A1969" s="787" t="s">
        <v>4341</v>
      </c>
      <c r="B1969" s="789" t="str">
        <f>IF('RO6'!H$111="","",'RO6'!H$111)</f>
        <v/>
      </c>
      <c r="C1969" s="790">
        <f ca="1">IF(ISERROR(VLOOKUP($A$1768,INDIRECT("notes_"&amp;LEFT($A$1768,3)),4,0)),0,VLOOKUP($A$1768,INDIRECT("notes_"&amp;LEFT($A$1768,3)),4,0))</f>
        <v>0</v>
      </c>
      <c r="G1969" s="787" t="str">
        <f>IF(ISNUMBER(SEARCH("specify",'RO6'!B111)),"",'RO6'!B111)</f>
        <v/>
      </c>
    </row>
    <row r="1970" spans="1:7" x14ac:dyDescent="0.25">
      <c r="A1970" s="787" t="s">
        <v>4342</v>
      </c>
      <c r="B1970" s="789" t="str">
        <f>IF('RO6'!H$112="","",'RO6'!H$112)</f>
        <v/>
      </c>
      <c r="C1970" s="790">
        <f ca="1">IF(ISERROR(VLOOKUP($A$1769,INDIRECT("notes_"&amp;LEFT($A$1769,3)),4,0)),0,VLOOKUP($A$1769,INDIRECT("notes_"&amp;LEFT($A$1769,3)),4,0))</f>
        <v>0</v>
      </c>
      <c r="G1970" s="787" t="str">
        <f>IF(ISNUMBER(SEARCH("specify",'RO6'!B112)),"",'RO6'!B112)</f>
        <v/>
      </c>
    </row>
    <row r="1971" spans="1:7" x14ac:dyDescent="0.25">
      <c r="A1971" s="787" t="s">
        <v>4343</v>
      </c>
      <c r="B1971" s="789" t="str">
        <f>IF('RO6'!H$113="","",'RO6'!H$113)</f>
        <v/>
      </c>
      <c r="C1971" s="790">
        <f ca="1">IF(ISERROR(VLOOKUP($A$1770,INDIRECT("notes_"&amp;LEFT($A$1770,3)),4,0)),0,VLOOKUP($A$1770,INDIRECT("notes_"&amp;LEFT($A$1770,3)),4,0))</f>
        <v>0</v>
      </c>
      <c r="G1971" s="787" t="str">
        <f>IF(ISNUMBER(SEARCH("specify",'RO6'!B113)),"",'RO6'!B113)</f>
        <v/>
      </c>
    </row>
    <row r="1972" spans="1:7" x14ac:dyDescent="0.25">
      <c r="A1972" s="787" t="s">
        <v>4344</v>
      </c>
      <c r="B1972" s="789" t="str">
        <f>IF('RO6'!H$114="","",'RO6'!H$114)</f>
        <v/>
      </c>
      <c r="C1972" s="790">
        <f ca="1">IF(ISERROR(VLOOKUP($A$1771,INDIRECT("notes_"&amp;LEFT($A$1771,3)),4,0)),0,VLOOKUP($A$1771,INDIRECT("notes_"&amp;LEFT($A$1771,3)),4,0))</f>
        <v>0</v>
      </c>
      <c r="G1972" s="787" t="str">
        <f>IF(ISNUMBER(SEARCH("specify",'RO6'!B114)),"",'RO6'!B114)</f>
        <v/>
      </c>
    </row>
    <row r="1973" spans="1:7" x14ac:dyDescent="0.25">
      <c r="A1973" s="787" t="s">
        <v>4345</v>
      </c>
      <c r="B1973" s="789" t="str">
        <f>IF('RO6'!H$115="","",'RO6'!H$115)</f>
        <v/>
      </c>
      <c r="C1973" s="790">
        <f ca="1">IF(ISERROR(VLOOKUP($A$1772,INDIRECT("notes_"&amp;LEFT($A$1772,3)),4,0)),0,VLOOKUP($A$1772,INDIRECT("notes_"&amp;LEFT($A$1772,3)),4,0))</f>
        <v>0</v>
      </c>
      <c r="G1973" s="787" t="str">
        <f>IF(ISNUMBER(SEARCH("specify",'RO6'!B115)),"",'RO6'!B115)</f>
        <v/>
      </c>
    </row>
    <row r="1974" spans="1:7" x14ac:dyDescent="0.25">
      <c r="A1974" s="787" t="s">
        <v>4346</v>
      </c>
      <c r="B1974" s="789" t="str">
        <f>IF('RO6'!H$116="","",'RO6'!H$116)</f>
        <v/>
      </c>
      <c r="C1974" s="790">
        <f ca="1">IF(ISERROR(VLOOKUP($A$1773,INDIRECT("notes_"&amp;LEFT($A$1773,3)),4,0)),0,VLOOKUP($A$1773,INDIRECT("notes_"&amp;LEFT($A$1773,3)),4,0))</f>
        <v>0</v>
      </c>
      <c r="G1974" s="787" t="str">
        <f>IF(ISNUMBER(SEARCH("specify",'RO6'!B116)),"",'RO6'!B116)</f>
        <v/>
      </c>
    </row>
    <row r="1975" spans="1:7" x14ac:dyDescent="0.25">
      <c r="A1975" s="787" t="s">
        <v>4347</v>
      </c>
      <c r="B1975" s="789" t="str">
        <f>IF('RO6'!H$117="","",'RO6'!H$117)</f>
        <v/>
      </c>
      <c r="C1975" s="790">
        <f ca="1">IF(ISERROR(VLOOKUP($A$1774,INDIRECT("notes_"&amp;LEFT($A$1774,3)),4,0)),0,VLOOKUP($A$1774,INDIRECT("notes_"&amp;LEFT($A$1774,3)),4,0))</f>
        <v>0</v>
      </c>
      <c r="G1975" s="787" t="str">
        <f>IF(ISNUMBER(SEARCH("specify",'RO6'!B117)),"",'RO6'!B117)</f>
        <v/>
      </c>
    </row>
    <row r="1976" spans="1:7" x14ac:dyDescent="0.25">
      <c r="A1976" s="787" t="s">
        <v>4348</v>
      </c>
      <c r="B1976" s="789" t="str">
        <f>IF('RO6'!H$118="","",'RO6'!H$118)</f>
        <v/>
      </c>
      <c r="C1976" s="790">
        <f ca="1">IF(ISERROR(VLOOKUP($A$1775,INDIRECT("notes_"&amp;LEFT($A$1775,3)),4,0)),0,VLOOKUP($A$1775,INDIRECT("notes_"&amp;LEFT($A$1775,3)),4,0))</f>
        <v>0</v>
      </c>
      <c r="G1976" s="787" t="str">
        <f>IF(ISNUMBER(SEARCH("specify",'RO6'!B118)),"",'RO6'!B118)</f>
        <v/>
      </c>
    </row>
    <row r="1977" spans="1:7" x14ac:dyDescent="0.25">
      <c r="A1977" s="787" t="s">
        <v>4349</v>
      </c>
      <c r="B1977" s="789" t="str">
        <f>IF('RO6'!H$119="","",'RO6'!H$119)</f>
        <v/>
      </c>
      <c r="C1977" s="790">
        <f ca="1">IF(ISERROR(VLOOKUP($A$1776,INDIRECT("notes_"&amp;LEFT($A$1776,3)),4,0)),0,VLOOKUP($A$1776,INDIRECT("notes_"&amp;LEFT($A$1776,3)),4,0))</f>
        <v>0</v>
      </c>
      <c r="G1977" s="787" t="str">
        <f>IF(ISNUMBER(SEARCH("specify",'RO6'!B119)),"",'RO6'!B119)</f>
        <v/>
      </c>
    </row>
    <row r="1978" spans="1:7" x14ac:dyDescent="0.25">
      <c r="A1978" s="787" t="s">
        <v>4350</v>
      </c>
      <c r="B1978" s="789" t="str">
        <f>IF('RO6'!H$120="","",'RO6'!H$120)</f>
        <v/>
      </c>
      <c r="C1978" s="790">
        <f ca="1">IF(ISERROR(VLOOKUP($A$1777,INDIRECT("notes_"&amp;LEFT($A$1777,3)),4,0)),0,VLOOKUP($A$1777,INDIRECT("notes_"&amp;LEFT($A$1777,3)),4,0))</f>
        <v>0</v>
      </c>
      <c r="G1978" s="787" t="str">
        <f>IF(ISNUMBER(SEARCH("specify",'RO6'!B120)),"",'RO6'!B120)</f>
        <v/>
      </c>
    </row>
    <row r="1979" spans="1:7" x14ac:dyDescent="0.25">
      <c r="A1979" s="787" t="s">
        <v>4351</v>
      </c>
      <c r="B1979" s="789" t="str">
        <f>IF('RO6'!H$121="","",'RO6'!H$121)</f>
        <v/>
      </c>
      <c r="C1979" s="790">
        <f ca="1">IF(ISERROR(VLOOKUP($A$1778,INDIRECT("notes_"&amp;LEFT($A$1778,3)),4,0)),0,VLOOKUP($A$1778,INDIRECT("notes_"&amp;LEFT($A$1778,3)),4,0))</f>
        <v>0</v>
      </c>
      <c r="G1979" s="787" t="str">
        <f>IF(ISNUMBER(SEARCH("specify",'RO6'!B121)),"",'RO6'!B121)</f>
        <v/>
      </c>
    </row>
    <row r="1980" spans="1:7" x14ac:dyDescent="0.25">
      <c r="A1980" s="787" t="s">
        <v>4352</v>
      </c>
      <c r="B1980" s="789" t="str">
        <f>IF('RO6'!H$122="","",'RO6'!H$122)</f>
        <v/>
      </c>
      <c r="C1980" s="790">
        <f ca="1">IF(ISERROR(VLOOKUP($A$1779,INDIRECT("notes_"&amp;LEFT($A$1779,3)),4,0)),0,VLOOKUP($A$1779,INDIRECT("notes_"&amp;LEFT($A$1779,3)),4,0))</f>
        <v>0</v>
      </c>
      <c r="G1980" s="787" t="str">
        <f>IF(ISNUMBER(SEARCH("specify",'RO6'!B122)),"",'RO6'!B122)</f>
        <v/>
      </c>
    </row>
    <row r="1981" spans="1:7" x14ac:dyDescent="0.25">
      <c r="A1981" s="787" t="s">
        <v>4353</v>
      </c>
      <c r="B1981" s="789" t="str">
        <f>IF('RO6'!H$123="","",'RO6'!H$123)</f>
        <v/>
      </c>
      <c r="C1981" s="790">
        <f ca="1">IF(ISERROR(VLOOKUP($A$1780,INDIRECT("notes_"&amp;LEFT($A$1780,3)),4,0)),0,VLOOKUP($A$1780,INDIRECT("notes_"&amp;LEFT($A$1780,3)),4,0))</f>
        <v>0</v>
      </c>
      <c r="G1981" s="787" t="str">
        <f>IF(ISNUMBER(SEARCH("specify",'RO6'!B123)),"",'RO6'!B123)</f>
        <v/>
      </c>
    </row>
    <row r="1982" spans="1:7" x14ac:dyDescent="0.25">
      <c r="A1982" s="787" t="s">
        <v>4354</v>
      </c>
      <c r="B1982" s="789" t="str">
        <f>IF('RO6'!H$124="","",'RO6'!H$124)</f>
        <v/>
      </c>
      <c r="C1982" s="790">
        <f ca="1">IF(ISERROR(VLOOKUP($A$1781,INDIRECT("notes_"&amp;LEFT($A$1781,3)),4,0)),0,VLOOKUP($A$1781,INDIRECT("notes_"&amp;LEFT($A$1781,3)),4,0))</f>
        <v>0</v>
      </c>
      <c r="G1982" s="787" t="str">
        <f>IF(ISNUMBER(SEARCH("specify",'RO6'!B124)),"",'RO6'!B124)</f>
        <v/>
      </c>
    </row>
    <row r="1983" spans="1:7" x14ac:dyDescent="0.25">
      <c r="A1983" s="787" t="s">
        <v>4355</v>
      </c>
      <c r="B1983" s="789" t="str">
        <f>IF('RO6'!H$125="","",'RO6'!H$125)</f>
        <v/>
      </c>
      <c r="C1983" s="790">
        <f ca="1">IF(ISERROR(VLOOKUP($A$1782,INDIRECT("notes_"&amp;LEFT($A$1782,3)),4,0)),0,VLOOKUP($A$1782,INDIRECT("notes_"&amp;LEFT($A$1782,3)),4,0))</f>
        <v>0</v>
      </c>
      <c r="G1983" s="787" t="str">
        <f>IF(ISNUMBER(SEARCH("specify",'RO6'!B125)),"",'RO6'!B125)</f>
        <v/>
      </c>
    </row>
    <row r="1984" spans="1:7" x14ac:dyDescent="0.25">
      <c r="A1984" s="787" t="s">
        <v>4356</v>
      </c>
      <c r="B1984" s="789" t="str">
        <f>IF('RO6'!H$126="","",'RO6'!H$126)</f>
        <v/>
      </c>
      <c r="C1984" s="790">
        <f ca="1">IF(ISERROR(VLOOKUP($A$1783,INDIRECT("notes_"&amp;LEFT($A$1783,3)),4,0)),0,VLOOKUP($A$1783,INDIRECT("notes_"&amp;LEFT($A$1783,3)),4,0))</f>
        <v>0</v>
      </c>
      <c r="G1984" s="787" t="str">
        <f>IF(ISNUMBER(SEARCH("specify",'RO6'!B126)),"",'RO6'!B126)</f>
        <v/>
      </c>
    </row>
    <row r="1985" spans="1:3" x14ac:dyDescent="0.25">
      <c r="A1985" s="787" t="s">
        <v>4357</v>
      </c>
      <c r="B1985" s="789">
        <f>IF('RO6'!H$127="","",'RO6'!H$127)</f>
        <v>0</v>
      </c>
      <c r="C1985" s="790">
        <f ca="1">IF(ISERROR(VLOOKUP($A$1784,INDIRECT("notes_"&amp;LEFT($A$1784,3)),4,0)),0,VLOOKUP($A$1784,INDIRECT("notes_"&amp;LEFT($A$1784,3)),4,0))</f>
        <v>0</v>
      </c>
    </row>
    <row r="1986" spans="1:3" x14ac:dyDescent="0.25">
      <c r="A1986" s="787" t="s">
        <v>4358</v>
      </c>
      <c r="B1986" s="789">
        <f>IF('RO6'!I$32="","",'RO6'!I$32)</f>
        <v>0</v>
      </c>
      <c r="C1986" s="790">
        <f ca="1">IF(ISERROR(VLOOKUP($A$1737,INDIRECT("notes_"&amp;LEFT($A$1737,3)),4,0)),0,VLOOKUP($A$1737,INDIRECT("notes_"&amp;LEFT($A$1737,3)),4,0))</f>
        <v>0</v>
      </c>
    </row>
    <row r="1987" spans="1:3" x14ac:dyDescent="0.25">
      <c r="A1987" s="787" t="s">
        <v>4359</v>
      </c>
      <c r="B1987" s="789">
        <f>IF('RO6'!I$39="","",'RO6'!I$39)</f>
        <v>0</v>
      </c>
      <c r="C1987" s="790">
        <f ca="1">IF(ISERROR(VLOOKUP($A$1738,INDIRECT("notes_"&amp;LEFT($A$1738,3)),4,0)),0,VLOOKUP($A$1738,INDIRECT("notes_"&amp;LEFT($A$1738,3)),4,0))</f>
        <v>0</v>
      </c>
    </row>
    <row r="1988" spans="1:3" x14ac:dyDescent="0.25">
      <c r="A1988" s="787" t="s">
        <v>4360</v>
      </c>
      <c r="B1988" s="789">
        <f>IF('RO6'!I$40="","",'RO6'!I$40)</f>
        <v>0</v>
      </c>
      <c r="C1988" s="790">
        <f ca="1">IF(ISERROR(VLOOKUP($A$1739,INDIRECT("notes_"&amp;LEFT($A$1739,3)),4,0)),0,VLOOKUP($A$1739,INDIRECT("notes_"&amp;LEFT($A$1739,3)),4,0))</f>
        <v>0</v>
      </c>
    </row>
    <row r="1989" spans="1:3" x14ac:dyDescent="0.25">
      <c r="A1989" s="787" t="s">
        <v>4361</v>
      </c>
      <c r="B1989" s="789">
        <f>IF('RO6'!I$41="","",'RO6'!I$41)</f>
        <v>0</v>
      </c>
      <c r="C1989" s="790">
        <f ca="1">IF(ISERROR(VLOOKUP($A$1740,INDIRECT("notes_"&amp;LEFT($A$1740,3)),4,0)),0,VLOOKUP($A$1740,INDIRECT("notes_"&amp;LEFT($A$1740,3)),4,0))</f>
        <v>0</v>
      </c>
    </row>
    <row r="1990" spans="1:3" x14ac:dyDescent="0.25">
      <c r="A1990" s="787" t="s">
        <v>4362</v>
      </c>
      <c r="B1990" s="789">
        <f>IF('RO6'!I$42="","",'RO6'!I$42)</f>
        <v>0</v>
      </c>
      <c r="C1990" s="790">
        <f ca="1">IF(ISERROR(VLOOKUP($A$1741,INDIRECT("notes_"&amp;LEFT($A$1741,3)),4,0)),0,VLOOKUP($A$1741,INDIRECT("notes_"&amp;LEFT($A$1741,3)),4,0))</f>
        <v>0</v>
      </c>
    </row>
    <row r="1991" spans="1:3" x14ac:dyDescent="0.25">
      <c r="A1991" s="787" t="s">
        <v>4363</v>
      </c>
      <c r="B1991" s="789">
        <f>IF('RO6'!I$50="","",'RO6'!I$50)</f>
        <v>0</v>
      </c>
      <c r="C1991" s="790">
        <f ca="1">IF(ISERROR(VLOOKUP($A$1742,INDIRECT("notes_"&amp;LEFT($A$1742,3)),4,0)),0,VLOOKUP($A$1742,INDIRECT("notes_"&amp;LEFT($A$1742,3)),4,0))</f>
        <v>0</v>
      </c>
    </row>
    <row r="1992" spans="1:3" x14ac:dyDescent="0.25">
      <c r="A1992" s="787" t="s">
        <v>4364</v>
      </c>
      <c r="B1992" s="789">
        <f>IF('RO6'!I$55="","",'RO6'!I$55)</f>
        <v>0</v>
      </c>
      <c r="C1992" s="790">
        <f ca="1">IF(ISERROR(VLOOKUP($A$1743,INDIRECT("notes_"&amp;LEFT($A$1743,3)),4,0)),0,VLOOKUP($A$1743,INDIRECT("notes_"&amp;LEFT($A$1743,3)),4,0))</f>
        <v>0</v>
      </c>
    </row>
    <row r="1993" spans="1:3" x14ac:dyDescent="0.25">
      <c r="A1993" s="787" t="s">
        <v>4365</v>
      </c>
      <c r="B1993" s="789">
        <f>IF('RO6'!I$56="","",'RO6'!I$56)</f>
        <v>0</v>
      </c>
      <c r="C1993" s="790">
        <f ca="1">IF(ISERROR(VLOOKUP($A$1744,INDIRECT("notes_"&amp;LEFT($A$1744,3)),4,0)),0,VLOOKUP($A$1744,INDIRECT("notes_"&amp;LEFT($A$1744,3)),4,0))</f>
        <v>0</v>
      </c>
    </row>
    <row r="1994" spans="1:3" x14ac:dyDescent="0.25">
      <c r="A1994" s="787" t="s">
        <v>4366</v>
      </c>
      <c r="B1994" s="789">
        <f>IF('RO6'!I$57="","",'RO6'!I$57)</f>
        <v>0</v>
      </c>
      <c r="C1994" s="790">
        <f ca="1">IF(ISERROR(VLOOKUP($A$1745,INDIRECT("notes_"&amp;LEFT($A$1745,3)),4,0)),0,VLOOKUP($A$1745,INDIRECT("notes_"&amp;LEFT($A$1745,3)),4,0))</f>
        <v>0</v>
      </c>
    </row>
    <row r="1995" spans="1:3" x14ac:dyDescent="0.25">
      <c r="A1995" s="787" t="s">
        <v>4367</v>
      </c>
      <c r="B1995" s="789">
        <f>IF('RO6'!I$58="","",'RO6'!I$58)</f>
        <v>0</v>
      </c>
      <c r="C1995" s="790">
        <f ca="1">IF(ISERROR(VLOOKUP($A$1746,INDIRECT("notes_"&amp;LEFT($A$1746,3)),4,0)),0,VLOOKUP($A$1746,INDIRECT("notes_"&amp;LEFT($A$1746,3)),4,0))</f>
        <v>0</v>
      </c>
    </row>
    <row r="1996" spans="1:3" x14ac:dyDescent="0.25">
      <c r="A1996" s="787" t="s">
        <v>4368</v>
      </c>
      <c r="B1996" s="789">
        <f>IF('RO6'!I$59="","",'RO6'!I$59)</f>
        <v>0</v>
      </c>
      <c r="C1996" s="790">
        <f ca="1">IF(ISERROR(VLOOKUP($A$1747,INDIRECT("notes_"&amp;LEFT($A$1747,3)),4,0)),0,VLOOKUP($A$1747,INDIRECT("notes_"&amp;LEFT($A$1747,3)),4,0))</f>
        <v>0</v>
      </c>
    </row>
    <row r="1997" spans="1:3" x14ac:dyDescent="0.25">
      <c r="A1997" s="787" t="s">
        <v>4369</v>
      </c>
      <c r="B1997" s="789">
        <f>IF('RO6'!I$60="","",'RO6'!I$60)</f>
        <v>0</v>
      </c>
      <c r="C1997" s="790">
        <f ca="1">IF(ISERROR(VLOOKUP($A$1748,INDIRECT("notes_"&amp;LEFT($A$1748,3)),4,0)),0,VLOOKUP($A$1748,INDIRECT("notes_"&amp;LEFT($A$1748,3)),4,0))</f>
        <v>0</v>
      </c>
    </row>
    <row r="1998" spans="1:3" x14ac:dyDescent="0.25">
      <c r="A1998" s="787" t="s">
        <v>4370</v>
      </c>
      <c r="B1998" s="789">
        <f>IF('RO6'!I$62="","",'RO6'!I$62)</f>
        <v>0</v>
      </c>
      <c r="C1998" s="790">
        <f ca="1">IF(ISERROR(VLOOKUP($A$1749,INDIRECT("notes_"&amp;LEFT($A$1749,3)),4,0)),0,VLOOKUP($A$1749,INDIRECT("notes_"&amp;LEFT($A$1749,3)),4,0))</f>
        <v>0</v>
      </c>
    </row>
    <row r="1999" spans="1:3" x14ac:dyDescent="0.25">
      <c r="A1999" s="787" t="s">
        <v>4371</v>
      </c>
      <c r="B1999" s="789">
        <f>IF('RO6'!I$65="","",'RO6'!I$65)</f>
        <v>0</v>
      </c>
      <c r="C1999" s="790">
        <f ca="1">IF(ISERROR(VLOOKUP($A$1750,INDIRECT("notes_"&amp;LEFT($A$1750,3)),4,0)),0,VLOOKUP($A$1750,INDIRECT("notes_"&amp;LEFT($A$1750,3)),4,0))</f>
        <v>0</v>
      </c>
    </row>
    <row r="2000" spans="1:3" x14ac:dyDescent="0.25">
      <c r="A2000" s="787" t="s">
        <v>4372</v>
      </c>
      <c r="B2000" s="789">
        <f>IF('RO6'!I$66="","",'RO6'!I$66)</f>
        <v>0</v>
      </c>
      <c r="C2000" s="790">
        <f ca="1">IF(ISERROR(VLOOKUP($A$1751,INDIRECT("notes_"&amp;LEFT($A$1751,3)),4,0)),0,VLOOKUP($A$1751,INDIRECT("notes_"&amp;LEFT($A$1751,3)),4,0))</f>
        <v>0</v>
      </c>
    </row>
    <row r="2001" spans="1:7" x14ac:dyDescent="0.25">
      <c r="A2001" s="787" t="s">
        <v>4373</v>
      </c>
      <c r="B2001" s="789">
        <f>IF('RO6'!I$68="","",'RO6'!I$68)</f>
        <v>0</v>
      </c>
      <c r="C2001" s="790">
        <f ca="1">IF(ISERROR(VLOOKUP($A$1752,INDIRECT("notes_"&amp;LEFT($A$1752,3)),4,0)),0,VLOOKUP($A$1752,INDIRECT("notes_"&amp;LEFT($A$1752,3)),4,0))</f>
        <v>0</v>
      </c>
    </row>
    <row r="2002" spans="1:7" x14ac:dyDescent="0.25">
      <c r="A2002" s="787" t="s">
        <v>4374</v>
      </c>
      <c r="B2002" s="789">
        <f>IF('RO6'!I$70="","",'RO6'!I$70)</f>
        <v>0</v>
      </c>
      <c r="C2002" s="790">
        <f ca="1">IF(ISERROR(VLOOKUP($A$1753,INDIRECT("notes_"&amp;LEFT($A$1753,3)),4,0)),0,VLOOKUP($A$1753,INDIRECT("notes_"&amp;LEFT($A$1753,3)),4,0))</f>
        <v>0</v>
      </c>
    </row>
    <row r="2003" spans="1:7" x14ac:dyDescent="0.25">
      <c r="A2003" s="787" t="s">
        <v>4375</v>
      </c>
      <c r="B2003" s="789">
        <f>IF('RO6'!I$72="","",'RO6'!I$72)</f>
        <v>0</v>
      </c>
      <c r="C2003" s="790">
        <f ca="1">IF(ISERROR(VLOOKUP($A$1754,INDIRECT("notes_"&amp;LEFT($A$1754,3)),4,0)),0,VLOOKUP($A$1754,INDIRECT("notes_"&amp;LEFT($A$1754,3)),4,0))</f>
        <v>0</v>
      </c>
    </row>
    <row r="2004" spans="1:7" x14ac:dyDescent="0.25">
      <c r="A2004" s="787" t="s">
        <v>4376</v>
      </c>
      <c r="B2004" s="789">
        <f>IF('RO6'!I$74="","",'RO6'!I$74)</f>
        <v>0</v>
      </c>
      <c r="C2004" s="790">
        <f ca="1">IF(ISERROR(VLOOKUP($A$1755,INDIRECT("notes_"&amp;LEFT($A$1755,3)),4,0)),0,VLOOKUP($A$1755,INDIRECT("notes_"&amp;LEFT($A$1755,3)),4,0))</f>
        <v>0</v>
      </c>
    </row>
    <row r="2005" spans="1:7" x14ac:dyDescent="0.25">
      <c r="A2005" s="787" t="s">
        <v>4377</v>
      </c>
      <c r="B2005" s="789">
        <f>IF('RO6'!I$76="","",'RO6'!I$76)</f>
        <v>0</v>
      </c>
      <c r="C2005" s="790">
        <f ca="1">IF(ISERROR(VLOOKUP($A$1756,INDIRECT("notes_"&amp;LEFT($A$1756,3)),4,0)),0,VLOOKUP($A$1756,INDIRECT("notes_"&amp;LEFT($A$1756,3)),4,0))</f>
        <v>0</v>
      </c>
    </row>
    <row r="2006" spans="1:7" x14ac:dyDescent="0.25">
      <c r="A2006" s="787" t="s">
        <v>4378</v>
      </c>
      <c r="B2006" s="789">
        <f>IF('RO6'!I$77="","",'RO6'!I$77)</f>
        <v>0</v>
      </c>
      <c r="C2006" s="790">
        <f ca="1">IF(ISERROR(VLOOKUP($A$1757,INDIRECT("notes_"&amp;LEFT($A$1757,3)),4,0)),0,VLOOKUP($A$1757,INDIRECT("notes_"&amp;LEFT($A$1757,3)),4,0))</f>
        <v>0</v>
      </c>
    </row>
    <row r="2007" spans="1:7" x14ac:dyDescent="0.25">
      <c r="A2007" s="787" t="s">
        <v>4379</v>
      </c>
      <c r="B2007" s="789">
        <f>IF('RO6'!I$80="","",'RO6'!I$80)</f>
        <v>0</v>
      </c>
      <c r="C2007" s="790">
        <f ca="1">IF(ISERROR(VLOOKUP($A$1758,INDIRECT("notes_"&amp;LEFT($A$1758,3)),4,0)),0,VLOOKUP($A$1758,INDIRECT("notes_"&amp;LEFT($A$1758,3)),4,0))</f>
        <v>0</v>
      </c>
    </row>
    <row r="2008" spans="1:7" x14ac:dyDescent="0.25">
      <c r="A2008" s="787" t="s">
        <v>4380</v>
      </c>
      <c r="B2008" s="789">
        <f>IF('RO6'!I$81="","",'RO6'!I$81)</f>
        <v>0</v>
      </c>
      <c r="C2008" s="790">
        <f ca="1">IF(ISERROR(VLOOKUP($A$1759,INDIRECT("notes_"&amp;LEFT($A$1759,3)),4,0)),0,VLOOKUP($A$1759,INDIRECT("notes_"&amp;LEFT($A$1759,3)),4,0))</f>
        <v>0</v>
      </c>
    </row>
    <row r="2009" spans="1:7" x14ac:dyDescent="0.25">
      <c r="A2009" s="787" t="s">
        <v>4381</v>
      </c>
      <c r="B2009" s="789">
        <f>IF('RO6'!I$82="","",'RO6'!I$82)</f>
        <v>0</v>
      </c>
      <c r="C2009" s="790">
        <f ca="1">IF(ISERROR(VLOOKUP($A$1760,INDIRECT("notes_"&amp;LEFT($A$1760,3)),4,0)),0,VLOOKUP($A$1760,INDIRECT("notes_"&amp;LEFT($A$1760,3)),4,0))</f>
        <v>0</v>
      </c>
    </row>
    <row r="2010" spans="1:7" x14ac:dyDescent="0.25">
      <c r="A2010" s="787" t="s">
        <v>4382</v>
      </c>
      <c r="B2010" s="789">
        <f>IF('RO6'!I$84="","",'RO6'!I$84)</f>
        <v>0</v>
      </c>
      <c r="C2010" s="790">
        <f ca="1">IF(ISERROR(VLOOKUP($A$1761,INDIRECT("notes_"&amp;LEFT($A$1761,3)),4,0)),0,VLOOKUP($A$1761,INDIRECT("notes_"&amp;LEFT($A$1761,3)),4,0))</f>
        <v>0</v>
      </c>
    </row>
    <row r="2011" spans="1:7" x14ac:dyDescent="0.25">
      <c r="A2011" s="787" t="s">
        <v>4383</v>
      </c>
      <c r="B2011" s="789">
        <f>IF('RO6'!I$86="","",'RO6'!I$86)</f>
        <v>0</v>
      </c>
      <c r="C2011" s="790">
        <f ca="1">IF(ISERROR(VLOOKUP($A$1762,INDIRECT("notes_"&amp;LEFT($A$1762,3)),4,0)),0,VLOOKUP($A$1762,INDIRECT("notes_"&amp;LEFT($A$1762,3)),4,0))</f>
        <v>0</v>
      </c>
    </row>
    <row r="2012" spans="1:7" x14ac:dyDescent="0.25">
      <c r="A2012" s="787" t="s">
        <v>4384</v>
      </c>
      <c r="B2012" s="789">
        <f>IF('RO6'!I$100="","",'RO6'!I$100)</f>
        <v>0</v>
      </c>
      <c r="C2012" s="790">
        <f ca="1">IF(ISERROR(VLOOKUP($A$1763,INDIRECT("notes_"&amp;LEFT($A$1763,3)),4,0)),0,VLOOKUP($A$1763,INDIRECT("notes_"&amp;LEFT($A$1763,3)),4,0))</f>
        <v>0</v>
      </c>
    </row>
    <row r="2013" spans="1:7" x14ac:dyDescent="0.25">
      <c r="A2013" s="787" t="s">
        <v>4385</v>
      </c>
      <c r="B2013" s="789">
        <f>IF('RO6'!I$107="","",'RO6'!I$107)</f>
        <v>0</v>
      </c>
      <c r="C2013" s="790">
        <f ca="1">IF(ISERROR(VLOOKUP($A$1764,INDIRECT("notes_"&amp;LEFT($A$1764,3)),4,0)),0,VLOOKUP($A$1764,INDIRECT("notes_"&amp;LEFT($A$1764,3)),4,0))</f>
        <v>0</v>
      </c>
      <c r="G2013" s="787" t="str">
        <f>IF(ISNUMBER(SEARCH("specify",'RO6'!B107)),"",'RO6'!B107)</f>
        <v/>
      </c>
    </row>
    <row r="2014" spans="1:7" x14ac:dyDescent="0.25">
      <c r="A2014" s="787" t="s">
        <v>4386</v>
      </c>
      <c r="B2014" s="789">
        <f>IF('RO6'!I$108="","",'RO6'!I$108)</f>
        <v>0</v>
      </c>
      <c r="C2014" s="790">
        <f ca="1">IF(ISERROR(VLOOKUP($A$1765,INDIRECT("notes_"&amp;LEFT($A$1765,3)),4,0)),0,VLOOKUP($A$1765,INDIRECT("notes_"&amp;LEFT($A$1765,3)),4,0))</f>
        <v>0</v>
      </c>
      <c r="G2014" s="787" t="str">
        <f>IF(ISNUMBER(SEARCH("specify",'RO6'!B108)),"",'RO6'!B108)</f>
        <v/>
      </c>
    </row>
    <row r="2015" spans="1:7" x14ac:dyDescent="0.25">
      <c r="A2015" s="787" t="s">
        <v>4387</v>
      </c>
      <c r="B2015" s="789">
        <f>IF('RO6'!I$109="","",'RO6'!I$109)</f>
        <v>0</v>
      </c>
      <c r="C2015" s="790">
        <f ca="1">IF(ISERROR(VLOOKUP($A$1766,INDIRECT("notes_"&amp;LEFT($A$1766,3)),4,0)),0,VLOOKUP($A$1766,INDIRECT("notes_"&amp;LEFT($A$1766,3)),4,0))</f>
        <v>0</v>
      </c>
      <c r="G2015" s="787" t="str">
        <f>IF(ISNUMBER(SEARCH("specify",'RO6'!B109)),"",'RO6'!B109)</f>
        <v/>
      </c>
    </row>
    <row r="2016" spans="1:7" x14ac:dyDescent="0.25">
      <c r="A2016" s="787" t="s">
        <v>4388</v>
      </c>
      <c r="B2016" s="789">
        <f>IF('RO6'!I$110="","",'RO6'!I$110)</f>
        <v>0</v>
      </c>
      <c r="C2016" s="790">
        <f ca="1">IF(ISERROR(VLOOKUP($A$1767,INDIRECT("notes_"&amp;LEFT($A$1767,3)),4,0)),0,VLOOKUP($A$1767,INDIRECT("notes_"&amp;LEFT($A$1767,3)),4,0))</f>
        <v>0</v>
      </c>
      <c r="G2016" s="787" t="str">
        <f>IF(ISNUMBER(SEARCH("specify",'RO6'!B110)),"",'RO6'!B110)</f>
        <v/>
      </c>
    </row>
    <row r="2017" spans="1:7" x14ac:dyDescent="0.25">
      <c r="A2017" s="787" t="s">
        <v>4389</v>
      </c>
      <c r="B2017" s="789">
        <f>IF('RO6'!I$111="","",'RO6'!I$111)</f>
        <v>0</v>
      </c>
      <c r="C2017" s="790">
        <f ca="1">IF(ISERROR(VLOOKUP($A$1768,INDIRECT("notes_"&amp;LEFT($A$1768,3)),4,0)),0,VLOOKUP($A$1768,INDIRECT("notes_"&amp;LEFT($A$1768,3)),4,0))</f>
        <v>0</v>
      </c>
      <c r="G2017" s="787" t="str">
        <f>IF(ISNUMBER(SEARCH("specify",'RO6'!B111)),"",'RO6'!B111)</f>
        <v/>
      </c>
    </row>
    <row r="2018" spans="1:7" x14ac:dyDescent="0.25">
      <c r="A2018" s="787" t="s">
        <v>4390</v>
      </c>
      <c r="B2018" s="789">
        <f>IF('RO6'!I$112="","",'RO6'!I$112)</f>
        <v>0</v>
      </c>
      <c r="C2018" s="790">
        <f ca="1">IF(ISERROR(VLOOKUP($A$1769,INDIRECT("notes_"&amp;LEFT($A$1769,3)),4,0)),0,VLOOKUP($A$1769,INDIRECT("notes_"&amp;LEFT($A$1769,3)),4,0))</f>
        <v>0</v>
      </c>
      <c r="G2018" s="787" t="str">
        <f>IF(ISNUMBER(SEARCH("specify",'RO6'!B112)),"",'RO6'!B112)</f>
        <v/>
      </c>
    </row>
    <row r="2019" spans="1:7" x14ac:dyDescent="0.25">
      <c r="A2019" s="787" t="s">
        <v>4391</v>
      </c>
      <c r="B2019" s="789">
        <f>IF('RO6'!I$113="","",'RO6'!I$113)</f>
        <v>0</v>
      </c>
      <c r="C2019" s="790">
        <f ca="1">IF(ISERROR(VLOOKUP($A$1770,INDIRECT("notes_"&amp;LEFT($A$1770,3)),4,0)),0,VLOOKUP($A$1770,INDIRECT("notes_"&amp;LEFT($A$1770,3)),4,0))</f>
        <v>0</v>
      </c>
      <c r="G2019" s="787" t="str">
        <f>IF(ISNUMBER(SEARCH("specify",'RO6'!B113)),"",'RO6'!B113)</f>
        <v/>
      </c>
    </row>
    <row r="2020" spans="1:7" x14ac:dyDescent="0.25">
      <c r="A2020" s="787" t="s">
        <v>4392</v>
      </c>
      <c r="B2020" s="789">
        <f>IF('RO6'!I$114="","",'RO6'!I$114)</f>
        <v>0</v>
      </c>
      <c r="C2020" s="790">
        <f ca="1">IF(ISERROR(VLOOKUP($A$1771,INDIRECT("notes_"&amp;LEFT($A$1771,3)),4,0)),0,VLOOKUP($A$1771,INDIRECT("notes_"&amp;LEFT($A$1771,3)),4,0))</f>
        <v>0</v>
      </c>
      <c r="G2020" s="787" t="str">
        <f>IF(ISNUMBER(SEARCH("specify",'RO6'!B114)),"",'RO6'!B114)</f>
        <v/>
      </c>
    </row>
    <row r="2021" spans="1:7" x14ac:dyDescent="0.25">
      <c r="A2021" s="787" t="s">
        <v>4393</v>
      </c>
      <c r="B2021" s="789">
        <f>IF('RO6'!I$115="","",'RO6'!I$115)</f>
        <v>0</v>
      </c>
      <c r="C2021" s="790">
        <f ca="1">IF(ISERROR(VLOOKUP($A$1772,INDIRECT("notes_"&amp;LEFT($A$1772,3)),4,0)),0,VLOOKUP($A$1772,INDIRECT("notes_"&amp;LEFT($A$1772,3)),4,0))</f>
        <v>0</v>
      </c>
      <c r="G2021" s="787" t="str">
        <f>IF(ISNUMBER(SEARCH("specify",'RO6'!B115)),"",'RO6'!B115)</f>
        <v/>
      </c>
    </row>
    <row r="2022" spans="1:7" x14ac:dyDescent="0.25">
      <c r="A2022" s="787" t="s">
        <v>4394</v>
      </c>
      <c r="B2022" s="789">
        <f>IF('RO6'!I$116="","",'RO6'!I$116)</f>
        <v>0</v>
      </c>
      <c r="C2022" s="790">
        <f ca="1">IF(ISERROR(VLOOKUP($A$1773,INDIRECT("notes_"&amp;LEFT($A$1773,3)),4,0)),0,VLOOKUP($A$1773,INDIRECT("notes_"&amp;LEFT($A$1773,3)),4,0))</f>
        <v>0</v>
      </c>
      <c r="G2022" s="787" t="str">
        <f>IF(ISNUMBER(SEARCH("specify",'RO6'!B116)),"",'RO6'!B116)</f>
        <v/>
      </c>
    </row>
    <row r="2023" spans="1:7" x14ac:dyDescent="0.25">
      <c r="A2023" s="787" t="s">
        <v>4395</v>
      </c>
      <c r="B2023" s="789">
        <f>IF('RO6'!I$117="","",'RO6'!I$117)</f>
        <v>0</v>
      </c>
      <c r="C2023" s="790">
        <f ca="1">IF(ISERROR(VLOOKUP($A$1774,INDIRECT("notes_"&amp;LEFT($A$1774,3)),4,0)),0,VLOOKUP($A$1774,INDIRECT("notes_"&amp;LEFT($A$1774,3)),4,0))</f>
        <v>0</v>
      </c>
      <c r="G2023" s="787" t="str">
        <f>IF(ISNUMBER(SEARCH("specify",'RO6'!B117)),"",'RO6'!B117)</f>
        <v/>
      </c>
    </row>
    <row r="2024" spans="1:7" x14ac:dyDescent="0.25">
      <c r="A2024" s="787" t="s">
        <v>4396</v>
      </c>
      <c r="B2024" s="789">
        <f>IF('RO6'!I$118="","",'RO6'!I$118)</f>
        <v>0</v>
      </c>
      <c r="C2024" s="790">
        <f ca="1">IF(ISERROR(VLOOKUP($A$1775,INDIRECT("notes_"&amp;LEFT($A$1775,3)),4,0)),0,VLOOKUP($A$1775,INDIRECT("notes_"&amp;LEFT($A$1775,3)),4,0))</f>
        <v>0</v>
      </c>
      <c r="G2024" s="787" t="str">
        <f>IF(ISNUMBER(SEARCH("specify",'RO6'!B118)),"",'RO6'!B118)</f>
        <v/>
      </c>
    </row>
    <row r="2025" spans="1:7" x14ac:dyDescent="0.25">
      <c r="A2025" s="787" t="s">
        <v>4397</v>
      </c>
      <c r="B2025" s="789">
        <f>IF('RO6'!I$119="","",'RO6'!I$119)</f>
        <v>0</v>
      </c>
      <c r="C2025" s="790">
        <f ca="1">IF(ISERROR(VLOOKUP($A$1776,INDIRECT("notes_"&amp;LEFT($A$1776,3)),4,0)),0,VLOOKUP($A$1776,INDIRECT("notes_"&amp;LEFT($A$1776,3)),4,0))</f>
        <v>0</v>
      </c>
      <c r="G2025" s="787" t="str">
        <f>IF(ISNUMBER(SEARCH("specify",'RO6'!B119)),"",'RO6'!B119)</f>
        <v/>
      </c>
    </row>
    <row r="2026" spans="1:7" x14ac:dyDescent="0.25">
      <c r="A2026" s="787" t="s">
        <v>4398</v>
      </c>
      <c r="B2026" s="789">
        <f>IF('RO6'!I$120="","",'RO6'!I$120)</f>
        <v>0</v>
      </c>
      <c r="C2026" s="790">
        <f ca="1">IF(ISERROR(VLOOKUP($A$1777,INDIRECT("notes_"&amp;LEFT($A$1777,3)),4,0)),0,VLOOKUP($A$1777,INDIRECT("notes_"&amp;LEFT($A$1777,3)),4,0))</f>
        <v>0</v>
      </c>
      <c r="G2026" s="787" t="str">
        <f>IF(ISNUMBER(SEARCH("specify",'RO6'!B120)),"",'RO6'!B120)</f>
        <v/>
      </c>
    </row>
    <row r="2027" spans="1:7" x14ac:dyDescent="0.25">
      <c r="A2027" s="787" t="s">
        <v>4399</v>
      </c>
      <c r="B2027" s="789">
        <f>IF('RO6'!I$121="","",'RO6'!I$121)</f>
        <v>0</v>
      </c>
      <c r="C2027" s="790">
        <f ca="1">IF(ISERROR(VLOOKUP($A$1778,INDIRECT("notes_"&amp;LEFT($A$1778,3)),4,0)),0,VLOOKUP($A$1778,INDIRECT("notes_"&amp;LEFT($A$1778,3)),4,0))</f>
        <v>0</v>
      </c>
      <c r="G2027" s="787" t="str">
        <f>IF(ISNUMBER(SEARCH("specify",'RO6'!B121)),"",'RO6'!B121)</f>
        <v/>
      </c>
    </row>
    <row r="2028" spans="1:7" x14ac:dyDescent="0.25">
      <c r="A2028" s="787" t="s">
        <v>4400</v>
      </c>
      <c r="B2028" s="789">
        <f>IF('RO6'!I$122="","",'RO6'!I$122)</f>
        <v>0</v>
      </c>
      <c r="C2028" s="790">
        <f ca="1">IF(ISERROR(VLOOKUP($A$1779,INDIRECT("notes_"&amp;LEFT($A$1779,3)),4,0)),0,VLOOKUP($A$1779,INDIRECT("notes_"&amp;LEFT($A$1779,3)),4,0))</f>
        <v>0</v>
      </c>
      <c r="G2028" s="787" t="str">
        <f>IF(ISNUMBER(SEARCH("specify",'RO6'!B122)),"",'RO6'!B122)</f>
        <v/>
      </c>
    </row>
    <row r="2029" spans="1:7" x14ac:dyDescent="0.25">
      <c r="A2029" s="787" t="s">
        <v>4401</v>
      </c>
      <c r="B2029" s="789">
        <f>IF('RO6'!I$123="","",'RO6'!I$123)</f>
        <v>0</v>
      </c>
      <c r="C2029" s="790">
        <f ca="1">IF(ISERROR(VLOOKUP($A$1780,INDIRECT("notes_"&amp;LEFT($A$1780,3)),4,0)),0,VLOOKUP($A$1780,INDIRECT("notes_"&amp;LEFT($A$1780,3)),4,0))</f>
        <v>0</v>
      </c>
      <c r="G2029" s="787" t="str">
        <f>IF(ISNUMBER(SEARCH("specify",'RO6'!B123)),"",'RO6'!B123)</f>
        <v/>
      </c>
    </row>
    <row r="2030" spans="1:7" x14ac:dyDescent="0.25">
      <c r="A2030" s="787" t="s">
        <v>4402</v>
      </c>
      <c r="B2030" s="789">
        <f>IF('RO6'!I$124="","",'RO6'!I$124)</f>
        <v>0</v>
      </c>
      <c r="C2030" s="790">
        <f ca="1">IF(ISERROR(VLOOKUP($A$1781,INDIRECT("notes_"&amp;LEFT($A$1781,3)),4,0)),0,VLOOKUP($A$1781,INDIRECT("notes_"&amp;LEFT($A$1781,3)),4,0))</f>
        <v>0</v>
      </c>
      <c r="G2030" s="787" t="str">
        <f>IF(ISNUMBER(SEARCH("specify",'RO6'!B124)),"",'RO6'!B124)</f>
        <v/>
      </c>
    </row>
    <row r="2031" spans="1:7" x14ac:dyDescent="0.25">
      <c r="A2031" s="787" t="s">
        <v>4403</v>
      </c>
      <c r="B2031" s="789">
        <f>IF('RO6'!I$125="","",'RO6'!I$125)</f>
        <v>0</v>
      </c>
      <c r="C2031" s="790">
        <f ca="1">IF(ISERROR(VLOOKUP($A$1782,INDIRECT("notes_"&amp;LEFT($A$1782,3)),4,0)),0,VLOOKUP($A$1782,INDIRECT("notes_"&amp;LEFT($A$1782,3)),4,0))</f>
        <v>0</v>
      </c>
      <c r="G2031" s="787" t="str">
        <f>IF(ISNUMBER(SEARCH("specify",'RO6'!B125)),"",'RO6'!B125)</f>
        <v/>
      </c>
    </row>
    <row r="2032" spans="1:7" x14ac:dyDescent="0.25">
      <c r="A2032" s="787" t="s">
        <v>4404</v>
      </c>
      <c r="B2032" s="789">
        <f>IF('RO6'!I$126="","",'RO6'!I$126)</f>
        <v>0</v>
      </c>
      <c r="C2032" s="790">
        <f ca="1">IF(ISERROR(VLOOKUP($A$1783,INDIRECT("notes_"&amp;LEFT($A$1783,3)),4,0)),0,VLOOKUP($A$1783,INDIRECT("notes_"&amp;LEFT($A$1783,3)),4,0))</f>
        <v>0</v>
      </c>
      <c r="G2032" s="787" t="str">
        <f>IF(ISNUMBER(SEARCH("specify",'RO6'!B126)),"",'RO6'!B126)</f>
        <v/>
      </c>
    </row>
    <row r="2033" spans="1:6" x14ac:dyDescent="0.25">
      <c r="A2033" s="787" t="s">
        <v>4405</v>
      </c>
      <c r="B2033" s="789">
        <f>IF('RO6'!I$127="","",'RO6'!I$127)</f>
        <v>0</v>
      </c>
      <c r="C2033" s="790">
        <f ca="1">IF(ISERROR(VLOOKUP($A$1784,INDIRECT("notes_"&amp;LEFT($A$1784,3)),4,0)),0,VLOOKUP($A$1784,INDIRECT("notes_"&amp;LEFT($A$1784,3)),4,0))</f>
        <v>0</v>
      </c>
    </row>
    <row r="2034" spans="1:6" x14ac:dyDescent="0.25">
      <c r="A2034" s="787" t="s">
        <v>4406</v>
      </c>
      <c r="B2034" s="789">
        <f>IF('RO6'!J$32="","",'RO6'!J$32)</f>
        <v>0</v>
      </c>
      <c r="C2034" s="790">
        <f ca="1">IF(ISERROR(VLOOKUP($A$1737,INDIRECT("notes_"&amp;LEFT($A$1737,3)),4,0)),0,VLOOKUP($A$1737,INDIRECT("notes_"&amp;LEFT($A$1737,3)),4,0))</f>
        <v>0</v>
      </c>
      <c r="D2034" s="789" t="str">
        <f>'RO6'!L32</f>
        <v/>
      </c>
      <c r="E2034" s="789" t="str">
        <f>'RO6'!M32</f>
        <v/>
      </c>
      <c r="F2034" s="789" t="str">
        <f>'RO6'!O32</f>
        <v/>
      </c>
    </row>
    <row r="2035" spans="1:6" x14ac:dyDescent="0.25">
      <c r="A2035" s="787" t="s">
        <v>4407</v>
      </c>
      <c r="B2035" s="789">
        <f>IF('RO6'!J$39="","",'RO6'!J$39)</f>
        <v>0</v>
      </c>
      <c r="C2035" s="790">
        <f ca="1">IF(ISERROR(VLOOKUP($A$1738,INDIRECT("notes_"&amp;LEFT($A$1738,3)),4,0)),0,VLOOKUP($A$1738,INDIRECT("notes_"&amp;LEFT($A$1738,3)),4,0))</f>
        <v>0</v>
      </c>
      <c r="D2035" s="789" t="str">
        <f>'RO6'!L39</f>
        <v/>
      </c>
      <c r="E2035" s="789" t="str">
        <f>'RO6'!M39</f>
        <v/>
      </c>
      <c r="F2035" s="789" t="str">
        <f>'RO6'!O39</f>
        <v/>
      </c>
    </row>
    <row r="2036" spans="1:6" x14ac:dyDescent="0.25">
      <c r="A2036" s="787" t="s">
        <v>4408</v>
      </c>
      <c r="B2036" s="789">
        <f>IF('RO6'!J$40="","",'RO6'!J$40)</f>
        <v>0</v>
      </c>
      <c r="C2036" s="790">
        <f ca="1">IF(ISERROR(VLOOKUP($A$1739,INDIRECT("notes_"&amp;LEFT($A$1739,3)),4,0)),0,VLOOKUP($A$1739,INDIRECT("notes_"&amp;LEFT($A$1739,3)),4,0))</f>
        <v>0</v>
      </c>
      <c r="D2036" s="789" t="str">
        <f>'RO6'!L40</f>
        <v/>
      </c>
      <c r="E2036" s="789" t="str">
        <f>'RO6'!M40</f>
        <v/>
      </c>
      <c r="F2036" s="789" t="str">
        <f>'RO6'!O40</f>
        <v/>
      </c>
    </row>
    <row r="2037" spans="1:6" x14ac:dyDescent="0.25">
      <c r="A2037" s="787" t="s">
        <v>4409</v>
      </c>
      <c r="B2037" s="789">
        <f>IF('RO6'!J$41="","",'RO6'!J$41)</f>
        <v>0</v>
      </c>
      <c r="C2037" s="790">
        <f ca="1">IF(ISERROR(VLOOKUP($A$1740,INDIRECT("notes_"&amp;LEFT($A$1740,3)),4,0)),0,VLOOKUP($A$1740,INDIRECT("notes_"&amp;LEFT($A$1740,3)),4,0))</f>
        <v>0</v>
      </c>
      <c r="D2037" s="789" t="str">
        <f>'RO6'!L41</f>
        <v/>
      </c>
      <c r="E2037" s="789" t="str">
        <f>'RO6'!M41</f>
        <v/>
      </c>
      <c r="F2037" s="789" t="str">
        <f>'RO6'!O41</f>
        <v/>
      </c>
    </row>
    <row r="2038" spans="1:6" x14ac:dyDescent="0.25">
      <c r="A2038" s="787" t="s">
        <v>4410</v>
      </c>
      <c r="B2038" s="789">
        <f>IF('RO6'!J$42="","",'RO6'!J$42)</f>
        <v>0</v>
      </c>
      <c r="C2038" s="790">
        <f ca="1">IF(ISERROR(VLOOKUP($A$1741,INDIRECT("notes_"&amp;LEFT($A$1741,3)),4,0)),0,VLOOKUP($A$1741,INDIRECT("notes_"&amp;LEFT($A$1741,3)),4,0))</f>
        <v>0</v>
      </c>
      <c r="D2038" s="789" t="str">
        <f>'RO6'!L42</f>
        <v/>
      </c>
      <c r="E2038" s="789" t="str">
        <f>'RO6'!M42</f>
        <v/>
      </c>
      <c r="F2038" s="789" t="str">
        <f>'RO6'!O42</f>
        <v/>
      </c>
    </row>
    <row r="2039" spans="1:6" x14ac:dyDescent="0.25">
      <c r="A2039" s="787" t="s">
        <v>4411</v>
      </c>
      <c r="B2039" s="789">
        <f>IF('RO6'!J$50="","",'RO6'!J$50)</f>
        <v>0</v>
      </c>
      <c r="C2039" s="790">
        <f ca="1">IF(ISERROR(VLOOKUP($A$1742,INDIRECT("notes_"&amp;LEFT($A$1742,3)),4,0)),0,VLOOKUP($A$1742,INDIRECT("notes_"&amp;LEFT($A$1742,3)),4,0))</f>
        <v>0</v>
      </c>
      <c r="D2039" s="789" t="str">
        <f>'RO6'!L50</f>
        <v/>
      </c>
      <c r="E2039" s="789" t="str">
        <f>'RO6'!M50</f>
        <v/>
      </c>
      <c r="F2039" s="789" t="str">
        <f>'RO6'!O50</f>
        <v/>
      </c>
    </row>
    <row r="2040" spans="1:6" x14ac:dyDescent="0.25">
      <c r="A2040" s="787" t="s">
        <v>4412</v>
      </c>
      <c r="B2040" s="789">
        <f>IF('RO6'!J$55="","",'RO6'!J$55)</f>
        <v>0</v>
      </c>
      <c r="C2040" s="790">
        <f ca="1">IF(ISERROR(VLOOKUP($A$1743,INDIRECT("notes_"&amp;LEFT($A$1743,3)),4,0)),0,VLOOKUP($A$1743,INDIRECT("notes_"&amp;LEFT($A$1743,3)),4,0))</f>
        <v>0</v>
      </c>
      <c r="D2040" s="789" t="str">
        <f>'RO6'!L55</f>
        <v/>
      </c>
      <c r="E2040" s="789" t="e">
        <f>'RO6'!M55</f>
        <v>#N/A</v>
      </c>
      <c r="F2040" s="789" t="e">
        <f>'RO6'!O55</f>
        <v>#N/A</v>
      </c>
    </row>
    <row r="2041" spans="1:6" x14ac:dyDescent="0.25">
      <c r="A2041" s="787" t="s">
        <v>4413</v>
      </c>
      <c r="B2041" s="789">
        <f>IF('RO6'!J$56="","",'RO6'!J$56)</f>
        <v>0</v>
      </c>
      <c r="C2041" s="790">
        <f ca="1">IF(ISERROR(VLOOKUP($A$1744,INDIRECT("notes_"&amp;LEFT($A$1744,3)),4,0)),0,VLOOKUP($A$1744,INDIRECT("notes_"&amp;LEFT($A$1744,3)),4,0))</f>
        <v>0</v>
      </c>
      <c r="D2041" s="789" t="str">
        <f>'RO6'!L56</f>
        <v/>
      </c>
      <c r="E2041" s="789" t="str">
        <f>'RO6'!M56</f>
        <v/>
      </c>
      <c r="F2041" s="789" t="str">
        <f>'RO6'!O56</f>
        <v/>
      </c>
    </row>
    <row r="2042" spans="1:6" x14ac:dyDescent="0.25">
      <c r="A2042" s="787" t="s">
        <v>4414</v>
      </c>
      <c r="B2042" s="789">
        <f>IF('RO6'!J$57="","",'RO6'!J$57)</f>
        <v>0</v>
      </c>
      <c r="C2042" s="790">
        <f ca="1">IF(ISERROR(VLOOKUP($A$1745,INDIRECT("notes_"&amp;LEFT($A$1745,3)),4,0)),0,VLOOKUP($A$1745,INDIRECT("notes_"&amp;LEFT($A$1745,3)),4,0))</f>
        <v>0</v>
      </c>
      <c r="D2042" s="789" t="str">
        <f>'RO6'!L57</f>
        <v/>
      </c>
      <c r="E2042" s="789" t="str">
        <f>'RO6'!M57</f>
        <v/>
      </c>
      <c r="F2042" s="789" t="str">
        <f>'RO6'!O57</f>
        <v/>
      </c>
    </row>
    <row r="2043" spans="1:6" x14ac:dyDescent="0.25">
      <c r="A2043" s="787" t="s">
        <v>4415</v>
      </c>
      <c r="B2043" s="789">
        <f>IF('RO6'!J$58="","",'RO6'!J$58)</f>
        <v>0</v>
      </c>
      <c r="C2043" s="790">
        <f ca="1">IF(ISERROR(VLOOKUP($A$1746,INDIRECT("notes_"&amp;LEFT($A$1746,3)),4,0)),0,VLOOKUP($A$1746,INDIRECT("notes_"&amp;LEFT($A$1746,3)),4,0))</f>
        <v>0</v>
      </c>
      <c r="D2043" s="789" t="str">
        <f>'RO6'!L58</f>
        <v/>
      </c>
      <c r="E2043" s="789" t="str">
        <f>'RO6'!M58</f>
        <v/>
      </c>
      <c r="F2043" s="789" t="str">
        <f>'RO6'!O58</f>
        <v/>
      </c>
    </row>
    <row r="2044" spans="1:6" x14ac:dyDescent="0.25">
      <c r="A2044" s="787" t="s">
        <v>4416</v>
      </c>
      <c r="B2044" s="789">
        <f>IF('RO6'!J$59="","",'RO6'!J$59)</f>
        <v>0</v>
      </c>
      <c r="C2044" s="790">
        <f ca="1">IF(ISERROR(VLOOKUP($A$1747,INDIRECT("notes_"&amp;LEFT($A$1747,3)),4,0)),0,VLOOKUP($A$1747,INDIRECT("notes_"&amp;LEFT($A$1747,3)),4,0))</f>
        <v>0</v>
      </c>
      <c r="D2044" s="789" t="str">
        <f>'RO6'!L59</f>
        <v/>
      </c>
      <c r="E2044" s="789" t="e">
        <f>'RO6'!M59</f>
        <v>#N/A</v>
      </c>
      <c r="F2044" s="789" t="e">
        <f>'RO6'!O59</f>
        <v>#N/A</v>
      </c>
    </row>
    <row r="2045" spans="1:6" x14ac:dyDescent="0.25">
      <c r="A2045" s="787" t="s">
        <v>4417</v>
      </c>
      <c r="B2045" s="789">
        <f>IF('RO6'!J$60="","",'RO6'!J$60)</f>
        <v>0</v>
      </c>
      <c r="C2045" s="790">
        <f ca="1">IF(ISERROR(VLOOKUP($A$1748,INDIRECT("notes_"&amp;LEFT($A$1748,3)),4,0)),0,VLOOKUP($A$1748,INDIRECT("notes_"&amp;LEFT($A$1748,3)),4,0))</f>
        <v>0</v>
      </c>
      <c r="D2045" s="789" t="str">
        <f>'RO6'!L60</f>
        <v/>
      </c>
      <c r="E2045" s="789" t="str">
        <f>'RO6'!M60</f>
        <v/>
      </c>
      <c r="F2045" s="789" t="str">
        <f>'RO6'!O60</f>
        <v/>
      </c>
    </row>
    <row r="2046" spans="1:6" x14ac:dyDescent="0.25">
      <c r="A2046" s="787" t="s">
        <v>4418</v>
      </c>
      <c r="B2046" s="789">
        <f>IF('RO6'!J$62="","",'RO6'!J$62)</f>
        <v>0</v>
      </c>
      <c r="C2046" s="790">
        <f ca="1">IF(ISERROR(VLOOKUP($A$1749,INDIRECT("notes_"&amp;LEFT($A$1749,3)),4,0)),0,VLOOKUP($A$1749,INDIRECT("notes_"&amp;LEFT($A$1749,3)),4,0))</f>
        <v>0</v>
      </c>
      <c r="D2046" s="789" t="str">
        <f>'RO6'!L62</f>
        <v/>
      </c>
      <c r="E2046" s="789" t="str">
        <f>'RO6'!M62</f>
        <v/>
      </c>
      <c r="F2046" s="789" t="str">
        <f>'RO6'!O62</f>
        <v/>
      </c>
    </row>
    <row r="2047" spans="1:6" x14ac:dyDescent="0.25">
      <c r="A2047" s="787" t="s">
        <v>4419</v>
      </c>
      <c r="B2047" s="789">
        <f>IF('RO6'!J$65="","",'RO6'!J$65)</f>
        <v>0</v>
      </c>
      <c r="C2047" s="790">
        <f ca="1">IF(ISERROR(VLOOKUP($A$1750,INDIRECT("notes_"&amp;LEFT($A$1750,3)),4,0)),0,VLOOKUP($A$1750,INDIRECT("notes_"&amp;LEFT($A$1750,3)),4,0))</f>
        <v>0</v>
      </c>
      <c r="D2047" s="789" t="str">
        <f>'RO6'!L65</f>
        <v/>
      </c>
      <c r="E2047" s="789" t="str">
        <f>'RO6'!M65</f>
        <v/>
      </c>
      <c r="F2047" s="789" t="str">
        <f>'RO6'!O65</f>
        <v/>
      </c>
    </row>
    <row r="2048" spans="1:6" x14ac:dyDescent="0.25">
      <c r="A2048" s="787" t="s">
        <v>4420</v>
      </c>
      <c r="B2048" s="789">
        <f>IF('RO6'!J$66="","",'RO6'!J$66)</f>
        <v>0</v>
      </c>
      <c r="C2048" s="790">
        <f ca="1">IF(ISERROR(VLOOKUP($A$1751,INDIRECT("notes_"&amp;LEFT($A$1751,3)),4,0)),0,VLOOKUP($A$1751,INDIRECT("notes_"&amp;LEFT($A$1751,3)),4,0))</f>
        <v>0</v>
      </c>
      <c r="D2048" s="789" t="str">
        <f>'RO6'!L66</f>
        <v/>
      </c>
      <c r="E2048" s="789" t="str">
        <f>'RO6'!M66</f>
        <v/>
      </c>
      <c r="F2048" s="789" t="str">
        <f>'RO6'!O66</f>
        <v/>
      </c>
    </row>
    <row r="2049" spans="1:7" x14ac:dyDescent="0.25">
      <c r="A2049" s="787" t="s">
        <v>4421</v>
      </c>
      <c r="B2049" s="789">
        <f>IF('RO6'!J$68="","",'RO6'!J$68)</f>
        <v>0</v>
      </c>
      <c r="C2049" s="790">
        <f ca="1">IF(ISERROR(VLOOKUP($A$1752,INDIRECT("notes_"&amp;LEFT($A$1752,3)),4,0)),0,VLOOKUP($A$1752,INDIRECT("notes_"&amp;LEFT($A$1752,3)),4,0))</f>
        <v>0</v>
      </c>
      <c r="D2049" s="789" t="str">
        <f>'RO6'!L68</f>
        <v/>
      </c>
      <c r="E2049" s="789" t="str">
        <f>'RO6'!M68</f>
        <v/>
      </c>
      <c r="F2049" s="789" t="str">
        <f>'RO6'!O68</f>
        <v/>
      </c>
    </row>
    <row r="2050" spans="1:7" x14ac:dyDescent="0.25">
      <c r="A2050" s="787" t="s">
        <v>4422</v>
      </c>
      <c r="B2050" s="789">
        <f>IF('RO6'!J$70="","",'RO6'!J$70)</f>
        <v>0</v>
      </c>
      <c r="C2050" s="790">
        <f ca="1">IF(ISERROR(VLOOKUP($A$1753,INDIRECT("notes_"&amp;LEFT($A$1753,3)),4,0)),0,VLOOKUP($A$1753,INDIRECT("notes_"&amp;LEFT($A$1753,3)),4,0))</f>
        <v>0</v>
      </c>
      <c r="D2050" s="789" t="str">
        <f>'RO6'!L70</f>
        <v/>
      </c>
      <c r="E2050" s="789" t="str">
        <f>'RO6'!M70</f>
        <v/>
      </c>
      <c r="F2050" s="789" t="str">
        <f>'RO6'!O70</f>
        <v/>
      </c>
    </row>
    <row r="2051" spans="1:7" x14ac:dyDescent="0.25">
      <c r="A2051" s="787" t="s">
        <v>4423</v>
      </c>
      <c r="B2051" s="789">
        <f>IF('RO6'!J$72="","",'RO6'!J$72)</f>
        <v>0</v>
      </c>
      <c r="C2051" s="790">
        <f ca="1">IF(ISERROR(VLOOKUP($A$1754,INDIRECT("notes_"&amp;LEFT($A$1754,3)),4,0)),0,VLOOKUP($A$1754,INDIRECT("notes_"&amp;LEFT($A$1754,3)),4,0))</f>
        <v>0</v>
      </c>
      <c r="D2051" s="789" t="str">
        <f>'RO6'!L72</f>
        <v/>
      </c>
      <c r="E2051" s="789" t="str">
        <f>'RO6'!M72</f>
        <v/>
      </c>
      <c r="F2051" s="789" t="str">
        <f>'RO6'!O72</f>
        <v/>
      </c>
    </row>
    <row r="2052" spans="1:7" x14ac:dyDescent="0.25">
      <c r="A2052" s="787" t="s">
        <v>4424</v>
      </c>
      <c r="B2052" s="789">
        <f>IF('RO6'!J$74="","",'RO6'!J$74)</f>
        <v>0</v>
      </c>
      <c r="C2052" s="790">
        <f ca="1">IF(ISERROR(VLOOKUP($A$1755,INDIRECT("notes_"&amp;LEFT($A$1755,3)),4,0)),0,VLOOKUP($A$1755,INDIRECT("notes_"&amp;LEFT($A$1755,3)),4,0))</f>
        <v>0</v>
      </c>
      <c r="D2052" s="789" t="str">
        <f>'RO6'!L74</f>
        <v/>
      </c>
      <c r="E2052" s="789" t="str">
        <f>'RO6'!M74</f>
        <v/>
      </c>
      <c r="F2052" s="789" t="str">
        <f>'RO6'!O74</f>
        <v/>
      </c>
    </row>
    <row r="2053" spans="1:7" x14ac:dyDescent="0.25">
      <c r="A2053" s="787" t="s">
        <v>4425</v>
      </c>
      <c r="B2053" s="789">
        <f>IF('RO6'!J$76="","",'RO6'!J$76)</f>
        <v>0</v>
      </c>
      <c r="C2053" s="790">
        <f ca="1">IF(ISERROR(VLOOKUP($A$1756,INDIRECT("notes_"&amp;LEFT($A$1756,3)),4,0)),0,VLOOKUP($A$1756,INDIRECT("notes_"&amp;LEFT($A$1756,3)),4,0))</f>
        <v>0</v>
      </c>
      <c r="D2053" s="789" t="str">
        <f>'RO6'!L76</f>
        <v/>
      </c>
      <c r="E2053" s="789" t="str">
        <f>'RO6'!M76</f>
        <v/>
      </c>
      <c r="F2053" s="789" t="str">
        <f>'RO6'!O76</f>
        <v/>
      </c>
    </row>
    <row r="2054" spans="1:7" x14ac:dyDescent="0.25">
      <c r="A2054" s="787" t="s">
        <v>4426</v>
      </c>
      <c r="B2054" s="789">
        <f>IF('RO6'!J$77="","",'RO6'!J$77)</f>
        <v>0</v>
      </c>
      <c r="C2054" s="790">
        <f ca="1">IF(ISERROR(VLOOKUP($A$1757,INDIRECT("notes_"&amp;LEFT($A$1757,3)),4,0)),0,VLOOKUP($A$1757,INDIRECT("notes_"&amp;LEFT($A$1757,3)),4,0))</f>
        <v>0</v>
      </c>
      <c r="D2054" s="789" t="str">
        <f>'RO6'!L77</f>
        <v/>
      </c>
      <c r="E2054" s="789" t="str">
        <f>'RO6'!M77</f>
        <v/>
      </c>
      <c r="F2054" s="789" t="str">
        <f>'RO6'!O77</f>
        <v/>
      </c>
    </row>
    <row r="2055" spans="1:7" x14ac:dyDescent="0.25">
      <c r="A2055" s="787" t="s">
        <v>4427</v>
      </c>
      <c r="B2055" s="789">
        <f>IF('RO6'!J$80="","",'RO6'!J$80)</f>
        <v>0</v>
      </c>
      <c r="C2055" s="790">
        <f ca="1">IF(ISERROR(VLOOKUP($A$1758,INDIRECT("notes_"&amp;LEFT($A$1758,3)),4,0)),0,VLOOKUP($A$1758,INDIRECT("notes_"&amp;LEFT($A$1758,3)),4,0))</f>
        <v>0</v>
      </c>
      <c r="D2055" s="789" t="str">
        <f>'RO6'!L80</f>
        <v/>
      </c>
      <c r="E2055" s="789" t="str">
        <f>'RO6'!M80</f>
        <v/>
      </c>
      <c r="F2055" s="789" t="str">
        <f>'RO6'!O80</f>
        <v/>
      </c>
    </row>
    <row r="2056" spans="1:7" x14ac:dyDescent="0.25">
      <c r="A2056" s="787" t="s">
        <v>4428</v>
      </c>
      <c r="B2056" s="789">
        <f>IF('RO6'!J$81="","",'RO6'!J$81)</f>
        <v>0</v>
      </c>
      <c r="C2056" s="790">
        <f ca="1">IF(ISERROR(VLOOKUP($A$1759,INDIRECT("notes_"&amp;LEFT($A$1759,3)),4,0)),0,VLOOKUP($A$1759,INDIRECT("notes_"&amp;LEFT($A$1759,3)),4,0))</f>
        <v>0</v>
      </c>
      <c r="D2056" s="789" t="str">
        <f>'RO6'!L81</f>
        <v/>
      </c>
      <c r="E2056" s="789" t="str">
        <f>'RO6'!M81</f>
        <v/>
      </c>
      <c r="F2056" s="789" t="str">
        <f>'RO6'!O81</f>
        <v/>
      </c>
    </row>
    <row r="2057" spans="1:7" x14ac:dyDescent="0.25">
      <c r="A2057" s="787" t="s">
        <v>4429</v>
      </c>
      <c r="B2057" s="789">
        <f>IF('RO6'!J$82="","",'RO6'!J$82)</f>
        <v>0</v>
      </c>
      <c r="C2057" s="790">
        <f ca="1">IF(ISERROR(VLOOKUP($A$1760,INDIRECT("notes_"&amp;LEFT($A$1760,3)),4,0)),0,VLOOKUP($A$1760,INDIRECT("notes_"&amp;LEFT($A$1760,3)),4,0))</f>
        <v>0</v>
      </c>
      <c r="D2057" s="789" t="str">
        <f>'RO6'!L82</f>
        <v/>
      </c>
      <c r="E2057" s="789" t="str">
        <f>'RO6'!M82</f>
        <v/>
      </c>
      <c r="F2057" s="789" t="str">
        <f>'RO6'!O82</f>
        <v/>
      </c>
    </row>
    <row r="2058" spans="1:7" x14ac:dyDescent="0.25">
      <c r="A2058" s="787" t="s">
        <v>4430</v>
      </c>
      <c r="B2058" s="789">
        <f>IF('RO6'!J$84="","",'RO6'!J$84)</f>
        <v>0</v>
      </c>
      <c r="C2058" s="790">
        <f ca="1">IF(ISERROR(VLOOKUP($A$1761,INDIRECT("notes_"&amp;LEFT($A$1761,3)),4,0)),0,VLOOKUP($A$1761,INDIRECT("notes_"&amp;LEFT($A$1761,3)),4,0))</f>
        <v>0</v>
      </c>
      <c r="D2058" s="789" t="str">
        <f>'RO6'!L84</f>
        <v/>
      </c>
      <c r="E2058" s="789" t="str">
        <f>'RO6'!M84</f>
        <v/>
      </c>
      <c r="F2058" s="789" t="str">
        <f>'RO6'!O84</f>
        <v/>
      </c>
    </row>
    <row r="2059" spans="1:7" x14ac:dyDescent="0.25">
      <c r="A2059" s="787" t="s">
        <v>4431</v>
      </c>
      <c r="B2059" s="789">
        <f>IF('RO6'!J$86="","",'RO6'!J$86)</f>
        <v>0</v>
      </c>
      <c r="C2059" s="790">
        <f ca="1">IF(ISERROR(VLOOKUP($A$1762,INDIRECT("notes_"&amp;LEFT($A$1762,3)),4,0)),0,VLOOKUP($A$1762,INDIRECT("notes_"&amp;LEFT($A$1762,3)),4,0))</f>
        <v>0</v>
      </c>
      <c r="D2059" s="789" t="str">
        <f>'RO6'!L86</f>
        <v/>
      </c>
      <c r="E2059" s="789" t="str">
        <f>'RO6'!M86</f>
        <v/>
      </c>
      <c r="F2059" s="789" t="str">
        <f>'RO6'!O86</f>
        <v/>
      </c>
    </row>
    <row r="2060" spans="1:7" x14ac:dyDescent="0.25">
      <c r="A2060" s="787" t="s">
        <v>4432</v>
      </c>
      <c r="B2060" s="789">
        <f>IF('RO6'!J$100="","",'RO6'!J$100)</f>
        <v>0</v>
      </c>
      <c r="C2060" s="790">
        <f ca="1">IF(ISERROR(VLOOKUP($A$1763,INDIRECT("notes_"&amp;LEFT($A$1763,3)),4,0)),0,VLOOKUP($A$1763,INDIRECT("notes_"&amp;LEFT($A$1763,3)),4,0))</f>
        <v>0</v>
      </c>
      <c r="D2060" s="789" t="str">
        <f>'RO6'!L100</f>
        <v/>
      </c>
      <c r="E2060" s="789" t="str">
        <f>'RO6'!M100</f>
        <v/>
      </c>
      <c r="F2060" s="789" t="str">
        <f>'RO6'!O100</f>
        <v/>
      </c>
    </row>
    <row r="2061" spans="1:7" x14ac:dyDescent="0.25">
      <c r="A2061" s="787" t="s">
        <v>4433</v>
      </c>
      <c r="B2061" s="789">
        <f>IF('RO6'!J$107="","",'RO6'!J$107)</f>
        <v>0</v>
      </c>
      <c r="C2061" s="790">
        <f ca="1">IF(ISERROR(VLOOKUP($A$1764,INDIRECT("notes_"&amp;LEFT($A$1764,3)),4,0)),0,VLOOKUP($A$1764,INDIRECT("notes_"&amp;LEFT($A$1764,3)),4,0))</f>
        <v>0</v>
      </c>
      <c r="D2061" s="789"/>
      <c r="E2061" s="789"/>
      <c r="F2061" s="789"/>
      <c r="G2061" s="787" t="str">
        <f>IF(ISNUMBER(SEARCH("specify",'RO6'!B107)),"",'RO6'!B107)</f>
        <v/>
      </c>
    </row>
    <row r="2062" spans="1:7" x14ac:dyDescent="0.25">
      <c r="A2062" s="787" t="s">
        <v>4434</v>
      </c>
      <c r="B2062" s="789">
        <f>IF('RO6'!J$108="","",'RO6'!J$108)</f>
        <v>0</v>
      </c>
      <c r="C2062" s="790">
        <f ca="1">IF(ISERROR(VLOOKUP($A$1765,INDIRECT("notes_"&amp;LEFT($A$1765,3)),4,0)),0,VLOOKUP($A$1765,INDIRECT("notes_"&amp;LEFT($A$1765,3)),4,0))</f>
        <v>0</v>
      </c>
      <c r="D2062" s="789"/>
      <c r="E2062" s="789"/>
      <c r="F2062" s="789"/>
      <c r="G2062" s="787" t="str">
        <f>IF(ISNUMBER(SEARCH("specify",'RO6'!B108)),"",'RO6'!B108)</f>
        <v/>
      </c>
    </row>
    <row r="2063" spans="1:7" x14ac:dyDescent="0.25">
      <c r="A2063" s="787" t="s">
        <v>4435</v>
      </c>
      <c r="B2063" s="789">
        <f>IF('RO6'!J$109="","",'RO6'!J$109)</f>
        <v>0</v>
      </c>
      <c r="C2063" s="790">
        <f ca="1">IF(ISERROR(VLOOKUP($A$1766,INDIRECT("notes_"&amp;LEFT($A$1766,3)),4,0)),0,VLOOKUP($A$1766,INDIRECT("notes_"&amp;LEFT($A$1766,3)),4,0))</f>
        <v>0</v>
      </c>
      <c r="D2063" s="789"/>
      <c r="E2063" s="789"/>
      <c r="F2063" s="789"/>
      <c r="G2063" s="787" t="str">
        <f>IF(ISNUMBER(SEARCH("specify",'RO6'!B109)),"",'RO6'!B109)</f>
        <v/>
      </c>
    </row>
    <row r="2064" spans="1:7" x14ac:dyDescent="0.25">
      <c r="A2064" s="787" t="s">
        <v>4436</v>
      </c>
      <c r="B2064" s="789">
        <f>IF('RO6'!J$110="","",'RO6'!J$110)</f>
        <v>0</v>
      </c>
      <c r="C2064" s="790">
        <f ca="1">IF(ISERROR(VLOOKUP($A$1767,INDIRECT("notes_"&amp;LEFT($A$1767,3)),4,0)),0,VLOOKUP($A$1767,INDIRECT("notes_"&amp;LEFT($A$1767,3)),4,0))</f>
        <v>0</v>
      </c>
      <c r="D2064" s="789"/>
      <c r="E2064" s="789"/>
      <c r="F2064" s="789"/>
      <c r="G2064" s="787" t="str">
        <f>IF(ISNUMBER(SEARCH("specify",'RO6'!B110)),"",'RO6'!B110)</f>
        <v/>
      </c>
    </row>
    <row r="2065" spans="1:7" x14ac:dyDescent="0.25">
      <c r="A2065" s="787" t="s">
        <v>4437</v>
      </c>
      <c r="B2065" s="789">
        <f>IF('RO6'!J$111="","",'RO6'!J$111)</f>
        <v>0</v>
      </c>
      <c r="C2065" s="790">
        <f ca="1">IF(ISERROR(VLOOKUP($A$1768,INDIRECT("notes_"&amp;LEFT($A$1768,3)),4,0)),0,VLOOKUP($A$1768,INDIRECT("notes_"&amp;LEFT($A$1768,3)),4,0))</f>
        <v>0</v>
      </c>
      <c r="D2065" s="789"/>
      <c r="E2065" s="789"/>
      <c r="F2065" s="789"/>
      <c r="G2065" s="787" t="str">
        <f>IF(ISNUMBER(SEARCH("specify",'RO6'!B111)),"",'RO6'!B111)</f>
        <v/>
      </c>
    </row>
    <row r="2066" spans="1:7" x14ac:dyDescent="0.25">
      <c r="A2066" s="787" t="s">
        <v>4438</v>
      </c>
      <c r="B2066" s="789">
        <f>IF('RO6'!J$112="","",'RO6'!J$112)</f>
        <v>0</v>
      </c>
      <c r="C2066" s="790">
        <f ca="1">IF(ISERROR(VLOOKUP($A$1769,INDIRECT("notes_"&amp;LEFT($A$1769,3)),4,0)),0,VLOOKUP($A$1769,INDIRECT("notes_"&amp;LEFT($A$1769,3)),4,0))</f>
        <v>0</v>
      </c>
      <c r="D2066" s="789"/>
      <c r="E2066" s="789"/>
      <c r="F2066" s="789"/>
      <c r="G2066" s="787" t="str">
        <f>IF(ISNUMBER(SEARCH("specify",'RO6'!B112)),"",'RO6'!B112)</f>
        <v/>
      </c>
    </row>
    <row r="2067" spans="1:7" x14ac:dyDescent="0.25">
      <c r="A2067" s="787" t="s">
        <v>4439</v>
      </c>
      <c r="B2067" s="789">
        <f>IF('RO6'!J$113="","",'RO6'!J$113)</f>
        <v>0</v>
      </c>
      <c r="C2067" s="790">
        <f ca="1">IF(ISERROR(VLOOKUP($A$1770,INDIRECT("notes_"&amp;LEFT($A$1770,3)),4,0)),0,VLOOKUP($A$1770,INDIRECT("notes_"&amp;LEFT($A$1770,3)),4,0))</f>
        <v>0</v>
      </c>
      <c r="D2067" s="789"/>
      <c r="E2067" s="789"/>
      <c r="F2067" s="789"/>
      <c r="G2067" s="787" t="str">
        <f>IF(ISNUMBER(SEARCH("specify",'RO6'!B113)),"",'RO6'!B113)</f>
        <v/>
      </c>
    </row>
    <row r="2068" spans="1:7" x14ac:dyDescent="0.25">
      <c r="A2068" s="787" t="s">
        <v>4440</v>
      </c>
      <c r="B2068" s="789">
        <f>IF('RO6'!J$114="","",'RO6'!J$114)</f>
        <v>0</v>
      </c>
      <c r="C2068" s="790">
        <f ca="1">IF(ISERROR(VLOOKUP($A$1771,INDIRECT("notes_"&amp;LEFT($A$1771,3)),4,0)),0,VLOOKUP($A$1771,INDIRECT("notes_"&amp;LEFT($A$1771,3)),4,0))</f>
        <v>0</v>
      </c>
      <c r="D2068" s="789"/>
      <c r="E2068" s="789"/>
      <c r="F2068" s="789"/>
      <c r="G2068" s="787" t="str">
        <f>IF(ISNUMBER(SEARCH("specify",'RO6'!B114)),"",'RO6'!B114)</f>
        <v/>
      </c>
    </row>
    <row r="2069" spans="1:7" x14ac:dyDescent="0.25">
      <c r="A2069" s="787" t="s">
        <v>4441</v>
      </c>
      <c r="B2069" s="789">
        <f>IF('RO6'!J$115="","",'RO6'!J$115)</f>
        <v>0</v>
      </c>
      <c r="C2069" s="790">
        <f ca="1">IF(ISERROR(VLOOKUP($A$1772,INDIRECT("notes_"&amp;LEFT($A$1772,3)),4,0)),0,VLOOKUP($A$1772,INDIRECT("notes_"&amp;LEFT($A$1772,3)),4,0))</f>
        <v>0</v>
      </c>
      <c r="D2069" s="789"/>
      <c r="E2069" s="789"/>
      <c r="F2069" s="789"/>
      <c r="G2069" s="787" t="str">
        <f>IF(ISNUMBER(SEARCH("specify",'RO6'!B115)),"",'RO6'!B115)</f>
        <v/>
      </c>
    </row>
    <row r="2070" spans="1:7" x14ac:dyDescent="0.25">
      <c r="A2070" s="787" t="s">
        <v>4442</v>
      </c>
      <c r="B2070" s="789">
        <f>IF('RO6'!J$116="","",'RO6'!J$116)</f>
        <v>0</v>
      </c>
      <c r="C2070" s="790">
        <f ca="1">IF(ISERROR(VLOOKUP($A$1773,INDIRECT("notes_"&amp;LEFT($A$1773,3)),4,0)),0,VLOOKUP($A$1773,INDIRECT("notes_"&amp;LEFT($A$1773,3)),4,0))</f>
        <v>0</v>
      </c>
      <c r="D2070" s="789"/>
      <c r="E2070" s="789"/>
      <c r="F2070" s="789"/>
      <c r="G2070" s="787" t="str">
        <f>IF(ISNUMBER(SEARCH("specify",'RO6'!B116)),"",'RO6'!B116)</f>
        <v/>
      </c>
    </row>
    <row r="2071" spans="1:7" x14ac:dyDescent="0.25">
      <c r="A2071" s="787" t="s">
        <v>4443</v>
      </c>
      <c r="B2071" s="789">
        <f>IF('RO6'!J$117="","",'RO6'!J$117)</f>
        <v>0</v>
      </c>
      <c r="C2071" s="790">
        <f ca="1">IF(ISERROR(VLOOKUP($A$1774,INDIRECT("notes_"&amp;LEFT($A$1774,3)),4,0)),0,VLOOKUP($A$1774,INDIRECT("notes_"&amp;LEFT($A$1774,3)),4,0))</f>
        <v>0</v>
      </c>
      <c r="D2071" s="789"/>
      <c r="E2071" s="789"/>
      <c r="F2071" s="789"/>
      <c r="G2071" s="787" t="str">
        <f>IF(ISNUMBER(SEARCH("specify",'RO6'!B117)),"",'RO6'!B117)</f>
        <v/>
      </c>
    </row>
    <row r="2072" spans="1:7" x14ac:dyDescent="0.25">
      <c r="A2072" s="787" t="s">
        <v>4444</v>
      </c>
      <c r="B2072" s="789">
        <f>IF('RO6'!J$118="","",'RO6'!J$118)</f>
        <v>0</v>
      </c>
      <c r="C2072" s="790">
        <f ca="1">IF(ISERROR(VLOOKUP($A$1775,INDIRECT("notes_"&amp;LEFT($A$1775,3)),4,0)),0,VLOOKUP($A$1775,INDIRECT("notes_"&amp;LEFT($A$1775,3)),4,0))</f>
        <v>0</v>
      </c>
      <c r="D2072" s="789"/>
      <c r="E2072" s="789"/>
      <c r="F2072" s="789"/>
      <c r="G2072" s="787" t="str">
        <f>IF(ISNUMBER(SEARCH("specify",'RO6'!B118)),"",'RO6'!B118)</f>
        <v/>
      </c>
    </row>
    <row r="2073" spans="1:7" x14ac:dyDescent="0.25">
      <c r="A2073" s="787" t="s">
        <v>4445</v>
      </c>
      <c r="B2073" s="789">
        <f>IF('RO6'!J$119="","",'RO6'!J$119)</f>
        <v>0</v>
      </c>
      <c r="C2073" s="790">
        <f ca="1">IF(ISERROR(VLOOKUP($A$1776,INDIRECT("notes_"&amp;LEFT($A$1776,3)),4,0)),0,VLOOKUP($A$1776,INDIRECT("notes_"&amp;LEFT($A$1776,3)),4,0))</f>
        <v>0</v>
      </c>
      <c r="D2073" s="789"/>
      <c r="E2073" s="789"/>
      <c r="F2073" s="789"/>
      <c r="G2073" s="787" t="str">
        <f>IF(ISNUMBER(SEARCH("specify",'RO6'!B119)),"",'RO6'!B119)</f>
        <v/>
      </c>
    </row>
    <row r="2074" spans="1:7" x14ac:dyDescent="0.25">
      <c r="A2074" s="787" t="s">
        <v>4446</v>
      </c>
      <c r="B2074" s="789">
        <f>IF('RO6'!J$120="","",'RO6'!J$120)</f>
        <v>0</v>
      </c>
      <c r="C2074" s="790">
        <f ca="1">IF(ISERROR(VLOOKUP($A$1777,INDIRECT("notes_"&amp;LEFT($A$1777,3)),4,0)),0,VLOOKUP($A$1777,INDIRECT("notes_"&amp;LEFT($A$1777,3)),4,0))</f>
        <v>0</v>
      </c>
      <c r="D2074" s="789"/>
      <c r="E2074" s="789"/>
      <c r="F2074" s="789"/>
      <c r="G2074" s="787" t="str">
        <f>IF(ISNUMBER(SEARCH("specify",'RO6'!B120)),"",'RO6'!B120)</f>
        <v/>
      </c>
    </row>
    <row r="2075" spans="1:7" x14ac:dyDescent="0.25">
      <c r="A2075" s="787" t="s">
        <v>4447</v>
      </c>
      <c r="B2075" s="789">
        <f>IF('RO6'!J$121="","",'RO6'!J$121)</f>
        <v>0</v>
      </c>
      <c r="C2075" s="790">
        <f ca="1">IF(ISERROR(VLOOKUP($A$1778,INDIRECT("notes_"&amp;LEFT($A$1778,3)),4,0)),0,VLOOKUP($A$1778,INDIRECT("notes_"&amp;LEFT($A$1778,3)),4,0))</f>
        <v>0</v>
      </c>
      <c r="D2075" s="789"/>
      <c r="E2075" s="789"/>
      <c r="F2075" s="789"/>
      <c r="G2075" s="787" t="str">
        <f>IF(ISNUMBER(SEARCH("specify",'RO6'!B121)),"",'RO6'!B121)</f>
        <v/>
      </c>
    </row>
    <row r="2076" spans="1:7" x14ac:dyDescent="0.25">
      <c r="A2076" s="787" t="s">
        <v>4448</v>
      </c>
      <c r="B2076" s="789">
        <f>IF('RO6'!J$122="","",'RO6'!J$122)</f>
        <v>0</v>
      </c>
      <c r="C2076" s="790">
        <f ca="1">IF(ISERROR(VLOOKUP($A$1779,INDIRECT("notes_"&amp;LEFT($A$1779,3)),4,0)),0,VLOOKUP($A$1779,INDIRECT("notes_"&amp;LEFT($A$1779,3)),4,0))</f>
        <v>0</v>
      </c>
      <c r="D2076" s="789"/>
      <c r="E2076" s="789"/>
      <c r="F2076" s="789"/>
      <c r="G2076" s="787" t="str">
        <f>IF(ISNUMBER(SEARCH("specify",'RO6'!B122)),"",'RO6'!B122)</f>
        <v/>
      </c>
    </row>
    <row r="2077" spans="1:7" x14ac:dyDescent="0.25">
      <c r="A2077" s="787" t="s">
        <v>4449</v>
      </c>
      <c r="B2077" s="789">
        <f>IF('RO6'!J$123="","",'RO6'!J$123)</f>
        <v>0</v>
      </c>
      <c r="C2077" s="790">
        <f ca="1">IF(ISERROR(VLOOKUP($A$1780,INDIRECT("notes_"&amp;LEFT($A$1780,3)),4,0)),0,VLOOKUP($A$1780,INDIRECT("notes_"&amp;LEFT($A$1780,3)),4,0))</f>
        <v>0</v>
      </c>
      <c r="D2077" s="789"/>
      <c r="E2077" s="789"/>
      <c r="F2077" s="789"/>
      <c r="G2077" s="787" t="str">
        <f>IF(ISNUMBER(SEARCH("specify",'RO6'!B123)),"",'RO6'!B123)</f>
        <v/>
      </c>
    </row>
    <row r="2078" spans="1:7" x14ac:dyDescent="0.25">
      <c r="A2078" s="787" t="s">
        <v>4450</v>
      </c>
      <c r="B2078" s="789">
        <f>IF('RO6'!J$124="","",'RO6'!J$124)</f>
        <v>0</v>
      </c>
      <c r="C2078" s="790">
        <f ca="1">IF(ISERROR(VLOOKUP($A$1781,INDIRECT("notes_"&amp;LEFT($A$1781,3)),4,0)),0,VLOOKUP($A$1781,INDIRECT("notes_"&amp;LEFT($A$1781,3)),4,0))</f>
        <v>0</v>
      </c>
      <c r="D2078" s="789"/>
      <c r="E2078" s="789"/>
      <c r="F2078" s="789"/>
      <c r="G2078" s="787" t="str">
        <f>IF(ISNUMBER(SEARCH("specify",'RO6'!B124)),"",'RO6'!B124)</f>
        <v/>
      </c>
    </row>
    <row r="2079" spans="1:7" x14ac:dyDescent="0.25">
      <c r="A2079" s="787" t="s">
        <v>4451</v>
      </c>
      <c r="B2079" s="789">
        <f>IF('RO6'!J$125="","",'RO6'!J$125)</f>
        <v>0</v>
      </c>
      <c r="C2079" s="790">
        <f ca="1">IF(ISERROR(VLOOKUP($A$1782,INDIRECT("notes_"&amp;LEFT($A$1782,3)),4,0)),0,VLOOKUP($A$1782,INDIRECT("notes_"&amp;LEFT($A$1782,3)),4,0))</f>
        <v>0</v>
      </c>
      <c r="D2079" s="789"/>
      <c r="E2079" s="789"/>
      <c r="F2079" s="789"/>
      <c r="G2079" s="787" t="str">
        <f>IF(ISNUMBER(SEARCH("specify",'RO6'!B125)),"",'RO6'!B125)</f>
        <v/>
      </c>
    </row>
    <row r="2080" spans="1:7" x14ac:dyDescent="0.25">
      <c r="A2080" s="787" t="s">
        <v>4452</v>
      </c>
      <c r="B2080" s="789">
        <f>IF('RO6'!J$126="","",'RO6'!J$126)</f>
        <v>0</v>
      </c>
      <c r="C2080" s="790">
        <f ca="1">IF(ISERROR(VLOOKUP($A$1783,INDIRECT("notes_"&amp;LEFT($A$1783,3)),4,0)),0,VLOOKUP($A$1783,INDIRECT("notes_"&amp;LEFT($A$1783,3)),4,0))</f>
        <v>0</v>
      </c>
      <c r="D2080" s="789"/>
      <c r="E2080" s="789"/>
      <c r="F2080" s="789"/>
      <c r="G2080" s="787" t="str">
        <f>IF(ISNUMBER(SEARCH("specify",'RO6'!B126)),"",'RO6'!B126)</f>
        <v/>
      </c>
    </row>
    <row r="2081" spans="1:6" x14ac:dyDescent="0.25">
      <c r="A2081" s="787" t="s">
        <v>4453</v>
      </c>
      <c r="B2081" s="789">
        <f>IF('RO6'!J$127="","",'RO6'!J$127)</f>
        <v>0</v>
      </c>
      <c r="C2081" s="790">
        <f ca="1">IF(ISERROR(VLOOKUP($A$1784,INDIRECT("notes_"&amp;LEFT($A$1784,3)),4,0)),0,VLOOKUP($A$1784,INDIRECT("notes_"&amp;LEFT($A$1784,3)),4,0))</f>
        <v>0</v>
      </c>
      <c r="D2081" s="789"/>
      <c r="E2081" s="789"/>
      <c r="F2081" s="789"/>
    </row>
    <row r="2082" spans="1:6" x14ac:dyDescent="0.25">
      <c r="A2082" s="787" t="s">
        <v>4454</v>
      </c>
      <c r="B2082" s="789" t="str">
        <f>IF(ISNUMBER(SEARCH("resolve",TSR!A17)),TSR!A17,"")</f>
        <v/>
      </c>
      <c r="C2082" s="790"/>
    </row>
    <row r="2083" spans="1:6" x14ac:dyDescent="0.25">
      <c r="A2083" s="787" t="s">
        <v>4455</v>
      </c>
      <c r="B2083" s="789" t="str">
        <f>IF(TSR!F32="","",TSR!F32)</f>
        <v/>
      </c>
      <c r="C2083" s="790">
        <f t="shared" ref="C2083:C2106" ca="1" si="9">IF(ISERROR(VLOOKUP(A2187,INDIRECT("notes_"&amp;LEFT(A2187,3)),4,0)),0,VLOOKUP(A2187,INDIRECT("notes_"&amp;LEFT(A2187,3)),4,0))</f>
        <v>0</v>
      </c>
    </row>
    <row r="2084" spans="1:6" x14ac:dyDescent="0.25">
      <c r="A2084" s="787" t="s">
        <v>4456</v>
      </c>
      <c r="B2084" s="789" t="str">
        <f>IF(TSR!F33="","",TSR!F33)</f>
        <v/>
      </c>
      <c r="C2084" s="790">
        <f t="shared" ca="1" si="9"/>
        <v>0</v>
      </c>
    </row>
    <row r="2085" spans="1:6" x14ac:dyDescent="0.25">
      <c r="A2085" s="787" t="s">
        <v>4457</v>
      </c>
      <c r="B2085" s="789" t="str">
        <f>IF(TSR!F34="","",TSR!F34)</f>
        <v/>
      </c>
      <c r="C2085" s="790">
        <f t="shared" ca="1" si="9"/>
        <v>0</v>
      </c>
    </row>
    <row r="2086" spans="1:6" x14ac:dyDescent="0.25">
      <c r="A2086" s="787" t="s">
        <v>4458</v>
      </c>
      <c r="B2086" s="789" t="str">
        <f>IF(TSR!F35="","",TSR!F35)</f>
        <v/>
      </c>
      <c r="C2086" s="790">
        <f t="shared" ca="1" si="9"/>
        <v>0</v>
      </c>
    </row>
    <row r="2087" spans="1:6" x14ac:dyDescent="0.25">
      <c r="A2087" s="787" t="s">
        <v>4459</v>
      </c>
      <c r="B2087" s="789" t="str">
        <f>IF(TSR!F36="","",TSR!F36)</f>
        <v/>
      </c>
      <c r="C2087" s="790">
        <f t="shared" ca="1" si="9"/>
        <v>0</v>
      </c>
    </row>
    <row r="2088" spans="1:6" x14ac:dyDescent="0.25">
      <c r="A2088" s="787" t="s">
        <v>4460</v>
      </c>
      <c r="B2088" s="789" t="str">
        <f>IF(TSR!F37="","",TSR!F37)</f>
        <v/>
      </c>
      <c r="C2088" s="790">
        <f t="shared" ca="1" si="9"/>
        <v>0</v>
      </c>
    </row>
    <row r="2089" spans="1:6" x14ac:dyDescent="0.25">
      <c r="A2089" s="787" t="s">
        <v>4461</v>
      </c>
      <c r="B2089" s="789" t="str">
        <f>IF(TSR!F38="","",TSR!F38)</f>
        <v/>
      </c>
      <c r="C2089" s="790">
        <f t="shared" ca="1" si="9"/>
        <v>0</v>
      </c>
    </row>
    <row r="2090" spans="1:6" x14ac:dyDescent="0.25">
      <c r="A2090" s="787" t="s">
        <v>4462</v>
      </c>
      <c r="B2090" s="789" t="str">
        <f>IF(TSR!F39="","",TSR!F39)</f>
        <v/>
      </c>
      <c r="C2090" s="790">
        <f t="shared" ca="1" si="9"/>
        <v>0</v>
      </c>
    </row>
    <row r="2091" spans="1:6" x14ac:dyDescent="0.25">
      <c r="A2091" s="787" t="s">
        <v>4463</v>
      </c>
      <c r="B2091" s="789" t="str">
        <f>IF(TSR!F40="","",TSR!F40)</f>
        <v/>
      </c>
      <c r="C2091" s="790">
        <f t="shared" ca="1" si="9"/>
        <v>0</v>
      </c>
    </row>
    <row r="2092" spans="1:6" x14ac:dyDescent="0.25">
      <c r="A2092" s="787" t="s">
        <v>4464</v>
      </c>
      <c r="B2092" s="789" t="str">
        <f>IF(TSR!F41="","",TSR!F41)</f>
        <v/>
      </c>
      <c r="C2092" s="790">
        <f t="shared" ca="1" si="9"/>
        <v>0</v>
      </c>
    </row>
    <row r="2093" spans="1:6" x14ac:dyDescent="0.25">
      <c r="A2093" s="787" t="s">
        <v>4465</v>
      </c>
      <c r="B2093" s="789" t="str">
        <f>IF(TSR!F42="","",TSR!F42)</f>
        <v/>
      </c>
      <c r="C2093" s="790">
        <f t="shared" ca="1" si="9"/>
        <v>0</v>
      </c>
    </row>
    <row r="2094" spans="1:6" x14ac:dyDescent="0.25">
      <c r="A2094" s="787" t="s">
        <v>4466</v>
      </c>
      <c r="B2094" s="789" t="str">
        <f>IF(TSR!F43="","",TSR!F43)</f>
        <v/>
      </c>
      <c r="C2094" s="790">
        <f t="shared" ca="1" si="9"/>
        <v>0</v>
      </c>
    </row>
    <row r="2095" spans="1:6" x14ac:dyDescent="0.25">
      <c r="A2095" s="787" t="s">
        <v>4467</v>
      </c>
      <c r="B2095" s="789" t="str">
        <f>IF(TSR!F44="","",TSR!F44)</f>
        <v/>
      </c>
      <c r="C2095" s="790">
        <f t="shared" ca="1" si="9"/>
        <v>0</v>
      </c>
    </row>
    <row r="2096" spans="1:6" x14ac:dyDescent="0.25">
      <c r="A2096" s="787" t="s">
        <v>4468</v>
      </c>
      <c r="B2096" s="789" t="str">
        <f>IF(TSR!F45="","",TSR!F45)</f>
        <v/>
      </c>
      <c r="C2096" s="790">
        <f t="shared" ca="1" si="9"/>
        <v>0</v>
      </c>
    </row>
    <row r="2097" spans="1:3" x14ac:dyDescent="0.25">
      <c r="A2097" s="787" t="s">
        <v>4469</v>
      </c>
      <c r="B2097" s="789" t="str">
        <f>IF(TSR!F46="","",TSR!F46)</f>
        <v/>
      </c>
      <c r="C2097" s="790">
        <f t="shared" ca="1" si="9"/>
        <v>0</v>
      </c>
    </row>
    <row r="2098" spans="1:3" x14ac:dyDescent="0.25">
      <c r="A2098" s="787" t="s">
        <v>4470</v>
      </c>
      <c r="B2098" s="789" t="str">
        <f>IF(TSR!F47="","",TSR!F47)</f>
        <v/>
      </c>
      <c r="C2098" s="790">
        <f t="shared" ca="1" si="9"/>
        <v>0</v>
      </c>
    </row>
    <row r="2099" spans="1:3" x14ac:dyDescent="0.25">
      <c r="A2099" s="787" t="s">
        <v>4471</v>
      </c>
      <c r="B2099" s="789" t="str">
        <f>IF(TSR!F48="","",TSR!F48)</f>
        <v/>
      </c>
      <c r="C2099" s="790">
        <f t="shared" ca="1" si="9"/>
        <v>0</v>
      </c>
    </row>
    <row r="2100" spans="1:3" x14ac:dyDescent="0.25">
      <c r="A2100" s="787" t="s">
        <v>4472</v>
      </c>
      <c r="B2100" s="789" t="str">
        <f>IF(TSR!F49="","",TSR!F49)</f>
        <v/>
      </c>
      <c r="C2100" s="790">
        <f t="shared" ca="1" si="9"/>
        <v>0</v>
      </c>
    </row>
    <row r="2101" spans="1:3" x14ac:dyDescent="0.25">
      <c r="A2101" s="787" t="s">
        <v>4473</v>
      </c>
      <c r="B2101" s="789" t="str">
        <f>IF(TSR!F50="","",TSR!F50)</f>
        <v/>
      </c>
      <c r="C2101" s="790">
        <f t="shared" ca="1" si="9"/>
        <v>0</v>
      </c>
    </row>
    <row r="2102" spans="1:3" x14ac:dyDescent="0.25">
      <c r="A2102" s="787" t="s">
        <v>4474</v>
      </c>
      <c r="B2102" s="789" t="str">
        <f>IF(TSR!F51="","",TSR!F51)</f>
        <v/>
      </c>
      <c r="C2102" s="790">
        <f t="shared" ca="1" si="9"/>
        <v>0</v>
      </c>
    </row>
    <row r="2103" spans="1:3" x14ac:dyDescent="0.25">
      <c r="A2103" s="787" t="s">
        <v>4475</v>
      </c>
      <c r="B2103" s="789" t="str">
        <f>IF(TSR!F52="","",TSR!F52)</f>
        <v/>
      </c>
      <c r="C2103" s="790">
        <f t="shared" ca="1" si="9"/>
        <v>0</v>
      </c>
    </row>
    <row r="2104" spans="1:3" x14ac:dyDescent="0.25">
      <c r="A2104" s="787" t="s">
        <v>4476</v>
      </c>
      <c r="B2104" s="789" t="str">
        <f>IF(TSR!F53="","",TSR!F53)</f>
        <v/>
      </c>
      <c r="C2104" s="790">
        <f t="shared" ca="1" si="9"/>
        <v>0</v>
      </c>
    </row>
    <row r="2105" spans="1:3" x14ac:dyDescent="0.25">
      <c r="A2105" s="787" t="s">
        <v>4477</v>
      </c>
      <c r="B2105" s="789" t="str">
        <f>IF(TSR!F54="","",TSR!F54)</f>
        <v/>
      </c>
      <c r="C2105" s="790">
        <f t="shared" ca="1" si="9"/>
        <v>0</v>
      </c>
    </row>
    <row r="2106" spans="1:3" x14ac:dyDescent="0.25">
      <c r="A2106" s="787" t="s">
        <v>4478</v>
      </c>
      <c r="B2106" s="789">
        <f>IF(TSR!F55="","",TSR!F55)</f>
        <v>0</v>
      </c>
      <c r="C2106" s="790">
        <f t="shared" ca="1" si="9"/>
        <v>0</v>
      </c>
    </row>
    <row r="2107" spans="1:3" x14ac:dyDescent="0.25">
      <c r="A2107" s="787" t="s">
        <v>4479</v>
      </c>
      <c r="B2107" s="789" t="str">
        <f>IF(TSR!F61="","",TSR!F61)</f>
        <v/>
      </c>
      <c r="C2107" s="790">
        <f t="shared" ref="C2107:C2134" ca="1" si="10">IF(ISERROR(VLOOKUP(A2213,INDIRECT("notes_"&amp;LEFT(A2213,3)),4,0)),0,VLOOKUP(A2213,INDIRECT("notes_"&amp;LEFT(A2213,3)),4,0))</f>
        <v>0</v>
      </c>
    </row>
    <row r="2108" spans="1:3" x14ac:dyDescent="0.25">
      <c r="A2108" s="787" t="s">
        <v>4480</v>
      </c>
      <c r="B2108" s="789" t="str">
        <f>IF(TSR!F62="","",TSR!F62)</f>
        <v/>
      </c>
      <c r="C2108" s="790">
        <f t="shared" ca="1" si="10"/>
        <v>0</v>
      </c>
    </row>
    <row r="2109" spans="1:3" x14ac:dyDescent="0.25">
      <c r="A2109" s="787" t="s">
        <v>4481</v>
      </c>
      <c r="B2109" s="789" t="str">
        <f>IF(TSR!F63="","",TSR!F63)</f>
        <v/>
      </c>
      <c r="C2109" s="790">
        <f t="shared" ca="1" si="10"/>
        <v>0</v>
      </c>
    </row>
    <row r="2110" spans="1:3" x14ac:dyDescent="0.25">
      <c r="A2110" s="787" t="s">
        <v>4482</v>
      </c>
      <c r="B2110" s="789" t="str">
        <f>IF(TSR!F64="","",TSR!F64)</f>
        <v/>
      </c>
      <c r="C2110" s="790">
        <f t="shared" ca="1" si="10"/>
        <v>0</v>
      </c>
    </row>
    <row r="2111" spans="1:3" x14ac:dyDescent="0.25">
      <c r="A2111" s="787" t="s">
        <v>4483</v>
      </c>
      <c r="B2111" s="789" t="str">
        <f>IF(TSR!F65="","",TSR!F65)</f>
        <v/>
      </c>
      <c r="C2111" s="790">
        <f t="shared" ca="1" si="10"/>
        <v>0</v>
      </c>
    </row>
    <row r="2112" spans="1:3" x14ac:dyDescent="0.25">
      <c r="A2112" s="787" t="s">
        <v>4484</v>
      </c>
      <c r="B2112" s="789" t="str">
        <f>IF(TSR!F66="","",TSR!F66)</f>
        <v/>
      </c>
      <c r="C2112" s="790">
        <f t="shared" ca="1" si="10"/>
        <v>0</v>
      </c>
    </row>
    <row r="2113" spans="1:3" x14ac:dyDescent="0.25">
      <c r="A2113" s="787" t="s">
        <v>4485</v>
      </c>
      <c r="B2113" s="789" t="str">
        <f>IF(TSR!F67="","",TSR!F67)</f>
        <v/>
      </c>
      <c r="C2113" s="790">
        <f t="shared" ca="1" si="10"/>
        <v>0</v>
      </c>
    </row>
    <row r="2114" spans="1:3" x14ac:dyDescent="0.25">
      <c r="A2114" s="787" t="s">
        <v>4486</v>
      </c>
      <c r="B2114" s="789" t="str">
        <f>IF(TSR!F68="","",TSR!F68)</f>
        <v/>
      </c>
      <c r="C2114" s="790">
        <f t="shared" ca="1" si="10"/>
        <v>0</v>
      </c>
    </row>
    <row r="2115" spans="1:3" x14ac:dyDescent="0.25">
      <c r="A2115" s="787" t="s">
        <v>4487</v>
      </c>
      <c r="B2115" s="789" t="str">
        <f>IF(TSR!F69="","",TSR!F69)</f>
        <v/>
      </c>
      <c r="C2115" s="790">
        <f t="shared" ca="1" si="10"/>
        <v>0</v>
      </c>
    </row>
    <row r="2116" spans="1:3" x14ac:dyDescent="0.25">
      <c r="A2116" s="787" t="s">
        <v>4488</v>
      </c>
      <c r="B2116" s="789" t="str">
        <f>IF(TSR!F70="","",TSR!F70)</f>
        <v/>
      </c>
      <c r="C2116" s="790">
        <f t="shared" ca="1" si="10"/>
        <v>0</v>
      </c>
    </row>
    <row r="2117" spans="1:3" x14ac:dyDescent="0.25">
      <c r="A2117" s="787" t="s">
        <v>4489</v>
      </c>
      <c r="B2117" s="789" t="str">
        <f>IF(TSR!F71="","",TSR!F71)</f>
        <v/>
      </c>
      <c r="C2117" s="790">
        <f t="shared" ca="1" si="10"/>
        <v>0</v>
      </c>
    </row>
    <row r="2118" spans="1:3" x14ac:dyDescent="0.25">
      <c r="A2118" s="787" t="s">
        <v>4490</v>
      </c>
      <c r="B2118" s="789" t="str">
        <f>IF(TSR!F72="","",TSR!F72)</f>
        <v/>
      </c>
      <c r="C2118" s="790">
        <f t="shared" ca="1" si="10"/>
        <v>0</v>
      </c>
    </row>
    <row r="2119" spans="1:3" x14ac:dyDescent="0.25">
      <c r="A2119" s="787" t="s">
        <v>4491</v>
      </c>
      <c r="B2119" s="789" t="str">
        <f>IF(TSR!F73="","",TSR!F73)</f>
        <v/>
      </c>
      <c r="C2119" s="790">
        <f t="shared" ca="1" si="10"/>
        <v>0</v>
      </c>
    </row>
    <row r="2120" spans="1:3" x14ac:dyDescent="0.25">
      <c r="A2120" s="787" t="s">
        <v>4492</v>
      </c>
      <c r="B2120" s="789" t="str">
        <f>IF(TSR!F74="","",TSR!F74)</f>
        <v/>
      </c>
      <c r="C2120" s="790">
        <f t="shared" ca="1" si="10"/>
        <v>0</v>
      </c>
    </row>
    <row r="2121" spans="1:3" x14ac:dyDescent="0.25">
      <c r="A2121" s="787" t="s">
        <v>4493</v>
      </c>
      <c r="B2121" s="789" t="str">
        <f>IF(TSR!F75="","",TSR!F75)</f>
        <v/>
      </c>
      <c r="C2121" s="790">
        <f t="shared" ca="1" si="10"/>
        <v>0</v>
      </c>
    </row>
    <row r="2122" spans="1:3" x14ac:dyDescent="0.25">
      <c r="A2122" s="787" t="s">
        <v>4494</v>
      </c>
      <c r="B2122" s="789" t="str">
        <f>IF(TSR!F76="","",TSR!F76)</f>
        <v/>
      </c>
      <c r="C2122" s="790">
        <f t="shared" ca="1" si="10"/>
        <v>0</v>
      </c>
    </row>
    <row r="2123" spans="1:3" x14ac:dyDescent="0.25">
      <c r="A2123" s="787" t="s">
        <v>4495</v>
      </c>
      <c r="B2123" s="789" t="str">
        <f>IF(TSR!F77="","",TSR!F77)</f>
        <v/>
      </c>
      <c r="C2123" s="790">
        <f t="shared" ca="1" si="10"/>
        <v>0</v>
      </c>
    </row>
    <row r="2124" spans="1:3" x14ac:dyDescent="0.25">
      <c r="A2124" s="787" t="s">
        <v>4496</v>
      </c>
      <c r="B2124" s="789" t="str">
        <f>IF(TSR!F78="","",TSR!F78)</f>
        <v/>
      </c>
      <c r="C2124" s="790">
        <f t="shared" ca="1" si="10"/>
        <v>0</v>
      </c>
    </row>
    <row r="2125" spans="1:3" x14ac:dyDescent="0.25">
      <c r="A2125" s="787" t="s">
        <v>4497</v>
      </c>
      <c r="B2125" s="789" t="str">
        <f>IF(TSR!F79="","",TSR!F79)</f>
        <v/>
      </c>
      <c r="C2125" s="790">
        <f t="shared" ca="1" si="10"/>
        <v>0</v>
      </c>
    </row>
    <row r="2126" spans="1:3" x14ac:dyDescent="0.25">
      <c r="A2126" s="787" t="s">
        <v>4498</v>
      </c>
      <c r="B2126" s="789" t="str">
        <f>IF(TSR!F80="","",TSR!F80)</f>
        <v/>
      </c>
      <c r="C2126" s="790">
        <f t="shared" ca="1" si="10"/>
        <v>0</v>
      </c>
    </row>
    <row r="2127" spans="1:3" x14ac:dyDescent="0.25">
      <c r="A2127" s="787" t="s">
        <v>4499</v>
      </c>
      <c r="B2127" s="789" t="str">
        <f>IF(TSR!F81="","",TSR!F81)</f>
        <v/>
      </c>
      <c r="C2127" s="790">
        <f t="shared" ca="1" si="10"/>
        <v>0</v>
      </c>
    </row>
    <row r="2128" spans="1:3" x14ac:dyDescent="0.25">
      <c r="A2128" s="787" t="s">
        <v>4500</v>
      </c>
      <c r="B2128" s="789" t="str">
        <f>IF(TSR!F82="","",TSR!F82)</f>
        <v/>
      </c>
      <c r="C2128" s="790">
        <f t="shared" ca="1" si="10"/>
        <v>0</v>
      </c>
    </row>
    <row r="2129" spans="1:3" x14ac:dyDescent="0.25">
      <c r="A2129" s="787" t="s">
        <v>4501</v>
      </c>
      <c r="B2129" s="789" t="str">
        <f>IF(TSR!F83="","",TSR!F83)</f>
        <v/>
      </c>
      <c r="C2129" s="790">
        <f t="shared" ca="1" si="10"/>
        <v>0</v>
      </c>
    </row>
    <row r="2130" spans="1:3" x14ac:dyDescent="0.25">
      <c r="A2130" s="787" t="s">
        <v>4502</v>
      </c>
      <c r="B2130" s="789" t="str">
        <f>IF(TSR!F84="","",TSR!F84)</f>
        <v/>
      </c>
      <c r="C2130" s="790">
        <f t="shared" ca="1" si="10"/>
        <v>0</v>
      </c>
    </row>
    <row r="2131" spans="1:3" x14ac:dyDescent="0.25">
      <c r="A2131" s="787" t="s">
        <v>4503</v>
      </c>
      <c r="B2131" s="789" t="str">
        <f>IF(TSR!F85="","",TSR!F85)</f>
        <v/>
      </c>
      <c r="C2131" s="790">
        <f t="shared" ca="1" si="10"/>
        <v>0</v>
      </c>
    </row>
    <row r="2132" spans="1:3" x14ac:dyDescent="0.25">
      <c r="A2132" s="787" t="s">
        <v>4504</v>
      </c>
      <c r="B2132" s="789" t="str">
        <f>IF(TSR!F86="","",TSR!F86)</f>
        <v/>
      </c>
      <c r="C2132" s="790">
        <f t="shared" ca="1" si="10"/>
        <v>0</v>
      </c>
    </row>
    <row r="2133" spans="1:3" x14ac:dyDescent="0.25">
      <c r="A2133" s="787" t="s">
        <v>4505</v>
      </c>
      <c r="B2133" s="789" t="str">
        <f>IF(TSR!F87="","",TSR!F87)</f>
        <v/>
      </c>
      <c r="C2133" s="790">
        <f t="shared" ca="1" si="10"/>
        <v>0</v>
      </c>
    </row>
    <row r="2134" spans="1:3" x14ac:dyDescent="0.25">
      <c r="A2134" s="787" t="s">
        <v>4506</v>
      </c>
      <c r="B2134" s="789">
        <f>IF(TSR!F88="","",TSR!F88)</f>
        <v>0</v>
      </c>
      <c r="C2134" s="790">
        <f t="shared" ca="1" si="10"/>
        <v>0</v>
      </c>
    </row>
    <row r="2135" spans="1:3" x14ac:dyDescent="0.25">
      <c r="A2135" s="793" t="s">
        <v>4507</v>
      </c>
      <c r="B2135" s="789" t="str">
        <f>IF(TSR!G32="","",TSR!G32)</f>
        <v/>
      </c>
      <c r="C2135" s="790">
        <f t="shared" ref="C2135:C2158" ca="1" si="11">IF(ISERROR(VLOOKUP(A2187,INDIRECT("notes_"&amp;LEFT(A2187,3)),4,0)),0,VLOOKUP(A2187,INDIRECT("notes_"&amp;LEFT(A2187,3)),4,0))</f>
        <v>0</v>
      </c>
    </row>
    <row r="2136" spans="1:3" x14ac:dyDescent="0.25">
      <c r="A2136" s="793" t="s">
        <v>4508</v>
      </c>
      <c r="B2136" s="789" t="str">
        <f>IF(TSR!G33="","",TSR!G33)</f>
        <v/>
      </c>
      <c r="C2136" s="790">
        <f t="shared" ca="1" si="11"/>
        <v>0</v>
      </c>
    </row>
    <row r="2137" spans="1:3" x14ac:dyDescent="0.25">
      <c r="A2137" s="793" t="s">
        <v>4509</v>
      </c>
      <c r="B2137" s="789" t="str">
        <f>IF(TSR!G34="","",TSR!G34)</f>
        <v/>
      </c>
      <c r="C2137" s="790">
        <f t="shared" ca="1" si="11"/>
        <v>0</v>
      </c>
    </row>
    <row r="2138" spans="1:3" x14ac:dyDescent="0.25">
      <c r="A2138" s="793" t="s">
        <v>4510</v>
      </c>
      <c r="B2138" s="789" t="str">
        <f>IF(TSR!G35="","",TSR!G35)</f>
        <v/>
      </c>
      <c r="C2138" s="790">
        <f t="shared" ca="1" si="11"/>
        <v>0</v>
      </c>
    </row>
    <row r="2139" spans="1:3" x14ac:dyDescent="0.25">
      <c r="A2139" s="793" t="s">
        <v>4511</v>
      </c>
      <c r="B2139" s="789" t="str">
        <f>IF(TSR!G36="","",TSR!G36)</f>
        <v/>
      </c>
      <c r="C2139" s="790">
        <f t="shared" ca="1" si="11"/>
        <v>0</v>
      </c>
    </row>
    <row r="2140" spans="1:3" x14ac:dyDescent="0.25">
      <c r="A2140" s="793" t="s">
        <v>4512</v>
      </c>
      <c r="B2140" s="789" t="str">
        <f>IF(TSR!G37="","",TSR!G37)</f>
        <v/>
      </c>
      <c r="C2140" s="790">
        <f t="shared" ca="1" si="11"/>
        <v>0</v>
      </c>
    </row>
    <row r="2141" spans="1:3" x14ac:dyDescent="0.25">
      <c r="A2141" s="793" t="s">
        <v>4513</v>
      </c>
      <c r="B2141" s="789" t="str">
        <f>IF(TSR!G38="","",TSR!G38)</f>
        <v/>
      </c>
      <c r="C2141" s="790">
        <f t="shared" ca="1" si="11"/>
        <v>0</v>
      </c>
    </row>
    <row r="2142" spans="1:3" x14ac:dyDescent="0.25">
      <c r="A2142" s="793" t="s">
        <v>4514</v>
      </c>
      <c r="B2142" s="789" t="str">
        <f>IF(TSR!G39="","",TSR!G39)</f>
        <v/>
      </c>
      <c r="C2142" s="790">
        <f t="shared" ca="1" si="11"/>
        <v>0</v>
      </c>
    </row>
    <row r="2143" spans="1:3" x14ac:dyDescent="0.25">
      <c r="A2143" s="793" t="s">
        <v>4515</v>
      </c>
      <c r="B2143" s="789" t="str">
        <f>IF(TSR!G40="","",TSR!G40)</f>
        <v/>
      </c>
      <c r="C2143" s="790">
        <f t="shared" ca="1" si="11"/>
        <v>0</v>
      </c>
    </row>
    <row r="2144" spans="1:3" x14ac:dyDescent="0.25">
      <c r="A2144" s="793" t="s">
        <v>4516</v>
      </c>
      <c r="B2144" s="789" t="str">
        <f>IF(TSR!G41="","",TSR!G41)</f>
        <v/>
      </c>
      <c r="C2144" s="790">
        <f t="shared" ca="1" si="11"/>
        <v>0</v>
      </c>
    </row>
    <row r="2145" spans="1:3" x14ac:dyDescent="0.25">
      <c r="A2145" s="793" t="s">
        <v>4517</v>
      </c>
      <c r="B2145" s="789" t="str">
        <f>IF(TSR!G42="","",TSR!G42)</f>
        <v/>
      </c>
      <c r="C2145" s="790">
        <f t="shared" ca="1" si="11"/>
        <v>0</v>
      </c>
    </row>
    <row r="2146" spans="1:3" x14ac:dyDescent="0.25">
      <c r="A2146" s="793" t="s">
        <v>4518</v>
      </c>
      <c r="B2146" s="789" t="str">
        <f>IF(TSR!G43="","",TSR!G43)</f>
        <v/>
      </c>
      <c r="C2146" s="790">
        <f t="shared" ca="1" si="11"/>
        <v>0</v>
      </c>
    </row>
    <row r="2147" spans="1:3" x14ac:dyDescent="0.25">
      <c r="A2147" s="793" t="s">
        <v>4519</v>
      </c>
      <c r="B2147" s="789" t="str">
        <f>IF(TSR!G44="","",TSR!G44)</f>
        <v/>
      </c>
      <c r="C2147" s="790">
        <f t="shared" ca="1" si="11"/>
        <v>0</v>
      </c>
    </row>
    <row r="2148" spans="1:3" x14ac:dyDescent="0.25">
      <c r="A2148" s="793" t="s">
        <v>4520</v>
      </c>
      <c r="B2148" s="789" t="str">
        <f>IF(TSR!G45="","",TSR!G45)</f>
        <v/>
      </c>
      <c r="C2148" s="790">
        <f t="shared" ca="1" si="11"/>
        <v>0</v>
      </c>
    </row>
    <row r="2149" spans="1:3" x14ac:dyDescent="0.25">
      <c r="A2149" s="793" t="s">
        <v>4521</v>
      </c>
      <c r="B2149" s="789" t="str">
        <f>IF(TSR!G46="","",TSR!G46)</f>
        <v/>
      </c>
      <c r="C2149" s="790">
        <f t="shared" ca="1" si="11"/>
        <v>0</v>
      </c>
    </row>
    <row r="2150" spans="1:3" x14ac:dyDescent="0.25">
      <c r="A2150" s="793" t="s">
        <v>4522</v>
      </c>
      <c r="B2150" s="789" t="str">
        <f>IF(TSR!G47="","",TSR!G47)</f>
        <v/>
      </c>
      <c r="C2150" s="790">
        <f t="shared" ca="1" si="11"/>
        <v>0</v>
      </c>
    </row>
    <row r="2151" spans="1:3" x14ac:dyDescent="0.25">
      <c r="A2151" s="793" t="s">
        <v>4523</v>
      </c>
      <c r="B2151" s="789" t="str">
        <f>IF(TSR!G48="","",TSR!G48)</f>
        <v/>
      </c>
      <c r="C2151" s="790">
        <f t="shared" ca="1" si="11"/>
        <v>0</v>
      </c>
    </row>
    <row r="2152" spans="1:3" x14ac:dyDescent="0.25">
      <c r="A2152" s="793" t="s">
        <v>4524</v>
      </c>
      <c r="B2152" s="789" t="str">
        <f>IF(TSR!G49="","",TSR!G49)</f>
        <v/>
      </c>
      <c r="C2152" s="790">
        <f t="shared" ca="1" si="11"/>
        <v>0</v>
      </c>
    </row>
    <row r="2153" spans="1:3" x14ac:dyDescent="0.25">
      <c r="A2153" s="793" t="s">
        <v>4525</v>
      </c>
      <c r="B2153" s="789" t="str">
        <f>IF(TSR!G50="","",TSR!G50)</f>
        <v/>
      </c>
      <c r="C2153" s="790">
        <f t="shared" ca="1" si="11"/>
        <v>0</v>
      </c>
    </row>
    <row r="2154" spans="1:3" x14ac:dyDescent="0.25">
      <c r="A2154" s="793" t="s">
        <v>4526</v>
      </c>
      <c r="B2154" s="789" t="str">
        <f>IF(TSR!G51="","",TSR!G51)</f>
        <v/>
      </c>
      <c r="C2154" s="790">
        <f t="shared" ca="1" si="11"/>
        <v>0</v>
      </c>
    </row>
    <row r="2155" spans="1:3" x14ac:dyDescent="0.25">
      <c r="A2155" s="793" t="s">
        <v>4527</v>
      </c>
      <c r="B2155" s="789" t="str">
        <f>IF(TSR!G52="","",TSR!G52)</f>
        <v/>
      </c>
      <c r="C2155" s="790">
        <f t="shared" ca="1" si="11"/>
        <v>0</v>
      </c>
    </row>
    <row r="2156" spans="1:3" x14ac:dyDescent="0.25">
      <c r="A2156" s="793" t="s">
        <v>4528</v>
      </c>
      <c r="B2156" s="789" t="str">
        <f>IF(TSR!G53="","",TSR!G53)</f>
        <v/>
      </c>
      <c r="C2156" s="790">
        <f t="shared" ca="1" si="11"/>
        <v>0</v>
      </c>
    </row>
    <row r="2157" spans="1:3" x14ac:dyDescent="0.25">
      <c r="A2157" s="793" t="s">
        <v>4529</v>
      </c>
      <c r="B2157" s="789" t="str">
        <f>IF(TSR!G54="","",TSR!G54)</f>
        <v/>
      </c>
      <c r="C2157" s="790">
        <f t="shared" ca="1" si="11"/>
        <v>0</v>
      </c>
    </row>
    <row r="2158" spans="1:3" x14ac:dyDescent="0.25">
      <c r="A2158" s="787" t="s">
        <v>4530</v>
      </c>
      <c r="B2158" s="789">
        <f>IF(TSR!G55="","",TSR!G55)</f>
        <v>0</v>
      </c>
      <c r="C2158" s="790">
        <f t="shared" ca="1" si="11"/>
        <v>0</v>
      </c>
    </row>
    <row r="2159" spans="1:3" x14ac:dyDescent="0.25">
      <c r="A2159" s="794" t="s">
        <v>4531</v>
      </c>
      <c r="B2159" s="789" t="str">
        <f>IF(TSR!G61="","",TSR!G61)</f>
        <v/>
      </c>
      <c r="C2159" s="790">
        <f t="shared" ref="C2159:C2186" ca="1" si="12">IF(ISERROR(VLOOKUP(A2213,INDIRECT("notes_"&amp;LEFT(A2213,3)),4,0)),0,VLOOKUP(A2213,INDIRECT("notes_"&amp;LEFT(A2213,3)),4,0))</f>
        <v>0</v>
      </c>
    </row>
    <row r="2160" spans="1:3" x14ac:dyDescent="0.25">
      <c r="A2160" s="794" t="s">
        <v>4532</v>
      </c>
      <c r="B2160" s="789" t="str">
        <f>IF(TSR!G62="","",TSR!G62)</f>
        <v/>
      </c>
      <c r="C2160" s="790">
        <f t="shared" ca="1" si="12"/>
        <v>0</v>
      </c>
    </row>
    <row r="2161" spans="1:3" x14ac:dyDescent="0.25">
      <c r="A2161" s="794" t="s">
        <v>4533</v>
      </c>
      <c r="B2161" s="789" t="str">
        <f>IF(TSR!G63="","",TSR!G63)</f>
        <v/>
      </c>
      <c r="C2161" s="790">
        <f t="shared" ca="1" si="12"/>
        <v>0</v>
      </c>
    </row>
    <row r="2162" spans="1:3" x14ac:dyDescent="0.25">
      <c r="A2162" s="794" t="s">
        <v>4534</v>
      </c>
      <c r="B2162" s="789" t="str">
        <f>IF(TSR!G64="","",TSR!G64)</f>
        <v/>
      </c>
      <c r="C2162" s="790">
        <f t="shared" ca="1" si="12"/>
        <v>0</v>
      </c>
    </row>
    <row r="2163" spans="1:3" x14ac:dyDescent="0.25">
      <c r="A2163" s="794" t="s">
        <v>4535</v>
      </c>
      <c r="B2163" s="789" t="str">
        <f>IF(TSR!G65="","",TSR!G65)</f>
        <v/>
      </c>
      <c r="C2163" s="790">
        <f t="shared" ca="1" si="12"/>
        <v>0</v>
      </c>
    </row>
    <row r="2164" spans="1:3" x14ac:dyDescent="0.25">
      <c r="A2164" s="794" t="s">
        <v>4536</v>
      </c>
      <c r="B2164" s="789" t="str">
        <f>IF(TSR!G66="","",TSR!G66)</f>
        <v/>
      </c>
      <c r="C2164" s="790">
        <f t="shared" ca="1" si="12"/>
        <v>0</v>
      </c>
    </row>
    <row r="2165" spans="1:3" x14ac:dyDescent="0.25">
      <c r="A2165" s="794" t="s">
        <v>4537</v>
      </c>
      <c r="B2165" s="789" t="str">
        <f>IF(TSR!G67="","",TSR!G67)</f>
        <v/>
      </c>
      <c r="C2165" s="790">
        <f t="shared" ca="1" si="12"/>
        <v>0</v>
      </c>
    </row>
    <row r="2166" spans="1:3" x14ac:dyDescent="0.25">
      <c r="A2166" s="794" t="s">
        <v>4538</v>
      </c>
      <c r="B2166" s="789" t="str">
        <f>IF(TSR!G68="","",TSR!G68)</f>
        <v/>
      </c>
      <c r="C2166" s="790">
        <f t="shared" ca="1" si="12"/>
        <v>0</v>
      </c>
    </row>
    <row r="2167" spans="1:3" x14ac:dyDescent="0.25">
      <c r="A2167" s="794" t="s">
        <v>4539</v>
      </c>
      <c r="B2167" s="789" t="str">
        <f>IF(TSR!G69="","",TSR!G69)</f>
        <v/>
      </c>
      <c r="C2167" s="790">
        <f t="shared" ca="1" si="12"/>
        <v>0</v>
      </c>
    </row>
    <row r="2168" spans="1:3" x14ac:dyDescent="0.25">
      <c r="A2168" s="794" t="s">
        <v>4540</v>
      </c>
      <c r="B2168" s="789" t="str">
        <f>IF(TSR!G70="","",TSR!G70)</f>
        <v/>
      </c>
      <c r="C2168" s="790">
        <f t="shared" ca="1" si="12"/>
        <v>0</v>
      </c>
    </row>
    <row r="2169" spans="1:3" x14ac:dyDescent="0.25">
      <c r="A2169" s="794" t="s">
        <v>4541</v>
      </c>
      <c r="B2169" s="789" t="str">
        <f>IF(TSR!G71="","",TSR!G71)</f>
        <v/>
      </c>
      <c r="C2169" s="790">
        <f t="shared" ca="1" si="12"/>
        <v>0</v>
      </c>
    </row>
    <row r="2170" spans="1:3" x14ac:dyDescent="0.25">
      <c r="A2170" s="794" t="s">
        <v>4542</v>
      </c>
      <c r="B2170" s="789" t="str">
        <f>IF(TSR!G72="","",TSR!G72)</f>
        <v/>
      </c>
      <c r="C2170" s="790">
        <f t="shared" ca="1" si="12"/>
        <v>0</v>
      </c>
    </row>
    <row r="2171" spans="1:3" x14ac:dyDescent="0.25">
      <c r="A2171" s="794" t="s">
        <v>4543</v>
      </c>
      <c r="B2171" s="789" t="str">
        <f>IF(TSR!G73="","",TSR!G73)</f>
        <v/>
      </c>
      <c r="C2171" s="790">
        <f t="shared" ca="1" si="12"/>
        <v>0</v>
      </c>
    </row>
    <row r="2172" spans="1:3" x14ac:dyDescent="0.25">
      <c r="A2172" s="794" t="s">
        <v>4544</v>
      </c>
      <c r="B2172" s="789" t="str">
        <f>IF(TSR!G74="","",TSR!G74)</f>
        <v/>
      </c>
      <c r="C2172" s="790">
        <f t="shared" ca="1" si="12"/>
        <v>0</v>
      </c>
    </row>
    <row r="2173" spans="1:3" x14ac:dyDescent="0.25">
      <c r="A2173" s="794" t="s">
        <v>4545</v>
      </c>
      <c r="B2173" s="789" t="str">
        <f>IF(TSR!G75="","",TSR!G75)</f>
        <v/>
      </c>
      <c r="C2173" s="790">
        <f t="shared" ca="1" si="12"/>
        <v>0</v>
      </c>
    </row>
    <row r="2174" spans="1:3" x14ac:dyDescent="0.25">
      <c r="A2174" s="794" t="s">
        <v>4546</v>
      </c>
      <c r="B2174" s="789" t="str">
        <f>IF(TSR!G76="","",TSR!G76)</f>
        <v/>
      </c>
      <c r="C2174" s="790">
        <f t="shared" ca="1" si="12"/>
        <v>0</v>
      </c>
    </row>
    <row r="2175" spans="1:3" x14ac:dyDescent="0.25">
      <c r="A2175" s="794" t="s">
        <v>4547</v>
      </c>
      <c r="B2175" s="789" t="str">
        <f>IF(TSR!G77="","",TSR!G77)</f>
        <v/>
      </c>
      <c r="C2175" s="790">
        <f t="shared" ca="1" si="12"/>
        <v>0</v>
      </c>
    </row>
    <row r="2176" spans="1:3" x14ac:dyDescent="0.25">
      <c r="A2176" s="794" t="s">
        <v>4548</v>
      </c>
      <c r="B2176" s="789" t="str">
        <f>IF(TSR!G78="","",TSR!G78)</f>
        <v/>
      </c>
      <c r="C2176" s="790">
        <f t="shared" ca="1" si="12"/>
        <v>0</v>
      </c>
    </row>
    <row r="2177" spans="1:6" x14ac:dyDescent="0.25">
      <c r="A2177" s="794" t="s">
        <v>4549</v>
      </c>
      <c r="B2177" s="789" t="str">
        <f>IF(TSR!G79="","",TSR!G79)</f>
        <v/>
      </c>
      <c r="C2177" s="790">
        <f t="shared" ca="1" si="12"/>
        <v>0</v>
      </c>
    </row>
    <row r="2178" spans="1:6" x14ac:dyDescent="0.25">
      <c r="A2178" s="794" t="s">
        <v>4550</v>
      </c>
      <c r="B2178" s="789" t="str">
        <f>IF(TSR!G80="","",TSR!G80)</f>
        <v/>
      </c>
      <c r="C2178" s="790">
        <f t="shared" ca="1" si="12"/>
        <v>0</v>
      </c>
    </row>
    <row r="2179" spans="1:6" x14ac:dyDescent="0.25">
      <c r="A2179" s="794" t="s">
        <v>4551</v>
      </c>
      <c r="B2179" s="789" t="str">
        <f>IF(TSR!G81="","",TSR!G81)</f>
        <v/>
      </c>
      <c r="C2179" s="790">
        <f t="shared" ca="1" si="12"/>
        <v>0</v>
      </c>
    </row>
    <row r="2180" spans="1:6" x14ac:dyDescent="0.25">
      <c r="A2180" s="794" t="s">
        <v>4552</v>
      </c>
      <c r="B2180" s="789" t="str">
        <f>IF(TSR!G82="","",TSR!G82)</f>
        <v/>
      </c>
      <c r="C2180" s="790">
        <f t="shared" ca="1" si="12"/>
        <v>0</v>
      </c>
    </row>
    <row r="2181" spans="1:6" x14ac:dyDescent="0.25">
      <c r="A2181" s="794" t="s">
        <v>4553</v>
      </c>
      <c r="B2181" s="789" t="str">
        <f>IF(TSR!G83="","",TSR!G83)</f>
        <v/>
      </c>
      <c r="C2181" s="790">
        <f t="shared" ca="1" si="12"/>
        <v>0</v>
      </c>
    </row>
    <row r="2182" spans="1:6" x14ac:dyDescent="0.25">
      <c r="A2182" s="794" t="s">
        <v>4554</v>
      </c>
      <c r="B2182" s="789" t="str">
        <f>IF(TSR!G84="","",TSR!G84)</f>
        <v/>
      </c>
      <c r="C2182" s="790">
        <f t="shared" ca="1" si="12"/>
        <v>0</v>
      </c>
    </row>
    <row r="2183" spans="1:6" x14ac:dyDescent="0.25">
      <c r="A2183" s="794" t="s">
        <v>4555</v>
      </c>
      <c r="B2183" s="789" t="str">
        <f>IF(TSR!G85="","",TSR!G85)</f>
        <v/>
      </c>
      <c r="C2183" s="790">
        <f t="shared" ca="1" si="12"/>
        <v>0</v>
      </c>
    </row>
    <row r="2184" spans="1:6" x14ac:dyDescent="0.25">
      <c r="A2184" s="794" t="s">
        <v>4556</v>
      </c>
      <c r="B2184" s="789" t="str">
        <f>IF(TSR!G86="","",TSR!G86)</f>
        <v/>
      </c>
      <c r="C2184" s="790">
        <f t="shared" ca="1" si="12"/>
        <v>0</v>
      </c>
    </row>
    <row r="2185" spans="1:6" x14ac:dyDescent="0.25">
      <c r="A2185" s="794" t="s">
        <v>4557</v>
      </c>
      <c r="B2185" s="789" t="str">
        <f>IF(TSR!G87="","",TSR!G87)</f>
        <v/>
      </c>
      <c r="C2185" s="790">
        <f t="shared" ca="1" si="12"/>
        <v>0</v>
      </c>
    </row>
    <row r="2186" spans="1:6" x14ac:dyDescent="0.25">
      <c r="A2186" s="794" t="s">
        <v>4558</v>
      </c>
      <c r="B2186" s="789">
        <f>IF(TSR!G88="","",TSR!G88)</f>
        <v>0</v>
      </c>
      <c r="C2186" s="790">
        <f t="shared" ca="1" si="12"/>
        <v>0</v>
      </c>
    </row>
    <row r="2187" spans="1:6" x14ac:dyDescent="0.25">
      <c r="A2187" s="787" t="s">
        <v>2771</v>
      </c>
      <c r="B2187" s="789">
        <f>IF(TSR!H32="","",TSR!H32)</f>
        <v>0</v>
      </c>
      <c r="C2187" s="790">
        <f t="shared" ref="C2187:C2218" ca="1" si="13">IF(ISERROR(VLOOKUP(A2187,INDIRECT("notes_"&amp;LEFT(A2187,3)),4,0)),0,VLOOKUP(A2187,INDIRECT("notes_"&amp;LEFT(A2187,3)),4,0))</f>
        <v>0</v>
      </c>
      <c r="D2187" s="789" t="str">
        <f>IF(TSR!J32="","",TSR!J32)</f>
        <v/>
      </c>
      <c r="E2187" s="789" t="str">
        <f>IF(TSR!K32="","",TSR!K32)</f>
        <v/>
      </c>
      <c r="F2187" s="789" t="str">
        <f>IF(TSR!L32="","",TSR!L32)</f>
        <v/>
      </c>
    </row>
    <row r="2188" spans="1:6" x14ac:dyDescent="0.25">
      <c r="A2188" s="787" t="s">
        <v>2773</v>
      </c>
      <c r="B2188" s="789">
        <f>IF(TSR!H33="","",TSR!H33)</f>
        <v>0</v>
      </c>
      <c r="C2188" s="790">
        <f t="shared" ca="1" si="13"/>
        <v>0</v>
      </c>
      <c r="D2188" s="789" t="str">
        <f>IF(TSR!J33="","",TSR!J33)</f>
        <v/>
      </c>
      <c r="E2188" s="789" t="str">
        <f>IF(TSR!K33="","",TSR!K33)</f>
        <v/>
      </c>
      <c r="F2188" s="789" t="str">
        <f>IF(TSR!L33="","",TSR!L33)</f>
        <v/>
      </c>
    </row>
    <row r="2189" spans="1:6" x14ac:dyDescent="0.25">
      <c r="A2189" s="787" t="s">
        <v>2774</v>
      </c>
      <c r="B2189" s="789">
        <f>IF(TSR!H34="","",TSR!H34)</f>
        <v>0</v>
      </c>
      <c r="C2189" s="790">
        <f t="shared" ca="1" si="13"/>
        <v>0</v>
      </c>
      <c r="D2189" s="789" t="str">
        <f>IF(TSR!J34="","",TSR!J34)</f>
        <v/>
      </c>
      <c r="E2189" s="789" t="str">
        <f>IF(TSR!K34="","",TSR!K34)</f>
        <v/>
      </c>
      <c r="F2189" s="789" t="str">
        <f>IF(TSR!L34="","",TSR!L34)</f>
        <v/>
      </c>
    </row>
    <row r="2190" spans="1:6" x14ac:dyDescent="0.25">
      <c r="A2190" s="787" t="s">
        <v>2775</v>
      </c>
      <c r="B2190" s="789">
        <f>IF(TSR!H35="","",TSR!H35)</f>
        <v>0</v>
      </c>
      <c r="C2190" s="790">
        <f t="shared" ca="1" si="13"/>
        <v>0</v>
      </c>
      <c r="D2190" s="789" t="str">
        <f>IF(TSR!J35="","",TSR!J35)</f>
        <v/>
      </c>
      <c r="E2190" s="789" t="str">
        <f>IF(TSR!K35="","",TSR!K35)</f>
        <v/>
      </c>
      <c r="F2190" s="789" t="str">
        <f>IF(TSR!L35="","",TSR!L35)</f>
        <v/>
      </c>
    </row>
    <row r="2191" spans="1:6" x14ac:dyDescent="0.25">
      <c r="A2191" s="787" t="s">
        <v>2776</v>
      </c>
      <c r="B2191" s="789">
        <f>IF(TSR!H36="","",TSR!H36)</f>
        <v>0</v>
      </c>
      <c r="C2191" s="790">
        <f t="shared" ca="1" si="13"/>
        <v>0</v>
      </c>
      <c r="D2191" s="789" t="str">
        <f>IF(TSR!J36="","",TSR!J36)</f>
        <v/>
      </c>
      <c r="E2191" s="789" t="str">
        <f>IF(TSR!K36="","",TSR!K36)</f>
        <v/>
      </c>
      <c r="F2191" s="789" t="str">
        <f>IF(TSR!L36="","",TSR!L36)</f>
        <v/>
      </c>
    </row>
    <row r="2192" spans="1:6" x14ac:dyDescent="0.25">
      <c r="A2192" s="787" t="s">
        <v>2777</v>
      </c>
      <c r="B2192" s="789">
        <f>IF(TSR!H37="","",TSR!H37)</f>
        <v>0</v>
      </c>
      <c r="C2192" s="790">
        <f t="shared" ca="1" si="13"/>
        <v>0</v>
      </c>
      <c r="D2192" s="789" t="str">
        <f>IF(TSR!J37="","",TSR!J37)</f>
        <v/>
      </c>
      <c r="E2192" s="789" t="str">
        <f>IF(TSR!K37="","",TSR!K37)</f>
        <v/>
      </c>
      <c r="F2192" s="789" t="str">
        <f>IF(TSR!L37="","",TSR!L37)</f>
        <v/>
      </c>
    </row>
    <row r="2193" spans="1:7" x14ac:dyDescent="0.25">
      <c r="A2193" s="787" t="s">
        <v>2778</v>
      </c>
      <c r="B2193" s="789">
        <f>IF(TSR!H38="","",TSR!H38)</f>
        <v>0</v>
      </c>
      <c r="C2193" s="790">
        <f t="shared" ca="1" si="13"/>
        <v>0</v>
      </c>
      <c r="D2193" s="789" t="str">
        <f>IF(TSR!J38="","",TSR!J38)</f>
        <v/>
      </c>
      <c r="E2193" s="789" t="str">
        <f>IF(TSR!K38="","",TSR!K38)</f>
        <v/>
      </c>
      <c r="F2193" s="789" t="str">
        <f>IF(TSR!L38="","",TSR!L38)</f>
        <v/>
      </c>
    </row>
    <row r="2194" spans="1:7" x14ac:dyDescent="0.25">
      <c r="A2194" s="787" t="s">
        <v>2779</v>
      </c>
      <c r="B2194" s="789">
        <f>IF(TSR!H39="","",TSR!H39)</f>
        <v>0</v>
      </c>
      <c r="C2194" s="790">
        <f t="shared" ca="1" si="13"/>
        <v>0</v>
      </c>
      <c r="D2194" s="789" t="str">
        <f>IF(TSR!J39="","",TSR!J39)</f>
        <v/>
      </c>
      <c r="E2194" s="789" t="str">
        <f>IF(TSR!K39="","",TSR!K39)</f>
        <v/>
      </c>
      <c r="F2194" s="789" t="str">
        <f>IF(TSR!L39="","",TSR!L39)</f>
        <v/>
      </c>
    </row>
    <row r="2195" spans="1:7" x14ac:dyDescent="0.25">
      <c r="A2195" s="787" t="s">
        <v>2780</v>
      </c>
      <c r="B2195" s="789">
        <f>IF(TSR!H40="","",TSR!H40)</f>
        <v>0</v>
      </c>
      <c r="C2195" s="790">
        <f t="shared" ca="1" si="13"/>
        <v>0</v>
      </c>
      <c r="D2195" s="789" t="str">
        <f>IF(TSR!J40="","",TSR!J40)</f>
        <v/>
      </c>
      <c r="E2195" s="789" t="str">
        <f>IF(TSR!K40="","",TSR!K40)</f>
        <v/>
      </c>
      <c r="F2195" s="789" t="str">
        <f>IF(TSR!L40="","",TSR!L40)</f>
        <v/>
      </c>
    </row>
    <row r="2196" spans="1:7" x14ac:dyDescent="0.25">
      <c r="A2196" s="787" t="s">
        <v>2781</v>
      </c>
      <c r="B2196" s="789">
        <f>IF(TSR!H41="","",TSR!H41)</f>
        <v>0</v>
      </c>
      <c r="C2196" s="790">
        <f t="shared" ca="1" si="13"/>
        <v>0</v>
      </c>
      <c r="D2196" s="789" t="str">
        <f>IF(TSR!J41="","",TSR!J41)</f>
        <v/>
      </c>
      <c r="E2196" s="789" t="str">
        <f>IF(TSR!K41="","",TSR!K41)</f>
        <v/>
      </c>
      <c r="F2196" s="789" t="str">
        <f>IF(TSR!L41="","",TSR!L41)</f>
        <v/>
      </c>
    </row>
    <row r="2197" spans="1:7" x14ac:dyDescent="0.25">
      <c r="A2197" s="787" t="s">
        <v>2782</v>
      </c>
      <c r="B2197" s="789">
        <f>IF(TSR!H42="","",TSR!H42)</f>
        <v>0</v>
      </c>
      <c r="C2197" s="790">
        <f t="shared" ca="1" si="13"/>
        <v>0</v>
      </c>
      <c r="D2197" s="789" t="str">
        <f>IF(TSR!J42="","",TSR!J42)</f>
        <v/>
      </c>
      <c r="E2197" s="789" t="str">
        <f>IF(TSR!K42="","",TSR!K42)</f>
        <v/>
      </c>
      <c r="F2197" s="789" t="str">
        <f>IF(TSR!L42="","",TSR!L42)</f>
        <v/>
      </c>
    </row>
    <row r="2198" spans="1:7" x14ac:dyDescent="0.25">
      <c r="A2198" s="787" t="s">
        <v>2783</v>
      </c>
      <c r="B2198" s="789">
        <f>IF(TSR!H43="","",TSR!H43)</f>
        <v>0</v>
      </c>
      <c r="C2198" s="790">
        <f t="shared" ca="1" si="13"/>
        <v>0</v>
      </c>
      <c r="D2198" s="789" t="str">
        <f>IF(TSR!J43="","",TSR!J43)</f>
        <v/>
      </c>
      <c r="E2198" s="789" t="str">
        <f>IF(TSR!K43="","",TSR!K43)</f>
        <v/>
      </c>
      <c r="F2198" s="789" t="str">
        <f>IF(TSR!L43="","",TSR!L43)</f>
        <v/>
      </c>
    </row>
    <row r="2199" spans="1:7" x14ac:dyDescent="0.25">
      <c r="A2199" s="787" t="s">
        <v>2784</v>
      </c>
      <c r="B2199" s="789">
        <f>IF(TSR!H44="","",TSR!H44)</f>
        <v>0</v>
      </c>
      <c r="C2199" s="790">
        <f t="shared" ca="1" si="13"/>
        <v>0</v>
      </c>
      <c r="D2199" s="789" t="str">
        <f>IF(TSR!J44="","",TSR!J44)</f>
        <v/>
      </c>
      <c r="E2199" s="789" t="str">
        <f>IF(TSR!K44="","",TSR!K44)</f>
        <v/>
      </c>
      <c r="F2199" s="789" t="str">
        <f>IF(TSR!L44="","",TSR!L44)</f>
        <v/>
      </c>
    </row>
    <row r="2200" spans="1:7" x14ac:dyDescent="0.25">
      <c r="A2200" s="787" t="s">
        <v>2785</v>
      </c>
      <c r="B2200" s="789">
        <f>IF(TSR!H45="","",TSR!H45)</f>
        <v>0</v>
      </c>
      <c r="C2200" s="790">
        <f t="shared" ca="1" si="13"/>
        <v>0</v>
      </c>
      <c r="D2200" s="789" t="str">
        <f>IF(TSR!J45="","",TSR!J45)</f>
        <v/>
      </c>
      <c r="E2200" s="789" t="str">
        <f>IF(TSR!K45="","",TSR!K45)</f>
        <v/>
      </c>
      <c r="F2200" s="789" t="str">
        <f>IF(TSR!L45="","",TSR!L45)</f>
        <v/>
      </c>
    </row>
    <row r="2201" spans="1:7" x14ac:dyDescent="0.25">
      <c r="A2201" s="787" t="s">
        <v>2786</v>
      </c>
      <c r="B2201" s="789">
        <f>IF(TSR!H46="","",TSR!H46)</f>
        <v>0</v>
      </c>
      <c r="C2201" s="790">
        <f t="shared" ca="1" si="13"/>
        <v>0</v>
      </c>
      <c r="D2201" s="789" t="str">
        <f>IF(TSR!J46="","",TSR!J46)</f>
        <v/>
      </c>
      <c r="E2201" s="789" t="str">
        <f>IF(TSR!K46="","",TSR!K46)</f>
        <v/>
      </c>
      <c r="F2201" s="789" t="str">
        <f>IF(TSR!L46="","",TSR!L46)</f>
        <v/>
      </c>
    </row>
    <row r="2202" spans="1:7" x14ac:dyDescent="0.25">
      <c r="A2202" s="787" t="s">
        <v>2787</v>
      </c>
      <c r="B2202" s="789">
        <f>IF(TSR!H47="","",TSR!H47)</f>
        <v>0</v>
      </c>
      <c r="C2202" s="790">
        <f t="shared" ca="1" si="13"/>
        <v>0</v>
      </c>
      <c r="D2202" s="789" t="str">
        <f>IF(TSR!J47="","",TSR!J47)</f>
        <v/>
      </c>
      <c r="E2202" s="789" t="str">
        <f>IF(TSR!K47="","",TSR!K47)</f>
        <v/>
      </c>
      <c r="F2202" s="789" t="str">
        <f>IF(TSR!L47="","",TSR!L47)</f>
        <v/>
      </c>
    </row>
    <row r="2203" spans="1:7" x14ac:dyDescent="0.25">
      <c r="A2203" s="787" t="s">
        <v>2788</v>
      </c>
      <c r="B2203" s="789">
        <f>IF(TSR!H48="","",TSR!H48)</f>
        <v>0</v>
      </c>
      <c r="C2203" s="790">
        <f t="shared" ca="1" si="13"/>
        <v>0</v>
      </c>
      <c r="D2203" s="789" t="str">
        <f>IF(TSR!J48="","",TSR!J48)</f>
        <v/>
      </c>
      <c r="E2203" s="789" t="str">
        <f>IF(TSR!K48="","",TSR!K48)</f>
        <v/>
      </c>
      <c r="F2203" s="789" t="str">
        <f>IF(TSR!L48="","",TSR!L48)</f>
        <v/>
      </c>
    </row>
    <row r="2204" spans="1:7" x14ac:dyDescent="0.25">
      <c r="A2204" s="787" t="s">
        <v>2789</v>
      </c>
      <c r="B2204" s="789">
        <f>IF(TSR!H49="","",TSR!H49)</f>
        <v>0</v>
      </c>
      <c r="C2204" s="790">
        <f t="shared" ca="1" si="13"/>
        <v>0</v>
      </c>
      <c r="D2204" s="789" t="str">
        <f>IF(TSR!J49="","",TSR!J49)</f>
        <v/>
      </c>
      <c r="E2204" s="789" t="str">
        <f>IF(TSR!K49="","",TSR!K49)</f>
        <v/>
      </c>
      <c r="F2204" s="789" t="str">
        <f>IF(TSR!L49="","",TSR!L49)</f>
        <v/>
      </c>
    </row>
    <row r="2205" spans="1:7" x14ac:dyDescent="0.25">
      <c r="A2205" s="787" t="s">
        <v>2790</v>
      </c>
      <c r="B2205" s="789">
        <f>IF(TSR!H50="","",TSR!H50)</f>
        <v>0</v>
      </c>
      <c r="C2205" s="790">
        <f t="shared" ca="1" si="13"/>
        <v>0</v>
      </c>
      <c r="D2205" s="789"/>
      <c r="E2205" s="789"/>
      <c r="F2205" s="789"/>
      <c r="G2205" s="787" t="str">
        <f>IF(ISNUMBER(SEARCH("specify",TSR!C50)),"",TSR!C50)</f>
        <v/>
      </c>
    </row>
    <row r="2206" spans="1:7" x14ac:dyDescent="0.25">
      <c r="A2206" s="787" t="s">
        <v>2791</v>
      </c>
      <c r="B2206" s="789">
        <f>IF(TSR!H51="","",TSR!H51)</f>
        <v>0</v>
      </c>
      <c r="C2206" s="790">
        <f t="shared" ca="1" si="13"/>
        <v>0</v>
      </c>
      <c r="D2206" s="789"/>
      <c r="E2206" s="789"/>
      <c r="F2206" s="789"/>
      <c r="G2206" s="787" t="str">
        <f>IF(ISNUMBER(SEARCH("specify",TSR!C51)),"",TSR!C51)</f>
        <v/>
      </c>
    </row>
    <row r="2207" spans="1:7" x14ac:dyDescent="0.25">
      <c r="A2207" s="787" t="s">
        <v>2792</v>
      </c>
      <c r="B2207" s="789">
        <f>IF(TSR!H52="","",TSR!H52)</f>
        <v>0</v>
      </c>
      <c r="C2207" s="790">
        <f t="shared" ca="1" si="13"/>
        <v>0</v>
      </c>
      <c r="D2207" s="789"/>
      <c r="E2207" s="789"/>
      <c r="F2207" s="789"/>
      <c r="G2207" s="787" t="str">
        <f>IF(ISNUMBER(SEARCH("specify",TSR!C52)),"",TSR!C52)</f>
        <v/>
      </c>
    </row>
    <row r="2208" spans="1:7" x14ac:dyDescent="0.25">
      <c r="A2208" s="787" t="s">
        <v>2793</v>
      </c>
      <c r="B2208" s="789">
        <f>IF(TSR!H53="","",TSR!H53)</f>
        <v>0</v>
      </c>
      <c r="C2208" s="790">
        <f t="shared" ca="1" si="13"/>
        <v>0</v>
      </c>
      <c r="D2208" s="789"/>
      <c r="E2208" s="789"/>
      <c r="F2208" s="789"/>
      <c r="G2208" s="787" t="str">
        <f>IF(ISNUMBER(SEARCH("specify",TSR!C53)),"",TSR!C53)</f>
        <v/>
      </c>
    </row>
    <row r="2209" spans="1:7" x14ac:dyDescent="0.25">
      <c r="A2209" s="787" t="s">
        <v>2794</v>
      </c>
      <c r="B2209" s="789">
        <f>IF(TSR!H54="","",TSR!H54)</f>
        <v>0</v>
      </c>
      <c r="C2209" s="790">
        <f t="shared" ca="1" si="13"/>
        <v>0</v>
      </c>
      <c r="D2209" s="789"/>
      <c r="E2209" s="789"/>
      <c r="F2209" s="789"/>
      <c r="G2209" s="787" t="str">
        <f>IF(ISNUMBER(SEARCH("specify",TSR!C54)),"",TSR!C54)</f>
        <v/>
      </c>
    </row>
    <row r="2210" spans="1:7" x14ac:dyDescent="0.25">
      <c r="A2210" s="787" t="s">
        <v>2795</v>
      </c>
      <c r="B2210" s="789">
        <f>IF(TSR!H55="","",TSR!H55)</f>
        <v>0</v>
      </c>
      <c r="C2210" s="790">
        <f t="shared" ca="1" si="13"/>
        <v>0</v>
      </c>
      <c r="D2210" s="789" t="str">
        <f>IF(TSR!J55="","",TSR!J55)</f>
        <v/>
      </c>
      <c r="E2210" s="789" t="str">
        <f>IF(TSR!K55="","",TSR!K55)</f>
        <v/>
      </c>
      <c r="F2210" s="789" t="str">
        <f>IF(TSR!L55="","",TSR!L55)</f>
        <v/>
      </c>
    </row>
    <row r="2211" spans="1:7" x14ac:dyDescent="0.25">
      <c r="A2211" s="787" t="s">
        <v>2796</v>
      </c>
      <c r="B2211" s="789">
        <f>IF(TSR!H56="","",TSR!H56)</f>
        <v>0</v>
      </c>
      <c r="C2211" s="790">
        <f t="shared" ca="1" si="13"/>
        <v>0</v>
      </c>
      <c r="D2211" s="789" t="str">
        <f>IF(TSR!J56="","",TSR!J56)</f>
        <v/>
      </c>
      <c r="E2211" s="789" t="str">
        <f>IF(TSR!K56="","",TSR!K56)</f>
        <v/>
      </c>
      <c r="F2211" s="789" t="str">
        <f>IF(TSR!L56="","",TSR!L56)</f>
        <v/>
      </c>
    </row>
    <row r="2212" spans="1:7" x14ac:dyDescent="0.25">
      <c r="A2212" s="787" t="s">
        <v>2797</v>
      </c>
      <c r="B2212" s="789">
        <f>IF(TSR!H57="","",TSR!H57)</f>
        <v>0</v>
      </c>
      <c r="C2212" s="790">
        <f t="shared" ca="1" si="13"/>
        <v>0</v>
      </c>
      <c r="D2212" s="789" t="str">
        <f>IF(TSR!J57="","",TSR!J57)</f>
        <v/>
      </c>
      <c r="E2212" s="789" t="str">
        <f>IF(TSR!K57="","",TSR!K57)</f>
        <v/>
      </c>
      <c r="F2212" s="789" t="str">
        <f>IF(TSR!L57="","",TSR!L57)</f>
        <v/>
      </c>
    </row>
    <row r="2213" spans="1:7" x14ac:dyDescent="0.25">
      <c r="A2213" s="787" t="s">
        <v>2798</v>
      </c>
      <c r="B2213" s="789">
        <f>IF(TSR!H61="","",TSR!H61)</f>
        <v>0</v>
      </c>
      <c r="C2213" s="790">
        <f t="shared" ca="1" si="13"/>
        <v>0</v>
      </c>
      <c r="D2213" s="789" t="str">
        <f>IF(TSR!J61="","",TSR!J61)</f>
        <v/>
      </c>
      <c r="E2213" s="789" t="str">
        <f>IF(TSR!K61="","",TSR!K61)</f>
        <v/>
      </c>
      <c r="F2213" s="789" t="str">
        <f>IF(TSR!L61="","",TSR!L61)</f>
        <v/>
      </c>
    </row>
    <row r="2214" spans="1:7" x14ac:dyDescent="0.25">
      <c r="A2214" s="787" t="s">
        <v>2799</v>
      </c>
      <c r="B2214" s="789">
        <f>IF(TSR!H62="","",TSR!H62)</f>
        <v>0</v>
      </c>
      <c r="C2214" s="790">
        <f t="shared" ca="1" si="13"/>
        <v>0</v>
      </c>
      <c r="D2214" s="789" t="str">
        <f>IF(TSR!J62="","",TSR!J62)</f>
        <v/>
      </c>
      <c r="E2214" s="789" t="str">
        <f>IF(TSR!K62="","",TSR!K62)</f>
        <v/>
      </c>
      <c r="F2214" s="789" t="str">
        <f>IF(TSR!L62="","",TSR!L62)</f>
        <v/>
      </c>
    </row>
    <row r="2215" spans="1:7" x14ac:dyDescent="0.25">
      <c r="A2215" s="787" t="s">
        <v>2800</v>
      </c>
      <c r="B2215" s="789">
        <f>IF(TSR!H63="","",TSR!H63)</f>
        <v>0</v>
      </c>
      <c r="C2215" s="790">
        <f t="shared" ca="1" si="13"/>
        <v>0</v>
      </c>
      <c r="D2215" s="789" t="str">
        <f>IF(TSR!J63="","",TSR!J63)</f>
        <v/>
      </c>
      <c r="E2215" s="789" t="str">
        <f>IF(TSR!K63="","",TSR!K63)</f>
        <v/>
      </c>
      <c r="F2215" s="789" t="str">
        <f>IF(TSR!L63="","",TSR!L63)</f>
        <v/>
      </c>
    </row>
    <row r="2216" spans="1:7" x14ac:dyDescent="0.25">
      <c r="A2216" s="787" t="s">
        <v>2801</v>
      </c>
      <c r="B2216" s="789">
        <f>IF(TSR!H64="","",TSR!H64)</f>
        <v>0</v>
      </c>
      <c r="C2216" s="790">
        <f t="shared" ca="1" si="13"/>
        <v>0</v>
      </c>
      <c r="D2216" s="789" t="str">
        <f>IF(TSR!J64="","",TSR!J64)</f>
        <v/>
      </c>
      <c r="E2216" s="789" t="str">
        <f>IF(TSR!K64="","",TSR!K64)</f>
        <v/>
      </c>
      <c r="F2216" s="789" t="str">
        <f>IF(TSR!L64="","",TSR!L64)</f>
        <v/>
      </c>
    </row>
    <row r="2217" spans="1:7" x14ac:dyDescent="0.25">
      <c r="A2217" s="787" t="s">
        <v>2802</v>
      </c>
      <c r="B2217" s="789">
        <f>IF(TSR!H65="","",TSR!H65)</f>
        <v>0</v>
      </c>
      <c r="C2217" s="790">
        <f t="shared" ca="1" si="13"/>
        <v>0</v>
      </c>
      <c r="D2217" s="789" t="str">
        <f>IF(TSR!J65="","",TSR!J65)</f>
        <v/>
      </c>
      <c r="E2217" s="789" t="str">
        <f>IF(TSR!K65="","",TSR!K65)</f>
        <v/>
      </c>
      <c r="F2217" s="789" t="str">
        <f>IF(TSR!L65="","",TSR!L65)</f>
        <v/>
      </c>
    </row>
    <row r="2218" spans="1:7" x14ac:dyDescent="0.25">
      <c r="A2218" s="787" t="s">
        <v>2803</v>
      </c>
      <c r="B2218" s="789">
        <f>IF(TSR!H66="","",TSR!H66)</f>
        <v>0</v>
      </c>
      <c r="C2218" s="790">
        <f t="shared" ca="1" si="13"/>
        <v>0</v>
      </c>
      <c r="D2218" s="789" t="str">
        <f>IF(TSR!J66="","",TSR!J66)</f>
        <v/>
      </c>
      <c r="E2218" s="789" t="str">
        <f>IF(TSR!K66="","",TSR!K66)</f>
        <v/>
      </c>
      <c r="F2218" s="789" t="str">
        <f>IF(TSR!L66="","",TSR!L66)</f>
        <v/>
      </c>
    </row>
    <row r="2219" spans="1:7" x14ac:dyDescent="0.25">
      <c r="A2219" s="787" t="s">
        <v>2804</v>
      </c>
      <c r="B2219" s="789">
        <f>IF(TSR!H67="","",TSR!H67)</f>
        <v>0</v>
      </c>
      <c r="C2219" s="790">
        <f t="shared" ref="C2219:C2242" ca="1" si="14">IF(ISERROR(VLOOKUP(A2219,INDIRECT("notes_"&amp;LEFT(A2219,3)),4,0)),0,VLOOKUP(A2219,INDIRECT("notes_"&amp;LEFT(A2219,3)),4,0))</f>
        <v>0</v>
      </c>
      <c r="D2219" s="789" t="str">
        <f>IF(TSR!J67="","",TSR!J67)</f>
        <v/>
      </c>
      <c r="E2219" s="789" t="str">
        <f>IF(TSR!K67="","",TSR!K67)</f>
        <v/>
      </c>
      <c r="F2219" s="789" t="str">
        <f>IF(TSR!L67="","",TSR!L67)</f>
        <v/>
      </c>
    </row>
    <row r="2220" spans="1:7" x14ac:dyDescent="0.25">
      <c r="A2220" s="787" t="s">
        <v>2805</v>
      </c>
      <c r="B2220" s="789">
        <f>IF(TSR!H68="","",TSR!H68)</f>
        <v>0</v>
      </c>
      <c r="C2220" s="790">
        <f t="shared" ca="1" si="14"/>
        <v>0</v>
      </c>
      <c r="D2220" s="789" t="str">
        <f>IF(TSR!J68="","",TSR!J68)</f>
        <v/>
      </c>
      <c r="E2220" s="789" t="str">
        <f>IF(TSR!K68="","",TSR!K68)</f>
        <v/>
      </c>
      <c r="F2220" s="789" t="str">
        <f>IF(TSR!L68="","",TSR!L68)</f>
        <v/>
      </c>
    </row>
    <row r="2221" spans="1:7" x14ac:dyDescent="0.25">
      <c r="A2221" s="787" t="s">
        <v>2806</v>
      </c>
      <c r="B2221" s="789">
        <f>IF(TSR!H69="","",TSR!H69)</f>
        <v>0</v>
      </c>
      <c r="C2221" s="790">
        <f t="shared" ca="1" si="14"/>
        <v>0</v>
      </c>
      <c r="D2221" s="789" t="str">
        <f>IF(TSR!J69="","",TSR!J69)</f>
        <v/>
      </c>
      <c r="E2221" s="789" t="str">
        <f>IF(TSR!K69="","",TSR!K69)</f>
        <v/>
      </c>
      <c r="F2221" s="789" t="str">
        <f>IF(TSR!L69="","",TSR!L69)</f>
        <v/>
      </c>
    </row>
    <row r="2222" spans="1:7" x14ac:dyDescent="0.25">
      <c r="A2222" s="787" t="s">
        <v>2807</v>
      </c>
      <c r="B2222" s="789">
        <f>IF(TSR!H70="","",TSR!H70)</f>
        <v>0</v>
      </c>
      <c r="C2222" s="790">
        <f t="shared" ca="1" si="14"/>
        <v>0</v>
      </c>
      <c r="D2222" s="789" t="str">
        <f>IF(TSR!J70="","",TSR!J70)</f>
        <v/>
      </c>
      <c r="E2222" s="789" t="str">
        <f>IF(TSR!K70="","",TSR!K70)</f>
        <v/>
      </c>
      <c r="F2222" s="789" t="str">
        <f>IF(TSR!L70="","",TSR!L70)</f>
        <v/>
      </c>
    </row>
    <row r="2223" spans="1:7" x14ac:dyDescent="0.25">
      <c r="A2223" s="787" t="s">
        <v>2808</v>
      </c>
      <c r="B2223" s="789">
        <f>IF(TSR!H71="","",TSR!H71)</f>
        <v>0</v>
      </c>
      <c r="C2223" s="790">
        <f t="shared" ca="1" si="14"/>
        <v>0</v>
      </c>
      <c r="D2223" s="789" t="str">
        <f>IF(TSR!J71="","",TSR!J71)</f>
        <v/>
      </c>
      <c r="E2223" s="789" t="str">
        <f>IF(TSR!K71="","",TSR!K71)</f>
        <v/>
      </c>
      <c r="F2223" s="789" t="str">
        <f>IF(TSR!L71="","",TSR!L71)</f>
        <v/>
      </c>
    </row>
    <row r="2224" spans="1:7" x14ac:dyDescent="0.25">
      <c r="A2224" s="787" t="s">
        <v>2809</v>
      </c>
      <c r="B2224" s="789">
        <f>IF(TSR!H72="","",TSR!H72)</f>
        <v>0</v>
      </c>
      <c r="C2224" s="790">
        <f t="shared" ca="1" si="14"/>
        <v>0</v>
      </c>
      <c r="D2224" s="789" t="str">
        <f>IF(TSR!J72="","",TSR!J72)</f>
        <v/>
      </c>
      <c r="E2224" s="789" t="str">
        <f>IF(TSR!K72="","",TSR!K72)</f>
        <v/>
      </c>
      <c r="F2224" s="789" t="str">
        <f>IF(TSR!L72="","",TSR!L72)</f>
        <v/>
      </c>
    </row>
    <row r="2225" spans="1:7" x14ac:dyDescent="0.25">
      <c r="A2225" s="787" t="s">
        <v>2810</v>
      </c>
      <c r="B2225" s="789">
        <f>IF(TSR!H73="","",TSR!H73)</f>
        <v>0</v>
      </c>
      <c r="C2225" s="790">
        <f t="shared" ca="1" si="14"/>
        <v>0</v>
      </c>
      <c r="D2225" s="789" t="str">
        <f>IF(TSR!J73="","",TSR!J73)</f>
        <v/>
      </c>
      <c r="E2225" s="789" t="str">
        <f>IF(TSR!K73="","",TSR!K73)</f>
        <v/>
      </c>
      <c r="F2225" s="789" t="str">
        <f>IF(TSR!L73="","",TSR!L73)</f>
        <v/>
      </c>
    </row>
    <row r="2226" spans="1:7" x14ac:dyDescent="0.25">
      <c r="A2226" s="787" t="s">
        <v>2811</v>
      </c>
      <c r="B2226" s="789">
        <f>IF(TSR!H74="","",TSR!H74)</f>
        <v>0</v>
      </c>
      <c r="C2226" s="790">
        <f t="shared" ca="1" si="14"/>
        <v>0</v>
      </c>
      <c r="D2226" s="789" t="str">
        <f>IF(TSR!J74="","",TSR!J74)</f>
        <v/>
      </c>
      <c r="E2226" s="789" t="str">
        <f>IF(TSR!K74="","",TSR!K74)</f>
        <v/>
      </c>
      <c r="F2226" s="789" t="str">
        <f>IF(TSR!L74="","",TSR!L74)</f>
        <v/>
      </c>
    </row>
    <row r="2227" spans="1:7" x14ac:dyDescent="0.25">
      <c r="A2227" s="787" t="s">
        <v>2812</v>
      </c>
      <c r="B2227" s="789">
        <f>IF(TSR!H75="","",TSR!H75)</f>
        <v>0</v>
      </c>
      <c r="C2227" s="790">
        <f t="shared" ca="1" si="14"/>
        <v>0</v>
      </c>
      <c r="D2227" s="789" t="str">
        <f>IF(TSR!J75="","",TSR!J75)</f>
        <v/>
      </c>
      <c r="E2227" s="789" t="str">
        <f>IF(TSR!K75="","",TSR!K75)</f>
        <v/>
      </c>
      <c r="F2227" s="789" t="str">
        <f>IF(TSR!L75="","",TSR!L75)</f>
        <v/>
      </c>
    </row>
    <row r="2228" spans="1:7" x14ac:dyDescent="0.25">
      <c r="A2228" s="787" t="s">
        <v>2813</v>
      </c>
      <c r="B2228" s="789">
        <f>IF(TSR!H76="","",TSR!H76)</f>
        <v>0</v>
      </c>
      <c r="C2228" s="790">
        <f t="shared" ca="1" si="14"/>
        <v>0</v>
      </c>
      <c r="D2228" s="789" t="str">
        <f>IF(TSR!J76="","",TSR!J76)</f>
        <v/>
      </c>
      <c r="E2228" s="789" t="str">
        <f>IF(TSR!K76="","",TSR!K76)</f>
        <v/>
      </c>
      <c r="F2228" s="789" t="str">
        <f>IF(TSR!L76="","",TSR!L76)</f>
        <v/>
      </c>
    </row>
    <row r="2229" spans="1:7" x14ac:dyDescent="0.25">
      <c r="A2229" s="787" t="s">
        <v>2814</v>
      </c>
      <c r="B2229" s="789">
        <f>IF(TSR!H77="","",TSR!H77)</f>
        <v>0</v>
      </c>
      <c r="C2229" s="790">
        <f t="shared" ca="1" si="14"/>
        <v>0</v>
      </c>
      <c r="D2229" s="789" t="str">
        <f>IF(TSR!J77="","",TSR!J77)</f>
        <v/>
      </c>
      <c r="E2229" s="789" t="str">
        <f>IF(TSR!K77="","",TSR!K77)</f>
        <v/>
      </c>
      <c r="F2229" s="789" t="str">
        <f>IF(TSR!L77="","",TSR!L77)</f>
        <v/>
      </c>
    </row>
    <row r="2230" spans="1:7" x14ac:dyDescent="0.25">
      <c r="A2230" s="787" t="s">
        <v>2815</v>
      </c>
      <c r="B2230" s="789">
        <f>IF(TSR!H78="","",TSR!H78)</f>
        <v>0</v>
      </c>
      <c r="C2230" s="790">
        <f t="shared" ca="1" si="14"/>
        <v>0</v>
      </c>
      <c r="D2230" s="789" t="str">
        <f>IF(TSR!J78="","",TSR!J78)</f>
        <v/>
      </c>
      <c r="E2230" s="789" t="str">
        <f>IF(TSR!K78="","",TSR!K78)</f>
        <v/>
      </c>
      <c r="F2230" s="789" t="str">
        <f>IF(TSR!L78="","",TSR!L78)</f>
        <v/>
      </c>
    </row>
    <row r="2231" spans="1:7" x14ac:dyDescent="0.25">
      <c r="A2231" s="787" t="s">
        <v>2816</v>
      </c>
      <c r="B2231" s="789">
        <f>IF(TSR!H79="","",TSR!H79)</f>
        <v>0</v>
      </c>
      <c r="C2231" s="790">
        <f t="shared" ca="1" si="14"/>
        <v>0</v>
      </c>
      <c r="D2231" s="789" t="str">
        <f>IF(TSR!J79="","",TSR!J79)</f>
        <v/>
      </c>
      <c r="E2231" s="789" t="str">
        <f>IF(TSR!K79="","",TSR!K79)</f>
        <v/>
      </c>
      <c r="F2231" s="789" t="str">
        <f>IF(TSR!L79="","",TSR!L79)</f>
        <v/>
      </c>
    </row>
    <row r="2232" spans="1:7" x14ac:dyDescent="0.25">
      <c r="A2232" s="787" t="s">
        <v>2817</v>
      </c>
      <c r="B2232" s="789">
        <f>IF(TSR!H80="","",TSR!H80)</f>
        <v>0</v>
      </c>
      <c r="C2232" s="790">
        <f t="shared" ca="1" si="14"/>
        <v>0</v>
      </c>
      <c r="D2232" s="789" t="str">
        <f>IF(TSR!J80="","",TSR!J80)</f>
        <v/>
      </c>
      <c r="E2232" s="789" t="str">
        <f>IF(TSR!K80="","",TSR!K80)</f>
        <v/>
      </c>
      <c r="F2232" s="789" t="str">
        <f>IF(TSR!L80="","",TSR!L80)</f>
        <v/>
      </c>
    </row>
    <row r="2233" spans="1:7" x14ac:dyDescent="0.25">
      <c r="A2233" s="787" t="s">
        <v>2818</v>
      </c>
      <c r="B2233" s="789">
        <f>IF(TSR!H81="","",TSR!H81)</f>
        <v>0</v>
      </c>
      <c r="C2233" s="790">
        <f t="shared" ca="1" si="14"/>
        <v>0</v>
      </c>
      <c r="D2233" s="789" t="str">
        <f>IF(TSR!J81="","",TSR!J81)</f>
        <v/>
      </c>
      <c r="E2233" s="789" t="str">
        <f>IF(TSR!K81="","",TSR!K81)</f>
        <v/>
      </c>
      <c r="F2233" s="789" t="str">
        <f>IF(TSR!L81="","",TSR!L81)</f>
        <v/>
      </c>
    </row>
    <row r="2234" spans="1:7" x14ac:dyDescent="0.25">
      <c r="A2234" s="787" t="s">
        <v>2819</v>
      </c>
      <c r="B2234" s="789">
        <f>IF(TSR!H82="","",TSR!H82)</f>
        <v>0</v>
      </c>
      <c r="C2234" s="790">
        <f t="shared" ca="1" si="14"/>
        <v>0</v>
      </c>
      <c r="D2234" s="789" t="str">
        <f>IF(TSR!J82="","",TSR!J82)</f>
        <v/>
      </c>
      <c r="E2234" s="789" t="str">
        <f>IF(TSR!K82="","",TSR!K82)</f>
        <v/>
      </c>
      <c r="F2234" s="789" t="str">
        <f>IF(TSR!L82="","",TSR!L82)</f>
        <v/>
      </c>
    </row>
    <row r="2235" spans="1:7" x14ac:dyDescent="0.25">
      <c r="A2235" s="787" t="s">
        <v>2820</v>
      </c>
      <c r="B2235" s="789">
        <f>IF(TSR!H83="","",TSR!H83)</f>
        <v>0</v>
      </c>
      <c r="C2235" s="790">
        <f t="shared" ca="1" si="14"/>
        <v>0</v>
      </c>
      <c r="D2235" s="789"/>
      <c r="E2235" s="789"/>
      <c r="F2235" s="789"/>
      <c r="G2235" s="787" t="str">
        <f>IF(ISNUMBER(SEARCH("specify",TSR!C83)),"",TSR!C83)</f>
        <v/>
      </c>
    </row>
    <row r="2236" spans="1:7" x14ac:dyDescent="0.25">
      <c r="A2236" s="787" t="s">
        <v>2821</v>
      </c>
      <c r="B2236" s="789">
        <f>IF(TSR!H84="","",TSR!H84)</f>
        <v>0</v>
      </c>
      <c r="C2236" s="790">
        <f t="shared" ca="1" si="14"/>
        <v>0</v>
      </c>
      <c r="D2236" s="789"/>
      <c r="E2236" s="789"/>
      <c r="F2236" s="789"/>
      <c r="G2236" s="787" t="str">
        <f>IF(ISNUMBER(SEARCH("specify",TSR!C84)),"",TSR!C84)</f>
        <v/>
      </c>
    </row>
    <row r="2237" spans="1:7" x14ac:dyDescent="0.25">
      <c r="A2237" s="787" t="s">
        <v>2822</v>
      </c>
      <c r="B2237" s="789">
        <f>IF(TSR!H85="","",TSR!H85)</f>
        <v>0</v>
      </c>
      <c r="C2237" s="790">
        <f t="shared" ca="1" si="14"/>
        <v>0</v>
      </c>
      <c r="D2237" s="789"/>
      <c r="E2237" s="789"/>
      <c r="F2237" s="789"/>
      <c r="G2237" s="787" t="str">
        <f>IF(ISNUMBER(SEARCH("specify",TSR!C85)),"",TSR!C85)</f>
        <v/>
      </c>
    </row>
    <row r="2238" spans="1:7" x14ac:dyDescent="0.25">
      <c r="A2238" s="787" t="s">
        <v>2823</v>
      </c>
      <c r="B2238" s="789">
        <f>IF(TSR!H86="","",TSR!H86)</f>
        <v>0</v>
      </c>
      <c r="C2238" s="790">
        <f t="shared" ca="1" si="14"/>
        <v>0</v>
      </c>
      <c r="D2238" s="789"/>
      <c r="E2238" s="789"/>
      <c r="F2238" s="789"/>
      <c r="G2238" s="787" t="str">
        <f>IF(ISNUMBER(SEARCH("specify",TSR!C86)),"",TSR!C86)</f>
        <v/>
      </c>
    </row>
    <row r="2239" spans="1:7" x14ac:dyDescent="0.25">
      <c r="A2239" s="787" t="s">
        <v>2824</v>
      </c>
      <c r="B2239" s="789">
        <f>IF(TSR!H87="","",TSR!H87)</f>
        <v>0</v>
      </c>
      <c r="C2239" s="790">
        <f t="shared" ca="1" si="14"/>
        <v>0</v>
      </c>
      <c r="D2239" s="789"/>
      <c r="E2239" s="789"/>
      <c r="F2239" s="789"/>
      <c r="G2239" s="787" t="str">
        <f>IF(ISNUMBER(SEARCH("specify",TSR!C87)),"",TSR!C87)</f>
        <v/>
      </c>
    </row>
    <row r="2240" spans="1:7" x14ac:dyDescent="0.25">
      <c r="A2240" s="787" t="s">
        <v>2825</v>
      </c>
      <c r="B2240" s="789">
        <f>IF(TSR!H88="","",TSR!H88)</f>
        <v>0</v>
      </c>
      <c r="C2240" s="790">
        <f t="shared" ca="1" si="14"/>
        <v>0</v>
      </c>
      <c r="D2240" s="789" t="str">
        <f>IF(TSR!J88="","",TSR!J88)</f>
        <v/>
      </c>
      <c r="E2240" s="789" t="str">
        <f>IF(TSR!K88="","",TSR!K88)</f>
        <v/>
      </c>
      <c r="F2240" s="789" t="str">
        <f>IF(TSR!L88="","",TSR!L88)</f>
        <v/>
      </c>
    </row>
    <row r="2241" spans="1:7" x14ac:dyDescent="0.25">
      <c r="A2241" s="787" t="s">
        <v>2826</v>
      </c>
      <c r="B2241" s="789">
        <f>IF(TSR!H89="","",TSR!H89)</f>
        <v>0</v>
      </c>
      <c r="C2241" s="790">
        <f t="shared" ca="1" si="14"/>
        <v>0</v>
      </c>
      <c r="D2241" s="789" t="str">
        <f>IF(TSR!J89="","",TSR!J89)</f>
        <v/>
      </c>
      <c r="E2241" s="789" t="str">
        <f>IF(TSR!K89="","",TSR!K89)</f>
        <v/>
      </c>
      <c r="F2241" s="789" t="str">
        <f>IF(TSR!L89="","",TSR!L89)</f>
        <v/>
      </c>
    </row>
    <row r="2242" spans="1:7" x14ac:dyDescent="0.25">
      <c r="A2242" s="787" t="s">
        <v>2827</v>
      </c>
      <c r="B2242" s="789">
        <f>IF(TSR!H90="","",TSR!H90)</f>
        <v>0</v>
      </c>
      <c r="C2242" s="790">
        <f t="shared" ca="1" si="14"/>
        <v>0</v>
      </c>
      <c r="D2242" s="789" t="str">
        <f>IF(TSR!J90="","",TSR!J90)</f>
        <v/>
      </c>
      <c r="E2242" s="789" t="str">
        <f>IF(TSR!K90="","",TSR!K90)</f>
        <v/>
      </c>
      <c r="F2242" s="789" t="str">
        <f>IF(TSR!L90="","",TSR!L90)</f>
        <v/>
      </c>
    </row>
    <row r="2243" spans="1:7" x14ac:dyDescent="0.25">
      <c r="A2243" s="787" t="s">
        <v>4559</v>
      </c>
      <c r="B2243" s="789" t="str">
        <f>IF(TSR!G100="","",TSR!G100)</f>
        <v/>
      </c>
      <c r="C2243" s="790">
        <f ca="1">IF(ISERROR(VLOOKUP($A$2249,INDIRECT("notes_"&amp;LEFT($A$2249,3)),4,0)),0,VLOOKUP($A$2249,INDIRECT("notes_"&amp;LEFT($A$2249,3)),4,0))</f>
        <v>0</v>
      </c>
      <c r="D2243" s="789" t="str">
        <f>IF(TSR!J100="","",TSR!J100)</f>
        <v/>
      </c>
      <c r="E2243" s="789" t="str">
        <f>IF(TSR!K100="","",TSR!K100)</f>
        <v/>
      </c>
      <c r="F2243" s="789" t="str">
        <f>IF(TSR!L100="","",TSR!L100)</f>
        <v/>
      </c>
      <c r="G2243" s="789"/>
    </row>
    <row r="2244" spans="1:7" x14ac:dyDescent="0.25">
      <c r="A2244" s="787" t="s">
        <v>4560</v>
      </c>
      <c r="B2244" s="789" t="str">
        <f>IF(TSR!G101="","",TSR!G101)</f>
        <v/>
      </c>
      <c r="C2244" s="790">
        <f ca="1">IF(ISERROR(VLOOKUP($A$2250,INDIRECT("notes_"&amp;LEFT($A$2250,3)),4,0)),0,VLOOKUP($A$2250,INDIRECT("notes_"&amp;LEFT($A$2250,3)),4,0))</f>
        <v>0</v>
      </c>
      <c r="D2244" s="789" t="str">
        <f>IF(TSR!J101="","",TSR!J101)</f>
        <v/>
      </c>
      <c r="E2244" s="789" t="e">
        <f>IF(TSR!K101="","",TSR!K101)</f>
        <v>#N/A</v>
      </c>
      <c r="F2244" s="789" t="str">
        <f>IF(TSR!L101="","",TSR!L101)</f>
        <v/>
      </c>
    </row>
    <row r="2245" spans="1:7" x14ac:dyDescent="0.25">
      <c r="A2245" s="787" t="s">
        <v>4561</v>
      </c>
      <c r="B2245" s="789" t="str">
        <f>IF(TSR!G102="","",TSR!G102)</f>
        <v/>
      </c>
      <c r="C2245" s="790">
        <f ca="1">IF(ISERROR(VLOOKUP($A$2251,INDIRECT("notes_"&amp;LEFT($A$2251,3)),4,0)),0,VLOOKUP($A$2251,INDIRECT("notes_"&amp;LEFT($A$2251,3)),4,0))</f>
        <v>0</v>
      </c>
      <c r="D2245" s="789" t="str">
        <f>IF(TSR!J102="","",TSR!J102)</f>
        <v/>
      </c>
      <c r="E2245" s="789" t="str">
        <f>IF(TSR!K102="","",TSR!K102)</f>
        <v/>
      </c>
      <c r="F2245" s="789" t="str">
        <f>IF(TSR!L102="","",TSR!L102)</f>
        <v/>
      </c>
    </row>
    <row r="2246" spans="1:7" x14ac:dyDescent="0.25">
      <c r="A2246" s="787" t="s">
        <v>4562</v>
      </c>
      <c r="B2246" s="789" t="str">
        <f>IF(TSR!G103="","",TSR!G103)</f>
        <v/>
      </c>
      <c r="C2246" s="790">
        <f ca="1">IF(ISERROR(VLOOKUP($A$2252,INDIRECT("notes_"&amp;LEFT($A$2252,3)),4,0)),0,VLOOKUP($A$2252,INDIRECT("notes_"&amp;LEFT($A$2252,3)),4,0))</f>
        <v>0</v>
      </c>
      <c r="D2246" s="789" t="str">
        <f>IF(TSR!J103="","",TSR!J103)</f>
        <v/>
      </c>
      <c r="E2246" s="789" t="str">
        <f>IF(TSR!K103="","",TSR!K103)</f>
        <v/>
      </c>
      <c r="F2246" s="789" t="str">
        <f>IF(TSR!L103="","",TSR!L103)</f>
        <v/>
      </c>
    </row>
    <row r="2247" spans="1:7" x14ac:dyDescent="0.25">
      <c r="A2247" s="787" t="s">
        <v>4563</v>
      </c>
      <c r="B2247" s="789" t="str">
        <f>IF(TSR!G104="","",TSR!G104)</f>
        <v/>
      </c>
      <c r="C2247" s="790">
        <f ca="1">IF(ISERROR(VLOOKUP($A$2253,INDIRECT("notes_"&amp;LEFT($A$2253,3)),4,0)),0,VLOOKUP($A$2253,INDIRECT("notes_"&amp;LEFT($A$2253,3)),4,0))</f>
        <v>0</v>
      </c>
      <c r="D2247" s="789" t="str">
        <f>IF(TSR!J104="","",TSR!J104)</f>
        <v/>
      </c>
      <c r="E2247" s="789" t="str">
        <f>IF(TSR!K104="","",TSR!K104)</f>
        <v/>
      </c>
      <c r="F2247" s="789" t="str">
        <f>IF(TSR!L104="","",TSR!L104)</f>
        <v/>
      </c>
    </row>
    <row r="2248" spans="1:7" x14ac:dyDescent="0.25">
      <c r="A2248" s="787" t="s">
        <v>4564</v>
      </c>
      <c r="B2248" s="789">
        <f>TSR!G105</f>
        <v>0</v>
      </c>
      <c r="C2248" s="790">
        <f ca="1">IF(ISERROR(VLOOKUP($A$2254,INDIRECT("notes_"&amp;LEFT($A$2254,3)),4,0)),0,VLOOKUP($A$2254,INDIRECT("notes_"&amp;LEFT($A$2254,3)),4,0))</f>
        <v>0</v>
      </c>
      <c r="D2248" s="789" t="str">
        <f>IF(TSR!J105="","",TSR!J105)</f>
        <v/>
      </c>
      <c r="E2248" s="789" t="str">
        <f>IF(TSR!K105="","",TSR!K105)</f>
        <v/>
      </c>
      <c r="F2248" s="789" t="str">
        <f>IF(TSR!L105="","",TSR!L105)</f>
        <v/>
      </c>
    </row>
    <row r="2249" spans="1:7" x14ac:dyDescent="0.25">
      <c r="A2249" s="787" t="s">
        <v>2828</v>
      </c>
      <c r="B2249" s="789" t="str">
        <f>IF(TSR!H100="","",TSR!H100)</f>
        <v/>
      </c>
      <c r="C2249" s="790">
        <f ca="1">IF(ISERROR(VLOOKUP($A$2249,INDIRECT("notes_"&amp;LEFT($A$2249,3)),4,0)),0,VLOOKUP($A$2249,INDIRECT("notes_"&amp;LEFT($A$2249,3)),4,0))</f>
        <v>0</v>
      </c>
      <c r="D2249" s="787" t="str">
        <f>IF(TSR!J100="","",TSR!J100)</f>
        <v/>
      </c>
      <c r="E2249" s="787" t="str">
        <f>IF(TSR!K100="","",TSR!K100)</f>
        <v/>
      </c>
      <c r="F2249" s="787" t="str">
        <f>IF(TSR!M100="","",TSR!M100)</f>
        <v/>
      </c>
    </row>
    <row r="2250" spans="1:7" x14ac:dyDescent="0.25">
      <c r="A2250" s="787" t="s">
        <v>2829</v>
      </c>
      <c r="B2250" s="789" t="str">
        <f>IF(TSR!H101="","",TSR!H101)</f>
        <v/>
      </c>
      <c r="C2250" s="790">
        <f ca="1">IF(ISERROR(VLOOKUP($A$2250,INDIRECT("notes_"&amp;LEFT($A$2250,3)),4,0)),0,VLOOKUP($A$2250,INDIRECT("notes_"&amp;LEFT($A$2250,3)),4,0))</f>
        <v>0</v>
      </c>
      <c r="D2250" s="787" t="str">
        <f>IF(TSR!J101="","",TSR!J101)</f>
        <v/>
      </c>
      <c r="E2250" s="787" t="e">
        <f>IF(TSR!K101="","",TSR!K101)</f>
        <v>#N/A</v>
      </c>
      <c r="F2250" s="787" t="e">
        <f>IF(TSR!M101="","",TSR!M101)</f>
        <v>#N/A</v>
      </c>
    </row>
    <row r="2251" spans="1:7" x14ac:dyDescent="0.25">
      <c r="A2251" s="787" t="s">
        <v>2830</v>
      </c>
      <c r="B2251" s="789" t="str">
        <f>IF(TSR!H102="","",TSR!H102)</f>
        <v/>
      </c>
      <c r="C2251" s="790">
        <f ca="1">IF(ISERROR(VLOOKUP($A$2251,INDIRECT("notes_"&amp;LEFT($A$2251,3)),4,0)),0,VLOOKUP($A$2251,INDIRECT("notes_"&amp;LEFT($A$2251,3)),4,0))</f>
        <v>0</v>
      </c>
      <c r="D2251" s="787" t="str">
        <f>IF(TSR!J102="","",TSR!J102)</f>
        <v/>
      </c>
      <c r="E2251" s="787" t="str">
        <f>IF(TSR!K102="","",TSR!K102)</f>
        <v/>
      </c>
      <c r="F2251" s="787" t="str">
        <f>IF(TSR!M102="","",TSR!M102)</f>
        <v/>
      </c>
    </row>
    <row r="2252" spans="1:7" x14ac:dyDescent="0.25">
      <c r="A2252" s="787" t="s">
        <v>2831</v>
      </c>
      <c r="B2252" s="789" t="str">
        <f>IF(TSR!H103="","",TSR!H103)</f>
        <v/>
      </c>
      <c r="C2252" s="790">
        <f ca="1">IF(ISERROR(VLOOKUP($A$2252,INDIRECT("notes_"&amp;LEFT($A$2252,3)),4,0)),0,VLOOKUP($A$2252,INDIRECT("notes_"&amp;LEFT($A$2252,3)),4,0))</f>
        <v>0</v>
      </c>
      <c r="D2252" s="787" t="str">
        <f>IF(TSR!J103="","",TSR!J103)</f>
        <v/>
      </c>
      <c r="E2252" s="787" t="str">
        <f>IF(TSR!K103="","",TSR!K103)</f>
        <v/>
      </c>
      <c r="F2252" s="787" t="str">
        <f>IF(TSR!M103="","",TSR!M103)</f>
        <v/>
      </c>
    </row>
    <row r="2253" spans="1:7" x14ac:dyDescent="0.25">
      <c r="A2253" s="787" t="s">
        <v>2832</v>
      </c>
      <c r="B2253" s="789" t="str">
        <f>IF(TSR!H104="","",TSR!H104)</f>
        <v/>
      </c>
      <c r="C2253" s="790">
        <f ca="1">IF(ISERROR(VLOOKUP($A$2253,INDIRECT("notes_"&amp;LEFT($A$2253,3)),4,0)),0,VLOOKUP($A$2253,INDIRECT("notes_"&amp;LEFT($A$2253,3)),4,0))</f>
        <v>0</v>
      </c>
      <c r="D2253" s="787" t="str">
        <f>IF(TSR!J104="","",TSR!J104)</f>
        <v/>
      </c>
      <c r="E2253" s="787" t="str">
        <f>IF(TSR!K104="","",TSR!K104)</f>
        <v/>
      </c>
      <c r="F2253" s="787" t="str">
        <f>IF(TSR!M104="","",TSR!M104)</f>
        <v/>
      </c>
    </row>
    <row r="2254" spans="1:7" x14ac:dyDescent="0.25">
      <c r="A2254" s="787" t="s">
        <v>2833</v>
      </c>
      <c r="B2254" s="789">
        <f>TSR!H105</f>
        <v>0</v>
      </c>
      <c r="C2254" s="790">
        <f ca="1">IF(ISERROR(VLOOKUP($A$2254,INDIRECT("notes_"&amp;LEFT($A$2254,3)),4,0)),0,VLOOKUP($A$2254,INDIRECT("notes_"&amp;LEFT($A$2254,3)),4,0))</f>
        <v>0</v>
      </c>
      <c r="D2254" s="787" t="str">
        <f>IF(TSR!J105="","",TSR!J105)</f>
        <v/>
      </c>
      <c r="E2254" s="787" t="str">
        <f>IF(TSR!K105="","",TSR!K105)</f>
        <v/>
      </c>
      <c r="F2254" s="787" t="str">
        <f>IF(TSR!M105="","",TSR!M105)</f>
        <v/>
      </c>
    </row>
    <row r="2255" spans="1:7" x14ac:dyDescent="0.25">
      <c r="A2255" s="787" t="s">
        <v>2834</v>
      </c>
      <c r="B2255" s="789">
        <f>IF(SAR!C$36="","",SAR!C$36)</f>
        <v>0</v>
      </c>
      <c r="C2255" s="790">
        <f ca="1">IF(ISERROR(VLOOKUP($A$2255,INDIRECT("notes_"&amp;LEFT($A$2255,3)),4,0)),0,VLOOKUP($A$2255,INDIRECT("notes_"&amp;LEFT($A$2255,3)),4,0))</f>
        <v>0</v>
      </c>
    </row>
    <row r="2256" spans="1:7" x14ac:dyDescent="0.25">
      <c r="A2256" s="787" t="s">
        <v>2836</v>
      </c>
      <c r="B2256" s="789">
        <f>IF(SAR!C$37="","",SAR!C$37)</f>
        <v>0</v>
      </c>
      <c r="C2256" s="790">
        <f ca="1">IF(ISERROR(VLOOKUP($A$2256,INDIRECT("notes_"&amp;LEFT($A$2256,3)),4,0)),0,VLOOKUP($A$2256,INDIRECT("notes_"&amp;LEFT($A$2256,3)),4,0))</f>
        <v>0</v>
      </c>
    </row>
    <row r="2257" spans="1:3" x14ac:dyDescent="0.25">
      <c r="A2257" s="787" t="s">
        <v>2837</v>
      </c>
      <c r="B2257" s="789">
        <f>IF(SAR!C$38="","",SAR!C$38)</f>
        <v>0</v>
      </c>
      <c r="C2257" s="790">
        <f ca="1">IF(ISERROR(VLOOKUP($A$2257,INDIRECT("notes_"&amp;LEFT($A$2257,3)),4,0)),0,VLOOKUP($A$2257,INDIRECT("notes_"&amp;LEFT($A$2257,3)),4,0))</f>
        <v>0</v>
      </c>
    </row>
    <row r="2258" spans="1:3" x14ac:dyDescent="0.25">
      <c r="A2258" s="787" t="s">
        <v>2838</v>
      </c>
      <c r="B2258" s="789">
        <f>IF(SAR!C$39="","",SAR!C$39)</f>
        <v>0</v>
      </c>
      <c r="C2258" s="790">
        <f ca="1">IF(ISERROR(VLOOKUP($A$2258,INDIRECT("notes_"&amp;LEFT($A$2258,3)),4,0)),0,VLOOKUP($A$2258,INDIRECT("notes_"&amp;LEFT($A$2258,3)),4,0))</f>
        <v>0</v>
      </c>
    </row>
    <row r="2259" spans="1:3" x14ac:dyDescent="0.25">
      <c r="A2259" s="787" t="s">
        <v>2839</v>
      </c>
      <c r="B2259" s="789">
        <f>IF(SAR!C$40="","",SAR!C$40)</f>
        <v>0</v>
      </c>
      <c r="C2259" s="790">
        <f ca="1">IF(ISERROR(VLOOKUP($A$2259,INDIRECT("notes_"&amp;LEFT($A$2259,3)),4,0)),0,VLOOKUP($A$2259,INDIRECT("notes_"&amp;LEFT($A$2259,3)),4,0))</f>
        <v>0</v>
      </c>
    </row>
    <row r="2260" spans="1:3" x14ac:dyDescent="0.25">
      <c r="A2260" s="787" t="s">
        <v>2840</v>
      </c>
      <c r="B2260" s="789">
        <f>IF(SAR!C$43="","",SAR!C$43)</f>
        <v>0</v>
      </c>
      <c r="C2260" s="790">
        <f ca="1">IF(ISERROR(VLOOKUP($A$2260,INDIRECT("notes_"&amp;LEFT($A$2260,3)),4,0)),0,VLOOKUP($A$2260,INDIRECT("notes_"&amp;LEFT($A$2260,3)),4,0))</f>
        <v>0</v>
      </c>
    </row>
    <row r="2261" spans="1:3" x14ac:dyDescent="0.25">
      <c r="A2261" s="787" t="s">
        <v>2841</v>
      </c>
      <c r="B2261" s="789">
        <f>IF(SAR!C$44="","",SAR!C$44)</f>
        <v>0</v>
      </c>
      <c r="C2261" s="790">
        <f ca="1">IF(ISERROR(VLOOKUP($A$2261,INDIRECT("notes_"&amp;LEFT($A$2261,3)),4,0)),0,VLOOKUP($A$2261,INDIRECT("notes_"&amp;LEFT($A$2261,3)),4,0))</f>
        <v>0</v>
      </c>
    </row>
    <row r="2262" spans="1:3" x14ac:dyDescent="0.25">
      <c r="A2262" s="787" t="s">
        <v>2842</v>
      </c>
      <c r="B2262" s="789">
        <f>IF(SAR!C$45="","",SAR!C$45)</f>
        <v>0</v>
      </c>
      <c r="C2262" s="790">
        <f ca="1">IF(ISERROR(VLOOKUP($A$2262,INDIRECT("notes_"&amp;LEFT($A$2262,3)),4,0)),0,VLOOKUP($A$2262,INDIRECT("notes_"&amp;LEFT($A$2262,3)),4,0))</f>
        <v>0</v>
      </c>
    </row>
    <row r="2263" spans="1:3" x14ac:dyDescent="0.25">
      <c r="A2263" s="787" t="s">
        <v>2843</v>
      </c>
      <c r="B2263" s="789">
        <f>IF(SAR!C$46="","",SAR!C$46)</f>
        <v>0</v>
      </c>
      <c r="C2263" s="790">
        <f ca="1">IF(ISERROR(VLOOKUP($A$2263,INDIRECT("notes_"&amp;LEFT($A$2263,3)),4,0)),0,VLOOKUP($A$2263,INDIRECT("notes_"&amp;LEFT($A$2263,3)),4,0))</f>
        <v>0</v>
      </c>
    </row>
    <row r="2264" spans="1:3" x14ac:dyDescent="0.25">
      <c r="A2264" s="787" t="s">
        <v>2844</v>
      </c>
      <c r="B2264" s="789">
        <f>IF(SAR!C$47="","",SAR!C$47)</f>
        <v>0</v>
      </c>
      <c r="C2264" s="790">
        <f ca="1">IF(ISERROR(VLOOKUP($A$2264,INDIRECT("notes_"&amp;LEFT($A$2264,3)),4,0)),0,VLOOKUP($A$2264,INDIRECT("notes_"&amp;LEFT($A$2264,3)),4,0))</f>
        <v>0</v>
      </c>
    </row>
    <row r="2265" spans="1:3" x14ac:dyDescent="0.25">
      <c r="A2265" s="787" t="s">
        <v>2845</v>
      </c>
      <c r="B2265" s="789">
        <f>IF(SAR!C$50="","",SAR!C$50)</f>
        <v>0</v>
      </c>
      <c r="C2265" s="790">
        <f ca="1">IF(ISERROR(VLOOKUP($A$2265,INDIRECT("notes_"&amp;LEFT($A$2265,3)),4,0)),0,VLOOKUP($A$2265,INDIRECT("notes_"&amp;LEFT($A$2265,3)),4,0))</f>
        <v>0</v>
      </c>
    </row>
    <row r="2266" spans="1:3" x14ac:dyDescent="0.25">
      <c r="A2266" s="787" t="s">
        <v>2846</v>
      </c>
      <c r="B2266" s="789">
        <f>IF(SAR!C$51="","",SAR!C$51)</f>
        <v>0</v>
      </c>
      <c r="C2266" s="790">
        <f ca="1">IF(ISERROR(VLOOKUP($A$2266,INDIRECT("notes_"&amp;LEFT($A$2266,3)),4,0)),0,VLOOKUP($A$2266,INDIRECT("notes_"&amp;LEFT($A$2266,3)),4,0))</f>
        <v>0</v>
      </c>
    </row>
    <row r="2267" spans="1:3" x14ac:dyDescent="0.25">
      <c r="A2267" s="787" t="s">
        <v>2847</v>
      </c>
      <c r="B2267" s="789">
        <f>IF(SAR!C$52="","",SAR!C$52)</f>
        <v>0</v>
      </c>
      <c r="C2267" s="790">
        <f ca="1">IF(ISERROR(VLOOKUP($A$2267,INDIRECT("notes_"&amp;LEFT($A$2267,3)),4,0)),0,VLOOKUP($A$2267,INDIRECT("notes_"&amp;LEFT($A$2267,3)),4,0))</f>
        <v>0</v>
      </c>
    </row>
    <row r="2268" spans="1:3" x14ac:dyDescent="0.25">
      <c r="A2268" s="787" t="s">
        <v>2848</v>
      </c>
      <c r="B2268" s="789">
        <f>IF(SAR!C$53="","",SAR!C$53)</f>
        <v>0</v>
      </c>
      <c r="C2268" s="790">
        <f ca="1">IF(ISERROR(VLOOKUP($A$2268,INDIRECT("notes_"&amp;LEFT($A$2268,3)),4,0)),0,VLOOKUP($A$2268,INDIRECT("notes_"&amp;LEFT($A$2268,3)),4,0))</f>
        <v>0</v>
      </c>
    </row>
    <row r="2269" spans="1:3" x14ac:dyDescent="0.25">
      <c r="A2269" s="787" t="s">
        <v>2849</v>
      </c>
      <c r="B2269" s="789">
        <f>IF(SAR!C$54="","",SAR!C$54)</f>
        <v>0</v>
      </c>
      <c r="C2269" s="790">
        <f ca="1">IF(ISERROR(VLOOKUP($A$2269,INDIRECT("notes_"&amp;LEFT($A$2269,3)),4,0)),0,VLOOKUP($A$2269,INDIRECT("notes_"&amp;LEFT($A$2269,3)),4,0))</f>
        <v>0</v>
      </c>
    </row>
    <row r="2270" spans="1:3" x14ac:dyDescent="0.25">
      <c r="A2270" s="787" t="s">
        <v>2850</v>
      </c>
      <c r="B2270" s="789">
        <f>IF(SAR!C$56="","",SAR!C$56)</f>
        <v>0</v>
      </c>
      <c r="C2270" s="790">
        <f ca="1">IF(ISERROR(VLOOKUP($A$2270,INDIRECT("notes_"&amp;LEFT($A$2270,3)),4,0)),0,VLOOKUP($A$2270,INDIRECT("notes_"&amp;LEFT($A$2270,3)),4,0))</f>
        <v>0</v>
      </c>
    </row>
    <row r="2271" spans="1:3" x14ac:dyDescent="0.25">
      <c r="A2271" s="787" t="s">
        <v>2851</v>
      </c>
      <c r="B2271" s="789">
        <f>IF(SAR!C$58="","",SAR!C$58)</f>
        <v>0</v>
      </c>
      <c r="C2271" s="790">
        <f ca="1">IF(ISERROR(VLOOKUP($A$2271,INDIRECT("notes_"&amp;LEFT($A$2271,3)),4,0)),0,VLOOKUP($A$2271,INDIRECT("notes_"&amp;LEFT($A$2271,3)),4,0))</f>
        <v>0</v>
      </c>
    </row>
    <row r="2272" spans="1:3" x14ac:dyDescent="0.25">
      <c r="A2272" s="787" t="s">
        <v>4565</v>
      </c>
      <c r="B2272" s="789" t="str">
        <f>IF(SAR!D$36="","",SAR!D$36)</f>
        <v/>
      </c>
      <c r="C2272" s="790">
        <f ca="1">IF(ISERROR(VLOOKUP($A$2255,INDIRECT("notes_"&amp;LEFT($A$2255,3)),4,0)),0,VLOOKUP($A$2255,INDIRECT("notes_"&amp;LEFT($A$2255,3)),4,0))</f>
        <v>0</v>
      </c>
    </row>
    <row r="2273" spans="1:3" x14ac:dyDescent="0.25">
      <c r="A2273" s="787" t="s">
        <v>4566</v>
      </c>
      <c r="B2273" s="789" t="str">
        <f>IF(SAR!D$37="","",SAR!D$37)</f>
        <v/>
      </c>
      <c r="C2273" s="790">
        <f ca="1">IF(ISERROR(VLOOKUP($A$2256,INDIRECT("notes_"&amp;LEFT($A$2256,3)),4,0)),0,VLOOKUP($A$2256,INDIRECT("notes_"&amp;LEFT($A$2256,3)),4,0))</f>
        <v>0</v>
      </c>
    </row>
    <row r="2274" spans="1:3" x14ac:dyDescent="0.25">
      <c r="A2274" s="787" t="s">
        <v>4567</v>
      </c>
      <c r="B2274" s="789" t="str">
        <f>IF(SAR!D$38="","",SAR!D$38)</f>
        <v/>
      </c>
      <c r="C2274" s="790">
        <f ca="1">IF(ISERROR(VLOOKUP($A$2257,INDIRECT("notes_"&amp;LEFT($A$2257,3)),4,0)),0,VLOOKUP($A$2257,INDIRECT("notes_"&amp;LEFT($A$2257,3)),4,0))</f>
        <v>0</v>
      </c>
    </row>
    <row r="2275" spans="1:3" x14ac:dyDescent="0.25">
      <c r="A2275" s="787" t="s">
        <v>4568</v>
      </c>
      <c r="B2275" s="789" t="str">
        <f>IF(SAR!D$39="","",SAR!D$39)</f>
        <v/>
      </c>
      <c r="C2275" s="790">
        <f ca="1">IF(ISERROR(VLOOKUP($A$2258,INDIRECT("notes_"&amp;LEFT($A$2258,3)),4,0)),0,VLOOKUP($A$2258,INDIRECT("notes_"&amp;LEFT($A$2258,3)),4,0))</f>
        <v>0</v>
      </c>
    </row>
    <row r="2276" spans="1:3" x14ac:dyDescent="0.25">
      <c r="A2276" s="787" t="s">
        <v>4569</v>
      </c>
      <c r="B2276" s="789">
        <f>IF(SAR!D$40="","",SAR!D$40)</f>
        <v>0</v>
      </c>
      <c r="C2276" s="790">
        <f ca="1">IF(ISERROR(VLOOKUP($A$2259,INDIRECT("notes_"&amp;LEFT($A$2259,3)),4,0)),0,VLOOKUP($A$2259,INDIRECT("notes_"&amp;LEFT($A$2259,3)),4,0))</f>
        <v>0</v>
      </c>
    </row>
    <row r="2277" spans="1:3" x14ac:dyDescent="0.25">
      <c r="A2277" s="787" t="s">
        <v>4570</v>
      </c>
      <c r="B2277" s="789" t="str">
        <f>IF(SAR!D$43="","",SAR!D$43)</f>
        <v/>
      </c>
      <c r="C2277" s="790">
        <f ca="1">IF(ISERROR(VLOOKUP($A$2260,INDIRECT("notes_"&amp;LEFT($A$2260,3)),4,0)),0,VLOOKUP($A$2260,INDIRECT("notes_"&amp;LEFT($A$2260,3)),4,0))</f>
        <v>0</v>
      </c>
    </row>
    <row r="2278" spans="1:3" x14ac:dyDescent="0.25">
      <c r="A2278" s="787" t="s">
        <v>4571</v>
      </c>
      <c r="B2278" s="789" t="str">
        <f>IF(SAR!D$44="","",SAR!D$44)</f>
        <v/>
      </c>
      <c r="C2278" s="790">
        <f ca="1">IF(ISERROR(VLOOKUP($A$2261,INDIRECT("notes_"&amp;LEFT($A$2261,3)),4,0)),0,VLOOKUP($A$2261,INDIRECT("notes_"&amp;LEFT($A$2261,3)),4,0))</f>
        <v>0</v>
      </c>
    </row>
    <row r="2279" spans="1:3" x14ac:dyDescent="0.25">
      <c r="A2279" s="787" t="s">
        <v>4572</v>
      </c>
      <c r="B2279" s="789" t="str">
        <f>IF(SAR!D$45="","",SAR!D$45)</f>
        <v/>
      </c>
      <c r="C2279" s="790">
        <f ca="1">IF(ISERROR(VLOOKUP($A$2262,INDIRECT("notes_"&amp;LEFT($A$2262,3)),4,0)),0,VLOOKUP($A$2262,INDIRECT("notes_"&amp;LEFT($A$2262,3)),4,0))</f>
        <v>0</v>
      </c>
    </row>
    <row r="2280" spans="1:3" x14ac:dyDescent="0.25">
      <c r="A2280" s="787" t="s">
        <v>4573</v>
      </c>
      <c r="B2280" s="789" t="str">
        <f>IF(SAR!D$46="","",SAR!D$46)</f>
        <v/>
      </c>
      <c r="C2280" s="790">
        <f ca="1">IF(ISERROR(VLOOKUP($A$2263,INDIRECT("notes_"&amp;LEFT($A$2263,3)),4,0)),0,VLOOKUP($A$2263,INDIRECT("notes_"&amp;LEFT($A$2263,3)),4,0))</f>
        <v>0</v>
      </c>
    </row>
    <row r="2281" spans="1:3" x14ac:dyDescent="0.25">
      <c r="A2281" s="787" t="s">
        <v>4574</v>
      </c>
      <c r="B2281" s="789">
        <f>IF(SAR!D$47="","",SAR!D$47)</f>
        <v>0</v>
      </c>
      <c r="C2281" s="790">
        <f ca="1">IF(ISERROR(VLOOKUP($A$2264,INDIRECT("notes_"&amp;LEFT($A$2264,3)),4,0)),0,VLOOKUP($A$2264,INDIRECT("notes_"&amp;LEFT($A$2264,3)),4,0))</f>
        <v>0</v>
      </c>
    </row>
    <row r="2282" spans="1:3" x14ac:dyDescent="0.25">
      <c r="A2282" s="787" t="s">
        <v>4575</v>
      </c>
      <c r="B2282" s="789" t="str">
        <f>IF(SAR!D$50="","",SAR!D$50)</f>
        <v/>
      </c>
      <c r="C2282" s="790">
        <f ca="1">IF(ISERROR(VLOOKUP($A$2265,INDIRECT("notes_"&amp;LEFT($A$2265,3)),4,0)),0,VLOOKUP($A$2265,INDIRECT("notes_"&amp;LEFT($A$2265,3)),4,0))</f>
        <v>0</v>
      </c>
    </row>
    <row r="2283" spans="1:3" x14ac:dyDescent="0.25">
      <c r="A2283" s="787" t="s">
        <v>4576</v>
      </c>
      <c r="B2283" s="789" t="str">
        <f>IF(SAR!D$51="","",SAR!D$51)</f>
        <v/>
      </c>
      <c r="C2283" s="790">
        <f ca="1">IF(ISERROR(VLOOKUP($A$2266,INDIRECT("notes_"&amp;LEFT($A$2266,3)),4,0)),0,VLOOKUP($A$2266,INDIRECT("notes_"&amp;LEFT($A$2266,3)),4,0))</f>
        <v>0</v>
      </c>
    </row>
    <row r="2284" spans="1:3" x14ac:dyDescent="0.25">
      <c r="A2284" s="787" t="s">
        <v>4577</v>
      </c>
      <c r="B2284" s="789" t="str">
        <f>IF(SAR!D$52="","",SAR!D$52)</f>
        <v/>
      </c>
      <c r="C2284" s="790">
        <f ca="1">IF(ISERROR(VLOOKUP($A$2267,INDIRECT("notes_"&amp;LEFT($A$2267,3)),4,0)),0,VLOOKUP($A$2267,INDIRECT("notes_"&amp;LEFT($A$2267,3)),4,0))</f>
        <v>0</v>
      </c>
    </row>
    <row r="2285" spans="1:3" x14ac:dyDescent="0.25">
      <c r="A2285" s="787" t="s">
        <v>4578</v>
      </c>
      <c r="B2285" s="789" t="str">
        <f>IF(SAR!D$53="","",SAR!D$53)</f>
        <v/>
      </c>
      <c r="C2285" s="790">
        <f ca="1">IF(ISERROR(VLOOKUP($A$2268,INDIRECT("notes_"&amp;LEFT($A$2268,3)),4,0)),0,VLOOKUP($A$2268,INDIRECT("notes_"&amp;LEFT($A$2268,3)),4,0))</f>
        <v>0</v>
      </c>
    </row>
    <row r="2286" spans="1:3" x14ac:dyDescent="0.25">
      <c r="A2286" s="787" t="s">
        <v>4579</v>
      </c>
      <c r="B2286" s="789">
        <f>IF(SAR!D$54="","",SAR!D$54)</f>
        <v>0</v>
      </c>
      <c r="C2286" s="790">
        <f ca="1">IF(ISERROR(VLOOKUP($A$2269,INDIRECT("notes_"&amp;LEFT($A$2269,3)),4,0)),0,VLOOKUP($A$2269,INDIRECT("notes_"&amp;LEFT($A$2269,3)),4,0))</f>
        <v>0</v>
      </c>
    </row>
    <row r="2287" spans="1:3" x14ac:dyDescent="0.25">
      <c r="A2287" s="787" t="s">
        <v>4580</v>
      </c>
      <c r="B2287" s="789" t="str">
        <f>IF(SAR!D$56="","",SAR!D$56)</f>
        <v/>
      </c>
      <c r="C2287" s="790">
        <f ca="1">IF(ISERROR(VLOOKUP($A$2270,INDIRECT("notes_"&amp;LEFT($A$2270,3)),4,0)),0,VLOOKUP($A$2270,INDIRECT("notes_"&amp;LEFT($A$2270,3)),4,0))</f>
        <v>0</v>
      </c>
    </row>
    <row r="2288" spans="1:3" x14ac:dyDescent="0.25">
      <c r="A2288" s="787" t="s">
        <v>4581</v>
      </c>
      <c r="B2288" s="789">
        <f>IF(SAR!D$58="","",SAR!D$58)</f>
        <v>0</v>
      </c>
      <c r="C2288" s="790">
        <f ca="1">IF(ISERROR(VLOOKUP($A$2271,INDIRECT("notes_"&amp;LEFT($A$2271,3)),4,0)),0,VLOOKUP($A$2271,INDIRECT("notes_"&amp;LEFT($A$2271,3)),4,0))</f>
        <v>0</v>
      </c>
    </row>
    <row r="2289" spans="1:3" x14ac:dyDescent="0.25">
      <c r="A2289" s="787" t="s">
        <v>4582</v>
      </c>
      <c r="B2289" s="789" t="str">
        <f>IF(SAR!E$36="","",SAR!E$36)</f>
        <v/>
      </c>
      <c r="C2289" s="790">
        <f ca="1">IF(ISERROR(VLOOKUP($A$2255,INDIRECT("notes_"&amp;LEFT($A$2255,3)),4,0)),0,VLOOKUP($A$2255,INDIRECT("notes_"&amp;LEFT($A$2255,3)),4,0))</f>
        <v>0</v>
      </c>
    </row>
    <row r="2290" spans="1:3" x14ac:dyDescent="0.25">
      <c r="A2290" s="787" t="s">
        <v>4583</v>
      </c>
      <c r="B2290" s="789" t="str">
        <f>IF(SAR!E$37="","",SAR!E$37)</f>
        <v/>
      </c>
      <c r="C2290" s="790">
        <f ca="1">IF(ISERROR(VLOOKUP($A$2256,INDIRECT("notes_"&amp;LEFT($A$2256,3)),4,0)),0,VLOOKUP($A$2256,INDIRECT("notes_"&amp;LEFT($A$2256,3)),4,0))</f>
        <v>0</v>
      </c>
    </row>
    <row r="2291" spans="1:3" x14ac:dyDescent="0.25">
      <c r="A2291" s="787" t="s">
        <v>4584</v>
      </c>
      <c r="B2291" s="789" t="str">
        <f>IF(SAR!E$38="","",SAR!E$38)</f>
        <v/>
      </c>
      <c r="C2291" s="790">
        <f ca="1">IF(ISERROR(VLOOKUP($A$2257,INDIRECT("notes_"&amp;LEFT($A$2257,3)),4,0)),0,VLOOKUP($A$2257,INDIRECT("notes_"&amp;LEFT($A$2257,3)),4,0))</f>
        <v>0</v>
      </c>
    </row>
    <row r="2292" spans="1:3" x14ac:dyDescent="0.25">
      <c r="A2292" s="787" t="s">
        <v>4585</v>
      </c>
      <c r="B2292" s="789" t="str">
        <f>IF(SAR!E$39="","",SAR!E$39)</f>
        <v/>
      </c>
      <c r="C2292" s="790">
        <f ca="1">IF(ISERROR(VLOOKUP($A$2258,INDIRECT("notes_"&amp;LEFT($A$2258,3)),4,0)),0,VLOOKUP($A$2258,INDIRECT("notes_"&amp;LEFT($A$2258,3)),4,0))</f>
        <v>0</v>
      </c>
    </row>
    <row r="2293" spans="1:3" x14ac:dyDescent="0.25">
      <c r="A2293" s="787" t="s">
        <v>4586</v>
      </c>
      <c r="B2293" s="789">
        <f>IF(SAR!E$40="","",SAR!E$40)</f>
        <v>0</v>
      </c>
      <c r="C2293" s="790">
        <f ca="1">IF(ISERROR(VLOOKUP($A$2259,INDIRECT("notes_"&amp;LEFT($A$2259,3)),4,0)),0,VLOOKUP($A$2259,INDIRECT("notes_"&amp;LEFT($A$2259,3)),4,0))</f>
        <v>0</v>
      </c>
    </row>
    <row r="2294" spans="1:3" x14ac:dyDescent="0.25">
      <c r="A2294" s="787" t="s">
        <v>4587</v>
      </c>
      <c r="B2294" s="789" t="str">
        <f>IF(SAR!E$43="","",SAR!E$43)</f>
        <v/>
      </c>
      <c r="C2294" s="790">
        <f ca="1">IF(ISERROR(VLOOKUP($A$2260,INDIRECT("notes_"&amp;LEFT($A$2260,3)),4,0)),0,VLOOKUP($A$2260,INDIRECT("notes_"&amp;LEFT($A$2260,3)),4,0))</f>
        <v>0</v>
      </c>
    </row>
    <row r="2295" spans="1:3" x14ac:dyDescent="0.25">
      <c r="A2295" s="787" t="s">
        <v>4588</v>
      </c>
      <c r="B2295" s="789" t="str">
        <f>IF(SAR!E$44="","",SAR!E$44)</f>
        <v/>
      </c>
      <c r="C2295" s="790">
        <f ca="1">IF(ISERROR(VLOOKUP($A$2261,INDIRECT("notes_"&amp;LEFT($A$2261,3)),4,0)),0,VLOOKUP($A$2261,INDIRECT("notes_"&amp;LEFT($A$2261,3)),4,0))</f>
        <v>0</v>
      </c>
    </row>
    <row r="2296" spans="1:3" x14ac:dyDescent="0.25">
      <c r="A2296" s="787" t="s">
        <v>4589</v>
      </c>
      <c r="B2296" s="789" t="str">
        <f>IF(SAR!E$45="","",SAR!E$45)</f>
        <v/>
      </c>
      <c r="C2296" s="790">
        <f ca="1">IF(ISERROR(VLOOKUP($A$2262,INDIRECT("notes_"&amp;LEFT($A$2262,3)),4,0)),0,VLOOKUP($A$2262,INDIRECT("notes_"&amp;LEFT($A$2262,3)),4,0))</f>
        <v>0</v>
      </c>
    </row>
    <row r="2297" spans="1:3" x14ac:dyDescent="0.25">
      <c r="A2297" s="787" t="s">
        <v>4590</v>
      </c>
      <c r="B2297" s="789" t="str">
        <f>IF(SAR!E$46="","",SAR!E$46)</f>
        <v/>
      </c>
      <c r="C2297" s="790">
        <f ca="1">IF(ISERROR(VLOOKUP($A$2263,INDIRECT("notes_"&amp;LEFT($A$2263,3)),4,0)),0,VLOOKUP($A$2263,INDIRECT("notes_"&amp;LEFT($A$2263,3)),4,0))</f>
        <v>0</v>
      </c>
    </row>
    <row r="2298" spans="1:3" x14ac:dyDescent="0.25">
      <c r="A2298" s="787" t="s">
        <v>4591</v>
      </c>
      <c r="B2298" s="789">
        <f>IF(SAR!E$47="","",SAR!E$47)</f>
        <v>0</v>
      </c>
      <c r="C2298" s="790">
        <f ca="1">IF(ISERROR(VLOOKUP($A$2264,INDIRECT("notes_"&amp;LEFT($A$2264,3)),4,0)),0,VLOOKUP($A$2264,INDIRECT("notes_"&amp;LEFT($A$2264,3)),4,0))</f>
        <v>0</v>
      </c>
    </row>
    <row r="2299" spans="1:3" x14ac:dyDescent="0.25">
      <c r="A2299" s="787" t="s">
        <v>4592</v>
      </c>
      <c r="B2299" s="789" t="str">
        <f>IF(SAR!E$50="","",SAR!E$50)</f>
        <v/>
      </c>
      <c r="C2299" s="790">
        <f ca="1">IF(ISERROR(VLOOKUP($A$2265,INDIRECT("notes_"&amp;LEFT($A$2265,3)),4,0)),0,VLOOKUP($A$2265,INDIRECT("notes_"&amp;LEFT($A$2265,3)),4,0))</f>
        <v>0</v>
      </c>
    </row>
    <row r="2300" spans="1:3" x14ac:dyDescent="0.25">
      <c r="A2300" s="787" t="s">
        <v>4593</v>
      </c>
      <c r="B2300" s="789" t="str">
        <f>IF(SAR!E$51="","",SAR!E$51)</f>
        <v/>
      </c>
      <c r="C2300" s="790">
        <f ca="1">IF(ISERROR(VLOOKUP($A$2266,INDIRECT("notes_"&amp;LEFT($A$2266,3)),4,0)),0,VLOOKUP($A$2266,INDIRECT("notes_"&amp;LEFT($A$2266,3)),4,0))</f>
        <v>0</v>
      </c>
    </row>
    <row r="2301" spans="1:3" x14ac:dyDescent="0.25">
      <c r="A2301" s="787" t="s">
        <v>4594</v>
      </c>
      <c r="B2301" s="789" t="str">
        <f>IF(SAR!E$52="","",SAR!E$52)</f>
        <v/>
      </c>
      <c r="C2301" s="790">
        <f ca="1">IF(ISERROR(VLOOKUP($A$2267,INDIRECT("notes_"&amp;LEFT($A$2267,3)),4,0)),0,VLOOKUP($A$2267,INDIRECT("notes_"&amp;LEFT($A$2267,3)),4,0))</f>
        <v>0</v>
      </c>
    </row>
    <row r="2302" spans="1:3" x14ac:dyDescent="0.25">
      <c r="A2302" s="787" t="s">
        <v>4595</v>
      </c>
      <c r="B2302" s="789" t="str">
        <f>IF(SAR!E$53="","",SAR!E$53)</f>
        <v/>
      </c>
      <c r="C2302" s="790">
        <f ca="1">IF(ISERROR(VLOOKUP($A$2268,INDIRECT("notes_"&amp;LEFT($A$2268,3)),4,0)),0,VLOOKUP($A$2268,INDIRECT("notes_"&amp;LEFT($A$2268,3)),4,0))</f>
        <v>0</v>
      </c>
    </row>
    <row r="2303" spans="1:3" x14ac:dyDescent="0.25">
      <c r="A2303" s="787" t="s">
        <v>4596</v>
      </c>
      <c r="B2303" s="789">
        <f>IF(SAR!E$54="","",SAR!E$54)</f>
        <v>0</v>
      </c>
      <c r="C2303" s="790">
        <f ca="1">IF(ISERROR(VLOOKUP($A$2269,INDIRECT("notes_"&amp;LEFT($A$2269,3)),4,0)),0,VLOOKUP($A$2269,INDIRECT("notes_"&amp;LEFT($A$2269,3)),4,0))</f>
        <v>0</v>
      </c>
    </row>
    <row r="2304" spans="1:3" x14ac:dyDescent="0.25">
      <c r="A2304" s="787" t="s">
        <v>4597</v>
      </c>
      <c r="B2304" s="789" t="str">
        <f>IF(SAR!E$56="","",SAR!E$56)</f>
        <v/>
      </c>
      <c r="C2304" s="790">
        <f ca="1">IF(ISERROR(VLOOKUP($A$2270,INDIRECT("notes_"&amp;LEFT($A$2270,3)),4,0)),0,VLOOKUP($A$2270,INDIRECT("notes_"&amp;LEFT($A$2270,3)),4,0))</f>
        <v>0</v>
      </c>
    </row>
    <row r="2305" spans="1:3" x14ac:dyDescent="0.25">
      <c r="A2305" s="787" t="s">
        <v>4598</v>
      </c>
      <c r="B2305" s="789">
        <f>IF(SAR!E$58="","",SAR!E$58)</f>
        <v>0</v>
      </c>
      <c r="C2305" s="790">
        <f ca="1">IF(ISERROR(VLOOKUP($A$2271,INDIRECT("notes_"&amp;LEFT($A$2271,3)),4,0)),0,VLOOKUP($A$2271,INDIRECT("notes_"&amp;LEFT($A$2271,3)),4,0))</f>
        <v>0</v>
      </c>
    </row>
    <row r="2306" spans="1:3" x14ac:dyDescent="0.25">
      <c r="A2306" s="817" t="s">
        <v>4599</v>
      </c>
      <c r="B2306" s="818" t="str">
        <f>IF(SAR!F$36="","",SAR!F$36)</f>
        <v/>
      </c>
      <c r="C2306" s="819">
        <f ca="1">IF(ISERROR(VLOOKUP($A$2255,INDIRECT("notes_"&amp;LEFT($A$2255,3)),4,0)),0,VLOOKUP($A$2255,INDIRECT("notes_"&amp;LEFT($A$2255,3)),4,0))</f>
        <v>0</v>
      </c>
    </row>
    <row r="2307" spans="1:3" x14ac:dyDescent="0.25">
      <c r="A2307" s="817" t="s">
        <v>4600</v>
      </c>
      <c r="B2307" s="818" t="str">
        <f>IF(SAR!F$37="","",SAR!F$37)</f>
        <v/>
      </c>
      <c r="C2307" s="819">
        <f ca="1">IF(ISERROR(VLOOKUP($A$2256,INDIRECT("notes_"&amp;LEFT($A$2256,3)),4,0)),0,VLOOKUP($A$2256,INDIRECT("notes_"&amp;LEFT($A$2256,3)),4,0))</f>
        <v>0</v>
      </c>
    </row>
    <row r="2308" spans="1:3" x14ac:dyDescent="0.25">
      <c r="A2308" s="817" t="s">
        <v>4601</v>
      </c>
      <c r="B2308" s="818" t="str">
        <f>IF(SAR!F$38="","",SAR!F$38)</f>
        <v/>
      </c>
      <c r="C2308" s="819">
        <f ca="1">IF(ISERROR(VLOOKUP($A$2257,INDIRECT("notes_"&amp;LEFT($A$2257,3)),4,0)),0,VLOOKUP($A$2257,INDIRECT("notes_"&amp;LEFT($A$2257,3)),4,0))</f>
        <v>0</v>
      </c>
    </row>
    <row r="2309" spans="1:3" x14ac:dyDescent="0.25">
      <c r="A2309" s="817" t="s">
        <v>4602</v>
      </c>
      <c r="B2309" s="818" t="str">
        <f>IF(SAR!F$39="","",SAR!F$39)</f>
        <v/>
      </c>
      <c r="C2309" s="819">
        <f ca="1">IF(ISERROR(VLOOKUP($A$2258,INDIRECT("notes_"&amp;LEFT($A$2258,3)),4,0)),0,VLOOKUP($A$2258,INDIRECT("notes_"&amp;LEFT($A$2258,3)),4,0))</f>
        <v>0</v>
      </c>
    </row>
    <row r="2310" spans="1:3" x14ac:dyDescent="0.25">
      <c r="A2310" s="817" t="s">
        <v>4603</v>
      </c>
      <c r="B2310" s="818">
        <f>IF(SAR!F$40="","",SAR!F$40)</f>
        <v>0</v>
      </c>
      <c r="C2310" s="819">
        <f ca="1">IF(ISERROR(VLOOKUP($A$2259,INDIRECT("notes_"&amp;LEFT($A$2259,3)),4,0)),0,VLOOKUP($A$2259,INDIRECT("notes_"&amp;LEFT($A$2259,3)),4,0))</f>
        <v>0</v>
      </c>
    </row>
    <row r="2311" spans="1:3" x14ac:dyDescent="0.25">
      <c r="A2311" s="817" t="s">
        <v>4604</v>
      </c>
      <c r="B2311" s="818" t="str">
        <f>IF(SAR!F$43="","",SAR!F$43)</f>
        <v/>
      </c>
      <c r="C2311" s="819">
        <f ca="1">IF(ISERROR(VLOOKUP($A$2260,INDIRECT("notes_"&amp;LEFT($A$2260,3)),4,0)),0,VLOOKUP($A$2260,INDIRECT("notes_"&amp;LEFT($A$2260,3)),4,0))</f>
        <v>0</v>
      </c>
    </row>
    <row r="2312" spans="1:3" x14ac:dyDescent="0.25">
      <c r="A2312" s="817" t="s">
        <v>4605</v>
      </c>
      <c r="B2312" s="818" t="str">
        <f>IF(SAR!F$44="","",SAR!F$44)</f>
        <v/>
      </c>
      <c r="C2312" s="819">
        <f ca="1">IF(ISERROR(VLOOKUP($A$2261,INDIRECT("notes_"&amp;LEFT($A$2261,3)),4,0)),0,VLOOKUP($A$2261,INDIRECT("notes_"&amp;LEFT($A$2261,3)),4,0))</f>
        <v>0</v>
      </c>
    </row>
    <row r="2313" spans="1:3" x14ac:dyDescent="0.25">
      <c r="A2313" s="817" t="s">
        <v>4606</v>
      </c>
      <c r="B2313" s="818" t="str">
        <f>IF(SAR!F$45="","",SAR!F$45)</f>
        <v/>
      </c>
      <c r="C2313" s="819">
        <f ca="1">IF(ISERROR(VLOOKUP($A$2262,INDIRECT("notes_"&amp;LEFT($A$2262,3)),4,0)),0,VLOOKUP($A$2262,INDIRECT("notes_"&amp;LEFT($A$2262,3)),4,0))</f>
        <v>0</v>
      </c>
    </row>
    <row r="2314" spans="1:3" x14ac:dyDescent="0.25">
      <c r="A2314" s="817" t="s">
        <v>4607</v>
      </c>
      <c r="B2314" s="818" t="str">
        <f>IF(SAR!F$46="","",SAR!F$46)</f>
        <v/>
      </c>
      <c r="C2314" s="819">
        <f ca="1">IF(ISERROR(VLOOKUP($A$2263,INDIRECT("notes_"&amp;LEFT($A$2263,3)),4,0)),0,VLOOKUP($A$2263,INDIRECT("notes_"&amp;LEFT($A$2263,3)),4,0))</f>
        <v>0</v>
      </c>
    </row>
    <row r="2315" spans="1:3" x14ac:dyDescent="0.25">
      <c r="A2315" s="817" t="s">
        <v>4608</v>
      </c>
      <c r="B2315" s="818">
        <f>IF(SAR!F$47="","",SAR!F$47)</f>
        <v>0</v>
      </c>
      <c r="C2315" s="819">
        <f ca="1">IF(ISERROR(VLOOKUP($A$2264,INDIRECT("notes_"&amp;LEFT($A$2264,3)),4,0)),0,VLOOKUP($A$2264,INDIRECT("notes_"&amp;LEFT($A$2264,3)),4,0))</f>
        <v>0</v>
      </c>
    </row>
    <row r="2316" spans="1:3" x14ac:dyDescent="0.25">
      <c r="A2316" s="817" t="s">
        <v>4609</v>
      </c>
      <c r="B2316" s="818" t="str">
        <f>IF(SAR!F$50="","",SAR!F$50)</f>
        <v/>
      </c>
      <c r="C2316" s="819">
        <f ca="1">IF(ISERROR(VLOOKUP($A$2265,INDIRECT("notes_"&amp;LEFT($A$2265,3)),4,0)),0,VLOOKUP($A$2265,INDIRECT("notes_"&amp;LEFT($A$2265,3)),4,0))</f>
        <v>0</v>
      </c>
    </row>
    <row r="2317" spans="1:3" x14ac:dyDescent="0.25">
      <c r="A2317" s="817" t="s">
        <v>4610</v>
      </c>
      <c r="B2317" s="818" t="str">
        <f>IF(SAR!F$51="","",SAR!F$51)</f>
        <v/>
      </c>
      <c r="C2317" s="819">
        <f ca="1">IF(ISERROR(VLOOKUP($A$2266,INDIRECT("notes_"&amp;LEFT($A$2266,3)),4,0)),0,VLOOKUP($A$2266,INDIRECT("notes_"&amp;LEFT($A$2266,3)),4,0))</f>
        <v>0</v>
      </c>
    </row>
    <row r="2318" spans="1:3" x14ac:dyDescent="0.25">
      <c r="A2318" s="817" t="s">
        <v>4611</v>
      </c>
      <c r="B2318" s="818" t="str">
        <f>IF(SAR!F$52="","",SAR!F$52)</f>
        <v/>
      </c>
      <c r="C2318" s="819">
        <f ca="1">IF(ISERROR(VLOOKUP($A$2267,INDIRECT("notes_"&amp;LEFT($A$2267,3)),4,0)),0,VLOOKUP($A$2267,INDIRECT("notes_"&amp;LEFT($A$2267,3)),4,0))</f>
        <v>0</v>
      </c>
    </row>
    <row r="2319" spans="1:3" x14ac:dyDescent="0.25">
      <c r="A2319" s="817" t="s">
        <v>4612</v>
      </c>
      <c r="B2319" s="818" t="str">
        <f>IF(SAR!F$53="","",SAR!F$53)</f>
        <v/>
      </c>
      <c r="C2319" s="819">
        <f ca="1">IF(ISERROR(VLOOKUP($A$2268,INDIRECT("notes_"&amp;LEFT($A$2268,3)),4,0)),0,VLOOKUP($A$2268,INDIRECT("notes_"&amp;LEFT($A$2268,3)),4,0))</f>
        <v>0</v>
      </c>
    </row>
    <row r="2320" spans="1:3" x14ac:dyDescent="0.25">
      <c r="A2320" s="817" t="s">
        <v>4613</v>
      </c>
      <c r="B2320" s="818">
        <f>IF(SAR!F$54="","",SAR!F$54)</f>
        <v>0</v>
      </c>
      <c r="C2320" s="819">
        <f ca="1">IF(ISERROR(VLOOKUP($A$2269,INDIRECT("notes_"&amp;LEFT($A$2269,3)),4,0)),0,VLOOKUP($A$2269,INDIRECT("notes_"&amp;LEFT($A$2269,3)),4,0))</f>
        <v>0</v>
      </c>
    </row>
    <row r="2321" spans="1:3" x14ac:dyDescent="0.25">
      <c r="A2321" s="817" t="s">
        <v>4614</v>
      </c>
      <c r="B2321" s="818" t="str">
        <f>IF(SAR!F$56="","",SAR!F$56)</f>
        <v/>
      </c>
      <c r="C2321" s="819">
        <f ca="1">IF(ISERROR(VLOOKUP($A$2270,INDIRECT("notes_"&amp;LEFT($A$2270,3)),4,0)),0,VLOOKUP($A$2270,INDIRECT("notes_"&amp;LEFT($A$2270,3)),4,0))</f>
        <v>0</v>
      </c>
    </row>
    <row r="2322" spans="1:3" x14ac:dyDescent="0.25">
      <c r="A2322" s="817" t="s">
        <v>4615</v>
      </c>
      <c r="B2322" s="818">
        <f>IF(SAR!F$58="","",SAR!F$58)</f>
        <v>0</v>
      </c>
      <c r="C2322" s="819">
        <f ca="1">IF(ISERROR(VLOOKUP($A$2271,INDIRECT("notes_"&amp;LEFT($A$2271,3)),4,0)),0,VLOOKUP($A$2271,INDIRECT("notes_"&amp;LEFT($A$2271,3)),4,0))</f>
        <v>0</v>
      </c>
    </row>
    <row r="2323" spans="1:3" x14ac:dyDescent="0.25">
      <c r="A2323" s="817" t="s">
        <v>4616</v>
      </c>
      <c r="B2323" s="818" t="str">
        <f>IF(SAR!G$36="","",SAR!G$36)</f>
        <v/>
      </c>
      <c r="C2323" s="819">
        <f ca="1">IF(ISERROR(VLOOKUP($A$2255,INDIRECT("notes_"&amp;LEFT($A$2255,3)),4,0)),0,VLOOKUP($A$2255,INDIRECT("notes_"&amp;LEFT($A$2255,3)),4,0))</f>
        <v>0</v>
      </c>
    </row>
    <row r="2324" spans="1:3" x14ac:dyDescent="0.25">
      <c r="A2324" s="817" t="s">
        <v>4617</v>
      </c>
      <c r="B2324" s="818" t="str">
        <f>IF(SAR!G$37="","",SAR!G$37)</f>
        <v/>
      </c>
      <c r="C2324" s="819">
        <f ca="1">IF(ISERROR(VLOOKUP($A$2256,INDIRECT("notes_"&amp;LEFT($A$2256,3)),4,0)),0,VLOOKUP($A$2256,INDIRECT("notes_"&amp;LEFT($A$2256,3)),4,0))</f>
        <v>0</v>
      </c>
    </row>
    <row r="2325" spans="1:3" x14ac:dyDescent="0.25">
      <c r="A2325" s="817" t="s">
        <v>4618</v>
      </c>
      <c r="B2325" s="818" t="str">
        <f>IF(SAR!G$38="","",SAR!G$38)</f>
        <v/>
      </c>
      <c r="C2325" s="819">
        <f ca="1">IF(ISERROR(VLOOKUP($A$2257,INDIRECT("notes_"&amp;LEFT($A$2257,3)),4,0)),0,VLOOKUP($A$2257,INDIRECT("notes_"&amp;LEFT($A$2257,3)),4,0))</f>
        <v>0</v>
      </c>
    </row>
    <row r="2326" spans="1:3" x14ac:dyDescent="0.25">
      <c r="A2326" s="817" t="s">
        <v>4619</v>
      </c>
      <c r="B2326" s="818" t="str">
        <f>IF(SAR!G$39="","",SAR!G$39)</f>
        <v/>
      </c>
      <c r="C2326" s="819">
        <f ca="1">IF(ISERROR(VLOOKUP($A$2258,INDIRECT("notes_"&amp;LEFT($A$2258,3)),4,0)),0,VLOOKUP($A$2258,INDIRECT("notes_"&amp;LEFT($A$2258,3)),4,0))</f>
        <v>0</v>
      </c>
    </row>
    <row r="2327" spans="1:3" x14ac:dyDescent="0.25">
      <c r="A2327" s="817" t="s">
        <v>4620</v>
      </c>
      <c r="B2327" s="818">
        <f>IF(SAR!G$40="","",SAR!G$40)</f>
        <v>0</v>
      </c>
      <c r="C2327" s="819">
        <f ca="1">IF(ISERROR(VLOOKUP($A$2259,INDIRECT("notes_"&amp;LEFT($A$2259,3)),4,0)),0,VLOOKUP($A$2259,INDIRECT("notes_"&amp;LEFT($A$2259,3)),4,0))</f>
        <v>0</v>
      </c>
    </row>
    <row r="2328" spans="1:3" x14ac:dyDescent="0.25">
      <c r="A2328" s="817" t="s">
        <v>4621</v>
      </c>
      <c r="B2328" s="818" t="str">
        <f>IF(SAR!G$43="","",SAR!G$43)</f>
        <v/>
      </c>
      <c r="C2328" s="819">
        <f ca="1">IF(ISERROR(VLOOKUP($A$2260,INDIRECT("notes_"&amp;LEFT($A$2260,3)),4,0)),0,VLOOKUP($A$2260,INDIRECT("notes_"&amp;LEFT($A$2260,3)),4,0))</f>
        <v>0</v>
      </c>
    </row>
    <row r="2329" spans="1:3" x14ac:dyDescent="0.25">
      <c r="A2329" s="817" t="s">
        <v>4622</v>
      </c>
      <c r="B2329" s="818" t="str">
        <f>IF(SAR!G$44="","",SAR!G$44)</f>
        <v/>
      </c>
      <c r="C2329" s="819">
        <f ca="1">IF(ISERROR(VLOOKUP($A$2261,INDIRECT("notes_"&amp;LEFT($A$2261,3)),4,0)),0,VLOOKUP($A$2261,INDIRECT("notes_"&amp;LEFT($A$2261,3)),4,0))</f>
        <v>0</v>
      </c>
    </row>
    <row r="2330" spans="1:3" x14ac:dyDescent="0.25">
      <c r="A2330" s="817" t="s">
        <v>4623</v>
      </c>
      <c r="B2330" s="818" t="str">
        <f>IF(SAR!G$45="","",SAR!G$45)</f>
        <v/>
      </c>
      <c r="C2330" s="819">
        <f ca="1">IF(ISERROR(VLOOKUP($A$2262,INDIRECT("notes_"&amp;LEFT($A$2262,3)),4,0)),0,VLOOKUP($A$2262,INDIRECT("notes_"&amp;LEFT($A$2262,3)),4,0))</f>
        <v>0</v>
      </c>
    </row>
    <row r="2331" spans="1:3" x14ac:dyDescent="0.25">
      <c r="A2331" s="817" t="s">
        <v>4624</v>
      </c>
      <c r="B2331" s="818" t="str">
        <f>IF(SAR!G$46="","",SAR!G$46)</f>
        <v/>
      </c>
      <c r="C2331" s="819">
        <f ca="1">IF(ISERROR(VLOOKUP($A$2263,INDIRECT("notes_"&amp;LEFT($A$2263,3)),4,0)),0,VLOOKUP($A$2263,INDIRECT("notes_"&amp;LEFT($A$2263,3)),4,0))</f>
        <v>0</v>
      </c>
    </row>
    <row r="2332" spans="1:3" x14ac:dyDescent="0.25">
      <c r="A2332" s="817" t="s">
        <v>4625</v>
      </c>
      <c r="B2332" s="818">
        <f>IF(SAR!G$47="","",SAR!G$47)</f>
        <v>0</v>
      </c>
      <c r="C2332" s="819">
        <f ca="1">IF(ISERROR(VLOOKUP($A$2264,INDIRECT("notes_"&amp;LEFT($A$2264,3)),4,0)),0,VLOOKUP($A$2264,INDIRECT("notes_"&amp;LEFT($A$2264,3)),4,0))</f>
        <v>0</v>
      </c>
    </row>
    <row r="2333" spans="1:3" x14ac:dyDescent="0.25">
      <c r="A2333" s="817" t="s">
        <v>4626</v>
      </c>
      <c r="B2333" s="818" t="str">
        <f>IF(SAR!G$50="","",SAR!G$50)</f>
        <v/>
      </c>
      <c r="C2333" s="819">
        <f ca="1">IF(ISERROR(VLOOKUP($A$2265,INDIRECT("notes_"&amp;LEFT($A$2265,3)),4,0)),0,VLOOKUP($A$2265,INDIRECT("notes_"&amp;LEFT($A$2265,3)),4,0))</f>
        <v>0</v>
      </c>
    </row>
    <row r="2334" spans="1:3" x14ac:dyDescent="0.25">
      <c r="A2334" s="817" t="s">
        <v>4627</v>
      </c>
      <c r="B2334" s="818" t="str">
        <f>IF(SAR!G$51="","",SAR!G$51)</f>
        <v/>
      </c>
      <c r="C2334" s="819">
        <f ca="1">IF(ISERROR(VLOOKUP($A$2266,INDIRECT("notes_"&amp;LEFT($A$2266,3)),4,0)),0,VLOOKUP($A$2266,INDIRECT("notes_"&amp;LEFT($A$2266,3)),4,0))</f>
        <v>0</v>
      </c>
    </row>
    <row r="2335" spans="1:3" x14ac:dyDescent="0.25">
      <c r="A2335" s="817" t="s">
        <v>4628</v>
      </c>
      <c r="B2335" s="818" t="str">
        <f>IF(SAR!G$52="","",SAR!G$52)</f>
        <v/>
      </c>
      <c r="C2335" s="819">
        <f ca="1">IF(ISERROR(VLOOKUP($A$2267,INDIRECT("notes_"&amp;LEFT($A$2267,3)),4,0)),0,VLOOKUP($A$2267,INDIRECT("notes_"&amp;LEFT($A$2267,3)),4,0))</f>
        <v>0</v>
      </c>
    </row>
    <row r="2336" spans="1:3" x14ac:dyDescent="0.25">
      <c r="A2336" s="817" t="s">
        <v>4629</v>
      </c>
      <c r="B2336" s="818" t="str">
        <f>IF(SAR!G$53="","",SAR!G$53)</f>
        <v/>
      </c>
      <c r="C2336" s="819">
        <f ca="1">IF(ISERROR(VLOOKUP($A$2268,INDIRECT("notes_"&amp;LEFT($A$2268,3)),4,0)),0,VLOOKUP($A$2268,INDIRECT("notes_"&amp;LEFT($A$2268,3)),4,0))</f>
        <v>0</v>
      </c>
    </row>
    <row r="2337" spans="1:3" x14ac:dyDescent="0.25">
      <c r="A2337" s="817" t="s">
        <v>4630</v>
      </c>
      <c r="B2337" s="818">
        <f>IF(SAR!G$54="","",SAR!G$54)</f>
        <v>0</v>
      </c>
      <c r="C2337" s="819">
        <f ca="1">IF(ISERROR(VLOOKUP($A$2269,INDIRECT("notes_"&amp;LEFT($A$2269,3)),4,0)),0,VLOOKUP($A$2269,INDIRECT("notes_"&amp;LEFT($A$2269,3)),4,0))</f>
        <v>0</v>
      </c>
    </row>
    <row r="2338" spans="1:3" x14ac:dyDescent="0.25">
      <c r="A2338" s="817" t="s">
        <v>4631</v>
      </c>
      <c r="B2338" s="818" t="str">
        <f>IF(SAR!G$56="","",SAR!G$56)</f>
        <v/>
      </c>
      <c r="C2338" s="819">
        <f ca="1">IF(ISERROR(VLOOKUP($A$2270,INDIRECT("notes_"&amp;LEFT($A$2270,3)),4,0)),0,VLOOKUP($A$2270,INDIRECT("notes_"&amp;LEFT($A$2270,3)),4,0))</f>
        <v>0</v>
      </c>
    </row>
    <row r="2339" spans="1:3" x14ac:dyDescent="0.25">
      <c r="A2339" s="817" t="s">
        <v>4632</v>
      </c>
      <c r="B2339" s="818">
        <f>IF(SAR!G$58="","",SAR!G$58)</f>
        <v>0</v>
      </c>
      <c r="C2339" s="819">
        <f ca="1">IF(ISERROR(VLOOKUP($A$2271,INDIRECT("notes_"&amp;LEFT($A$2271,3)),4,0)),0,VLOOKUP($A$2271,INDIRECT("notes_"&amp;LEFT($A$2271,3)),4,0))</f>
        <v>0</v>
      </c>
    </row>
    <row r="2340" spans="1:3" x14ac:dyDescent="0.25">
      <c r="A2340" s="817" t="s">
        <v>4633</v>
      </c>
      <c r="B2340" s="818" t="str">
        <f>IF(SAR!H$36="","",SAR!H$36)</f>
        <v/>
      </c>
      <c r="C2340" s="819">
        <f ca="1">IF(ISERROR(VLOOKUP($A$2255,INDIRECT("notes_"&amp;LEFT($A$2255,3)),4,0)),0,VLOOKUP($A$2255,INDIRECT("notes_"&amp;LEFT($A$2255,3)),4,0))</f>
        <v>0</v>
      </c>
    </row>
    <row r="2341" spans="1:3" x14ac:dyDescent="0.25">
      <c r="A2341" s="817" t="s">
        <v>4634</v>
      </c>
      <c r="B2341" s="818" t="str">
        <f>IF(SAR!H$37="","",SAR!H$37)</f>
        <v/>
      </c>
      <c r="C2341" s="819">
        <f ca="1">IF(ISERROR(VLOOKUP($A$2256,INDIRECT("notes_"&amp;LEFT($A$2256,3)),4,0)),0,VLOOKUP($A$2256,INDIRECT("notes_"&amp;LEFT($A$2256,3)),4,0))</f>
        <v>0</v>
      </c>
    </row>
    <row r="2342" spans="1:3" x14ac:dyDescent="0.25">
      <c r="A2342" s="817" t="s">
        <v>4635</v>
      </c>
      <c r="B2342" s="818" t="str">
        <f>IF(SAR!H$38="","",SAR!H$38)</f>
        <v/>
      </c>
      <c r="C2342" s="819">
        <f ca="1">IF(ISERROR(VLOOKUP($A$2257,INDIRECT("notes_"&amp;LEFT($A$2257,3)),4,0)),0,VLOOKUP($A$2257,INDIRECT("notes_"&amp;LEFT($A$2257,3)),4,0))</f>
        <v>0</v>
      </c>
    </row>
    <row r="2343" spans="1:3" x14ac:dyDescent="0.25">
      <c r="A2343" s="817" t="s">
        <v>4636</v>
      </c>
      <c r="B2343" s="818" t="str">
        <f>IF(SAR!H$39="","",SAR!H$39)</f>
        <v/>
      </c>
      <c r="C2343" s="819">
        <f ca="1">IF(ISERROR(VLOOKUP($A$2258,INDIRECT("notes_"&amp;LEFT($A$2258,3)),4,0)),0,VLOOKUP($A$2258,INDIRECT("notes_"&amp;LEFT($A$2258,3)),4,0))</f>
        <v>0</v>
      </c>
    </row>
    <row r="2344" spans="1:3" x14ac:dyDescent="0.25">
      <c r="A2344" s="817" t="s">
        <v>4637</v>
      </c>
      <c r="B2344" s="818">
        <f>IF(SAR!H$40="","",SAR!H$40)</f>
        <v>0</v>
      </c>
      <c r="C2344" s="819">
        <f ca="1">IF(ISERROR(VLOOKUP($A$2259,INDIRECT("notes_"&amp;LEFT($A$2259,3)),4,0)),0,VLOOKUP($A$2259,INDIRECT("notes_"&amp;LEFT($A$2259,3)),4,0))</f>
        <v>0</v>
      </c>
    </row>
    <row r="2345" spans="1:3" x14ac:dyDescent="0.25">
      <c r="A2345" s="817" t="s">
        <v>4638</v>
      </c>
      <c r="B2345" s="818" t="str">
        <f>IF(SAR!H$43="","",SAR!H$43)</f>
        <v/>
      </c>
      <c r="C2345" s="819">
        <f ca="1">IF(ISERROR(VLOOKUP($A$2260,INDIRECT("notes_"&amp;LEFT($A$2260,3)),4,0)),0,VLOOKUP($A$2260,INDIRECT("notes_"&amp;LEFT($A$2260,3)),4,0))</f>
        <v>0</v>
      </c>
    </row>
    <row r="2346" spans="1:3" x14ac:dyDescent="0.25">
      <c r="A2346" s="817" t="s">
        <v>4639</v>
      </c>
      <c r="B2346" s="818" t="str">
        <f>IF(SAR!H$44="","",SAR!H$44)</f>
        <v/>
      </c>
      <c r="C2346" s="819">
        <f ca="1">IF(ISERROR(VLOOKUP($A$2261,INDIRECT("notes_"&amp;LEFT($A$2261,3)),4,0)),0,VLOOKUP($A$2261,INDIRECT("notes_"&amp;LEFT($A$2261,3)),4,0))</f>
        <v>0</v>
      </c>
    </row>
    <row r="2347" spans="1:3" x14ac:dyDescent="0.25">
      <c r="A2347" s="817" t="s">
        <v>4640</v>
      </c>
      <c r="B2347" s="818" t="str">
        <f>IF(SAR!H$45="","",SAR!H$45)</f>
        <v/>
      </c>
      <c r="C2347" s="819">
        <f ca="1">IF(ISERROR(VLOOKUP($A$2262,INDIRECT("notes_"&amp;LEFT($A$2262,3)),4,0)),0,VLOOKUP($A$2262,INDIRECT("notes_"&amp;LEFT($A$2262,3)),4,0))</f>
        <v>0</v>
      </c>
    </row>
    <row r="2348" spans="1:3" x14ac:dyDescent="0.25">
      <c r="A2348" s="817" t="s">
        <v>4641</v>
      </c>
      <c r="B2348" s="818" t="str">
        <f>IF(SAR!H$46="","",SAR!H$46)</f>
        <v/>
      </c>
      <c r="C2348" s="819">
        <f ca="1">IF(ISERROR(VLOOKUP($A$2263,INDIRECT("notes_"&amp;LEFT($A$2263,3)),4,0)),0,VLOOKUP($A$2263,INDIRECT("notes_"&amp;LEFT($A$2263,3)),4,0))</f>
        <v>0</v>
      </c>
    </row>
    <row r="2349" spans="1:3" x14ac:dyDescent="0.25">
      <c r="A2349" s="817" t="s">
        <v>4642</v>
      </c>
      <c r="B2349" s="818">
        <f>IF(SAR!H$47="","",SAR!H$47)</f>
        <v>0</v>
      </c>
      <c r="C2349" s="819">
        <f ca="1">IF(ISERROR(VLOOKUP($A$2264,INDIRECT("notes_"&amp;LEFT($A$2264,3)),4,0)),0,VLOOKUP($A$2264,INDIRECT("notes_"&amp;LEFT($A$2264,3)),4,0))</f>
        <v>0</v>
      </c>
    </row>
    <row r="2350" spans="1:3" x14ac:dyDescent="0.25">
      <c r="A2350" s="817" t="s">
        <v>4643</v>
      </c>
      <c r="B2350" s="818" t="str">
        <f>IF(SAR!H$50="","",SAR!H$50)</f>
        <v/>
      </c>
      <c r="C2350" s="819">
        <f ca="1">IF(ISERROR(VLOOKUP($A$2265,INDIRECT("notes_"&amp;LEFT($A$2265,3)),4,0)),0,VLOOKUP($A$2265,INDIRECT("notes_"&amp;LEFT($A$2265,3)),4,0))</f>
        <v>0</v>
      </c>
    </row>
    <row r="2351" spans="1:3" x14ac:dyDescent="0.25">
      <c r="A2351" s="817" t="s">
        <v>4644</v>
      </c>
      <c r="B2351" s="818" t="str">
        <f>IF(SAR!H$51="","",SAR!H$51)</f>
        <v/>
      </c>
      <c r="C2351" s="819">
        <f ca="1">IF(ISERROR(VLOOKUP($A$2266,INDIRECT("notes_"&amp;LEFT($A$2266,3)),4,0)),0,VLOOKUP($A$2266,INDIRECT("notes_"&amp;LEFT($A$2266,3)),4,0))</f>
        <v>0</v>
      </c>
    </row>
    <row r="2352" spans="1:3" x14ac:dyDescent="0.25">
      <c r="A2352" s="817" t="s">
        <v>4645</v>
      </c>
      <c r="B2352" s="818" t="str">
        <f>IF(SAR!H$52="","",SAR!H$52)</f>
        <v/>
      </c>
      <c r="C2352" s="819">
        <f ca="1">IF(ISERROR(VLOOKUP($A$2267,INDIRECT("notes_"&amp;LEFT($A$2267,3)),4,0)),0,VLOOKUP($A$2267,INDIRECT("notes_"&amp;LEFT($A$2267,3)),4,0))</f>
        <v>0</v>
      </c>
    </row>
    <row r="2353" spans="1:3" x14ac:dyDescent="0.25">
      <c r="A2353" s="817" t="s">
        <v>4646</v>
      </c>
      <c r="B2353" s="818" t="str">
        <f>IF(SAR!H$53="","",SAR!H$53)</f>
        <v/>
      </c>
      <c r="C2353" s="819">
        <f ca="1">IF(ISERROR(VLOOKUP($A$2268,INDIRECT("notes_"&amp;LEFT($A$2268,3)),4,0)),0,VLOOKUP($A$2268,INDIRECT("notes_"&amp;LEFT($A$2268,3)),4,0))</f>
        <v>0</v>
      </c>
    </row>
    <row r="2354" spans="1:3" x14ac:dyDescent="0.25">
      <c r="A2354" s="817" t="s">
        <v>4647</v>
      </c>
      <c r="B2354" s="818">
        <f>IF(SAR!H$54="","",SAR!H$54)</f>
        <v>0</v>
      </c>
      <c r="C2354" s="819">
        <f ca="1">IF(ISERROR(VLOOKUP($A$2269,INDIRECT("notes_"&amp;LEFT($A$2269,3)),4,0)),0,VLOOKUP($A$2269,INDIRECT("notes_"&amp;LEFT($A$2269,3)),4,0))</f>
        <v>0</v>
      </c>
    </row>
    <row r="2355" spans="1:3" x14ac:dyDescent="0.25">
      <c r="A2355" s="817" t="s">
        <v>4648</v>
      </c>
      <c r="B2355" s="818" t="str">
        <f>IF(SAR!H$56="","",SAR!H$56)</f>
        <v/>
      </c>
      <c r="C2355" s="819">
        <f ca="1">IF(ISERROR(VLOOKUP($A$2270,INDIRECT("notes_"&amp;LEFT($A$2270,3)),4,0)),0,VLOOKUP($A$2270,INDIRECT("notes_"&amp;LEFT($A$2270,3)),4,0))</f>
        <v>0</v>
      </c>
    </row>
    <row r="2356" spans="1:3" x14ac:dyDescent="0.25">
      <c r="A2356" s="817" t="s">
        <v>4649</v>
      </c>
      <c r="B2356" s="818">
        <f>IF(SAR!H$58="","",SAR!H$58)</f>
        <v>0</v>
      </c>
      <c r="C2356" s="819">
        <f ca="1">IF(ISERROR(VLOOKUP($A$2271,INDIRECT("notes_"&amp;LEFT($A$2271,3)),4,0)),0,VLOOKUP($A$2271,INDIRECT("notes_"&amp;LEFT($A$2271,3)),4,0))</f>
        <v>0</v>
      </c>
    </row>
    <row r="2357" spans="1:3" x14ac:dyDescent="0.25">
      <c r="A2357" s="787" t="s">
        <v>4650</v>
      </c>
      <c r="B2357" s="789" t="str">
        <f>IF(SAR!I$36="","",SAR!I$36)</f>
        <v/>
      </c>
      <c r="C2357" s="790">
        <f ca="1">IF(ISERROR(VLOOKUP($A$2255,INDIRECT("notes_"&amp;LEFT($A$2255,3)),4,0)),0,VLOOKUP($A$2255,INDIRECT("notes_"&amp;LEFT($A$2255,3)),4,0))</f>
        <v>0</v>
      </c>
    </row>
    <row r="2358" spans="1:3" x14ac:dyDescent="0.25">
      <c r="A2358" s="787" t="s">
        <v>4651</v>
      </c>
      <c r="B2358" s="789" t="str">
        <f>IF(SAR!I$37="","",SAR!I$37)</f>
        <v/>
      </c>
      <c r="C2358" s="790">
        <f ca="1">IF(ISERROR(VLOOKUP($A$2256,INDIRECT("notes_"&amp;LEFT($A$2256,3)),4,0)),0,VLOOKUP($A$2256,INDIRECT("notes_"&amp;LEFT($A$2256,3)),4,0))</f>
        <v>0</v>
      </c>
    </row>
    <row r="2359" spans="1:3" x14ac:dyDescent="0.25">
      <c r="A2359" s="787" t="s">
        <v>4652</v>
      </c>
      <c r="B2359" s="789" t="str">
        <f>IF(SAR!I$38="","",SAR!I$38)</f>
        <v/>
      </c>
      <c r="C2359" s="790">
        <f ca="1">IF(ISERROR(VLOOKUP($A$2257,INDIRECT("notes_"&amp;LEFT($A$2257,3)),4,0)),0,VLOOKUP($A$2257,INDIRECT("notes_"&amp;LEFT($A$2257,3)),4,0))</f>
        <v>0</v>
      </c>
    </row>
    <row r="2360" spans="1:3" x14ac:dyDescent="0.25">
      <c r="A2360" s="787" t="s">
        <v>4653</v>
      </c>
      <c r="B2360" s="789" t="str">
        <f>IF(SAR!I$39="","",SAR!I$39)</f>
        <v/>
      </c>
      <c r="C2360" s="790">
        <f ca="1">IF(ISERROR(VLOOKUP($A$2258,INDIRECT("notes_"&amp;LEFT($A$2258,3)),4,0)),0,VLOOKUP($A$2258,INDIRECT("notes_"&amp;LEFT($A$2258,3)),4,0))</f>
        <v>0</v>
      </c>
    </row>
    <row r="2361" spans="1:3" x14ac:dyDescent="0.25">
      <c r="A2361" s="787" t="s">
        <v>4654</v>
      </c>
      <c r="B2361" s="789">
        <f>IF(SAR!I$40="","",SAR!I$40)</f>
        <v>0</v>
      </c>
      <c r="C2361" s="790">
        <f ca="1">IF(ISERROR(VLOOKUP($A$2259,INDIRECT("notes_"&amp;LEFT($A$2259,3)),4,0)),0,VLOOKUP($A$2259,INDIRECT("notes_"&amp;LEFT($A$2259,3)),4,0))</f>
        <v>0</v>
      </c>
    </row>
    <row r="2362" spans="1:3" x14ac:dyDescent="0.25">
      <c r="A2362" s="787" t="s">
        <v>4655</v>
      </c>
      <c r="B2362" s="789" t="str">
        <f>IF(SAR!I$43="","",SAR!I$43)</f>
        <v/>
      </c>
      <c r="C2362" s="790">
        <f ca="1">IF(ISERROR(VLOOKUP($A$2260,INDIRECT("notes_"&amp;LEFT($A$2260,3)),4,0)),0,VLOOKUP($A$2260,INDIRECT("notes_"&amp;LEFT($A$2260,3)),4,0))</f>
        <v>0</v>
      </c>
    </row>
    <row r="2363" spans="1:3" x14ac:dyDescent="0.25">
      <c r="A2363" s="787" t="s">
        <v>4656</v>
      </c>
      <c r="B2363" s="789" t="str">
        <f>IF(SAR!I$44="","",SAR!I$44)</f>
        <v/>
      </c>
      <c r="C2363" s="790">
        <f ca="1">IF(ISERROR(VLOOKUP($A$2261,INDIRECT("notes_"&amp;LEFT($A$2261,3)),4,0)),0,VLOOKUP($A$2261,INDIRECT("notes_"&amp;LEFT($A$2261,3)),4,0))</f>
        <v>0</v>
      </c>
    </row>
    <row r="2364" spans="1:3" x14ac:dyDescent="0.25">
      <c r="A2364" s="787" t="s">
        <v>4657</v>
      </c>
      <c r="B2364" s="789" t="str">
        <f>IF(SAR!I$45="","",SAR!I$45)</f>
        <v/>
      </c>
      <c r="C2364" s="790">
        <f ca="1">IF(ISERROR(VLOOKUP($A$2262,INDIRECT("notes_"&amp;LEFT($A$2262,3)),4,0)),0,VLOOKUP($A$2262,INDIRECT("notes_"&amp;LEFT($A$2262,3)),4,0))</f>
        <v>0</v>
      </c>
    </row>
    <row r="2365" spans="1:3" x14ac:dyDescent="0.25">
      <c r="A2365" s="787" t="s">
        <v>4658</v>
      </c>
      <c r="B2365" s="789" t="str">
        <f>IF(SAR!I$46="","",SAR!I$46)</f>
        <v/>
      </c>
      <c r="C2365" s="790">
        <f ca="1">IF(ISERROR(VLOOKUP($A$2263,INDIRECT("notes_"&amp;LEFT($A$2263,3)),4,0)),0,VLOOKUP($A$2263,INDIRECT("notes_"&amp;LEFT($A$2263,3)),4,0))</f>
        <v>0</v>
      </c>
    </row>
    <row r="2366" spans="1:3" x14ac:dyDescent="0.25">
      <c r="A2366" s="787" t="s">
        <v>4659</v>
      </c>
      <c r="B2366" s="789">
        <f>IF(SAR!I$47="","",SAR!I$47)</f>
        <v>0</v>
      </c>
      <c r="C2366" s="790">
        <f ca="1">IF(ISERROR(VLOOKUP($A$2264,INDIRECT("notes_"&amp;LEFT($A$2264,3)),4,0)),0,VLOOKUP($A$2264,INDIRECT("notes_"&amp;LEFT($A$2264,3)),4,0))</f>
        <v>0</v>
      </c>
    </row>
    <row r="2367" spans="1:3" x14ac:dyDescent="0.25">
      <c r="A2367" s="787" t="s">
        <v>4660</v>
      </c>
      <c r="B2367" s="789" t="str">
        <f>IF(SAR!I$50="","",SAR!I$50)</f>
        <v/>
      </c>
      <c r="C2367" s="790">
        <f ca="1">IF(ISERROR(VLOOKUP($A$2265,INDIRECT("notes_"&amp;LEFT($A$2265,3)),4,0)),0,VLOOKUP($A$2265,INDIRECT("notes_"&amp;LEFT($A$2265,3)),4,0))</f>
        <v>0</v>
      </c>
    </row>
    <row r="2368" spans="1:3" x14ac:dyDescent="0.25">
      <c r="A2368" s="787" t="s">
        <v>4661</v>
      </c>
      <c r="B2368" s="789" t="str">
        <f>IF(SAR!I$51="","",SAR!I$51)</f>
        <v/>
      </c>
      <c r="C2368" s="790">
        <f ca="1">IF(ISERROR(VLOOKUP($A$2266,INDIRECT("notes_"&amp;LEFT($A$2266,3)),4,0)),0,VLOOKUP($A$2266,INDIRECT("notes_"&amp;LEFT($A$2266,3)),4,0))</f>
        <v>0</v>
      </c>
    </row>
    <row r="2369" spans="1:3" x14ac:dyDescent="0.25">
      <c r="A2369" s="787" t="s">
        <v>4662</v>
      </c>
      <c r="B2369" s="789" t="str">
        <f>IF(SAR!I$52="","",SAR!I$52)</f>
        <v/>
      </c>
      <c r="C2369" s="790">
        <f ca="1">IF(ISERROR(VLOOKUP($A$2267,INDIRECT("notes_"&amp;LEFT($A$2267,3)),4,0)),0,VLOOKUP($A$2267,INDIRECT("notes_"&amp;LEFT($A$2267,3)),4,0))</f>
        <v>0</v>
      </c>
    </row>
    <row r="2370" spans="1:3" x14ac:dyDescent="0.25">
      <c r="A2370" s="787" t="s">
        <v>4663</v>
      </c>
      <c r="B2370" s="789" t="str">
        <f>IF(SAR!I$53="","",SAR!I$53)</f>
        <v/>
      </c>
      <c r="C2370" s="790">
        <f ca="1">IF(ISERROR(VLOOKUP($A$2268,INDIRECT("notes_"&amp;LEFT($A$2268,3)),4,0)),0,VLOOKUP($A$2268,INDIRECT("notes_"&amp;LEFT($A$2268,3)),4,0))</f>
        <v>0</v>
      </c>
    </row>
    <row r="2371" spans="1:3" x14ac:dyDescent="0.25">
      <c r="A2371" s="787" t="s">
        <v>4664</v>
      </c>
      <c r="B2371" s="789">
        <f>IF(SAR!I$54="","",SAR!I$54)</f>
        <v>0</v>
      </c>
      <c r="C2371" s="790">
        <f ca="1">IF(ISERROR(VLOOKUP($A$2269,INDIRECT("notes_"&amp;LEFT($A$2269,3)),4,0)),0,VLOOKUP($A$2269,INDIRECT("notes_"&amp;LEFT($A$2269,3)),4,0))</f>
        <v>0</v>
      </c>
    </row>
    <row r="2372" spans="1:3" x14ac:dyDescent="0.25">
      <c r="A2372" s="787" t="s">
        <v>4665</v>
      </c>
      <c r="B2372" s="789" t="str">
        <f>IF(SAR!I$56="","",SAR!I$56)</f>
        <v/>
      </c>
      <c r="C2372" s="790">
        <f ca="1">IF(ISERROR(VLOOKUP($A$2270,INDIRECT("notes_"&amp;LEFT($A$2270,3)),4,0)),0,VLOOKUP($A$2270,INDIRECT("notes_"&amp;LEFT($A$2270,3)),4,0))</f>
        <v>0</v>
      </c>
    </row>
    <row r="2373" spans="1:3" x14ac:dyDescent="0.25">
      <c r="A2373" s="787" t="s">
        <v>4666</v>
      </c>
      <c r="B2373" s="789">
        <f>IF(SAR!I$58="","",SAR!I$58)</f>
        <v>0</v>
      </c>
      <c r="C2373" s="790">
        <f ca="1">IF(ISERROR(VLOOKUP($A$2271,INDIRECT("notes_"&amp;LEFT($A$2271,3)),4,0)),0,VLOOKUP($A$2271,INDIRECT("notes_"&amp;LEFT($A$2271,3)),4,0))</f>
        <v>0</v>
      </c>
    </row>
    <row r="2374" spans="1:3" x14ac:dyDescent="0.25">
      <c r="A2374" s="787" t="s">
        <v>4667</v>
      </c>
      <c r="B2374" s="789" t="str">
        <f>IF(SAR!J$36="","",SAR!J$36)</f>
        <v/>
      </c>
      <c r="C2374" s="790">
        <f ca="1">IF(ISERROR(VLOOKUP($A$2255,INDIRECT("notes_"&amp;LEFT($A$2255,3)),4,0)),0,VLOOKUP($A$2255,INDIRECT("notes_"&amp;LEFT($A$2255,3)),4,0))</f>
        <v>0</v>
      </c>
    </row>
    <row r="2375" spans="1:3" x14ac:dyDescent="0.25">
      <c r="A2375" s="787" t="s">
        <v>4668</v>
      </c>
      <c r="B2375" s="789" t="str">
        <f>IF(SAR!J$37="","",SAR!J$37)</f>
        <v/>
      </c>
      <c r="C2375" s="790">
        <f ca="1">IF(ISERROR(VLOOKUP($A$2256,INDIRECT("notes_"&amp;LEFT($A$2256,3)),4,0)),0,VLOOKUP($A$2256,INDIRECT("notes_"&amp;LEFT($A$2256,3)),4,0))</f>
        <v>0</v>
      </c>
    </row>
    <row r="2376" spans="1:3" x14ac:dyDescent="0.25">
      <c r="A2376" s="787" t="s">
        <v>4669</v>
      </c>
      <c r="B2376" s="789" t="str">
        <f>IF(SAR!J$38="","",SAR!J$38)</f>
        <v/>
      </c>
      <c r="C2376" s="790">
        <f ca="1">IF(ISERROR(VLOOKUP($A$2257,INDIRECT("notes_"&amp;LEFT($A$2257,3)),4,0)),0,VLOOKUP($A$2257,INDIRECT("notes_"&amp;LEFT($A$2257,3)),4,0))</f>
        <v>0</v>
      </c>
    </row>
    <row r="2377" spans="1:3" x14ac:dyDescent="0.25">
      <c r="A2377" s="787" t="s">
        <v>4670</v>
      </c>
      <c r="B2377" s="789" t="str">
        <f>IF(SAR!J$39="","",SAR!J$39)</f>
        <v/>
      </c>
      <c r="C2377" s="790">
        <f ca="1">IF(ISERROR(VLOOKUP($A$2258,INDIRECT("notes_"&amp;LEFT($A$2258,3)),4,0)),0,VLOOKUP($A$2258,INDIRECT("notes_"&amp;LEFT($A$2258,3)),4,0))</f>
        <v>0</v>
      </c>
    </row>
    <row r="2378" spans="1:3" x14ac:dyDescent="0.25">
      <c r="A2378" s="787" t="s">
        <v>4671</v>
      </c>
      <c r="B2378" s="789">
        <f>IF(SAR!J$40="","",SAR!J$40)</f>
        <v>0</v>
      </c>
      <c r="C2378" s="790">
        <f ca="1">IF(ISERROR(VLOOKUP($A$2259,INDIRECT("notes_"&amp;LEFT($A$2259,3)),4,0)),0,VLOOKUP($A$2259,INDIRECT("notes_"&amp;LEFT($A$2259,3)),4,0))</f>
        <v>0</v>
      </c>
    </row>
    <row r="2379" spans="1:3" x14ac:dyDescent="0.25">
      <c r="A2379" s="787" t="s">
        <v>4672</v>
      </c>
      <c r="B2379" s="789" t="str">
        <f>IF(SAR!J$43="","",SAR!J$43)</f>
        <v/>
      </c>
      <c r="C2379" s="790">
        <f ca="1">IF(ISERROR(VLOOKUP($A$2260,INDIRECT("notes_"&amp;LEFT($A$2260,3)),4,0)),0,VLOOKUP($A$2260,INDIRECT("notes_"&amp;LEFT($A$2260,3)),4,0))</f>
        <v>0</v>
      </c>
    </row>
    <row r="2380" spans="1:3" x14ac:dyDescent="0.25">
      <c r="A2380" s="787" t="s">
        <v>4673</v>
      </c>
      <c r="B2380" s="789" t="str">
        <f>IF(SAR!J$44="","",SAR!J$44)</f>
        <v/>
      </c>
      <c r="C2380" s="790">
        <f ca="1">IF(ISERROR(VLOOKUP($A$2261,INDIRECT("notes_"&amp;LEFT($A$2261,3)),4,0)),0,VLOOKUP($A$2261,INDIRECT("notes_"&amp;LEFT($A$2261,3)),4,0))</f>
        <v>0</v>
      </c>
    </row>
    <row r="2381" spans="1:3" x14ac:dyDescent="0.25">
      <c r="A2381" s="787" t="s">
        <v>4674</v>
      </c>
      <c r="B2381" s="789" t="str">
        <f>IF(SAR!J$45="","",SAR!J$45)</f>
        <v/>
      </c>
      <c r="C2381" s="790">
        <f ca="1">IF(ISERROR(VLOOKUP($A$2262,INDIRECT("notes_"&amp;LEFT($A$2262,3)),4,0)),0,VLOOKUP($A$2262,INDIRECT("notes_"&amp;LEFT($A$2262,3)),4,0))</f>
        <v>0</v>
      </c>
    </row>
    <row r="2382" spans="1:3" x14ac:dyDescent="0.25">
      <c r="A2382" s="787" t="s">
        <v>4675</v>
      </c>
      <c r="B2382" s="789" t="str">
        <f>IF(SAR!J$46="","",SAR!J$46)</f>
        <v/>
      </c>
      <c r="C2382" s="790">
        <f ca="1">IF(ISERROR(VLOOKUP($A$2263,INDIRECT("notes_"&amp;LEFT($A$2263,3)),4,0)),0,VLOOKUP($A$2263,INDIRECT("notes_"&amp;LEFT($A$2263,3)),4,0))</f>
        <v>0</v>
      </c>
    </row>
    <row r="2383" spans="1:3" x14ac:dyDescent="0.25">
      <c r="A2383" s="787" t="s">
        <v>4676</v>
      </c>
      <c r="B2383" s="789">
        <f>IF(SAR!J$47="","",SAR!J$47)</f>
        <v>0</v>
      </c>
      <c r="C2383" s="790">
        <f ca="1">IF(ISERROR(VLOOKUP($A$2264,INDIRECT("notes_"&amp;LEFT($A$2264,3)),4,0)),0,VLOOKUP($A$2264,INDIRECT("notes_"&amp;LEFT($A$2264,3)),4,0))</f>
        <v>0</v>
      </c>
    </row>
    <row r="2384" spans="1:3" x14ac:dyDescent="0.25">
      <c r="A2384" s="787" t="s">
        <v>4677</v>
      </c>
      <c r="B2384" s="789" t="str">
        <f>IF(SAR!J$50="","",SAR!J$50)</f>
        <v/>
      </c>
      <c r="C2384" s="790">
        <f ca="1">IF(ISERROR(VLOOKUP($A$2265,INDIRECT("notes_"&amp;LEFT($A$2265,3)),4,0)),0,VLOOKUP($A$2265,INDIRECT("notes_"&amp;LEFT($A$2265,3)),4,0))</f>
        <v>0</v>
      </c>
    </row>
    <row r="2385" spans="1:3" x14ac:dyDescent="0.25">
      <c r="A2385" s="787" t="s">
        <v>4678</v>
      </c>
      <c r="B2385" s="789" t="str">
        <f>IF(SAR!J$51="","",SAR!J$51)</f>
        <v/>
      </c>
      <c r="C2385" s="790">
        <f ca="1">IF(ISERROR(VLOOKUP($A$2266,INDIRECT("notes_"&amp;LEFT($A$2266,3)),4,0)),0,VLOOKUP($A$2266,INDIRECT("notes_"&amp;LEFT($A$2266,3)),4,0))</f>
        <v>0</v>
      </c>
    </row>
    <row r="2386" spans="1:3" x14ac:dyDescent="0.25">
      <c r="A2386" s="787" t="s">
        <v>4679</v>
      </c>
      <c r="B2386" s="789" t="str">
        <f>IF(SAR!J$52="","",SAR!J$52)</f>
        <v/>
      </c>
      <c r="C2386" s="790">
        <f ca="1">IF(ISERROR(VLOOKUP($A$2267,INDIRECT("notes_"&amp;LEFT($A$2267,3)),4,0)),0,VLOOKUP($A$2267,INDIRECT("notes_"&amp;LEFT($A$2267,3)),4,0))</f>
        <v>0</v>
      </c>
    </row>
    <row r="2387" spans="1:3" x14ac:dyDescent="0.25">
      <c r="A2387" s="787" t="s">
        <v>4680</v>
      </c>
      <c r="B2387" s="789" t="str">
        <f>IF(SAR!J$53="","",SAR!J$53)</f>
        <v/>
      </c>
      <c r="C2387" s="790">
        <f ca="1">IF(ISERROR(VLOOKUP($A$2268,INDIRECT("notes_"&amp;LEFT($A$2268,3)),4,0)),0,VLOOKUP($A$2268,INDIRECT("notes_"&amp;LEFT($A$2268,3)),4,0))</f>
        <v>0</v>
      </c>
    </row>
    <row r="2388" spans="1:3" x14ac:dyDescent="0.25">
      <c r="A2388" s="787" t="s">
        <v>4681</v>
      </c>
      <c r="B2388" s="789">
        <f>IF(SAR!J$54="","",SAR!J$54)</f>
        <v>0</v>
      </c>
      <c r="C2388" s="790">
        <f ca="1">IF(ISERROR(VLOOKUP($A$2269,INDIRECT("notes_"&amp;LEFT($A$2269,3)),4,0)),0,VLOOKUP($A$2269,INDIRECT("notes_"&amp;LEFT($A$2269,3)),4,0))</f>
        <v>0</v>
      </c>
    </row>
    <row r="2389" spans="1:3" x14ac:dyDescent="0.25">
      <c r="A2389" s="787" t="s">
        <v>4682</v>
      </c>
      <c r="B2389" s="789" t="str">
        <f>IF(SAR!J$56="","",SAR!J$56)</f>
        <v/>
      </c>
      <c r="C2389" s="790">
        <f ca="1">IF(ISERROR(VLOOKUP($A$2270,INDIRECT("notes_"&amp;LEFT($A$2270,3)),4,0)),0,VLOOKUP($A$2270,INDIRECT("notes_"&amp;LEFT($A$2270,3)),4,0))</f>
        <v>0</v>
      </c>
    </row>
    <row r="2390" spans="1:3" x14ac:dyDescent="0.25">
      <c r="A2390" s="787" t="s">
        <v>4683</v>
      </c>
      <c r="B2390" s="789">
        <f>IF(SAR!J$58="","",SAR!J$58)</f>
        <v>0</v>
      </c>
      <c r="C2390" s="790">
        <f ca="1">IF(ISERROR(VLOOKUP($A$2271,INDIRECT("notes_"&amp;LEFT($A$2271,3)),4,0)),0,VLOOKUP($A$2271,INDIRECT("notes_"&amp;LEFT($A$2271,3)),4,0))</f>
        <v>0</v>
      </c>
    </row>
    <row r="2391" spans="1:3" x14ac:dyDescent="0.25">
      <c r="A2391" s="787" t="s">
        <v>4684</v>
      </c>
      <c r="B2391" s="789" t="str">
        <f>IF(SAR!K$36="","",SAR!K$36)</f>
        <v/>
      </c>
      <c r="C2391" s="790">
        <f ca="1">IF(ISERROR(VLOOKUP($A$2255,INDIRECT("notes_"&amp;LEFT($A$2255,3)),4,0)),0,VLOOKUP($A$2255,INDIRECT("notes_"&amp;LEFT($A$2255,3)),4,0))</f>
        <v>0</v>
      </c>
    </row>
    <row r="2392" spans="1:3" x14ac:dyDescent="0.25">
      <c r="A2392" s="787" t="s">
        <v>4685</v>
      </c>
      <c r="B2392" s="789" t="str">
        <f>IF(SAR!K$37="","",SAR!K$37)</f>
        <v/>
      </c>
      <c r="C2392" s="790">
        <f ca="1">IF(ISERROR(VLOOKUP($A$2256,INDIRECT("notes_"&amp;LEFT($A$2256,3)),4,0)),0,VLOOKUP($A$2256,INDIRECT("notes_"&amp;LEFT($A$2256,3)),4,0))</f>
        <v>0</v>
      </c>
    </row>
    <row r="2393" spans="1:3" x14ac:dyDescent="0.25">
      <c r="A2393" s="787" t="s">
        <v>4686</v>
      </c>
      <c r="B2393" s="789" t="str">
        <f>IF(SAR!K$38="","",SAR!K$38)</f>
        <v/>
      </c>
      <c r="C2393" s="790">
        <f ca="1">IF(ISERROR(VLOOKUP($A$2257,INDIRECT("notes_"&amp;LEFT($A$2257,3)),4,0)),0,VLOOKUP($A$2257,INDIRECT("notes_"&amp;LEFT($A$2257,3)),4,0))</f>
        <v>0</v>
      </c>
    </row>
    <row r="2394" spans="1:3" x14ac:dyDescent="0.25">
      <c r="A2394" s="787" t="s">
        <v>4687</v>
      </c>
      <c r="B2394" s="789" t="str">
        <f>IF(SAR!K$39="","",SAR!K$39)</f>
        <v/>
      </c>
      <c r="C2394" s="790">
        <f ca="1">IF(ISERROR(VLOOKUP($A$2258,INDIRECT("notes_"&amp;LEFT($A$2258,3)),4,0)),0,VLOOKUP($A$2258,INDIRECT("notes_"&amp;LEFT($A$2258,3)),4,0))</f>
        <v>0</v>
      </c>
    </row>
    <row r="2395" spans="1:3" x14ac:dyDescent="0.25">
      <c r="A2395" s="787" t="s">
        <v>4688</v>
      </c>
      <c r="B2395" s="789">
        <f>IF(SAR!K$40="","",SAR!K$40)</f>
        <v>0</v>
      </c>
      <c r="C2395" s="790">
        <f ca="1">IF(ISERROR(VLOOKUP($A$2259,INDIRECT("notes_"&amp;LEFT($A$2259,3)),4,0)),0,VLOOKUP($A$2259,INDIRECT("notes_"&amp;LEFT($A$2259,3)),4,0))</f>
        <v>0</v>
      </c>
    </row>
    <row r="2396" spans="1:3" x14ac:dyDescent="0.25">
      <c r="A2396" s="787" t="s">
        <v>4689</v>
      </c>
      <c r="B2396" s="789" t="str">
        <f>IF(SAR!K$43="","",SAR!K$43)</f>
        <v/>
      </c>
      <c r="C2396" s="790">
        <f ca="1">IF(ISERROR(VLOOKUP($A$2260,INDIRECT("notes_"&amp;LEFT($A$2260,3)),4,0)),0,VLOOKUP($A$2260,INDIRECT("notes_"&amp;LEFT($A$2260,3)),4,0))</f>
        <v>0</v>
      </c>
    </row>
    <row r="2397" spans="1:3" x14ac:dyDescent="0.25">
      <c r="A2397" s="787" t="s">
        <v>4690</v>
      </c>
      <c r="B2397" s="789" t="str">
        <f>IF(SAR!K$44="","",SAR!K$44)</f>
        <v/>
      </c>
      <c r="C2397" s="790">
        <f ca="1">IF(ISERROR(VLOOKUP($A$2261,INDIRECT("notes_"&amp;LEFT($A$2261,3)),4,0)),0,VLOOKUP($A$2261,INDIRECT("notes_"&amp;LEFT($A$2261,3)),4,0))</f>
        <v>0</v>
      </c>
    </row>
    <row r="2398" spans="1:3" x14ac:dyDescent="0.25">
      <c r="A2398" s="787" t="s">
        <v>4691</v>
      </c>
      <c r="B2398" s="789" t="str">
        <f>IF(SAR!K$45="","",SAR!K$45)</f>
        <v/>
      </c>
      <c r="C2398" s="790">
        <f ca="1">IF(ISERROR(VLOOKUP($A$2262,INDIRECT("notes_"&amp;LEFT($A$2262,3)),4,0)),0,VLOOKUP($A$2262,INDIRECT("notes_"&amp;LEFT($A$2262,3)),4,0))</f>
        <v>0</v>
      </c>
    </row>
    <row r="2399" spans="1:3" x14ac:dyDescent="0.25">
      <c r="A2399" s="787" t="s">
        <v>4692</v>
      </c>
      <c r="B2399" s="789" t="str">
        <f>IF(SAR!K$46="","",SAR!K$46)</f>
        <v/>
      </c>
      <c r="C2399" s="790">
        <f ca="1">IF(ISERROR(VLOOKUP($A$2263,INDIRECT("notes_"&amp;LEFT($A$2263,3)),4,0)),0,VLOOKUP($A$2263,INDIRECT("notes_"&amp;LEFT($A$2263,3)),4,0))</f>
        <v>0</v>
      </c>
    </row>
    <row r="2400" spans="1:3" x14ac:dyDescent="0.25">
      <c r="A2400" s="787" t="s">
        <v>4693</v>
      </c>
      <c r="B2400" s="789">
        <f>IF(SAR!K$47="","",SAR!K$47)</f>
        <v>0</v>
      </c>
      <c r="C2400" s="790">
        <f ca="1">IF(ISERROR(VLOOKUP($A$2264,INDIRECT("notes_"&amp;LEFT($A$2264,3)),4,0)),0,VLOOKUP($A$2264,INDIRECT("notes_"&amp;LEFT($A$2264,3)),4,0))</f>
        <v>0</v>
      </c>
    </row>
    <row r="2401" spans="1:3" x14ac:dyDescent="0.25">
      <c r="A2401" s="787" t="s">
        <v>4694</v>
      </c>
      <c r="B2401" s="789" t="str">
        <f>IF(SAR!K$50="","",SAR!K$50)</f>
        <v/>
      </c>
      <c r="C2401" s="790">
        <f ca="1">IF(ISERROR(VLOOKUP($A$2265,INDIRECT("notes_"&amp;LEFT($A$2265,3)),4,0)),0,VLOOKUP($A$2265,INDIRECT("notes_"&amp;LEFT($A$2265,3)),4,0))</f>
        <v>0</v>
      </c>
    </row>
    <row r="2402" spans="1:3" x14ac:dyDescent="0.25">
      <c r="A2402" s="787" t="s">
        <v>4695</v>
      </c>
      <c r="B2402" s="789" t="str">
        <f>IF(SAR!K$51="","",SAR!K$51)</f>
        <v/>
      </c>
      <c r="C2402" s="790">
        <f ca="1">IF(ISERROR(VLOOKUP($A$2266,INDIRECT("notes_"&amp;LEFT($A$2266,3)),4,0)),0,VLOOKUP($A$2266,INDIRECT("notes_"&amp;LEFT($A$2266,3)),4,0))</f>
        <v>0</v>
      </c>
    </row>
    <row r="2403" spans="1:3" x14ac:dyDescent="0.25">
      <c r="A2403" s="787" t="s">
        <v>4696</v>
      </c>
      <c r="B2403" s="789" t="str">
        <f>IF(SAR!K$52="","",SAR!K$52)</f>
        <v/>
      </c>
      <c r="C2403" s="790">
        <f ca="1">IF(ISERROR(VLOOKUP($A$2267,INDIRECT("notes_"&amp;LEFT($A$2267,3)),4,0)),0,VLOOKUP($A$2267,INDIRECT("notes_"&amp;LEFT($A$2267,3)),4,0))</f>
        <v>0</v>
      </c>
    </row>
    <row r="2404" spans="1:3" x14ac:dyDescent="0.25">
      <c r="A2404" s="787" t="s">
        <v>4697</v>
      </c>
      <c r="B2404" s="789" t="str">
        <f>IF(SAR!K$53="","",SAR!K$53)</f>
        <v/>
      </c>
      <c r="C2404" s="790">
        <f ca="1">IF(ISERROR(VLOOKUP($A$2268,INDIRECT("notes_"&amp;LEFT($A$2268,3)),4,0)),0,VLOOKUP($A$2268,INDIRECT("notes_"&amp;LEFT($A$2268,3)),4,0))</f>
        <v>0</v>
      </c>
    </row>
    <row r="2405" spans="1:3" x14ac:dyDescent="0.25">
      <c r="A2405" s="787" t="s">
        <v>4698</v>
      </c>
      <c r="B2405" s="789">
        <f>IF(SAR!K$54="","",SAR!K$54)</f>
        <v>0</v>
      </c>
      <c r="C2405" s="790">
        <f ca="1">IF(ISERROR(VLOOKUP($A$2269,INDIRECT("notes_"&amp;LEFT($A$2269,3)),4,0)),0,VLOOKUP($A$2269,INDIRECT("notes_"&amp;LEFT($A$2269,3)),4,0))</f>
        <v>0</v>
      </c>
    </row>
    <row r="2406" spans="1:3" x14ac:dyDescent="0.25">
      <c r="A2406" s="787" t="s">
        <v>4699</v>
      </c>
      <c r="B2406" s="789" t="str">
        <f>IF(SAR!K$56="","",SAR!K$56)</f>
        <v/>
      </c>
      <c r="C2406" s="790">
        <f ca="1">IF(ISERROR(VLOOKUP($A$2270,INDIRECT("notes_"&amp;LEFT($A$2270,3)),4,0)),0,VLOOKUP($A$2270,INDIRECT("notes_"&amp;LEFT($A$2270,3)),4,0))</f>
        <v>0</v>
      </c>
    </row>
    <row r="2407" spans="1:3" x14ac:dyDescent="0.25">
      <c r="A2407" s="787" t="s">
        <v>4700</v>
      </c>
      <c r="B2407" s="789">
        <f>IF(SAR!K$58="","",SAR!K$58)</f>
        <v>0</v>
      </c>
      <c r="C2407" s="790">
        <f ca="1">IF(ISERROR(VLOOKUP($A$2271,INDIRECT("notes_"&amp;LEFT($A$2271,3)),4,0)),0,VLOOKUP($A$2271,INDIRECT("notes_"&amp;LEFT($A$2271,3)),4,0))</f>
        <v>0</v>
      </c>
    </row>
    <row r="2408" spans="1:3" x14ac:dyDescent="0.25">
      <c r="A2408" s="787" t="s">
        <v>4701</v>
      </c>
      <c r="B2408" s="789" t="str">
        <f>IF(SAR!L$36="","",SAR!L$36)</f>
        <v/>
      </c>
      <c r="C2408" s="790">
        <f ca="1">IF(ISERROR(VLOOKUP($A$2255,INDIRECT("notes_"&amp;LEFT($A$2255,3)),4,0)),0,VLOOKUP($A$2255,INDIRECT("notes_"&amp;LEFT($A$2255,3)),4,0))</f>
        <v>0</v>
      </c>
    </row>
    <row r="2409" spans="1:3" x14ac:dyDescent="0.25">
      <c r="A2409" s="787" t="s">
        <v>4702</v>
      </c>
      <c r="B2409" s="789" t="str">
        <f>IF(SAR!L$37="","",SAR!L$37)</f>
        <v/>
      </c>
      <c r="C2409" s="790">
        <f ca="1">IF(ISERROR(VLOOKUP($A$2256,INDIRECT("notes_"&amp;LEFT($A$2256,3)),4,0)),0,VLOOKUP($A$2256,INDIRECT("notes_"&amp;LEFT($A$2256,3)),4,0))</f>
        <v>0</v>
      </c>
    </row>
    <row r="2410" spans="1:3" x14ac:dyDescent="0.25">
      <c r="A2410" s="787" t="s">
        <v>4703</v>
      </c>
      <c r="B2410" s="789" t="str">
        <f>IF(SAR!L$38="","",SAR!L$38)</f>
        <v/>
      </c>
      <c r="C2410" s="790">
        <f ca="1">IF(ISERROR(VLOOKUP($A$2257,INDIRECT("notes_"&amp;LEFT($A$2257,3)),4,0)),0,VLOOKUP($A$2257,INDIRECT("notes_"&amp;LEFT($A$2257,3)),4,0))</f>
        <v>0</v>
      </c>
    </row>
    <row r="2411" spans="1:3" x14ac:dyDescent="0.25">
      <c r="A2411" s="787" t="s">
        <v>4704</v>
      </c>
      <c r="B2411" s="789" t="str">
        <f>IF(SAR!L$39="","",SAR!L$39)</f>
        <v/>
      </c>
      <c r="C2411" s="790">
        <f ca="1">IF(ISERROR(VLOOKUP($A$2258,INDIRECT("notes_"&amp;LEFT($A$2258,3)),4,0)),0,VLOOKUP($A$2258,INDIRECT("notes_"&amp;LEFT($A$2258,3)),4,0))</f>
        <v>0</v>
      </c>
    </row>
    <row r="2412" spans="1:3" x14ac:dyDescent="0.25">
      <c r="A2412" s="787" t="s">
        <v>4705</v>
      </c>
      <c r="B2412" s="789">
        <f>IF(SAR!L$40="","",SAR!L$40)</f>
        <v>0</v>
      </c>
      <c r="C2412" s="790">
        <f ca="1">IF(ISERROR(VLOOKUP($A$2259,INDIRECT("notes_"&amp;LEFT($A$2259,3)),4,0)),0,VLOOKUP($A$2259,INDIRECT("notes_"&amp;LEFT($A$2259,3)),4,0))</f>
        <v>0</v>
      </c>
    </row>
    <row r="2413" spans="1:3" x14ac:dyDescent="0.25">
      <c r="A2413" s="787" t="s">
        <v>4706</v>
      </c>
      <c r="B2413" s="789" t="str">
        <f>IF(SAR!L$43="","",SAR!L$43)</f>
        <v/>
      </c>
      <c r="C2413" s="790">
        <f ca="1">IF(ISERROR(VLOOKUP($A$2260,INDIRECT("notes_"&amp;LEFT($A$2260,3)),4,0)),0,VLOOKUP($A$2260,INDIRECT("notes_"&amp;LEFT($A$2260,3)),4,0))</f>
        <v>0</v>
      </c>
    </row>
    <row r="2414" spans="1:3" x14ac:dyDescent="0.25">
      <c r="A2414" s="787" t="s">
        <v>4707</v>
      </c>
      <c r="B2414" s="789" t="str">
        <f>IF(SAR!L$44="","",SAR!L$44)</f>
        <v/>
      </c>
      <c r="C2414" s="790">
        <f ca="1">IF(ISERROR(VLOOKUP($A$2261,INDIRECT("notes_"&amp;LEFT($A$2261,3)),4,0)),0,VLOOKUP($A$2261,INDIRECT("notes_"&amp;LEFT($A$2261,3)),4,0))</f>
        <v>0</v>
      </c>
    </row>
    <row r="2415" spans="1:3" x14ac:dyDescent="0.25">
      <c r="A2415" s="787" t="s">
        <v>4708</v>
      </c>
      <c r="B2415" s="789" t="str">
        <f>IF(SAR!L$45="","",SAR!L$45)</f>
        <v/>
      </c>
      <c r="C2415" s="790">
        <f ca="1">IF(ISERROR(VLOOKUP($A$2262,INDIRECT("notes_"&amp;LEFT($A$2262,3)),4,0)),0,VLOOKUP($A$2262,INDIRECT("notes_"&amp;LEFT($A$2262,3)),4,0))</f>
        <v>0</v>
      </c>
    </row>
    <row r="2416" spans="1:3" x14ac:dyDescent="0.25">
      <c r="A2416" s="787" t="s">
        <v>4709</v>
      </c>
      <c r="B2416" s="789" t="str">
        <f>IF(SAR!L$46="","",SAR!L$46)</f>
        <v/>
      </c>
      <c r="C2416" s="790">
        <f ca="1">IF(ISERROR(VLOOKUP($A$2263,INDIRECT("notes_"&amp;LEFT($A$2263,3)),4,0)),0,VLOOKUP($A$2263,INDIRECT("notes_"&amp;LEFT($A$2263,3)),4,0))</f>
        <v>0</v>
      </c>
    </row>
    <row r="2417" spans="1:3" x14ac:dyDescent="0.25">
      <c r="A2417" s="787" t="s">
        <v>4710</v>
      </c>
      <c r="B2417" s="789">
        <f>IF(SAR!L$47="","",SAR!L$47)</f>
        <v>0</v>
      </c>
      <c r="C2417" s="790">
        <f ca="1">IF(ISERROR(VLOOKUP($A$2264,INDIRECT("notes_"&amp;LEFT($A$2264,3)),4,0)),0,VLOOKUP($A$2264,INDIRECT("notes_"&amp;LEFT($A$2264,3)),4,0))</f>
        <v>0</v>
      </c>
    </row>
    <row r="2418" spans="1:3" x14ac:dyDescent="0.25">
      <c r="A2418" s="787" t="s">
        <v>4711</v>
      </c>
      <c r="B2418" s="789" t="str">
        <f>IF(SAR!L$50="","",SAR!L$50)</f>
        <v/>
      </c>
      <c r="C2418" s="790">
        <f ca="1">IF(ISERROR(VLOOKUP($A$2265,INDIRECT("notes_"&amp;LEFT($A$2265,3)),4,0)),0,VLOOKUP($A$2265,INDIRECT("notes_"&amp;LEFT($A$2265,3)),4,0))</f>
        <v>0</v>
      </c>
    </row>
    <row r="2419" spans="1:3" x14ac:dyDescent="0.25">
      <c r="A2419" s="787" t="s">
        <v>4712</v>
      </c>
      <c r="B2419" s="789" t="str">
        <f>IF(SAR!L$51="","",SAR!L$51)</f>
        <v/>
      </c>
      <c r="C2419" s="790">
        <f ca="1">IF(ISERROR(VLOOKUP($A$2266,INDIRECT("notes_"&amp;LEFT($A$2266,3)),4,0)),0,VLOOKUP($A$2266,INDIRECT("notes_"&amp;LEFT($A$2266,3)),4,0))</f>
        <v>0</v>
      </c>
    </row>
    <row r="2420" spans="1:3" x14ac:dyDescent="0.25">
      <c r="A2420" s="787" t="s">
        <v>4713</v>
      </c>
      <c r="B2420" s="789" t="str">
        <f>IF(SAR!L$52="","",SAR!L$52)</f>
        <v/>
      </c>
      <c r="C2420" s="790">
        <f ca="1">IF(ISERROR(VLOOKUP($A$2267,INDIRECT("notes_"&amp;LEFT($A$2267,3)),4,0)),0,VLOOKUP($A$2267,INDIRECT("notes_"&amp;LEFT($A$2267,3)),4,0))</f>
        <v>0</v>
      </c>
    </row>
    <row r="2421" spans="1:3" x14ac:dyDescent="0.25">
      <c r="A2421" s="787" t="s">
        <v>4714</v>
      </c>
      <c r="B2421" s="789" t="str">
        <f>IF(SAR!L$53="","",SAR!L$53)</f>
        <v/>
      </c>
      <c r="C2421" s="790">
        <f ca="1">IF(ISERROR(VLOOKUP($A$2268,INDIRECT("notes_"&amp;LEFT($A$2268,3)),4,0)),0,VLOOKUP($A$2268,INDIRECT("notes_"&amp;LEFT($A$2268,3)),4,0))</f>
        <v>0</v>
      </c>
    </row>
    <row r="2422" spans="1:3" x14ac:dyDescent="0.25">
      <c r="A2422" s="787" t="s">
        <v>4715</v>
      </c>
      <c r="B2422" s="789">
        <f>IF(SAR!L$54="","",SAR!L$54)</f>
        <v>0</v>
      </c>
      <c r="C2422" s="790">
        <f ca="1">IF(ISERROR(VLOOKUP($A$2269,INDIRECT("notes_"&amp;LEFT($A$2269,3)),4,0)),0,VLOOKUP($A$2269,INDIRECT("notes_"&amp;LEFT($A$2269,3)),4,0))</f>
        <v>0</v>
      </c>
    </row>
    <row r="2423" spans="1:3" x14ac:dyDescent="0.25">
      <c r="A2423" s="787" t="s">
        <v>4716</v>
      </c>
      <c r="B2423" s="789" t="str">
        <f>IF(SAR!L$56="","",SAR!L$56)</f>
        <v/>
      </c>
      <c r="C2423" s="790">
        <f ca="1">IF(ISERROR(VLOOKUP($A$2270,INDIRECT("notes_"&amp;LEFT($A$2270,3)),4,0)),0,VLOOKUP($A$2270,INDIRECT("notes_"&amp;LEFT($A$2270,3)),4,0))</f>
        <v>0</v>
      </c>
    </row>
    <row r="2424" spans="1:3" x14ac:dyDescent="0.25">
      <c r="A2424" s="787" t="s">
        <v>4717</v>
      </c>
      <c r="B2424" s="789">
        <f>IF(SAR!L$58="","",SAR!L$58)</f>
        <v>0</v>
      </c>
      <c r="C2424" s="790">
        <f ca="1">IF(ISERROR(VLOOKUP($A$2271,INDIRECT("notes_"&amp;LEFT($A$2271,3)),4,0)),0,VLOOKUP($A$2271,INDIRECT("notes_"&amp;LEFT($A$2271,3)),4,0))</f>
        <v>0</v>
      </c>
    </row>
    <row r="2425" spans="1:3" x14ac:dyDescent="0.25">
      <c r="A2425" s="787" t="s">
        <v>4718</v>
      </c>
      <c r="B2425" s="789" t="str">
        <f>IF(SAR!M$36="","",SAR!M$36)</f>
        <v/>
      </c>
      <c r="C2425" s="790">
        <f ca="1">IF(ISERROR(VLOOKUP($A$2255,INDIRECT("notes_"&amp;LEFT($A$2255,3)),4,0)),0,VLOOKUP($A$2255,INDIRECT("notes_"&amp;LEFT($A$2255,3)),4,0))</f>
        <v>0</v>
      </c>
    </row>
    <row r="2426" spans="1:3" x14ac:dyDescent="0.25">
      <c r="A2426" s="787" t="s">
        <v>4719</v>
      </c>
      <c r="B2426" s="789" t="str">
        <f>IF(SAR!M$37="","",SAR!M$37)</f>
        <v/>
      </c>
      <c r="C2426" s="790">
        <f ca="1">IF(ISERROR(VLOOKUP($A$2256,INDIRECT("notes_"&amp;LEFT($A$2256,3)),4,0)),0,VLOOKUP($A$2256,INDIRECT("notes_"&amp;LEFT($A$2256,3)),4,0))</f>
        <v>0</v>
      </c>
    </row>
    <row r="2427" spans="1:3" x14ac:dyDescent="0.25">
      <c r="A2427" s="787" t="s">
        <v>4720</v>
      </c>
      <c r="B2427" s="789" t="str">
        <f>IF(SAR!M$38="","",SAR!M$38)</f>
        <v/>
      </c>
      <c r="C2427" s="790">
        <f ca="1">IF(ISERROR(VLOOKUP($A$2257,INDIRECT("notes_"&amp;LEFT($A$2257,3)),4,0)),0,VLOOKUP($A$2257,INDIRECT("notes_"&amp;LEFT($A$2257,3)),4,0))</f>
        <v>0</v>
      </c>
    </row>
    <row r="2428" spans="1:3" x14ac:dyDescent="0.25">
      <c r="A2428" s="787" t="s">
        <v>4721</v>
      </c>
      <c r="B2428" s="789" t="str">
        <f>IF(SAR!M$39="","",SAR!M$39)</f>
        <v/>
      </c>
      <c r="C2428" s="790">
        <f ca="1">IF(ISERROR(VLOOKUP($A$2258,INDIRECT("notes_"&amp;LEFT($A$2258,3)),4,0)),0,VLOOKUP($A$2258,INDIRECT("notes_"&amp;LEFT($A$2258,3)),4,0))</f>
        <v>0</v>
      </c>
    </row>
    <row r="2429" spans="1:3" x14ac:dyDescent="0.25">
      <c r="A2429" s="787" t="s">
        <v>4722</v>
      </c>
      <c r="B2429" s="789">
        <f>IF(SAR!M$40="","",SAR!M$40)</f>
        <v>0</v>
      </c>
      <c r="C2429" s="790">
        <f ca="1">IF(ISERROR(VLOOKUP($A$2259,INDIRECT("notes_"&amp;LEFT($A$2259,3)),4,0)),0,VLOOKUP($A$2259,INDIRECT("notes_"&amp;LEFT($A$2259,3)),4,0))</f>
        <v>0</v>
      </c>
    </row>
    <row r="2430" spans="1:3" x14ac:dyDescent="0.25">
      <c r="A2430" s="787" t="s">
        <v>4723</v>
      </c>
      <c r="B2430" s="789" t="str">
        <f>IF(SAR!M$43="","",SAR!M$43)</f>
        <v/>
      </c>
      <c r="C2430" s="790">
        <f ca="1">IF(ISERROR(VLOOKUP($A$2260,INDIRECT("notes_"&amp;LEFT($A$2260,3)),4,0)),0,VLOOKUP($A$2260,INDIRECT("notes_"&amp;LEFT($A$2260,3)),4,0))</f>
        <v>0</v>
      </c>
    </row>
    <row r="2431" spans="1:3" x14ac:dyDescent="0.25">
      <c r="A2431" s="787" t="s">
        <v>4724</v>
      </c>
      <c r="B2431" s="789" t="str">
        <f>IF(SAR!M$44="","",SAR!M$44)</f>
        <v/>
      </c>
      <c r="C2431" s="790">
        <f ca="1">IF(ISERROR(VLOOKUP($A$2261,INDIRECT("notes_"&amp;LEFT($A$2261,3)),4,0)),0,VLOOKUP($A$2261,INDIRECT("notes_"&amp;LEFT($A$2261,3)),4,0))</f>
        <v>0</v>
      </c>
    </row>
    <row r="2432" spans="1:3" x14ac:dyDescent="0.25">
      <c r="A2432" s="787" t="s">
        <v>4725</v>
      </c>
      <c r="B2432" s="789" t="str">
        <f>IF(SAR!M$45="","",SAR!M$45)</f>
        <v/>
      </c>
      <c r="C2432" s="790">
        <f ca="1">IF(ISERROR(VLOOKUP($A$2262,INDIRECT("notes_"&amp;LEFT($A$2262,3)),4,0)),0,VLOOKUP($A$2262,INDIRECT("notes_"&amp;LEFT($A$2262,3)),4,0))</f>
        <v>0</v>
      </c>
    </row>
    <row r="2433" spans="1:7" x14ac:dyDescent="0.25">
      <c r="A2433" s="787" t="s">
        <v>4726</v>
      </c>
      <c r="B2433" s="789" t="str">
        <f>IF(SAR!M$46="","",SAR!M$46)</f>
        <v/>
      </c>
      <c r="C2433" s="790">
        <f ca="1">IF(ISERROR(VLOOKUP($A$2263,INDIRECT("notes_"&amp;LEFT($A$2263,3)),4,0)),0,VLOOKUP($A$2263,INDIRECT("notes_"&amp;LEFT($A$2263,3)),4,0))</f>
        <v>0</v>
      </c>
    </row>
    <row r="2434" spans="1:7" x14ac:dyDescent="0.25">
      <c r="A2434" s="787" t="s">
        <v>4727</v>
      </c>
      <c r="B2434" s="789">
        <f>IF(SAR!M$47="","",SAR!M$47)</f>
        <v>0</v>
      </c>
      <c r="C2434" s="790">
        <f ca="1">IF(ISERROR(VLOOKUP($A$2264,INDIRECT("notes_"&amp;LEFT($A$2264,3)),4,0)),0,VLOOKUP($A$2264,INDIRECT("notes_"&amp;LEFT($A$2264,3)),4,0))</f>
        <v>0</v>
      </c>
    </row>
    <row r="2435" spans="1:7" x14ac:dyDescent="0.25">
      <c r="A2435" s="787" t="s">
        <v>4728</v>
      </c>
      <c r="B2435" s="789" t="str">
        <f>IF(SAR!M$50="","",SAR!M$50)</f>
        <v/>
      </c>
      <c r="C2435" s="790">
        <f ca="1">IF(ISERROR(VLOOKUP($A$2265,INDIRECT("notes_"&amp;LEFT($A$2265,3)),4,0)),0,VLOOKUP($A$2265,INDIRECT("notes_"&amp;LEFT($A$2265,3)),4,0))</f>
        <v>0</v>
      </c>
    </row>
    <row r="2436" spans="1:7" x14ac:dyDescent="0.25">
      <c r="A2436" s="787" t="s">
        <v>4729</v>
      </c>
      <c r="B2436" s="789" t="str">
        <f>IF(SAR!M$51="","",SAR!M$51)</f>
        <v/>
      </c>
      <c r="C2436" s="790">
        <f ca="1">IF(ISERROR(VLOOKUP($A$2266,INDIRECT("notes_"&amp;LEFT($A$2266,3)),4,0)),0,VLOOKUP($A$2266,INDIRECT("notes_"&amp;LEFT($A$2266,3)),4,0))</f>
        <v>0</v>
      </c>
    </row>
    <row r="2437" spans="1:7" x14ac:dyDescent="0.25">
      <c r="A2437" s="787" t="s">
        <v>4730</v>
      </c>
      <c r="B2437" s="789" t="str">
        <f>IF(SAR!M$52="","",SAR!M$52)</f>
        <v/>
      </c>
      <c r="C2437" s="790">
        <f ca="1">IF(ISERROR(VLOOKUP($A$2267,INDIRECT("notes_"&amp;LEFT($A$2267,3)),4,0)),0,VLOOKUP($A$2267,INDIRECT("notes_"&amp;LEFT($A$2267,3)),4,0))</f>
        <v>0</v>
      </c>
    </row>
    <row r="2438" spans="1:7" x14ac:dyDescent="0.25">
      <c r="A2438" s="787" t="s">
        <v>4731</v>
      </c>
      <c r="B2438" s="789" t="str">
        <f>IF(SAR!M$53="","",SAR!M$53)</f>
        <v/>
      </c>
      <c r="C2438" s="790">
        <f ca="1">IF(ISERROR(VLOOKUP($A$2268,INDIRECT("notes_"&amp;LEFT($A$2268,3)),4,0)),0,VLOOKUP($A$2268,INDIRECT("notes_"&amp;LEFT($A$2268,3)),4,0))</f>
        <v>0</v>
      </c>
    </row>
    <row r="2439" spans="1:7" x14ac:dyDescent="0.25">
      <c r="A2439" s="787" t="s">
        <v>4732</v>
      </c>
      <c r="B2439" s="789">
        <f>IF(SAR!M$54="","",SAR!M$54)</f>
        <v>0</v>
      </c>
      <c r="C2439" s="790">
        <f ca="1">IF(ISERROR(VLOOKUP($A$2269,INDIRECT("notes_"&amp;LEFT($A$2269,3)),4,0)),0,VLOOKUP($A$2269,INDIRECT("notes_"&amp;LEFT($A$2269,3)),4,0))</f>
        <v>0</v>
      </c>
    </row>
    <row r="2440" spans="1:7" x14ac:dyDescent="0.25">
      <c r="A2440" s="787" t="s">
        <v>4733</v>
      </c>
      <c r="B2440" s="789" t="str">
        <f>IF(SAR!M$56="","",SAR!M$56)</f>
        <v/>
      </c>
      <c r="C2440" s="790">
        <f ca="1">IF(ISERROR(VLOOKUP($A$2270,INDIRECT("notes_"&amp;LEFT($A$2270,3)),4,0)),0,VLOOKUP($A$2270,INDIRECT("notes_"&amp;LEFT($A$2270,3)),4,0))</f>
        <v>0</v>
      </c>
    </row>
    <row r="2441" spans="1:7" x14ac:dyDescent="0.25">
      <c r="A2441" s="787" t="s">
        <v>4734</v>
      </c>
      <c r="B2441" s="789">
        <f>IF(SAR!M$58="","",SAR!M$58)</f>
        <v>0</v>
      </c>
      <c r="C2441" s="790">
        <f ca="1">IF(ISERROR(VLOOKUP($A$2271,INDIRECT("notes_"&amp;LEFT($A$2271,3)),4,0)),0,VLOOKUP($A$2271,INDIRECT("notes_"&amp;LEFT($A$2271,3)),4,0))</f>
        <v>0</v>
      </c>
    </row>
    <row r="2442" spans="1:7" x14ac:dyDescent="0.25">
      <c r="A2442" s="787" t="s">
        <v>4735</v>
      </c>
      <c r="B2442" s="789" t="str">
        <f>IF(Levy!$C35="","",Levy!$C35)</f>
        <v/>
      </c>
      <c r="C2442" s="795"/>
      <c r="G2442" s="795">
        <f>Levy!$B35</f>
        <v>0</v>
      </c>
    </row>
    <row r="2443" spans="1:7" x14ac:dyDescent="0.25">
      <c r="A2443" s="787" t="s">
        <v>4736</v>
      </c>
      <c r="B2443" s="789" t="str">
        <f>IF(Levy!$C36="","",Levy!$C36)</f>
        <v/>
      </c>
      <c r="C2443" s="795"/>
      <c r="G2443" s="795">
        <f>Levy!$B36</f>
        <v>0</v>
      </c>
    </row>
    <row r="2444" spans="1:7" x14ac:dyDescent="0.25">
      <c r="A2444" s="787" t="s">
        <v>4737</v>
      </c>
      <c r="B2444" s="789" t="str">
        <f>IF(Levy!$C37="","",Levy!$C37)</f>
        <v/>
      </c>
      <c r="C2444" s="795"/>
      <c r="G2444" s="795">
        <f>Levy!$B37</f>
        <v>0</v>
      </c>
    </row>
    <row r="2445" spans="1:7" x14ac:dyDescent="0.25">
      <c r="A2445" s="787" t="s">
        <v>4738</v>
      </c>
      <c r="B2445" s="789" t="str">
        <f>IF(Levy!$C38="","",Levy!$C38)</f>
        <v/>
      </c>
      <c r="C2445" s="795"/>
      <c r="G2445" s="795">
        <f>Levy!$B38</f>
        <v>0</v>
      </c>
    </row>
    <row r="2446" spans="1:7" x14ac:dyDescent="0.25">
      <c r="A2446" s="787" t="s">
        <v>4739</v>
      </c>
      <c r="B2446" s="789" t="str">
        <f>IF(Levy!$C39="","",Levy!$C39)</f>
        <v/>
      </c>
      <c r="C2446" s="795"/>
      <c r="G2446" s="795">
        <f>Levy!$B39</f>
        <v>0</v>
      </c>
    </row>
    <row r="2447" spans="1:7" x14ac:dyDescent="0.25">
      <c r="A2447" s="787" t="s">
        <v>4740</v>
      </c>
      <c r="B2447" s="789" t="str">
        <f>IF(Levy!$C40="","",Levy!$C40)</f>
        <v/>
      </c>
      <c r="C2447" s="795"/>
      <c r="G2447" s="795">
        <f>Levy!$B40</f>
        <v>0</v>
      </c>
    </row>
    <row r="2448" spans="1:7" x14ac:dyDescent="0.25">
      <c r="A2448" s="787" t="s">
        <v>4741</v>
      </c>
      <c r="B2448" s="789" t="str">
        <f>IF(Levy!$C41="","",Levy!$C41)</f>
        <v/>
      </c>
      <c r="C2448" s="795"/>
      <c r="G2448" s="795">
        <f>Levy!$B41</f>
        <v>0</v>
      </c>
    </row>
    <row r="2449" spans="1:7" x14ac:dyDescent="0.25">
      <c r="A2449" s="787" t="s">
        <v>4742</v>
      </c>
      <c r="B2449" s="789" t="str">
        <f>IF(Levy!$C42="","",Levy!$C42)</f>
        <v/>
      </c>
      <c r="C2449" s="795"/>
      <c r="G2449" s="795">
        <f>Levy!$B42</f>
        <v>0</v>
      </c>
    </row>
    <row r="2450" spans="1:7" x14ac:dyDescent="0.25">
      <c r="A2450" s="787" t="s">
        <v>4743</v>
      </c>
      <c r="B2450" s="789" t="str">
        <f>IF(Levy!$C43="","",Levy!$C43)</f>
        <v/>
      </c>
      <c r="C2450" s="795"/>
      <c r="G2450" s="795">
        <f>Levy!$B43</f>
        <v>0</v>
      </c>
    </row>
    <row r="2451" spans="1:7" x14ac:dyDescent="0.25">
      <c r="A2451" s="787" t="s">
        <v>4744</v>
      </c>
      <c r="B2451" s="789" t="str">
        <f>IF(Levy!$C44="","",Levy!$C44)</f>
        <v/>
      </c>
      <c r="C2451" s="795"/>
      <c r="G2451" s="795">
        <f>Levy!$B44</f>
        <v>0</v>
      </c>
    </row>
    <row r="2452" spans="1:7" x14ac:dyDescent="0.25">
      <c r="A2452" s="787" t="s">
        <v>4745</v>
      </c>
      <c r="B2452" s="789" t="str">
        <f>IF(Levy!$C45="","",Levy!$C45)</f>
        <v/>
      </c>
      <c r="C2452" s="795"/>
      <c r="G2452" s="795">
        <f>Levy!$B45</f>
        <v>0</v>
      </c>
    </row>
    <row r="2453" spans="1:7" x14ac:dyDescent="0.25">
      <c r="A2453" s="787" t="s">
        <v>4746</v>
      </c>
      <c r="B2453" s="789" t="str">
        <f>IF(Levy!$C46="","",Levy!$C46)</f>
        <v/>
      </c>
      <c r="C2453" s="795"/>
      <c r="G2453" s="795">
        <f>Levy!$B46</f>
        <v>0</v>
      </c>
    </row>
    <row r="2454" spans="1:7" x14ac:dyDescent="0.25">
      <c r="A2454" s="787" t="s">
        <v>4747</v>
      </c>
      <c r="B2454" s="789" t="str">
        <f>IF(Levy!$C47="","",Levy!$C47)</f>
        <v/>
      </c>
      <c r="C2454" s="795"/>
      <c r="G2454" s="795">
        <f>Levy!$B47</f>
        <v>0</v>
      </c>
    </row>
    <row r="2455" spans="1:7" x14ac:dyDescent="0.25">
      <c r="A2455" s="787" t="s">
        <v>4748</v>
      </c>
      <c r="B2455" s="789" t="str">
        <f>IF(Levy!$C48="","",Levy!$C48)</f>
        <v/>
      </c>
      <c r="C2455" s="795"/>
      <c r="G2455" s="795">
        <f>Levy!$B48</f>
        <v>0</v>
      </c>
    </row>
    <row r="2456" spans="1:7" x14ac:dyDescent="0.25">
      <c r="A2456" s="787" t="s">
        <v>4749</v>
      </c>
      <c r="B2456" s="789" t="str">
        <f>IF(Levy!$C49="","",Levy!$C49)</f>
        <v/>
      </c>
      <c r="C2456" s="795"/>
      <c r="G2456" s="795">
        <f>Levy!$B49</f>
        <v>0</v>
      </c>
    </row>
    <row r="2457" spans="1:7" x14ac:dyDescent="0.25">
      <c r="A2457" s="787" t="s">
        <v>4750</v>
      </c>
      <c r="B2457" s="789">
        <f>IF(Levy!$C50="","",Levy!$C50)</f>
        <v>0</v>
      </c>
      <c r="C2457" s="795"/>
      <c r="G2457" s="795"/>
    </row>
    <row r="2458" spans="1:7" x14ac:dyDescent="0.25">
      <c r="A2458" s="787" t="s">
        <v>4751</v>
      </c>
      <c r="B2458" s="789" t="str">
        <f>IF(Levy!$C10="","",Levy!$C10)</f>
        <v/>
      </c>
      <c r="C2458" s="795"/>
      <c r="G2458" s="795">
        <f>Levy!$B10</f>
        <v>0</v>
      </c>
    </row>
    <row r="2459" spans="1:7" x14ac:dyDescent="0.25">
      <c r="A2459" s="787" t="s">
        <v>4752</v>
      </c>
      <c r="B2459" s="789" t="str">
        <f>IF(Levy!$C11="","",Levy!$C11)</f>
        <v/>
      </c>
      <c r="C2459" s="795"/>
      <c r="G2459" s="795">
        <f>Levy!$B11</f>
        <v>0</v>
      </c>
    </row>
    <row r="2460" spans="1:7" x14ac:dyDescent="0.25">
      <c r="A2460" s="787" t="s">
        <v>4753</v>
      </c>
      <c r="B2460" s="789" t="str">
        <f>IF(Levy!$C12="","",Levy!$C12)</f>
        <v/>
      </c>
      <c r="C2460" s="795"/>
      <c r="G2460" s="795">
        <f>Levy!$B12</f>
        <v>0</v>
      </c>
    </row>
    <row r="2461" spans="1:7" x14ac:dyDescent="0.25">
      <c r="A2461" s="787" t="s">
        <v>4754</v>
      </c>
      <c r="B2461" s="789" t="str">
        <f>IF(Levy!$C13="","",Levy!$C13)</f>
        <v/>
      </c>
      <c r="C2461" s="795"/>
      <c r="G2461" s="795">
        <f>Levy!$B13</f>
        <v>0</v>
      </c>
    </row>
    <row r="2462" spans="1:7" x14ac:dyDescent="0.25">
      <c r="A2462" s="787" t="s">
        <v>4755</v>
      </c>
      <c r="B2462" s="789" t="str">
        <f>IF(Levy!$C14="","",Levy!$C14)</f>
        <v/>
      </c>
      <c r="C2462" s="795"/>
      <c r="G2462" s="795">
        <f>Levy!$B14</f>
        <v>0</v>
      </c>
    </row>
    <row r="2463" spans="1:7" x14ac:dyDescent="0.25">
      <c r="A2463" s="787" t="s">
        <v>4756</v>
      </c>
      <c r="B2463" s="789" t="str">
        <f>IF(Levy!$C15="","",Levy!$C15)</f>
        <v/>
      </c>
      <c r="C2463" s="795"/>
      <c r="G2463" s="795">
        <f>Levy!$B15</f>
        <v>0</v>
      </c>
    </row>
    <row r="2464" spans="1:7" x14ac:dyDescent="0.25">
      <c r="A2464" s="787" t="s">
        <v>4757</v>
      </c>
      <c r="B2464" s="789" t="str">
        <f>IF(Levy!$C16="","",Levy!$C16)</f>
        <v/>
      </c>
      <c r="C2464" s="795"/>
      <c r="G2464" s="795">
        <f>Levy!$B16</f>
        <v>0</v>
      </c>
    </row>
    <row r="2465" spans="1:7" x14ac:dyDescent="0.25">
      <c r="A2465" s="787" t="s">
        <v>4758</v>
      </c>
      <c r="B2465" s="789" t="str">
        <f>IF(Levy!$C17="","",Levy!$C17)</f>
        <v/>
      </c>
      <c r="C2465" s="795"/>
      <c r="G2465" s="795">
        <f>Levy!$B17</f>
        <v>0</v>
      </c>
    </row>
    <row r="2466" spans="1:7" x14ac:dyDescent="0.25">
      <c r="A2466" s="787" t="s">
        <v>4759</v>
      </c>
      <c r="B2466" s="789" t="str">
        <f>IF(Levy!$C18="","",Levy!$C18)</f>
        <v/>
      </c>
      <c r="C2466" s="795"/>
      <c r="G2466" s="795">
        <f>Levy!$B18</f>
        <v>0</v>
      </c>
    </row>
    <row r="2467" spans="1:7" x14ac:dyDescent="0.25">
      <c r="A2467" s="787" t="s">
        <v>4760</v>
      </c>
      <c r="B2467" s="789" t="str">
        <f>IF(Levy!$C19="","",Levy!$C19)</f>
        <v/>
      </c>
      <c r="C2467" s="795"/>
      <c r="G2467" s="795">
        <f>Levy!$B19</f>
        <v>0</v>
      </c>
    </row>
    <row r="2468" spans="1:7" x14ac:dyDescent="0.25">
      <c r="A2468" s="787" t="s">
        <v>4761</v>
      </c>
      <c r="B2468" s="789" t="str">
        <f>IF(Levy!$C20="","",Levy!$C20)</f>
        <v/>
      </c>
      <c r="C2468" s="795"/>
      <c r="G2468" s="795">
        <f>Levy!$B20</f>
        <v>0</v>
      </c>
    </row>
    <row r="2469" spans="1:7" x14ac:dyDescent="0.25">
      <c r="A2469" s="787" t="s">
        <v>4762</v>
      </c>
      <c r="B2469" s="789" t="str">
        <f>IF(Levy!$C21="","",Levy!$C21)</f>
        <v/>
      </c>
      <c r="C2469" s="795"/>
      <c r="G2469" s="795">
        <f>Levy!$B21</f>
        <v>0</v>
      </c>
    </row>
    <row r="2470" spans="1:7" x14ac:dyDescent="0.25">
      <c r="A2470" s="787" t="s">
        <v>4763</v>
      </c>
      <c r="B2470" s="789" t="str">
        <f>IF(Levy!$C22="","",Levy!$C22)</f>
        <v/>
      </c>
      <c r="C2470" s="795"/>
      <c r="G2470" s="795">
        <f>Levy!$B22</f>
        <v>0</v>
      </c>
    </row>
    <row r="2471" spans="1:7" x14ac:dyDescent="0.25">
      <c r="A2471" s="787" t="s">
        <v>4764</v>
      </c>
      <c r="B2471" s="789" t="str">
        <f>IF(Levy!$C23="","",Levy!$C23)</f>
        <v/>
      </c>
      <c r="C2471" s="795"/>
      <c r="G2471" s="795">
        <f>Levy!$B23</f>
        <v>0</v>
      </c>
    </row>
    <row r="2472" spans="1:7" x14ac:dyDescent="0.25">
      <c r="A2472" s="787" t="s">
        <v>4765</v>
      </c>
      <c r="B2472" s="789" t="str">
        <f>IF(Levy!$C24="","",Levy!$C24)</f>
        <v/>
      </c>
      <c r="C2472" s="795"/>
      <c r="G2472" s="795">
        <f>Levy!$B24</f>
        <v>0</v>
      </c>
    </row>
    <row r="2473" spans="1:7" x14ac:dyDescent="0.25">
      <c r="A2473" s="787" t="s">
        <v>4766</v>
      </c>
      <c r="B2473" s="789">
        <f>IF(Levy!$C25="","",Levy!$C25)</f>
        <v>0</v>
      </c>
      <c r="C2473" s="795"/>
      <c r="G2473" s="795"/>
    </row>
    <row r="2474" spans="1:7" x14ac:dyDescent="0.25">
      <c r="A2474" s="787" t="s">
        <v>2852</v>
      </c>
      <c r="B2474" s="789" t="str">
        <f>IF(SAR!C$66="","",SAR!C$66)</f>
        <v/>
      </c>
      <c r="C2474" s="790">
        <f ca="1">IF(ISERROR(VLOOKUP($A$2474,INDIRECT("notes_"&amp;LEFT($A$2474,4)),4,0)),0,VLOOKUP($A$2474,INDIRECT("notes_"&amp;LEFT($A$2474,4)),4,0))</f>
        <v>0</v>
      </c>
    </row>
    <row r="2475" spans="1:7" x14ac:dyDescent="0.25">
      <c r="A2475" s="787" t="s">
        <v>2853</v>
      </c>
      <c r="B2475" s="789" t="str">
        <f>IF(SAR!C$67="","",SAR!C$67)</f>
        <v/>
      </c>
      <c r="C2475" s="790">
        <f ca="1">IF(ISERROR(VLOOKUP($A$2475,INDIRECT("notes_"&amp;LEFT($A$2475,4)),4,0)),0,VLOOKUP($A$2475,INDIRECT("notes_"&amp;LEFT($A$2475,4)),4,0))</f>
        <v>0</v>
      </c>
    </row>
    <row r="2476" spans="1:7" x14ac:dyDescent="0.25">
      <c r="A2476" s="787" t="s">
        <v>2854</v>
      </c>
      <c r="B2476" s="789" t="str">
        <f>IF(SAR!C$68="","",SAR!C$68)</f>
        <v/>
      </c>
      <c r="C2476" s="790">
        <f ca="1">IF(ISERROR(VLOOKUP($A$2476,INDIRECT("notes_"&amp;LEFT($A$2476,4)),4,0)),0,VLOOKUP($A$2476,INDIRECT("notes_"&amp;LEFT($A$2476,4)),4,0))</f>
        <v>0</v>
      </c>
    </row>
    <row r="2477" spans="1:7" x14ac:dyDescent="0.25">
      <c r="A2477" s="787" t="s">
        <v>2855</v>
      </c>
      <c r="B2477" s="789" t="str">
        <f>IF(SAR!C$69="","",SAR!C$69)</f>
        <v/>
      </c>
      <c r="C2477" s="790">
        <f ca="1">IF(ISERROR(VLOOKUP($A$2477,INDIRECT("notes_"&amp;LEFT($A$2477,4)),4,0)),0,VLOOKUP($A$2477,INDIRECT("notes_"&amp;LEFT($A$2477,4)),4,0))</f>
        <v>0</v>
      </c>
    </row>
    <row r="2478" spans="1:7" x14ac:dyDescent="0.25">
      <c r="A2478" s="787" t="s">
        <v>2856</v>
      </c>
      <c r="B2478" s="789" t="str">
        <f>IF(SAR!C$70="","",SAR!C$70)</f>
        <v/>
      </c>
      <c r="C2478" s="790">
        <f ca="1">IF(ISERROR(VLOOKUP($A$2478,INDIRECT("notes_"&amp;LEFT($A$2478,4)),4,0)),0,VLOOKUP($A$2478,INDIRECT("notes_"&amp;LEFT($A$2478,4)),4,0))</f>
        <v>0</v>
      </c>
    </row>
    <row r="2479" spans="1:7" x14ac:dyDescent="0.25">
      <c r="A2479" s="787" t="s">
        <v>2857</v>
      </c>
      <c r="B2479" s="789" t="str">
        <f>IF(SAR!C$71="","",SAR!C$71)</f>
        <v/>
      </c>
      <c r="C2479" s="790">
        <f ca="1">IF(ISERROR(VLOOKUP($A$2479,INDIRECT("notes_"&amp;LEFT($A$2479,4)),4,0)),0,VLOOKUP($A$2479,INDIRECT("notes_"&amp;LEFT($A$2479,4)),4,0))</f>
        <v>0</v>
      </c>
    </row>
    <row r="2480" spans="1:7" x14ac:dyDescent="0.25">
      <c r="A2480" s="787" t="s">
        <v>2858</v>
      </c>
      <c r="B2480" s="789" t="str">
        <f>IF(SAR!C$72="","",SAR!C$72)</f>
        <v/>
      </c>
      <c r="C2480" s="790">
        <f ca="1">IF(ISERROR(VLOOKUP($A$2480,INDIRECT("notes_"&amp;LEFT($A$2480,4)),4,0)),0,VLOOKUP($A$2480,INDIRECT("notes_"&amp;LEFT($A$2480,4)),4,0))</f>
        <v>0</v>
      </c>
    </row>
    <row r="2481" spans="1:3" x14ac:dyDescent="0.25">
      <c r="A2481" s="787" t="s">
        <v>2859</v>
      </c>
      <c r="B2481" s="789" t="str">
        <f>IF(SAR!C$73="","",SAR!C$73)</f>
        <v/>
      </c>
      <c r="C2481" s="790">
        <f ca="1">IF(ISERROR(VLOOKUP($A$2481,INDIRECT("notes_"&amp;LEFT($A$2481,4)),4,0)),0,VLOOKUP($A$2481,INDIRECT("notes_"&amp;LEFT($A$2481,4)),4,0))</f>
        <v>0</v>
      </c>
    </row>
    <row r="2482" spans="1:3" x14ac:dyDescent="0.25">
      <c r="A2482" s="787" t="s">
        <v>2860</v>
      </c>
      <c r="B2482" s="789" t="str">
        <f>IF(SAR!C$74="","",SAR!C$74)</f>
        <v/>
      </c>
      <c r="C2482" s="790">
        <f ca="1">IF(ISERROR(VLOOKUP($A$2482,INDIRECT("notes_"&amp;LEFT($A$2482,4)),4,0)),0,VLOOKUP($A$2482,INDIRECT("notes_"&amp;LEFT($A$2482,4)),4,0))</f>
        <v>0</v>
      </c>
    </row>
    <row r="2483" spans="1:3" x14ac:dyDescent="0.25">
      <c r="A2483" s="787" t="s">
        <v>2861</v>
      </c>
      <c r="B2483" s="789" t="str">
        <f>IF(SAR!C$75="","",SAR!C$75)</f>
        <v/>
      </c>
      <c r="C2483" s="790">
        <f ca="1">IF(ISERROR(VLOOKUP($A$2483,INDIRECT("notes_"&amp;LEFT($A$2483,4)),4,0)),0,VLOOKUP($A$2483,INDIRECT("notes_"&amp;LEFT($A$2483,4)),4,0))</f>
        <v>0</v>
      </c>
    </row>
    <row r="2484" spans="1:3" x14ac:dyDescent="0.25">
      <c r="A2484" s="787" t="s">
        <v>2862</v>
      </c>
      <c r="B2484" s="789">
        <f>IF(SAR!C$76="","",SAR!C$76)</f>
        <v>0</v>
      </c>
      <c r="C2484" s="790">
        <f ca="1">IF(ISERROR(VLOOKUP($A$2484,INDIRECT("notes_"&amp;LEFT($A$2484,4)),4,0)),0,VLOOKUP($A$2484,INDIRECT("notes_"&amp;LEFT($A$2484,4)),4,0))</f>
        <v>0</v>
      </c>
    </row>
    <row r="2485" spans="1:3" x14ac:dyDescent="0.25">
      <c r="A2485" s="787" t="s">
        <v>2863</v>
      </c>
      <c r="B2485" s="789" t="str">
        <f>IF(SAR!C$79="","",SAR!C$79)</f>
        <v/>
      </c>
      <c r="C2485" s="790">
        <f ca="1">IF(ISERROR(VLOOKUP($A$2485,INDIRECT("notes_"&amp;LEFT($A$2485,4)),4,0)),0,VLOOKUP($A$2485,INDIRECT("notes_"&amp;LEFT($A$2485,4)),4,0))</f>
        <v>0</v>
      </c>
    </row>
    <row r="2486" spans="1:3" x14ac:dyDescent="0.25">
      <c r="A2486" s="787" t="s">
        <v>2864</v>
      </c>
      <c r="B2486" s="789" t="str">
        <f>IF(SAR!C$80="","",SAR!C$80)</f>
        <v/>
      </c>
      <c r="C2486" s="790">
        <f ca="1">IF(ISERROR(VLOOKUP($A$2486,INDIRECT("notes_"&amp;LEFT($A$2486,4)),4,0)),0,VLOOKUP($A$2486,INDIRECT("notes_"&amp;LEFT($A$2486,4)),4,0))</f>
        <v>0</v>
      </c>
    </row>
    <row r="2487" spans="1:3" x14ac:dyDescent="0.25">
      <c r="A2487" s="787" t="s">
        <v>2865</v>
      </c>
      <c r="B2487" s="789" t="str">
        <f>IF(SAR!C$81="","",SAR!C$81)</f>
        <v/>
      </c>
      <c r="C2487" s="790">
        <f ca="1">IF(ISERROR(VLOOKUP($A$2487,INDIRECT("notes_"&amp;LEFT($A$2487,4)),4,0)),0,VLOOKUP($A$2487,INDIRECT("notes_"&amp;LEFT($A$2487,4)),4,0))</f>
        <v>0</v>
      </c>
    </row>
    <row r="2488" spans="1:3" x14ac:dyDescent="0.25">
      <c r="A2488" s="787" t="s">
        <v>2866</v>
      </c>
      <c r="B2488" s="789" t="str">
        <f>IF(SAR!C$82="","",SAR!C$82)</f>
        <v/>
      </c>
      <c r="C2488" s="790">
        <f ca="1">IF(ISERROR(VLOOKUP($A$2488,INDIRECT("notes_"&amp;LEFT($A$2488,4)),4,0)),0,VLOOKUP($A$2488,INDIRECT("notes_"&amp;LEFT($A$2488,4)),4,0))</f>
        <v>0</v>
      </c>
    </row>
    <row r="2489" spans="1:3" x14ac:dyDescent="0.25">
      <c r="A2489" s="787" t="s">
        <v>2867</v>
      </c>
      <c r="B2489" s="789" t="str">
        <f>IF(SAR!C$83="","",SAR!C$83)</f>
        <v/>
      </c>
      <c r="C2489" s="790">
        <f ca="1">IF(ISERROR(VLOOKUP($A$2489,INDIRECT("notes_"&amp;LEFT($A$2489,4)),4,0)),0,VLOOKUP($A$2489,INDIRECT("notes_"&amp;LEFT($A$2489,4)),4,0))</f>
        <v>0</v>
      </c>
    </row>
    <row r="2490" spans="1:3" x14ac:dyDescent="0.25">
      <c r="A2490" s="787" t="s">
        <v>2868</v>
      </c>
      <c r="B2490" s="789" t="str">
        <f>IF(SAR!C$84="","",SAR!C$84)</f>
        <v/>
      </c>
      <c r="C2490" s="790">
        <f ca="1">IF(ISERROR(VLOOKUP($A$2490,INDIRECT("notes_"&amp;LEFT($A$2490,4)),4,0)),0,VLOOKUP($A$2490,INDIRECT("notes_"&amp;LEFT($A$2490,4)),4,0))</f>
        <v>0</v>
      </c>
    </row>
    <row r="2491" spans="1:3" x14ac:dyDescent="0.25">
      <c r="A2491" s="787" t="s">
        <v>2869</v>
      </c>
      <c r="B2491" s="789">
        <f>IF(SAR!C$85="","",SAR!C$85)</f>
        <v>0</v>
      </c>
      <c r="C2491" s="790">
        <f ca="1">IF(ISERROR(VLOOKUP($A$2491,INDIRECT("notes_"&amp;LEFT($A$2491,4)),4,0)),0,VLOOKUP($A$2491,INDIRECT("notes_"&amp;LEFT($A$2491,4)),4,0))</f>
        <v>0</v>
      </c>
    </row>
    <row r="2492" spans="1:3" x14ac:dyDescent="0.25">
      <c r="A2492" s="787" t="s">
        <v>2870</v>
      </c>
      <c r="B2492" s="789" t="str">
        <f>IF(SAR!C$88="","",SAR!C$88)</f>
        <v/>
      </c>
      <c r="C2492" s="790">
        <f ca="1">IF(ISERROR(VLOOKUP($A$2492,INDIRECT("notes_"&amp;LEFT($A$2492,4)),4,0)),0,VLOOKUP($A$2492,INDIRECT("notes_"&amp;LEFT($A$2492,4)),4,0))</f>
        <v>0</v>
      </c>
    </row>
    <row r="2493" spans="1:3" x14ac:dyDescent="0.25">
      <c r="A2493" s="787" t="s">
        <v>2871</v>
      </c>
      <c r="B2493" s="789" t="str">
        <f>IF(SAR!C$89="","",SAR!C$89)</f>
        <v/>
      </c>
      <c r="C2493" s="790">
        <f ca="1">IF(ISERROR(VLOOKUP($A$2493,INDIRECT("notes_"&amp;LEFT($A$2493,4)),4,0)),0,VLOOKUP($A$2493,INDIRECT("notes_"&amp;LEFT($A$2493,4)),4,0))</f>
        <v>0</v>
      </c>
    </row>
    <row r="2494" spans="1:3" x14ac:dyDescent="0.25">
      <c r="A2494" s="787" t="s">
        <v>2872</v>
      </c>
      <c r="B2494" s="789" t="str">
        <f>IF(SAR!C$90="","",SAR!C$90)</f>
        <v/>
      </c>
      <c r="C2494" s="790">
        <f ca="1">IF(ISERROR(VLOOKUP($A$2494,INDIRECT("notes_"&amp;LEFT($A$2494,4)),4,0)),0,VLOOKUP($A$2494,INDIRECT("notes_"&amp;LEFT($A$2494,4)),4,0))</f>
        <v>0</v>
      </c>
    </row>
    <row r="2495" spans="1:3" x14ac:dyDescent="0.25">
      <c r="A2495" s="787" t="s">
        <v>2873</v>
      </c>
      <c r="B2495" s="789" t="str">
        <f>IF(SAR!C$91="","",SAR!C$91)</f>
        <v/>
      </c>
      <c r="C2495" s="790">
        <f ca="1">IF(ISERROR(VLOOKUP($A$2495,INDIRECT("notes_"&amp;LEFT($A$2495,4)),4,0)),0,VLOOKUP($A$2495,INDIRECT("notes_"&amp;LEFT($A$2495,4)),4,0))</f>
        <v>0</v>
      </c>
    </row>
    <row r="2496" spans="1:3" x14ac:dyDescent="0.25">
      <c r="A2496" s="787" t="s">
        <v>2874</v>
      </c>
      <c r="B2496" s="789" t="str">
        <f>IF(SAR!C$92="","",SAR!C$92)</f>
        <v/>
      </c>
      <c r="C2496" s="790">
        <f ca="1">IF(ISERROR(VLOOKUP($A$2496,INDIRECT("notes_"&amp;LEFT($A$2496,4)),4,0)),0,VLOOKUP($A$2496,INDIRECT("notes_"&amp;LEFT($A$2496,4)),4,0))</f>
        <v>0</v>
      </c>
    </row>
    <row r="2497" spans="1:3" x14ac:dyDescent="0.25">
      <c r="A2497" s="787" t="s">
        <v>2875</v>
      </c>
      <c r="B2497" s="789" t="str">
        <f>IF(SAR!C$93="","",SAR!C$93)</f>
        <v/>
      </c>
      <c r="C2497" s="790">
        <f ca="1">IF(ISERROR(VLOOKUP($A$2497,INDIRECT("notes_"&amp;LEFT($A$2497,4)),4,0)),0,VLOOKUP($A$2497,INDIRECT("notes_"&amp;LEFT($A$2497,4)),4,0))</f>
        <v>0</v>
      </c>
    </row>
    <row r="2498" spans="1:3" x14ac:dyDescent="0.25">
      <c r="A2498" s="787" t="s">
        <v>2876</v>
      </c>
      <c r="B2498" s="789" t="str">
        <f>IF(SAR!C$94="","",SAR!C$94)</f>
        <v/>
      </c>
      <c r="C2498" s="790">
        <f ca="1">IF(ISERROR(VLOOKUP($A$2498,INDIRECT("notes_"&amp;LEFT($A$2498,4)),4,0)),0,VLOOKUP($A$2498,INDIRECT("notes_"&amp;LEFT($A$2498,4)),4,0))</f>
        <v>0</v>
      </c>
    </row>
    <row r="2499" spans="1:3" x14ac:dyDescent="0.25">
      <c r="A2499" s="787" t="s">
        <v>2877</v>
      </c>
      <c r="B2499" s="789" t="str">
        <f>IF(SAR!C$95="","",SAR!C$95)</f>
        <v/>
      </c>
      <c r="C2499" s="790">
        <f ca="1">IF(ISERROR(VLOOKUP($A$2499,INDIRECT("notes_"&amp;LEFT($A$2499,4)),4,0)),0,VLOOKUP($A$2499,INDIRECT("notes_"&amp;LEFT($A$2499,4)),4,0))</f>
        <v>0</v>
      </c>
    </row>
    <row r="2500" spans="1:3" x14ac:dyDescent="0.25">
      <c r="A2500" s="787" t="s">
        <v>2878</v>
      </c>
      <c r="B2500" s="789" t="str">
        <f>IF(SAR!C$96="","",SAR!C$96)</f>
        <v/>
      </c>
      <c r="C2500" s="790">
        <f ca="1">IF(ISERROR(VLOOKUP($A$2500,INDIRECT("notes_"&amp;LEFT($A$2500,4)),4,0)),0,VLOOKUP($A$2500,INDIRECT("notes_"&amp;LEFT($A$2500,4)),4,0))</f>
        <v>0</v>
      </c>
    </row>
    <row r="2501" spans="1:3" x14ac:dyDescent="0.25">
      <c r="A2501" s="787" t="s">
        <v>2879</v>
      </c>
      <c r="B2501" s="789" t="str">
        <f>IF(SAR!C$97="","",SAR!C$97)</f>
        <v/>
      </c>
      <c r="C2501" s="790">
        <f ca="1">IF(ISERROR(VLOOKUP($A$2501,INDIRECT("notes_"&amp;LEFT($A$2501,4)),4,0)),0,VLOOKUP($A$2501,INDIRECT("notes_"&amp;LEFT($A$2501,4)),4,0))</f>
        <v>0</v>
      </c>
    </row>
    <row r="2502" spans="1:3" x14ac:dyDescent="0.25">
      <c r="A2502" s="787" t="s">
        <v>2880</v>
      </c>
      <c r="B2502" s="789" t="str">
        <f>IF(SAR!C$98="","",SAR!C$98)</f>
        <v/>
      </c>
      <c r="C2502" s="790">
        <f ca="1">IF(ISERROR(VLOOKUP($A$2502,INDIRECT("notes_"&amp;LEFT($A$2502,4)),4,0)),0,VLOOKUP($A$2502,INDIRECT("notes_"&amp;LEFT($A$2502,4)),4,0))</f>
        <v>0</v>
      </c>
    </row>
    <row r="2503" spans="1:3" x14ac:dyDescent="0.25">
      <c r="A2503" s="787" t="s">
        <v>2881</v>
      </c>
      <c r="B2503" s="789" t="str">
        <f>IF(SAR!C$99="","",SAR!C$99)</f>
        <v/>
      </c>
      <c r="C2503" s="790">
        <f ca="1">IF(ISERROR(VLOOKUP($A$2503,INDIRECT("notes_"&amp;LEFT($A$2503,4)),4,0)),0,VLOOKUP($A$2503,INDIRECT("notes_"&amp;LEFT($A$2503,4)),4,0))</f>
        <v>0</v>
      </c>
    </row>
    <row r="2504" spans="1:3" x14ac:dyDescent="0.25">
      <c r="A2504" s="787" t="s">
        <v>2882</v>
      </c>
      <c r="B2504" s="789">
        <f>IF(SAR!C$100="","",SAR!C$100)</f>
        <v>0</v>
      </c>
      <c r="C2504" s="790">
        <f ca="1">IF(ISERROR(VLOOKUP($A$2504,INDIRECT("notes_"&amp;LEFT($A$2504,4)),4,0)),0,VLOOKUP($A$2504,INDIRECT("notes_"&amp;LEFT($A$2504,4)),4,0))</f>
        <v>0</v>
      </c>
    </row>
    <row r="2505" spans="1:3" x14ac:dyDescent="0.25">
      <c r="A2505" s="787" t="s">
        <v>2883</v>
      </c>
      <c r="B2505" s="789" t="str">
        <f>IF(SAR!C$103="","",SAR!C$103)</f>
        <v/>
      </c>
      <c r="C2505" s="790">
        <f ca="1">IF(ISERROR(VLOOKUP($A$2505,INDIRECT("notes_"&amp;LEFT($A$2505,4)),4,0)),0,VLOOKUP($A$2505,INDIRECT("notes_"&amp;LEFT($A$2505,4)),4,0))</f>
        <v>0</v>
      </c>
    </row>
    <row r="2506" spans="1:3" x14ac:dyDescent="0.25">
      <c r="A2506" s="787" t="s">
        <v>2884</v>
      </c>
      <c r="B2506" s="789" t="str">
        <f>IF(SAR!C$104="","",SAR!C$104)</f>
        <v/>
      </c>
      <c r="C2506" s="790">
        <f ca="1">IF(ISERROR(VLOOKUP($A$2506,INDIRECT("notes_"&amp;LEFT($A$2506,4)),4,0)),0,VLOOKUP($A$2506,INDIRECT("notes_"&amp;LEFT($A$2506,4)),4,0))</f>
        <v>0</v>
      </c>
    </row>
    <row r="2507" spans="1:3" x14ac:dyDescent="0.25">
      <c r="A2507" s="787" t="s">
        <v>2885</v>
      </c>
      <c r="B2507" s="789" t="str">
        <f>IF(SAR!C$105="","",SAR!C$105)</f>
        <v/>
      </c>
      <c r="C2507" s="790">
        <f ca="1">IF(ISERROR(VLOOKUP($A$2507,INDIRECT("notes_"&amp;LEFT($A$2507,4)),4,0)),0,VLOOKUP($A$2507,INDIRECT("notes_"&amp;LEFT($A$2507,4)),4,0))</f>
        <v>0</v>
      </c>
    </row>
    <row r="2508" spans="1:3" x14ac:dyDescent="0.25">
      <c r="A2508" s="787" t="s">
        <v>2886</v>
      </c>
      <c r="B2508" s="789" t="str">
        <f>IF(SAR!C$106="","",SAR!C$106)</f>
        <v/>
      </c>
      <c r="C2508" s="790">
        <f ca="1">IF(ISERROR(VLOOKUP($A$2508,INDIRECT("notes_"&amp;LEFT($A$2508,4)),4,0)),0,VLOOKUP($A$2508,INDIRECT("notes_"&amp;LEFT($A$2508,4)),4,0))</f>
        <v>0</v>
      </c>
    </row>
    <row r="2509" spans="1:3" x14ac:dyDescent="0.25">
      <c r="A2509" s="787" t="s">
        <v>2887</v>
      </c>
      <c r="B2509" s="789" t="str">
        <f>IF(SAR!C$107="","",SAR!C$107)</f>
        <v/>
      </c>
      <c r="C2509" s="790">
        <f ca="1">IF(ISERROR(VLOOKUP($A$2509,INDIRECT("notes_"&amp;LEFT($A$2509,4)),4,0)),0,VLOOKUP($A$2509,INDIRECT("notes_"&amp;LEFT($A$2509,4)),4,0))</f>
        <v>0</v>
      </c>
    </row>
    <row r="2510" spans="1:3" x14ac:dyDescent="0.25">
      <c r="A2510" s="787" t="s">
        <v>2888</v>
      </c>
      <c r="B2510" s="789" t="str">
        <f>IF(SAR!C$108="","",SAR!C$108)</f>
        <v/>
      </c>
      <c r="C2510" s="790">
        <f ca="1">IF(ISERROR(VLOOKUP($A$2510,INDIRECT("notes_"&amp;LEFT($A$2510,4)),4,0)),0,VLOOKUP($A$2510,INDIRECT("notes_"&amp;LEFT($A$2510,4)),4,0))</f>
        <v>0</v>
      </c>
    </row>
    <row r="2511" spans="1:3" x14ac:dyDescent="0.25">
      <c r="A2511" s="787" t="s">
        <v>2889</v>
      </c>
      <c r="B2511" s="789">
        <f>IF(SAR!C$109="","",SAR!C$109)</f>
        <v>0</v>
      </c>
      <c r="C2511" s="790">
        <f ca="1">IF(ISERROR(VLOOKUP($A$2511,INDIRECT("notes_"&amp;LEFT($A$2511,4)),4,0)),0,VLOOKUP($A$2511,INDIRECT("notes_"&amp;LEFT($A$2511,4)),4,0))</f>
        <v>0</v>
      </c>
    </row>
    <row r="2512" spans="1:3" x14ac:dyDescent="0.25">
      <c r="A2512" s="787" t="s">
        <v>2890</v>
      </c>
      <c r="B2512" s="789" t="str">
        <f>IF(SAR!C$111="","",SAR!C$111)</f>
        <v/>
      </c>
      <c r="C2512" s="790">
        <f ca="1">IF(ISERROR(VLOOKUP($A$2512,INDIRECT("notes_"&amp;LEFT($A$2512,4)),4,0)),0,VLOOKUP($A$2512,INDIRECT("notes_"&amp;LEFT($A$2512,4)),4,0))</f>
        <v>0</v>
      </c>
    </row>
    <row r="2513" spans="1:3" x14ac:dyDescent="0.25">
      <c r="A2513" s="787" t="s">
        <v>2891</v>
      </c>
      <c r="B2513" s="789">
        <f>IF(SAR!C$113="","",SAR!C$113)</f>
        <v>0</v>
      </c>
      <c r="C2513" s="790">
        <f ca="1">IF(ISERROR(VLOOKUP($A$2513,INDIRECT("notes_"&amp;LEFT($A$2513,4)),4,0)),0,VLOOKUP($A$2513,INDIRECT("notes_"&amp;LEFT($A$2513,4)),4,0))</f>
        <v>0</v>
      </c>
    </row>
    <row r="2514" spans="1:3" x14ac:dyDescent="0.25">
      <c r="A2514" s="787" t="s">
        <v>2892</v>
      </c>
      <c r="B2514" s="789">
        <f>IF(SAR!C$115="","",SAR!C$115)</f>
        <v>0</v>
      </c>
      <c r="C2514" s="790">
        <f ca="1">IF(ISERROR(VLOOKUP($A$2514,INDIRECT("notes_"&amp;LEFT($A$2514,4)),4,0)),0,VLOOKUP($A$2514,INDIRECT("notes_"&amp;LEFT($A$2514,4)),4,0))</f>
        <v>0</v>
      </c>
    </row>
    <row r="2515" spans="1:3" x14ac:dyDescent="0.25">
      <c r="A2515" s="817" t="s">
        <v>4767</v>
      </c>
      <c r="B2515" s="789" t="str">
        <f>IF(SAR!E$66="","",SAR!E$66)</f>
        <v/>
      </c>
      <c r="C2515" s="790">
        <f ca="1">IF(ISERROR(VLOOKUP($A$2474,INDIRECT("notes_"&amp;LEFT($A$2474,4)),4,0)),0,VLOOKUP($A$2474,INDIRECT("notes_"&amp;LEFT($A$2474,4)),4,0))</f>
        <v>0</v>
      </c>
    </row>
    <row r="2516" spans="1:3" x14ac:dyDescent="0.25">
      <c r="A2516" s="817" t="s">
        <v>4768</v>
      </c>
      <c r="B2516" s="789" t="str">
        <f>IF(SAR!E$67="","",SAR!E$67)</f>
        <v/>
      </c>
      <c r="C2516" s="790">
        <f ca="1">IF(ISERROR(VLOOKUP($A$2475,INDIRECT("notes_"&amp;LEFT($A$2475,4)),4,0)),0,VLOOKUP($A$2475,INDIRECT("notes_"&amp;LEFT($A$2475,4)),4,0))</f>
        <v>0</v>
      </c>
    </row>
    <row r="2517" spans="1:3" x14ac:dyDescent="0.25">
      <c r="A2517" s="817" t="s">
        <v>4769</v>
      </c>
      <c r="B2517" s="789" t="str">
        <f>IF(SAR!E$68="","",SAR!E$68)</f>
        <v/>
      </c>
      <c r="C2517" s="790">
        <f ca="1">IF(ISERROR(VLOOKUP($A$2476,INDIRECT("notes_"&amp;LEFT($A$2476,4)),4,0)),0,VLOOKUP($A$2476,INDIRECT("notes_"&amp;LEFT($A$2476,4)),4,0))</f>
        <v>0</v>
      </c>
    </row>
    <row r="2518" spans="1:3" x14ac:dyDescent="0.25">
      <c r="A2518" s="817" t="s">
        <v>4770</v>
      </c>
      <c r="B2518" s="789" t="str">
        <f>IF(SAR!E$69="","",SAR!E$69)</f>
        <v/>
      </c>
      <c r="C2518" s="790">
        <f ca="1">IF(ISERROR(VLOOKUP($A$2477,INDIRECT("notes_"&amp;LEFT($A$2477,4)),4,0)),0,VLOOKUP($A$2477,INDIRECT("notes_"&amp;LEFT($A$2477,4)),4,0))</f>
        <v>0</v>
      </c>
    </row>
    <row r="2519" spans="1:3" x14ac:dyDescent="0.25">
      <c r="A2519" s="817" t="s">
        <v>4771</v>
      </c>
      <c r="B2519" s="789" t="str">
        <f>IF(SAR!E$70="","",SAR!E$70)</f>
        <v/>
      </c>
      <c r="C2519" s="790">
        <f ca="1">IF(ISERROR(VLOOKUP($A$2478,INDIRECT("notes_"&amp;LEFT($A$2478,4)),4,0)),0,VLOOKUP($A$2478,INDIRECT("notes_"&amp;LEFT($A$2478,4)),4,0))</f>
        <v>0</v>
      </c>
    </row>
    <row r="2520" spans="1:3" x14ac:dyDescent="0.25">
      <c r="A2520" s="817" t="s">
        <v>4772</v>
      </c>
      <c r="B2520" s="789" t="str">
        <f>IF(SAR!E$71="","",SAR!E$71)</f>
        <v/>
      </c>
      <c r="C2520" s="790">
        <f ca="1">IF(ISERROR(VLOOKUP($A$2479,INDIRECT("notes_"&amp;LEFT($A$2479,4)),4,0)),0,VLOOKUP($A$2479,INDIRECT("notes_"&amp;LEFT($A$2479,4)),4,0))</f>
        <v>0</v>
      </c>
    </row>
    <row r="2521" spans="1:3" x14ac:dyDescent="0.25">
      <c r="A2521" s="817" t="s">
        <v>4773</v>
      </c>
      <c r="B2521" s="789" t="str">
        <f>IF(SAR!E$72="","",SAR!E$72)</f>
        <v/>
      </c>
      <c r="C2521" s="790">
        <f ca="1">IF(ISERROR(VLOOKUP($A$2480,INDIRECT("notes_"&amp;LEFT($A$2480,4)),4,0)),0,VLOOKUP($A$2480,INDIRECT("notes_"&amp;LEFT($A$2480,4)),4,0))</f>
        <v>0</v>
      </c>
    </row>
    <row r="2522" spans="1:3" x14ac:dyDescent="0.25">
      <c r="A2522" s="817" t="s">
        <v>4774</v>
      </c>
      <c r="B2522" s="789" t="str">
        <f>IF(SAR!E$73="","",SAR!E$73)</f>
        <v/>
      </c>
      <c r="C2522" s="790">
        <f ca="1">IF(ISERROR(VLOOKUP($A$2481,INDIRECT("notes_"&amp;LEFT($A$2481,4)),4,0)),0,VLOOKUP($A$2481,INDIRECT("notes_"&amp;LEFT($A$2481,4)),4,0))</f>
        <v>0</v>
      </c>
    </row>
    <row r="2523" spans="1:3" x14ac:dyDescent="0.25">
      <c r="A2523" s="817" t="s">
        <v>4775</v>
      </c>
      <c r="B2523" s="789" t="str">
        <f>IF(SAR!E$74="","",SAR!E$74)</f>
        <v/>
      </c>
      <c r="C2523" s="790">
        <f ca="1">IF(ISERROR(VLOOKUP($A$2482,INDIRECT("notes_"&amp;LEFT($A$2482,4)),4,0)),0,VLOOKUP($A$2482,INDIRECT("notes_"&amp;LEFT($A$2482,4)),4,0))</f>
        <v>0</v>
      </c>
    </row>
    <row r="2524" spans="1:3" x14ac:dyDescent="0.25">
      <c r="A2524" s="817" t="s">
        <v>4776</v>
      </c>
      <c r="B2524" s="789" t="str">
        <f>IF(SAR!E$75="","",SAR!E$75)</f>
        <v/>
      </c>
      <c r="C2524" s="790">
        <f ca="1">IF(ISERROR(VLOOKUP($A$2483,INDIRECT("notes_"&amp;LEFT($A$2483,4)),4,0)),0,VLOOKUP($A$2483,INDIRECT("notes_"&amp;LEFT($A$2483,4)),4,0))</f>
        <v>0</v>
      </c>
    </row>
    <row r="2525" spans="1:3" x14ac:dyDescent="0.25">
      <c r="A2525" s="817" t="s">
        <v>4777</v>
      </c>
      <c r="B2525" s="789">
        <f>IF(SAR!E$76="","",SAR!E$76)</f>
        <v>0</v>
      </c>
      <c r="C2525" s="790">
        <f ca="1">IF(ISERROR(VLOOKUP($A$2484,INDIRECT("notes_"&amp;LEFT($A$2484,4)),4,0)),0,VLOOKUP($A$2484,INDIRECT("notes_"&amp;LEFT($A$2484,4)),4,0))</f>
        <v>0</v>
      </c>
    </row>
    <row r="2526" spans="1:3" x14ac:dyDescent="0.25">
      <c r="A2526" s="817" t="s">
        <v>4778</v>
      </c>
      <c r="B2526" s="789" t="str">
        <f>IF(SAR!E$79="","",SAR!E$79)</f>
        <v/>
      </c>
      <c r="C2526" s="790">
        <f ca="1">IF(ISERROR(VLOOKUP($A$2485,INDIRECT("notes_"&amp;LEFT($A$2485,4)),4,0)),0,VLOOKUP($A$2485,INDIRECT("notes_"&amp;LEFT($A$2485,4)),4,0))</f>
        <v>0</v>
      </c>
    </row>
    <row r="2527" spans="1:3" x14ac:dyDescent="0.25">
      <c r="A2527" s="817" t="s">
        <v>4779</v>
      </c>
      <c r="B2527" s="789" t="str">
        <f>IF(SAR!E$80="","",SAR!E$80)</f>
        <v/>
      </c>
      <c r="C2527" s="790">
        <f ca="1">IF(ISERROR(VLOOKUP($A$2486,INDIRECT("notes_"&amp;LEFT($A$2486,4)),4,0)),0,VLOOKUP($A$2486,INDIRECT("notes_"&amp;LEFT($A$2486,4)),4,0))</f>
        <v>0</v>
      </c>
    </row>
    <row r="2528" spans="1:3" x14ac:dyDescent="0.25">
      <c r="A2528" s="817" t="s">
        <v>4780</v>
      </c>
      <c r="B2528" s="789" t="str">
        <f>IF(SAR!E$81="","",SAR!E$81)</f>
        <v/>
      </c>
      <c r="C2528" s="790">
        <f ca="1">IF(ISERROR(VLOOKUP($A$2487,INDIRECT("notes_"&amp;LEFT($A$2487,4)),4,0)),0,VLOOKUP($A$2487,INDIRECT("notes_"&amp;LEFT($A$2487,4)),4,0))</f>
        <v>0</v>
      </c>
    </row>
    <row r="2529" spans="1:3" x14ac:dyDescent="0.25">
      <c r="A2529" s="817" t="s">
        <v>4781</v>
      </c>
      <c r="B2529" s="789" t="str">
        <f>IF(SAR!E$82="","",SAR!E$82)</f>
        <v/>
      </c>
      <c r="C2529" s="790">
        <f ca="1">IF(ISERROR(VLOOKUP($A$2488,INDIRECT("notes_"&amp;LEFT($A$2488,4)),4,0)),0,VLOOKUP($A$2488,INDIRECT("notes_"&amp;LEFT($A$2488,4)),4,0))</f>
        <v>0</v>
      </c>
    </row>
    <row r="2530" spans="1:3" x14ac:dyDescent="0.25">
      <c r="A2530" s="817" t="s">
        <v>4782</v>
      </c>
      <c r="B2530" s="789" t="str">
        <f>IF(SAR!E$83="","",SAR!E$83)</f>
        <v/>
      </c>
      <c r="C2530" s="790">
        <f ca="1">IF(ISERROR(VLOOKUP($A$2489,INDIRECT("notes_"&amp;LEFT($A$2489,4)),4,0)),0,VLOOKUP($A$2489,INDIRECT("notes_"&amp;LEFT($A$2489,4)),4,0))</f>
        <v>0</v>
      </c>
    </row>
    <row r="2531" spans="1:3" x14ac:dyDescent="0.25">
      <c r="A2531" s="817" t="s">
        <v>4783</v>
      </c>
      <c r="B2531" s="789" t="str">
        <f>IF(SAR!E$84="","",SAR!E$84)</f>
        <v/>
      </c>
      <c r="C2531" s="790">
        <f ca="1">IF(ISERROR(VLOOKUP($A$2490,INDIRECT("notes_"&amp;LEFT($A$2490,4)),4,0)),0,VLOOKUP($A$2490,INDIRECT("notes_"&amp;LEFT($A$2490,4)),4,0))</f>
        <v>0</v>
      </c>
    </row>
    <row r="2532" spans="1:3" x14ac:dyDescent="0.25">
      <c r="A2532" s="817" t="s">
        <v>4784</v>
      </c>
      <c r="B2532" s="789">
        <f>IF(SAR!E$85="","",SAR!E$85)</f>
        <v>0</v>
      </c>
      <c r="C2532" s="790">
        <f ca="1">IF(ISERROR(VLOOKUP($A$2491,INDIRECT("notes_"&amp;LEFT($A$2491,4)),4,0)),0,VLOOKUP($A$2491,INDIRECT("notes_"&amp;LEFT($A$2491,4)),4,0))</f>
        <v>0</v>
      </c>
    </row>
    <row r="2533" spans="1:3" x14ac:dyDescent="0.25">
      <c r="A2533" s="817" t="s">
        <v>4785</v>
      </c>
      <c r="B2533" s="789" t="str">
        <f>IF(SAR!E$88="","",SAR!E$88)</f>
        <v/>
      </c>
      <c r="C2533" s="790">
        <f ca="1">IF(ISERROR(VLOOKUP($A$2492,INDIRECT("notes_"&amp;LEFT($A$2492,4)),4,0)),0,VLOOKUP($A$2492,INDIRECT("notes_"&amp;LEFT($A$2492,4)),4,0))</f>
        <v>0</v>
      </c>
    </row>
    <row r="2534" spans="1:3" x14ac:dyDescent="0.25">
      <c r="A2534" s="817" t="s">
        <v>4786</v>
      </c>
      <c r="B2534" s="789" t="str">
        <f>IF(SAR!E$89="","",SAR!E$89)</f>
        <v/>
      </c>
      <c r="C2534" s="790">
        <f ca="1">IF(ISERROR(VLOOKUP($A$2493,INDIRECT("notes_"&amp;LEFT($A$2493,4)),4,0)),0,VLOOKUP($A$2493,INDIRECT("notes_"&amp;LEFT($A$2493,4)),4,0))</f>
        <v>0</v>
      </c>
    </row>
    <row r="2535" spans="1:3" x14ac:dyDescent="0.25">
      <c r="A2535" s="817" t="s">
        <v>4787</v>
      </c>
      <c r="B2535" s="789" t="str">
        <f>IF(SAR!E$90="","",SAR!E$90)</f>
        <v/>
      </c>
      <c r="C2535" s="790">
        <f ca="1">IF(ISERROR(VLOOKUP($A$2494,INDIRECT("notes_"&amp;LEFT($A$2494,4)),4,0)),0,VLOOKUP($A$2494,INDIRECT("notes_"&amp;LEFT($A$2494,4)),4,0))</f>
        <v>0</v>
      </c>
    </row>
    <row r="2536" spans="1:3" x14ac:dyDescent="0.25">
      <c r="A2536" s="817" t="s">
        <v>4788</v>
      </c>
      <c r="B2536" s="789" t="str">
        <f>IF(SAR!E$91="","",SAR!E$91)</f>
        <v/>
      </c>
      <c r="C2536" s="790">
        <f ca="1">IF(ISERROR(VLOOKUP($A$2495,INDIRECT("notes_"&amp;LEFT($A$2495,4)),4,0)),0,VLOOKUP($A$2495,INDIRECT("notes_"&amp;LEFT($A$2495,4)),4,0))</f>
        <v>0</v>
      </c>
    </row>
    <row r="2537" spans="1:3" x14ac:dyDescent="0.25">
      <c r="A2537" s="817" t="s">
        <v>4789</v>
      </c>
      <c r="B2537" s="789" t="str">
        <f>IF(SAR!E$92="","",SAR!E$92)</f>
        <v/>
      </c>
      <c r="C2537" s="790">
        <f ca="1">IF(ISERROR(VLOOKUP($A$2496,INDIRECT("notes_"&amp;LEFT($A$2496,4)),4,0)),0,VLOOKUP($A$2496,INDIRECT("notes_"&amp;LEFT($A$2496,4)),4,0))</f>
        <v>0</v>
      </c>
    </row>
    <row r="2538" spans="1:3" x14ac:dyDescent="0.25">
      <c r="A2538" s="817" t="s">
        <v>4790</v>
      </c>
      <c r="B2538" s="789" t="str">
        <f>IF(SAR!E$93="","",SAR!E$93)</f>
        <v/>
      </c>
      <c r="C2538" s="790">
        <f ca="1">IF(ISERROR(VLOOKUP($A$2497,INDIRECT("notes_"&amp;LEFT($A$2497,4)),4,0)),0,VLOOKUP($A$2497,INDIRECT("notes_"&amp;LEFT($A$2497,4)),4,0))</f>
        <v>0</v>
      </c>
    </row>
    <row r="2539" spans="1:3" x14ac:dyDescent="0.25">
      <c r="A2539" s="817" t="s">
        <v>4791</v>
      </c>
      <c r="B2539" s="789" t="str">
        <f>IF(SAR!E$94="","",SAR!E$94)</f>
        <v/>
      </c>
      <c r="C2539" s="790">
        <f ca="1">IF(ISERROR(VLOOKUP($A$2498,INDIRECT("notes_"&amp;LEFT($A$2498,4)),4,0)),0,VLOOKUP($A$2498,INDIRECT("notes_"&amp;LEFT($A$2498,4)),4,0))</f>
        <v>0</v>
      </c>
    </row>
    <row r="2540" spans="1:3" x14ac:dyDescent="0.25">
      <c r="A2540" s="817" t="s">
        <v>4792</v>
      </c>
      <c r="B2540" s="789" t="str">
        <f>IF(SAR!E$95="","",SAR!E$95)</f>
        <v/>
      </c>
      <c r="C2540" s="790">
        <f ca="1">IF(ISERROR(VLOOKUP($A$2499,INDIRECT("notes_"&amp;LEFT($A$2499,4)),4,0)),0,VLOOKUP($A$2499,INDIRECT("notes_"&amp;LEFT($A$2499,4)),4,0))</f>
        <v>0</v>
      </c>
    </row>
    <row r="2541" spans="1:3" x14ac:dyDescent="0.25">
      <c r="A2541" s="817" t="s">
        <v>4793</v>
      </c>
      <c r="B2541" s="789" t="str">
        <f>IF(SAR!E$96="","",SAR!E$96)</f>
        <v/>
      </c>
      <c r="C2541" s="790">
        <f ca="1">IF(ISERROR(VLOOKUP($A$2500,INDIRECT("notes_"&amp;LEFT($A$2500,4)),4,0)),0,VLOOKUP($A$2500,INDIRECT("notes_"&amp;LEFT($A$2500,4)),4,0))</f>
        <v>0</v>
      </c>
    </row>
    <row r="2542" spans="1:3" x14ac:dyDescent="0.25">
      <c r="A2542" s="817" t="s">
        <v>4794</v>
      </c>
      <c r="B2542" s="789" t="str">
        <f>IF(SAR!E$97="","",SAR!E$97)</f>
        <v/>
      </c>
      <c r="C2542" s="790">
        <f ca="1">IF(ISERROR(VLOOKUP($A$2501,INDIRECT("notes_"&amp;LEFT($A$2501,4)),4,0)),0,VLOOKUP($A$2501,INDIRECT("notes_"&amp;LEFT($A$2501,4)),4,0))</f>
        <v>0</v>
      </c>
    </row>
    <row r="2543" spans="1:3" x14ac:dyDescent="0.25">
      <c r="A2543" s="817" t="s">
        <v>4795</v>
      </c>
      <c r="B2543" s="789" t="str">
        <f>IF(SAR!E$98="","",SAR!E$98)</f>
        <v/>
      </c>
      <c r="C2543" s="790">
        <f ca="1">IF(ISERROR(VLOOKUP($A$2502,INDIRECT("notes_"&amp;LEFT($A$2502,4)),4,0)),0,VLOOKUP($A$2502,INDIRECT("notes_"&amp;LEFT($A$2502,4)),4,0))</f>
        <v>0</v>
      </c>
    </row>
    <row r="2544" spans="1:3" x14ac:dyDescent="0.25">
      <c r="A2544" s="817" t="s">
        <v>4796</v>
      </c>
      <c r="B2544" s="789" t="str">
        <f>IF(SAR!E$99="","",SAR!E$99)</f>
        <v/>
      </c>
      <c r="C2544" s="790">
        <f ca="1">IF(ISERROR(VLOOKUP($A$2503,INDIRECT("notes_"&amp;LEFT($A$2503,4)),4,0)),0,VLOOKUP($A$2503,INDIRECT("notes_"&amp;LEFT($A$2503,4)),4,0))</f>
        <v>0</v>
      </c>
    </row>
    <row r="2545" spans="1:3" x14ac:dyDescent="0.25">
      <c r="A2545" s="817" t="s">
        <v>4797</v>
      </c>
      <c r="B2545" s="789">
        <f>IF(SAR!E$100="","",SAR!E$100)</f>
        <v>0</v>
      </c>
      <c r="C2545" s="790">
        <f ca="1">IF(ISERROR(VLOOKUP($A$2504,INDIRECT("notes_"&amp;LEFT($A$2504,4)),4,0)),0,VLOOKUP($A$2504,INDIRECT("notes_"&amp;LEFT($A$2504,4)),4,0))</f>
        <v>0</v>
      </c>
    </row>
    <row r="2546" spans="1:3" x14ac:dyDescent="0.25">
      <c r="A2546" s="817" t="s">
        <v>4798</v>
      </c>
      <c r="B2546" s="789" t="str">
        <f>IF(SAR!E$103="","",SAR!E$103)</f>
        <v/>
      </c>
      <c r="C2546" s="790">
        <f ca="1">IF(ISERROR(VLOOKUP($A$2505,INDIRECT("notes_"&amp;LEFT($A$2505,4)),4,0)),0,VLOOKUP($A$2505,INDIRECT("notes_"&amp;LEFT($A$2505,4)),4,0))</f>
        <v>0</v>
      </c>
    </row>
    <row r="2547" spans="1:3" x14ac:dyDescent="0.25">
      <c r="A2547" s="817" t="s">
        <v>4799</v>
      </c>
      <c r="B2547" s="789" t="str">
        <f>IF(SAR!E$104="","",SAR!E$104)</f>
        <v/>
      </c>
      <c r="C2547" s="790">
        <f ca="1">IF(ISERROR(VLOOKUP($A$2506,INDIRECT("notes_"&amp;LEFT($A$2506,4)),4,0)),0,VLOOKUP($A$2506,INDIRECT("notes_"&amp;LEFT($A$2506,4)),4,0))</f>
        <v>0</v>
      </c>
    </row>
    <row r="2548" spans="1:3" x14ac:dyDescent="0.25">
      <c r="A2548" s="817" t="s">
        <v>4800</v>
      </c>
      <c r="B2548" s="789" t="str">
        <f>IF(SAR!E$105="","",SAR!E$105)</f>
        <v/>
      </c>
      <c r="C2548" s="790">
        <f ca="1">IF(ISERROR(VLOOKUP($A$2507,INDIRECT("notes_"&amp;LEFT($A$2507,4)),4,0)),0,VLOOKUP($A$2507,INDIRECT("notes_"&amp;LEFT($A$2507,4)),4,0))</f>
        <v>0</v>
      </c>
    </row>
    <row r="2549" spans="1:3" x14ac:dyDescent="0.25">
      <c r="A2549" s="817" t="s">
        <v>4801</v>
      </c>
      <c r="B2549" s="789" t="str">
        <f>IF(SAR!E$106="","",SAR!E$106)</f>
        <v/>
      </c>
      <c r="C2549" s="790">
        <f ca="1">IF(ISERROR(VLOOKUP($A$2508,INDIRECT("notes_"&amp;LEFT($A$2508,4)),4,0)),0,VLOOKUP($A$2508,INDIRECT("notes_"&amp;LEFT($A$2508,4)),4,0))</f>
        <v>0</v>
      </c>
    </row>
    <row r="2550" spans="1:3" x14ac:dyDescent="0.25">
      <c r="A2550" s="817" t="s">
        <v>4802</v>
      </c>
      <c r="B2550" s="789" t="str">
        <f>IF(SAR!E$107="","",SAR!E$107)</f>
        <v/>
      </c>
      <c r="C2550" s="790">
        <f ca="1">IF(ISERROR(VLOOKUP($A$2509,INDIRECT("notes_"&amp;LEFT($A$2509,4)),4,0)),0,VLOOKUP($A$2509,INDIRECT("notes_"&amp;LEFT($A$2509,4)),4,0))</f>
        <v>0</v>
      </c>
    </row>
    <row r="2551" spans="1:3" x14ac:dyDescent="0.25">
      <c r="A2551" s="817" t="s">
        <v>4803</v>
      </c>
      <c r="B2551" s="789" t="str">
        <f>IF(SAR!E$108="","",SAR!E$108)</f>
        <v/>
      </c>
      <c r="C2551" s="790">
        <f ca="1">IF(ISERROR(VLOOKUP($A$2510,INDIRECT("notes_"&amp;LEFT($A$2510,4)),4,0)),0,VLOOKUP($A$2510,INDIRECT("notes_"&amp;LEFT($A$2510,4)),4,0))</f>
        <v>0</v>
      </c>
    </row>
    <row r="2552" spans="1:3" x14ac:dyDescent="0.25">
      <c r="A2552" s="817" t="s">
        <v>4804</v>
      </c>
      <c r="B2552" s="789">
        <f>IF(SAR!E$109="","",SAR!E$109)</f>
        <v>0</v>
      </c>
      <c r="C2552" s="790">
        <f ca="1">IF(ISERROR(VLOOKUP($A$2511,INDIRECT("notes_"&amp;LEFT($A$2511,4)),4,0)),0,VLOOKUP($A$2511,INDIRECT("notes_"&amp;LEFT($A$2511,4)),4,0))</f>
        <v>0</v>
      </c>
    </row>
    <row r="2553" spans="1:3" x14ac:dyDescent="0.25">
      <c r="A2553" s="817" t="s">
        <v>4805</v>
      </c>
      <c r="B2553" s="789" t="str">
        <f>IF(SAR!E$111="","",SAR!E$111)</f>
        <v/>
      </c>
      <c r="C2553" s="790">
        <f ca="1">IF(ISERROR(VLOOKUP($A$2512,INDIRECT("notes_"&amp;LEFT($A$2512,4)),4,0)),0,VLOOKUP($A$2512,INDIRECT("notes_"&amp;LEFT($A$2512,4)),4,0))</f>
        <v>0</v>
      </c>
    </row>
    <row r="2554" spans="1:3" x14ac:dyDescent="0.25">
      <c r="A2554" s="817" t="s">
        <v>4806</v>
      </c>
      <c r="B2554" s="789" t="str">
        <f>IF(SAR!E$113="","",SAR!E$113)</f>
        <v/>
      </c>
      <c r="C2554" s="790">
        <f ca="1">IF(ISERROR(VLOOKUP($A$2513,INDIRECT("notes_"&amp;LEFT($A$2513,4)),4,0)),0,VLOOKUP($A$2513,INDIRECT("notes_"&amp;LEFT($A$2513,4)),4,0))</f>
        <v>0</v>
      </c>
    </row>
    <row r="2555" spans="1:3" x14ac:dyDescent="0.25">
      <c r="A2555" s="817" t="s">
        <v>4807</v>
      </c>
      <c r="B2555" s="789">
        <f>IF(SAR!E$115="","",SAR!E$115)</f>
        <v>0</v>
      </c>
      <c r="C2555" s="790">
        <f ca="1">IF(ISERROR(VLOOKUP($A$2514,INDIRECT("notes_"&amp;LEFT($A$2514,4)),4,0)),0,VLOOKUP($A$2514,INDIRECT("notes_"&amp;LEFT($A$2514,4)),4,0))</f>
        <v>0</v>
      </c>
    </row>
    <row r="2556" spans="1:3" x14ac:dyDescent="0.25">
      <c r="A2556" s="817" t="s">
        <v>4808</v>
      </c>
      <c r="B2556" s="818" t="str">
        <f>IF(SAR!F$66="","",SAR!F$66)</f>
        <v/>
      </c>
      <c r="C2556" s="819">
        <f ca="1">IF(ISERROR(VLOOKUP($A$2474,INDIRECT("notes_"&amp;LEFT($A$2474,4)),4,0)),0,VLOOKUP($A$2474,INDIRECT("notes_"&amp;LEFT($A$2474,4)),4,0))</f>
        <v>0</v>
      </c>
    </row>
    <row r="2557" spans="1:3" x14ac:dyDescent="0.25">
      <c r="A2557" s="817" t="s">
        <v>4809</v>
      </c>
      <c r="B2557" s="818" t="str">
        <f>IF(SAR!F$67="","",SAR!F$67)</f>
        <v/>
      </c>
      <c r="C2557" s="819">
        <f ca="1">IF(ISERROR(VLOOKUP($A$2475,INDIRECT("notes_"&amp;LEFT($A$2475,4)),4,0)),0,VLOOKUP($A$2475,INDIRECT("notes_"&amp;LEFT($A$2475,4)),4,0))</f>
        <v>0</v>
      </c>
    </row>
    <row r="2558" spans="1:3" x14ac:dyDescent="0.25">
      <c r="A2558" s="817" t="s">
        <v>4810</v>
      </c>
      <c r="B2558" s="818" t="str">
        <f>IF(SAR!F$68="","",SAR!F$68)</f>
        <v/>
      </c>
      <c r="C2558" s="819">
        <f ca="1">IF(ISERROR(VLOOKUP($A$2476,INDIRECT("notes_"&amp;LEFT($A$2476,4)),4,0)),0,VLOOKUP($A$2476,INDIRECT("notes_"&amp;LEFT($A$2476,4)),4,0))</f>
        <v>0</v>
      </c>
    </row>
    <row r="2559" spans="1:3" x14ac:dyDescent="0.25">
      <c r="A2559" s="817" t="s">
        <v>4811</v>
      </c>
      <c r="B2559" s="818" t="str">
        <f>IF(SAR!F$69="","",SAR!F$69)</f>
        <v/>
      </c>
      <c r="C2559" s="819">
        <f ca="1">IF(ISERROR(VLOOKUP($A$2477,INDIRECT("notes_"&amp;LEFT($A$2477,4)),4,0)),0,VLOOKUP($A$2477,INDIRECT("notes_"&amp;LEFT($A$2477,4)),4,0))</f>
        <v>0</v>
      </c>
    </row>
    <row r="2560" spans="1:3" x14ac:dyDescent="0.25">
      <c r="A2560" s="817" t="s">
        <v>4812</v>
      </c>
      <c r="B2560" s="818" t="str">
        <f>IF(SAR!F$70="","",SAR!F$70)</f>
        <v/>
      </c>
      <c r="C2560" s="819">
        <f ca="1">IF(ISERROR(VLOOKUP($A$2478,INDIRECT("notes_"&amp;LEFT($A$2478,4)),4,0)),0,VLOOKUP($A$2478,INDIRECT("notes_"&amp;LEFT($A$2478,4)),4,0))</f>
        <v>0</v>
      </c>
    </row>
    <row r="2561" spans="1:3" x14ac:dyDescent="0.25">
      <c r="A2561" s="817" t="s">
        <v>4813</v>
      </c>
      <c r="B2561" s="818" t="str">
        <f>IF(SAR!F$71="","",SAR!F$71)</f>
        <v/>
      </c>
      <c r="C2561" s="819">
        <f ca="1">IF(ISERROR(VLOOKUP($A$2479,INDIRECT("notes_"&amp;LEFT($A$2479,4)),4,0)),0,VLOOKUP($A$2479,INDIRECT("notes_"&amp;LEFT($A$2479,4)),4,0))</f>
        <v>0</v>
      </c>
    </row>
    <row r="2562" spans="1:3" x14ac:dyDescent="0.25">
      <c r="A2562" s="817" t="s">
        <v>4814</v>
      </c>
      <c r="B2562" s="818" t="str">
        <f>IF(SAR!F$72="","",SAR!F$72)</f>
        <v/>
      </c>
      <c r="C2562" s="819">
        <f ca="1">IF(ISERROR(VLOOKUP($A$2480,INDIRECT("notes_"&amp;LEFT($A$2480,4)),4,0)),0,VLOOKUP($A$2480,INDIRECT("notes_"&amp;LEFT($A$2480,4)),4,0))</f>
        <v>0</v>
      </c>
    </row>
    <row r="2563" spans="1:3" x14ac:dyDescent="0.25">
      <c r="A2563" s="817" t="s">
        <v>4815</v>
      </c>
      <c r="B2563" s="818" t="str">
        <f>IF(SAR!F$73="","",SAR!F$73)</f>
        <v/>
      </c>
      <c r="C2563" s="819">
        <f ca="1">IF(ISERROR(VLOOKUP($A$2481,INDIRECT("notes_"&amp;LEFT($A$2481,4)),4,0)),0,VLOOKUP($A$2481,INDIRECT("notes_"&amp;LEFT($A$2481,4)),4,0))</f>
        <v>0</v>
      </c>
    </row>
    <row r="2564" spans="1:3" x14ac:dyDescent="0.25">
      <c r="A2564" s="817" t="s">
        <v>4816</v>
      </c>
      <c r="B2564" s="818" t="str">
        <f>IF(SAR!F$74="","",SAR!F$74)</f>
        <v/>
      </c>
      <c r="C2564" s="819">
        <f ca="1">IF(ISERROR(VLOOKUP($A$2482,INDIRECT("notes_"&amp;LEFT($A$2482,4)),4,0)),0,VLOOKUP($A$2482,INDIRECT("notes_"&amp;LEFT($A$2482,4)),4,0))</f>
        <v>0</v>
      </c>
    </row>
    <row r="2565" spans="1:3" x14ac:dyDescent="0.25">
      <c r="A2565" s="817" t="s">
        <v>4817</v>
      </c>
      <c r="B2565" s="818" t="str">
        <f>IF(SAR!F$75="","",SAR!F$75)</f>
        <v/>
      </c>
      <c r="C2565" s="819">
        <f ca="1">IF(ISERROR(VLOOKUP($A$2483,INDIRECT("notes_"&amp;LEFT($A$2483,4)),4,0)),0,VLOOKUP($A$2483,INDIRECT("notes_"&amp;LEFT($A$2483,4)),4,0))</f>
        <v>0</v>
      </c>
    </row>
    <row r="2566" spans="1:3" x14ac:dyDescent="0.25">
      <c r="A2566" s="817" t="s">
        <v>4818</v>
      </c>
      <c r="B2566" s="818">
        <f>IF(SAR!F$76="","",SAR!F$76)</f>
        <v>0</v>
      </c>
      <c r="C2566" s="819">
        <f ca="1">IF(ISERROR(VLOOKUP($A$2484,INDIRECT("notes_"&amp;LEFT($A$2484,4)),4,0)),0,VLOOKUP($A$2484,INDIRECT("notes_"&amp;LEFT($A$2484,4)),4,0))</f>
        <v>0</v>
      </c>
    </row>
    <row r="2567" spans="1:3" x14ac:dyDescent="0.25">
      <c r="A2567" s="817" t="s">
        <v>4819</v>
      </c>
      <c r="B2567" s="818" t="str">
        <f>IF(SAR!F$79="","",SAR!F$79)</f>
        <v/>
      </c>
      <c r="C2567" s="819">
        <f ca="1">IF(ISERROR(VLOOKUP($A$2485,INDIRECT("notes_"&amp;LEFT($A$2485,4)),4,0)),0,VLOOKUP($A$2485,INDIRECT("notes_"&amp;LEFT($A$2485,4)),4,0))</f>
        <v>0</v>
      </c>
    </row>
    <row r="2568" spans="1:3" x14ac:dyDescent="0.25">
      <c r="A2568" s="817" t="s">
        <v>4820</v>
      </c>
      <c r="B2568" s="818" t="str">
        <f>IF(SAR!F$80="","",SAR!F$80)</f>
        <v/>
      </c>
      <c r="C2568" s="819">
        <f ca="1">IF(ISERROR(VLOOKUP($A$2486,INDIRECT("notes_"&amp;LEFT($A$2486,4)),4,0)),0,VLOOKUP($A$2486,INDIRECT("notes_"&amp;LEFT($A$2486,4)),4,0))</f>
        <v>0</v>
      </c>
    </row>
    <row r="2569" spans="1:3" x14ac:dyDescent="0.25">
      <c r="A2569" s="817" t="s">
        <v>4821</v>
      </c>
      <c r="B2569" s="818" t="str">
        <f>IF(SAR!F$81="","",SAR!F$81)</f>
        <v/>
      </c>
      <c r="C2569" s="819">
        <f ca="1">IF(ISERROR(VLOOKUP($A$2487,INDIRECT("notes_"&amp;LEFT($A$2487,4)),4,0)),0,VLOOKUP($A$2487,INDIRECT("notes_"&amp;LEFT($A$2487,4)),4,0))</f>
        <v>0</v>
      </c>
    </row>
    <row r="2570" spans="1:3" x14ac:dyDescent="0.25">
      <c r="A2570" s="817" t="s">
        <v>4822</v>
      </c>
      <c r="B2570" s="818" t="str">
        <f>IF(SAR!F$82="","",SAR!F$82)</f>
        <v/>
      </c>
      <c r="C2570" s="819">
        <f ca="1">IF(ISERROR(VLOOKUP($A$2488,INDIRECT("notes_"&amp;LEFT($A$2488,4)),4,0)),0,VLOOKUP($A$2488,INDIRECT("notes_"&amp;LEFT($A$2488,4)),4,0))</f>
        <v>0</v>
      </c>
    </row>
    <row r="2571" spans="1:3" x14ac:dyDescent="0.25">
      <c r="A2571" s="817" t="s">
        <v>4823</v>
      </c>
      <c r="B2571" s="818" t="str">
        <f>IF(SAR!F$83="","",SAR!F$83)</f>
        <v/>
      </c>
      <c r="C2571" s="819">
        <f ca="1">IF(ISERROR(VLOOKUP($A$2489,INDIRECT("notes_"&amp;LEFT($A$2489,4)),4,0)),0,VLOOKUP($A$2489,INDIRECT("notes_"&amp;LEFT($A$2489,4)),4,0))</f>
        <v>0</v>
      </c>
    </row>
    <row r="2572" spans="1:3" x14ac:dyDescent="0.25">
      <c r="A2572" s="817" t="s">
        <v>4824</v>
      </c>
      <c r="B2572" s="818" t="str">
        <f>IF(SAR!F$84="","",SAR!F$84)</f>
        <v/>
      </c>
      <c r="C2572" s="819">
        <f ca="1">IF(ISERROR(VLOOKUP($A$2490,INDIRECT("notes_"&amp;LEFT($A$2490,4)),4,0)),0,VLOOKUP($A$2490,INDIRECT("notes_"&amp;LEFT($A$2490,4)),4,0))</f>
        <v>0</v>
      </c>
    </row>
    <row r="2573" spans="1:3" x14ac:dyDescent="0.25">
      <c r="A2573" s="817" t="s">
        <v>4825</v>
      </c>
      <c r="B2573" s="818">
        <f>IF(SAR!F$85="","",SAR!F$85)</f>
        <v>0</v>
      </c>
      <c r="C2573" s="819">
        <f ca="1">IF(ISERROR(VLOOKUP($A$2491,INDIRECT("notes_"&amp;LEFT($A$2491,4)),4,0)),0,VLOOKUP($A$2491,INDIRECT("notes_"&amp;LEFT($A$2491,4)),4,0))</f>
        <v>0</v>
      </c>
    </row>
    <row r="2574" spans="1:3" x14ac:dyDescent="0.25">
      <c r="A2574" s="817" t="s">
        <v>4826</v>
      </c>
      <c r="B2574" s="818" t="str">
        <f>IF(SAR!F$88="","",SAR!F$88)</f>
        <v/>
      </c>
      <c r="C2574" s="819">
        <f ca="1">IF(ISERROR(VLOOKUP($A$2492,INDIRECT("notes_"&amp;LEFT($A$2492,4)),4,0)),0,VLOOKUP($A$2492,INDIRECT("notes_"&amp;LEFT($A$2492,4)),4,0))</f>
        <v>0</v>
      </c>
    </row>
    <row r="2575" spans="1:3" x14ac:dyDescent="0.25">
      <c r="A2575" s="817" t="s">
        <v>4827</v>
      </c>
      <c r="B2575" s="818" t="str">
        <f>IF(SAR!F$89="","",SAR!F$89)</f>
        <v/>
      </c>
      <c r="C2575" s="819">
        <f ca="1">IF(ISERROR(VLOOKUP($A$2493,INDIRECT("notes_"&amp;LEFT($A$2493,4)),4,0)),0,VLOOKUP($A$2493,INDIRECT("notes_"&amp;LEFT($A$2493,4)),4,0))</f>
        <v>0</v>
      </c>
    </row>
    <row r="2576" spans="1:3" x14ac:dyDescent="0.25">
      <c r="A2576" s="817" t="s">
        <v>4828</v>
      </c>
      <c r="B2576" s="818" t="str">
        <f>IF(SAR!F$90="","",SAR!F$90)</f>
        <v/>
      </c>
      <c r="C2576" s="819">
        <f ca="1">IF(ISERROR(VLOOKUP($A$2494,INDIRECT("notes_"&amp;LEFT($A$2494,4)),4,0)),0,VLOOKUP($A$2494,INDIRECT("notes_"&amp;LEFT($A$2494,4)),4,0))</f>
        <v>0</v>
      </c>
    </row>
    <row r="2577" spans="1:3" x14ac:dyDescent="0.25">
      <c r="A2577" s="817" t="s">
        <v>4829</v>
      </c>
      <c r="B2577" s="818" t="str">
        <f>IF(SAR!F$91="","",SAR!F$91)</f>
        <v/>
      </c>
      <c r="C2577" s="819">
        <f ca="1">IF(ISERROR(VLOOKUP($A$2495,INDIRECT("notes_"&amp;LEFT($A$2495,4)),4,0)),0,VLOOKUP($A$2495,INDIRECT("notes_"&amp;LEFT($A$2495,4)),4,0))</f>
        <v>0</v>
      </c>
    </row>
    <row r="2578" spans="1:3" x14ac:dyDescent="0.25">
      <c r="A2578" s="817" t="s">
        <v>4830</v>
      </c>
      <c r="B2578" s="818" t="str">
        <f>IF(SAR!F$92="","",SAR!F$92)</f>
        <v/>
      </c>
      <c r="C2578" s="819">
        <f ca="1">IF(ISERROR(VLOOKUP($A$2496,INDIRECT("notes_"&amp;LEFT($A$2496,4)),4,0)),0,VLOOKUP($A$2496,INDIRECT("notes_"&amp;LEFT($A$2496,4)),4,0))</f>
        <v>0</v>
      </c>
    </row>
    <row r="2579" spans="1:3" x14ac:dyDescent="0.25">
      <c r="A2579" s="817" t="s">
        <v>4831</v>
      </c>
      <c r="B2579" s="818" t="str">
        <f>IF(SAR!F$93="","",SAR!F$93)</f>
        <v/>
      </c>
      <c r="C2579" s="819">
        <f ca="1">IF(ISERROR(VLOOKUP($A$2497,INDIRECT("notes_"&amp;LEFT($A$2497,4)),4,0)),0,VLOOKUP($A$2497,INDIRECT("notes_"&amp;LEFT($A$2497,4)),4,0))</f>
        <v>0</v>
      </c>
    </row>
    <row r="2580" spans="1:3" x14ac:dyDescent="0.25">
      <c r="A2580" s="817" t="s">
        <v>4832</v>
      </c>
      <c r="B2580" s="818" t="str">
        <f>IF(SAR!F$94="","",SAR!F$94)</f>
        <v/>
      </c>
      <c r="C2580" s="819">
        <f ca="1">IF(ISERROR(VLOOKUP($A$2498,INDIRECT("notes_"&amp;LEFT($A$2498,4)),4,0)),0,VLOOKUP($A$2498,INDIRECT("notes_"&amp;LEFT($A$2498,4)),4,0))</f>
        <v>0</v>
      </c>
    </row>
    <row r="2581" spans="1:3" x14ac:dyDescent="0.25">
      <c r="A2581" s="817" t="s">
        <v>4833</v>
      </c>
      <c r="B2581" s="818" t="str">
        <f>IF(SAR!F$95="","",SAR!F$95)</f>
        <v/>
      </c>
      <c r="C2581" s="819">
        <f ca="1">IF(ISERROR(VLOOKUP($A$2499,INDIRECT("notes_"&amp;LEFT($A$2499,4)),4,0)),0,VLOOKUP($A$2499,INDIRECT("notes_"&amp;LEFT($A$2499,4)),4,0))</f>
        <v>0</v>
      </c>
    </row>
    <row r="2582" spans="1:3" x14ac:dyDescent="0.25">
      <c r="A2582" s="817" t="s">
        <v>4834</v>
      </c>
      <c r="B2582" s="818" t="str">
        <f>IF(SAR!F$96="","",SAR!F$96)</f>
        <v/>
      </c>
      <c r="C2582" s="819">
        <f ca="1">IF(ISERROR(VLOOKUP($A$2500,INDIRECT("notes_"&amp;LEFT($A$2500,4)),4,0)),0,VLOOKUP($A$2500,INDIRECT("notes_"&amp;LEFT($A$2500,4)),4,0))</f>
        <v>0</v>
      </c>
    </row>
    <row r="2583" spans="1:3" x14ac:dyDescent="0.25">
      <c r="A2583" s="817" t="s">
        <v>4835</v>
      </c>
      <c r="B2583" s="818" t="str">
        <f>IF(SAR!F$97="","",SAR!F$97)</f>
        <v/>
      </c>
      <c r="C2583" s="819">
        <f ca="1">IF(ISERROR(VLOOKUP($A$2501,INDIRECT("notes_"&amp;LEFT($A$2501,4)),4,0)),0,VLOOKUP($A$2501,INDIRECT("notes_"&amp;LEFT($A$2501,4)),4,0))</f>
        <v>0</v>
      </c>
    </row>
    <row r="2584" spans="1:3" x14ac:dyDescent="0.25">
      <c r="A2584" s="817" t="s">
        <v>4836</v>
      </c>
      <c r="B2584" s="818" t="str">
        <f>IF(SAR!F$98="","",SAR!F$98)</f>
        <v/>
      </c>
      <c r="C2584" s="819">
        <f ca="1">IF(ISERROR(VLOOKUP($A$2502,INDIRECT("notes_"&amp;LEFT($A$2502,4)),4,0)),0,VLOOKUP($A$2502,INDIRECT("notes_"&amp;LEFT($A$2502,4)),4,0))</f>
        <v>0</v>
      </c>
    </row>
    <row r="2585" spans="1:3" x14ac:dyDescent="0.25">
      <c r="A2585" s="817" t="s">
        <v>4837</v>
      </c>
      <c r="B2585" s="818" t="str">
        <f>IF(SAR!F$99="","",SAR!F$99)</f>
        <v/>
      </c>
      <c r="C2585" s="819">
        <f ca="1">IF(ISERROR(VLOOKUP($A$2503,INDIRECT("notes_"&amp;LEFT($A$2503,4)),4,0)),0,VLOOKUP($A$2503,INDIRECT("notes_"&amp;LEFT($A$2503,4)),4,0))</f>
        <v>0</v>
      </c>
    </row>
    <row r="2586" spans="1:3" x14ac:dyDescent="0.25">
      <c r="A2586" s="817" t="s">
        <v>4838</v>
      </c>
      <c r="B2586" s="818">
        <f>IF(SAR!F$100="","",SAR!F$100)</f>
        <v>0</v>
      </c>
      <c r="C2586" s="819">
        <f ca="1">IF(ISERROR(VLOOKUP($A$2504,INDIRECT("notes_"&amp;LEFT($A$2504,4)),4,0)),0,VLOOKUP($A$2504,INDIRECT("notes_"&amp;LEFT($A$2504,4)),4,0))</f>
        <v>0</v>
      </c>
    </row>
    <row r="2587" spans="1:3" x14ac:dyDescent="0.25">
      <c r="A2587" s="817" t="s">
        <v>4839</v>
      </c>
      <c r="B2587" s="818" t="str">
        <f>IF(SAR!F$103="","",SAR!F$103)</f>
        <v/>
      </c>
      <c r="C2587" s="819">
        <f ca="1">IF(ISERROR(VLOOKUP($A$2505,INDIRECT("notes_"&amp;LEFT($A$2505,4)),4,0)),0,VLOOKUP($A$2505,INDIRECT("notes_"&amp;LEFT($A$2505,4)),4,0))</f>
        <v>0</v>
      </c>
    </row>
    <row r="2588" spans="1:3" x14ac:dyDescent="0.25">
      <c r="A2588" s="817" t="s">
        <v>4840</v>
      </c>
      <c r="B2588" s="818" t="str">
        <f>IF(SAR!F$104="","",SAR!F$104)</f>
        <v/>
      </c>
      <c r="C2588" s="819">
        <f ca="1">IF(ISERROR(VLOOKUP($A$2506,INDIRECT("notes_"&amp;LEFT($A$2506,4)),4,0)),0,VLOOKUP($A$2506,INDIRECT("notes_"&amp;LEFT($A$2506,4)),4,0))</f>
        <v>0</v>
      </c>
    </row>
    <row r="2589" spans="1:3" x14ac:dyDescent="0.25">
      <c r="A2589" s="817" t="s">
        <v>4841</v>
      </c>
      <c r="B2589" s="818" t="str">
        <f>IF(SAR!F$105="","",SAR!F$105)</f>
        <v/>
      </c>
      <c r="C2589" s="819">
        <f ca="1">IF(ISERROR(VLOOKUP($A$2507,INDIRECT("notes_"&amp;LEFT($A$2507,4)),4,0)),0,VLOOKUP($A$2507,INDIRECT("notes_"&amp;LEFT($A$2507,4)),4,0))</f>
        <v>0</v>
      </c>
    </row>
    <row r="2590" spans="1:3" x14ac:dyDescent="0.25">
      <c r="A2590" s="817" t="s">
        <v>4842</v>
      </c>
      <c r="B2590" s="818" t="str">
        <f>IF(SAR!F$106="","",SAR!F$106)</f>
        <v/>
      </c>
      <c r="C2590" s="819">
        <f ca="1">IF(ISERROR(VLOOKUP($A$2508,INDIRECT("notes_"&amp;LEFT($A$2508,4)),4,0)),0,VLOOKUP($A$2508,INDIRECT("notes_"&amp;LEFT($A$2508,4)),4,0))</f>
        <v>0</v>
      </c>
    </row>
    <row r="2591" spans="1:3" x14ac:dyDescent="0.25">
      <c r="A2591" s="817" t="s">
        <v>4843</v>
      </c>
      <c r="B2591" s="818" t="str">
        <f>IF(SAR!F$107="","",SAR!F$107)</f>
        <v/>
      </c>
      <c r="C2591" s="819">
        <f ca="1">IF(ISERROR(VLOOKUP($A$2509,INDIRECT("notes_"&amp;LEFT($A$2509,4)),4,0)),0,VLOOKUP($A$2509,INDIRECT("notes_"&amp;LEFT($A$2509,4)),4,0))</f>
        <v>0</v>
      </c>
    </row>
    <row r="2592" spans="1:3" x14ac:dyDescent="0.25">
      <c r="A2592" s="817" t="s">
        <v>4844</v>
      </c>
      <c r="B2592" s="818" t="str">
        <f>IF(SAR!F$108="","",SAR!F$108)</f>
        <v/>
      </c>
      <c r="C2592" s="819">
        <f ca="1">IF(ISERROR(VLOOKUP($A$2510,INDIRECT("notes_"&amp;LEFT($A$2510,4)),4,0)),0,VLOOKUP($A$2510,INDIRECT("notes_"&amp;LEFT($A$2510,4)),4,0))</f>
        <v>0</v>
      </c>
    </row>
    <row r="2593" spans="1:3" x14ac:dyDescent="0.25">
      <c r="A2593" s="817" t="s">
        <v>4845</v>
      </c>
      <c r="B2593" s="818">
        <f>IF(SAR!F$109="","",SAR!F$109)</f>
        <v>0</v>
      </c>
      <c r="C2593" s="819">
        <f ca="1">IF(ISERROR(VLOOKUP($A$2511,INDIRECT("notes_"&amp;LEFT($A$2511,4)),4,0)),0,VLOOKUP($A$2511,INDIRECT("notes_"&amp;LEFT($A$2511,4)),4,0))</f>
        <v>0</v>
      </c>
    </row>
    <row r="2594" spans="1:3" x14ac:dyDescent="0.25">
      <c r="A2594" s="817" t="s">
        <v>4846</v>
      </c>
      <c r="B2594" s="818" t="str">
        <f>IF(SAR!F$111="","",SAR!F$111)</f>
        <v/>
      </c>
      <c r="C2594" s="819">
        <f ca="1">IF(ISERROR(VLOOKUP($A$2512,INDIRECT("notes_"&amp;LEFT($A$2512,4)),4,0)),0,VLOOKUP($A$2512,INDIRECT("notes_"&amp;LEFT($A$2512,4)),4,0))</f>
        <v>0</v>
      </c>
    </row>
    <row r="2595" spans="1:3" x14ac:dyDescent="0.25">
      <c r="A2595" s="817" t="s">
        <v>4847</v>
      </c>
      <c r="B2595" s="818" t="str">
        <f>IF(SAR!F$113="","",SAR!F$113)</f>
        <v/>
      </c>
      <c r="C2595" s="819">
        <f ca="1">IF(ISERROR(VLOOKUP($A$2513,INDIRECT("notes_"&amp;LEFT($A$2513,4)),4,0)),0,VLOOKUP($A$2513,INDIRECT("notes_"&amp;LEFT($A$2513,4)),4,0))</f>
        <v>0</v>
      </c>
    </row>
    <row r="2596" spans="1:3" x14ac:dyDescent="0.25">
      <c r="A2596" s="817" t="s">
        <v>4848</v>
      </c>
      <c r="B2596" s="818">
        <f>IF(SAR!F$115="","",SAR!F$115)</f>
        <v>0</v>
      </c>
      <c r="C2596" s="819">
        <f ca="1">IF(ISERROR(VLOOKUP($A$2514,INDIRECT("notes_"&amp;LEFT($A$2514,4)),4,0)),0,VLOOKUP($A$2514,INDIRECT("notes_"&amp;LEFT($A$2514,4)),4,0))</f>
        <v>0</v>
      </c>
    </row>
    <row r="2597" spans="1:3" x14ac:dyDescent="0.25">
      <c r="A2597" s="787" t="s">
        <v>4849</v>
      </c>
      <c r="B2597" s="789" t="str">
        <f>IF(SAR!G$66="","",SAR!G$66)</f>
        <v/>
      </c>
      <c r="C2597" s="790">
        <f ca="1">IF(ISERROR(VLOOKUP($A$2474,INDIRECT("notes_"&amp;LEFT($A$2474,4)),4,0)),0,VLOOKUP($A$2474,INDIRECT("notes_"&amp;LEFT($A$2474,4)),4,0))</f>
        <v>0</v>
      </c>
    </row>
    <row r="2598" spans="1:3" x14ac:dyDescent="0.25">
      <c r="A2598" s="787" t="s">
        <v>4850</v>
      </c>
      <c r="B2598" s="789" t="str">
        <f>IF(SAR!G$67="","",SAR!G$67)</f>
        <v/>
      </c>
      <c r="C2598" s="790">
        <f ca="1">IF(ISERROR(VLOOKUP($A$2475,INDIRECT("notes_"&amp;LEFT($A$2475,4)),4,0)),0,VLOOKUP($A$2475,INDIRECT("notes_"&amp;LEFT($A$2475,4)),4,0))</f>
        <v>0</v>
      </c>
    </row>
    <row r="2599" spans="1:3" x14ac:dyDescent="0.25">
      <c r="A2599" s="787" t="s">
        <v>4851</v>
      </c>
      <c r="B2599" s="789" t="str">
        <f>IF(SAR!G$68="","",SAR!G$68)</f>
        <v/>
      </c>
      <c r="C2599" s="790">
        <f ca="1">IF(ISERROR(VLOOKUP($A$2476,INDIRECT("notes_"&amp;LEFT($A$2476,4)),4,0)),0,VLOOKUP($A$2476,INDIRECT("notes_"&amp;LEFT($A$2476,4)),4,0))</f>
        <v>0</v>
      </c>
    </row>
    <row r="2600" spans="1:3" x14ac:dyDescent="0.25">
      <c r="A2600" s="787" t="s">
        <v>4852</v>
      </c>
      <c r="B2600" s="789" t="str">
        <f>IF(SAR!G$69="","",SAR!G$69)</f>
        <v/>
      </c>
      <c r="C2600" s="790">
        <f ca="1">IF(ISERROR(VLOOKUP($A$2477,INDIRECT("notes_"&amp;LEFT($A$2477,4)),4,0)),0,VLOOKUP($A$2477,INDIRECT("notes_"&amp;LEFT($A$2477,4)),4,0))</f>
        <v>0</v>
      </c>
    </row>
    <row r="2601" spans="1:3" x14ac:dyDescent="0.25">
      <c r="A2601" s="787" t="s">
        <v>4853</v>
      </c>
      <c r="B2601" s="789" t="str">
        <f>IF(SAR!G$70="","",SAR!G$70)</f>
        <v/>
      </c>
      <c r="C2601" s="790">
        <f ca="1">IF(ISERROR(VLOOKUP($A$2478,INDIRECT("notes_"&amp;LEFT($A$2478,4)),4,0)),0,VLOOKUP($A$2478,INDIRECT("notes_"&amp;LEFT($A$2478,4)),4,0))</f>
        <v>0</v>
      </c>
    </row>
    <row r="2602" spans="1:3" x14ac:dyDescent="0.25">
      <c r="A2602" s="787" t="s">
        <v>4854</v>
      </c>
      <c r="B2602" s="789" t="str">
        <f>IF(SAR!G$71="","",SAR!G$71)</f>
        <v/>
      </c>
      <c r="C2602" s="790">
        <f ca="1">IF(ISERROR(VLOOKUP($A$2479,INDIRECT("notes_"&amp;LEFT($A$2479,4)),4,0)),0,VLOOKUP($A$2479,INDIRECT("notes_"&amp;LEFT($A$2479,4)),4,0))</f>
        <v>0</v>
      </c>
    </row>
    <row r="2603" spans="1:3" x14ac:dyDescent="0.25">
      <c r="A2603" s="787" t="s">
        <v>4855</v>
      </c>
      <c r="B2603" s="789" t="str">
        <f>IF(SAR!G$72="","",SAR!G$72)</f>
        <v/>
      </c>
      <c r="C2603" s="790">
        <f ca="1">IF(ISERROR(VLOOKUP($A$2480,INDIRECT("notes_"&amp;LEFT($A$2480,4)),4,0)),0,VLOOKUP($A$2480,INDIRECT("notes_"&amp;LEFT($A$2480,4)),4,0))</f>
        <v>0</v>
      </c>
    </row>
    <row r="2604" spans="1:3" x14ac:dyDescent="0.25">
      <c r="A2604" s="787" t="s">
        <v>4856</v>
      </c>
      <c r="B2604" s="789" t="str">
        <f>IF(SAR!G$73="","",SAR!G$73)</f>
        <v/>
      </c>
      <c r="C2604" s="790">
        <f ca="1">IF(ISERROR(VLOOKUP($A$2481,INDIRECT("notes_"&amp;LEFT($A$2481,4)),4,0)),0,VLOOKUP($A$2481,INDIRECT("notes_"&amp;LEFT($A$2481,4)),4,0))</f>
        <v>0</v>
      </c>
    </row>
    <row r="2605" spans="1:3" x14ac:dyDescent="0.25">
      <c r="A2605" s="787" t="s">
        <v>4857</v>
      </c>
      <c r="B2605" s="789" t="str">
        <f>IF(SAR!G$74="","",SAR!G$74)</f>
        <v/>
      </c>
      <c r="C2605" s="790">
        <f ca="1">IF(ISERROR(VLOOKUP($A$2482,INDIRECT("notes_"&amp;LEFT($A$2482,4)),4,0)),0,VLOOKUP($A$2482,INDIRECT("notes_"&amp;LEFT($A$2482,4)),4,0))</f>
        <v>0</v>
      </c>
    </row>
    <row r="2606" spans="1:3" x14ac:dyDescent="0.25">
      <c r="A2606" s="787" t="s">
        <v>4858</v>
      </c>
      <c r="B2606" s="789" t="str">
        <f>IF(SAR!G$75="","",SAR!G$75)</f>
        <v/>
      </c>
      <c r="C2606" s="790">
        <f ca="1">IF(ISERROR(VLOOKUP($A$2483,INDIRECT("notes_"&amp;LEFT($A$2483,4)),4,0)),0,VLOOKUP($A$2483,INDIRECT("notes_"&amp;LEFT($A$2483,4)),4,0))</f>
        <v>0</v>
      </c>
    </row>
    <row r="2607" spans="1:3" x14ac:dyDescent="0.25">
      <c r="A2607" s="787" t="s">
        <v>4859</v>
      </c>
      <c r="B2607" s="789">
        <f>IF(SAR!G$76="","",SAR!G$76)</f>
        <v>0</v>
      </c>
      <c r="C2607" s="790">
        <f ca="1">IF(ISERROR(VLOOKUP($A$2484,INDIRECT("notes_"&amp;LEFT($A$2484,4)),4,0)),0,VLOOKUP($A$2484,INDIRECT("notes_"&amp;LEFT($A$2484,4)),4,0))</f>
        <v>0</v>
      </c>
    </row>
    <row r="2608" spans="1:3" x14ac:dyDescent="0.25">
      <c r="A2608" s="787" t="s">
        <v>4860</v>
      </c>
      <c r="B2608" s="789" t="str">
        <f>IF(SAR!G$79="","",SAR!G$79)</f>
        <v/>
      </c>
      <c r="C2608" s="790">
        <f ca="1">IF(ISERROR(VLOOKUP($A$2485,INDIRECT("notes_"&amp;LEFT($A$2485,4)),4,0)),0,VLOOKUP($A$2485,INDIRECT("notes_"&amp;LEFT($A$2485,4)),4,0))</f>
        <v>0</v>
      </c>
    </row>
    <row r="2609" spans="1:3" x14ac:dyDescent="0.25">
      <c r="A2609" s="787" t="s">
        <v>4861</v>
      </c>
      <c r="B2609" s="789" t="str">
        <f>IF(SAR!G$80="","",SAR!G$80)</f>
        <v/>
      </c>
      <c r="C2609" s="790">
        <f ca="1">IF(ISERROR(VLOOKUP($A$2486,INDIRECT("notes_"&amp;LEFT($A$2486,4)),4,0)),0,VLOOKUP($A$2486,INDIRECT("notes_"&amp;LEFT($A$2486,4)),4,0))</f>
        <v>0</v>
      </c>
    </row>
    <row r="2610" spans="1:3" x14ac:dyDescent="0.25">
      <c r="A2610" s="787" t="s">
        <v>4862</v>
      </c>
      <c r="B2610" s="789" t="str">
        <f>IF(SAR!G$81="","",SAR!G$81)</f>
        <v/>
      </c>
      <c r="C2610" s="790">
        <f ca="1">IF(ISERROR(VLOOKUP($A$2487,INDIRECT("notes_"&amp;LEFT($A$2487,4)),4,0)),0,VLOOKUP($A$2487,INDIRECT("notes_"&amp;LEFT($A$2487,4)),4,0))</f>
        <v>0</v>
      </c>
    </row>
    <row r="2611" spans="1:3" x14ac:dyDescent="0.25">
      <c r="A2611" s="787" t="s">
        <v>4863</v>
      </c>
      <c r="B2611" s="789" t="str">
        <f>IF(SAR!G$82="","",SAR!G$82)</f>
        <v/>
      </c>
      <c r="C2611" s="790">
        <f ca="1">IF(ISERROR(VLOOKUP($A$2488,INDIRECT("notes_"&amp;LEFT($A$2488,4)),4,0)),0,VLOOKUP($A$2488,INDIRECT("notes_"&amp;LEFT($A$2488,4)),4,0))</f>
        <v>0</v>
      </c>
    </row>
    <row r="2612" spans="1:3" x14ac:dyDescent="0.25">
      <c r="A2612" s="787" t="s">
        <v>4864</v>
      </c>
      <c r="B2612" s="789" t="str">
        <f>IF(SAR!G$83="","",SAR!G$83)</f>
        <v/>
      </c>
      <c r="C2612" s="790">
        <f ca="1">IF(ISERROR(VLOOKUP($A$2489,INDIRECT("notes_"&amp;LEFT($A$2489,4)),4,0)),0,VLOOKUP($A$2489,INDIRECT("notes_"&amp;LEFT($A$2489,4)),4,0))</f>
        <v>0</v>
      </c>
    </row>
    <row r="2613" spans="1:3" x14ac:dyDescent="0.25">
      <c r="A2613" s="787" t="s">
        <v>4865</v>
      </c>
      <c r="B2613" s="789" t="str">
        <f>IF(SAR!G$84="","",SAR!G$84)</f>
        <v/>
      </c>
      <c r="C2613" s="790">
        <f ca="1">IF(ISERROR(VLOOKUP($A$2490,INDIRECT("notes_"&amp;LEFT($A$2490,4)),4,0)),0,VLOOKUP($A$2490,INDIRECT("notes_"&amp;LEFT($A$2490,4)),4,0))</f>
        <v>0</v>
      </c>
    </row>
    <row r="2614" spans="1:3" x14ac:dyDescent="0.25">
      <c r="A2614" s="787" t="s">
        <v>4866</v>
      </c>
      <c r="B2614" s="789">
        <f>IF(SAR!G$85="","",SAR!G$85)</f>
        <v>0</v>
      </c>
      <c r="C2614" s="790">
        <f ca="1">IF(ISERROR(VLOOKUP($A$2491,INDIRECT("notes_"&amp;LEFT($A$2491,4)),4,0)),0,VLOOKUP($A$2491,INDIRECT("notes_"&amp;LEFT($A$2491,4)),4,0))</f>
        <v>0</v>
      </c>
    </row>
    <row r="2615" spans="1:3" x14ac:dyDescent="0.25">
      <c r="A2615" s="787" t="s">
        <v>4867</v>
      </c>
      <c r="B2615" s="789" t="str">
        <f>IF(SAR!G$88="","",SAR!G$88)</f>
        <v/>
      </c>
      <c r="C2615" s="790">
        <f ca="1">IF(ISERROR(VLOOKUP($A$2492,INDIRECT("notes_"&amp;LEFT($A$2492,4)),4,0)),0,VLOOKUP($A$2492,INDIRECT("notes_"&amp;LEFT($A$2492,4)),4,0))</f>
        <v>0</v>
      </c>
    </row>
    <row r="2616" spans="1:3" x14ac:dyDescent="0.25">
      <c r="A2616" s="787" t="s">
        <v>4868</v>
      </c>
      <c r="B2616" s="789" t="str">
        <f>IF(SAR!G$89="","",SAR!G$89)</f>
        <v/>
      </c>
      <c r="C2616" s="790">
        <f ca="1">IF(ISERROR(VLOOKUP($A$2493,INDIRECT("notes_"&amp;LEFT($A$2493,4)),4,0)),0,VLOOKUP($A$2493,INDIRECT("notes_"&amp;LEFT($A$2493,4)),4,0))</f>
        <v>0</v>
      </c>
    </row>
    <row r="2617" spans="1:3" x14ac:dyDescent="0.25">
      <c r="A2617" s="787" t="s">
        <v>4869</v>
      </c>
      <c r="B2617" s="789" t="str">
        <f>IF(SAR!G$90="","",SAR!G$90)</f>
        <v/>
      </c>
      <c r="C2617" s="790">
        <f ca="1">IF(ISERROR(VLOOKUP($A$2494,INDIRECT("notes_"&amp;LEFT($A$2494,4)),4,0)),0,VLOOKUP($A$2494,INDIRECT("notes_"&amp;LEFT($A$2494,4)),4,0))</f>
        <v>0</v>
      </c>
    </row>
    <row r="2618" spans="1:3" x14ac:dyDescent="0.25">
      <c r="A2618" s="787" t="s">
        <v>4870</v>
      </c>
      <c r="B2618" s="789" t="str">
        <f>IF(SAR!G$91="","",SAR!G$91)</f>
        <v/>
      </c>
      <c r="C2618" s="790">
        <f ca="1">IF(ISERROR(VLOOKUP($A$2495,INDIRECT("notes_"&amp;LEFT($A$2495,4)),4,0)),0,VLOOKUP($A$2495,INDIRECT("notes_"&amp;LEFT($A$2495,4)),4,0))</f>
        <v>0</v>
      </c>
    </row>
    <row r="2619" spans="1:3" x14ac:dyDescent="0.25">
      <c r="A2619" s="787" t="s">
        <v>4871</v>
      </c>
      <c r="B2619" s="789" t="str">
        <f>IF(SAR!G$92="","",SAR!G$92)</f>
        <v/>
      </c>
      <c r="C2619" s="790">
        <f ca="1">IF(ISERROR(VLOOKUP($A$2496,INDIRECT("notes_"&amp;LEFT($A$2496,4)),4,0)),0,VLOOKUP($A$2496,INDIRECT("notes_"&amp;LEFT($A$2496,4)),4,0))</f>
        <v>0</v>
      </c>
    </row>
    <row r="2620" spans="1:3" x14ac:dyDescent="0.25">
      <c r="A2620" s="787" t="s">
        <v>4872</v>
      </c>
      <c r="B2620" s="789" t="str">
        <f>IF(SAR!G$93="","",SAR!G$93)</f>
        <v/>
      </c>
      <c r="C2620" s="790">
        <f ca="1">IF(ISERROR(VLOOKUP($A$2497,INDIRECT("notes_"&amp;LEFT($A$2497,4)),4,0)),0,VLOOKUP($A$2497,INDIRECT("notes_"&amp;LEFT($A$2497,4)),4,0))</f>
        <v>0</v>
      </c>
    </row>
    <row r="2621" spans="1:3" x14ac:dyDescent="0.25">
      <c r="A2621" s="787" t="s">
        <v>4873</v>
      </c>
      <c r="B2621" s="789" t="str">
        <f>IF(SAR!G$94="","",SAR!G$94)</f>
        <v/>
      </c>
      <c r="C2621" s="790">
        <f ca="1">IF(ISERROR(VLOOKUP($A$2498,INDIRECT("notes_"&amp;LEFT($A$2498,4)),4,0)),0,VLOOKUP($A$2498,INDIRECT("notes_"&amp;LEFT($A$2498,4)),4,0))</f>
        <v>0</v>
      </c>
    </row>
    <row r="2622" spans="1:3" x14ac:dyDescent="0.25">
      <c r="A2622" s="787" t="s">
        <v>4874</v>
      </c>
      <c r="B2622" s="789" t="str">
        <f>IF(SAR!G$95="","",SAR!G$95)</f>
        <v/>
      </c>
      <c r="C2622" s="790">
        <f ca="1">IF(ISERROR(VLOOKUP($A$2499,INDIRECT("notes_"&amp;LEFT($A$2499,4)),4,0)),0,VLOOKUP($A$2499,INDIRECT("notes_"&amp;LEFT($A$2499,4)),4,0))</f>
        <v>0</v>
      </c>
    </row>
    <row r="2623" spans="1:3" x14ac:dyDescent="0.25">
      <c r="A2623" s="787" t="s">
        <v>4875</v>
      </c>
      <c r="B2623" s="789" t="str">
        <f>IF(SAR!G$96="","",SAR!G$96)</f>
        <v/>
      </c>
      <c r="C2623" s="790">
        <f ca="1">IF(ISERROR(VLOOKUP($A$2500,INDIRECT("notes_"&amp;LEFT($A$2500,4)),4,0)),0,VLOOKUP($A$2500,INDIRECT("notes_"&amp;LEFT($A$2500,4)),4,0))</f>
        <v>0</v>
      </c>
    </row>
    <row r="2624" spans="1:3" x14ac:dyDescent="0.25">
      <c r="A2624" s="787" t="s">
        <v>4876</v>
      </c>
      <c r="B2624" s="789" t="str">
        <f>IF(SAR!G$97="","",SAR!G$97)</f>
        <v/>
      </c>
      <c r="C2624" s="790">
        <f ca="1">IF(ISERROR(VLOOKUP($A$2501,INDIRECT("notes_"&amp;LEFT($A$2501,4)),4,0)),0,VLOOKUP($A$2501,INDIRECT("notes_"&amp;LEFT($A$2501,4)),4,0))</f>
        <v>0</v>
      </c>
    </row>
    <row r="2625" spans="1:3" x14ac:dyDescent="0.25">
      <c r="A2625" s="787" t="s">
        <v>4877</v>
      </c>
      <c r="B2625" s="789" t="str">
        <f>IF(SAR!G$98="","",SAR!G$98)</f>
        <v/>
      </c>
      <c r="C2625" s="790">
        <f ca="1">IF(ISERROR(VLOOKUP($A$2502,INDIRECT("notes_"&amp;LEFT($A$2502,4)),4,0)),0,VLOOKUP($A$2502,INDIRECT("notes_"&amp;LEFT($A$2502,4)),4,0))</f>
        <v>0</v>
      </c>
    </row>
    <row r="2626" spans="1:3" x14ac:dyDescent="0.25">
      <c r="A2626" s="787" t="s">
        <v>4878</v>
      </c>
      <c r="B2626" s="789" t="str">
        <f>IF(SAR!G$99="","",SAR!G$99)</f>
        <v/>
      </c>
      <c r="C2626" s="790">
        <f ca="1">IF(ISERROR(VLOOKUP($A$2503,INDIRECT("notes_"&amp;LEFT($A$2503,4)),4,0)),0,VLOOKUP($A$2503,INDIRECT("notes_"&amp;LEFT($A$2503,4)),4,0))</f>
        <v>0</v>
      </c>
    </row>
    <row r="2627" spans="1:3" x14ac:dyDescent="0.25">
      <c r="A2627" s="787" t="s">
        <v>4879</v>
      </c>
      <c r="B2627" s="789">
        <f>IF(SAR!G$100="","",SAR!G$100)</f>
        <v>0</v>
      </c>
      <c r="C2627" s="790">
        <f ca="1">IF(ISERROR(VLOOKUP($A$2504,INDIRECT("notes_"&amp;LEFT($A$2504,4)),4,0)),0,VLOOKUP($A$2504,INDIRECT("notes_"&amp;LEFT($A$2504,4)),4,0))</f>
        <v>0</v>
      </c>
    </row>
    <row r="2628" spans="1:3" x14ac:dyDescent="0.25">
      <c r="A2628" s="787" t="s">
        <v>4880</v>
      </c>
      <c r="B2628" s="789" t="str">
        <f>IF(SAR!G$103="","",SAR!G$103)</f>
        <v/>
      </c>
      <c r="C2628" s="790">
        <f ca="1">IF(ISERROR(VLOOKUP($A$2505,INDIRECT("notes_"&amp;LEFT($A$2505,4)),4,0)),0,VLOOKUP($A$2505,INDIRECT("notes_"&amp;LEFT($A$2505,4)),4,0))</f>
        <v>0</v>
      </c>
    </row>
    <row r="2629" spans="1:3" x14ac:dyDescent="0.25">
      <c r="A2629" s="787" t="s">
        <v>4881</v>
      </c>
      <c r="B2629" s="789" t="str">
        <f>IF(SAR!G$104="","",SAR!G$104)</f>
        <v/>
      </c>
      <c r="C2629" s="790">
        <f ca="1">IF(ISERROR(VLOOKUP($A$2506,INDIRECT("notes_"&amp;LEFT($A$2506,4)),4,0)),0,VLOOKUP($A$2506,INDIRECT("notes_"&amp;LEFT($A$2506,4)),4,0))</f>
        <v>0</v>
      </c>
    </row>
    <row r="2630" spans="1:3" x14ac:dyDescent="0.25">
      <c r="A2630" s="787" t="s">
        <v>4882</v>
      </c>
      <c r="B2630" s="789" t="str">
        <f>IF(SAR!G$105="","",SAR!G$105)</f>
        <v/>
      </c>
      <c r="C2630" s="790">
        <f ca="1">IF(ISERROR(VLOOKUP($A$2507,INDIRECT("notes_"&amp;LEFT($A$2507,4)),4,0)),0,VLOOKUP($A$2507,INDIRECT("notes_"&amp;LEFT($A$2507,4)),4,0))</f>
        <v>0</v>
      </c>
    </row>
    <row r="2631" spans="1:3" x14ac:dyDescent="0.25">
      <c r="A2631" s="787" t="s">
        <v>4883</v>
      </c>
      <c r="B2631" s="789" t="str">
        <f>IF(SAR!G$106="","",SAR!G$106)</f>
        <v/>
      </c>
      <c r="C2631" s="790">
        <f ca="1">IF(ISERROR(VLOOKUP($A$2508,INDIRECT("notes_"&amp;LEFT($A$2508,4)),4,0)),0,VLOOKUP($A$2508,INDIRECT("notes_"&amp;LEFT($A$2508,4)),4,0))</f>
        <v>0</v>
      </c>
    </row>
    <row r="2632" spans="1:3" x14ac:dyDescent="0.25">
      <c r="A2632" s="787" t="s">
        <v>4884</v>
      </c>
      <c r="B2632" s="789" t="str">
        <f>IF(SAR!G$107="","",SAR!G$107)</f>
        <v/>
      </c>
      <c r="C2632" s="790">
        <f ca="1">IF(ISERROR(VLOOKUP($A$2509,INDIRECT("notes_"&amp;LEFT($A$2509,4)),4,0)),0,VLOOKUP($A$2509,INDIRECT("notes_"&amp;LEFT($A$2509,4)),4,0))</f>
        <v>0</v>
      </c>
    </row>
    <row r="2633" spans="1:3" x14ac:dyDescent="0.25">
      <c r="A2633" s="787" t="s">
        <v>4885</v>
      </c>
      <c r="B2633" s="789" t="str">
        <f>IF(SAR!G$108="","",SAR!G$108)</f>
        <v/>
      </c>
      <c r="C2633" s="790">
        <f ca="1">IF(ISERROR(VLOOKUP($A$2510,INDIRECT("notes_"&amp;LEFT($A$2510,4)),4,0)),0,VLOOKUP($A$2510,INDIRECT("notes_"&amp;LEFT($A$2510,4)),4,0))</f>
        <v>0</v>
      </c>
    </row>
    <row r="2634" spans="1:3" x14ac:dyDescent="0.25">
      <c r="A2634" s="787" t="s">
        <v>4886</v>
      </c>
      <c r="B2634" s="789">
        <f>IF(SAR!G$109="","",SAR!G$109)</f>
        <v>0</v>
      </c>
      <c r="C2634" s="790">
        <f ca="1">IF(ISERROR(VLOOKUP($A$2511,INDIRECT("notes_"&amp;LEFT($A$2511,4)),4,0)),0,VLOOKUP($A$2511,INDIRECT("notes_"&amp;LEFT($A$2511,4)),4,0))</f>
        <v>0</v>
      </c>
    </row>
    <row r="2635" spans="1:3" x14ac:dyDescent="0.25">
      <c r="A2635" s="787" t="s">
        <v>4887</v>
      </c>
      <c r="B2635" s="789" t="str">
        <f>IF(SAR!G$111="","",SAR!G$111)</f>
        <v/>
      </c>
      <c r="C2635" s="790">
        <f ca="1">IF(ISERROR(VLOOKUP($A$2512,INDIRECT("notes_"&amp;LEFT($A$2512,4)),4,0)),0,VLOOKUP($A$2512,INDIRECT("notes_"&amp;LEFT($A$2512,4)),4,0))</f>
        <v>0</v>
      </c>
    </row>
    <row r="2636" spans="1:3" x14ac:dyDescent="0.25">
      <c r="A2636" s="787" t="s">
        <v>4888</v>
      </c>
      <c r="B2636" s="789" t="str">
        <f>IF(SAR!G$113="","",SAR!G$113)</f>
        <v/>
      </c>
      <c r="C2636" s="790">
        <f ca="1">IF(ISERROR(VLOOKUP($A$2513,INDIRECT("notes_"&amp;LEFT($A$2513,4)),4,0)),0,VLOOKUP($A$2513,INDIRECT("notes_"&amp;LEFT($A$2513,4)),4,0))</f>
        <v>0</v>
      </c>
    </row>
    <row r="2637" spans="1:3" x14ac:dyDescent="0.25">
      <c r="A2637" s="787" t="s">
        <v>4889</v>
      </c>
      <c r="B2637" s="789">
        <f>IF(SAR!G$115="","",SAR!G$115)</f>
        <v>0</v>
      </c>
      <c r="C2637" s="790">
        <f ca="1">IF(ISERROR(VLOOKUP($A$2514,INDIRECT("notes_"&amp;LEFT($A$2514,4)),4,0)),0,VLOOKUP($A$2514,INDIRECT("notes_"&amp;LEFT($A$2514,4)),4,0))</f>
        <v>0</v>
      </c>
    </row>
    <row r="2638" spans="1:3" x14ac:dyDescent="0.25">
      <c r="A2638" s="787" t="s">
        <v>4890</v>
      </c>
      <c r="B2638" s="789">
        <f>IF(SAR!H$66="","",SAR!H$66)</f>
        <v>0</v>
      </c>
      <c r="C2638" s="790">
        <f ca="1">IF(ISERROR(VLOOKUP($A$2474,INDIRECT("notes_"&amp;LEFT($A$2474,4)),4,0)),0,VLOOKUP($A$2474,INDIRECT("notes_"&amp;LEFT($A$2474,4)),4,0))</f>
        <v>0</v>
      </c>
    </row>
    <row r="2639" spans="1:3" x14ac:dyDescent="0.25">
      <c r="A2639" s="787" t="s">
        <v>4891</v>
      </c>
      <c r="B2639" s="789">
        <f>IF(SAR!H$67="","",SAR!H$67)</f>
        <v>0</v>
      </c>
      <c r="C2639" s="790">
        <f ca="1">IF(ISERROR(VLOOKUP($A$2475,INDIRECT("notes_"&amp;LEFT($A$2475,4)),4,0)),0,VLOOKUP($A$2475,INDIRECT("notes_"&amp;LEFT($A$2475,4)),4,0))</f>
        <v>0</v>
      </c>
    </row>
    <row r="2640" spans="1:3" x14ac:dyDescent="0.25">
      <c r="A2640" s="787" t="s">
        <v>4892</v>
      </c>
      <c r="B2640" s="789">
        <f>IF(SAR!H$68="","",SAR!H$68)</f>
        <v>0</v>
      </c>
      <c r="C2640" s="790">
        <f ca="1">IF(ISERROR(VLOOKUP($A$2476,INDIRECT("notes_"&amp;LEFT($A$2476,4)),4,0)),0,VLOOKUP($A$2476,INDIRECT("notes_"&amp;LEFT($A$2476,4)),4,0))</f>
        <v>0</v>
      </c>
    </row>
    <row r="2641" spans="1:3" x14ac:dyDescent="0.25">
      <c r="A2641" s="787" t="s">
        <v>4893</v>
      </c>
      <c r="B2641" s="789">
        <f>IF(SAR!H$69="","",SAR!H$69)</f>
        <v>0</v>
      </c>
      <c r="C2641" s="790">
        <f ca="1">IF(ISERROR(VLOOKUP($A$2477,INDIRECT("notes_"&amp;LEFT($A$2477,4)),4,0)),0,VLOOKUP($A$2477,INDIRECT("notes_"&amp;LEFT($A$2477,4)),4,0))</f>
        <v>0</v>
      </c>
    </row>
    <row r="2642" spans="1:3" x14ac:dyDescent="0.25">
      <c r="A2642" s="787" t="s">
        <v>4894</v>
      </c>
      <c r="B2642" s="789">
        <f>IF(SAR!H$70="","",SAR!H$70)</f>
        <v>0</v>
      </c>
      <c r="C2642" s="790">
        <f ca="1">IF(ISERROR(VLOOKUP($A$2478,INDIRECT("notes_"&amp;LEFT($A$2478,4)),4,0)),0,VLOOKUP($A$2478,INDIRECT("notes_"&amp;LEFT($A$2478,4)),4,0))</f>
        <v>0</v>
      </c>
    </row>
    <row r="2643" spans="1:3" x14ac:dyDescent="0.25">
      <c r="A2643" s="787" t="s">
        <v>4895</v>
      </c>
      <c r="B2643" s="789">
        <f>IF(SAR!H$71="","",SAR!H$71)</f>
        <v>0</v>
      </c>
      <c r="C2643" s="790">
        <f ca="1">IF(ISERROR(VLOOKUP($A$2479,INDIRECT("notes_"&amp;LEFT($A$2479,4)),4,0)),0,VLOOKUP($A$2479,INDIRECT("notes_"&amp;LEFT($A$2479,4)),4,0))</f>
        <v>0</v>
      </c>
    </row>
    <row r="2644" spans="1:3" x14ac:dyDescent="0.25">
      <c r="A2644" s="787" t="s">
        <v>4896</v>
      </c>
      <c r="B2644" s="789">
        <f>IF(SAR!H$72="","",SAR!H$72)</f>
        <v>0</v>
      </c>
      <c r="C2644" s="790">
        <f ca="1">IF(ISERROR(VLOOKUP($A$2480,INDIRECT("notes_"&amp;LEFT($A$2480,4)),4,0)),0,VLOOKUP($A$2480,INDIRECT("notes_"&amp;LEFT($A$2480,4)),4,0))</f>
        <v>0</v>
      </c>
    </row>
    <row r="2645" spans="1:3" x14ac:dyDescent="0.25">
      <c r="A2645" s="787" t="s">
        <v>4897</v>
      </c>
      <c r="B2645" s="789">
        <f>IF(SAR!H$73="","",SAR!H$73)</f>
        <v>0</v>
      </c>
      <c r="C2645" s="790">
        <f ca="1">IF(ISERROR(VLOOKUP($A$2481,INDIRECT("notes_"&amp;LEFT($A$2481,4)),4,0)),0,VLOOKUP($A$2481,INDIRECT("notes_"&amp;LEFT($A$2481,4)),4,0))</f>
        <v>0</v>
      </c>
    </row>
    <row r="2646" spans="1:3" x14ac:dyDescent="0.25">
      <c r="A2646" s="787" t="s">
        <v>4898</v>
      </c>
      <c r="B2646" s="789">
        <f>IF(SAR!H$74="","",SAR!H$74)</f>
        <v>0</v>
      </c>
      <c r="C2646" s="790">
        <f ca="1">IF(ISERROR(VLOOKUP($A$2482,INDIRECT("notes_"&amp;LEFT($A$2482,4)),4,0)),0,VLOOKUP($A$2482,INDIRECT("notes_"&amp;LEFT($A$2482,4)),4,0))</f>
        <v>0</v>
      </c>
    </row>
    <row r="2647" spans="1:3" x14ac:dyDescent="0.25">
      <c r="A2647" s="787" t="s">
        <v>4899</v>
      </c>
      <c r="B2647" s="789">
        <f>IF(SAR!H$75="","",SAR!H$75)</f>
        <v>0</v>
      </c>
      <c r="C2647" s="790">
        <f ca="1">IF(ISERROR(VLOOKUP($A$2483,INDIRECT("notes_"&amp;LEFT($A$2483,4)),4,0)),0,VLOOKUP($A$2483,INDIRECT("notes_"&amp;LEFT($A$2483,4)),4,0))</f>
        <v>0</v>
      </c>
    </row>
    <row r="2648" spans="1:3" x14ac:dyDescent="0.25">
      <c r="A2648" s="787" t="s">
        <v>4900</v>
      </c>
      <c r="B2648" s="789">
        <f>IF(SAR!H$76="","",SAR!H$76)</f>
        <v>0</v>
      </c>
      <c r="C2648" s="790">
        <f ca="1">IF(ISERROR(VLOOKUP($A$2484,INDIRECT("notes_"&amp;LEFT($A$2484,4)),4,0)),0,VLOOKUP($A$2484,INDIRECT("notes_"&amp;LEFT($A$2484,4)),4,0))</f>
        <v>0</v>
      </c>
    </row>
    <row r="2649" spans="1:3" x14ac:dyDescent="0.25">
      <c r="A2649" s="787" t="s">
        <v>4901</v>
      </c>
      <c r="B2649" s="789">
        <f>IF(SAR!H$79="","",SAR!H$79)</f>
        <v>0</v>
      </c>
      <c r="C2649" s="790">
        <f ca="1">IF(ISERROR(VLOOKUP($A$2485,INDIRECT("notes_"&amp;LEFT($A$2485,4)),4,0)),0,VLOOKUP($A$2485,INDIRECT("notes_"&amp;LEFT($A$2485,4)),4,0))</f>
        <v>0</v>
      </c>
    </row>
    <row r="2650" spans="1:3" x14ac:dyDescent="0.25">
      <c r="A2650" s="787" t="s">
        <v>4902</v>
      </c>
      <c r="B2650" s="789">
        <f>IF(SAR!H$80="","",SAR!H$80)</f>
        <v>0</v>
      </c>
      <c r="C2650" s="790">
        <f ca="1">IF(ISERROR(VLOOKUP($A$2486,INDIRECT("notes_"&amp;LEFT($A$2486,4)),4,0)),0,VLOOKUP($A$2486,INDIRECT("notes_"&amp;LEFT($A$2486,4)),4,0))</f>
        <v>0</v>
      </c>
    </row>
    <row r="2651" spans="1:3" x14ac:dyDescent="0.25">
      <c r="A2651" s="787" t="s">
        <v>4903</v>
      </c>
      <c r="B2651" s="789">
        <f>IF(SAR!H$81="","",SAR!H$81)</f>
        <v>0</v>
      </c>
      <c r="C2651" s="790">
        <f ca="1">IF(ISERROR(VLOOKUP($A$2487,INDIRECT("notes_"&amp;LEFT($A$2487,4)),4,0)),0,VLOOKUP($A$2487,INDIRECT("notes_"&amp;LEFT($A$2487,4)),4,0))</f>
        <v>0</v>
      </c>
    </row>
    <row r="2652" spans="1:3" x14ac:dyDescent="0.25">
      <c r="A2652" s="787" t="s">
        <v>4904</v>
      </c>
      <c r="B2652" s="789">
        <f>IF(SAR!H$82="","",SAR!H$82)</f>
        <v>0</v>
      </c>
      <c r="C2652" s="790">
        <f ca="1">IF(ISERROR(VLOOKUP($A$2488,INDIRECT("notes_"&amp;LEFT($A$2488,4)),4,0)),0,VLOOKUP($A$2488,INDIRECT("notes_"&amp;LEFT($A$2488,4)),4,0))</f>
        <v>0</v>
      </c>
    </row>
    <row r="2653" spans="1:3" x14ac:dyDescent="0.25">
      <c r="A2653" s="787" t="s">
        <v>4905</v>
      </c>
      <c r="B2653" s="789">
        <f>IF(SAR!H$83="","",SAR!H$83)</f>
        <v>0</v>
      </c>
      <c r="C2653" s="790">
        <f ca="1">IF(ISERROR(VLOOKUP($A$2489,INDIRECT("notes_"&amp;LEFT($A$2489,4)),4,0)),0,VLOOKUP($A$2489,INDIRECT("notes_"&amp;LEFT($A$2489,4)),4,0))</f>
        <v>0</v>
      </c>
    </row>
    <row r="2654" spans="1:3" x14ac:dyDescent="0.25">
      <c r="A2654" s="787" t="s">
        <v>4906</v>
      </c>
      <c r="B2654" s="789">
        <f>IF(SAR!H$84="","",SAR!H$84)</f>
        <v>0</v>
      </c>
      <c r="C2654" s="790">
        <f ca="1">IF(ISERROR(VLOOKUP($A$2490,INDIRECT("notes_"&amp;LEFT($A$2490,4)),4,0)),0,VLOOKUP($A$2490,INDIRECT("notes_"&amp;LEFT($A$2490,4)),4,0))</f>
        <v>0</v>
      </c>
    </row>
    <row r="2655" spans="1:3" x14ac:dyDescent="0.25">
      <c r="A2655" s="787" t="s">
        <v>4907</v>
      </c>
      <c r="B2655" s="789">
        <f>IF(SAR!H$85="","",SAR!H$85)</f>
        <v>0</v>
      </c>
      <c r="C2655" s="790">
        <f ca="1">IF(ISERROR(VLOOKUP($A$2491,INDIRECT("notes_"&amp;LEFT($A$2491,4)),4,0)),0,VLOOKUP($A$2491,INDIRECT("notes_"&amp;LEFT($A$2491,4)),4,0))</f>
        <v>0</v>
      </c>
    </row>
    <row r="2656" spans="1:3" x14ac:dyDescent="0.25">
      <c r="A2656" s="787" t="s">
        <v>4908</v>
      </c>
      <c r="B2656" s="789">
        <f>IF(SAR!H$88="","",SAR!H$88)</f>
        <v>0</v>
      </c>
      <c r="C2656" s="790">
        <f ca="1">IF(ISERROR(VLOOKUP($A$2492,INDIRECT("notes_"&amp;LEFT($A$2492,4)),4,0)),0,VLOOKUP($A$2492,INDIRECT("notes_"&amp;LEFT($A$2492,4)),4,0))</f>
        <v>0</v>
      </c>
    </row>
    <row r="2657" spans="1:3" x14ac:dyDescent="0.25">
      <c r="A2657" s="787" t="s">
        <v>4909</v>
      </c>
      <c r="B2657" s="789">
        <f>IF(SAR!H$89="","",SAR!H$89)</f>
        <v>0</v>
      </c>
      <c r="C2657" s="790">
        <f ca="1">IF(ISERROR(VLOOKUP($A$2493,INDIRECT("notes_"&amp;LEFT($A$2493,4)),4,0)),0,VLOOKUP($A$2493,INDIRECT("notes_"&amp;LEFT($A$2493,4)),4,0))</f>
        <v>0</v>
      </c>
    </row>
    <row r="2658" spans="1:3" x14ac:dyDescent="0.25">
      <c r="A2658" s="787" t="s">
        <v>4910</v>
      </c>
      <c r="B2658" s="789">
        <f>IF(SAR!H$90="","",SAR!H$90)</f>
        <v>0</v>
      </c>
      <c r="C2658" s="790">
        <f ca="1">IF(ISERROR(VLOOKUP($A$2494,INDIRECT("notes_"&amp;LEFT($A$2494,4)),4,0)),0,VLOOKUP($A$2494,INDIRECT("notes_"&amp;LEFT($A$2494,4)),4,0))</f>
        <v>0</v>
      </c>
    </row>
    <row r="2659" spans="1:3" x14ac:dyDescent="0.25">
      <c r="A2659" s="787" t="s">
        <v>4911</v>
      </c>
      <c r="B2659" s="789">
        <f>IF(SAR!H$91="","",SAR!H$91)</f>
        <v>0</v>
      </c>
      <c r="C2659" s="790">
        <f ca="1">IF(ISERROR(VLOOKUP($A$2495,INDIRECT("notes_"&amp;LEFT($A$2495,4)),4,0)),0,VLOOKUP($A$2495,INDIRECT("notes_"&amp;LEFT($A$2495,4)),4,0))</f>
        <v>0</v>
      </c>
    </row>
    <row r="2660" spans="1:3" x14ac:dyDescent="0.25">
      <c r="A2660" s="787" t="s">
        <v>4912</v>
      </c>
      <c r="B2660" s="789">
        <f>IF(SAR!H$92="","",SAR!H$92)</f>
        <v>0</v>
      </c>
      <c r="C2660" s="790">
        <f ca="1">IF(ISERROR(VLOOKUP($A$2496,INDIRECT("notes_"&amp;LEFT($A$2496,4)),4,0)),0,VLOOKUP($A$2496,INDIRECT("notes_"&amp;LEFT($A$2496,4)),4,0))</f>
        <v>0</v>
      </c>
    </row>
    <row r="2661" spans="1:3" x14ac:dyDescent="0.25">
      <c r="A2661" s="787" t="s">
        <v>4913</v>
      </c>
      <c r="B2661" s="789">
        <f>IF(SAR!H$93="","",SAR!H$93)</f>
        <v>0</v>
      </c>
      <c r="C2661" s="790">
        <f ca="1">IF(ISERROR(VLOOKUP($A$2497,INDIRECT("notes_"&amp;LEFT($A$2497,4)),4,0)),0,VLOOKUP($A$2497,INDIRECT("notes_"&amp;LEFT($A$2497,4)),4,0))</f>
        <v>0</v>
      </c>
    </row>
    <row r="2662" spans="1:3" x14ac:dyDescent="0.25">
      <c r="A2662" s="787" t="s">
        <v>4914</v>
      </c>
      <c r="B2662" s="789">
        <f>IF(SAR!H$94="","",SAR!H$94)</f>
        <v>0</v>
      </c>
      <c r="C2662" s="790">
        <f ca="1">IF(ISERROR(VLOOKUP($A$2498,INDIRECT("notes_"&amp;LEFT($A$2498,4)),4,0)),0,VLOOKUP($A$2498,INDIRECT("notes_"&amp;LEFT($A$2498,4)),4,0))</f>
        <v>0</v>
      </c>
    </row>
    <row r="2663" spans="1:3" x14ac:dyDescent="0.25">
      <c r="A2663" s="787" t="s">
        <v>4915</v>
      </c>
      <c r="B2663" s="789">
        <f>IF(SAR!H$95="","",SAR!H$95)</f>
        <v>0</v>
      </c>
      <c r="C2663" s="790">
        <f ca="1">IF(ISERROR(VLOOKUP($A$2499,INDIRECT("notes_"&amp;LEFT($A$2499,4)),4,0)),0,VLOOKUP($A$2499,INDIRECT("notes_"&amp;LEFT($A$2499,4)),4,0))</f>
        <v>0</v>
      </c>
    </row>
    <row r="2664" spans="1:3" x14ac:dyDescent="0.25">
      <c r="A2664" s="787" t="s">
        <v>4916</v>
      </c>
      <c r="B2664" s="789">
        <f>IF(SAR!H$96="","",SAR!H$96)</f>
        <v>0</v>
      </c>
      <c r="C2664" s="790">
        <f ca="1">IF(ISERROR(VLOOKUP($A$2500,INDIRECT("notes_"&amp;LEFT($A$2500,4)),4,0)),0,VLOOKUP($A$2500,INDIRECT("notes_"&amp;LEFT($A$2500,4)),4,0))</f>
        <v>0</v>
      </c>
    </row>
    <row r="2665" spans="1:3" x14ac:dyDescent="0.25">
      <c r="A2665" s="787" t="s">
        <v>4917</v>
      </c>
      <c r="B2665" s="789">
        <f>IF(SAR!H$97="","",SAR!H$97)</f>
        <v>0</v>
      </c>
      <c r="C2665" s="790">
        <f ca="1">IF(ISERROR(VLOOKUP($A$2501,INDIRECT("notes_"&amp;LEFT($A$2501,4)),4,0)),0,VLOOKUP($A$2501,INDIRECT("notes_"&amp;LEFT($A$2501,4)),4,0))</f>
        <v>0</v>
      </c>
    </row>
    <row r="2666" spans="1:3" x14ac:dyDescent="0.25">
      <c r="A2666" s="787" t="s">
        <v>4918</v>
      </c>
      <c r="B2666" s="789">
        <f>IF(SAR!H$98="","",SAR!H$98)</f>
        <v>0</v>
      </c>
      <c r="C2666" s="790">
        <f ca="1">IF(ISERROR(VLOOKUP($A$2502,INDIRECT("notes_"&amp;LEFT($A$2502,4)),4,0)),0,VLOOKUP($A$2502,INDIRECT("notes_"&amp;LEFT($A$2502,4)),4,0))</f>
        <v>0</v>
      </c>
    </row>
    <row r="2667" spans="1:3" x14ac:dyDescent="0.25">
      <c r="A2667" s="787" t="s">
        <v>4919</v>
      </c>
      <c r="B2667" s="789">
        <f>IF(SAR!H$99="","",SAR!H$99)</f>
        <v>0</v>
      </c>
      <c r="C2667" s="790">
        <f ca="1">IF(ISERROR(VLOOKUP($A$2503,INDIRECT("notes_"&amp;LEFT($A$2503,4)),4,0)),0,VLOOKUP($A$2503,INDIRECT("notes_"&amp;LEFT($A$2503,4)),4,0))</f>
        <v>0</v>
      </c>
    </row>
    <row r="2668" spans="1:3" x14ac:dyDescent="0.25">
      <c r="A2668" s="787" t="s">
        <v>4920</v>
      </c>
      <c r="B2668" s="789">
        <f>IF(SAR!H$100="","",SAR!H$100)</f>
        <v>0</v>
      </c>
      <c r="C2668" s="790">
        <f ca="1">IF(ISERROR(VLOOKUP($A$2504,INDIRECT("notes_"&amp;LEFT($A$2504,4)),4,0)),0,VLOOKUP($A$2504,INDIRECT("notes_"&amp;LEFT($A$2504,4)),4,0))</f>
        <v>0</v>
      </c>
    </row>
    <row r="2669" spans="1:3" x14ac:dyDescent="0.25">
      <c r="A2669" s="787" t="s">
        <v>4921</v>
      </c>
      <c r="B2669" s="789">
        <f>IF(SAR!H$103="","",SAR!H$103)</f>
        <v>0</v>
      </c>
      <c r="C2669" s="790">
        <f ca="1">IF(ISERROR(VLOOKUP($A$2505,INDIRECT("notes_"&amp;LEFT($A$2505,4)),4,0)),0,VLOOKUP($A$2505,INDIRECT("notes_"&amp;LEFT($A$2505,4)),4,0))</f>
        <v>0</v>
      </c>
    </row>
    <row r="2670" spans="1:3" x14ac:dyDescent="0.25">
      <c r="A2670" s="787" t="s">
        <v>4922</v>
      </c>
      <c r="B2670" s="789">
        <f>IF(SAR!H$104="","",SAR!H$104)</f>
        <v>0</v>
      </c>
      <c r="C2670" s="790">
        <f ca="1">IF(ISERROR(VLOOKUP($A$2506,INDIRECT("notes_"&amp;LEFT($A$2506,4)),4,0)),0,VLOOKUP($A$2506,INDIRECT("notes_"&amp;LEFT($A$2506,4)),4,0))</f>
        <v>0</v>
      </c>
    </row>
    <row r="2671" spans="1:3" x14ac:dyDescent="0.25">
      <c r="A2671" s="787" t="s">
        <v>4923</v>
      </c>
      <c r="B2671" s="789">
        <f>IF(SAR!H$105="","",SAR!H$105)</f>
        <v>0</v>
      </c>
      <c r="C2671" s="790">
        <f ca="1">IF(ISERROR(VLOOKUP($A$2507,INDIRECT("notes_"&amp;LEFT($A$2507,4)),4,0)),0,VLOOKUP($A$2507,INDIRECT("notes_"&amp;LEFT($A$2507,4)),4,0))</f>
        <v>0</v>
      </c>
    </row>
    <row r="2672" spans="1:3" x14ac:dyDescent="0.25">
      <c r="A2672" s="787" t="s">
        <v>4924</v>
      </c>
      <c r="B2672" s="789">
        <f>IF(SAR!H$106="","",SAR!H$106)</f>
        <v>0</v>
      </c>
      <c r="C2672" s="790">
        <f ca="1">IF(ISERROR(VLOOKUP($A$2508,INDIRECT("notes_"&amp;LEFT($A$2508,4)),4,0)),0,VLOOKUP($A$2508,INDIRECT("notes_"&amp;LEFT($A$2508,4)),4,0))</f>
        <v>0</v>
      </c>
    </row>
    <row r="2673" spans="1:3" x14ac:dyDescent="0.25">
      <c r="A2673" s="787" t="s">
        <v>4925</v>
      </c>
      <c r="B2673" s="789">
        <f>IF(SAR!H$107="","",SAR!H$107)</f>
        <v>0</v>
      </c>
      <c r="C2673" s="790">
        <f ca="1">IF(ISERROR(VLOOKUP($A$2509,INDIRECT("notes_"&amp;LEFT($A$2509,4)),4,0)),0,VLOOKUP($A$2509,INDIRECT("notes_"&amp;LEFT($A$2509,4)),4,0))</f>
        <v>0</v>
      </c>
    </row>
    <row r="2674" spans="1:3" x14ac:dyDescent="0.25">
      <c r="A2674" s="787" t="s">
        <v>4926</v>
      </c>
      <c r="B2674" s="789">
        <f>IF(SAR!H$108="","",SAR!H$108)</f>
        <v>0</v>
      </c>
      <c r="C2674" s="790">
        <f ca="1">IF(ISERROR(VLOOKUP($A$2510,INDIRECT("notes_"&amp;LEFT($A$2510,4)),4,0)),0,VLOOKUP($A$2510,INDIRECT("notes_"&amp;LEFT($A$2510,4)),4,0))</f>
        <v>0</v>
      </c>
    </row>
    <row r="2675" spans="1:3" x14ac:dyDescent="0.25">
      <c r="A2675" s="787" t="s">
        <v>4927</v>
      </c>
      <c r="B2675" s="789">
        <f>IF(SAR!H$109="","",SAR!H$109)</f>
        <v>0</v>
      </c>
      <c r="C2675" s="790">
        <f ca="1">IF(ISERROR(VLOOKUP($A$2511,INDIRECT("notes_"&amp;LEFT($A$2511,4)),4,0)),0,VLOOKUP($A$2511,INDIRECT("notes_"&amp;LEFT($A$2511,4)),4,0))</f>
        <v>0</v>
      </c>
    </row>
    <row r="2676" spans="1:3" x14ac:dyDescent="0.25">
      <c r="A2676" s="787" t="s">
        <v>4928</v>
      </c>
      <c r="B2676" s="789">
        <f>IF(SAR!H$111="","",SAR!H$111)</f>
        <v>0</v>
      </c>
      <c r="C2676" s="790">
        <f ca="1">IF(ISERROR(VLOOKUP($A$2512,INDIRECT("notes_"&amp;LEFT($A$2512,4)),4,0)),0,VLOOKUP($A$2512,INDIRECT("notes_"&amp;LEFT($A$2512,4)),4,0))</f>
        <v>0</v>
      </c>
    </row>
    <row r="2677" spans="1:3" x14ac:dyDescent="0.25">
      <c r="A2677" s="787" t="s">
        <v>4929</v>
      </c>
      <c r="B2677" s="789">
        <f>IF(SAR!H$113="","",SAR!H$113)</f>
        <v>0</v>
      </c>
      <c r="C2677" s="790">
        <f ca="1">IF(ISERROR(VLOOKUP($A$2513,INDIRECT("notes_"&amp;LEFT($A$2513,4)),4,0)),0,VLOOKUP($A$2513,INDIRECT("notes_"&amp;LEFT($A$2513,4)),4,0))</f>
        <v>0</v>
      </c>
    </row>
    <row r="2678" spans="1:3" x14ac:dyDescent="0.25">
      <c r="A2678" s="787" t="s">
        <v>4930</v>
      </c>
      <c r="B2678" s="789">
        <f>IF(SAR!H$115="","",SAR!H$115)</f>
        <v>0</v>
      </c>
      <c r="C2678" s="790">
        <f ca="1">IF(ISERROR(VLOOKUP($A$2514,INDIRECT("notes_"&amp;LEFT($A$2514,4)),4,0)),0,VLOOKUP($A$2514,INDIRECT("notes_"&amp;LEFT($A$2514,4)),4,0))</f>
        <v>0</v>
      </c>
    </row>
    <row r="2679" spans="1:3" x14ac:dyDescent="0.25">
      <c r="A2679" s="787" t="s">
        <v>2893</v>
      </c>
      <c r="B2679" s="789" t="str">
        <f>IF(SAR!C125="","",SAR!C125)</f>
        <v/>
      </c>
      <c r="C2679" s="790">
        <f ca="1">IF(ISERROR(VLOOKUP(A2679,INDIRECT("notes_"&amp;LEFT(A2679,4)),4,0)),0,VLOOKUP(A2679,INDIRECT("notes_"&amp;LEFT(A2679,4)),4,0))</f>
        <v>0</v>
      </c>
    </row>
    <row r="2680" spans="1:3" x14ac:dyDescent="0.25">
      <c r="A2680" s="787" t="s">
        <v>2894</v>
      </c>
      <c r="B2680" s="789">
        <f>IF(SAR!C126="","",SAR!C126)</f>
        <v>0</v>
      </c>
      <c r="C2680" s="790">
        <f ca="1">IF(ISERROR(VLOOKUP(A2680,INDIRECT("notes_"&amp;LEFT(A2680,4)),4,0)),0,VLOOKUP(A2680,INDIRECT("notes_"&amp;LEFT(A2680,4)),4,0))</f>
        <v>0</v>
      </c>
    </row>
    <row r="2681" spans="1:3" x14ac:dyDescent="0.25">
      <c r="A2681" s="787" t="s">
        <v>2895</v>
      </c>
      <c r="B2681" s="789" t="str">
        <f>IF(SAR!C127="","",SAR!C127)</f>
        <v/>
      </c>
      <c r="C2681" s="790">
        <f ca="1">IF(ISERROR(VLOOKUP(A2681,INDIRECT("notes_"&amp;LEFT(A2681,4)),4,0)),0,VLOOKUP(A2681,INDIRECT("notes_"&amp;LEFT(A2681,4)),4,0))</f>
        <v>0</v>
      </c>
    </row>
    <row r="2682" spans="1:3" x14ac:dyDescent="0.25">
      <c r="A2682" s="787" t="s">
        <v>2896</v>
      </c>
      <c r="B2682" s="789">
        <f>IF(SAR!C128="","",SAR!C128)</f>
        <v>0</v>
      </c>
      <c r="C2682" s="790">
        <f ca="1">IF(ISERROR(VLOOKUP(A2682,INDIRECT("notes_"&amp;LEFT(A2682,4)),4,0)),0,VLOOKUP(A2682,INDIRECT("notes_"&amp;LEFT(A2682,4)),4,0))</f>
        <v>0</v>
      </c>
    </row>
  </sheetData>
  <sheetProtection sheet="1" objects="1" scenarios="1"/>
  <autoFilter ref="A1:G2682" xr:uid="{E0B1BAD7-136C-4CE6-AE3E-5825358CE82D}"/>
  <pageMargins left="0.7" right="0.7" top="0.75" bottom="0.75" header="0.3" footer="0.3"/>
  <pageSetup paperSize="9" orientation="portrait"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tabColor theme="5" tint="0.59999389629810485"/>
  </sheetPr>
  <dimension ref="A1:ON458"/>
  <sheetViews>
    <sheetView zoomScaleNormal="100" workbookViewId="0"/>
  </sheetViews>
  <sheetFormatPr defaultColWidth="8.7265625" defaultRowHeight="12.5" x14ac:dyDescent="0.25"/>
  <cols>
    <col min="5" max="5" width="10.81640625" customWidth="1"/>
    <col min="6" max="346" width="8.7265625" customWidth="1"/>
  </cols>
  <sheetData>
    <row r="1" spans="1:404" x14ac:dyDescent="0.25">
      <c r="F1" t="s">
        <v>4931</v>
      </c>
      <c r="G1" t="s">
        <v>4932</v>
      </c>
      <c r="H1" t="s">
        <v>4933</v>
      </c>
      <c r="I1" t="s">
        <v>4934</v>
      </c>
      <c r="J1" t="s">
        <v>4935</v>
      </c>
      <c r="K1" t="s">
        <v>4936</v>
      </c>
      <c r="L1" t="s">
        <v>4937</v>
      </c>
      <c r="M1" t="s">
        <v>4938</v>
      </c>
      <c r="N1" t="s">
        <v>4939</v>
      </c>
      <c r="O1" t="s">
        <v>4940</v>
      </c>
      <c r="P1" t="s">
        <v>4941</v>
      </c>
      <c r="Q1" t="s">
        <v>4942</v>
      </c>
      <c r="R1" t="s">
        <v>4943</v>
      </c>
      <c r="S1" t="s">
        <v>4944</v>
      </c>
      <c r="T1" t="s">
        <v>4945</v>
      </c>
      <c r="U1" t="s">
        <v>4946</v>
      </c>
      <c r="V1" t="s">
        <v>4947</v>
      </c>
      <c r="W1" t="s">
        <v>4948</v>
      </c>
      <c r="X1" t="s">
        <v>4949</v>
      </c>
      <c r="Y1" t="s">
        <v>4950</v>
      </c>
      <c r="Z1" t="s">
        <v>4951</v>
      </c>
      <c r="AA1" t="s">
        <v>4952</v>
      </c>
      <c r="AB1" t="s">
        <v>4953</v>
      </c>
      <c r="AC1" t="s">
        <v>4954</v>
      </c>
      <c r="AD1" t="s">
        <v>4955</v>
      </c>
      <c r="AE1" t="s">
        <v>4956</v>
      </c>
      <c r="AF1" t="s">
        <v>4957</v>
      </c>
      <c r="AG1" t="s">
        <v>4958</v>
      </c>
      <c r="AH1" t="s">
        <v>4959</v>
      </c>
      <c r="AI1" t="s">
        <v>4960</v>
      </c>
      <c r="AJ1" t="s">
        <v>4961</v>
      </c>
      <c r="AK1" t="s">
        <v>4962</v>
      </c>
      <c r="AL1" t="s">
        <v>4963</v>
      </c>
      <c r="AM1" t="s">
        <v>4964</v>
      </c>
      <c r="AN1" t="s">
        <v>4965</v>
      </c>
      <c r="AO1" t="s">
        <v>4966</v>
      </c>
      <c r="AP1" t="s">
        <v>4967</v>
      </c>
      <c r="AQ1" t="s">
        <v>4968</v>
      </c>
      <c r="AR1" t="s">
        <v>4969</v>
      </c>
      <c r="AS1" t="s">
        <v>4970</v>
      </c>
      <c r="AT1" t="s">
        <v>4971</v>
      </c>
      <c r="AU1" t="s">
        <v>4972</v>
      </c>
      <c r="AV1" t="s">
        <v>4973</v>
      </c>
      <c r="AW1" t="s">
        <v>4974</v>
      </c>
      <c r="AX1" t="s">
        <v>4975</v>
      </c>
      <c r="AY1" t="s">
        <v>4976</v>
      </c>
      <c r="AZ1" t="s">
        <v>4977</v>
      </c>
      <c r="BA1" t="s">
        <v>4978</v>
      </c>
      <c r="BB1" t="s">
        <v>4979</v>
      </c>
      <c r="BC1" t="s">
        <v>4980</v>
      </c>
      <c r="BD1" t="s">
        <v>4981</v>
      </c>
      <c r="BE1" t="s">
        <v>4982</v>
      </c>
      <c r="BF1" t="s">
        <v>4983</v>
      </c>
      <c r="BG1" t="s">
        <v>4984</v>
      </c>
      <c r="BH1" t="s">
        <v>4985</v>
      </c>
      <c r="BI1" t="s">
        <v>4986</v>
      </c>
      <c r="BJ1" t="s">
        <v>4987</v>
      </c>
      <c r="BK1" t="s">
        <v>4988</v>
      </c>
      <c r="BL1" t="s">
        <v>4989</v>
      </c>
      <c r="BM1" t="s">
        <v>4990</v>
      </c>
      <c r="BN1" t="s">
        <v>4991</v>
      </c>
      <c r="BO1" t="s">
        <v>4992</v>
      </c>
      <c r="BP1" t="s">
        <v>4993</v>
      </c>
      <c r="BQ1" t="s">
        <v>4994</v>
      </c>
      <c r="BR1" t="s">
        <v>4995</v>
      </c>
      <c r="BS1" t="s">
        <v>4996</v>
      </c>
      <c r="BT1" t="s">
        <v>4997</v>
      </c>
      <c r="BU1" t="s">
        <v>4998</v>
      </c>
      <c r="BV1" t="s">
        <v>4999</v>
      </c>
      <c r="BW1" t="s">
        <v>5000</v>
      </c>
      <c r="BX1" t="s">
        <v>5001</v>
      </c>
      <c r="BY1" t="s">
        <v>5002</v>
      </c>
      <c r="BZ1" t="s">
        <v>5003</v>
      </c>
      <c r="CA1" t="s">
        <v>5004</v>
      </c>
      <c r="CB1" t="s">
        <v>5005</v>
      </c>
      <c r="CC1" t="s">
        <v>5006</v>
      </c>
      <c r="CD1" t="s">
        <v>5007</v>
      </c>
      <c r="CE1" t="s">
        <v>5008</v>
      </c>
      <c r="CF1" t="s">
        <v>5009</v>
      </c>
      <c r="CG1" t="s">
        <v>5010</v>
      </c>
      <c r="CH1" t="s">
        <v>5011</v>
      </c>
      <c r="CI1" t="s">
        <v>5012</v>
      </c>
      <c r="CJ1" t="s">
        <v>5013</v>
      </c>
      <c r="CK1" t="s">
        <v>5014</v>
      </c>
      <c r="CL1" t="s">
        <v>5015</v>
      </c>
      <c r="CM1" t="s">
        <v>5016</v>
      </c>
      <c r="CN1" t="s">
        <v>5017</v>
      </c>
      <c r="CO1" t="s">
        <v>5018</v>
      </c>
      <c r="CP1" t="s">
        <v>5019</v>
      </c>
      <c r="CQ1" t="s">
        <v>5020</v>
      </c>
      <c r="CR1" t="s">
        <v>5021</v>
      </c>
      <c r="CS1" t="s">
        <v>5022</v>
      </c>
      <c r="CT1" t="s">
        <v>5023</v>
      </c>
      <c r="CU1" t="s">
        <v>5024</v>
      </c>
      <c r="CV1" t="s">
        <v>5025</v>
      </c>
      <c r="CW1" t="s">
        <v>5026</v>
      </c>
      <c r="CX1" t="s">
        <v>5027</v>
      </c>
      <c r="CY1" t="s">
        <v>5028</v>
      </c>
      <c r="CZ1" t="s">
        <v>5029</v>
      </c>
      <c r="DA1" t="s">
        <v>5030</v>
      </c>
      <c r="DB1" t="s">
        <v>5031</v>
      </c>
      <c r="DC1" t="s">
        <v>5032</v>
      </c>
      <c r="DD1" t="s">
        <v>5033</v>
      </c>
      <c r="DE1" t="s">
        <v>5034</v>
      </c>
      <c r="DF1" t="s">
        <v>5035</v>
      </c>
      <c r="DG1" t="s">
        <v>5036</v>
      </c>
      <c r="DH1" t="s">
        <v>5037</v>
      </c>
      <c r="DI1" t="s">
        <v>5038</v>
      </c>
      <c r="DJ1" t="s">
        <v>5039</v>
      </c>
      <c r="DK1" t="s">
        <v>5040</v>
      </c>
      <c r="DL1" t="s">
        <v>5041</v>
      </c>
      <c r="DM1" t="s">
        <v>5042</v>
      </c>
      <c r="DN1" t="s">
        <v>5043</v>
      </c>
      <c r="DO1" t="s">
        <v>5044</v>
      </c>
      <c r="DP1" t="s">
        <v>5045</v>
      </c>
      <c r="DQ1" t="s">
        <v>5046</v>
      </c>
      <c r="DR1" t="s">
        <v>5047</v>
      </c>
      <c r="DS1" t="s">
        <v>5048</v>
      </c>
      <c r="DT1" t="s">
        <v>5049</v>
      </c>
      <c r="DU1" t="s">
        <v>5050</v>
      </c>
      <c r="DV1" t="s">
        <v>5051</v>
      </c>
      <c r="DW1" t="s">
        <v>5052</v>
      </c>
      <c r="DX1" t="s">
        <v>5053</v>
      </c>
      <c r="DY1" t="s">
        <v>5054</v>
      </c>
      <c r="DZ1" t="s">
        <v>5055</v>
      </c>
      <c r="EA1" t="s">
        <v>5056</v>
      </c>
      <c r="EB1" t="s">
        <v>5057</v>
      </c>
      <c r="EC1" t="s">
        <v>5058</v>
      </c>
      <c r="ED1" t="s">
        <v>5059</v>
      </c>
      <c r="EE1" t="s">
        <v>5060</v>
      </c>
      <c r="EF1" t="s">
        <v>5061</v>
      </c>
      <c r="EG1" t="s">
        <v>5062</v>
      </c>
      <c r="EH1" t="s">
        <v>5063</v>
      </c>
      <c r="EI1" t="s">
        <v>5064</v>
      </c>
      <c r="EJ1" t="s">
        <v>5065</v>
      </c>
      <c r="EK1" t="s">
        <v>5066</v>
      </c>
      <c r="EL1" t="s">
        <v>5067</v>
      </c>
      <c r="EM1" t="s">
        <v>5068</v>
      </c>
      <c r="EN1" t="s">
        <v>5069</v>
      </c>
      <c r="EO1" t="s">
        <v>5070</v>
      </c>
      <c r="EP1" t="s">
        <v>5071</v>
      </c>
      <c r="EQ1" t="s">
        <v>5072</v>
      </c>
      <c r="ER1" t="s">
        <v>5073</v>
      </c>
      <c r="ES1" t="s">
        <v>5074</v>
      </c>
      <c r="ET1" t="s">
        <v>5075</v>
      </c>
      <c r="EU1" t="s">
        <v>5076</v>
      </c>
      <c r="EV1" t="s">
        <v>5077</v>
      </c>
      <c r="EW1" t="s">
        <v>5078</v>
      </c>
      <c r="EX1" t="s">
        <v>5079</v>
      </c>
      <c r="EY1" t="s">
        <v>5080</v>
      </c>
      <c r="EZ1" t="s">
        <v>5081</v>
      </c>
      <c r="FA1" t="s">
        <v>5082</v>
      </c>
      <c r="FB1" t="s">
        <v>5083</v>
      </c>
      <c r="FC1" t="s">
        <v>5084</v>
      </c>
      <c r="FD1" t="s">
        <v>5085</v>
      </c>
      <c r="FE1" t="s">
        <v>5086</v>
      </c>
      <c r="FF1" t="s">
        <v>5087</v>
      </c>
      <c r="FG1" t="s">
        <v>5088</v>
      </c>
      <c r="FH1" t="s">
        <v>5089</v>
      </c>
      <c r="FI1" t="s">
        <v>5090</v>
      </c>
      <c r="FJ1" t="s">
        <v>5091</v>
      </c>
      <c r="FK1" t="s">
        <v>5092</v>
      </c>
      <c r="FL1" t="s">
        <v>5093</v>
      </c>
      <c r="FM1" t="s">
        <v>5094</v>
      </c>
      <c r="FN1" t="s">
        <v>5095</v>
      </c>
      <c r="FO1" t="s">
        <v>5096</v>
      </c>
      <c r="FP1" t="s">
        <v>5097</v>
      </c>
      <c r="FQ1" t="s">
        <v>5098</v>
      </c>
      <c r="FR1" t="s">
        <v>5099</v>
      </c>
      <c r="FS1" t="s">
        <v>5100</v>
      </c>
      <c r="FT1" t="s">
        <v>5101</v>
      </c>
      <c r="FU1" t="s">
        <v>5102</v>
      </c>
      <c r="FV1" t="s">
        <v>5103</v>
      </c>
      <c r="FW1" t="s">
        <v>5104</v>
      </c>
      <c r="FX1" t="s">
        <v>5105</v>
      </c>
      <c r="FY1" t="s">
        <v>5106</v>
      </c>
      <c r="FZ1" t="s">
        <v>5107</v>
      </c>
      <c r="GA1" t="s">
        <v>5108</v>
      </c>
      <c r="GB1" t="s">
        <v>5109</v>
      </c>
      <c r="GC1" t="s">
        <v>5110</v>
      </c>
      <c r="GD1" t="s">
        <v>5111</v>
      </c>
      <c r="GE1" t="s">
        <v>5112</v>
      </c>
      <c r="GF1" t="s">
        <v>5113</v>
      </c>
      <c r="GG1" t="s">
        <v>5114</v>
      </c>
      <c r="GH1" t="s">
        <v>5115</v>
      </c>
      <c r="GI1" t="s">
        <v>5116</v>
      </c>
      <c r="GJ1" t="s">
        <v>5117</v>
      </c>
      <c r="GK1" t="s">
        <v>5118</v>
      </c>
      <c r="GL1" t="s">
        <v>5119</v>
      </c>
      <c r="GM1" t="s">
        <v>5120</v>
      </c>
      <c r="GN1" t="s">
        <v>5121</v>
      </c>
      <c r="GO1" t="s">
        <v>5122</v>
      </c>
      <c r="GP1" t="s">
        <v>5123</v>
      </c>
      <c r="GQ1" t="s">
        <v>5124</v>
      </c>
      <c r="GR1" t="s">
        <v>5125</v>
      </c>
      <c r="GS1" t="s">
        <v>5126</v>
      </c>
      <c r="GT1" t="s">
        <v>5127</v>
      </c>
      <c r="GU1" t="s">
        <v>5128</v>
      </c>
      <c r="GV1" t="s">
        <v>5129</v>
      </c>
      <c r="GW1" t="s">
        <v>5130</v>
      </c>
      <c r="GX1" t="s">
        <v>5131</v>
      </c>
      <c r="GY1" t="s">
        <v>5132</v>
      </c>
      <c r="GZ1" t="s">
        <v>5133</v>
      </c>
      <c r="HA1" t="s">
        <v>5134</v>
      </c>
      <c r="HB1" t="s">
        <v>5135</v>
      </c>
      <c r="HC1" t="s">
        <v>5136</v>
      </c>
      <c r="HD1" t="s">
        <v>5137</v>
      </c>
      <c r="HE1" t="s">
        <v>5138</v>
      </c>
      <c r="HF1" t="s">
        <v>5139</v>
      </c>
      <c r="HG1" t="s">
        <v>5140</v>
      </c>
      <c r="HH1" t="s">
        <v>5141</v>
      </c>
      <c r="HI1" t="s">
        <v>5142</v>
      </c>
      <c r="HJ1" t="s">
        <v>5143</v>
      </c>
      <c r="HK1" t="s">
        <v>5144</v>
      </c>
      <c r="HL1" t="s">
        <v>5145</v>
      </c>
      <c r="HM1" t="s">
        <v>5146</v>
      </c>
      <c r="HN1" t="s">
        <v>5147</v>
      </c>
      <c r="HO1" t="s">
        <v>5148</v>
      </c>
      <c r="HP1" t="s">
        <v>5149</v>
      </c>
      <c r="HQ1" t="s">
        <v>5150</v>
      </c>
      <c r="HR1" t="s">
        <v>5151</v>
      </c>
      <c r="HS1" t="s">
        <v>5152</v>
      </c>
      <c r="HT1" t="s">
        <v>5153</v>
      </c>
      <c r="HU1" t="s">
        <v>5154</v>
      </c>
      <c r="HV1" t="s">
        <v>5155</v>
      </c>
      <c r="HW1" s="425" t="s">
        <v>5156</v>
      </c>
      <c r="HX1" s="425" t="s">
        <v>5157</v>
      </c>
      <c r="HY1" s="425" t="s">
        <v>5158</v>
      </c>
      <c r="HZ1" s="425" t="s">
        <v>5159</v>
      </c>
      <c r="IA1" s="425" t="s">
        <v>5160</v>
      </c>
      <c r="IB1" t="s">
        <v>5161</v>
      </c>
      <c r="IC1" t="s">
        <v>5162</v>
      </c>
      <c r="ID1" t="s">
        <v>5163</v>
      </c>
      <c r="IE1" t="s">
        <v>5164</v>
      </c>
      <c r="IF1" t="s">
        <v>5165</v>
      </c>
      <c r="IG1" t="s">
        <v>5166</v>
      </c>
      <c r="IH1" t="s">
        <v>5167</v>
      </c>
      <c r="II1" t="s">
        <v>5168</v>
      </c>
      <c r="IJ1" t="s">
        <v>5169</v>
      </c>
      <c r="IK1" t="s">
        <v>5170</v>
      </c>
      <c r="IL1" t="s">
        <v>5171</v>
      </c>
      <c r="IM1" t="s">
        <v>5172</v>
      </c>
      <c r="IN1" t="s">
        <v>5173</v>
      </c>
      <c r="IO1" t="s">
        <v>5174</v>
      </c>
      <c r="IP1" t="s">
        <v>5175</v>
      </c>
      <c r="IQ1" t="s">
        <v>5176</v>
      </c>
      <c r="IR1" t="s">
        <v>5177</v>
      </c>
      <c r="IS1" t="s">
        <v>5178</v>
      </c>
      <c r="IT1" t="s">
        <v>5179</v>
      </c>
      <c r="IU1" t="s">
        <v>5180</v>
      </c>
      <c r="IV1" t="s">
        <v>5181</v>
      </c>
      <c r="IW1" t="s">
        <v>5182</v>
      </c>
      <c r="IX1" t="s">
        <v>5183</v>
      </c>
      <c r="IY1" t="s">
        <v>5184</v>
      </c>
      <c r="IZ1" t="s">
        <v>5185</v>
      </c>
      <c r="JA1" t="s">
        <v>5186</v>
      </c>
      <c r="JB1" t="s">
        <v>5187</v>
      </c>
      <c r="JC1" t="s">
        <v>5188</v>
      </c>
      <c r="JD1" t="s">
        <v>5189</v>
      </c>
      <c r="JE1" t="s">
        <v>5190</v>
      </c>
      <c r="JF1" t="s">
        <v>5191</v>
      </c>
      <c r="JG1" t="s">
        <v>5192</v>
      </c>
      <c r="JH1" t="s">
        <v>5193</v>
      </c>
      <c r="JI1" t="s">
        <v>5194</v>
      </c>
      <c r="JJ1" t="s">
        <v>5195</v>
      </c>
      <c r="JK1" t="s">
        <v>5196</v>
      </c>
      <c r="JL1" t="s">
        <v>5197</v>
      </c>
      <c r="JM1" t="s">
        <v>5198</v>
      </c>
      <c r="JN1" t="s">
        <v>5199</v>
      </c>
      <c r="JO1" t="s">
        <v>5200</v>
      </c>
      <c r="JP1" t="s">
        <v>5201</v>
      </c>
      <c r="JQ1" t="s">
        <v>5202</v>
      </c>
      <c r="JR1" t="s">
        <v>5203</v>
      </c>
      <c r="JS1" t="s">
        <v>5204</v>
      </c>
      <c r="JT1" t="s">
        <v>5205</v>
      </c>
      <c r="JU1" t="s">
        <v>5206</v>
      </c>
      <c r="JV1" t="s">
        <v>5207</v>
      </c>
      <c r="JW1" t="s">
        <v>5208</v>
      </c>
      <c r="JX1" t="s">
        <v>5209</v>
      </c>
      <c r="JY1" t="s">
        <v>5210</v>
      </c>
      <c r="JZ1" t="s">
        <v>5211</v>
      </c>
      <c r="KA1" t="s">
        <v>5212</v>
      </c>
      <c r="KB1" s="425" t="s">
        <v>5213</v>
      </c>
      <c r="KC1" t="s">
        <v>5214</v>
      </c>
      <c r="KD1" t="s">
        <v>5215</v>
      </c>
      <c r="KE1" t="s">
        <v>5216</v>
      </c>
      <c r="KF1" t="s">
        <v>5217</v>
      </c>
      <c r="KG1" t="s">
        <v>5218</v>
      </c>
      <c r="KH1" t="s">
        <v>5219</v>
      </c>
      <c r="KI1" t="s">
        <v>5220</v>
      </c>
      <c r="KJ1" t="s">
        <v>5221</v>
      </c>
      <c r="KK1" t="s">
        <v>5222</v>
      </c>
      <c r="KL1" t="s">
        <v>5223</v>
      </c>
      <c r="KM1" t="s">
        <v>5224</v>
      </c>
      <c r="KN1" t="s">
        <v>5225</v>
      </c>
      <c r="KO1" t="s">
        <v>5226</v>
      </c>
      <c r="KP1" t="s">
        <v>5227</v>
      </c>
      <c r="KQ1" t="s">
        <v>5228</v>
      </c>
      <c r="KR1" t="s">
        <v>5229</v>
      </c>
      <c r="KS1" t="s">
        <v>5230</v>
      </c>
      <c r="KT1" t="s">
        <v>5231</v>
      </c>
      <c r="KU1" t="s">
        <v>5232</v>
      </c>
      <c r="KV1" t="s">
        <v>5233</v>
      </c>
      <c r="KW1" t="s">
        <v>5234</v>
      </c>
      <c r="KX1" t="s">
        <v>5235</v>
      </c>
      <c r="KY1" t="s">
        <v>5236</v>
      </c>
      <c r="KZ1" t="s">
        <v>5237</v>
      </c>
      <c r="LA1" t="s">
        <v>5238</v>
      </c>
      <c r="LB1" t="s">
        <v>5239</v>
      </c>
      <c r="LC1" t="s">
        <v>5240</v>
      </c>
      <c r="LD1" t="s">
        <v>5241</v>
      </c>
      <c r="LE1" t="s">
        <v>5242</v>
      </c>
      <c r="LF1" t="s">
        <v>5243</v>
      </c>
      <c r="LG1" t="s">
        <v>5244</v>
      </c>
      <c r="LH1" t="s">
        <v>5245</v>
      </c>
      <c r="LI1" t="s">
        <v>5246</v>
      </c>
      <c r="LJ1" t="s">
        <v>5247</v>
      </c>
      <c r="LK1" t="s">
        <v>5248</v>
      </c>
      <c r="LL1" t="s">
        <v>5249</v>
      </c>
      <c r="LM1" t="s">
        <v>5250</v>
      </c>
      <c r="LN1" t="s">
        <v>5251</v>
      </c>
      <c r="LO1" t="s">
        <v>5252</v>
      </c>
      <c r="LP1" t="s">
        <v>5253</v>
      </c>
      <c r="LQ1" t="s">
        <v>5254</v>
      </c>
      <c r="LR1" t="s">
        <v>5255</v>
      </c>
      <c r="LS1" t="s">
        <v>5256</v>
      </c>
      <c r="LT1" t="s">
        <v>5257</v>
      </c>
      <c r="LU1" t="s">
        <v>5258</v>
      </c>
      <c r="LV1" t="s">
        <v>5259</v>
      </c>
      <c r="LW1" t="s">
        <v>5260</v>
      </c>
      <c r="LX1" t="s">
        <v>5261</v>
      </c>
      <c r="LY1" t="s">
        <v>5262</v>
      </c>
      <c r="LZ1" t="s">
        <v>5263</v>
      </c>
      <c r="MA1" t="s">
        <v>5264</v>
      </c>
      <c r="MB1" t="s">
        <v>5265</v>
      </c>
      <c r="MC1" t="s">
        <v>5266</v>
      </c>
      <c r="MD1" t="s">
        <v>5267</v>
      </c>
      <c r="ME1" t="s">
        <v>5268</v>
      </c>
      <c r="MF1" t="s">
        <v>5269</v>
      </c>
      <c r="MG1" t="s">
        <v>5270</v>
      </c>
      <c r="MH1" t="s">
        <v>5271</v>
      </c>
      <c r="MI1" t="s">
        <v>5272</v>
      </c>
      <c r="MJ1" t="s">
        <v>5273</v>
      </c>
      <c r="MK1" t="s">
        <v>5274</v>
      </c>
      <c r="ML1" t="s">
        <v>5275</v>
      </c>
      <c r="MM1" t="s">
        <v>5276</v>
      </c>
      <c r="MN1" t="s">
        <v>5277</v>
      </c>
      <c r="MO1" t="s">
        <v>5278</v>
      </c>
      <c r="MP1" t="s">
        <v>5279</v>
      </c>
      <c r="MQ1" t="s">
        <v>5280</v>
      </c>
      <c r="MR1" t="s">
        <v>5281</v>
      </c>
      <c r="MS1" t="s">
        <v>5282</v>
      </c>
      <c r="MT1" t="s">
        <v>5283</v>
      </c>
      <c r="MU1" t="s">
        <v>5284</v>
      </c>
      <c r="MV1" t="s">
        <v>5285</v>
      </c>
      <c r="MW1" t="s">
        <v>5286</v>
      </c>
      <c r="MX1" t="s">
        <v>5287</v>
      </c>
      <c r="MY1" t="s">
        <v>5288</v>
      </c>
      <c r="MZ1" t="s">
        <v>5289</v>
      </c>
      <c r="NA1" t="s">
        <v>5290</v>
      </c>
      <c r="NB1" t="s">
        <v>5291</v>
      </c>
      <c r="NC1" t="s">
        <v>5292</v>
      </c>
      <c r="ND1" t="s">
        <v>5293</v>
      </c>
      <c r="NE1" t="s">
        <v>5294</v>
      </c>
      <c r="NF1" t="s">
        <v>5295</v>
      </c>
      <c r="NG1" t="s">
        <v>5296</v>
      </c>
      <c r="NH1" t="s">
        <v>5297</v>
      </c>
      <c r="NI1" t="s">
        <v>5298</v>
      </c>
      <c r="NJ1" t="s">
        <v>5299</v>
      </c>
      <c r="NK1" t="s">
        <v>5300</v>
      </c>
      <c r="NL1" t="s">
        <v>5301</v>
      </c>
      <c r="NM1" t="s">
        <v>5302</v>
      </c>
      <c r="NN1" t="s">
        <v>5303</v>
      </c>
      <c r="NO1" t="s">
        <v>5304</v>
      </c>
      <c r="NP1" t="s">
        <v>5305</v>
      </c>
      <c r="NQ1" t="s">
        <v>5306</v>
      </c>
      <c r="NR1" t="s">
        <v>5307</v>
      </c>
      <c r="NS1" t="s">
        <v>5308</v>
      </c>
      <c r="NT1" t="s">
        <v>5309</v>
      </c>
      <c r="NU1" t="s">
        <v>5310</v>
      </c>
      <c r="NV1" t="s">
        <v>5311</v>
      </c>
      <c r="NW1" t="s">
        <v>5312</v>
      </c>
      <c r="NX1" t="s">
        <v>5313</v>
      </c>
      <c r="NY1" t="s">
        <v>5314</v>
      </c>
      <c r="NZ1" t="s">
        <v>5315</v>
      </c>
      <c r="OA1" t="s">
        <v>5316</v>
      </c>
      <c r="OB1" t="s">
        <v>5317</v>
      </c>
      <c r="OC1" t="s">
        <v>5318</v>
      </c>
      <c r="OD1" t="s">
        <v>5319</v>
      </c>
      <c r="OE1" t="s">
        <v>5320</v>
      </c>
      <c r="OF1" t="s">
        <v>5321</v>
      </c>
      <c r="OG1" t="s">
        <v>5322</v>
      </c>
      <c r="OH1" t="s">
        <v>5323</v>
      </c>
      <c r="OI1" t="s">
        <v>5324</v>
      </c>
      <c r="OJ1" t="s">
        <v>5325</v>
      </c>
      <c r="OK1" t="s">
        <v>5326</v>
      </c>
      <c r="OL1" t="s">
        <v>5327</v>
      </c>
      <c r="OM1" t="s">
        <v>5328</v>
      </c>
      <c r="ON1" t="s">
        <v>5329</v>
      </c>
    </row>
    <row r="2" spans="1:404" ht="13" x14ac:dyDescent="0.25">
      <c r="A2" s="462"/>
      <c r="B2" s="462"/>
      <c r="C2" s="462"/>
      <c r="D2" s="462"/>
      <c r="E2" s="463" t="s">
        <v>5330</v>
      </c>
      <c r="F2" s="462" t="s">
        <v>2490</v>
      </c>
      <c r="G2" s="462" t="s">
        <v>2490</v>
      </c>
      <c r="H2" s="462" t="s">
        <v>2490</v>
      </c>
      <c r="I2" s="462" t="s">
        <v>2490</v>
      </c>
      <c r="J2" s="462" t="s">
        <v>2490</v>
      </c>
      <c r="K2" s="462" t="s">
        <v>2490</v>
      </c>
      <c r="L2" s="462" t="s">
        <v>2490</v>
      </c>
      <c r="M2" s="462" t="s">
        <v>2499</v>
      </c>
      <c r="N2" s="462" t="s">
        <v>2499</v>
      </c>
      <c r="O2" s="462" t="s">
        <v>2499</v>
      </c>
      <c r="P2" s="462" t="s">
        <v>2499</v>
      </c>
      <c r="Q2" s="462" t="s">
        <v>2499</v>
      </c>
      <c r="R2" s="462" t="s">
        <v>2499</v>
      </c>
      <c r="S2" s="462" t="s">
        <v>2499</v>
      </c>
      <c r="T2" s="462" t="s">
        <v>2499</v>
      </c>
      <c r="U2" s="462" t="s">
        <v>2499</v>
      </c>
      <c r="V2" s="462" t="s">
        <v>2499</v>
      </c>
      <c r="W2" s="462" t="s">
        <v>2499</v>
      </c>
      <c r="X2" s="462" t="s">
        <v>2499</v>
      </c>
      <c r="Y2" s="462" t="s">
        <v>2499</v>
      </c>
      <c r="Z2" s="462" t="s">
        <v>2499</v>
      </c>
      <c r="AA2" s="462" t="s">
        <v>2499</v>
      </c>
      <c r="AB2" s="462" t="s">
        <v>2499</v>
      </c>
      <c r="AC2" s="462" t="s">
        <v>2499</v>
      </c>
      <c r="AD2" s="462" t="s">
        <v>2499</v>
      </c>
      <c r="AE2" s="462" t="s">
        <v>2499</v>
      </c>
      <c r="AF2" s="462" t="s">
        <v>2499</v>
      </c>
      <c r="AG2" s="462" t="s">
        <v>2499</v>
      </c>
      <c r="AH2" s="462" t="s">
        <v>2499</v>
      </c>
      <c r="AI2" s="462" t="s">
        <v>2499</v>
      </c>
      <c r="AJ2" s="462" t="s">
        <v>2499</v>
      </c>
      <c r="AK2" s="462" t="s">
        <v>2499</v>
      </c>
      <c r="AL2" s="462" t="s">
        <v>2499</v>
      </c>
      <c r="AM2" s="462" t="s">
        <v>2499</v>
      </c>
      <c r="AN2" s="462" t="s">
        <v>2499</v>
      </c>
      <c r="AO2" s="462" t="s">
        <v>2499</v>
      </c>
      <c r="AP2" s="462" t="s">
        <v>2499</v>
      </c>
      <c r="AQ2" s="462" t="s">
        <v>2499</v>
      </c>
      <c r="AR2" s="462" t="s">
        <v>2499</v>
      </c>
      <c r="AS2" s="462" t="s">
        <v>2499</v>
      </c>
      <c r="AT2" s="462" t="s">
        <v>2499</v>
      </c>
      <c r="AU2" s="462" t="s">
        <v>2499</v>
      </c>
      <c r="AV2" s="462" t="s">
        <v>2536</v>
      </c>
      <c r="AW2" s="462" t="s">
        <v>2536</v>
      </c>
      <c r="AX2" s="462" t="s">
        <v>2536</v>
      </c>
      <c r="AY2" s="462" t="s">
        <v>2536</v>
      </c>
      <c r="AZ2" s="462" t="s">
        <v>2536</v>
      </c>
      <c r="BA2" s="462" t="s">
        <v>2536</v>
      </c>
      <c r="BB2" s="462" t="s">
        <v>2536</v>
      </c>
      <c r="BC2" s="462" t="s">
        <v>2536</v>
      </c>
      <c r="BD2" s="462" t="s">
        <v>2536</v>
      </c>
      <c r="BE2" s="462" t="s">
        <v>2536</v>
      </c>
      <c r="BF2" s="462" t="s">
        <v>2536</v>
      </c>
      <c r="BG2" s="462" t="s">
        <v>2536</v>
      </c>
      <c r="BH2" s="462" t="s">
        <v>2536</v>
      </c>
      <c r="BI2" s="462" t="s">
        <v>2536</v>
      </c>
      <c r="BJ2" s="462" t="s">
        <v>2536</v>
      </c>
      <c r="BK2" s="462" t="s">
        <v>2536</v>
      </c>
      <c r="BL2" s="462" t="s">
        <v>2536</v>
      </c>
      <c r="BM2" s="462" t="s">
        <v>2536</v>
      </c>
      <c r="BN2" s="462" t="s">
        <v>2536</v>
      </c>
      <c r="BO2" s="462" t="s">
        <v>2536</v>
      </c>
      <c r="BP2" s="462" t="s">
        <v>2536</v>
      </c>
      <c r="BQ2" s="462" t="s">
        <v>2536</v>
      </c>
      <c r="BR2" s="462" t="s">
        <v>2536</v>
      </c>
      <c r="BS2" s="462" t="s">
        <v>2536</v>
      </c>
      <c r="BT2" s="462" t="s">
        <v>2536</v>
      </c>
      <c r="BU2" s="462" t="s">
        <v>2536</v>
      </c>
      <c r="BV2" s="462" t="s">
        <v>2536</v>
      </c>
      <c r="BW2" s="462" t="s">
        <v>2536</v>
      </c>
      <c r="BX2" s="462" t="s">
        <v>2536</v>
      </c>
      <c r="BY2" s="462" t="s">
        <v>2536</v>
      </c>
      <c r="BZ2" s="462" t="s">
        <v>2536</v>
      </c>
      <c r="CA2" s="462" t="s">
        <v>2536</v>
      </c>
      <c r="CB2" s="462" t="s">
        <v>2536</v>
      </c>
      <c r="CC2" s="462" t="s">
        <v>2536</v>
      </c>
      <c r="CD2" s="462" t="s">
        <v>2536</v>
      </c>
      <c r="CE2" s="462" t="s">
        <v>2536</v>
      </c>
      <c r="CF2" s="462" t="s">
        <v>2536</v>
      </c>
      <c r="CG2" s="462" t="s">
        <v>2536</v>
      </c>
      <c r="CH2" s="462" t="s">
        <v>2536</v>
      </c>
      <c r="CI2" s="462" t="s">
        <v>2536</v>
      </c>
      <c r="CJ2" s="462" t="s">
        <v>2536</v>
      </c>
      <c r="CK2" s="462" t="s">
        <v>2536</v>
      </c>
      <c r="CL2" s="462" t="s">
        <v>2536</v>
      </c>
      <c r="CM2" s="462" t="s">
        <v>2536</v>
      </c>
      <c r="CN2" s="462" t="s">
        <v>2536</v>
      </c>
      <c r="CO2" s="462" t="s">
        <v>2536</v>
      </c>
      <c r="CP2" s="462" t="s">
        <v>2536</v>
      </c>
      <c r="CQ2" s="462" t="s">
        <v>2536</v>
      </c>
      <c r="CR2" s="462" t="s">
        <v>2536</v>
      </c>
      <c r="CS2" s="462" t="s">
        <v>2536</v>
      </c>
      <c r="CT2" s="462" t="s">
        <v>2536</v>
      </c>
      <c r="CU2" s="462" t="s">
        <v>2536</v>
      </c>
      <c r="CV2" s="462" t="s">
        <v>2536</v>
      </c>
      <c r="CW2" s="462" t="s">
        <v>2536</v>
      </c>
      <c r="CX2" s="462" t="s">
        <v>2536</v>
      </c>
      <c r="CY2" s="462" t="s">
        <v>2536</v>
      </c>
      <c r="CZ2" s="462" t="s">
        <v>2536</v>
      </c>
      <c r="DA2" s="462" t="s">
        <v>2536</v>
      </c>
      <c r="DB2" s="462" t="s">
        <v>2536</v>
      </c>
      <c r="DC2" s="462" t="s">
        <v>2607</v>
      </c>
      <c r="DD2" s="462" t="s">
        <v>2607</v>
      </c>
      <c r="DE2" s="462" t="s">
        <v>2607</v>
      </c>
      <c r="DF2" s="462" t="s">
        <v>2607</v>
      </c>
      <c r="DG2" s="462" t="s">
        <v>2607</v>
      </c>
      <c r="DH2" s="462" t="s">
        <v>2607</v>
      </c>
      <c r="DI2" s="462" t="s">
        <v>2607</v>
      </c>
      <c r="DJ2" s="462" t="s">
        <v>2607</v>
      </c>
      <c r="DK2" s="462" t="s">
        <v>2607</v>
      </c>
      <c r="DL2" s="462" t="s">
        <v>2607</v>
      </c>
      <c r="DM2" s="462" t="s">
        <v>2607</v>
      </c>
      <c r="DN2" s="462" t="s">
        <v>2607</v>
      </c>
      <c r="DO2" s="462" t="s">
        <v>2607</v>
      </c>
      <c r="DP2" s="462" t="s">
        <v>2607</v>
      </c>
      <c r="DQ2" s="462" t="s">
        <v>2607</v>
      </c>
      <c r="DR2" s="462" t="s">
        <v>2607</v>
      </c>
      <c r="DS2" s="462" t="s">
        <v>2607</v>
      </c>
      <c r="DT2" s="462" t="s">
        <v>2607</v>
      </c>
      <c r="DU2" s="462" t="s">
        <v>2607</v>
      </c>
      <c r="DV2" s="462" t="s">
        <v>2607</v>
      </c>
      <c r="DW2" s="462" t="s">
        <v>2607</v>
      </c>
      <c r="DX2" s="462" t="s">
        <v>2607</v>
      </c>
      <c r="DY2" s="462" t="s">
        <v>2607</v>
      </c>
      <c r="DZ2" s="462" t="s">
        <v>2607</v>
      </c>
      <c r="EA2" s="462" t="s">
        <v>2607</v>
      </c>
      <c r="EB2" s="462" t="s">
        <v>2607</v>
      </c>
      <c r="EC2" s="462" t="s">
        <v>2607</v>
      </c>
      <c r="ED2" s="462" t="s">
        <v>2607</v>
      </c>
      <c r="EE2" s="462" t="s">
        <v>2607</v>
      </c>
      <c r="EF2" s="462" t="s">
        <v>2607</v>
      </c>
      <c r="EG2" s="462" t="s">
        <v>2607</v>
      </c>
      <c r="EH2" s="462" t="s">
        <v>2607</v>
      </c>
      <c r="EI2" s="462" t="s">
        <v>2607</v>
      </c>
      <c r="EJ2" s="462" t="s">
        <v>2607</v>
      </c>
      <c r="EK2" s="462" t="s">
        <v>2607</v>
      </c>
      <c r="EL2" s="462" t="s">
        <v>2607</v>
      </c>
      <c r="EM2" s="462" t="s">
        <v>2607</v>
      </c>
      <c r="EN2" s="462" t="s">
        <v>2607</v>
      </c>
      <c r="EO2" s="462" t="s">
        <v>2607</v>
      </c>
      <c r="EP2" s="462" t="s">
        <v>2607</v>
      </c>
      <c r="EQ2" s="462" t="s">
        <v>2607</v>
      </c>
      <c r="ER2" s="462" t="s">
        <v>2607</v>
      </c>
      <c r="ES2" s="462" t="s">
        <v>2607</v>
      </c>
      <c r="ET2" s="462" t="s">
        <v>2607</v>
      </c>
      <c r="EU2" s="462" t="s">
        <v>2655</v>
      </c>
      <c r="EV2" s="462" t="s">
        <v>2655</v>
      </c>
      <c r="EW2" s="462" t="s">
        <v>2655</v>
      </c>
      <c r="EX2" s="462" t="s">
        <v>2655</v>
      </c>
      <c r="EY2" s="462" t="s">
        <v>2655</v>
      </c>
      <c r="EZ2" s="462" t="s">
        <v>2655</v>
      </c>
      <c r="FA2" s="462" t="s">
        <v>2655</v>
      </c>
      <c r="FB2" s="462" t="s">
        <v>2655</v>
      </c>
      <c r="FC2" s="462" t="s">
        <v>2655</v>
      </c>
      <c r="FD2" s="462" t="s">
        <v>2655</v>
      </c>
      <c r="FE2" s="462" t="s">
        <v>2655</v>
      </c>
      <c r="FF2" s="462" t="s">
        <v>2655</v>
      </c>
      <c r="FG2" s="462" t="s">
        <v>2655</v>
      </c>
      <c r="FH2" s="462" t="s">
        <v>2655</v>
      </c>
      <c r="FI2" s="462" t="s">
        <v>2655</v>
      </c>
      <c r="FJ2" s="462" t="s">
        <v>2655</v>
      </c>
      <c r="FK2" s="462" t="s">
        <v>2655</v>
      </c>
      <c r="FL2" s="462" t="s">
        <v>2655</v>
      </c>
      <c r="FM2" s="462" t="s">
        <v>2655</v>
      </c>
      <c r="FN2" s="462" t="s">
        <v>2655</v>
      </c>
      <c r="FO2" s="462" t="s">
        <v>2655</v>
      </c>
      <c r="FP2" s="462" t="s">
        <v>2655</v>
      </c>
      <c r="FQ2" s="462" t="s">
        <v>2655</v>
      </c>
      <c r="FR2" s="462" t="s">
        <v>2655</v>
      </c>
      <c r="FS2" s="462" t="s">
        <v>2655</v>
      </c>
      <c r="FT2" s="462" t="s">
        <v>2655</v>
      </c>
      <c r="FU2" s="462" t="s">
        <v>2655</v>
      </c>
      <c r="FV2" s="462" t="s">
        <v>2655</v>
      </c>
      <c r="FW2" s="462" t="s">
        <v>2655</v>
      </c>
      <c r="FX2" s="462" t="s">
        <v>2655</v>
      </c>
      <c r="FY2" s="462" t="s">
        <v>2655</v>
      </c>
      <c r="FZ2" s="462" t="s">
        <v>2655</v>
      </c>
      <c r="GA2" s="462" t="s">
        <v>2655</v>
      </c>
      <c r="GB2" s="462" t="s">
        <v>2655</v>
      </c>
      <c r="GC2" s="462" t="s">
        <v>2655</v>
      </c>
      <c r="GD2" s="462" t="s">
        <v>2655</v>
      </c>
      <c r="GE2" s="462" t="s">
        <v>2655</v>
      </c>
      <c r="GF2" s="462" t="s">
        <v>2655</v>
      </c>
      <c r="GG2" s="462" t="s">
        <v>2655</v>
      </c>
      <c r="GH2" s="462" t="s">
        <v>2655</v>
      </c>
      <c r="GI2" s="462" t="s">
        <v>2655</v>
      </c>
      <c r="GJ2" s="462" t="s">
        <v>2655</v>
      </c>
      <c r="GK2" s="462" t="s">
        <v>2655</v>
      </c>
      <c r="GL2" s="462" t="s">
        <v>2655</v>
      </c>
      <c r="GM2" s="462" t="s">
        <v>2655</v>
      </c>
      <c r="GN2" s="462" t="s">
        <v>2655</v>
      </c>
      <c r="GO2" s="462" t="s">
        <v>2655</v>
      </c>
      <c r="GP2" s="462" t="s">
        <v>2655</v>
      </c>
      <c r="GQ2" s="462" t="s">
        <v>2655</v>
      </c>
      <c r="GR2" s="462" t="s">
        <v>2655</v>
      </c>
      <c r="GS2" s="462" t="s">
        <v>2655</v>
      </c>
      <c r="GT2" s="462" t="s">
        <v>2655</v>
      </c>
      <c r="GU2" s="462" t="s">
        <v>2655</v>
      </c>
      <c r="GV2" s="462" t="s">
        <v>2655</v>
      </c>
      <c r="GW2" s="462" t="s">
        <v>2714</v>
      </c>
      <c r="GX2" s="462" t="s">
        <v>2714</v>
      </c>
      <c r="GY2" s="462" t="s">
        <v>2714</v>
      </c>
      <c r="GZ2" s="462" t="s">
        <v>2714</v>
      </c>
      <c r="HA2" s="462" t="s">
        <v>2714</v>
      </c>
      <c r="HB2" s="462" t="s">
        <v>2714</v>
      </c>
      <c r="HC2" s="462" t="s">
        <v>2714</v>
      </c>
      <c r="HD2" s="462" t="s">
        <v>2714</v>
      </c>
      <c r="HE2" s="462" t="s">
        <v>2714</v>
      </c>
      <c r="HF2" s="462" t="s">
        <v>2714</v>
      </c>
      <c r="HG2" s="462" t="s">
        <v>2714</v>
      </c>
      <c r="HH2" s="462" t="s">
        <v>2714</v>
      </c>
      <c r="HI2" s="462" t="s">
        <v>2714</v>
      </c>
      <c r="HJ2" s="462" t="s">
        <v>2714</v>
      </c>
      <c r="HK2" s="462" t="s">
        <v>2714</v>
      </c>
      <c r="HL2" s="462" t="s">
        <v>2714</v>
      </c>
      <c r="HM2" s="462" t="s">
        <v>2714</v>
      </c>
      <c r="HN2" s="462" t="s">
        <v>2714</v>
      </c>
      <c r="HO2" s="462" t="s">
        <v>2714</v>
      </c>
      <c r="HP2" s="462" t="s">
        <v>2714</v>
      </c>
      <c r="HQ2" s="462" t="s">
        <v>2714</v>
      </c>
      <c r="HR2" s="462" t="s">
        <v>2714</v>
      </c>
      <c r="HS2" s="462" t="s">
        <v>2714</v>
      </c>
      <c r="HT2" s="462" t="s">
        <v>2714</v>
      </c>
      <c r="HU2" s="462" t="s">
        <v>2714</v>
      </c>
      <c r="HV2" s="462" t="s">
        <v>2714</v>
      </c>
      <c r="HW2" s="462" t="s">
        <v>2714</v>
      </c>
      <c r="HX2" s="462" t="s">
        <v>2714</v>
      </c>
      <c r="HY2" s="462" t="s">
        <v>2714</v>
      </c>
      <c r="HZ2" s="462" t="s">
        <v>2714</v>
      </c>
      <c r="IA2" s="462" t="s">
        <v>2714</v>
      </c>
      <c r="IB2" s="430" t="s">
        <v>2714</v>
      </c>
      <c r="IC2" s="430" t="s">
        <v>2232</v>
      </c>
      <c r="ID2" s="430" t="s">
        <v>2232</v>
      </c>
      <c r="IE2" s="430" t="s">
        <v>2232</v>
      </c>
      <c r="IF2" s="430" t="s">
        <v>2232</v>
      </c>
      <c r="IG2" s="430" t="s">
        <v>2232</v>
      </c>
      <c r="IH2" s="430" t="s">
        <v>2232</v>
      </c>
      <c r="II2" s="430" t="s">
        <v>2232</v>
      </c>
      <c r="IJ2" s="430" t="s">
        <v>2232</v>
      </c>
      <c r="IK2" s="430" t="s">
        <v>2232</v>
      </c>
      <c r="IL2" s="430" t="s">
        <v>2232</v>
      </c>
      <c r="IM2" s="430" t="s">
        <v>2232</v>
      </c>
      <c r="IN2" s="430" t="s">
        <v>2232</v>
      </c>
      <c r="IO2" s="430" t="s">
        <v>2232</v>
      </c>
      <c r="IP2" s="430" t="s">
        <v>2232</v>
      </c>
      <c r="IQ2" s="430" t="s">
        <v>2232</v>
      </c>
      <c r="IR2" s="430" t="s">
        <v>2232</v>
      </c>
      <c r="IS2" s="430" t="s">
        <v>2232</v>
      </c>
      <c r="IT2" s="430" t="s">
        <v>2232</v>
      </c>
      <c r="IU2" s="430" t="s">
        <v>2232</v>
      </c>
      <c r="IV2" s="430" t="s">
        <v>2232</v>
      </c>
      <c r="IW2" s="430" t="s">
        <v>2232</v>
      </c>
      <c r="IX2" s="430" t="s">
        <v>2232</v>
      </c>
      <c r="IY2" s="430" t="s">
        <v>2232</v>
      </c>
      <c r="IZ2" s="430" t="s">
        <v>2232</v>
      </c>
      <c r="JA2" s="430" t="s">
        <v>2232</v>
      </c>
      <c r="JB2" s="430" t="s">
        <v>2232</v>
      </c>
      <c r="JC2" s="430" t="s">
        <v>2232</v>
      </c>
      <c r="JD2" s="430" t="s">
        <v>2232</v>
      </c>
      <c r="JE2" s="430" t="s">
        <v>2232</v>
      </c>
      <c r="JF2" s="430" t="s">
        <v>2232</v>
      </c>
      <c r="JG2" s="430" t="s">
        <v>2232</v>
      </c>
      <c r="JH2" s="430" t="s">
        <v>2232</v>
      </c>
      <c r="JI2" s="430" t="s">
        <v>2232</v>
      </c>
      <c r="JJ2" s="430" t="s">
        <v>2232</v>
      </c>
      <c r="JK2" s="430" t="s">
        <v>2232</v>
      </c>
      <c r="JL2" s="430" t="s">
        <v>2232</v>
      </c>
      <c r="JM2" s="430" t="s">
        <v>2232</v>
      </c>
      <c r="JN2" s="430" t="s">
        <v>2232</v>
      </c>
      <c r="JO2" s="430" t="s">
        <v>2232</v>
      </c>
      <c r="JP2" s="430" t="s">
        <v>2232</v>
      </c>
      <c r="JQ2" s="430" t="s">
        <v>2232</v>
      </c>
      <c r="JR2" s="430" t="s">
        <v>2232</v>
      </c>
      <c r="JS2" s="430" t="s">
        <v>2232</v>
      </c>
      <c r="JT2" s="430" t="s">
        <v>2232</v>
      </c>
      <c r="JU2" s="430" t="s">
        <v>2232</v>
      </c>
      <c r="JV2" s="430" t="s">
        <v>2232</v>
      </c>
      <c r="JW2" s="430" t="s">
        <v>2232</v>
      </c>
      <c r="JX2" s="430" t="s">
        <v>2232</v>
      </c>
      <c r="JY2" s="430" t="s">
        <v>2232</v>
      </c>
      <c r="JZ2" s="430" t="s">
        <v>2232</v>
      </c>
      <c r="KA2" s="430" t="s">
        <v>2232</v>
      </c>
      <c r="KB2" s="430" t="s">
        <v>2232</v>
      </c>
      <c r="KC2" s="430" t="s">
        <v>2232</v>
      </c>
      <c r="KD2" s="430" t="s">
        <v>2232</v>
      </c>
      <c r="KE2" s="430" t="s">
        <v>2232</v>
      </c>
      <c r="KF2" s="430" t="s">
        <v>2232</v>
      </c>
      <c r="KG2" s="430" t="s">
        <v>2232</v>
      </c>
      <c r="KH2" s="430" t="s">
        <v>2232</v>
      </c>
      <c r="KI2" s="430" t="s">
        <v>2232</v>
      </c>
      <c r="KJ2" s="430" t="s">
        <v>2232</v>
      </c>
      <c r="KK2" s="430" t="s">
        <v>2232</v>
      </c>
      <c r="KL2" s="430" t="s">
        <v>2232</v>
      </c>
      <c r="KM2" s="430" t="s">
        <v>2232</v>
      </c>
      <c r="KN2" s="430" t="s">
        <v>2232</v>
      </c>
      <c r="KO2" s="430" t="s">
        <v>2232</v>
      </c>
      <c r="KP2" s="430" t="s">
        <v>2232</v>
      </c>
      <c r="KQ2" s="430" t="s">
        <v>2232</v>
      </c>
      <c r="KR2" s="430" t="s">
        <v>2232</v>
      </c>
      <c r="KS2" s="430" t="s">
        <v>2232</v>
      </c>
      <c r="KT2" s="430" t="s">
        <v>2232</v>
      </c>
      <c r="KU2" s="430" t="s">
        <v>2232</v>
      </c>
      <c r="KV2" s="430" t="s">
        <v>2232</v>
      </c>
      <c r="KW2" s="430" t="s">
        <v>2232</v>
      </c>
      <c r="KX2" s="430" t="s">
        <v>2232</v>
      </c>
      <c r="KY2" s="430" t="s">
        <v>2232</v>
      </c>
      <c r="KZ2" s="430" t="s">
        <v>2232</v>
      </c>
      <c r="LA2" s="430" t="s">
        <v>2232</v>
      </c>
      <c r="LB2" s="430" t="s">
        <v>2232</v>
      </c>
      <c r="LC2" s="430" t="s">
        <v>2232</v>
      </c>
      <c r="LD2" s="430" t="s">
        <v>2232</v>
      </c>
      <c r="LE2" s="430" t="s">
        <v>2232</v>
      </c>
      <c r="LF2" s="430" t="s">
        <v>2232</v>
      </c>
      <c r="LG2" s="430" t="s">
        <v>2232</v>
      </c>
      <c r="LH2" s="430" t="s">
        <v>2232</v>
      </c>
      <c r="LI2" s="430" t="s">
        <v>2232</v>
      </c>
      <c r="LJ2" s="430" t="s">
        <v>2232</v>
      </c>
      <c r="LK2" s="430" t="s">
        <v>2232</v>
      </c>
      <c r="LL2" s="430" t="s">
        <v>2232</v>
      </c>
      <c r="LM2" s="430" t="s">
        <v>2232</v>
      </c>
      <c r="LN2" s="430" t="s">
        <v>2232</v>
      </c>
      <c r="LO2" s="430" t="s">
        <v>2232</v>
      </c>
      <c r="LP2" s="430" t="s">
        <v>2232</v>
      </c>
      <c r="LQ2" s="430" t="s">
        <v>2232</v>
      </c>
      <c r="LR2" s="430" t="s">
        <v>2232</v>
      </c>
      <c r="LS2" s="430" t="s">
        <v>2232</v>
      </c>
      <c r="LT2" s="430" t="s">
        <v>2232</v>
      </c>
      <c r="LU2" s="430" t="s">
        <v>2352</v>
      </c>
      <c r="LV2" s="430" t="s">
        <v>2352</v>
      </c>
      <c r="LW2" s="430" t="s">
        <v>2352</v>
      </c>
      <c r="LX2" s="430" t="s">
        <v>2352</v>
      </c>
      <c r="LY2" s="430" t="s">
        <v>2352</v>
      </c>
      <c r="LZ2" s="430" t="s">
        <v>2352</v>
      </c>
      <c r="MA2" s="430" t="s">
        <v>2352</v>
      </c>
      <c r="MB2" s="430" t="s">
        <v>2352</v>
      </c>
      <c r="MC2" s="430" t="s">
        <v>2352</v>
      </c>
      <c r="MD2" s="430" t="s">
        <v>2352</v>
      </c>
      <c r="ME2" s="430" t="s">
        <v>2352</v>
      </c>
      <c r="MF2" s="430" t="s">
        <v>2352</v>
      </c>
      <c r="MG2" s="430" t="s">
        <v>2352</v>
      </c>
      <c r="MH2" s="430" t="s">
        <v>2352</v>
      </c>
      <c r="MI2" t="s">
        <v>2772</v>
      </c>
      <c r="MJ2" t="s">
        <v>2772</v>
      </c>
      <c r="MK2" t="s">
        <v>2772</v>
      </c>
      <c r="ML2" t="s">
        <v>2772</v>
      </c>
      <c r="MM2" t="s">
        <v>2772</v>
      </c>
      <c r="MN2" t="s">
        <v>2772</v>
      </c>
      <c r="MO2" t="s">
        <v>2772</v>
      </c>
      <c r="MP2" t="s">
        <v>2772</v>
      </c>
      <c r="MQ2" t="s">
        <v>2772</v>
      </c>
      <c r="MR2" t="s">
        <v>2772</v>
      </c>
      <c r="MS2" t="s">
        <v>2772</v>
      </c>
      <c r="MT2" t="s">
        <v>2772</v>
      </c>
      <c r="MU2" t="s">
        <v>2772</v>
      </c>
      <c r="MV2" t="s">
        <v>2772</v>
      </c>
      <c r="MW2" t="s">
        <v>2772</v>
      </c>
      <c r="MX2" t="s">
        <v>2772</v>
      </c>
      <c r="MY2" t="s">
        <v>2772</v>
      </c>
      <c r="MZ2" t="s">
        <v>2772</v>
      </c>
      <c r="NA2" t="s">
        <v>2772</v>
      </c>
      <c r="NB2" t="s">
        <v>2772</v>
      </c>
      <c r="NC2" t="s">
        <v>2772</v>
      </c>
      <c r="ND2" t="s">
        <v>2772</v>
      </c>
      <c r="NE2" t="s">
        <v>2772</v>
      </c>
      <c r="NF2" t="s">
        <v>2772</v>
      </c>
      <c r="NG2" t="s">
        <v>2772</v>
      </c>
      <c r="NH2" t="s">
        <v>2772</v>
      </c>
      <c r="NI2" t="s">
        <v>2772</v>
      </c>
      <c r="NJ2" t="s">
        <v>2772</v>
      </c>
      <c r="NK2" t="s">
        <v>2772</v>
      </c>
      <c r="NL2" t="s">
        <v>2772</v>
      </c>
      <c r="NM2" t="s">
        <v>2772</v>
      </c>
      <c r="NN2" t="s">
        <v>2772</v>
      </c>
      <c r="NO2" t="s">
        <v>2772</v>
      </c>
      <c r="NP2" t="s">
        <v>2772</v>
      </c>
      <c r="NQ2" t="s">
        <v>2772</v>
      </c>
      <c r="NR2" t="s">
        <v>2772</v>
      </c>
      <c r="NS2" t="s">
        <v>2772</v>
      </c>
      <c r="NT2" t="s">
        <v>2772</v>
      </c>
      <c r="NU2" t="s">
        <v>2772</v>
      </c>
      <c r="NV2" t="s">
        <v>2772</v>
      </c>
      <c r="NW2" t="s">
        <v>2772</v>
      </c>
      <c r="NX2" t="s">
        <v>2772</v>
      </c>
      <c r="NY2" t="s">
        <v>2772</v>
      </c>
      <c r="NZ2" t="s">
        <v>2772</v>
      </c>
      <c r="OA2" t="s">
        <v>2772</v>
      </c>
      <c r="OB2" t="s">
        <v>2772</v>
      </c>
      <c r="OC2" t="s">
        <v>2772</v>
      </c>
      <c r="OD2" t="s">
        <v>2772</v>
      </c>
      <c r="OE2" t="s">
        <v>2772</v>
      </c>
      <c r="OF2" t="s">
        <v>2772</v>
      </c>
      <c r="OG2" t="s">
        <v>2772</v>
      </c>
      <c r="OH2" t="s">
        <v>2772</v>
      </c>
      <c r="OI2" t="s">
        <v>2772</v>
      </c>
      <c r="OJ2" t="s">
        <v>2772</v>
      </c>
      <c r="OK2" t="s">
        <v>2772</v>
      </c>
      <c r="OL2" t="s">
        <v>2772</v>
      </c>
      <c r="OM2" t="s">
        <v>2772</v>
      </c>
      <c r="ON2" t="s">
        <v>2772</v>
      </c>
    </row>
    <row r="3" spans="1:404" ht="13" x14ac:dyDescent="0.25">
      <c r="A3" s="462"/>
      <c r="B3" s="462"/>
      <c r="C3" s="462"/>
      <c r="D3" s="462"/>
      <c r="E3" s="463" t="s">
        <v>5331</v>
      </c>
      <c r="F3" s="462">
        <v>10</v>
      </c>
      <c r="G3" s="462">
        <v>20</v>
      </c>
      <c r="H3" s="462">
        <v>30</v>
      </c>
      <c r="I3" s="462">
        <v>40</v>
      </c>
      <c r="J3" s="462">
        <v>45</v>
      </c>
      <c r="K3" s="462">
        <v>65</v>
      </c>
      <c r="L3" s="462">
        <v>90</v>
      </c>
      <c r="M3" s="462">
        <v>11</v>
      </c>
      <c r="N3" s="462">
        <v>12</v>
      </c>
      <c r="O3" s="462">
        <v>31</v>
      </c>
      <c r="P3" s="462">
        <v>32</v>
      </c>
      <c r="Q3" s="462">
        <v>33</v>
      </c>
      <c r="R3" s="462">
        <v>41</v>
      </c>
      <c r="S3" s="462">
        <v>44</v>
      </c>
      <c r="T3" s="462">
        <v>48</v>
      </c>
      <c r="U3" s="462">
        <v>49</v>
      </c>
      <c r="V3" s="462">
        <v>51</v>
      </c>
      <c r="W3" s="462">
        <v>52</v>
      </c>
      <c r="X3" s="462">
        <v>54</v>
      </c>
      <c r="Y3" s="462">
        <v>58</v>
      </c>
      <c r="Z3" s="462">
        <v>61</v>
      </c>
      <c r="AA3" s="462">
        <v>62</v>
      </c>
      <c r="AB3" s="462">
        <v>71</v>
      </c>
      <c r="AC3" s="462">
        <v>72</v>
      </c>
      <c r="AD3" s="462">
        <v>73</v>
      </c>
      <c r="AE3" s="462">
        <v>74</v>
      </c>
      <c r="AF3" s="462">
        <v>75</v>
      </c>
      <c r="AG3" s="462">
        <v>76</v>
      </c>
      <c r="AH3" s="462">
        <v>80</v>
      </c>
      <c r="AI3" s="462">
        <v>90</v>
      </c>
      <c r="AJ3" s="462">
        <v>101</v>
      </c>
      <c r="AK3" s="462">
        <v>102</v>
      </c>
      <c r="AL3" s="462">
        <v>103</v>
      </c>
      <c r="AM3" s="462">
        <v>104</v>
      </c>
      <c r="AN3" s="462">
        <v>130</v>
      </c>
      <c r="AO3" s="462">
        <v>141</v>
      </c>
      <c r="AP3" s="462">
        <v>144</v>
      </c>
      <c r="AQ3" s="462">
        <v>161</v>
      </c>
      <c r="AR3" s="462">
        <v>162</v>
      </c>
      <c r="AS3" s="462">
        <v>172</v>
      </c>
      <c r="AT3" s="462">
        <v>173</v>
      </c>
      <c r="AU3" s="462">
        <v>174</v>
      </c>
      <c r="AV3" s="462">
        <v>10</v>
      </c>
      <c r="AW3" s="462">
        <v>13</v>
      </c>
      <c r="AX3" s="462">
        <v>15</v>
      </c>
      <c r="AY3" s="462">
        <v>22</v>
      </c>
      <c r="AZ3" s="462">
        <v>23</v>
      </c>
      <c r="BA3" s="462">
        <v>25</v>
      </c>
      <c r="BB3" s="462">
        <v>26</v>
      </c>
      <c r="BC3" s="462">
        <v>27</v>
      </c>
      <c r="BD3" s="462">
        <v>30</v>
      </c>
      <c r="BE3" s="462">
        <v>32</v>
      </c>
      <c r="BF3" s="462">
        <v>33</v>
      </c>
      <c r="BG3" s="462">
        <v>34</v>
      </c>
      <c r="BH3" s="462">
        <v>35</v>
      </c>
      <c r="BI3" s="462">
        <v>36</v>
      </c>
      <c r="BJ3" s="462">
        <v>37</v>
      </c>
      <c r="BK3" s="462">
        <v>40</v>
      </c>
      <c r="BL3" s="462">
        <v>41</v>
      </c>
      <c r="BM3" s="462">
        <v>44</v>
      </c>
      <c r="BN3" s="462">
        <v>45</v>
      </c>
      <c r="BO3" s="462">
        <v>48</v>
      </c>
      <c r="BP3" s="462">
        <v>49</v>
      </c>
      <c r="BQ3" s="462">
        <v>50</v>
      </c>
      <c r="BR3" s="462">
        <v>51</v>
      </c>
      <c r="BS3" s="462">
        <v>53</v>
      </c>
      <c r="BT3" s="462">
        <v>54</v>
      </c>
      <c r="BU3" s="462">
        <v>55</v>
      </c>
      <c r="BV3" s="462">
        <v>56</v>
      </c>
      <c r="BW3" s="462">
        <v>60</v>
      </c>
      <c r="BX3" s="462">
        <v>61</v>
      </c>
      <c r="BY3" s="462">
        <v>62</v>
      </c>
      <c r="BZ3" s="462">
        <v>63</v>
      </c>
      <c r="CA3" s="462">
        <v>65</v>
      </c>
      <c r="CB3" s="462">
        <v>66</v>
      </c>
      <c r="CC3" s="462">
        <v>68</v>
      </c>
      <c r="CD3" s="462">
        <v>70</v>
      </c>
      <c r="CE3" s="462">
        <v>71</v>
      </c>
      <c r="CF3" s="462">
        <v>72</v>
      </c>
      <c r="CG3" s="462">
        <v>73</v>
      </c>
      <c r="CH3" s="462">
        <v>74</v>
      </c>
      <c r="CI3" s="462">
        <v>76</v>
      </c>
      <c r="CJ3" s="462">
        <v>77</v>
      </c>
      <c r="CK3" s="462">
        <v>78</v>
      </c>
      <c r="CL3" s="462">
        <v>79</v>
      </c>
      <c r="CM3" s="462">
        <v>80</v>
      </c>
      <c r="CN3" s="462">
        <v>81</v>
      </c>
      <c r="CO3" s="462">
        <v>82</v>
      </c>
      <c r="CP3" s="462">
        <v>83</v>
      </c>
      <c r="CQ3" s="462">
        <v>84</v>
      </c>
      <c r="CR3" s="462">
        <v>85</v>
      </c>
      <c r="CS3" s="462">
        <v>86</v>
      </c>
      <c r="CT3" s="462">
        <v>87</v>
      </c>
      <c r="CU3" s="462">
        <v>89</v>
      </c>
      <c r="CV3" s="462">
        <v>90</v>
      </c>
      <c r="CW3" s="462">
        <v>93</v>
      </c>
      <c r="CX3" s="462">
        <v>94</v>
      </c>
      <c r="CY3" s="462">
        <v>95</v>
      </c>
      <c r="CZ3" s="462">
        <v>96</v>
      </c>
      <c r="DA3" s="462">
        <v>98</v>
      </c>
      <c r="DB3" s="462">
        <v>99</v>
      </c>
      <c r="DC3">
        <v>10</v>
      </c>
      <c r="DD3">
        <v>20</v>
      </c>
      <c r="DE3">
        <v>31</v>
      </c>
      <c r="DF3">
        <v>38</v>
      </c>
      <c r="DG3">
        <v>80</v>
      </c>
      <c r="DH3">
        <v>81</v>
      </c>
      <c r="DI3">
        <v>82</v>
      </c>
      <c r="DJ3">
        <v>83</v>
      </c>
      <c r="DK3">
        <v>84</v>
      </c>
      <c r="DL3">
        <v>85</v>
      </c>
      <c r="DM3">
        <v>86</v>
      </c>
      <c r="DN3">
        <v>87</v>
      </c>
      <c r="DO3">
        <v>88</v>
      </c>
      <c r="DP3">
        <v>89</v>
      </c>
      <c r="DQ3">
        <v>51</v>
      </c>
      <c r="DR3">
        <v>52</v>
      </c>
      <c r="DS3">
        <v>53</v>
      </c>
      <c r="DT3">
        <v>57</v>
      </c>
      <c r="DU3">
        <v>60</v>
      </c>
      <c r="DV3">
        <v>75</v>
      </c>
      <c r="DW3">
        <v>78</v>
      </c>
      <c r="DX3">
        <v>90</v>
      </c>
      <c r="DY3">
        <v>101</v>
      </c>
      <c r="DZ3">
        <v>102</v>
      </c>
      <c r="EA3">
        <v>103</v>
      </c>
      <c r="EB3">
        <v>104</v>
      </c>
      <c r="EC3">
        <v>105</v>
      </c>
      <c r="ED3">
        <v>106</v>
      </c>
      <c r="EE3">
        <v>107</v>
      </c>
      <c r="EF3">
        <v>108</v>
      </c>
      <c r="EG3">
        <v>111</v>
      </c>
      <c r="EH3">
        <v>121</v>
      </c>
      <c r="EI3">
        <v>122</v>
      </c>
      <c r="EJ3">
        <v>123</v>
      </c>
      <c r="EK3">
        <v>124</v>
      </c>
      <c r="EL3">
        <v>125</v>
      </c>
      <c r="EM3">
        <v>126</v>
      </c>
      <c r="EN3">
        <v>127</v>
      </c>
      <c r="EO3">
        <v>128</v>
      </c>
      <c r="EP3">
        <v>129</v>
      </c>
      <c r="EQ3">
        <v>130</v>
      </c>
      <c r="ER3">
        <v>133</v>
      </c>
      <c r="ES3">
        <v>146</v>
      </c>
      <c r="ET3">
        <v>146</v>
      </c>
      <c r="EU3">
        <v>111</v>
      </c>
      <c r="EV3">
        <v>112</v>
      </c>
      <c r="EW3">
        <v>113</v>
      </c>
      <c r="EX3">
        <v>114</v>
      </c>
      <c r="EY3">
        <v>115</v>
      </c>
      <c r="EZ3">
        <v>121</v>
      </c>
      <c r="FA3">
        <v>122</v>
      </c>
      <c r="FB3">
        <v>123</v>
      </c>
      <c r="FC3">
        <v>129</v>
      </c>
      <c r="FD3">
        <v>131</v>
      </c>
      <c r="FE3">
        <v>137</v>
      </c>
      <c r="FF3">
        <v>140</v>
      </c>
      <c r="FG3">
        <v>150</v>
      </c>
      <c r="FH3">
        <v>190</v>
      </c>
      <c r="FI3">
        <v>210</v>
      </c>
      <c r="FJ3">
        <v>219</v>
      </c>
      <c r="FK3">
        <v>220</v>
      </c>
      <c r="FL3">
        <v>221</v>
      </c>
      <c r="FM3">
        <v>222</v>
      </c>
      <c r="FN3">
        <v>223</v>
      </c>
      <c r="FO3">
        <v>224</v>
      </c>
      <c r="FP3">
        <v>225</v>
      </c>
      <c r="FQ3">
        <v>226</v>
      </c>
      <c r="FR3">
        <v>227</v>
      </c>
      <c r="FS3">
        <v>228</v>
      </c>
      <c r="FT3">
        <v>229</v>
      </c>
      <c r="FU3">
        <v>230</v>
      </c>
      <c r="FV3">
        <v>231</v>
      </c>
      <c r="FW3">
        <v>232</v>
      </c>
      <c r="FX3">
        <v>233</v>
      </c>
      <c r="FY3">
        <v>241</v>
      </c>
      <c r="FZ3">
        <v>243</v>
      </c>
      <c r="GA3">
        <v>244</v>
      </c>
      <c r="GB3">
        <v>247</v>
      </c>
      <c r="GC3">
        <v>250</v>
      </c>
      <c r="GD3">
        <v>270</v>
      </c>
      <c r="GE3">
        <v>281</v>
      </c>
      <c r="GF3">
        <v>282</v>
      </c>
      <c r="GG3">
        <v>283</v>
      </c>
      <c r="GH3">
        <v>284</v>
      </c>
      <c r="GI3">
        <v>285</v>
      </c>
      <c r="GJ3">
        <v>286</v>
      </c>
      <c r="GK3">
        <v>290</v>
      </c>
      <c r="GL3">
        <v>310</v>
      </c>
      <c r="GM3">
        <v>320</v>
      </c>
      <c r="GN3">
        <v>335</v>
      </c>
      <c r="GO3">
        <v>338</v>
      </c>
      <c r="GP3">
        <v>340</v>
      </c>
      <c r="GQ3">
        <v>350</v>
      </c>
      <c r="GR3">
        <v>351</v>
      </c>
      <c r="GS3">
        <v>352</v>
      </c>
      <c r="GT3">
        <v>360</v>
      </c>
      <c r="GU3">
        <v>390</v>
      </c>
      <c r="GV3">
        <v>400</v>
      </c>
      <c r="GW3">
        <v>100</v>
      </c>
      <c r="GX3">
        <v>210</v>
      </c>
      <c r="GY3">
        <v>220</v>
      </c>
      <c r="GZ3">
        <v>230</v>
      </c>
      <c r="HA3">
        <v>290</v>
      </c>
      <c r="HB3">
        <v>410</v>
      </c>
      <c r="HC3">
        <v>421</v>
      </c>
      <c r="HD3">
        <v>422</v>
      </c>
      <c r="HE3">
        <v>423</v>
      </c>
      <c r="HF3">
        <v>425</v>
      </c>
      <c r="HG3">
        <v>426</v>
      </c>
      <c r="HH3">
        <v>428</v>
      </c>
      <c r="HI3">
        <v>430</v>
      </c>
      <c r="HJ3">
        <v>441</v>
      </c>
      <c r="HK3">
        <v>442</v>
      </c>
      <c r="HL3">
        <v>450</v>
      </c>
      <c r="HM3">
        <v>460</v>
      </c>
      <c r="HN3">
        <v>465</v>
      </c>
      <c r="HO3">
        <v>470</v>
      </c>
      <c r="HP3">
        <v>475</v>
      </c>
      <c r="HQ3">
        <v>476</v>
      </c>
      <c r="HR3">
        <v>481</v>
      </c>
      <c r="HS3">
        <v>482</v>
      </c>
      <c r="HT3">
        <v>484</v>
      </c>
      <c r="HU3">
        <v>489</v>
      </c>
      <c r="HV3">
        <v>490</v>
      </c>
      <c r="HW3">
        <v>491</v>
      </c>
      <c r="HX3">
        <v>492</v>
      </c>
      <c r="HY3">
        <v>493</v>
      </c>
      <c r="HZ3">
        <v>494</v>
      </c>
      <c r="IA3">
        <v>495</v>
      </c>
      <c r="IB3">
        <v>500</v>
      </c>
      <c r="IC3">
        <v>190</v>
      </c>
      <c r="ID3">
        <v>290</v>
      </c>
      <c r="IE3">
        <v>330</v>
      </c>
      <c r="IF3">
        <v>360</v>
      </c>
      <c r="IG3">
        <v>390</v>
      </c>
      <c r="IH3">
        <v>490</v>
      </c>
      <c r="II3">
        <v>509</v>
      </c>
      <c r="IJ3">
        <v>590</v>
      </c>
      <c r="IK3">
        <v>599</v>
      </c>
      <c r="IL3">
        <v>601</v>
      </c>
      <c r="IM3">
        <v>602</v>
      </c>
      <c r="IN3">
        <v>690</v>
      </c>
      <c r="IO3">
        <v>698</v>
      </c>
      <c r="IP3">
        <v>699</v>
      </c>
      <c r="IQ3">
        <v>711</v>
      </c>
      <c r="IR3">
        <v>712</v>
      </c>
      <c r="IS3">
        <v>713</v>
      </c>
      <c r="IT3">
        <v>714</v>
      </c>
      <c r="IU3">
        <v>718</v>
      </c>
      <c r="IV3">
        <v>721</v>
      </c>
      <c r="IW3">
        <v>722</v>
      </c>
      <c r="IX3">
        <v>724</v>
      </c>
      <c r="IY3">
        <v>727</v>
      </c>
      <c r="IZ3">
        <v>728</v>
      </c>
      <c r="JA3">
        <v>731</v>
      </c>
      <c r="JB3">
        <v>732</v>
      </c>
      <c r="JC3">
        <v>741</v>
      </c>
      <c r="JD3">
        <v>742</v>
      </c>
      <c r="JE3">
        <v>747</v>
      </c>
      <c r="JF3">
        <v>748</v>
      </c>
      <c r="JG3">
        <v>749</v>
      </c>
      <c r="JH3">
        <v>759</v>
      </c>
      <c r="JI3">
        <v>765</v>
      </c>
      <c r="JJ3">
        <v>766</v>
      </c>
      <c r="JK3">
        <v>767</v>
      </c>
      <c r="JL3">
        <v>768</v>
      </c>
      <c r="JM3">
        <v>771</v>
      </c>
      <c r="JN3">
        <v>773</v>
      </c>
      <c r="JO3">
        <v>776</v>
      </c>
      <c r="JP3">
        <v>781</v>
      </c>
      <c r="JQ3">
        <v>783</v>
      </c>
      <c r="JR3">
        <v>785</v>
      </c>
      <c r="JS3">
        <v>786</v>
      </c>
      <c r="JT3">
        <v>788</v>
      </c>
      <c r="JU3">
        <v>789</v>
      </c>
      <c r="JV3">
        <v>790</v>
      </c>
      <c r="JW3">
        <v>791</v>
      </c>
      <c r="JX3">
        <v>793</v>
      </c>
      <c r="JY3">
        <v>794</v>
      </c>
      <c r="JZ3">
        <v>795</v>
      </c>
      <c r="KA3">
        <v>796</v>
      </c>
      <c r="KB3">
        <v>797</v>
      </c>
      <c r="KC3">
        <v>800</v>
      </c>
      <c r="KD3">
        <v>803</v>
      </c>
      <c r="KE3">
        <v>804</v>
      </c>
      <c r="KF3">
        <v>805</v>
      </c>
      <c r="KG3">
        <v>806</v>
      </c>
      <c r="KH3">
        <v>811</v>
      </c>
      <c r="KI3">
        <v>813</v>
      </c>
      <c r="KJ3">
        <v>814</v>
      </c>
      <c r="KK3">
        <v>815</v>
      </c>
      <c r="KL3">
        <v>816</v>
      </c>
      <c r="KM3">
        <v>851</v>
      </c>
      <c r="KN3">
        <v>856</v>
      </c>
      <c r="KO3">
        <v>870</v>
      </c>
      <c r="KP3">
        <v>880</v>
      </c>
      <c r="KQ3">
        <v>885</v>
      </c>
      <c r="KR3">
        <v>890</v>
      </c>
      <c r="KS3">
        <v>911</v>
      </c>
      <c r="KT3">
        <v>913</v>
      </c>
      <c r="KU3">
        <v>914</v>
      </c>
      <c r="KV3">
        <v>915</v>
      </c>
      <c r="KW3">
        <v>916</v>
      </c>
      <c r="KX3">
        <v>911</v>
      </c>
      <c r="KY3">
        <v>913</v>
      </c>
      <c r="KZ3">
        <v>914</v>
      </c>
      <c r="LA3">
        <v>915</v>
      </c>
      <c r="LB3">
        <v>916</v>
      </c>
      <c r="LC3">
        <v>920</v>
      </c>
      <c r="LD3">
        <v>931</v>
      </c>
      <c r="LE3">
        <v>933</v>
      </c>
      <c r="LF3">
        <v>934</v>
      </c>
      <c r="LG3">
        <v>935</v>
      </c>
      <c r="LH3">
        <v>936</v>
      </c>
      <c r="LI3">
        <v>939</v>
      </c>
      <c r="LJ3">
        <v>994</v>
      </c>
      <c r="LK3">
        <v>995</v>
      </c>
      <c r="LL3">
        <v>996</v>
      </c>
      <c r="LM3">
        <v>997</v>
      </c>
      <c r="LN3">
        <v>941</v>
      </c>
      <c r="LO3">
        <v>942</v>
      </c>
      <c r="LP3">
        <v>980</v>
      </c>
      <c r="LQ3">
        <v>981</v>
      </c>
      <c r="LR3">
        <v>982</v>
      </c>
      <c r="LS3">
        <v>983</v>
      </c>
      <c r="LT3">
        <v>983</v>
      </c>
      <c r="LU3">
        <v>190</v>
      </c>
      <c r="LV3">
        <v>290</v>
      </c>
      <c r="LW3">
        <v>330</v>
      </c>
      <c r="LX3">
        <v>360</v>
      </c>
      <c r="LY3">
        <v>390</v>
      </c>
      <c r="LZ3">
        <v>490</v>
      </c>
      <c r="MA3">
        <v>509</v>
      </c>
      <c r="MB3">
        <v>590</v>
      </c>
      <c r="MC3">
        <v>599</v>
      </c>
      <c r="MD3">
        <v>601</v>
      </c>
      <c r="ME3">
        <v>602</v>
      </c>
      <c r="MF3">
        <v>690</v>
      </c>
      <c r="MG3">
        <v>698</v>
      </c>
      <c r="MH3">
        <v>699</v>
      </c>
      <c r="MI3">
        <v>260</v>
      </c>
      <c r="MJ3">
        <v>281</v>
      </c>
      <c r="MK3">
        <v>282</v>
      </c>
      <c r="ML3">
        <v>283</v>
      </c>
      <c r="MM3">
        <v>284</v>
      </c>
      <c r="MN3">
        <v>514</v>
      </c>
      <c r="MO3">
        <v>515</v>
      </c>
      <c r="MP3">
        <v>521</v>
      </c>
      <c r="MQ3">
        <v>525</v>
      </c>
      <c r="MR3">
        <v>528</v>
      </c>
      <c r="MS3">
        <v>535</v>
      </c>
      <c r="MT3">
        <v>550</v>
      </c>
      <c r="MU3">
        <v>580</v>
      </c>
      <c r="MV3">
        <v>591</v>
      </c>
      <c r="MW3">
        <v>594</v>
      </c>
      <c r="MX3">
        <v>595</v>
      </c>
      <c r="MY3">
        <v>596</v>
      </c>
      <c r="MZ3">
        <v>597</v>
      </c>
      <c r="NA3">
        <v>696</v>
      </c>
      <c r="NB3">
        <v>697</v>
      </c>
      <c r="NC3">
        <v>698</v>
      </c>
      <c r="ND3">
        <v>716</v>
      </c>
      <c r="NE3">
        <v>717</v>
      </c>
      <c r="NF3">
        <v>723</v>
      </c>
      <c r="NG3">
        <v>726</v>
      </c>
      <c r="NH3">
        <v>733</v>
      </c>
      <c r="NI3">
        <v>734</v>
      </c>
      <c r="NJ3">
        <v>741</v>
      </c>
      <c r="NK3">
        <v>752</v>
      </c>
      <c r="NL3">
        <v>757</v>
      </c>
      <c r="NM3">
        <v>810</v>
      </c>
      <c r="NN3">
        <v>821</v>
      </c>
      <c r="NO3">
        <v>825</v>
      </c>
      <c r="NP3">
        <v>830</v>
      </c>
      <c r="NQ3">
        <v>841</v>
      </c>
      <c r="NR3">
        <v>845</v>
      </c>
      <c r="NS3">
        <v>850</v>
      </c>
      <c r="NT3">
        <v>860</v>
      </c>
      <c r="NU3">
        <v>871</v>
      </c>
      <c r="NV3">
        <v>872</v>
      </c>
      <c r="NW3">
        <v>873</v>
      </c>
      <c r="NX3">
        <v>874</v>
      </c>
      <c r="NY3">
        <v>875</v>
      </c>
      <c r="NZ3">
        <v>896</v>
      </c>
      <c r="OA3">
        <v>897</v>
      </c>
      <c r="OB3">
        <v>898</v>
      </c>
      <c r="OC3">
        <v>931</v>
      </c>
      <c r="OD3">
        <v>933</v>
      </c>
      <c r="OE3">
        <v>934</v>
      </c>
      <c r="OF3">
        <v>935</v>
      </c>
      <c r="OG3">
        <v>936</v>
      </c>
      <c r="OH3">
        <v>939</v>
      </c>
      <c r="OI3">
        <v>931</v>
      </c>
      <c r="OJ3">
        <v>933</v>
      </c>
      <c r="OK3">
        <v>934</v>
      </c>
      <c r="OL3">
        <v>935</v>
      </c>
      <c r="OM3">
        <v>936</v>
      </c>
      <c r="ON3">
        <v>939</v>
      </c>
    </row>
    <row r="4" spans="1:404" ht="13" x14ac:dyDescent="0.25">
      <c r="A4" s="462"/>
      <c r="B4" s="462"/>
      <c r="C4" s="462"/>
      <c r="D4" s="462"/>
      <c r="E4" s="463" t="s">
        <v>5332</v>
      </c>
      <c r="F4" s="462">
        <v>7</v>
      </c>
      <c r="G4" s="462">
        <v>7</v>
      </c>
      <c r="H4" s="462">
        <v>7</v>
      </c>
      <c r="I4" s="462">
        <v>7</v>
      </c>
      <c r="J4" s="462">
        <v>7</v>
      </c>
      <c r="K4" s="462">
        <v>7</v>
      </c>
      <c r="L4" s="462">
        <v>7</v>
      </c>
      <c r="M4" s="462">
        <v>7</v>
      </c>
      <c r="N4" s="462">
        <v>7</v>
      </c>
      <c r="O4" s="462">
        <v>7</v>
      </c>
      <c r="P4" s="462">
        <v>7</v>
      </c>
      <c r="Q4" s="462">
        <v>7</v>
      </c>
      <c r="R4" s="462">
        <v>7</v>
      </c>
      <c r="S4" s="462">
        <v>7</v>
      </c>
      <c r="T4" s="462">
        <v>7</v>
      </c>
      <c r="U4" s="462">
        <v>7</v>
      </c>
      <c r="V4" s="462">
        <v>7</v>
      </c>
      <c r="W4" s="462">
        <v>7</v>
      </c>
      <c r="X4" s="462">
        <v>7</v>
      </c>
      <c r="Y4" s="462">
        <v>7</v>
      </c>
      <c r="Z4" s="462">
        <v>7</v>
      </c>
      <c r="AA4" s="462">
        <v>7</v>
      </c>
      <c r="AB4" s="462">
        <v>7</v>
      </c>
      <c r="AC4" s="462">
        <v>7</v>
      </c>
      <c r="AD4" s="462">
        <v>7</v>
      </c>
      <c r="AE4" s="462">
        <v>7</v>
      </c>
      <c r="AF4" s="462">
        <v>7</v>
      </c>
      <c r="AG4" s="462">
        <v>7</v>
      </c>
      <c r="AH4" s="462">
        <v>7</v>
      </c>
      <c r="AI4" s="462">
        <v>7</v>
      </c>
      <c r="AJ4" s="462">
        <v>5</v>
      </c>
      <c r="AK4" s="462">
        <v>5</v>
      </c>
      <c r="AL4" s="462">
        <v>5</v>
      </c>
      <c r="AM4" s="462">
        <v>5</v>
      </c>
      <c r="AN4" s="462">
        <v>7</v>
      </c>
      <c r="AO4" s="462">
        <v>2</v>
      </c>
      <c r="AP4" s="462">
        <v>2</v>
      </c>
      <c r="AQ4" s="462">
        <v>4</v>
      </c>
      <c r="AR4" s="462">
        <v>4</v>
      </c>
      <c r="AS4" s="462">
        <v>7</v>
      </c>
      <c r="AT4" s="462">
        <v>7</v>
      </c>
      <c r="AU4" s="462">
        <v>7</v>
      </c>
      <c r="AV4" s="462">
        <v>7</v>
      </c>
      <c r="AW4" s="462">
        <v>7</v>
      </c>
      <c r="AX4" s="462">
        <v>7</v>
      </c>
      <c r="AY4" s="462">
        <v>7</v>
      </c>
      <c r="AZ4" s="462">
        <v>7</v>
      </c>
      <c r="BA4" s="462">
        <v>7</v>
      </c>
      <c r="BB4" s="462">
        <v>7</v>
      </c>
      <c r="BC4" s="462">
        <v>7</v>
      </c>
      <c r="BD4" s="462">
        <v>7</v>
      </c>
      <c r="BE4" s="462">
        <v>7</v>
      </c>
      <c r="BF4" s="462">
        <v>7</v>
      </c>
      <c r="BG4" s="462">
        <v>7</v>
      </c>
      <c r="BH4" s="462">
        <v>7</v>
      </c>
      <c r="BI4" s="462">
        <v>7</v>
      </c>
      <c r="BJ4" s="462">
        <v>7</v>
      </c>
      <c r="BK4" s="462">
        <v>7</v>
      </c>
      <c r="BL4" s="462">
        <v>7</v>
      </c>
      <c r="BM4" s="462">
        <v>7</v>
      </c>
      <c r="BN4" s="462">
        <v>7</v>
      </c>
      <c r="BO4" s="462">
        <v>7</v>
      </c>
      <c r="BP4" s="462">
        <v>7</v>
      </c>
      <c r="BQ4" s="462">
        <v>7</v>
      </c>
      <c r="BR4" s="462">
        <v>7</v>
      </c>
      <c r="BS4" s="462">
        <v>7</v>
      </c>
      <c r="BT4" s="462">
        <v>7</v>
      </c>
      <c r="BU4" s="462">
        <v>7</v>
      </c>
      <c r="BV4" s="462">
        <v>7</v>
      </c>
      <c r="BW4" s="462">
        <v>7</v>
      </c>
      <c r="BX4" s="462">
        <v>7</v>
      </c>
      <c r="BY4" s="462">
        <v>7</v>
      </c>
      <c r="BZ4" s="462">
        <v>7</v>
      </c>
      <c r="CA4" s="462">
        <v>7</v>
      </c>
      <c r="CB4" s="462">
        <v>7</v>
      </c>
      <c r="CC4" s="462">
        <v>7</v>
      </c>
      <c r="CD4" s="462">
        <v>7</v>
      </c>
      <c r="CE4" s="462">
        <v>7</v>
      </c>
      <c r="CF4" s="462">
        <v>7</v>
      </c>
      <c r="CG4" s="462">
        <v>7</v>
      </c>
      <c r="CH4" s="462">
        <v>7</v>
      </c>
      <c r="CI4" s="462">
        <v>7</v>
      </c>
      <c r="CJ4" s="462">
        <v>7</v>
      </c>
      <c r="CK4" s="462">
        <v>7</v>
      </c>
      <c r="CL4" s="462">
        <v>7</v>
      </c>
      <c r="CM4" s="462">
        <v>7</v>
      </c>
      <c r="CN4" s="462">
        <v>7</v>
      </c>
      <c r="CO4" s="462">
        <v>7</v>
      </c>
      <c r="CP4" s="462">
        <v>7</v>
      </c>
      <c r="CQ4" s="462">
        <v>7</v>
      </c>
      <c r="CR4" s="462">
        <v>7</v>
      </c>
      <c r="CS4" s="462">
        <v>7</v>
      </c>
      <c r="CT4" s="462">
        <v>7</v>
      </c>
      <c r="CU4" s="462">
        <v>7</v>
      </c>
      <c r="CV4" s="462">
        <v>7</v>
      </c>
      <c r="CW4" s="462">
        <v>7</v>
      </c>
      <c r="CX4" s="462">
        <v>7</v>
      </c>
      <c r="CY4" s="462">
        <v>7</v>
      </c>
      <c r="CZ4" s="462">
        <v>7</v>
      </c>
      <c r="DA4" s="462">
        <v>7</v>
      </c>
      <c r="DB4" s="462">
        <v>7</v>
      </c>
      <c r="DC4">
        <v>7</v>
      </c>
      <c r="DD4">
        <v>7</v>
      </c>
      <c r="DE4">
        <v>7</v>
      </c>
      <c r="DF4">
        <v>7</v>
      </c>
      <c r="DG4">
        <v>7</v>
      </c>
      <c r="DH4">
        <v>7</v>
      </c>
      <c r="DI4">
        <v>7</v>
      </c>
      <c r="DJ4">
        <v>7</v>
      </c>
      <c r="DK4">
        <v>7</v>
      </c>
      <c r="DL4">
        <v>7</v>
      </c>
      <c r="DM4">
        <v>7</v>
      </c>
      <c r="DN4">
        <v>7</v>
      </c>
      <c r="DO4">
        <v>7</v>
      </c>
      <c r="DP4">
        <v>7</v>
      </c>
      <c r="DQ4">
        <v>7</v>
      </c>
      <c r="DR4">
        <v>7</v>
      </c>
      <c r="DS4">
        <v>7</v>
      </c>
      <c r="DT4">
        <v>7</v>
      </c>
      <c r="DU4">
        <v>7</v>
      </c>
      <c r="DV4">
        <v>7</v>
      </c>
      <c r="DW4">
        <v>7</v>
      </c>
      <c r="DX4">
        <v>7</v>
      </c>
      <c r="DY4">
        <v>8</v>
      </c>
      <c r="DZ4">
        <v>8</v>
      </c>
      <c r="EA4">
        <v>8</v>
      </c>
      <c r="EB4">
        <v>8</v>
      </c>
      <c r="EC4">
        <v>8</v>
      </c>
      <c r="ED4">
        <v>8</v>
      </c>
      <c r="EE4">
        <v>8</v>
      </c>
      <c r="EF4">
        <v>8</v>
      </c>
      <c r="EG4">
        <v>8</v>
      </c>
      <c r="EH4">
        <v>8</v>
      </c>
      <c r="EI4">
        <v>8</v>
      </c>
      <c r="EJ4">
        <v>8</v>
      </c>
      <c r="EK4">
        <v>8</v>
      </c>
      <c r="EL4">
        <v>8</v>
      </c>
      <c r="EM4">
        <v>8</v>
      </c>
      <c r="EN4">
        <v>8</v>
      </c>
      <c r="EO4">
        <v>8</v>
      </c>
      <c r="EP4">
        <v>8</v>
      </c>
      <c r="EQ4">
        <v>8</v>
      </c>
      <c r="ER4">
        <v>8</v>
      </c>
      <c r="ES4">
        <v>9</v>
      </c>
      <c r="ET4">
        <v>10</v>
      </c>
      <c r="EU4">
        <v>7</v>
      </c>
      <c r="EV4">
        <v>7</v>
      </c>
      <c r="EW4">
        <v>7</v>
      </c>
      <c r="EX4">
        <v>7</v>
      </c>
      <c r="EY4">
        <v>7</v>
      </c>
      <c r="EZ4">
        <v>7</v>
      </c>
      <c r="FA4">
        <v>7</v>
      </c>
      <c r="FB4">
        <v>7</v>
      </c>
      <c r="FC4">
        <v>7</v>
      </c>
      <c r="FD4">
        <v>7</v>
      </c>
      <c r="FE4">
        <v>7</v>
      </c>
      <c r="FF4">
        <v>7</v>
      </c>
      <c r="FG4">
        <v>7</v>
      </c>
      <c r="FH4">
        <v>7</v>
      </c>
      <c r="FI4">
        <v>7</v>
      </c>
      <c r="FJ4">
        <v>7</v>
      </c>
      <c r="FK4">
        <v>7</v>
      </c>
      <c r="FL4">
        <v>7</v>
      </c>
      <c r="FM4">
        <v>7</v>
      </c>
      <c r="FN4">
        <v>7</v>
      </c>
      <c r="FO4">
        <v>7</v>
      </c>
      <c r="FP4">
        <v>7</v>
      </c>
      <c r="FQ4">
        <v>7</v>
      </c>
      <c r="FR4">
        <v>7</v>
      </c>
      <c r="FS4">
        <v>7</v>
      </c>
      <c r="FT4">
        <v>7</v>
      </c>
      <c r="FU4">
        <v>7</v>
      </c>
      <c r="FV4">
        <v>7</v>
      </c>
      <c r="FW4">
        <v>7</v>
      </c>
      <c r="FX4">
        <v>7</v>
      </c>
      <c r="FY4">
        <v>7</v>
      </c>
      <c r="FZ4">
        <v>7</v>
      </c>
      <c r="GA4">
        <v>7</v>
      </c>
      <c r="GB4">
        <v>7</v>
      </c>
      <c r="GC4">
        <v>7</v>
      </c>
      <c r="GD4">
        <v>7</v>
      </c>
      <c r="GE4">
        <v>7</v>
      </c>
      <c r="GF4">
        <v>7</v>
      </c>
      <c r="GG4">
        <v>7</v>
      </c>
      <c r="GH4">
        <v>7</v>
      </c>
      <c r="GI4">
        <v>7</v>
      </c>
      <c r="GJ4">
        <v>7</v>
      </c>
      <c r="GK4">
        <v>7</v>
      </c>
      <c r="GL4">
        <v>7</v>
      </c>
      <c r="GM4">
        <v>7</v>
      </c>
      <c r="GN4">
        <v>7</v>
      </c>
      <c r="GO4">
        <v>7</v>
      </c>
      <c r="GP4">
        <v>7</v>
      </c>
      <c r="GQ4">
        <v>7</v>
      </c>
      <c r="GR4">
        <v>7</v>
      </c>
      <c r="GS4">
        <v>7</v>
      </c>
      <c r="GT4">
        <v>7</v>
      </c>
      <c r="GU4">
        <v>7</v>
      </c>
      <c r="GV4">
        <v>7</v>
      </c>
      <c r="GW4">
        <v>7</v>
      </c>
      <c r="GX4">
        <v>7</v>
      </c>
      <c r="GY4">
        <v>7</v>
      </c>
      <c r="GZ4">
        <v>7</v>
      </c>
      <c r="HA4">
        <v>7</v>
      </c>
      <c r="HB4">
        <v>7</v>
      </c>
      <c r="HC4">
        <v>7</v>
      </c>
      <c r="HD4">
        <v>7</v>
      </c>
      <c r="HE4">
        <v>7</v>
      </c>
      <c r="HF4">
        <v>7</v>
      </c>
      <c r="HG4">
        <v>7</v>
      </c>
      <c r="HH4">
        <v>7</v>
      </c>
      <c r="HI4">
        <v>7</v>
      </c>
      <c r="HJ4">
        <v>7</v>
      </c>
      <c r="HK4">
        <v>7</v>
      </c>
      <c r="HL4">
        <v>7</v>
      </c>
      <c r="HM4">
        <v>7</v>
      </c>
      <c r="HN4">
        <v>7</v>
      </c>
      <c r="HO4">
        <v>7</v>
      </c>
      <c r="HP4">
        <v>7</v>
      </c>
      <c r="HQ4">
        <v>7</v>
      </c>
      <c r="HR4">
        <v>7</v>
      </c>
      <c r="HS4">
        <v>7</v>
      </c>
      <c r="HT4">
        <v>7</v>
      </c>
      <c r="HU4">
        <v>7</v>
      </c>
      <c r="HV4">
        <v>7</v>
      </c>
      <c r="HW4">
        <v>5</v>
      </c>
      <c r="HX4">
        <v>5</v>
      </c>
      <c r="HY4">
        <v>5</v>
      </c>
      <c r="HZ4">
        <v>5</v>
      </c>
      <c r="IA4">
        <v>5</v>
      </c>
      <c r="IB4">
        <v>7</v>
      </c>
      <c r="IC4">
        <v>1</v>
      </c>
      <c r="ID4">
        <v>1</v>
      </c>
      <c r="IE4">
        <v>1</v>
      </c>
      <c r="IF4">
        <v>1</v>
      </c>
      <c r="IG4">
        <v>1</v>
      </c>
      <c r="IH4">
        <v>1</v>
      </c>
      <c r="II4">
        <v>1</v>
      </c>
      <c r="IJ4">
        <v>1</v>
      </c>
      <c r="IK4">
        <v>1</v>
      </c>
      <c r="IL4">
        <v>1</v>
      </c>
      <c r="IM4">
        <v>1</v>
      </c>
      <c r="IN4">
        <v>1</v>
      </c>
      <c r="IO4">
        <v>1</v>
      </c>
      <c r="IP4">
        <v>1</v>
      </c>
      <c r="IQ4">
        <v>1</v>
      </c>
      <c r="IR4">
        <v>1</v>
      </c>
      <c r="IS4">
        <v>1</v>
      </c>
      <c r="IT4">
        <v>1</v>
      </c>
      <c r="IU4">
        <v>1</v>
      </c>
      <c r="IV4">
        <v>1</v>
      </c>
      <c r="IW4">
        <v>1</v>
      </c>
      <c r="IX4">
        <v>1</v>
      </c>
      <c r="IY4">
        <v>1</v>
      </c>
      <c r="IZ4">
        <v>1</v>
      </c>
      <c r="JA4">
        <v>1</v>
      </c>
      <c r="JB4">
        <v>1</v>
      </c>
      <c r="JC4">
        <v>1</v>
      </c>
      <c r="JD4">
        <v>1</v>
      </c>
      <c r="JE4">
        <v>1</v>
      </c>
      <c r="JF4">
        <v>1</v>
      </c>
      <c r="JG4">
        <v>1</v>
      </c>
      <c r="JH4">
        <v>1</v>
      </c>
      <c r="JI4">
        <v>1</v>
      </c>
      <c r="JJ4">
        <v>1</v>
      </c>
      <c r="JK4">
        <v>1</v>
      </c>
      <c r="JL4">
        <v>1</v>
      </c>
      <c r="JM4">
        <v>1</v>
      </c>
      <c r="JN4">
        <v>1</v>
      </c>
      <c r="JO4">
        <v>1</v>
      </c>
      <c r="JP4">
        <v>1</v>
      </c>
      <c r="JQ4">
        <v>1</v>
      </c>
      <c r="JR4">
        <v>1</v>
      </c>
      <c r="JS4">
        <v>1</v>
      </c>
      <c r="JT4">
        <v>1</v>
      </c>
      <c r="JU4">
        <v>1</v>
      </c>
      <c r="JV4">
        <v>1</v>
      </c>
      <c r="JW4">
        <v>1</v>
      </c>
      <c r="JX4">
        <v>1</v>
      </c>
      <c r="JY4">
        <v>1</v>
      </c>
      <c r="JZ4">
        <v>1</v>
      </c>
      <c r="KA4">
        <v>1</v>
      </c>
      <c r="KB4">
        <v>1</v>
      </c>
      <c r="KC4">
        <v>1</v>
      </c>
      <c r="KD4">
        <v>1</v>
      </c>
      <c r="KE4">
        <v>1</v>
      </c>
      <c r="KF4">
        <v>1</v>
      </c>
      <c r="KG4">
        <v>1</v>
      </c>
      <c r="KH4">
        <v>1</v>
      </c>
      <c r="KI4">
        <v>1</v>
      </c>
      <c r="KJ4">
        <v>1</v>
      </c>
      <c r="KK4">
        <v>1</v>
      </c>
      <c r="KL4">
        <v>1</v>
      </c>
      <c r="KM4">
        <v>1</v>
      </c>
      <c r="KN4">
        <v>1</v>
      </c>
      <c r="KO4">
        <v>1</v>
      </c>
      <c r="KP4">
        <v>1</v>
      </c>
      <c r="KQ4">
        <v>1</v>
      </c>
      <c r="KR4">
        <v>1</v>
      </c>
      <c r="KS4">
        <v>2</v>
      </c>
      <c r="KT4">
        <v>2</v>
      </c>
      <c r="KU4">
        <v>2</v>
      </c>
      <c r="KV4">
        <v>2</v>
      </c>
      <c r="KW4">
        <v>2</v>
      </c>
      <c r="KX4">
        <v>3</v>
      </c>
      <c r="KY4">
        <v>3</v>
      </c>
      <c r="KZ4">
        <v>3</v>
      </c>
      <c r="LA4">
        <v>3</v>
      </c>
      <c r="LB4">
        <v>3</v>
      </c>
      <c r="LC4">
        <v>2</v>
      </c>
      <c r="LD4">
        <v>1</v>
      </c>
      <c r="LE4">
        <v>1</v>
      </c>
      <c r="LF4">
        <v>1</v>
      </c>
      <c r="LG4">
        <v>1</v>
      </c>
      <c r="LH4">
        <v>1</v>
      </c>
      <c r="LI4">
        <v>1</v>
      </c>
      <c r="LJ4">
        <v>8</v>
      </c>
      <c r="LK4">
        <v>8</v>
      </c>
      <c r="LL4">
        <v>8</v>
      </c>
      <c r="LM4">
        <v>8</v>
      </c>
      <c r="LN4">
        <v>1</v>
      </c>
      <c r="LO4">
        <v>1</v>
      </c>
      <c r="LP4">
        <v>5</v>
      </c>
      <c r="LQ4">
        <v>5</v>
      </c>
      <c r="LR4">
        <v>5</v>
      </c>
      <c r="LS4">
        <v>6</v>
      </c>
      <c r="LT4">
        <v>7</v>
      </c>
      <c r="LU4">
        <v>7</v>
      </c>
      <c r="LV4">
        <v>7</v>
      </c>
      <c r="LW4">
        <v>7</v>
      </c>
      <c r="LX4">
        <v>7</v>
      </c>
      <c r="LY4">
        <v>7</v>
      </c>
      <c r="LZ4">
        <v>7</v>
      </c>
      <c r="MA4">
        <v>7</v>
      </c>
      <c r="MB4">
        <v>7</v>
      </c>
      <c r="MC4">
        <v>7</v>
      </c>
      <c r="MD4">
        <v>7</v>
      </c>
      <c r="ME4">
        <v>7</v>
      </c>
      <c r="MF4">
        <v>7</v>
      </c>
      <c r="MG4">
        <v>7</v>
      </c>
      <c r="MH4">
        <v>7</v>
      </c>
      <c r="MI4">
        <v>1</v>
      </c>
      <c r="MJ4">
        <v>1</v>
      </c>
      <c r="MK4">
        <v>1</v>
      </c>
      <c r="ML4">
        <v>1</v>
      </c>
      <c r="MM4">
        <v>1</v>
      </c>
      <c r="MN4">
        <v>1</v>
      </c>
      <c r="MO4">
        <v>1</v>
      </c>
      <c r="MP4">
        <v>1</v>
      </c>
      <c r="MQ4">
        <v>1</v>
      </c>
      <c r="MR4">
        <v>1</v>
      </c>
      <c r="MS4">
        <v>1</v>
      </c>
      <c r="MT4">
        <v>1</v>
      </c>
      <c r="MU4">
        <v>1</v>
      </c>
      <c r="MV4">
        <v>1</v>
      </c>
      <c r="MW4">
        <v>1</v>
      </c>
      <c r="MX4">
        <v>1</v>
      </c>
      <c r="MY4">
        <v>1</v>
      </c>
      <c r="MZ4">
        <v>1</v>
      </c>
      <c r="NA4">
        <v>1</v>
      </c>
      <c r="NB4">
        <v>1</v>
      </c>
      <c r="NC4">
        <v>1</v>
      </c>
      <c r="ND4">
        <v>1</v>
      </c>
      <c r="NE4">
        <v>1</v>
      </c>
      <c r="NF4">
        <v>1</v>
      </c>
      <c r="NG4">
        <v>1</v>
      </c>
      <c r="NH4">
        <v>1</v>
      </c>
      <c r="NI4">
        <v>1</v>
      </c>
      <c r="NJ4">
        <v>1</v>
      </c>
      <c r="NK4">
        <v>1</v>
      </c>
      <c r="NL4">
        <v>1</v>
      </c>
      <c r="NM4">
        <v>1</v>
      </c>
      <c r="NN4">
        <v>1</v>
      </c>
      <c r="NO4">
        <v>1</v>
      </c>
      <c r="NP4">
        <v>1</v>
      </c>
      <c r="NQ4">
        <v>1</v>
      </c>
      <c r="NR4">
        <v>1</v>
      </c>
      <c r="NS4">
        <v>1</v>
      </c>
      <c r="NT4">
        <v>1</v>
      </c>
      <c r="NU4">
        <v>1</v>
      </c>
      <c r="NV4">
        <v>1</v>
      </c>
      <c r="NW4">
        <v>1</v>
      </c>
      <c r="NX4">
        <v>1</v>
      </c>
      <c r="NY4">
        <v>1</v>
      </c>
      <c r="NZ4">
        <v>1</v>
      </c>
      <c r="OA4">
        <v>1</v>
      </c>
      <c r="OB4">
        <v>1</v>
      </c>
      <c r="OC4">
        <v>2</v>
      </c>
      <c r="OD4">
        <v>2</v>
      </c>
      <c r="OE4">
        <v>2</v>
      </c>
      <c r="OF4">
        <v>2</v>
      </c>
      <c r="OG4">
        <v>2</v>
      </c>
      <c r="OH4">
        <v>2</v>
      </c>
      <c r="OI4">
        <v>3</v>
      </c>
      <c r="OJ4">
        <v>3</v>
      </c>
      <c r="OK4">
        <v>3</v>
      </c>
      <c r="OL4">
        <v>3</v>
      </c>
      <c r="OM4">
        <v>3</v>
      </c>
      <c r="ON4">
        <v>3</v>
      </c>
    </row>
    <row r="5" spans="1:404" s="840" customFormat="1" ht="187.5" x14ac:dyDescent="0.25">
      <c r="A5" s="840" t="s">
        <v>53</v>
      </c>
      <c r="B5" s="840" t="s">
        <v>5333</v>
      </c>
      <c r="C5" s="840" t="s">
        <v>5334</v>
      </c>
      <c r="E5" s="840" t="s">
        <v>5335</v>
      </c>
      <c r="F5" s="840" t="s">
        <v>5336</v>
      </c>
      <c r="G5" s="840" t="s">
        <v>5336</v>
      </c>
      <c r="H5" s="840" t="s">
        <v>5336</v>
      </c>
      <c r="I5" s="840" t="s">
        <v>5336</v>
      </c>
      <c r="J5" s="840" t="s">
        <v>5336</v>
      </c>
      <c r="K5" s="840" t="s">
        <v>5336</v>
      </c>
      <c r="L5" s="840" t="s">
        <v>5336</v>
      </c>
      <c r="M5" s="840" t="s">
        <v>5336</v>
      </c>
      <c r="N5" s="840" t="s">
        <v>5336</v>
      </c>
      <c r="O5" s="840" t="s">
        <v>5336</v>
      </c>
      <c r="P5" s="840" t="s">
        <v>5336</v>
      </c>
      <c r="Q5" s="840" t="s">
        <v>5336</v>
      </c>
      <c r="R5" s="840" t="s">
        <v>5336</v>
      </c>
      <c r="S5" s="840" t="s">
        <v>5336</v>
      </c>
      <c r="T5" s="840" t="s">
        <v>5336</v>
      </c>
      <c r="U5" s="840" t="s">
        <v>5336</v>
      </c>
      <c r="V5" s="840" t="s">
        <v>5336</v>
      </c>
      <c r="W5" s="840" t="s">
        <v>5336</v>
      </c>
      <c r="X5" s="840" t="s">
        <v>5336</v>
      </c>
      <c r="Y5" s="840" t="s">
        <v>5336</v>
      </c>
      <c r="Z5" s="840" t="s">
        <v>5336</v>
      </c>
      <c r="AA5" s="840" t="s">
        <v>5336</v>
      </c>
      <c r="AB5" s="840" t="s">
        <v>5336</v>
      </c>
      <c r="AC5" s="840" t="s">
        <v>5336</v>
      </c>
      <c r="AD5" s="840" t="s">
        <v>5336</v>
      </c>
      <c r="AE5" s="840" t="s">
        <v>5336</v>
      </c>
      <c r="AF5" s="840" t="s">
        <v>5336</v>
      </c>
      <c r="AG5" s="840" t="s">
        <v>5336</v>
      </c>
      <c r="AH5" s="840" t="s">
        <v>5336</v>
      </c>
      <c r="AI5" s="840" t="s">
        <v>5336</v>
      </c>
      <c r="AJ5" s="840" t="s">
        <v>5337</v>
      </c>
      <c r="AK5" s="840" t="s">
        <v>5337</v>
      </c>
      <c r="AL5" s="840" t="s">
        <v>5337</v>
      </c>
      <c r="AM5" s="840" t="s">
        <v>5337</v>
      </c>
      <c r="AN5" s="840" t="s">
        <v>5336</v>
      </c>
      <c r="AO5" s="840" t="s">
        <v>5338</v>
      </c>
      <c r="AP5" s="840" t="s">
        <v>5338</v>
      </c>
      <c r="AQ5" s="840" t="s">
        <v>5339</v>
      </c>
      <c r="AR5" s="840" t="s">
        <v>5339</v>
      </c>
      <c r="AS5" s="840" t="s">
        <v>5336</v>
      </c>
      <c r="AT5" s="840" t="s">
        <v>5336</v>
      </c>
      <c r="AU5" s="840" t="s">
        <v>5336</v>
      </c>
      <c r="AV5" s="840" t="s">
        <v>5336</v>
      </c>
      <c r="AW5" s="840" t="s">
        <v>5336</v>
      </c>
      <c r="AX5" s="840" t="s">
        <v>5336</v>
      </c>
      <c r="AY5" s="840" t="s">
        <v>5336</v>
      </c>
      <c r="AZ5" s="840" t="s">
        <v>5336</v>
      </c>
      <c r="BA5" s="840" t="s">
        <v>5336</v>
      </c>
      <c r="BB5" s="840" t="s">
        <v>5336</v>
      </c>
      <c r="BC5" s="840" t="s">
        <v>5336</v>
      </c>
      <c r="BD5" s="840" t="s">
        <v>5336</v>
      </c>
      <c r="BE5" s="840" t="s">
        <v>5336</v>
      </c>
      <c r="BF5" s="840" t="s">
        <v>5336</v>
      </c>
      <c r="BG5" s="840" t="s">
        <v>5336</v>
      </c>
      <c r="BH5" s="840" t="s">
        <v>5336</v>
      </c>
      <c r="BI5" s="840" t="s">
        <v>5336</v>
      </c>
      <c r="BJ5" s="840" t="s">
        <v>5336</v>
      </c>
      <c r="BK5" s="840" t="s">
        <v>5336</v>
      </c>
      <c r="BL5" s="840" t="s">
        <v>5336</v>
      </c>
      <c r="BM5" s="840" t="s">
        <v>5336</v>
      </c>
      <c r="BN5" s="840" t="s">
        <v>5336</v>
      </c>
      <c r="BO5" s="840" t="s">
        <v>5336</v>
      </c>
      <c r="BP5" s="840" t="s">
        <v>5336</v>
      </c>
      <c r="BQ5" s="840" t="s">
        <v>5336</v>
      </c>
      <c r="BR5" s="840" t="s">
        <v>5336</v>
      </c>
      <c r="BS5" s="840" t="s">
        <v>5336</v>
      </c>
      <c r="BT5" s="840" t="s">
        <v>5336</v>
      </c>
      <c r="BU5" s="840" t="s">
        <v>5336</v>
      </c>
      <c r="BV5" s="840" t="s">
        <v>5336</v>
      </c>
      <c r="BW5" s="840" t="s">
        <v>5336</v>
      </c>
      <c r="BX5" s="840" t="s">
        <v>5336</v>
      </c>
      <c r="BY5" s="840" t="s">
        <v>5336</v>
      </c>
      <c r="BZ5" s="840" t="s">
        <v>5336</v>
      </c>
      <c r="CA5" s="840" t="s">
        <v>5336</v>
      </c>
      <c r="CB5" s="840" t="s">
        <v>5336</v>
      </c>
      <c r="CC5" s="840" t="s">
        <v>5336</v>
      </c>
      <c r="CD5" s="840" t="s">
        <v>5336</v>
      </c>
      <c r="CE5" s="840" t="s">
        <v>5336</v>
      </c>
      <c r="CF5" s="840" t="s">
        <v>5336</v>
      </c>
      <c r="CG5" s="840" t="s">
        <v>5336</v>
      </c>
      <c r="CH5" s="840" t="s">
        <v>5336</v>
      </c>
      <c r="CI5" s="840" t="s">
        <v>5336</v>
      </c>
      <c r="CJ5" s="840" t="s">
        <v>5336</v>
      </c>
      <c r="CK5" s="840" t="s">
        <v>5336</v>
      </c>
      <c r="CL5" s="840" t="s">
        <v>5336</v>
      </c>
      <c r="CM5" s="840" t="s">
        <v>5336</v>
      </c>
      <c r="CN5" s="840" t="s">
        <v>5336</v>
      </c>
      <c r="CO5" s="840" t="s">
        <v>5336</v>
      </c>
      <c r="CP5" s="840" t="s">
        <v>5336</v>
      </c>
      <c r="CQ5" s="840" t="s">
        <v>5336</v>
      </c>
      <c r="CR5" s="840" t="s">
        <v>5336</v>
      </c>
      <c r="CS5" s="840" t="s">
        <v>5336</v>
      </c>
      <c r="CT5" s="840" t="s">
        <v>5336</v>
      </c>
      <c r="CU5" s="840" t="s">
        <v>5336</v>
      </c>
      <c r="CV5" s="840" t="s">
        <v>5336</v>
      </c>
      <c r="CW5" s="840" t="s">
        <v>5336</v>
      </c>
      <c r="CX5" s="840" t="s">
        <v>5336</v>
      </c>
      <c r="CY5" s="840" t="s">
        <v>5336</v>
      </c>
      <c r="CZ5" s="840" t="s">
        <v>5336</v>
      </c>
      <c r="DA5" s="840" t="s">
        <v>5336</v>
      </c>
      <c r="DB5" s="840" t="s">
        <v>5336</v>
      </c>
      <c r="DC5" s="840" t="s">
        <v>5336</v>
      </c>
      <c r="DD5" s="840" t="s">
        <v>5336</v>
      </c>
      <c r="DE5" s="840" t="s">
        <v>5336</v>
      </c>
      <c r="DF5" s="840" t="s">
        <v>5336</v>
      </c>
      <c r="DG5" s="840" t="s">
        <v>5336</v>
      </c>
      <c r="DH5" s="840" t="s">
        <v>5336</v>
      </c>
      <c r="DI5" s="840" t="s">
        <v>5336</v>
      </c>
      <c r="DJ5" s="840" t="s">
        <v>5336</v>
      </c>
      <c r="DK5" s="840" t="s">
        <v>5336</v>
      </c>
      <c r="DL5" s="840" t="s">
        <v>5336</v>
      </c>
      <c r="DM5" s="840" t="s">
        <v>5336</v>
      </c>
      <c r="DN5" s="840" t="s">
        <v>5336</v>
      </c>
      <c r="DO5" s="840" t="s">
        <v>5336</v>
      </c>
      <c r="DP5" s="840" t="s">
        <v>5336</v>
      </c>
      <c r="DQ5" s="840" t="s">
        <v>5336</v>
      </c>
      <c r="DR5" s="840" t="s">
        <v>5336</v>
      </c>
      <c r="DS5" s="840" t="s">
        <v>5336</v>
      </c>
      <c r="DT5" s="840" t="s">
        <v>5336</v>
      </c>
      <c r="DU5" s="840" t="s">
        <v>5336</v>
      </c>
      <c r="DV5" s="840" t="s">
        <v>5336</v>
      </c>
      <c r="DW5" s="840" t="s">
        <v>5336</v>
      </c>
      <c r="DX5" s="840" t="s">
        <v>5336</v>
      </c>
      <c r="DY5" s="840" t="s">
        <v>1555</v>
      </c>
      <c r="DZ5" s="840" t="s">
        <v>1555</v>
      </c>
      <c r="EA5" s="840" t="s">
        <v>1555</v>
      </c>
      <c r="EB5" s="840" t="s">
        <v>1555</v>
      </c>
      <c r="EC5" s="840" t="s">
        <v>1555</v>
      </c>
      <c r="ED5" s="840" t="s">
        <v>1555</v>
      </c>
      <c r="EE5" s="840" t="s">
        <v>1555</v>
      </c>
      <c r="EF5" s="840" t="s">
        <v>1555</v>
      </c>
      <c r="EG5" s="840" t="s">
        <v>1555</v>
      </c>
      <c r="EH5" s="840" t="s">
        <v>1555</v>
      </c>
      <c r="EI5" s="840" t="s">
        <v>1555</v>
      </c>
      <c r="EJ5" s="840" t="s">
        <v>1555</v>
      </c>
      <c r="EK5" s="840" t="s">
        <v>1555</v>
      </c>
      <c r="EL5" s="840" t="s">
        <v>1555</v>
      </c>
      <c r="EM5" s="840" t="s">
        <v>1555</v>
      </c>
      <c r="EN5" s="840" t="s">
        <v>1555</v>
      </c>
      <c r="EO5" s="840" t="s">
        <v>1555</v>
      </c>
      <c r="EP5" s="840" t="s">
        <v>1555</v>
      </c>
      <c r="EQ5" s="840" t="s">
        <v>1555</v>
      </c>
      <c r="ER5" s="840" t="s">
        <v>1555</v>
      </c>
      <c r="EU5" s="840" t="s">
        <v>5336</v>
      </c>
      <c r="EV5" s="840" t="s">
        <v>5336</v>
      </c>
      <c r="EW5" s="840" t="s">
        <v>5336</v>
      </c>
      <c r="EX5" s="840" t="s">
        <v>5336</v>
      </c>
      <c r="EY5" s="840" t="s">
        <v>5336</v>
      </c>
      <c r="EZ5" s="840" t="s">
        <v>5336</v>
      </c>
      <c r="FA5" s="840" t="s">
        <v>5336</v>
      </c>
      <c r="FB5" s="840" t="s">
        <v>5336</v>
      </c>
      <c r="FC5" s="840" t="s">
        <v>5336</v>
      </c>
      <c r="FD5" s="840" t="s">
        <v>5336</v>
      </c>
      <c r="FE5" s="840" t="s">
        <v>5336</v>
      </c>
      <c r="FF5" s="840" t="s">
        <v>5336</v>
      </c>
      <c r="FG5" s="840" t="s">
        <v>5336</v>
      </c>
      <c r="FH5" s="840" t="s">
        <v>5336</v>
      </c>
      <c r="FI5" s="840" t="s">
        <v>5336</v>
      </c>
      <c r="FJ5" s="840" t="s">
        <v>5336</v>
      </c>
      <c r="FK5" s="840" t="s">
        <v>5336</v>
      </c>
      <c r="FL5" s="840" t="s">
        <v>5336</v>
      </c>
      <c r="FM5" s="840" t="s">
        <v>5336</v>
      </c>
      <c r="FN5" s="840" t="s">
        <v>5336</v>
      </c>
      <c r="FO5" s="840" t="s">
        <v>5336</v>
      </c>
      <c r="FP5" s="840" t="s">
        <v>5336</v>
      </c>
      <c r="FQ5" s="840" t="s">
        <v>5336</v>
      </c>
      <c r="FR5" s="840" t="s">
        <v>5336</v>
      </c>
      <c r="FS5" s="840" t="s">
        <v>5336</v>
      </c>
      <c r="FT5" s="840" t="s">
        <v>5336</v>
      </c>
      <c r="FU5" s="840" t="s">
        <v>5336</v>
      </c>
      <c r="FV5" s="840" t="s">
        <v>5336</v>
      </c>
      <c r="FW5" s="840" t="s">
        <v>5336</v>
      </c>
      <c r="FX5" s="840" t="s">
        <v>5336</v>
      </c>
      <c r="FY5" s="840" t="s">
        <v>5336</v>
      </c>
      <c r="FZ5" s="840" t="s">
        <v>5336</v>
      </c>
      <c r="GA5" s="840" t="s">
        <v>5336</v>
      </c>
      <c r="GB5" s="840" t="s">
        <v>5336</v>
      </c>
      <c r="GC5" s="840" t="s">
        <v>5336</v>
      </c>
      <c r="GD5" s="840" t="s">
        <v>5336</v>
      </c>
      <c r="GE5" s="840" t="s">
        <v>5336</v>
      </c>
      <c r="GF5" s="840" t="s">
        <v>5336</v>
      </c>
      <c r="GG5" s="840" t="s">
        <v>5336</v>
      </c>
      <c r="GH5" s="840" t="s">
        <v>5336</v>
      </c>
      <c r="GI5" s="840" t="s">
        <v>5336</v>
      </c>
      <c r="GJ5" s="840" t="s">
        <v>5336</v>
      </c>
      <c r="GK5" s="840" t="s">
        <v>5336</v>
      </c>
      <c r="GL5" s="840" t="s">
        <v>5336</v>
      </c>
      <c r="GM5" s="840" t="s">
        <v>5336</v>
      </c>
      <c r="GN5" s="840" t="s">
        <v>5336</v>
      </c>
      <c r="GO5" s="840" t="s">
        <v>5336</v>
      </c>
      <c r="GP5" s="840" t="s">
        <v>5336</v>
      </c>
      <c r="GQ5" s="840" t="s">
        <v>5336</v>
      </c>
      <c r="GR5" s="840" t="s">
        <v>5336</v>
      </c>
      <c r="GS5" s="840" t="s">
        <v>5336</v>
      </c>
      <c r="GT5" s="840" t="s">
        <v>5336</v>
      </c>
      <c r="GU5" s="840" t="s">
        <v>5336</v>
      </c>
      <c r="GV5" s="840" t="s">
        <v>5336</v>
      </c>
      <c r="GW5" s="840" t="s">
        <v>5336</v>
      </c>
      <c r="GX5" s="840" t="s">
        <v>5336</v>
      </c>
      <c r="GY5" s="840" t="s">
        <v>5336</v>
      </c>
      <c r="GZ5" s="840" t="s">
        <v>5336</v>
      </c>
      <c r="HA5" s="840" t="s">
        <v>5336</v>
      </c>
      <c r="HB5" s="840" t="s">
        <v>5336</v>
      </c>
      <c r="HC5" s="840" t="s">
        <v>5336</v>
      </c>
      <c r="HD5" s="840" t="s">
        <v>5336</v>
      </c>
      <c r="HE5" s="840" t="s">
        <v>5336</v>
      </c>
      <c r="HF5" s="840" t="s">
        <v>5336</v>
      </c>
      <c r="HG5" s="840" t="s">
        <v>5336</v>
      </c>
      <c r="HH5" s="840" t="s">
        <v>5336</v>
      </c>
      <c r="HI5" s="840" t="s">
        <v>5336</v>
      </c>
      <c r="HJ5" s="840" t="s">
        <v>5336</v>
      </c>
      <c r="HK5" s="840" t="s">
        <v>5336</v>
      </c>
      <c r="HL5" s="840" t="s">
        <v>5336</v>
      </c>
      <c r="HM5" s="840" t="s">
        <v>5336</v>
      </c>
      <c r="HN5" s="840" t="s">
        <v>5336</v>
      </c>
      <c r="HO5" s="840" t="s">
        <v>5336</v>
      </c>
      <c r="HP5" s="840" t="s">
        <v>5336</v>
      </c>
      <c r="HQ5" s="840" t="s">
        <v>5336</v>
      </c>
      <c r="HR5" s="840" t="s">
        <v>5336</v>
      </c>
      <c r="HS5" s="840" t="s">
        <v>5336</v>
      </c>
      <c r="HT5" s="840" t="s">
        <v>5336</v>
      </c>
      <c r="HU5" s="840" t="s">
        <v>5336</v>
      </c>
      <c r="HV5" s="840" t="s">
        <v>5336</v>
      </c>
      <c r="HW5" s="840" t="s">
        <v>5337</v>
      </c>
      <c r="HX5" s="840" t="s">
        <v>5337</v>
      </c>
      <c r="HY5" s="840" t="s">
        <v>5337</v>
      </c>
      <c r="HZ5" s="840" t="s">
        <v>5337</v>
      </c>
      <c r="IA5" s="840" t="s">
        <v>5337</v>
      </c>
      <c r="IB5" s="840" t="s">
        <v>5336</v>
      </c>
      <c r="IC5" s="840" t="s">
        <v>1391</v>
      </c>
      <c r="ID5" s="840" t="s">
        <v>1393</v>
      </c>
      <c r="IE5" s="840" t="s">
        <v>1395</v>
      </c>
      <c r="IF5" s="840" t="s">
        <v>1397</v>
      </c>
      <c r="IG5" s="840" t="s">
        <v>1399</v>
      </c>
      <c r="IH5" s="840" t="s">
        <v>1401</v>
      </c>
      <c r="II5" s="840" t="s">
        <v>1403</v>
      </c>
      <c r="IJ5" s="840" t="s">
        <v>1405</v>
      </c>
      <c r="IK5" s="840" t="s">
        <v>1407</v>
      </c>
      <c r="IL5" s="840" t="s">
        <v>1409</v>
      </c>
      <c r="IM5" s="840" t="s">
        <v>1411</v>
      </c>
      <c r="IN5" s="840" t="s">
        <v>1413</v>
      </c>
      <c r="IO5" s="840" t="s">
        <v>1415</v>
      </c>
      <c r="IP5" s="840" t="s">
        <v>5340</v>
      </c>
      <c r="IQ5" s="840" t="s">
        <v>5341</v>
      </c>
      <c r="IR5" s="840" t="s">
        <v>5342</v>
      </c>
      <c r="IS5" s="840" t="s">
        <v>1572</v>
      </c>
      <c r="IT5" s="840" t="s">
        <v>5343</v>
      </c>
      <c r="IU5" s="840" t="s">
        <v>1423</v>
      </c>
      <c r="IV5" s="840" t="s">
        <v>5344</v>
      </c>
      <c r="IW5" s="840" t="s">
        <v>5345</v>
      </c>
      <c r="IX5" s="840" t="s">
        <v>5346</v>
      </c>
      <c r="IY5" s="840" t="s">
        <v>5347</v>
      </c>
      <c r="IZ5" s="840" t="s">
        <v>5348</v>
      </c>
      <c r="JA5" s="840" t="s">
        <v>1430</v>
      </c>
      <c r="JB5" s="840" t="s">
        <v>1432</v>
      </c>
      <c r="JC5" s="840" t="s">
        <v>1434</v>
      </c>
      <c r="JD5" s="840" t="s">
        <v>1436</v>
      </c>
      <c r="JE5" s="840" t="s">
        <v>1438</v>
      </c>
      <c r="JF5" s="840" t="s">
        <v>1439</v>
      </c>
      <c r="JG5" s="840" t="s">
        <v>5349</v>
      </c>
      <c r="JH5" s="840" t="s">
        <v>5350</v>
      </c>
      <c r="JI5" s="840" t="s">
        <v>5351</v>
      </c>
      <c r="JJ5" s="840" t="s">
        <v>5352</v>
      </c>
      <c r="JK5" s="840" t="s">
        <v>5353</v>
      </c>
      <c r="JL5" s="840" t="s">
        <v>5354</v>
      </c>
      <c r="JM5" s="840" t="s">
        <v>1446</v>
      </c>
      <c r="JN5" s="840" t="s">
        <v>1447</v>
      </c>
      <c r="JO5" s="840" t="s">
        <v>1448</v>
      </c>
      <c r="JP5" s="840" t="s">
        <v>5355</v>
      </c>
      <c r="JQ5" s="840" t="s">
        <v>5356</v>
      </c>
      <c r="JR5" s="840" t="s">
        <v>5357</v>
      </c>
      <c r="JS5" s="840" t="s">
        <v>5358</v>
      </c>
      <c r="JT5" s="840" t="s">
        <v>1463</v>
      </c>
      <c r="JU5" s="840" t="s">
        <v>5359</v>
      </c>
      <c r="JV5" s="840" t="s">
        <v>5360</v>
      </c>
      <c r="JW5" s="840" t="s">
        <v>5361</v>
      </c>
      <c r="JX5" s="840" t="s">
        <v>1468</v>
      </c>
      <c r="JY5" s="840" t="s">
        <v>5362</v>
      </c>
      <c r="JZ5" s="840" t="s">
        <v>5363</v>
      </c>
      <c r="KA5" s="840" t="s">
        <v>5364</v>
      </c>
      <c r="KB5" s="840" t="s">
        <v>1472</v>
      </c>
      <c r="KC5" s="840" t="s">
        <v>5365</v>
      </c>
      <c r="KD5" s="840" t="s">
        <v>5366</v>
      </c>
      <c r="KE5" s="840" t="s">
        <v>5367</v>
      </c>
      <c r="KF5" s="840" t="s">
        <v>5368</v>
      </c>
      <c r="KG5" s="840" t="s">
        <v>1478</v>
      </c>
      <c r="KH5" s="840" t="s">
        <v>5369</v>
      </c>
      <c r="KI5" s="840" t="s">
        <v>5370</v>
      </c>
      <c r="KJ5" s="840" t="s">
        <v>5371</v>
      </c>
      <c r="KK5" s="840" t="s">
        <v>5372</v>
      </c>
      <c r="KL5" s="840" t="s">
        <v>5373</v>
      </c>
      <c r="KM5" s="938" t="s">
        <v>5374</v>
      </c>
      <c r="KN5" s="840" t="s">
        <v>5375</v>
      </c>
      <c r="KO5" s="840" t="s">
        <v>5376</v>
      </c>
      <c r="KP5" s="840" t="s">
        <v>5377</v>
      </c>
      <c r="KQ5" s="840" t="s">
        <v>5378</v>
      </c>
      <c r="KR5" s="840" t="s">
        <v>5379</v>
      </c>
      <c r="KS5" s="840" t="s">
        <v>5380</v>
      </c>
      <c r="KT5" s="840" t="s">
        <v>5381</v>
      </c>
      <c r="KU5" s="840" t="s">
        <v>5382</v>
      </c>
      <c r="KV5" s="840" t="s">
        <v>5383</v>
      </c>
      <c r="KW5" s="840" t="s">
        <v>5384</v>
      </c>
      <c r="KX5" s="840" t="s">
        <v>5385</v>
      </c>
      <c r="KY5" s="938" t="s">
        <v>5386</v>
      </c>
      <c r="KZ5" s="840" t="s">
        <v>5387</v>
      </c>
      <c r="LA5" s="840" t="s">
        <v>5388</v>
      </c>
      <c r="LB5" s="840" t="s">
        <v>5389</v>
      </c>
      <c r="LC5" s="840" t="s">
        <v>5390</v>
      </c>
      <c r="LD5" s="840" t="s">
        <v>5391</v>
      </c>
      <c r="LE5" s="840" t="s">
        <v>5392</v>
      </c>
      <c r="LF5" s="840" t="s">
        <v>5393</v>
      </c>
      <c r="LG5" s="840" t="s">
        <v>5394</v>
      </c>
      <c r="LH5" s="840" t="s">
        <v>5395</v>
      </c>
      <c r="LI5" s="840" t="s">
        <v>5396</v>
      </c>
      <c r="LJ5" s="840" t="s">
        <v>5397</v>
      </c>
      <c r="LK5" s="840" t="s">
        <v>5398</v>
      </c>
      <c r="LL5" s="840" t="s">
        <v>1568</v>
      </c>
      <c r="LM5" s="840" t="s">
        <v>5399</v>
      </c>
      <c r="LN5" s="840" t="s">
        <v>1548</v>
      </c>
      <c r="LO5" s="840" t="s">
        <v>1549</v>
      </c>
      <c r="LP5" s="840" t="s">
        <v>5400</v>
      </c>
      <c r="LQ5" s="840" t="s">
        <v>5401</v>
      </c>
      <c r="LR5" s="840" t="s">
        <v>5402</v>
      </c>
      <c r="LS5" s="840" t="s">
        <v>5403</v>
      </c>
      <c r="LT5" s="840" t="s">
        <v>5404</v>
      </c>
      <c r="LU5" s="840" t="s">
        <v>5336</v>
      </c>
      <c r="LV5" s="840" t="s">
        <v>5336</v>
      </c>
      <c r="LW5" s="840" t="s">
        <v>5336</v>
      </c>
      <c r="LX5" s="840" t="s">
        <v>5336</v>
      </c>
      <c r="LY5" s="840" t="s">
        <v>5336</v>
      </c>
      <c r="LZ5" s="840" t="s">
        <v>5336</v>
      </c>
      <c r="MA5" s="840" t="s">
        <v>5336</v>
      </c>
      <c r="MB5" s="840" t="s">
        <v>5336</v>
      </c>
      <c r="MC5" s="840" t="s">
        <v>5336</v>
      </c>
      <c r="MD5" s="840" t="s">
        <v>5336</v>
      </c>
      <c r="ME5" s="840" t="s">
        <v>5336</v>
      </c>
      <c r="MF5" s="840" t="s">
        <v>5336</v>
      </c>
      <c r="MG5" s="840" t="s">
        <v>5336</v>
      </c>
      <c r="MH5" s="840" t="s">
        <v>5336</v>
      </c>
      <c r="MI5" s="840" t="s">
        <v>5405</v>
      </c>
      <c r="MJ5" s="840" t="s">
        <v>5405</v>
      </c>
      <c r="MK5" s="840" t="s">
        <v>5405</v>
      </c>
      <c r="ML5" s="840" t="s">
        <v>5405</v>
      </c>
      <c r="MM5" s="840" t="s">
        <v>5405</v>
      </c>
      <c r="MN5" s="840" t="s">
        <v>5405</v>
      </c>
      <c r="MO5" s="840" t="s">
        <v>5405</v>
      </c>
      <c r="MP5" s="840" t="s">
        <v>5405</v>
      </c>
      <c r="MQ5" s="840" t="s">
        <v>5405</v>
      </c>
      <c r="MR5" s="840" t="s">
        <v>5405</v>
      </c>
      <c r="MS5" s="840" t="s">
        <v>5405</v>
      </c>
      <c r="MT5" s="840" t="s">
        <v>5405</v>
      </c>
      <c r="MU5" s="840" t="s">
        <v>5405</v>
      </c>
      <c r="MV5" s="840" t="s">
        <v>5405</v>
      </c>
      <c r="MW5" s="840" t="s">
        <v>5405</v>
      </c>
      <c r="MX5" s="840" t="s">
        <v>5405</v>
      </c>
      <c r="MY5" s="840" t="s">
        <v>5405</v>
      </c>
      <c r="MZ5" s="840" t="s">
        <v>5405</v>
      </c>
      <c r="NA5" s="840" t="s">
        <v>5405</v>
      </c>
      <c r="NB5" s="840" t="s">
        <v>5405</v>
      </c>
      <c r="NC5" s="840" t="s">
        <v>5405</v>
      </c>
      <c r="ND5" s="840" t="s">
        <v>5405</v>
      </c>
      <c r="NE5" s="840" t="s">
        <v>5405</v>
      </c>
      <c r="NF5" s="840" t="s">
        <v>5405</v>
      </c>
      <c r="NG5" s="840" t="s">
        <v>5405</v>
      </c>
      <c r="NH5" s="840" t="s">
        <v>5405</v>
      </c>
      <c r="NI5" s="840" t="s">
        <v>5405</v>
      </c>
      <c r="NJ5" s="840" t="s">
        <v>5405</v>
      </c>
      <c r="NK5" s="840" t="s">
        <v>5405</v>
      </c>
      <c r="NL5" s="840" t="s">
        <v>5405</v>
      </c>
      <c r="NM5" s="840" t="s">
        <v>5405</v>
      </c>
      <c r="NN5" s="840" t="s">
        <v>5405</v>
      </c>
      <c r="NO5" s="840" t="s">
        <v>5405</v>
      </c>
      <c r="NP5" s="840" t="s">
        <v>5405</v>
      </c>
      <c r="NQ5" s="840" t="s">
        <v>5405</v>
      </c>
      <c r="NR5" s="840" t="s">
        <v>5405</v>
      </c>
      <c r="NS5" s="840" t="s">
        <v>5405</v>
      </c>
      <c r="NT5" s="840" t="s">
        <v>5405</v>
      </c>
      <c r="NU5" s="840" t="s">
        <v>5405</v>
      </c>
      <c r="NV5" s="840" t="s">
        <v>5405</v>
      </c>
      <c r="NW5" s="840" t="s">
        <v>5405</v>
      </c>
      <c r="NX5" s="840" t="s">
        <v>5405</v>
      </c>
      <c r="NY5" s="840" t="s">
        <v>5405</v>
      </c>
      <c r="NZ5" s="840" t="s">
        <v>5405</v>
      </c>
      <c r="OA5" s="840" t="s">
        <v>5405</v>
      </c>
      <c r="OB5" s="840" t="s">
        <v>5405</v>
      </c>
      <c r="OC5" s="840" t="s">
        <v>5406</v>
      </c>
      <c r="OD5" s="840" t="s">
        <v>5406</v>
      </c>
      <c r="OE5" s="840" t="s">
        <v>5406</v>
      </c>
      <c r="OF5" s="840" t="s">
        <v>5406</v>
      </c>
      <c r="OG5" s="840" t="s">
        <v>5406</v>
      </c>
      <c r="OH5" s="840" t="s">
        <v>5406</v>
      </c>
      <c r="OI5" s="840" t="s">
        <v>5407</v>
      </c>
      <c r="OJ5" s="840" t="s">
        <v>5407</v>
      </c>
      <c r="OK5" s="840" t="s">
        <v>5407</v>
      </c>
      <c r="OL5" s="840" t="s">
        <v>5407</v>
      </c>
      <c r="OM5" s="840" t="s">
        <v>5407</v>
      </c>
      <c r="ON5" s="840" t="s">
        <v>5407</v>
      </c>
    </row>
    <row r="6" spans="1:404" hidden="1" x14ac:dyDescent="0.25">
      <c r="A6" t="s">
        <v>59</v>
      </c>
      <c r="B6" t="s">
        <v>60</v>
      </c>
      <c r="C6" t="s">
        <v>58</v>
      </c>
      <c r="E6" t="s">
        <v>61</v>
      </c>
      <c r="F6">
        <v>0</v>
      </c>
      <c r="G6">
        <v>0</v>
      </c>
      <c r="H6">
        <v>0</v>
      </c>
      <c r="I6">
        <v>0</v>
      </c>
      <c r="J6">
        <v>0</v>
      </c>
      <c r="K6">
        <v>0</v>
      </c>
      <c r="L6">
        <v>0</v>
      </c>
      <c r="M6">
        <v>8</v>
      </c>
      <c r="N6">
        <v>0</v>
      </c>
      <c r="O6">
        <v>0</v>
      </c>
      <c r="P6">
        <v>0</v>
      </c>
      <c r="Q6">
        <v>0</v>
      </c>
      <c r="R6">
        <v>0</v>
      </c>
      <c r="S6">
        <v>0</v>
      </c>
      <c r="T6">
        <v>0</v>
      </c>
      <c r="U6">
        <v>16</v>
      </c>
      <c r="V6">
        <v>0</v>
      </c>
      <c r="W6">
        <v>0</v>
      </c>
      <c r="X6">
        <v>0</v>
      </c>
      <c r="Y6">
        <v>0</v>
      </c>
      <c r="Z6">
        <v>-54</v>
      </c>
      <c r="AA6">
        <v>-64</v>
      </c>
      <c r="AB6">
        <v>0</v>
      </c>
      <c r="AC6">
        <v>0</v>
      </c>
      <c r="AD6">
        <v>20</v>
      </c>
      <c r="AE6">
        <v>0</v>
      </c>
      <c r="AF6">
        <v>0</v>
      </c>
      <c r="AG6">
        <v>14</v>
      </c>
      <c r="AH6">
        <v>0</v>
      </c>
      <c r="AI6">
        <v>-60</v>
      </c>
      <c r="AJ6">
        <v>0</v>
      </c>
      <c r="AK6">
        <v>0</v>
      </c>
      <c r="AL6">
        <v>0</v>
      </c>
      <c r="AM6">
        <v>0</v>
      </c>
      <c r="AN6">
        <v>0</v>
      </c>
      <c r="AO6">
        <v>0</v>
      </c>
      <c r="AP6">
        <v>0</v>
      </c>
      <c r="AQ6">
        <v>145</v>
      </c>
      <c r="AR6">
        <v>0</v>
      </c>
      <c r="AS6">
        <v>0</v>
      </c>
      <c r="AT6">
        <v>0</v>
      </c>
      <c r="AU6">
        <v>0</v>
      </c>
      <c r="AV6">
        <v>0</v>
      </c>
      <c r="AW6">
        <v>0</v>
      </c>
      <c r="AX6">
        <v>0</v>
      </c>
      <c r="AY6">
        <v>0</v>
      </c>
      <c r="AZ6">
        <v>0</v>
      </c>
      <c r="BA6">
        <v>0</v>
      </c>
      <c r="BB6">
        <v>0</v>
      </c>
      <c r="BC6">
        <v>0</v>
      </c>
      <c r="BD6">
        <v>0</v>
      </c>
      <c r="BE6">
        <v>0</v>
      </c>
      <c r="BF6">
        <v>0</v>
      </c>
      <c r="BG6">
        <v>0</v>
      </c>
      <c r="BH6">
        <v>0</v>
      </c>
      <c r="BI6">
        <v>0</v>
      </c>
      <c r="BJ6">
        <v>0</v>
      </c>
      <c r="BK6">
        <v>0</v>
      </c>
      <c r="BL6">
        <v>0</v>
      </c>
      <c r="BM6">
        <v>0</v>
      </c>
      <c r="BN6">
        <v>0</v>
      </c>
      <c r="BO6">
        <v>0</v>
      </c>
      <c r="BP6">
        <v>0</v>
      </c>
      <c r="BQ6">
        <v>0</v>
      </c>
      <c r="BR6">
        <v>0</v>
      </c>
      <c r="BS6">
        <v>0</v>
      </c>
      <c r="BT6">
        <v>0</v>
      </c>
      <c r="BU6">
        <v>0</v>
      </c>
      <c r="BV6">
        <v>0</v>
      </c>
      <c r="BW6">
        <v>0</v>
      </c>
      <c r="BX6">
        <v>0</v>
      </c>
      <c r="BY6">
        <v>0</v>
      </c>
      <c r="BZ6">
        <v>0</v>
      </c>
      <c r="CA6">
        <v>0</v>
      </c>
      <c r="CB6">
        <v>0</v>
      </c>
      <c r="CC6">
        <v>0</v>
      </c>
      <c r="CD6">
        <v>0</v>
      </c>
      <c r="CE6">
        <v>0</v>
      </c>
      <c r="CF6">
        <v>0</v>
      </c>
      <c r="CG6">
        <v>0</v>
      </c>
      <c r="CH6">
        <v>0</v>
      </c>
      <c r="CI6">
        <v>0</v>
      </c>
      <c r="CJ6">
        <v>0</v>
      </c>
      <c r="CK6">
        <v>0</v>
      </c>
      <c r="CL6">
        <v>0</v>
      </c>
      <c r="CM6">
        <v>0</v>
      </c>
      <c r="CN6">
        <v>0</v>
      </c>
      <c r="CO6">
        <v>0</v>
      </c>
      <c r="CP6">
        <v>0</v>
      </c>
      <c r="CQ6">
        <v>0</v>
      </c>
      <c r="CR6">
        <v>0</v>
      </c>
      <c r="CS6">
        <v>0</v>
      </c>
      <c r="CT6">
        <v>0</v>
      </c>
      <c r="CU6">
        <v>0</v>
      </c>
      <c r="CV6">
        <v>0</v>
      </c>
      <c r="CW6">
        <v>0</v>
      </c>
      <c r="CX6">
        <v>0</v>
      </c>
      <c r="CY6">
        <v>0</v>
      </c>
      <c r="CZ6">
        <v>0</v>
      </c>
      <c r="DA6">
        <v>0</v>
      </c>
      <c r="DB6">
        <v>0</v>
      </c>
      <c r="DC6">
        <v>193</v>
      </c>
      <c r="DD6">
        <v>0</v>
      </c>
      <c r="DE6">
        <v>119</v>
      </c>
      <c r="DF6">
        <v>0</v>
      </c>
      <c r="DG6">
        <v>0</v>
      </c>
      <c r="DH6">
        <v>37</v>
      </c>
      <c r="DI6">
        <v>0</v>
      </c>
      <c r="DJ6">
        <v>0</v>
      </c>
      <c r="DK6">
        <v>0</v>
      </c>
      <c r="DL6">
        <v>0</v>
      </c>
      <c r="DM6">
        <v>0</v>
      </c>
      <c r="DN6">
        <v>1019</v>
      </c>
      <c r="DO6">
        <v>25</v>
      </c>
      <c r="DP6">
        <v>1081</v>
      </c>
      <c r="DQ6">
        <v>0</v>
      </c>
      <c r="DR6">
        <v>0</v>
      </c>
      <c r="DS6">
        <v>-83</v>
      </c>
      <c r="DT6">
        <v>430</v>
      </c>
      <c r="DU6">
        <v>0</v>
      </c>
      <c r="DV6">
        <v>0</v>
      </c>
      <c r="DW6">
        <v>0</v>
      </c>
      <c r="DX6">
        <v>1740</v>
      </c>
      <c r="DY6">
        <v>12127</v>
      </c>
      <c r="DZ6">
        <v>540</v>
      </c>
      <c r="EA6">
        <v>778</v>
      </c>
      <c r="EB6">
        <v>0</v>
      </c>
      <c r="EC6">
        <v>0</v>
      </c>
      <c r="ED6">
        <v>22</v>
      </c>
      <c r="EE6">
        <v>0</v>
      </c>
      <c r="EF6">
        <v>0</v>
      </c>
      <c r="EG6">
        <v>0</v>
      </c>
      <c r="EH6">
        <v>2852</v>
      </c>
      <c r="EI6">
        <v>3853</v>
      </c>
      <c r="EJ6">
        <v>734</v>
      </c>
      <c r="EK6">
        <v>106</v>
      </c>
      <c r="EL6">
        <v>2224</v>
      </c>
      <c r="EM6">
        <v>0</v>
      </c>
      <c r="EN6">
        <v>4416</v>
      </c>
      <c r="EO6">
        <v>0</v>
      </c>
      <c r="EP6">
        <v>0</v>
      </c>
      <c r="EQ6">
        <v>456</v>
      </c>
      <c r="ER6">
        <v>132</v>
      </c>
      <c r="ES6">
        <v>1865</v>
      </c>
      <c r="ET6">
        <v>559</v>
      </c>
      <c r="EU6">
        <v>0</v>
      </c>
      <c r="EV6">
        <v>0</v>
      </c>
      <c r="EW6">
        <v>0</v>
      </c>
      <c r="EX6">
        <v>0</v>
      </c>
      <c r="EY6">
        <v>4</v>
      </c>
      <c r="EZ6">
        <v>57</v>
      </c>
      <c r="FA6">
        <v>-71</v>
      </c>
      <c r="FB6">
        <v>158</v>
      </c>
      <c r="FC6">
        <v>542</v>
      </c>
      <c r="FD6">
        <v>763</v>
      </c>
      <c r="FE6">
        <v>-45</v>
      </c>
      <c r="FF6">
        <v>216</v>
      </c>
      <c r="FG6">
        <v>0</v>
      </c>
      <c r="FH6">
        <v>1624</v>
      </c>
      <c r="FI6">
        <v>87</v>
      </c>
      <c r="FJ6">
        <v>0</v>
      </c>
      <c r="FK6">
        <v>0</v>
      </c>
      <c r="FL6">
        <v>-3</v>
      </c>
      <c r="FM6">
        <v>6</v>
      </c>
      <c r="FN6">
        <v>86</v>
      </c>
      <c r="FO6">
        <v>63</v>
      </c>
      <c r="FP6">
        <v>0</v>
      </c>
      <c r="FQ6">
        <v>0</v>
      </c>
      <c r="FR6">
        <v>0</v>
      </c>
      <c r="FS6">
        <v>179</v>
      </c>
      <c r="FT6">
        <v>660</v>
      </c>
      <c r="FU6">
        <v>-10</v>
      </c>
      <c r="FV6">
        <v>0</v>
      </c>
      <c r="FW6">
        <v>10</v>
      </c>
      <c r="FX6">
        <v>0</v>
      </c>
      <c r="FY6">
        <v>0</v>
      </c>
      <c r="FZ6">
        <v>8</v>
      </c>
      <c r="GA6">
        <v>0</v>
      </c>
      <c r="GB6">
        <v>2</v>
      </c>
      <c r="GC6">
        <v>0</v>
      </c>
      <c r="GD6">
        <v>386</v>
      </c>
      <c r="GE6">
        <v>1237</v>
      </c>
      <c r="GF6">
        <v>0</v>
      </c>
      <c r="GG6">
        <v>-190</v>
      </c>
      <c r="GH6">
        <v>-703</v>
      </c>
      <c r="GI6">
        <v>0</v>
      </c>
      <c r="GJ6">
        <v>0</v>
      </c>
      <c r="GK6">
        <v>1818</v>
      </c>
      <c r="GL6">
        <v>51</v>
      </c>
      <c r="GM6">
        <v>89</v>
      </c>
      <c r="GN6">
        <v>177</v>
      </c>
      <c r="GO6">
        <v>271</v>
      </c>
      <c r="GP6">
        <v>129</v>
      </c>
      <c r="GQ6">
        <v>-279</v>
      </c>
      <c r="GR6">
        <v>0</v>
      </c>
      <c r="GS6">
        <v>0</v>
      </c>
      <c r="GT6">
        <v>296</v>
      </c>
      <c r="GU6">
        <v>734</v>
      </c>
      <c r="GV6">
        <v>4176</v>
      </c>
      <c r="GW6">
        <v>0</v>
      </c>
      <c r="GX6">
        <v>0</v>
      </c>
      <c r="GY6">
        <v>0</v>
      </c>
      <c r="GZ6">
        <v>0</v>
      </c>
      <c r="HA6">
        <v>0</v>
      </c>
      <c r="HB6">
        <v>1220</v>
      </c>
      <c r="HC6">
        <v>154</v>
      </c>
      <c r="HD6">
        <v>0</v>
      </c>
      <c r="HE6">
        <v>0</v>
      </c>
      <c r="HF6">
        <v>99</v>
      </c>
      <c r="HG6">
        <v>77</v>
      </c>
      <c r="HH6">
        <v>0</v>
      </c>
      <c r="HI6">
        <v>0</v>
      </c>
      <c r="HJ6">
        <v>57</v>
      </c>
      <c r="HK6">
        <v>121</v>
      </c>
      <c r="HL6">
        <v>1</v>
      </c>
      <c r="HM6">
        <v>-11</v>
      </c>
      <c r="HN6">
        <v>0</v>
      </c>
      <c r="HO6">
        <v>0</v>
      </c>
      <c r="HP6">
        <v>0</v>
      </c>
      <c r="HQ6">
        <v>0</v>
      </c>
      <c r="HR6">
        <v>1192</v>
      </c>
      <c r="HS6">
        <v>0</v>
      </c>
      <c r="HT6">
        <v>0</v>
      </c>
      <c r="HU6">
        <v>3354</v>
      </c>
      <c r="HV6">
        <v>6264</v>
      </c>
      <c r="HW6">
        <v>0</v>
      </c>
      <c r="HX6">
        <v>0</v>
      </c>
      <c r="HY6">
        <v>0</v>
      </c>
      <c r="HZ6">
        <v>1651</v>
      </c>
      <c r="IA6">
        <v>0</v>
      </c>
      <c r="IB6">
        <v>0</v>
      </c>
      <c r="IC6">
        <v>0</v>
      </c>
      <c r="ID6">
        <v>-60</v>
      </c>
      <c r="IE6">
        <v>0</v>
      </c>
      <c r="IF6">
        <v>0</v>
      </c>
      <c r="IG6">
        <v>0</v>
      </c>
      <c r="IH6">
        <v>1740</v>
      </c>
      <c r="II6">
        <v>1624</v>
      </c>
      <c r="IJ6">
        <v>1818</v>
      </c>
      <c r="IK6">
        <v>734</v>
      </c>
      <c r="IL6">
        <v>0</v>
      </c>
      <c r="IM6">
        <v>0</v>
      </c>
      <c r="IN6">
        <v>6264</v>
      </c>
      <c r="IO6">
        <v>0</v>
      </c>
      <c r="IP6">
        <v>12120</v>
      </c>
      <c r="IQ6">
        <v>7295</v>
      </c>
      <c r="IR6">
        <v>482</v>
      </c>
      <c r="IS6">
        <v>4929</v>
      </c>
      <c r="IT6">
        <v>0</v>
      </c>
      <c r="IU6">
        <v>0</v>
      </c>
      <c r="IV6">
        <v>435</v>
      </c>
      <c r="IW6">
        <v>0</v>
      </c>
      <c r="IX6">
        <v>0</v>
      </c>
      <c r="IY6">
        <v>0</v>
      </c>
      <c r="IZ6">
        <v>0</v>
      </c>
      <c r="JA6">
        <v>-4431</v>
      </c>
      <c r="JB6">
        <v>0</v>
      </c>
      <c r="JC6">
        <v>0</v>
      </c>
      <c r="JD6">
        <v>0</v>
      </c>
      <c r="JE6">
        <v>0</v>
      </c>
      <c r="JF6">
        <v>0</v>
      </c>
      <c r="JG6">
        <v>20830</v>
      </c>
      <c r="JH6">
        <v>0</v>
      </c>
      <c r="JI6">
        <v>97</v>
      </c>
      <c r="JJ6">
        <v>0</v>
      </c>
      <c r="JK6">
        <v>0</v>
      </c>
      <c r="JL6">
        <v>0</v>
      </c>
      <c r="JM6">
        <v>0</v>
      </c>
      <c r="JN6">
        <v>2314</v>
      </c>
      <c r="JO6">
        <v>0</v>
      </c>
      <c r="JP6">
        <v>3604</v>
      </c>
      <c r="JQ6">
        <v>0</v>
      </c>
      <c r="JR6">
        <v>26845</v>
      </c>
      <c r="JS6">
        <v>-129</v>
      </c>
      <c r="JT6">
        <v>0</v>
      </c>
      <c r="JU6">
        <v>0</v>
      </c>
      <c r="JV6">
        <v>0</v>
      </c>
      <c r="JW6">
        <v>-12827</v>
      </c>
      <c r="JX6">
        <v>0</v>
      </c>
      <c r="JY6">
        <v>0</v>
      </c>
      <c r="JZ6">
        <v>0</v>
      </c>
      <c r="KA6">
        <v>0</v>
      </c>
      <c r="KB6">
        <v>0</v>
      </c>
      <c r="KC6">
        <v>13889</v>
      </c>
      <c r="KD6">
        <v>0</v>
      </c>
      <c r="KE6">
        <v>-1583</v>
      </c>
      <c r="KF6">
        <v>12306</v>
      </c>
      <c r="KG6">
        <v>0</v>
      </c>
      <c r="KH6">
        <v>0</v>
      </c>
      <c r="KI6">
        <v>0</v>
      </c>
      <c r="KJ6">
        <v>0</v>
      </c>
      <c r="KK6">
        <v>-2150</v>
      </c>
      <c r="KL6">
        <v>100</v>
      </c>
      <c r="KM6">
        <v>0</v>
      </c>
      <c r="KN6">
        <v>0</v>
      </c>
      <c r="KO6">
        <v>-283</v>
      </c>
      <c r="KP6">
        <v>55</v>
      </c>
      <c r="KQ6">
        <v>0</v>
      </c>
      <c r="KR6">
        <v>7046</v>
      </c>
      <c r="KS6">
        <v>0</v>
      </c>
      <c r="KT6">
        <v>0</v>
      </c>
      <c r="KU6">
        <v>0</v>
      </c>
      <c r="KV6">
        <v>6597</v>
      </c>
      <c r="KW6">
        <v>951</v>
      </c>
      <c r="KX6">
        <v>0</v>
      </c>
      <c r="KY6">
        <v>0</v>
      </c>
      <c r="KZ6">
        <v>0</v>
      </c>
      <c r="LA6">
        <v>4447</v>
      </c>
      <c r="LB6">
        <v>1051</v>
      </c>
      <c r="LC6">
        <v>0</v>
      </c>
      <c r="LD6">
        <v>5777</v>
      </c>
      <c r="LE6">
        <v>0</v>
      </c>
      <c r="LF6">
        <v>3807</v>
      </c>
      <c r="LG6">
        <v>0</v>
      </c>
      <c r="LH6">
        <v>0</v>
      </c>
      <c r="LI6">
        <v>9584</v>
      </c>
      <c r="LJ6">
        <v>2063</v>
      </c>
      <c r="LK6">
        <v>2289</v>
      </c>
      <c r="LL6">
        <v>4352</v>
      </c>
      <c r="LM6">
        <v>0</v>
      </c>
      <c r="LN6">
        <v>0</v>
      </c>
      <c r="LO6">
        <v>0</v>
      </c>
      <c r="LP6">
        <v>13467</v>
      </c>
      <c r="LQ6">
        <v>14773</v>
      </c>
      <c r="LR6">
        <v>-1306</v>
      </c>
      <c r="LS6">
        <v>1865</v>
      </c>
      <c r="LT6">
        <v>559</v>
      </c>
      <c r="LU6">
        <v>0</v>
      </c>
      <c r="LV6">
        <v>-60</v>
      </c>
      <c r="LW6">
        <v>0</v>
      </c>
      <c r="LX6">
        <v>0</v>
      </c>
      <c r="LY6">
        <v>0</v>
      </c>
      <c r="LZ6">
        <v>1740</v>
      </c>
      <c r="MA6">
        <v>1624</v>
      </c>
      <c r="MB6">
        <v>1818</v>
      </c>
      <c r="MC6">
        <v>734</v>
      </c>
      <c r="MD6">
        <v>0</v>
      </c>
      <c r="ME6">
        <v>0</v>
      </c>
      <c r="MF6">
        <v>6264</v>
      </c>
      <c r="MG6">
        <v>0</v>
      </c>
      <c r="MH6">
        <v>12120</v>
      </c>
      <c r="MI6">
        <v>0</v>
      </c>
      <c r="MJ6">
        <v>0</v>
      </c>
      <c r="MK6">
        <v>0</v>
      </c>
      <c r="ML6">
        <v>0</v>
      </c>
      <c r="MM6">
        <v>0</v>
      </c>
      <c r="MN6">
        <v>0</v>
      </c>
      <c r="MO6">
        <v>0</v>
      </c>
      <c r="MP6">
        <v>0</v>
      </c>
      <c r="MQ6">
        <v>0</v>
      </c>
      <c r="MR6">
        <v>0</v>
      </c>
      <c r="MS6">
        <v>0</v>
      </c>
      <c r="MT6">
        <v>0</v>
      </c>
      <c r="MU6">
        <v>0</v>
      </c>
      <c r="MV6">
        <v>0</v>
      </c>
      <c r="MW6">
        <v>0</v>
      </c>
      <c r="MX6">
        <v>0</v>
      </c>
      <c r="MY6">
        <v>-4431</v>
      </c>
      <c r="MZ6">
        <v>0</v>
      </c>
      <c r="NA6">
        <v>-4431</v>
      </c>
      <c r="NB6">
        <v>0</v>
      </c>
      <c r="NC6">
        <v>-4431</v>
      </c>
      <c r="ND6">
        <v>0</v>
      </c>
      <c r="NE6">
        <v>0</v>
      </c>
      <c r="NF6">
        <v>0</v>
      </c>
      <c r="NG6">
        <v>0</v>
      </c>
      <c r="NH6">
        <v>0</v>
      </c>
      <c r="NI6">
        <v>0</v>
      </c>
      <c r="NJ6">
        <v>0</v>
      </c>
      <c r="NK6">
        <v>0</v>
      </c>
      <c r="NL6">
        <v>0</v>
      </c>
      <c r="NM6">
        <v>0</v>
      </c>
      <c r="NN6">
        <v>0</v>
      </c>
      <c r="NO6">
        <v>0</v>
      </c>
      <c r="NP6">
        <v>0</v>
      </c>
      <c r="NQ6">
        <v>0</v>
      </c>
      <c r="NR6">
        <v>0</v>
      </c>
      <c r="NS6">
        <v>0</v>
      </c>
      <c r="NT6">
        <v>0</v>
      </c>
      <c r="NU6">
        <v>0</v>
      </c>
      <c r="NV6">
        <v>0</v>
      </c>
      <c r="NW6">
        <v>0</v>
      </c>
      <c r="NX6">
        <v>0</v>
      </c>
      <c r="NY6">
        <v>0</v>
      </c>
      <c r="NZ6">
        <v>0</v>
      </c>
      <c r="OA6">
        <v>0</v>
      </c>
      <c r="OB6">
        <v>0</v>
      </c>
      <c r="OC6">
        <v>0</v>
      </c>
      <c r="OD6">
        <v>0</v>
      </c>
      <c r="OE6">
        <v>0</v>
      </c>
      <c r="OF6">
        <v>0</v>
      </c>
      <c r="OG6">
        <v>0</v>
      </c>
      <c r="OH6">
        <v>0</v>
      </c>
      <c r="OI6">
        <v>0</v>
      </c>
      <c r="OJ6">
        <v>0</v>
      </c>
      <c r="OK6">
        <v>0</v>
      </c>
      <c r="OL6">
        <v>0</v>
      </c>
      <c r="OM6">
        <v>0</v>
      </c>
      <c r="ON6">
        <v>0</v>
      </c>
    </row>
    <row r="7" spans="1:404" hidden="1" x14ac:dyDescent="0.25">
      <c r="A7" t="s">
        <v>65</v>
      </c>
      <c r="B7" t="s">
        <v>66</v>
      </c>
      <c r="C7" t="s">
        <v>64</v>
      </c>
      <c r="E7" t="s">
        <v>61</v>
      </c>
      <c r="F7">
        <v>0</v>
      </c>
      <c r="G7">
        <v>0</v>
      </c>
      <c r="H7">
        <v>0</v>
      </c>
      <c r="I7">
        <v>0</v>
      </c>
      <c r="J7">
        <v>0</v>
      </c>
      <c r="K7">
        <v>0</v>
      </c>
      <c r="L7">
        <v>0</v>
      </c>
      <c r="M7">
        <v>0</v>
      </c>
      <c r="N7">
        <v>0</v>
      </c>
      <c r="O7">
        <v>0</v>
      </c>
      <c r="P7">
        <v>0</v>
      </c>
      <c r="Q7">
        <v>0</v>
      </c>
      <c r="R7">
        <v>0</v>
      </c>
      <c r="S7">
        <v>0</v>
      </c>
      <c r="T7">
        <v>0</v>
      </c>
      <c r="U7">
        <v>186</v>
      </c>
      <c r="V7">
        <v>0</v>
      </c>
      <c r="W7">
        <v>0</v>
      </c>
      <c r="X7">
        <v>0</v>
      </c>
      <c r="Y7">
        <v>0</v>
      </c>
      <c r="Z7">
        <v>0</v>
      </c>
      <c r="AA7">
        <v>-1112</v>
      </c>
      <c r="AB7">
        <v>0</v>
      </c>
      <c r="AC7">
        <v>0</v>
      </c>
      <c r="AD7">
        <v>0</v>
      </c>
      <c r="AE7">
        <v>0</v>
      </c>
      <c r="AF7">
        <v>0</v>
      </c>
      <c r="AG7">
        <v>0</v>
      </c>
      <c r="AH7">
        <v>43</v>
      </c>
      <c r="AI7">
        <v>-883</v>
      </c>
      <c r="AJ7">
        <v>0</v>
      </c>
      <c r="AK7">
        <v>0</v>
      </c>
      <c r="AL7">
        <v>0</v>
      </c>
      <c r="AM7">
        <v>0</v>
      </c>
      <c r="AN7">
        <v>0</v>
      </c>
      <c r="AO7">
        <v>0</v>
      </c>
      <c r="AP7">
        <v>0</v>
      </c>
      <c r="AQ7">
        <v>0</v>
      </c>
      <c r="AR7">
        <v>0</v>
      </c>
      <c r="AS7">
        <v>0</v>
      </c>
      <c r="AT7">
        <v>0</v>
      </c>
      <c r="AU7">
        <v>0</v>
      </c>
      <c r="AV7">
        <v>0</v>
      </c>
      <c r="AW7">
        <v>0</v>
      </c>
      <c r="AX7">
        <v>0</v>
      </c>
      <c r="AY7">
        <v>0</v>
      </c>
      <c r="AZ7">
        <v>0</v>
      </c>
      <c r="BA7">
        <v>0</v>
      </c>
      <c r="BB7">
        <v>0</v>
      </c>
      <c r="BC7">
        <v>0</v>
      </c>
      <c r="BD7">
        <v>0</v>
      </c>
      <c r="BE7">
        <v>0</v>
      </c>
      <c r="BF7">
        <v>0</v>
      </c>
      <c r="BG7">
        <v>0</v>
      </c>
      <c r="BH7">
        <v>0</v>
      </c>
      <c r="BI7">
        <v>0</v>
      </c>
      <c r="BJ7">
        <v>0</v>
      </c>
      <c r="BK7">
        <v>0</v>
      </c>
      <c r="BL7">
        <v>0</v>
      </c>
      <c r="BM7">
        <v>0</v>
      </c>
      <c r="BN7">
        <v>0</v>
      </c>
      <c r="BO7">
        <v>0</v>
      </c>
      <c r="BP7">
        <v>0</v>
      </c>
      <c r="BQ7">
        <v>0</v>
      </c>
      <c r="BR7">
        <v>0</v>
      </c>
      <c r="BS7">
        <v>0</v>
      </c>
      <c r="BT7">
        <v>0</v>
      </c>
      <c r="BU7">
        <v>0</v>
      </c>
      <c r="BV7">
        <v>0</v>
      </c>
      <c r="BW7">
        <v>0</v>
      </c>
      <c r="BX7">
        <v>0</v>
      </c>
      <c r="BY7">
        <v>0</v>
      </c>
      <c r="BZ7">
        <v>0</v>
      </c>
      <c r="CA7">
        <v>0</v>
      </c>
      <c r="CB7">
        <v>0</v>
      </c>
      <c r="CC7">
        <v>0</v>
      </c>
      <c r="CD7">
        <v>0</v>
      </c>
      <c r="CE7">
        <v>0</v>
      </c>
      <c r="CF7">
        <v>0</v>
      </c>
      <c r="CG7">
        <v>0</v>
      </c>
      <c r="CH7">
        <v>0</v>
      </c>
      <c r="CI7">
        <v>0</v>
      </c>
      <c r="CJ7">
        <v>0</v>
      </c>
      <c r="CK7">
        <v>0</v>
      </c>
      <c r="CL7">
        <v>0</v>
      </c>
      <c r="CM7">
        <v>0</v>
      </c>
      <c r="CN7">
        <v>0</v>
      </c>
      <c r="CO7">
        <v>0</v>
      </c>
      <c r="CP7">
        <v>0</v>
      </c>
      <c r="CQ7">
        <v>0</v>
      </c>
      <c r="CR7">
        <v>0</v>
      </c>
      <c r="CS7">
        <v>0</v>
      </c>
      <c r="CT7">
        <v>0</v>
      </c>
      <c r="CU7">
        <v>0</v>
      </c>
      <c r="CV7">
        <v>229</v>
      </c>
      <c r="CW7">
        <v>0</v>
      </c>
      <c r="CX7">
        <v>0</v>
      </c>
      <c r="CY7">
        <v>0</v>
      </c>
      <c r="CZ7">
        <v>0</v>
      </c>
      <c r="DA7">
        <v>0</v>
      </c>
      <c r="DB7">
        <v>0</v>
      </c>
      <c r="DC7">
        <v>131</v>
      </c>
      <c r="DD7">
        <v>0</v>
      </c>
      <c r="DE7">
        <v>-76</v>
      </c>
      <c r="DF7">
        <v>250</v>
      </c>
      <c r="DG7">
        <v>0</v>
      </c>
      <c r="DH7">
        <v>0</v>
      </c>
      <c r="DI7">
        <v>0</v>
      </c>
      <c r="DJ7">
        <v>69</v>
      </c>
      <c r="DK7">
        <v>8</v>
      </c>
      <c r="DL7">
        <v>0</v>
      </c>
      <c r="DM7">
        <v>0</v>
      </c>
      <c r="DN7">
        <v>0</v>
      </c>
      <c r="DO7">
        <v>613</v>
      </c>
      <c r="DP7">
        <v>690</v>
      </c>
      <c r="DQ7">
        <v>0</v>
      </c>
      <c r="DR7">
        <v>0</v>
      </c>
      <c r="DS7">
        <v>0</v>
      </c>
      <c r="DT7">
        <v>753</v>
      </c>
      <c r="DU7">
        <v>11</v>
      </c>
      <c r="DV7">
        <v>0</v>
      </c>
      <c r="DW7">
        <v>0</v>
      </c>
      <c r="DX7">
        <v>1759</v>
      </c>
      <c r="DY7">
        <v>0</v>
      </c>
      <c r="DZ7">
        <v>0</v>
      </c>
      <c r="EA7">
        <v>0</v>
      </c>
      <c r="EB7">
        <v>0</v>
      </c>
      <c r="EC7">
        <v>0</v>
      </c>
      <c r="ED7">
        <v>0</v>
      </c>
      <c r="EE7">
        <v>0</v>
      </c>
      <c r="EF7">
        <v>0</v>
      </c>
      <c r="EG7">
        <v>0</v>
      </c>
      <c r="EH7">
        <v>0</v>
      </c>
      <c r="EI7">
        <v>0</v>
      </c>
      <c r="EJ7">
        <v>0</v>
      </c>
      <c r="EK7">
        <v>0</v>
      </c>
      <c r="EL7">
        <v>0</v>
      </c>
      <c r="EM7">
        <v>0</v>
      </c>
      <c r="EN7">
        <v>0</v>
      </c>
      <c r="EO7">
        <v>0</v>
      </c>
      <c r="EP7">
        <v>0</v>
      </c>
      <c r="EQ7">
        <v>0</v>
      </c>
      <c r="ER7">
        <v>0</v>
      </c>
      <c r="ES7">
        <v>0</v>
      </c>
      <c r="ET7">
        <v>0</v>
      </c>
      <c r="EU7">
        <v>0</v>
      </c>
      <c r="EV7">
        <v>32</v>
      </c>
      <c r="EW7">
        <v>35</v>
      </c>
      <c r="EX7">
        <v>287</v>
      </c>
      <c r="EY7">
        <v>194</v>
      </c>
      <c r="EZ7">
        <v>10</v>
      </c>
      <c r="FA7">
        <v>0</v>
      </c>
      <c r="FB7">
        <v>23</v>
      </c>
      <c r="FC7">
        <v>1022</v>
      </c>
      <c r="FD7">
        <v>793</v>
      </c>
      <c r="FE7">
        <v>0</v>
      </c>
      <c r="FF7">
        <v>294</v>
      </c>
      <c r="FG7">
        <v>0</v>
      </c>
      <c r="FH7">
        <v>2690</v>
      </c>
      <c r="FI7">
        <v>47</v>
      </c>
      <c r="FJ7">
        <v>0</v>
      </c>
      <c r="FK7">
        <v>0</v>
      </c>
      <c r="FL7">
        <v>43</v>
      </c>
      <c r="FM7">
        <v>422</v>
      </c>
      <c r="FN7">
        <v>0</v>
      </c>
      <c r="FO7">
        <v>233</v>
      </c>
      <c r="FP7">
        <v>0</v>
      </c>
      <c r="FQ7">
        <v>0</v>
      </c>
      <c r="FR7">
        <v>39</v>
      </c>
      <c r="FS7">
        <v>133</v>
      </c>
      <c r="FT7">
        <v>167</v>
      </c>
      <c r="FU7">
        <v>111</v>
      </c>
      <c r="FV7">
        <v>0</v>
      </c>
      <c r="FW7">
        <v>173</v>
      </c>
      <c r="FX7">
        <v>5</v>
      </c>
      <c r="FY7">
        <v>0</v>
      </c>
      <c r="FZ7">
        <v>0</v>
      </c>
      <c r="GA7">
        <v>0</v>
      </c>
      <c r="GB7">
        <v>139</v>
      </c>
      <c r="GC7">
        <v>121</v>
      </c>
      <c r="GD7">
        <v>1055</v>
      </c>
      <c r="GE7">
        <v>2010</v>
      </c>
      <c r="GF7">
        <v>0</v>
      </c>
      <c r="GG7">
        <v>-771</v>
      </c>
      <c r="GH7">
        <v>629</v>
      </c>
      <c r="GI7">
        <v>0</v>
      </c>
      <c r="GJ7">
        <v>13</v>
      </c>
      <c r="GK7">
        <v>4569</v>
      </c>
      <c r="GL7">
        <v>204</v>
      </c>
      <c r="GM7">
        <v>328</v>
      </c>
      <c r="GN7">
        <v>0</v>
      </c>
      <c r="GO7">
        <v>0</v>
      </c>
      <c r="GP7">
        <v>139</v>
      </c>
      <c r="GQ7">
        <v>618</v>
      </c>
      <c r="GR7">
        <v>0</v>
      </c>
      <c r="GS7">
        <v>332</v>
      </c>
      <c r="GT7">
        <v>0</v>
      </c>
      <c r="GU7">
        <v>1621</v>
      </c>
      <c r="GV7">
        <v>8880</v>
      </c>
      <c r="GW7">
        <v>0</v>
      </c>
      <c r="GX7">
        <v>0</v>
      </c>
      <c r="GY7">
        <v>0</v>
      </c>
      <c r="GZ7">
        <v>0</v>
      </c>
      <c r="HA7">
        <v>0</v>
      </c>
      <c r="HB7">
        <v>2808</v>
      </c>
      <c r="HC7">
        <v>125</v>
      </c>
      <c r="HD7">
        <v>0</v>
      </c>
      <c r="HE7">
        <v>0</v>
      </c>
      <c r="HF7">
        <v>322</v>
      </c>
      <c r="HG7">
        <v>23</v>
      </c>
      <c r="HH7">
        <v>0</v>
      </c>
      <c r="HI7">
        <v>0</v>
      </c>
      <c r="HJ7">
        <v>65</v>
      </c>
      <c r="HK7">
        <v>521</v>
      </c>
      <c r="HL7">
        <v>84</v>
      </c>
      <c r="HM7">
        <v>-12</v>
      </c>
      <c r="HN7">
        <v>0</v>
      </c>
      <c r="HO7">
        <v>-56</v>
      </c>
      <c r="HP7">
        <v>0</v>
      </c>
      <c r="HQ7">
        <v>0</v>
      </c>
      <c r="HR7">
        <v>554</v>
      </c>
      <c r="HS7">
        <v>0</v>
      </c>
      <c r="HT7">
        <v>0</v>
      </c>
      <c r="HU7">
        <v>1883</v>
      </c>
      <c r="HV7">
        <v>6317</v>
      </c>
      <c r="HW7">
        <v>2082</v>
      </c>
      <c r="HX7">
        <v>0</v>
      </c>
      <c r="HY7">
        <v>0</v>
      </c>
      <c r="HZ7">
        <v>0</v>
      </c>
      <c r="IA7">
        <v>0</v>
      </c>
      <c r="IB7">
        <v>2523</v>
      </c>
      <c r="IC7">
        <v>0</v>
      </c>
      <c r="ID7">
        <v>-883</v>
      </c>
      <c r="IE7">
        <v>0</v>
      </c>
      <c r="IF7">
        <v>0</v>
      </c>
      <c r="IG7">
        <v>229</v>
      </c>
      <c r="IH7">
        <v>1759</v>
      </c>
      <c r="II7">
        <v>2690</v>
      </c>
      <c r="IJ7">
        <v>4569</v>
      </c>
      <c r="IK7">
        <v>1621</v>
      </c>
      <c r="IL7">
        <v>0</v>
      </c>
      <c r="IM7">
        <v>0</v>
      </c>
      <c r="IN7">
        <v>6317</v>
      </c>
      <c r="IO7">
        <v>2523</v>
      </c>
      <c r="IP7">
        <v>18825</v>
      </c>
      <c r="IQ7">
        <v>14807</v>
      </c>
      <c r="IR7">
        <v>138</v>
      </c>
      <c r="IS7">
        <v>0</v>
      </c>
      <c r="IT7">
        <v>0</v>
      </c>
      <c r="IU7">
        <v>0</v>
      </c>
      <c r="IV7">
        <v>2567</v>
      </c>
      <c r="IW7">
        <v>0</v>
      </c>
      <c r="IX7">
        <v>0</v>
      </c>
      <c r="IY7">
        <v>0</v>
      </c>
      <c r="IZ7">
        <v>0</v>
      </c>
      <c r="JA7">
        <v>-1529</v>
      </c>
      <c r="JB7">
        <v>0</v>
      </c>
      <c r="JC7">
        <v>0</v>
      </c>
      <c r="JD7">
        <v>0</v>
      </c>
      <c r="JE7">
        <v>12</v>
      </c>
      <c r="JF7">
        <v>0</v>
      </c>
      <c r="JG7">
        <v>34820</v>
      </c>
      <c r="JH7">
        <v>0</v>
      </c>
      <c r="JI7">
        <v>0</v>
      </c>
      <c r="JJ7">
        <v>0</v>
      </c>
      <c r="JK7">
        <v>0</v>
      </c>
      <c r="JL7">
        <v>0</v>
      </c>
      <c r="JM7">
        <v>0</v>
      </c>
      <c r="JN7">
        <v>1126</v>
      </c>
      <c r="JO7">
        <v>0</v>
      </c>
      <c r="JP7">
        <v>831</v>
      </c>
      <c r="JQ7">
        <v>0</v>
      </c>
      <c r="JR7">
        <v>36777</v>
      </c>
      <c r="JS7">
        <v>-63</v>
      </c>
      <c r="JT7">
        <v>0</v>
      </c>
      <c r="JU7">
        <v>11</v>
      </c>
      <c r="JV7">
        <v>0</v>
      </c>
      <c r="JW7">
        <v>-17252</v>
      </c>
      <c r="JX7">
        <v>0</v>
      </c>
      <c r="JY7">
        <v>0</v>
      </c>
      <c r="JZ7">
        <v>0</v>
      </c>
      <c r="KA7">
        <v>0</v>
      </c>
      <c r="KB7">
        <v>0</v>
      </c>
      <c r="KC7">
        <v>19473</v>
      </c>
      <c r="KD7">
        <v>0</v>
      </c>
      <c r="KE7">
        <v>-3624</v>
      </c>
      <c r="KF7">
        <v>15849</v>
      </c>
      <c r="KG7">
        <v>0</v>
      </c>
      <c r="KH7">
        <v>0</v>
      </c>
      <c r="KI7">
        <v>0</v>
      </c>
      <c r="KJ7">
        <v>0</v>
      </c>
      <c r="KK7">
        <v>-2939</v>
      </c>
      <c r="KL7">
        <v>-63</v>
      </c>
      <c r="KM7">
        <v>-200</v>
      </c>
      <c r="KN7">
        <v>0</v>
      </c>
      <c r="KO7">
        <v>-3536</v>
      </c>
      <c r="KP7">
        <v>-4</v>
      </c>
      <c r="KQ7">
        <v>-200</v>
      </c>
      <c r="KR7">
        <v>8119</v>
      </c>
      <c r="KS7">
        <v>0</v>
      </c>
      <c r="KT7">
        <v>0</v>
      </c>
      <c r="KU7">
        <v>0</v>
      </c>
      <c r="KV7">
        <v>10459</v>
      </c>
      <c r="KW7">
        <v>3168</v>
      </c>
      <c r="KX7">
        <v>0</v>
      </c>
      <c r="KY7">
        <v>0</v>
      </c>
      <c r="KZ7">
        <v>0</v>
      </c>
      <c r="LA7">
        <v>7520</v>
      </c>
      <c r="LB7">
        <v>3105</v>
      </c>
      <c r="LC7">
        <v>0</v>
      </c>
      <c r="LD7">
        <v>2108</v>
      </c>
      <c r="LE7">
        <v>-140</v>
      </c>
      <c r="LF7">
        <v>-238</v>
      </c>
      <c r="LG7">
        <v>-2968</v>
      </c>
      <c r="LH7">
        <v>1302</v>
      </c>
      <c r="LI7">
        <v>64</v>
      </c>
      <c r="LJ7">
        <v>3037</v>
      </c>
      <c r="LK7">
        <v>4469</v>
      </c>
      <c r="LL7">
        <v>7506</v>
      </c>
      <c r="LM7">
        <v>0</v>
      </c>
      <c r="LN7">
        <v>0</v>
      </c>
      <c r="LO7">
        <v>0</v>
      </c>
      <c r="LP7">
        <v>0</v>
      </c>
      <c r="LQ7">
        <v>0</v>
      </c>
      <c r="LR7">
        <v>0</v>
      </c>
      <c r="LS7">
        <v>0</v>
      </c>
      <c r="LT7">
        <v>0</v>
      </c>
      <c r="LU7">
        <v>0</v>
      </c>
      <c r="LV7">
        <v>-883</v>
      </c>
      <c r="LW7">
        <v>0</v>
      </c>
      <c r="LX7">
        <v>0</v>
      </c>
      <c r="LY7">
        <v>229</v>
      </c>
      <c r="LZ7">
        <v>1759</v>
      </c>
      <c r="MA7">
        <v>2690</v>
      </c>
      <c r="MB7">
        <v>4569</v>
      </c>
      <c r="MC7">
        <v>1621</v>
      </c>
      <c r="MD7">
        <v>0</v>
      </c>
      <c r="ME7">
        <v>0</v>
      </c>
      <c r="MF7">
        <v>6317</v>
      </c>
      <c r="MG7">
        <v>2523</v>
      </c>
      <c r="MH7">
        <v>18825</v>
      </c>
      <c r="MI7">
        <v>0</v>
      </c>
      <c r="MJ7">
        <v>0</v>
      </c>
      <c r="MK7">
        <v>0</v>
      </c>
      <c r="ML7">
        <v>0</v>
      </c>
      <c r="MM7">
        <v>0</v>
      </c>
      <c r="MN7">
        <v>0</v>
      </c>
      <c r="MO7">
        <v>0</v>
      </c>
      <c r="MP7">
        <v>0</v>
      </c>
      <c r="MQ7">
        <v>0</v>
      </c>
      <c r="MR7">
        <v>0</v>
      </c>
      <c r="MS7">
        <v>0</v>
      </c>
      <c r="MT7">
        <v>0</v>
      </c>
      <c r="MU7">
        <v>0</v>
      </c>
      <c r="MV7">
        <v>0</v>
      </c>
      <c r="MW7">
        <v>0</v>
      </c>
      <c r="MX7">
        <v>-260</v>
      </c>
      <c r="MY7">
        <v>0</v>
      </c>
      <c r="MZ7">
        <v>0</v>
      </c>
      <c r="NA7">
        <v>-1529</v>
      </c>
      <c r="NB7">
        <v>0</v>
      </c>
      <c r="NC7">
        <v>-1529</v>
      </c>
      <c r="ND7">
        <v>0</v>
      </c>
      <c r="NE7">
        <v>0</v>
      </c>
      <c r="NF7">
        <v>0</v>
      </c>
      <c r="NG7">
        <v>0</v>
      </c>
      <c r="NH7">
        <v>0</v>
      </c>
      <c r="NI7">
        <v>0</v>
      </c>
      <c r="NJ7">
        <v>0</v>
      </c>
      <c r="NK7">
        <v>0</v>
      </c>
      <c r="NL7">
        <v>0</v>
      </c>
      <c r="NM7">
        <v>0</v>
      </c>
      <c r="NN7">
        <v>0</v>
      </c>
      <c r="NO7">
        <v>0</v>
      </c>
      <c r="NP7">
        <v>0</v>
      </c>
      <c r="NQ7">
        <v>0</v>
      </c>
      <c r="NR7">
        <v>0</v>
      </c>
      <c r="NS7">
        <v>0</v>
      </c>
      <c r="NT7">
        <v>0</v>
      </c>
      <c r="NU7">
        <v>0</v>
      </c>
      <c r="NV7">
        <v>0</v>
      </c>
      <c r="NW7">
        <v>0</v>
      </c>
      <c r="NX7">
        <v>0</v>
      </c>
      <c r="NY7">
        <v>0</v>
      </c>
      <c r="NZ7">
        <v>0</v>
      </c>
      <c r="OA7">
        <v>0</v>
      </c>
      <c r="OB7">
        <v>0</v>
      </c>
      <c r="OC7">
        <v>0</v>
      </c>
      <c r="OD7">
        <v>0</v>
      </c>
      <c r="OE7">
        <v>0</v>
      </c>
      <c r="OF7">
        <v>0</v>
      </c>
      <c r="OG7">
        <v>0</v>
      </c>
      <c r="OH7">
        <v>0</v>
      </c>
      <c r="OI7">
        <v>0</v>
      </c>
      <c r="OJ7">
        <v>0</v>
      </c>
      <c r="OK7">
        <v>0</v>
      </c>
      <c r="OL7">
        <v>0</v>
      </c>
      <c r="OM7">
        <v>0</v>
      </c>
      <c r="ON7">
        <v>0</v>
      </c>
    </row>
    <row r="8" spans="1:404" hidden="1" x14ac:dyDescent="0.25">
      <c r="A8" t="s">
        <v>69</v>
      </c>
      <c r="B8" t="s">
        <v>70</v>
      </c>
      <c r="C8" t="s">
        <v>68</v>
      </c>
      <c r="E8" t="s">
        <v>61</v>
      </c>
      <c r="F8">
        <v>0</v>
      </c>
      <c r="G8">
        <v>0</v>
      </c>
      <c r="H8">
        <v>0</v>
      </c>
      <c r="I8">
        <v>0</v>
      </c>
      <c r="J8">
        <v>0</v>
      </c>
      <c r="K8">
        <v>0</v>
      </c>
      <c r="L8">
        <v>0</v>
      </c>
      <c r="M8">
        <v>0</v>
      </c>
      <c r="N8">
        <v>0</v>
      </c>
      <c r="O8">
        <v>0</v>
      </c>
      <c r="P8">
        <v>0</v>
      </c>
      <c r="Q8">
        <v>0</v>
      </c>
      <c r="R8">
        <v>0</v>
      </c>
      <c r="S8">
        <v>364</v>
      </c>
      <c r="T8">
        <v>0</v>
      </c>
      <c r="U8">
        <v>0</v>
      </c>
      <c r="V8">
        <v>0</v>
      </c>
      <c r="W8">
        <v>0</v>
      </c>
      <c r="X8">
        <v>0</v>
      </c>
      <c r="Y8">
        <v>0</v>
      </c>
      <c r="Z8">
        <v>0</v>
      </c>
      <c r="AA8">
        <v>-17</v>
      </c>
      <c r="AB8">
        <v>1</v>
      </c>
      <c r="AC8">
        <v>0</v>
      </c>
      <c r="AD8">
        <v>3</v>
      </c>
      <c r="AE8">
        <v>0</v>
      </c>
      <c r="AF8">
        <v>0</v>
      </c>
      <c r="AG8">
        <v>0</v>
      </c>
      <c r="AH8">
        <v>0</v>
      </c>
      <c r="AI8">
        <v>351</v>
      </c>
      <c r="AJ8">
        <v>0</v>
      </c>
      <c r="AK8">
        <v>0</v>
      </c>
      <c r="AL8">
        <v>0</v>
      </c>
      <c r="AM8">
        <v>144</v>
      </c>
      <c r="AN8">
        <v>0</v>
      </c>
      <c r="AO8">
        <v>0</v>
      </c>
      <c r="AP8">
        <v>0</v>
      </c>
      <c r="AQ8">
        <v>0</v>
      </c>
      <c r="AR8">
        <v>0</v>
      </c>
      <c r="AS8">
        <v>0</v>
      </c>
      <c r="AT8">
        <v>0</v>
      </c>
      <c r="AU8">
        <v>0</v>
      </c>
      <c r="AV8">
        <v>0</v>
      </c>
      <c r="AW8">
        <v>0</v>
      </c>
      <c r="AX8">
        <v>0</v>
      </c>
      <c r="AY8">
        <v>0</v>
      </c>
      <c r="AZ8">
        <v>0</v>
      </c>
      <c r="BA8">
        <v>0</v>
      </c>
      <c r="BB8">
        <v>0</v>
      </c>
      <c r="BC8">
        <v>0</v>
      </c>
      <c r="BD8">
        <v>0</v>
      </c>
      <c r="BE8">
        <v>0</v>
      </c>
      <c r="BF8">
        <v>0</v>
      </c>
      <c r="BG8">
        <v>0</v>
      </c>
      <c r="BH8">
        <v>0</v>
      </c>
      <c r="BI8">
        <v>0</v>
      </c>
      <c r="BJ8">
        <v>0</v>
      </c>
      <c r="BK8">
        <v>0</v>
      </c>
      <c r="BL8">
        <v>0</v>
      </c>
      <c r="BM8">
        <v>0</v>
      </c>
      <c r="BN8">
        <v>0</v>
      </c>
      <c r="BO8">
        <v>0</v>
      </c>
      <c r="BP8">
        <v>0</v>
      </c>
      <c r="BQ8">
        <v>0</v>
      </c>
      <c r="BR8">
        <v>0</v>
      </c>
      <c r="BS8">
        <v>0</v>
      </c>
      <c r="BT8">
        <v>0</v>
      </c>
      <c r="BU8">
        <v>0</v>
      </c>
      <c r="BV8">
        <v>0</v>
      </c>
      <c r="BW8">
        <v>0</v>
      </c>
      <c r="BX8">
        <v>0</v>
      </c>
      <c r="BY8">
        <v>0</v>
      </c>
      <c r="BZ8">
        <v>0</v>
      </c>
      <c r="CA8">
        <v>0</v>
      </c>
      <c r="CB8">
        <v>0</v>
      </c>
      <c r="CC8">
        <v>0</v>
      </c>
      <c r="CD8">
        <v>0</v>
      </c>
      <c r="CE8">
        <v>0</v>
      </c>
      <c r="CF8">
        <v>0</v>
      </c>
      <c r="CG8">
        <v>0</v>
      </c>
      <c r="CH8">
        <v>0</v>
      </c>
      <c r="CI8">
        <v>0</v>
      </c>
      <c r="CJ8">
        <v>0</v>
      </c>
      <c r="CK8">
        <v>0</v>
      </c>
      <c r="CL8">
        <v>0</v>
      </c>
      <c r="CM8">
        <v>0</v>
      </c>
      <c r="CN8">
        <v>0</v>
      </c>
      <c r="CO8">
        <v>0</v>
      </c>
      <c r="CP8">
        <v>0</v>
      </c>
      <c r="CQ8">
        <v>0</v>
      </c>
      <c r="CR8">
        <v>0</v>
      </c>
      <c r="CS8">
        <v>0</v>
      </c>
      <c r="CT8">
        <v>0</v>
      </c>
      <c r="CU8">
        <v>0</v>
      </c>
      <c r="CV8">
        <v>181</v>
      </c>
      <c r="CW8">
        <v>0</v>
      </c>
      <c r="CX8">
        <v>0</v>
      </c>
      <c r="CY8">
        <v>0</v>
      </c>
      <c r="CZ8">
        <v>0</v>
      </c>
      <c r="DA8">
        <v>0</v>
      </c>
      <c r="DB8">
        <v>0</v>
      </c>
      <c r="DC8">
        <v>-17</v>
      </c>
      <c r="DD8">
        <v>0</v>
      </c>
      <c r="DE8">
        <v>66</v>
      </c>
      <c r="DF8">
        <v>46</v>
      </c>
      <c r="DG8">
        <v>0</v>
      </c>
      <c r="DH8">
        <v>0</v>
      </c>
      <c r="DI8">
        <v>0</v>
      </c>
      <c r="DJ8">
        <v>0</v>
      </c>
      <c r="DK8">
        <v>0</v>
      </c>
      <c r="DL8">
        <v>0</v>
      </c>
      <c r="DM8">
        <v>0</v>
      </c>
      <c r="DN8">
        <v>0</v>
      </c>
      <c r="DO8">
        <v>300</v>
      </c>
      <c r="DP8">
        <v>300</v>
      </c>
      <c r="DQ8">
        <v>213</v>
      </c>
      <c r="DR8">
        <v>0</v>
      </c>
      <c r="DS8">
        <v>0</v>
      </c>
      <c r="DT8">
        <v>514</v>
      </c>
      <c r="DU8">
        <v>-11</v>
      </c>
      <c r="DV8">
        <v>0</v>
      </c>
      <c r="DW8">
        <v>0</v>
      </c>
      <c r="DX8">
        <v>1111</v>
      </c>
      <c r="DY8">
        <v>0</v>
      </c>
      <c r="DZ8">
        <v>0</v>
      </c>
      <c r="EA8">
        <v>0</v>
      </c>
      <c r="EB8">
        <v>0</v>
      </c>
      <c r="EC8">
        <v>0</v>
      </c>
      <c r="ED8">
        <v>0</v>
      </c>
      <c r="EE8">
        <v>0</v>
      </c>
      <c r="EF8">
        <v>0</v>
      </c>
      <c r="EG8">
        <v>0</v>
      </c>
      <c r="EH8">
        <v>0</v>
      </c>
      <c r="EI8">
        <v>0</v>
      </c>
      <c r="EJ8">
        <v>0</v>
      </c>
      <c r="EK8">
        <v>0</v>
      </c>
      <c r="EL8">
        <v>0</v>
      </c>
      <c r="EM8">
        <v>0</v>
      </c>
      <c r="EN8">
        <v>0</v>
      </c>
      <c r="EO8">
        <v>0</v>
      </c>
      <c r="EP8">
        <v>0</v>
      </c>
      <c r="EQ8">
        <v>0</v>
      </c>
      <c r="ER8">
        <v>0</v>
      </c>
      <c r="ES8">
        <v>0</v>
      </c>
      <c r="ET8">
        <v>0</v>
      </c>
      <c r="EU8">
        <v>0</v>
      </c>
      <c r="EV8">
        <v>0</v>
      </c>
      <c r="EW8">
        <v>0</v>
      </c>
      <c r="EX8">
        <v>50</v>
      </c>
      <c r="EY8">
        <v>0</v>
      </c>
      <c r="EZ8">
        <v>0</v>
      </c>
      <c r="FA8">
        <v>0</v>
      </c>
      <c r="FB8">
        <v>91</v>
      </c>
      <c r="FC8">
        <v>2997</v>
      </c>
      <c r="FD8">
        <v>1011</v>
      </c>
      <c r="FE8">
        <v>0</v>
      </c>
      <c r="FF8">
        <v>117</v>
      </c>
      <c r="FG8">
        <v>0</v>
      </c>
      <c r="FH8">
        <v>4266</v>
      </c>
      <c r="FI8">
        <v>227</v>
      </c>
      <c r="FJ8">
        <v>0</v>
      </c>
      <c r="FK8">
        <v>0</v>
      </c>
      <c r="FL8">
        <v>155</v>
      </c>
      <c r="FM8">
        <v>336</v>
      </c>
      <c r="FN8">
        <v>327</v>
      </c>
      <c r="FO8">
        <v>318</v>
      </c>
      <c r="FP8">
        <v>0</v>
      </c>
      <c r="FQ8">
        <v>0</v>
      </c>
      <c r="FR8">
        <v>53</v>
      </c>
      <c r="FS8">
        <v>30</v>
      </c>
      <c r="FT8">
        <v>121</v>
      </c>
      <c r="FU8">
        <v>21</v>
      </c>
      <c r="FV8">
        <v>81</v>
      </c>
      <c r="FW8">
        <v>0</v>
      </c>
      <c r="FX8">
        <v>58</v>
      </c>
      <c r="FY8">
        <v>44</v>
      </c>
      <c r="FZ8">
        <v>0</v>
      </c>
      <c r="GA8">
        <v>0</v>
      </c>
      <c r="GB8">
        <v>0</v>
      </c>
      <c r="GC8">
        <v>0</v>
      </c>
      <c r="GD8">
        <v>606</v>
      </c>
      <c r="GE8">
        <v>1404</v>
      </c>
      <c r="GF8">
        <v>0</v>
      </c>
      <c r="GG8">
        <v>-7</v>
      </c>
      <c r="GH8">
        <v>714</v>
      </c>
      <c r="GI8">
        <v>0</v>
      </c>
      <c r="GJ8">
        <v>0</v>
      </c>
      <c r="GK8">
        <v>4488</v>
      </c>
      <c r="GL8">
        <v>13</v>
      </c>
      <c r="GM8">
        <v>202</v>
      </c>
      <c r="GN8">
        <v>0</v>
      </c>
      <c r="GO8">
        <v>453</v>
      </c>
      <c r="GP8">
        <v>48</v>
      </c>
      <c r="GQ8">
        <v>2197</v>
      </c>
      <c r="GR8">
        <v>0</v>
      </c>
      <c r="GS8">
        <v>0</v>
      </c>
      <c r="GT8">
        <v>-2</v>
      </c>
      <c r="GU8">
        <v>2911</v>
      </c>
      <c r="GV8">
        <v>11665</v>
      </c>
      <c r="GW8">
        <v>0</v>
      </c>
      <c r="GX8">
        <v>0</v>
      </c>
      <c r="GY8">
        <v>0</v>
      </c>
      <c r="GZ8">
        <v>0</v>
      </c>
      <c r="HA8">
        <v>0</v>
      </c>
      <c r="HB8">
        <v>997</v>
      </c>
      <c r="HC8">
        <v>736</v>
      </c>
      <c r="HD8">
        <v>0</v>
      </c>
      <c r="HE8">
        <v>0</v>
      </c>
      <c r="HF8">
        <v>191</v>
      </c>
      <c r="HG8">
        <v>9</v>
      </c>
      <c r="HH8">
        <v>0</v>
      </c>
      <c r="HI8">
        <v>0</v>
      </c>
      <c r="HJ8">
        <v>175</v>
      </c>
      <c r="HK8">
        <v>187</v>
      </c>
      <c r="HL8">
        <v>48</v>
      </c>
      <c r="HM8">
        <v>49</v>
      </c>
      <c r="HN8">
        <v>0</v>
      </c>
      <c r="HO8">
        <v>94</v>
      </c>
      <c r="HP8">
        <v>0</v>
      </c>
      <c r="HQ8">
        <v>0</v>
      </c>
      <c r="HR8">
        <v>0</v>
      </c>
      <c r="HS8">
        <v>68</v>
      </c>
      <c r="HT8">
        <v>0</v>
      </c>
      <c r="HU8">
        <v>798</v>
      </c>
      <c r="HV8">
        <v>3352</v>
      </c>
      <c r="HW8">
        <v>1567</v>
      </c>
      <c r="HX8">
        <v>3845</v>
      </c>
      <c r="HY8">
        <v>0</v>
      </c>
      <c r="HZ8">
        <v>56</v>
      </c>
      <c r="IA8">
        <v>0</v>
      </c>
      <c r="IB8">
        <v>1613</v>
      </c>
      <c r="IC8">
        <v>0</v>
      </c>
      <c r="ID8">
        <v>351</v>
      </c>
      <c r="IE8">
        <v>0</v>
      </c>
      <c r="IF8">
        <v>0</v>
      </c>
      <c r="IG8">
        <v>181</v>
      </c>
      <c r="IH8">
        <v>1111</v>
      </c>
      <c r="II8">
        <v>4266</v>
      </c>
      <c r="IJ8">
        <v>4488</v>
      </c>
      <c r="IK8">
        <v>2911</v>
      </c>
      <c r="IL8">
        <v>0</v>
      </c>
      <c r="IM8">
        <v>0</v>
      </c>
      <c r="IN8">
        <v>3352</v>
      </c>
      <c r="IO8">
        <v>1613</v>
      </c>
      <c r="IP8">
        <v>18273</v>
      </c>
      <c r="IQ8">
        <v>21949</v>
      </c>
      <c r="IR8">
        <v>11</v>
      </c>
      <c r="IS8">
        <v>0</v>
      </c>
      <c r="IT8">
        <v>0</v>
      </c>
      <c r="IU8">
        <v>0</v>
      </c>
      <c r="IV8">
        <v>2544</v>
      </c>
      <c r="IW8">
        <v>0</v>
      </c>
      <c r="IX8">
        <v>0</v>
      </c>
      <c r="IY8">
        <v>0</v>
      </c>
      <c r="IZ8">
        <v>0</v>
      </c>
      <c r="JA8">
        <v>74</v>
      </c>
      <c r="JB8">
        <v>0</v>
      </c>
      <c r="JC8">
        <v>-85</v>
      </c>
      <c r="JD8">
        <v>0</v>
      </c>
      <c r="JE8">
        <v>64</v>
      </c>
      <c r="JF8">
        <v>0</v>
      </c>
      <c r="JG8">
        <v>42830</v>
      </c>
      <c r="JH8">
        <v>0</v>
      </c>
      <c r="JI8">
        <v>190</v>
      </c>
      <c r="JJ8">
        <v>0</v>
      </c>
      <c r="JK8">
        <v>0</v>
      </c>
      <c r="JL8">
        <v>0</v>
      </c>
      <c r="JM8">
        <v>103</v>
      </c>
      <c r="JN8">
        <v>582</v>
      </c>
      <c r="JO8">
        <v>0</v>
      </c>
      <c r="JP8">
        <v>28</v>
      </c>
      <c r="JQ8">
        <v>0</v>
      </c>
      <c r="JR8">
        <v>43733</v>
      </c>
      <c r="JS8">
        <v>-79</v>
      </c>
      <c r="JT8">
        <v>0</v>
      </c>
      <c r="JU8">
        <v>0</v>
      </c>
      <c r="JV8">
        <v>0</v>
      </c>
      <c r="JW8">
        <v>-21994</v>
      </c>
      <c r="JX8">
        <v>0</v>
      </c>
      <c r="JY8">
        <v>0</v>
      </c>
      <c r="JZ8">
        <v>0</v>
      </c>
      <c r="KA8">
        <v>0</v>
      </c>
      <c r="KB8">
        <v>0</v>
      </c>
      <c r="KC8">
        <v>21660</v>
      </c>
      <c r="KD8">
        <v>0</v>
      </c>
      <c r="KE8">
        <v>-5727</v>
      </c>
      <c r="KF8">
        <v>15933</v>
      </c>
      <c r="KG8">
        <v>0</v>
      </c>
      <c r="KH8">
        <v>0</v>
      </c>
      <c r="KI8">
        <v>0</v>
      </c>
      <c r="KJ8">
        <v>0</v>
      </c>
      <c r="KK8">
        <v>-2932</v>
      </c>
      <c r="KL8">
        <v>803</v>
      </c>
      <c r="KM8">
        <v>-5</v>
      </c>
      <c r="KN8">
        <v>0</v>
      </c>
      <c r="KO8">
        <v>-131</v>
      </c>
      <c r="KP8">
        <v>24</v>
      </c>
      <c r="KQ8">
        <v>0</v>
      </c>
      <c r="KR8">
        <v>9542</v>
      </c>
      <c r="KS8">
        <v>0</v>
      </c>
      <c r="KT8">
        <v>0</v>
      </c>
      <c r="KU8">
        <v>0</v>
      </c>
      <c r="KV8">
        <v>11989</v>
      </c>
      <c r="KW8">
        <v>8197</v>
      </c>
      <c r="KX8">
        <v>0</v>
      </c>
      <c r="KY8">
        <v>0</v>
      </c>
      <c r="KZ8">
        <v>0</v>
      </c>
      <c r="LA8">
        <v>9057</v>
      </c>
      <c r="LB8">
        <v>9000</v>
      </c>
      <c r="LC8">
        <v>0</v>
      </c>
      <c r="LD8">
        <v>2984</v>
      </c>
      <c r="LE8">
        <v>1287</v>
      </c>
      <c r="LF8">
        <v>-346</v>
      </c>
      <c r="LG8">
        <v>0</v>
      </c>
      <c r="LH8">
        <v>78</v>
      </c>
      <c r="LI8">
        <v>4003</v>
      </c>
      <c r="LJ8">
        <v>3581</v>
      </c>
      <c r="LK8">
        <v>5376</v>
      </c>
      <c r="LL8">
        <v>8957</v>
      </c>
      <c r="LM8">
        <v>0</v>
      </c>
      <c r="LN8">
        <v>0</v>
      </c>
      <c r="LO8">
        <v>0</v>
      </c>
      <c r="LP8">
        <v>0</v>
      </c>
      <c r="LQ8">
        <v>0</v>
      </c>
      <c r="LR8">
        <v>0</v>
      </c>
      <c r="LS8">
        <v>0</v>
      </c>
      <c r="LT8">
        <v>0</v>
      </c>
      <c r="LU8">
        <v>0</v>
      </c>
      <c r="LV8">
        <v>351</v>
      </c>
      <c r="LW8">
        <v>0</v>
      </c>
      <c r="LX8">
        <v>0</v>
      </c>
      <c r="LY8">
        <v>181</v>
      </c>
      <c r="LZ8">
        <v>1111</v>
      </c>
      <c r="MA8">
        <v>4266</v>
      </c>
      <c r="MB8">
        <v>4488</v>
      </c>
      <c r="MC8">
        <v>2911</v>
      </c>
      <c r="MD8">
        <v>0</v>
      </c>
      <c r="ME8">
        <v>0</v>
      </c>
      <c r="MF8">
        <v>3352</v>
      </c>
      <c r="MG8">
        <v>1613</v>
      </c>
      <c r="MH8">
        <v>18273</v>
      </c>
      <c r="MI8">
        <v>0</v>
      </c>
      <c r="MJ8">
        <v>0</v>
      </c>
      <c r="MK8">
        <v>0</v>
      </c>
      <c r="ML8">
        <v>0</v>
      </c>
      <c r="MM8">
        <v>0</v>
      </c>
      <c r="MN8">
        <v>0</v>
      </c>
      <c r="MO8">
        <v>0</v>
      </c>
      <c r="MP8">
        <v>0</v>
      </c>
      <c r="MQ8">
        <v>0</v>
      </c>
      <c r="MR8">
        <v>0</v>
      </c>
      <c r="MS8">
        <v>0</v>
      </c>
      <c r="MT8">
        <v>0</v>
      </c>
      <c r="MU8">
        <v>0</v>
      </c>
      <c r="MV8">
        <v>0</v>
      </c>
      <c r="MW8">
        <v>0</v>
      </c>
      <c r="MX8">
        <v>-21</v>
      </c>
      <c r="MY8">
        <v>0</v>
      </c>
      <c r="MZ8">
        <v>10</v>
      </c>
      <c r="NA8">
        <v>-11</v>
      </c>
      <c r="NB8">
        <v>85</v>
      </c>
      <c r="NC8">
        <v>74</v>
      </c>
      <c r="ND8">
        <v>0</v>
      </c>
      <c r="NE8">
        <v>0</v>
      </c>
      <c r="NF8">
        <v>0</v>
      </c>
      <c r="NG8">
        <v>0</v>
      </c>
      <c r="NH8">
        <v>0</v>
      </c>
      <c r="NI8">
        <v>0</v>
      </c>
      <c r="NJ8">
        <v>0</v>
      </c>
      <c r="NK8">
        <v>0</v>
      </c>
      <c r="NL8">
        <v>0</v>
      </c>
      <c r="NM8">
        <v>0</v>
      </c>
      <c r="NN8">
        <v>0</v>
      </c>
      <c r="NO8">
        <v>0</v>
      </c>
      <c r="NP8">
        <v>0</v>
      </c>
      <c r="NQ8">
        <v>0</v>
      </c>
      <c r="NR8">
        <v>0</v>
      </c>
      <c r="NS8">
        <v>0</v>
      </c>
      <c r="NT8">
        <v>0</v>
      </c>
      <c r="NU8">
        <v>0</v>
      </c>
      <c r="NV8">
        <v>0</v>
      </c>
      <c r="NW8">
        <v>0</v>
      </c>
      <c r="NX8">
        <v>0</v>
      </c>
      <c r="NY8">
        <v>0</v>
      </c>
      <c r="NZ8">
        <v>0</v>
      </c>
      <c r="OA8">
        <v>0</v>
      </c>
      <c r="OB8">
        <v>0</v>
      </c>
      <c r="OC8">
        <v>116</v>
      </c>
      <c r="OD8">
        <v>0</v>
      </c>
      <c r="OE8">
        <v>-31</v>
      </c>
      <c r="OF8">
        <v>0</v>
      </c>
      <c r="OG8">
        <v>0</v>
      </c>
      <c r="OH8">
        <v>85</v>
      </c>
      <c r="OI8">
        <v>0</v>
      </c>
      <c r="OJ8">
        <v>0</v>
      </c>
      <c r="OK8">
        <v>0</v>
      </c>
      <c r="OL8">
        <v>0</v>
      </c>
      <c r="OM8">
        <v>0</v>
      </c>
      <c r="ON8">
        <v>0</v>
      </c>
    </row>
    <row r="9" spans="1:404" hidden="1" x14ac:dyDescent="0.25">
      <c r="A9" t="s">
        <v>73</v>
      </c>
      <c r="B9" t="s">
        <v>74</v>
      </c>
      <c r="C9" t="s">
        <v>72</v>
      </c>
      <c r="E9" t="s">
        <v>61</v>
      </c>
      <c r="F9">
        <v>0</v>
      </c>
      <c r="G9">
        <v>0</v>
      </c>
      <c r="H9">
        <v>0</v>
      </c>
      <c r="I9">
        <v>0</v>
      </c>
      <c r="J9">
        <v>0</v>
      </c>
      <c r="K9">
        <v>0</v>
      </c>
      <c r="L9">
        <v>0</v>
      </c>
      <c r="M9">
        <v>0</v>
      </c>
      <c r="N9">
        <v>0</v>
      </c>
      <c r="O9">
        <v>0</v>
      </c>
      <c r="P9">
        <v>0</v>
      </c>
      <c r="Q9">
        <v>0</v>
      </c>
      <c r="R9">
        <v>0</v>
      </c>
      <c r="S9">
        <v>0</v>
      </c>
      <c r="T9">
        <v>0</v>
      </c>
      <c r="U9">
        <v>0</v>
      </c>
      <c r="V9">
        <v>0</v>
      </c>
      <c r="W9">
        <v>0</v>
      </c>
      <c r="X9">
        <v>0</v>
      </c>
      <c r="Y9">
        <v>0</v>
      </c>
      <c r="Z9">
        <v>0</v>
      </c>
      <c r="AA9">
        <v>-841</v>
      </c>
      <c r="AB9">
        <v>17</v>
      </c>
      <c r="AC9">
        <v>0</v>
      </c>
      <c r="AD9">
        <v>0</v>
      </c>
      <c r="AE9">
        <v>0</v>
      </c>
      <c r="AF9">
        <v>0</v>
      </c>
      <c r="AG9">
        <v>5</v>
      </c>
      <c r="AH9">
        <v>0</v>
      </c>
      <c r="AI9">
        <v>-819</v>
      </c>
      <c r="AJ9">
        <v>0</v>
      </c>
      <c r="AK9">
        <v>0</v>
      </c>
      <c r="AL9">
        <v>0</v>
      </c>
      <c r="AM9">
        <v>0</v>
      </c>
      <c r="AN9">
        <v>0</v>
      </c>
      <c r="AO9">
        <v>0</v>
      </c>
      <c r="AP9">
        <v>0</v>
      </c>
      <c r="AQ9">
        <v>0</v>
      </c>
      <c r="AR9">
        <v>0</v>
      </c>
      <c r="AS9">
        <v>0</v>
      </c>
      <c r="AT9">
        <v>0</v>
      </c>
      <c r="AU9">
        <v>0</v>
      </c>
      <c r="AV9">
        <v>0</v>
      </c>
      <c r="AW9">
        <v>0</v>
      </c>
      <c r="AX9">
        <v>0</v>
      </c>
      <c r="AY9">
        <v>0</v>
      </c>
      <c r="AZ9">
        <v>0</v>
      </c>
      <c r="BA9">
        <v>0</v>
      </c>
      <c r="BB9">
        <v>0</v>
      </c>
      <c r="BC9">
        <v>0</v>
      </c>
      <c r="BD9">
        <v>0</v>
      </c>
      <c r="BE9">
        <v>0</v>
      </c>
      <c r="BF9">
        <v>0</v>
      </c>
      <c r="BG9">
        <v>0</v>
      </c>
      <c r="BH9">
        <v>0</v>
      </c>
      <c r="BI9">
        <v>0</v>
      </c>
      <c r="BJ9">
        <v>0</v>
      </c>
      <c r="BK9">
        <v>0</v>
      </c>
      <c r="BL9">
        <v>0</v>
      </c>
      <c r="BM9">
        <v>0</v>
      </c>
      <c r="BN9">
        <v>0</v>
      </c>
      <c r="BO9">
        <v>0</v>
      </c>
      <c r="BP9">
        <v>0</v>
      </c>
      <c r="BQ9">
        <v>0</v>
      </c>
      <c r="BR9">
        <v>0</v>
      </c>
      <c r="BS9">
        <v>0</v>
      </c>
      <c r="BT9">
        <v>0</v>
      </c>
      <c r="BU9">
        <v>0</v>
      </c>
      <c r="BV9">
        <v>0</v>
      </c>
      <c r="BW9">
        <v>0</v>
      </c>
      <c r="BX9">
        <v>0</v>
      </c>
      <c r="BY9">
        <v>0</v>
      </c>
      <c r="BZ9">
        <v>0</v>
      </c>
      <c r="CA9">
        <v>0</v>
      </c>
      <c r="CB9">
        <v>0</v>
      </c>
      <c r="CC9">
        <v>0</v>
      </c>
      <c r="CD9">
        <v>0</v>
      </c>
      <c r="CE9">
        <v>0</v>
      </c>
      <c r="CF9">
        <v>0</v>
      </c>
      <c r="CG9">
        <v>0</v>
      </c>
      <c r="CH9">
        <v>0</v>
      </c>
      <c r="CI9">
        <v>0</v>
      </c>
      <c r="CJ9">
        <v>0</v>
      </c>
      <c r="CK9">
        <v>0</v>
      </c>
      <c r="CL9">
        <v>0</v>
      </c>
      <c r="CM9">
        <v>0</v>
      </c>
      <c r="CN9">
        <v>0</v>
      </c>
      <c r="CO9">
        <v>0</v>
      </c>
      <c r="CP9">
        <v>0</v>
      </c>
      <c r="CQ9">
        <v>0</v>
      </c>
      <c r="CR9">
        <v>0</v>
      </c>
      <c r="CS9">
        <v>0</v>
      </c>
      <c r="CT9">
        <v>0</v>
      </c>
      <c r="CU9">
        <v>0</v>
      </c>
      <c r="CV9">
        <v>0</v>
      </c>
      <c r="CW9">
        <v>0</v>
      </c>
      <c r="CX9">
        <v>0</v>
      </c>
      <c r="CY9">
        <v>0</v>
      </c>
      <c r="CZ9">
        <v>0</v>
      </c>
      <c r="DA9">
        <v>0</v>
      </c>
      <c r="DB9">
        <v>0</v>
      </c>
      <c r="DC9">
        <v>277</v>
      </c>
      <c r="DD9">
        <v>0</v>
      </c>
      <c r="DE9">
        <v>-51</v>
      </c>
      <c r="DF9">
        <v>0</v>
      </c>
      <c r="DG9">
        <v>2074</v>
      </c>
      <c r="DH9">
        <v>0</v>
      </c>
      <c r="DI9">
        <v>0</v>
      </c>
      <c r="DJ9">
        <v>1453</v>
      </c>
      <c r="DK9">
        <v>0</v>
      </c>
      <c r="DL9">
        <v>0</v>
      </c>
      <c r="DM9">
        <v>-51</v>
      </c>
      <c r="DN9">
        <v>0</v>
      </c>
      <c r="DO9">
        <v>0</v>
      </c>
      <c r="DP9">
        <v>3476</v>
      </c>
      <c r="DQ9">
        <v>204</v>
      </c>
      <c r="DR9">
        <v>0</v>
      </c>
      <c r="DS9">
        <v>0</v>
      </c>
      <c r="DT9">
        <v>1414</v>
      </c>
      <c r="DU9">
        <v>15</v>
      </c>
      <c r="DV9">
        <v>0</v>
      </c>
      <c r="DW9">
        <v>0</v>
      </c>
      <c r="DX9">
        <v>5335</v>
      </c>
      <c r="DY9">
        <v>15868</v>
      </c>
      <c r="DZ9">
        <v>449</v>
      </c>
      <c r="EA9">
        <v>663</v>
      </c>
      <c r="EB9">
        <v>20</v>
      </c>
      <c r="EC9">
        <v>0</v>
      </c>
      <c r="ED9">
        <v>1</v>
      </c>
      <c r="EE9">
        <v>0</v>
      </c>
      <c r="EF9">
        <v>5257</v>
      </c>
      <c r="EG9">
        <v>0</v>
      </c>
      <c r="EH9">
        <v>5514</v>
      </c>
      <c r="EI9">
        <v>5711</v>
      </c>
      <c r="EJ9">
        <v>0</v>
      </c>
      <c r="EK9">
        <v>256</v>
      </c>
      <c r="EL9">
        <v>0</v>
      </c>
      <c r="EM9">
        <v>1466</v>
      </c>
      <c r="EN9">
        <v>0</v>
      </c>
      <c r="EO9">
        <v>0</v>
      </c>
      <c r="EP9">
        <v>0</v>
      </c>
      <c r="EQ9">
        <v>11819</v>
      </c>
      <c r="ER9">
        <v>89</v>
      </c>
      <c r="ES9">
        <v>6488</v>
      </c>
      <c r="ET9">
        <v>3891</v>
      </c>
      <c r="EU9">
        <v>0</v>
      </c>
      <c r="EV9">
        <v>0</v>
      </c>
      <c r="EW9">
        <v>0</v>
      </c>
      <c r="EX9">
        <v>0</v>
      </c>
      <c r="EY9">
        <v>3</v>
      </c>
      <c r="EZ9">
        <v>93</v>
      </c>
      <c r="FA9">
        <v>130</v>
      </c>
      <c r="FB9">
        <v>0</v>
      </c>
      <c r="FC9">
        <v>-193</v>
      </c>
      <c r="FD9">
        <v>1354</v>
      </c>
      <c r="FE9">
        <v>0</v>
      </c>
      <c r="FF9">
        <v>58</v>
      </c>
      <c r="FG9">
        <v>0</v>
      </c>
      <c r="FH9">
        <v>1445</v>
      </c>
      <c r="FI9">
        <v>23</v>
      </c>
      <c r="FJ9">
        <v>0</v>
      </c>
      <c r="FK9">
        <v>0</v>
      </c>
      <c r="FL9">
        <v>167</v>
      </c>
      <c r="FM9">
        <v>191</v>
      </c>
      <c r="FN9">
        <v>260</v>
      </c>
      <c r="FO9">
        <v>473</v>
      </c>
      <c r="FP9">
        <v>0</v>
      </c>
      <c r="FQ9">
        <v>0</v>
      </c>
      <c r="FR9">
        <v>23</v>
      </c>
      <c r="FS9">
        <v>629</v>
      </c>
      <c r="FT9">
        <v>17</v>
      </c>
      <c r="FU9">
        <v>8</v>
      </c>
      <c r="FV9">
        <v>380</v>
      </c>
      <c r="FW9">
        <v>-95</v>
      </c>
      <c r="FX9">
        <v>-26</v>
      </c>
      <c r="FY9">
        <v>0</v>
      </c>
      <c r="FZ9">
        <v>51</v>
      </c>
      <c r="GA9">
        <v>65</v>
      </c>
      <c r="GB9">
        <v>82</v>
      </c>
      <c r="GC9">
        <v>0</v>
      </c>
      <c r="GD9">
        <v>2004</v>
      </c>
      <c r="GE9">
        <v>2033</v>
      </c>
      <c r="GF9">
        <v>0</v>
      </c>
      <c r="GG9">
        <v>0</v>
      </c>
      <c r="GH9">
        <v>1010</v>
      </c>
      <c r="GI9">
        <v>0</v>
      </c>
      <c r="GJ9">
        <v>0</v>
      </c>
      <c r="GK9">
        <v>7295</v>
      </c>
      <c r="GL9">
        <v>-64</v>
      </c>
      <c r="GM9">
        <v>24</v>
      </c>
      <c r="GN9">
        <v>0</v>
      </c>
      <c r="GO9">
        <v>0</v>
      </c>
      <c r="GP9">
        <v>0</v>
      </c>
      <c r="GQ9">
        <v>495</v>
      </c>
      <c r="GR9">
        <v>0</v>
      </c>
      <c r="GS9">
        <v>0</v>
      </c>
      <c r="GT9">
        <v>322</v>
      </c>
      <c r="GU9">
        <v>777</v>
      </c>
      <c r="GV9">
        <v>9517</v>
      </c>
      <c r="GW9">
        <v>0</v>
      </c>
      <c r="GX9">
        <v>0</v>
      </c>
      <c r="GY9">
        <v>0</v>
      </c>
      <c r="GZ9">
        <v>0</v>
      </c>
      <c r="HA9">
        <v>0</v>
      </c>
      <c r="HB9">
        <v>480</v>
      </c>
      <c r="HC9">
        <v>573</v>
      </c>
      <c r="HD9">
        <v>0</v>
      </c>
      <c r="HE9">
        <v>0</v>
      </c>
      <c r="HF9">
        <v>313</v>
      </c>
      <c r="HG9">
        <v>213</v>
      </c>
      <c r="HH9">
        <v>0</v>
      </c>
      <c r="HI9">
        <v>0</v>
      </c>
      <c r="HJ9">
        <v>175</v>
      </c>
      <c r="HK9">
        <v>111</v>
      </c>
      <c r="HL9">
        <v>46</v>
      </c>
      <c r="HM9">
        <v>-52</v>
      </c>
      <c r="HN9">
        <v>0</v>
      </c>
      <c r="HO9">
        <v>0</v>
      </c>
      <c r="HP9">
        <v>0</v>
      </c>
      <c r="HQ9">
        <v>0</v>
      </c>
      <c r="HR9">
        <v>877</v>
      </c>
      <c r="HS9">
        <v>0</v>
      </c>
      <c r="HT9">
        <v>0</v>
      </c>
      <c r="HU9">
        <v>7585</v>
      </c>
      <c r="HV9">
        <v>10321</v>
      </c>
      <c r="HW9">
        <v>2262</v>
      </c>
      <c r="HX9">
        <v>0</v>
      </c>
      <c r="HY9">
        <v>0</v>
      </c>
      <c r="HZ9">
        <v>0</v>
      </c>
      <c r="IA9">
        <v>0</v>
      </c>
      <c r="IB9">
        <v>0</v>
      </c>
      <c r="IC9">
        <v>0</v>
      </c>
      <c r="ID9">
        <v>-819</v>
      </c>
      <c r="IE9">
        <v>0</v>
      </c>
      <c r="IF9">
        <v>0</v>
      </c>
      <c r="IG9">
        <v>0</v>
      </c>
      <c r="IH9">
        <v>5335</v>
      </c>
      <c r="II9">
        <v>1445</v>
      </c>
      <c r="IJ9">
        <v>7295</v>
      </c>
      <c r="IK9">
        <v>777</v>
      </c>
      <c r="IL9">
        <v>0</v>
      </c>
      <c r="IM9">
        <v>0</v>
      </c>
      <c r="IN9">
        <v>10321</v>
      </c>
      <c r="IO9">
        <v>0</v>
      </c>
      <c r="IP9">
        <v>24354</v>
      </c>
      <c r="IQ9">
        <v>25721</v>
      </c>
      <c r="IR9">
        <v>616</v>
      </c>
      <c r="IS9">
        <v>6387</v>
      </c>
      <c r="IT9">
        <v>0</v>
      </c>
      <c r="IU9">
        <v>0</v>
      </c>
      <c r="IV9">
        <v>4877</v>
      </c>
      <c r="IW9">
        <v>0</v>
      </c>
      <c r="IX9">
        <v>0</v>
      </c>
      <c r="IY9">
        <v>0</v>
      </c>
      <c r="IZ9">
        <v>190</v>
      </c>
      <c r="JA9">
        <v>0</v>
      </c>
      <c r="JB9">
        <v>0</v>
      </c>
      <c r="JC9">
        <v>0</v>
      </c>
      <c r="JD9">
        <v>0</v>
      </c>
      <c r="JE9">
        <v>221</v>
      </c>
      <c r="JF9">
        <v>0</v>
      </c>
      <c r="JG9">
        <v>62366</v>
      </c>
      <c r="JH9">
        <v>0</v>
      </c>
      <c r="JI9">
        <v>1059</v>
      </c>
      <c r="JJ9">
        <v>0</v>
      </c>
      <c r="JK9">
        <v>0</v>
      </c>
      <c r="JL9">
        <v>0</v>
      </c>
      <c r="JM9">
        <v>34</v>
      </c>
      <c r="JN9">
        <v>0</v>
      </c>
      <c r="JO9">
        <v>219</v>
      </c>
      <c r="JP9">
        <v>1420</v>
      </c>
      <c r="JQ9">
        <v>-1432</v>
      </c>
      <c r="JR9">
        <v>63666</v>
      </c>
      <c r="JS9">
        <v>-448</v>
      </c>
      <c r="JT9">
        <v>0</v>
      </c>
      <c r="JU9">
        <v>0</v>
      </c>
      <c r="JV9">
        <v>0</v>
      </c>
      <c r="JW9">
        <v>-33100</v>
      </c>
      <c r="JX9">
        <v>0</v>
      </c>
      <c r="JY9">
        <v>-431</v>
      </c>
      <c r="JZ9">
        <v>0</v>
      </c>
      <c r="KA9">
        <v>-274</v>
      </c>
      <c r="KB9">
        <v>0</v>
      </c>
      <c r="KC9">
        <v>29413</v>
      </c>
      <c r="KD9">
        <v>0</v>
      </c>
      <c r="KE9">
        <v>-4932</v>
      </c>
      <c r="KF9">
        <v>24481</v>
      </c>
      <c r="KG9">
        <v>0</v>
      </c>
      <c r="KH9">
        <v>0</v>
      </c>
      <c r="KI9">
        <v>0</v>
      </c>
      <c r="KJ9">
        <v>0</v>
      </c>
      <c r="KK9">
        <v>-1629</v>
      </c>
      <c r="KL9">
        <v>1480</v>
      </c>
      <c r="KM9">
        <v>0</v>
      </c>
      <c r="KN9">
        <v>0</v>
      </c>
      <c r="KO9">
        <v>-5866</v>
      </c>
      <c r="KP9">
        <v>207</v>
      </c>
      <c r="KQ9">
        <v>0</v>
      </c>
      <c r="KR9">
        <v>16871</v>
      </c>
      <c r="KS9">
        <v>0</v>
      </c>
      <c r="KT9">
        <v>0</v>
      </c>
      <c r="KU9">
        <v>0</v>
      </c>
      <c r="KV9">
        <v>29162</v>
      </c>
      <c r="KW9">
        <v>12982</v>
      </c>
      <c r="KX9">
        <v>0</v>
      </c>
      <c r="KY9">
        <v>0</v>
      </c>
      <c r="KZ9">
        <v>0</v>
      </c>
      <c r="LA9">
        <v>27533</v>
      </c>
      <c r="LB9">
        <v>14462</v>
      </c>
      <c r="LC9">
        <v>5078</v>
      </c>
      <c r="LD9">
        <v>8117</v>
      </c>
      <c r="LE9">
        <v>1000</v>
      </c>
      <c r="LF9">
        <v>-11471</v>
      </c>
      <c r="LG9">
        <v>-1208</v>
      </c>
      <c r="LH9">
        <v>2742</v>
      </c>
      <c r="LI9">
        <v>-1870</v>
      </c>
      <c r="LJ9">
        <v>5548</v>
      </c>
      <c r="LK9">
        <v>4824</v>
      </c>
      <c r="LL9">
        <v>10372</v>
      </c>
      <c r="LM9">
        <v>0</v>
      </c>
      <c r="LN9">
        <v>0</v>
      </c>
      <c r="LO9">
        <v>0</v>
      </c>
      <c r="LP9">
        <v>22258</v>
      </c>
      <c r="LQ9">
        <v>24855</v>
      </c>
      <c r="LR9">
        <v>-2597</v>
      </c>
      <c r="LS9">
        <v>6488</v>
      </c>
      <c r="LT9">
        <v>3891</v>
      </c>
      <c r="LU9">
        <v>0</v>
      </c>
      <c r="LV9">
        <v>-819</v>
      </c>
      <c r="LW9">
        <v>0</v>
      </c>
      <c r="LX9">
        <v>0</v>
      </c>
      <c r="LY9">
        <v>0</v>
      </c>
      <c r="LZ9">
        <v>5335</v>
      </c>
      <c r="MA9">
        <v>1445</v>
      </c>
      <c r="MB9">
        <v>7295</v>
      </c>
      <c r="MC9">
        <v>777</v>
      </c>
      <c r="MD9">
        <v>0</v>
      </c>
      <c r="ME9">
        <v>0</v>
      </c>
      <c r="MF9">
        <v>10321</v>
      </c>
      <c r="MG9">
        <v>0</v>
      </c>
      <c r="MH9">
        <v>24354</v>
      </c>
      <c r="MI9">
        <v>0</v>
      </c>
      <c r="MJ9">
        <v>0</v>
      </c>
      <c r="MK9">
        <v>0</v>
      </c>
      <c r="ML9">
        <v>0</v>
      </c>
      <c r="MM9">
        <v>0</v>
      </c>
      <c r="MN9">
        <v>0</v>
      </c>
      <c r="MO9">
        <v>0</v>
      </c>
      <c r="MP9">
        <v>0</v>
      </c>
      <c r="MQ9">
        <v>0</v>
      </c>
      <c r="MR9">
        <v>0</v>
      </c>
      <c r="MS9">
        <v>0</v>
      </c>
      <c r="MT9">
        <v>0</v>
      </c>
      <c r="MU9">
        <v>0</v>
      </c>
      <c r="MV9">
        <v>0</v>
      </c>
      <c r="MW9">
        <v>0</v>
      </c>
      <c r="MX9">
        <v>0</v>
      </c>
      <c r="MY9">
        <v>0</v>
      </c>
      <c r="MZ9">
        <v>0</v>
      </c>
      <c r="NA9">
        <v>0</v>
      </c>
      <c r="NB9">
        <v>0</v>
      </c>
      <c r="NC9">
        <v>0</v>
      </c>
      <c r="ND9">
        <v>0</v>
      </c>
      <c r="NE9">
        <v>0</v>
      </c>
      <c r="NF9">
        <v>0</v>
      </c>
      <c r="NG9">
        <v>0</v>
      </c>
      <c r="NH9">
        <v>0</v>
      </c>
      <c r="NI9">
        <v>0</v>
      </c>
      <c r="NJ9">
        <v>0</v>
      </c>
      <c r="NK9">
        <v>0</v>
      </c>
      <c r="NL9">
        <v>0</v>
      </c>
      <c r="NM9">
        <v>0</v>
      </c>
      <c r="NN9">
        <v>0</v>
      </c>
      <c r="NO9">
        <v>0</v>
      </c>
      <c r="NP9">
        <v>0</v>
      </c>
      <c r="NQ9">
        <v>0</v>
      </c>
      <c r="NR9">
        <v>0</v>
      </c>
      <c r="NS9">
        <v>0</v>
      </c>
      <c r="NT9">
        <v>0</v>
      </c>
      <c r="NU9">
        <v>0</v>
      </c>
      <c r="NV9">
        <v>0</v>
      </c>
      <c r="NW9">
        <v>0</v>
      </c>
      <c r="NX9">
        <v>0</v>
      </c>
      <c r="NY9">
        <v>0</v>
      </c>
      <c r="NZ9">
        <v>0</v>
      </c>
      <c r="OA9">
        <v>0</v>
      </c>
      <c r="OB9">
        <v>0</v>
      </c>
      <c r="OC9">
        <v>0</v>
      </c>
      <c r="OD9">
        <v>0</v>
      </c>
      <c r="OE9">
        <v>0</v>
      </c>
      <c r="OF9">
        <v>0</v>
      </c>
      <c r="OG9">
        <v>0</v>
      </c>
      <c r="OH9">
        <v>0</v>
      </c>
      <c r="OI9">
        <v>0</v>
      </c>
      <c r="OJ9">
        <v>0</v>
      </c>
      <c r="OK9">
        <v>0</v>
      </c>
      <c r="OL9">
        <v>0</v>
      </c>
      <c r="OM9">
        <v>0</v>
      </c>
      <c r="ON9">
        <v>0</v>
      </c>
    </row>
    <row r="10" spans="1:404" hidden="1" x14ac:dyDescent="0.25">
      <c r="A10" t="s">
        <v>77</v>
      </c>
      <c r="B10" t="s">
        <v>78</v>
      </c>
      <c r="C10" t="s">
        <v>76</v>
      </c>
      <c r="E10" t="s">
        <v>61</v>
      </c>
      <c r="F10">
        <v>0</v>
      </c>
      <c r="G10">
        <v>0</v>
      </c>
      <c r="H10">
        <v>0</v>
      </c>
      <c r="I10">
        <v>0</v>
      </c>
      <c r="J10">
        <v>0</v>
      </c>
      <c r="K10">
        <v>0</v>
      </c>
      <c r="L10">
        <v>0</v>
      </c>
      <c r="M10">
        <v>0</v>
      </c>
      <c r="N10">
        <v>0</v>
      </c>
      <c r="O10">
        <v>0</v>
      </c>
      <c r="P10">
        <v>0</v>
      </c>
      <c r="Q10">
        <v>0</v>
      </c>
      <c r="R10">
        <v>0</v>
      </c>
      <c r="S10">
        <v>49</v>
      </c>
      <c r="T10">
        <v>0</v>
      </c>
      <c r="U10">
        <v>0</v>
      </c>
      <c r="V10">
        <v>0</v>
      </c>
      <c r="W10">
        <v>0</v>
      </c>
      <c r="X10">
        <v>0</v>
      </c>
      <c r="Y10">
        <v>0</v>
      </c>
      <c r="Z10">
        <v>0</v>
      </c>
      <c r="AA10">
        <v>83</v>
      </c>
      <c r="AB10">
        <v>0</v>
      </c>
      <c r="AC10">
        <v>0</v>
      </c>
      <c r="AD10">
        <v>0</v>
      </c>
      <c r="AE10">
        <v>0</v>
      </c>
      <c r="AF10">
        <v>0</v>
      </c>
      <c r="AG10">
        <v>0</v>
      </c>
      <c r="AH10">
        <v>0</v>
      </c>
      <c r="AI10">
        <v>132</v>
      </c>
      <c r="AJ10">
        <v>0</v>
      </c>
      <c r="AK10">
        <v>0</v>
      </c>
      <c r="AL10">
        <v>0</v>
      </c>
      <c r="AM10">
        <v>0</v>
      </c>
      <c r="AN10">
        <v>0</v>
      </c>
      <c r="AO10">
        <v>0</v>
      </c>
      <c r="AP10">
        <v>0</v>
      </c>
      <c r="AQ10">
        <v>0</v>
      </c>
      <c r="AR10">
        <v>0</v>
      </c>
      <c r="AS10">
        <v>0</v>
      </c>
      <c r="AT10">
        <v>0</v>
      </c>
      <c r="AU10">
        <v>0</v>
      </c>
      <c r="AV10">
        <v>0</v>
      </c>
      <c r="AW10">
        <v>0</v>
      </c>
      <c r="AX10">
        <v>0</v>
      </c>
      <c r="AY10">
        <v>0</v>
      </c>
      <c r="AZ10">
        <v>0</v>
      </c>
      <c r="BA10">
        <v>0</v>
      </c>
      <c r="BB10">
        <v>0</v>
      </c>
      <c r="BC10">
        <v>0</v>
      </c>
      <c r="BD10">
        <v>0</v>
      </c>
      <c r="BE10">
        <v>0</v>
      </c>
      <c r="BF10">
        <v>0</v>
      </c>
      <c r="BG10">
        <v>0</v>
      </c>
      <c r="BH10">
        <v>0</v>
      </c>
      <c r="BI10">
        <v>0</v>
      </c>
      <c r="BJ10">
        <v>0</v>
      </c>
      <c r="BK10">
        <v>0</v>
      </c>
      <c r="BL10">
        <v>0</v>
      </c>
      <c r="BM10">
        <v>0</v>
      </c>
      <c r="BN10">
        <v>0</v>
      </c>
      <c r="BO10">
        <v>0</v>
      </c>
      <c r="BP10">
        <v>0</v>
      </c>
      <c r="BQ10">
        <v>0</v>
      </c>
      <c r="BR10">
        <v>0</v>
      </c>
      <c r="BS10">
        <v>0</v>
      </c>
      <c r="BT10">
        <v>0</v>
      </c>
      <c r="BU10">
        <v>0</v>
      </c>
      <c r="BV10">
        <v>0</v>
      </c>
      <c r="BW10">
        <v>0</v>
      </c>
      <c r="BX10">
        <v>0</v>
      </c>
      <c r="BY10">
        <v>0</v>
      </c>
      <c r="BZ10">
        <v>0</v>
      </c>
      <c r="CA10">
        <v>0</v>
      </c>
      <c r="CB10">
        <v>0</v>
      </c>
      <c r="CC10">
        <v>0</v>
      </c>
      <c r="CD10">
        <v>0</v>
      </c>
      <c r="CE10">
        <v>0</v>
      </c>
      <c r="CF10">
        <v>0</v>
      </c>
      <c r="CG10">
        <v>0</v>
      </c>
      <c r="CH10">
        <v>0</v>
      </c>
      <c r="CI10">
        <v>0</v>
      </c>
      <c r="CJ10">
        <v>0</v>
      </c>
      <c r="CK10">
        <v>0</v>
      </c>
      <c r="CL10">
        <v>0</v>
      </c>
      <c r="CM10">
        <v>0</v>
      </c>
      <c r="CN10">
        <v>0</v>
      </c>
      <c r="CO10">
        <v>0</v>
      </c>
      <c r="CP10">
        <v>0</v>
      </c>
      <c r="CQ10">
        <v>0</v>
      </c>
      <c r="CR10">
        <v>0</v>
      </c>
      <c r="CS10">
        <v>0</v>
      </c>
      <c r="CT10">
        <v>0</v>
      </c>
      <c r="CU10">
        <v>0</v>
      </c>
      <c r="CV10">
        <v>0</v>
      </c>
      <c r="CW10">
        <v>0</v>
      </c>
      <c r="CX10">
        <v>0</v>
      </c>
      <c r="CY10">
        <v>0</v>
      </c>
      <c r="CZ10">
        <v>0</v>
      </c>
      <c r="DA10">
        <v>0</v>
      </c>
      <c r="DB10">
        <v>0</v>
      </c>
      <c r="DC10">
        <v>-14</v>
      </c>
      <c r="DD10">
        <v>0</v>
      </c>
      <c r="DE10">
        <v>166</v>
      </c>
      <c r="DF10">
        <v>307</v>
      </c>
      <c r="DG10">
        <v>0</v>
      </c>
      <c r="DH10">
        <v>0</v>
      </c>
      <c r="DI10">
        <v>0</v>
      </c>
      <c r="DJ10">
        <v>8</v>
      </c>
      <c r="DK10">
        <v>0</v>
      </c>
      <c r="DL10">
        <v>0</v>
      </c>
      <c r="DM10">
        <v>42</v>
      </c>
      <c r="DN10">
        <v>578</v>
      </c>
      <c r="DO10">
        <v>1527</v>
      </c>
      <c r="DP10">
        <v>2155</v>
      </c>
      <c r="DQ10">
        <v>137</v>
      </c>
      <c r="DR10">
        <v>0</v>
      </c>
      <c r="DS10">
        <v>53</v>
      </c>
      <c r="DT10">
        <v>887</v>
      </c>
      <c r="DU10">
        <v>0</v>
      </c>
      <c r="DV10">
        <v>0</v>
      </c>
      <c r="DW10">
        <v>0</v>
      </c>
      <c r="DX10">
        <v>3691</v>
      </c>
      <c r="DY10">
        <v>24318</v>
      </c>
      <c r="DZ10">
        <v>146</v>
      </c>
      <c r="EA10">
        <v>227</v>
      </c>
      <c r="EB10">
        <v>139</v>
      </c>
      <c r="EC10">
        <v>0</v>
      </c>
      <c r="ED10">
        <v>46</v>
      </c>
      <c r="EE10">
        <v>0</v>
      </c>
      <c r="EF10">
        <v>0</v>
      </c>
      <c r="EG10">
        <v>10</v>
      </c>
      <c r="EH10">
        <v>7410</v>
      </c>
      <c r="EI10">
        <v>4085</v>
      </c>
      <c r="EJ10">
        <v>0</v>
      </c>
      <c r="EK10">
        <v>197</v>
      </c>
      <c r="EL10">
        <v>3547</v>
      </c>
      <c r="EM10">
        <v>3901</v>
      </c>
      <c r="EN10">
        <v>4047</v>
      </c>
      <c r="EO10">
        <v>47</v>
      </c>
      <c r="EP10">
        <v>0</v>
      </c>
      <c r="EQ10">
        <v>121</v>
      </c>
      <c r="ER10">
        <v>183</v>
      </c>
      <c r="ES10">
        <v>42523</v>
      </c>
      <c r="ET10">
        <v>43871</v>
      </c>
      <c r="EU10">
        <v>0</v>
      </c>
      <c r="EV10">
        <v>0</v>
      </c>
      <c r="EW10">
        <v>3</v>
      </c>
      <c r="EX10">
        <v>0</v>
      </c>
      <c r="EY10">
        <v>0</v>
      </c>
      <c r="EZ10">
        <v>72</v>
      </c>
      <c r="FA10">
        <v>0</v>
      </c>
      <c r="FB10">
        <v>413</v>
      </c>
      <c r="FC10">
        <v>824</v>
      </c>
      <c r="FD10">
        <v>97</v>
      </c>
      <c r="FE10">
        <v>-12</v>
      </c>
      <c r="FF10">
        <v>0</v>
      </c>
      <c r="FG10">
        <v>0</v>
      </c>
      <c r="FH10">
        <v>1397</v>
      </c>
      <c r="FI10">
        <v>-199</v>
      </c>
      <c r="FJ10">
        <v>0</v>
      </c>
      <c r="FK10">
        <v>0</v>
      </c>
      <c r="FL10">
        <v>0</v>
      </c>
      <c r="FM10">
        <v>450</v>
      </c>
      <c r="FN10">
        <v>0</v>
      </c>
      <c r="FO10">
        <v>0</v>
      </c>
      <c r="FP10">
        <v>0</v>
      </c>
      <c r="FQ10">
        <v>0</v>
      </c>
      <c r="FR10">
        <v>0</v>
      </c>
      <c r="FS10">
        <v>0</v>
      </c>
      <c r="FT10">
        <v>21</v>
      </c>
      <c r="FU10">
        <v>-60</v>
      </c>
      <c r="FV10">
        <v>0</v>
      </c>
      <c r="FW10">
        <v>1341</v>
      </c>
      <c r="FX10">
        <v>58</v>
      </c>
      <c r="FY10">
        <v>87</v>
      </c>
      <c r="FZ10">
        <v>0</v>
      </c>
      <c r="GA10">
        <v>0</v>
      </c>
      <c r="GB10">
        <v>0</v>
      </c>
      <c r="GC10">
        <v>0</v>
      </c>
      <c r="GD10">
        <v>2680</v>
      </c>
      <c r="GE10">
        <v>946</v>
      </c>
      <c r="GF10">
        <v>0</v>
      </c>
      <c r="GG10">
        <v>-292</v>
      </c>
      <c r="GH10">
        <v>1330</v>
      </c>
      <c r="GI10">
        <v>0</v>
      </c>
      <c r="GJ10">
        <v>0</v>
      </c>
      <c r="GK10">
        <v>6362</v>
      </c>
      <c r="GL10">
        <v>0</v>
      </c>
      <c r="GM10">
        <v>156</v>
      </c>
      <c r="GN10">
        <v>0</v>
      </c>
      <c r="GO10">
        <v>503</v>
      </c>
      <c r="GP10">
        <v>0</v>
      </c>
      <c r="GQ10">
        <v>1657</v>
      </c>
      <c r="GR10">
        <v>0</v>
      </c>
      <c r="GS10">
        <v>0</v>
      </c>
      <c r="GT10">
        <v>389</v>
      </c>
      <c r="GU10">
        <v>2705</v>
      </c>
      <c r="GV10">
        <v>10464</v>
      </c>
      <c r="GW10">
        <v>0</v>
      </c>
      <c r="GX10">
        <v>0</v>
      </c>
      <c r="GY10">
        <v>0</v>
      </c>
      <c r="GZ10">
        <v>0</v>
      </c>
      <c r="HA10">
        <v>0</v>
      </c>
      <c r="HB10">
        <v>1603</v>
      </c>
      <c r="HC10">
        <v>623</v>
      </c>
      <c r="HD10">
        <v>0</v>
      </c>
      <c r="HE10">
        <v>0</v>
      </c>
      <c r="HF10">
        <v>426</v>
      </c>
      <c r="HG10">
        <v>15</v>
      </c>
      <c r="HH10">
        <v>0</v>
      </c>
      <c r="HI10">
        <v>0</v>
      </c>
      <c r="HJ10">
        <v>230</v>
      </c>
      <c r="HK10">
        <v>12</v>
      </c>
      <c r="HL10">
        <v>8</v>
      </c>
      <c r="HM10">
        <v>-15</v>
      </c>
      <c r="HN10">
        <v>0</v>
      </c>
      <c r="HO10">
        <v>0</v>
      </c>
      <c r="HP10">
        <v>0</v>
      </c>
      <c r="HQ10">
        <v>0</v>
      </c>
      <c r="HR10">
        <v>169</v>
      </c>
      <c r="HS10">
        <v>0</v>
      </c>
      <c r="HT10">
        <v>0</v>
      </c>
      <c r="HU10">
        <v>1037</v>
      </c>
      <c r="HV10">
        <v>4108</v>
      </c>
      <c r="HW10">
        <v>0</v>
      </c>
      <c r="HX10">
        <v>5605</v>
      </c>
      <c r="HY10">
        <v>0</v>
      </c>
      <c r="HZ10">
        <v>0</v>
      </c>
      <c r="IA10">
        <v>0</v>
      </c>
      <c r="IB10">
        <v>0</v>
      </c>
      <c r="IC10">
        <v>0</v>
      </c>
      <c r="ID10">
        <v>132</v>
      </c>
      <c r="IE10">
        <v>0</v>
      </c>
      <c r="IF10">
        <v>0</v>
      </c>
      <c r="IG10">
        <v>0</v>
      </c>
      <c r="IH10">
        <v>3691</v>
      </c>
      <c r="II10">
        <v>1397</v>
      </c>
      <c r="IJ10">
        <v>6362</v>
      </c>
      <c r="IK10">
        <v>2705</v>
      </c>
      <c r="IL10">
        <v>0</v>
      </c>
      <c r="IM10">
        <v>0</v>
      </c>
      <c r="IN10">
        <v>4108</v>
      </c>
      <c r="IO10">
        <v>0</v>
      </c>
      <c r="IP10">
        <v>18395</v>
      </c>
      <c r="IQ10">
        <v>11976</v>
      </c>
      <c r="IR10">
        <v>0</v>
      </c>
      <c r="IS10">
        <v>9734</v>
      </c>
      <c r="IT10">
        <v>0</v>
      </c>
      <c r="IU10">
        <v>0</v>
      </c>
      <c r="IV10">
        <v>289</v>
      </c>
      <c r="IW10">
        <v>0</v>
      </c>
      <c r="IX10">
        <v>0</v>
      </c>
      <c r="IY10">
        <v>0</v>
      </c>
      <c r="IZ10">
        <v>0</v>
      </c>
      <c r="JA10">
        <v>481</v>
      </c>
      <c r="JB10">
        <v>-33</v>
      </c>
      <c r="JC10">
        <v>-100</v>
      </c>
      <c r="JD10">
        <v>0</v>
      </c>
      <c r="JE10">
        <v>0</v>
      </c>
      <c r="JF10">
        <v>0</v>
      </c>
      <c r="JG10">
        <v>40742</v>
      </c>
      <c r="JH10">
        <v>0</v>
      </c>
      <c r="JI10">
        <v>117</v>
      </c>
      <c r="JJ10">
        <v>0</v>
      </c>
      <c r="JK10">
        <v>0</v>
      </c>
      <c r="JL10">
        <v>0</v>
      </c>
      <c r="JM10">
        <v>0</v>
      </c>
      <c r="JN10">
        <v>2294</v>
      </c>
      <c r="JO10">
        <v>0</v>
      </c>
      <c r="JP10">
        <v>3570</v>
      </c>
      <c r="JQ10">
        <v>-3547</v>
      </c>
      <c r="JR10">
        <v>43176</v>
      </c>
      <c r="JS10">
        <v>-4429</v>
      </c>
      <c r="JT10">
        <v>0</v>
      </c>
      <c r="JU10">
        <v>0</v>
      </c>
      <c r="JV10">
        <v>0</v>
      </c>
      <c r="JW10">
        <v>-21473</v>
      </c>
      <c r="JX10">
        <v>0</v>
      </c>
      <c r="JY10">
        <v>0</v>
      </c>
      <c r="JZ10">
        <v>0</v>
      </c>
      <c r="KA10">
        <v>0</v>
      </c>
      <c r="KB10">
        <v>0</v>
      </c>
      <c r="KC10">
        <v>17274</v>
      </c>
      <c r="KD10">
        <v>0</v>
      </c>
      <c r="KE10">
        <v>-5802</v>
      </c>
      <c r="KF10">
        <v>11472</v>
      </c>
      <c r="KG10">
        <v>0</v>
      </c>
      <c r="KH10">
        <v>0</v>
      </c>
      <c r="KI10">
        <v>0</v>
      </c>
      <c r="KJ10">
        <v>0</v>
      </c>
      <c r="KK10">
        <v>-1618</v>
      </c>
      <c r="KL10">
        <v>1103</v>
      </c>
      <c r="KM10">
        <v>-198</v>
      </c>
      <c r="KN10">
        <v>0</v>
      </c>
      <c r="KO10">
        <v>-1485</v>
      </c>
      <c r="KP10">
        <v>45</v>
      </c>
      <c r="KQ10">
        <v>0</v>
      </c>
      <c r="KR10">
        <v>6714</v>
      </c>
      <c r="KS10">
        <v>0</v>
      </c>
      <c r="KT10">
        <v>0</v>
      </c>
      <c r="KU10">
        <v>0</v>
      </c>
      <c r="KV10">
        <v>18512</v>
      </c>
      <c r="KW10">
        <v>7877</v>
      </c>
      <c r="KX10">
        <v>0</v>
      </c>
      <c r="KY10">
        <v>0</v>
      </c>
      <c r="KZ10">
        <v>0</v>
      </c>
      <c r="LA10">
        <v>16894</v>
      </c>
      <c r="LB10">
        <v>8980</v>
      </c>
      <c r="LC10">
        <v>0</v>
      </c>
      <c r="LD10">
        <v>2271</v>
      </c>
      <c r="LE10">
        <v>853</v>
      </c>
      <c r="LF10">
        <v>0</v>
      </c>
      <c r="LG10">
        <v>0</v>
      </c>
      <c r="LH10">
        <v>1294</v>
      </c>
      <c r="LI10">
        <v>6881</v>
      </c>
      <c r="LJ10">
        <v>4049</v>
      </c>
      <c r="LK10">
        <v>6800</v>
      </c>
      <c r="LL10">
        <v>10849</v>
      </c>
      <c r="LM10">
        <v>1106</v>
      </c>
      <c r="LN10">
        <v>0</v>
      </c>
      <c r="LO10">
        <v>0</v>
      </c>
      <c r="LP10">
        <v>24886</v>
      </c>
      <c r="LQ10">
        <v>23538</v>
      </c>
      <c r="LR10">
        <v>1348</v>
      </c>
      <c r="LS10">
        <v>42523</v>
      </c>
      <c r="LT10">
        <v>43871</v>
      </c>
      <c r="LU10">
        <v>0</v>
      </c>
      <c r="LV10">
        <v>132</v>
      </c>
      <c r="LW10">
        <v>0</v>
      </c>
      <c r="LX10">
        <v>0</v>
      </c>
      <c r="LY10">
        <v>0</v>
      </c>
      <c r="LZ10">
        <v>3691</v>
      </c>
      <c r="MA10">
        <v>1397</v>
      </c>
      <c r="MB10">
        <v>6362</v>
      </c>
      <c r="MC10">
        <v>2705</v>
      </c>
      <c r="MD10">
        <v>0</v>
      </c>
      <c r="ME10">
        <v>0</v>
      </c>
      <c r="MF10">
        <v>4108</v>
      </c>
      <c r="MG10">
        <v>0</v>
      </c>
      <c r="MH10">
        <v>18395</v>
      </c>
      <c r="MI10">
        <v>0</v>
      </c>
      <c r="MJ10">
        <v>0</v>
      </c>
      <c r="MK10">
        <v>0</v>
      </c>
      <c r="ML10">
        <v>0</v>
      </c>
      <c r="MM10">
        <v>0</v>
      </c>
      <c r="MN10">
        <v>0</v>
      </c>
      <c r="MO10">
        <v>0</v>
      </c>
      <c r="MP10">
        <v>0</v>
      </c>
      <c r="MQ10">
        <v>0</v>
      </c>
      <c r="MR10">
        <v>0</v>
      </c>
      <c r="MS10">
        <v>0</v>
      </c>
      <c r="MT10">
        <v>0</v>
      </c>
      <c r="MU10">
        <v>0</v>
      </c>
      <c r="MV10">
        <v>0</v>
      </c>
      <c r="MW10">
        <v>0</v>
      </c>
      <c r="MX10">
        <v>-227</v>
      </c>
      <c r="MY10">
        <v>105</v>
      </c>
      <c r="MZ10">
        <v>493</v>
      </c>
      <c r="NA10">
        <v>381</v>
      </c>
      <c r="NB10">
        <v>100</v>
      </c>
      <c r="NC10">
        <v>481</v>
      </c>
      <c r="ND10">
        <v>0</v>
      </c>
      <c r="NE10">
        <v>0</v>
      </c>
      <c r="NF10">
        <v>0</v>
      </c>
      <c r="NG10">
        <v>0</v>
      </c>
      <c r="NH10">
        <v>0</v>
      </c>
      <c r="NI10">
        <v>0</v>
      </c>
      <c r="NJ10">
        <v>0</v>
      </c>
      <c r="NK10">
        <v>0</v>
      </c>
      <c r="NL10">
        <v>0</v>
      </c>
      <c r="NM10">
        <v>0</v>
      </c>
      <c r="NN10">
        <v>0</v>
      </c>
      <c r="NO10">
        <v>0</v>
      </c>
      <c r="NP10">
        <v>0</v>
      </c>
      <c r="NQ10">
        <v>0</v>
      </c>
      <c r="NR10">
        <v>0</v>
      </c>
      <c r="NS10">
        <v>0</v>
      </c>
      <c r="NT10">
        <v>0</v>
      </c>
      <c r="NU10">
        <v>0</v>
      </c>
      <c r="NV10">
        <v>0</v>
      </c>
      <c r="NW10">
        <v>0</v>
      </c>
      <c r="NX10">
        <v>0</v>
      </c>
      <c r="NY10">
        <v>0</v>
      </c>
      <c r="NZ10">
        <v>-33</v>
      </c>
      <c r="OA10">
        <v>0</v>
      </c>
      <c r="OB10">
        <v>-33</v>
      </c>
      <c r="OC10">
        <v>91</v>
      </c>
      <c r="OD10">
        <v>9</v>
      </c>
      <c r="OE10">
        <v>0</v>
      </c>
      <c r="OF10">
        <v>0</v>
      </c>
      <c r="OG10">
        <v>0</v>
      </c>
      <c r="OH10">
        <v>100</v>
      </c>
      <c r="OI10">
        <v>0</v>
      </c>
      <c r="OJ10">
        <v>0</v>
      </c>
      <c r="OK10">
        <v>0</v>
      </c>
      <c r="OL10">
        <v>0</v>
      </c>
      <c r="OM10">
        <v>0</v>
      </c>
      <c r="ON10">
        <v>0</v>
      </c>
    </row>
    <row r="11" spans="1:404" hidden="1" x14ac:dyDescent="0.25">
      <c r="A11" t="s">
        <v>81</v>
      </c>
      <c r="B11" t="s">
        <v>82</v>
      </c>
      <c r="C11" t="s">
        <v>80</v>
      </c>
      <c r="E11" t="s">
        <v>61</v>
      </c>
      <c r="F11">
        <v>0</v>
      </c>
      <c r="G11">
        <v>0</v>
      </c>
      <c r="H11">
        <v>0</v>
      </c>
      <c r="I11">
        <v>0</v>
      </c>
      <c r="J11">
        <v>0</v>
      </c>
      <c r="K11">
        <v>0</v>
      </c>
      <c r="L11">
        <v>0</v>
      </c>
      <c r="M11">
        <v>0</v>
      </c>
      <c r="N11">
        <v>0</v>
      </c>
      <c r="O11">
        <v>0</v>
      </c>
      <c r="P11">
        <v>0</v>
      </c>
      <c r="Q11">
        <v>0</v>
      </c>
      <c r="R11">
        <v>0</v>
      </c>
      <c r="S11">
        <v>3</v>
      </c>
      <c r="T11">
        <v>0</v>
      </c>
      <c r="U11">
        <v>59</v>
      </c>
      <c r="V11">
        <v>0</v>
      </c>
      <c r="W11">
        <v>0</v>
      </c>
      <c r="X11">
        <v>0</v>
      </c>
      <c r="Y11">
        <v>0</v>
      </c>
      <c r="Z11">
        <v>137</v>
      </c>
      <c r="AA11">
        <v>-446</v>
      </c>
      <c r="AB11">
        <v>0</v>
      </c>
      <c r="AC11">
        <v>0</v>
      </c>
      <c r="AD11">
        <v>0</v>
      </c>
      <c r="AE11">
        <v>0</v>
      </c>
      <c r="AF11">
        <v>0</v>
      </c>
      <c r="AG11">
        <v>0</v>
      </c>
      <c r="AH11">
        <v>0</v>
      </c>
      <c r="AI11">
        <v>-247</v>
      </c>
      <c r="AJ11">
        <v>0</v>
      </c>
      <c r="AK11">
        <v>0</v>
      </c>
      <c r="AL11">
        <v>0</v>
      </c>
      <c r="AM11">
        <v>0</v>
      </c>
      <c r="AN11">
        <v>0</v>
      </c>
      <c r="AO11">
        <v>0</v>
      </c>
      <c r="AP11">
        <v>0</v>
      </c>
      <c r="AQ11">
        <v>430</v>
      </c>
      <c r="AR11">
        <v>200</v>
      </c>
      <c r="AS11">
        <v>0</v>
      </c>
      <c r="AT11">
        <v>0</v>
      </c>
      <c r="AU11">
        <v>0</v>
      </c>
      <c r="AV11">
        <v>0</v>
      </c>
      <c r="AW11">
        <v>0</v>
      </c>
      <c r="AX11">
        <v>0</v>
      </c>
      <c r="AY11">
        <v>0</v>
      </c>
      <c r="AZ11">
        <v>0</v>
      </c>
      <c r="BA11">
        <v>0</v>
      </c>
      <c r="BB11">
        <v>0</v>
      </c>
      <c r="BC11">
        <v>0</v>
      </c>
      <c r="BD11">
        <v>0</v>
      </c>
      <c r="BE11">
        <v>0</v>
      </c>
      <c r="BF11">
        <v>0</v>
      </c>
      <c r="BG11">
        <v>0</v>
      </c>
      <c r="BH11">
        <v>0</v>
      </c>
      <c r="BI11">
        <v>0</v>
      </c>
      <c r="BJ11">
        <v>0</v>
      </c>
      <c r="BK11">
        <v>0</v>
      </c>
      <c r="BL11">
        <v>0</v>
      </c>
      <c r="BM11">
        <v>0</v>
      </c>
      <c r="BN11">
        <v>0</v>
      </c>
      <c r="BO11">
        <v>0</v>
      </c>
      <c r="BP11">
        <v>0</v>
      </c>
      <c r="BQ11">
        <v>0</v>
      </c>
      <c r="BR11">
        <v>0</v>
      </c>
      <c r="BS11">
        <v>0</v>
      </c>
      <c r="BT11">
        <v>0</v>
      </c>
      <c r="BU11">
        <v>0</v>
      </c>
      <c r="BV11">
        <v>0</v>
      </c>
      <c r="BW11">
        <v>0</v>
      </c>
      <c r="BX11">
        <v>0</v>
      </c>
      <c r="BY11">
        <v>0</v>
      </c>
      <c r="BZ11">
        <v>0</v>
      </c>
      <c r="CA11">
        <v>0</v>
      </c>
      <c r="CB11">
        <v>0</v>
      </c>
      <c r="CC11">
        <v>0</v>
      </c>
      <c r="CD11">
        <v>0</v>
      </c>
      <c r="CE11">
        <v>0</v>
      </c>
      <c r="CF11">
        <v>0</v>
      </c>
      <c r="CG11">
        <v>0</v>
      </c>
      <c r="CH11">
        <v>0</v>
      </c>
      <c r="CI11">
        <v>0</v>
      </c>
      <c r="CJ11">
        <v>0</v>
      </c>
      <c r="CK11">
        <v>0</v>
      </c>
      <c r="CL11">
        <v>0</v>
      </c>
      <c r="CM11">
        <v>0</v>
      </c>
      <c r="CN11">
        <v>0</v>
      </c>
      <c r="CO11">
        <v>0</v>
      </c>
      <c r="CP11">
        <v>0</v>
      </c>
      <c r="CQ11">
        <v>0</v>
      </c>
      <c r="CR11">
        <v>0</v>
      </c>
      <c r="CS11">
        <v>0</v>
      </c>
      <c r="CT11">
        <v>0</v>
      </c>
      <c r="CU11">
        <v>0</v>
      </c>
      <c r="CV11">
        <v>0</v>
      </c>
      <c r="CW11">
        <v>0</v>
      </c>
      <c r="CX11">
        <v>0</v>
      </c>
      <c r="CY11">
        <v>0</v>
      </c>
      <c r="CZ11">
        <v>0</v>
      </c>
      <c r="DA11">
        <v>0</v>
      </c>
      <c r="DB11">
        <v>0</v>
      </c>
      <c r="DC11">
        <v>0</v>
      </c>
      <c r="DD11">
        <v>0</v>
      </c>
      <c r="DE11">
        <v>0</v>
      </c>
      <c r="DF11">
        <v>297</v>
      </c>
      <c r="DG11">
        <v>0</v>
      </c>
      <c r="DH11">
        <v>0</v>
      </c>
      <c r="DI11">
        <v>0</v>
      </c>
      <c r="DJ11">
        <v>764</v>
      </c>
      <c r="DK11">
        <v>0</v>
      </c>
      <c r="DL11">
        <v>0</v>
      </c>
      <c r="DM11">
        <v>2460</v>
      </c>
      <c r="DN11">
        <v>0</v>
      </c>
      <c r="DO11">
        <v>0</v>
      </c>
      <c r="DP11">
        <v>3224</v>
      </c>
      <c r="DQ11">
        <v>0</v>
      </c>
      <c r="DR11">
        <v>0</v>
      </c>
      <c r="DS11">
        <v>0</v>
      </c>
      <c r="DT11">
        <v>553</v>
      </c>
      <c r="DU11">
        <v>112</v>
      </c>
      <c r="DV11">
        <v>0</v>
      </c>
      <c r="DW11">
        <v>0</v>
      </c>
      <c r="DX11">
        <v>4186</v>
      </c>
      <c r="DY11">
        <v>26139</v>
      </c>
      <c r="DZ11">
        <v>4</v>
      </c>
      <c r="EA11">
        <v>1166</v>
      </c>
      <c r="EB11">
        <v>1869</v>
      </c>
      <c r="EC11">
        <v>3000</v>
      </c>
      <c r="ED11">
        <v>0</v>
      </c>
      <c r="EE11">
        <v>0</v>
      </c>
      <c r="EF11">
        <v>0</v>
      </c>
      <c r="EG11">
        <v>0</v>
      </c>
      <c r="EH11">
        <v>5792</v>
      </c>
      <c r="EI11">
        <v>7375</v>
      </c>
      <c r="EJ11">
        <v>0</v>
      </c>
      <c r="EK11">
        <v>396</v>
      </c>
      <c r="EL11">
        <v>2552</v>
      </c>
      <c r="EM11">
        <v>2986</v>
      </c>
      <c r="EN11">
        <v>29105</v>
      </c>
      <c r="EO11">
        <v>95</v>
      </c>
      <c r="EP11">
        <v>0</v>
      </c>
      <c r="EQ11">
        <v>305</v>
      </c>
      <c r="ER11">
        <v>0</v>
      </c>
      <c r="ES11">
        <v>9981</v>
      </c>
      <c r="ET11">
        <v>-6447</v>
      </c>
      <c r="EU11">
        <v>0</v>
      </c>
      <c r="EV11">
        <v>-54</v>
      </c>
      <c r="EW11">
        <v>43</v>
      </c>
      <c r="EX11">
        <v>5</v>
      </c>
      <c r="EY11">
        <v>0</v>
      </c>
      <c r="EZ11">
        <v>0</v>
      </c>
      <c r="FA11">
        <v>0</v>
      </c>
      <c r="FB11">
        <v>183</v>
      </c>
      <c r="FC11">
        <v>1807</v>
      </c>
      <c r="FD11">
        <v>1720</v>
      </c>
      <c r="FE11">
        <v>68</v>
      </c>
      <c r="FF11">
        <v>185</v>
      </c>
      <c r="FG11">
        <v>0</v>
      </c>
      <c r="FH11">
        <v>3957</v>
      </c>
      <c r="FI11">
        <v>5</v>
      </c>
      <c r="FJ11">
        <v>0</v>
      </c>
      <c r="FK11">
        <v>0</v>
      </c>
      <c r="FL11">
        <v>172</v>
      </c>
      <c r="FM11">
        <v>256</v>
      </c>
      <c r="FN11">
        <v>0</v>
      </c>
      <c r="FO11">
        <v>108</v>
      </c>
      <c r="FP11">
        <v>5622</v>
      </c>
      <c r="FQ11">
        <v>0</v>
      </c>
      <c r="FR11">
        <v>43</v>
      </c>
      <c r="FS11">
        <v>102</v>
      </c>
      <c r="FT11">
        <v>97</v>
      </c>
      <c r="FU11">
        <v>0</v>
      </c>
      <c r="FV11">
        <v>0</v>
      </c>
      <c r="FW11">
        <v>154</v>
      </c>
      <c r="FX11">
        <v>232</v>
      </c>
      <c r="FY11">
        <v>0</v>
      </c>
      <c r="FZ11">
        <v>294</v>
      </c>
      <c r="GA11">
        <v>0</v>
      </c>
      <c r="GB11">
        <v>0</v>
      </c>
      <c r="GC11">
        <v>0</v>
      </c>
      <c r="GD11">
        <v>1430</v>
      </c>
      <c r="GE11">
        <v>1747</v>
      </c>
      <c r="GF11">
        <v>0</v>
      </c>
      <c r="GG11">
        <v>0</v>
      </c>
      <c r="GH11">
        <v>0</v>
      </c>
      <c r="GI11">
        <v>0</v>
      </c>
      <c r="GJ11">
        <v>0</v>
      </c>
      <c r="GK11">
        <v>10262</v>
      </c>
      <c r="GL11">
        <v>55</v>
      </c>
      <c r="GM11">
        <v>1542</v>
      </c>
      <c r="GN11">
        <v>0</v>
      </c>
      <c r="GO11">
        <v>944</v>
      </c>
      <c r="GP11">
        <v>0</v>
      </c>
      <c r="GQ11">
        <v>519</v>
      </c>
      <c r="GR11">
        <v>0</v>
      </c>
      <c r="GS11">
        <v>0</v>
      </c>
      <c r="GT11">
        <v>0</v>
      </c>
      <c r="GU11">
        <v>3060</v>
      </c>
      <c r="GV11">
        <v>17278</v>
      </c>
      <c r="GW11">
        <v>0</v>
      </c>
      <c r="GX11">
        <v>0</v>
      </c>
      <c r="GY11">
        <v>0</v>
      </c>
      <c r="GZ11">
        <v>0</v>
      </c>
      <c r="HA11">
        <v>0</v>
      </c>
      <c r="HB11">
        <v>2192</v>
      </c>
      <c r="HC11">
        <v>995</v>
      </c>
      <c r="HD11">
        <v>0</v>
      </c>
      <c r="HE11">
        <v>0</v>
      </c>
      <c r="HF11">
        <v>253</v>
      </c>
      <c r="HG11">
        <v>-529</v>
      </c>
      <c r="HH11">
        <v>0</v>
      </c>
      <c r="HI11">
        <v>0</v>
      </c>
      <c r="HJ11">
        <v>374</v>
      </c>
      <c r="HK11">
        <v>10</v>
      </c>
      <c r="HL11">
        <v>120</v>
      </c>
      <c r="HM11">
        <v>8</v>
      </c>
      <c r="HN11">
        <v>0</v>
      </c>
      <c r="HO11">
        <v>192</v>
      </c>
      <c r="HP11">
        <v>0</v>
      </c>
      <c r="HQ11">
        <v>0</v>
      </c>
      <c r="HR11">
        <v>1505</v>
      </c>
      <c r="HS11">
        <v>0</v>
      </c>
      <c r="HT11">
        <v>0</v>
      </c>
      <c r="HU11">
        <v>-41</v>
      </c>
      <c r="HV11">
        <v>5079</v>
      </c>
      <c r="HW11">
        <v>2824</v>
      </c>
      <c r="HX11">
        <v>5763</v>
      </c>
      <c r="HY11">
        <v>0</v>
      </c>
      <c r="HZ11">
        <v>1915</v>
      </c>
      <c r="IA11">
        <v>0</v>
      </c>
      <c r="IB11">
        <v>0</v>
      </c>
      <c r="IC11">
        <v>0</v>
      </c>
      <c r="ID11">
        <v>-247</v>
      </c>
      <c r="IE11">
        <v>0</v>
      </c>
      <c r="IF11">
        <v>0</v>
      </c>
      <c r="IG11">
        <v>0</v>
      </c>
      <c r="IH11">
        <v>4186</v>
      </c>
      <c r="II11">
        <v>3957</v>
      </c>
      <c r="IJ11">
        <v>10262</v>
      </c>
      <c r="IK11">
        <v>3060</v>
      </c>
      <c r="IL11">
        <v>0</v>
      </c>
      <c r="IM11">
        <v>0</v>
      </c>
      <c r="IN11">
        <v>5079</v>
      </c>
      <c r="IO11">
        <v>0</v>
      </c>
      <c r="IP11">
        <v>26296</v>
      </c>
      <c r="IQ11">
        <v>13885</v>
      </c>
      <c r="IR11">
        <v>445</v>
      </c>
      <c r="IS11">
        <v>10414</v>
      </c>
      <c r="IT11">
        <v>0</v>
      </c>
      <c r="IU11">
        <v>0</v>
      </c>
      <c r="IV11">
        <v>2283</v>
      </c>
      <c r="IW11">
        <v>0</v>
      </c>
      <c r="IX11">
        <v>0</v>
      </c>
      <c r="IY11">
        <v>0</v>
      </c>
      <c r="IZ11">
        <v>0</v>
      </c>
      <c r="JA11">
        <v>0</v>
      </c>
      <c r="JB11">
        <v>0</v>
      </c>
      <c r="JC11">
        <v>0</v>
      </c>
      <c r="JD11">
        <v>0</v>
      </c>
      <c r="JE11">
        <v>0</v>
      </c>
      <c r="JF11">
        <v>0</v>
      </c>
      <c r="JG11">
        <v>53323</v>
      </c>
      <c r="JH11">
        <v>0</v>
      </c>
      <c r="JI11">
        <v>1200</v>
      </c>
      <c r="JJ11">
        <v>0</v>
      </c>
      <c r="JK11">
        <v>-130</v>
      </c>
      <c r="JL11">
        <v>0</v>
      </c>
      <c r="JM11">
        <v>0</v>
      </c>
      <c r="JN11">
        <v>0</v>
      </c>
      <c r="JO11">
        <v>0</v>
      </c>
      <c r="JP11">
        <v>3644</v>
      </c>
      <c r="JQ11">
        <v>0</v>
      </c>
      <c r="JR11">
        <v>58036</v>
      </c>
      <c r="JS11">
        <v>-5658</v>
      </c>
      <c r="JT11">
        <v>0</v>
      </c>
      <c r="JU11">
        <v>0</v>
      </c>
      <c r="JV11">
        <v>0</v>
      </c>
      <c r="JW11">
        <v>-24262</v>
      </c>
      <c r="JX11">
        <v>0</v>
      </c>
      <c r="JY11">
        <v>0</v>
      </c>
      <c r="JZ11">
        <v>0</v>
      </c>
      <c r="KA11">
        <v>0</v>
      </c>
      <c r="KB11">
        <v>0</v>
      </c>
      <c r="KC11">
        <v>28116</v>
      </c>
      <c r="KD11">
        <v>0</v>
      </c>
      <c r="KE11">
        <v>-3916</v>
      </c>
      <c r="KF11">
        <v>24200</v>
      </c>
      <c r="KG11">
        <v>0</v>
      </c>
      <c r="KH11">
        <v>0</v>
      </c>
      <c r="KI11">
        <v>0</v>
      </c>
      <c r="KJ11">
        <v>0</v>
      </c>
      <c r="KK11">
        <v>-3477</v>
      </c>
      <c r="KL11">
        <v>740</v>
      </c>
      <c r="KM11">
        <v>0</v>
      </c>
      <c r="KN11">
        <v>0</v>
      </c>
      <c r="KO11">
        <v>-4093</v>
      </c>
      <c r="KP11">
        <v>0</v>
      </c>
      <c r="KQ11">
        <v>0</v>
      </c>
      <c r="KR11">
        <v>10075</v>
      </c>
      <c r="KS11">
        <v>0</v>
      </c>
      <c r="KT11">
        <v>0</v>
      </c>
      <c r="KU11">
        <v>0</v>
      </c>
      <c r="KV11">
        <v>48042</v>
      </c>
      <c r="KW11">
        <v>2561</v>
      </c>
      <c r="KX11">
        <v>0</v>
      </c>
      <c r="KY11">
        <v>0</v>
      </c>
      <c r="KZ11">
        <v>0</v>
      </c>
      <c r="LA11">
        <v>44565</v>
      </c>
      <c r="LB11">
        <v>3301</v>
      </c>
      <c r="LC11">
        <v>0</v>
      </c>
      <c r="LD11">
        <v>2144</v>
      </c>
      <c r="LE11">
        <v>7729</v>
      </c>
      <c r="LF11">
        <v>0</v>
      </c>
      <c r="LG11">
        <v>0</v>
      </c>
      <c r="LH11">
        <v>0</v>
      </c>
      <c r="LI11">
        <v>9873</v>
      </c>
      <c r="LJ11">
        <v>3360</v>
      </c>
      <c r="LK11">
        <v>5405</v>
      </c>
      <c r="LL11">
        <v>8765</v>
      </c>
      <c r="LM11">
        <v>0</v>
      </c>
      <c r="LN11">
        <v>0</v>
      </c>
      <c r="LO11">
        <v>0</v>
      </c>
      <c r="LP11">
        <v>32178</v>
      </c>
      <c r="LQ11">
        <v>48606</v>
      </c>
      <c r="LR11">
        <v>-16428</v>
      </c>
      <c r="LS11">
        <v>9981</v>
      </c>
      <c r="LT11">
        <v>-6447</v>
      </c>
      <c r="LU11">
        <v>0</v>
      </c>
      <c r="LV11">
        <v>-247</v>
      </c>
      <c r="LW11">
        <v>0</v>
      </c>
      <c r="LX11">
        <v>0</v>
      </c>
      <c r="LY11">
        <v>0</v>
      </c>
      <c r="LZ11">
        <v>4186</v>
      </c>
      <c r="MA11">
        <v>3957</v>
      </c>
      <c r="MB11">
        <v>10262</v>
      </c>
      <c r="MC11">
        <v>3060</v>
      </c>
      <c r="MD11">
        <v>0</v>
      </c>
      <c r="ME11">
        <v>0</v>
      </c>
      <c r="MF11">
        <v>5079</v>
      </c>
      <c r="MG11">
        <v>0</v>
      </c>
      <c r="MH11">
        <v>26296</v>
      </c>
      <c r="MI11">
        <v>0</v>
      </c>
      <c r="MJ11">
        <v>0</v>
      </c>
      <c r="MK11">
        <v>0</v>
      </c>
      <c r="ML11">
        <v>0</v>
      </c>
      <c r="MM11">
        <v>0</v>
      </c>
      <c r="MN11">
        <v>0</v>
      </c>
      <c r="MO11">
        <v>0</v>
      </c>
      <c r="MP11">
        <v>0</v>
      </c>
      <c r="MQ11">
        <v>0</v>
      </c>
      <c r="MR11">
        <v>0</v>
      </c>
      <c r="MS11">
        <v>0</v>
      </c>
      <c r="MT11">
        <v>0</v>
      </c>
      <c r="MU11">
        <v>0</v>
      </c>
      <c r="MV11">
        <v>0</v>
      </c>
      <c r="MW11">
        <v>0</v>
      </c>
      <c r="MX11">
        <v>0</v>
      </c>
      <c r="MY11">
        <v>0</v>
      </c>
      <c r="MZ11">
        <v>0</v>
      </c>
      <c r="NA11">
        <v>0</v>
      </c>
      <c r="NB11">
        <v>0</v>
      </c>
      <c r="NC11">
        <v>0</v>
      </c>
      <c r="ND11">
        <v>0</v>
      </c>
      <c r="NE11">
        <v>0</v>
      </c>
      <c r="NF11">
        <v>0</v>
      </c>
      <c r="NG11">
        <v>0</v>
      </c>
      <c r="NH11">
        <v>0</v>
      </c>
      <c r="NI11">
        <v>0</v>
      </c>
      <c r="NJ11">
        <v>0</v>
      </c>
      <c r="NK11">
        <v>0</v>
      </c>
      <c r="NL11">
        <v>0</v>
      </c>
      <c r="NM11">
        <v>0</v>
      </c>
      <c r="NN11">
        <v>0</v>
      </c>
      <c r="NO11">
        <v>0</v>
      </c>
      <c r="NP11">
        <v>0</v>
      </c>
      <c r="NQ11">
        <v>0</v>
      </c>
      <c r="NR11">
        <v>0</v>
      </c>
      <c r="NS11">
        <v>0</v>
      </c>
      <c r="NT11">
        <v>0</v>
      </c>
      <c r="NU11">
        <v>0</v>
      </c>
      <c r="NV11">
        <v>0</v>
      </c>
      <c r="NW11">
        <v>0</v>
      </c>
      <c r="NX11">
        <v>0</v>
      </c>
      <c r="NY11">
        <v>0</v>
      </c>
      <c r="NZ11">
        <v>0</v>
      </c>
      <c r="OA11">
        <v>0</v>
      </c>
      <c r="OB11">
        <v>0</v>
      </c>
      <c r="OC11">
        <v>0</v>
      </c>
      <c r="OD11">
        <v>0</v>
      </c>
      <c r="OE11">
        <v>0</v>
      </c>
      <c r="OF11">
        <v>0</v>
      </c>
      <c r="OG11">
        <v>0</v>
      </c>
      <c r="OH11">
        <v>0</v>
      </c>
      <c r="OI11">
        <v>0</v>
      </c>
      <c r="OJ11">
        <v>0</v>
      </c>
      <c r="OK11">
        <v>0</v>
      </c>
      <c r="OL11">
        <v>0</v>
      </c>
      <c r="OM11">
        <v>0</v>
      </c>
      <c r="ON11">
        <v>0</v>
      </c>
    </row>
    <row r="12" spans="1:404" hidden="1" x14ac:dyDescent="0.25">
      <c r="A12" t="s">
        <v>86</v>
      </c>
      <c r="B12" t="s">
        <v>87</v>
      </c>
      <c r="C12" t="s">
        <v>85</v>
      </c>
      <c r="E12" t="s">
        <v>71</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0</v>
      </c>
      <c r="BC12">
        <v>0</v>
      </c>
      <c r="BD12">
        <v>0</v>
      </c>
      <c r="BE12">
        <v>0</v>
      </c>
      <c r="BF12">
        <v>0</v>
      </c>
      <c r="BG12">
        <v>0</v>
      </c>
      <c r="BH12">
        <v>0</v>
      </c>
      <c r="BI12">
        <v>0</v>
      </c>
      <c r="BJ12">
        <v>0</v>
      </c>
      <c r="BK12">
        <v>0</v>
      </c>
      <c r="BL12">
        <v>0</v>
      </c>
      <c r="BM12">
        <v>0</v>
      </c>
      <c r="BN12">
        <v>0</v>
      </c>
      <c r="BO12">
        <v>0</v>
      </c>
      <c r="BP12">
        <v>0</v>
      </c>
      <c r="BQ12">
        <v>0</v>
      </c>
      <c r="BR12">
        <v>0</v>
      </c>
      <c r="BS12">
        <v>0</v>
      </c>
      <c r="BT12">
        <v>0</v>
      </c>
      <c r="BU12">
        <v>0</v>
      </c>
      <c r="BV12">
        <v>0</v>
      </c>
      <c r="BW12">
        <v>0</v>
      </c>
      <c r="BX12">
        <v>0</v>
      </c>
      <c r="BY12">
        <v>0</v>
      </c>
      <c r="BZ12">
        <v>0</v>
      </c>
      <c r="CA12">
        <v>0</v>
      </c>
      <c r="CB12">
        <v>0</v>
      </c>
      <c r="CC12">
        <v>0</v>
      </c>
      <c r="CD12">
        <v>0</v>
      </c>
      <c r="CE12">
        <v>0</v>
      </c>
      <c r="CF12">
        <v>0</v>
      </c>
      <c r="CG12">
        <v>0</v>
      </c>
      <c r="CH12">
        <v>0</v>
      </c>
      <c r="CI12">
        <v>0</v>
      </c>
      <c r="CJ12">
        <v>0</v>
      </c>
      <c r="CK12">
        <v>0</v>
      </c>
      <c r="CL12">
        <v>0</v>
      </c>
      <c r="CM12">
        <v>0</v>
      </c>
      <c r="CN12">
        <v>0</v>
      </c>
      <c r="CO12">
        <v>0</v>
      </c>
      <c r="CP12">
        <v>0</v>
      </c>
      <c r="CQ12">
        <v>0</v>
      </c>
      <c r="CR12">
        <v>0</v>
      </c>
      <c r="CS12">
        <v>0</v>
      </c>
      <c r="CT12">
        <v>0</v>
      </c>
      <c r="CU12">
        <v>0</v>
      </c>
      <c r="CV12">
        <v>0</v>
      </c>
      <c r="CW12">
        <v>0</v>
      </c>
      <c r="CX12">
        <v>0</v>
      </c>
      <c r="CY12">
        <v>0</v>
      </c>
      <c r="CZ12">
        <v>0</v>
      </c>
      <c r="DA12">
        <v>0</v>
      </c>
      <c r="DB12">
        <v>0</v>
      </c>
      <c r="DC12">
        <v>0</v>
      </c>
      <c r="DD12">
        <v>0</v>
      </c>
      <c r="DE12">
        <v>0</v>
      </c>
      <c r="DF12">
        <v>0</v>
      </c>
      <c r="DG12">
        <v>0</v>
      </c>
      <c r="DH12">
        <v>0</v>
      </c>
      <c r="DI12">
        <v>0</v>
      </c>
      <c r="DJ12">
        <v>0</v>
      </c>
      <c r="DK12">
        <v>0</v>
      </c>
      <c r="DL12">
        <v>0</v>
      </c>
      <c r="DM12">
        <v>0</v>
      </c>
      <c r="DN12">
        <v>0</v>
      </c>
      <c r="DO12">
        <v>0</v>
      </c>
      <c r="DP12">
        <v>0</v>
      </c>
      <c r="DQ12">
        <v>0</v>
      </c>
      <c r="DR12">
        <v>0</v>
      </c>
      <c r="DS12">
        <v>0</v>
      </c>
      <c r="DT12">
        <v>0</v>
      </c>
      <c r="DU12">
        <v>0</v>
      </c>
      <c r="DV12">
        <v>0</v>
      </c>
      <c r="DW12">
        <v>0</v>
      </c>
      <c r="DX12">
        <v>0</v>
      </c>
      <c r="DY12">
        <v>0</v>
      </c>
      <c r="DZ12">
        <v>0</v>
      </c>
      <c r="EA12">
        <v>0</v>
      </c>
      <c r="EB12">
        <v>0</v>
      </c>
      <c r="EC12">
        <v>0</v>
      </c>
      <c r="ED12">
        <v>0</v>
      </c>
      <c r="EE12">
        <v>0</v>
      </c>
      <c r="EF12">
        <v>0</v>
      </c>
      <c r="EG12">
        <v>0</v>
      </c>
      <c r="EH12">
        <v>0</v>
      </c>
      <c r="EI12">
        <v>0</v>
      </c>
      <c r="EJ12">
        <v>0</v>
      </c>
      <c r="EK12">
        <v>0</v>
      </c>
      <c r="EL12">
        <v>0</v>
      </c>
      <c r="EM12">
        <v>0</v>
      </c>
      <c r="EN12">
        <v>0</v>
      </c>
      <c r="EO12">
        <v>0</v>
      </c>
      <c r="EP12">
        <v>0</v>
      </c>
      <c r="EQ12">
        <v>0</v>
      </c>
      <c r="ER12">
        <v>0</v>
      </c>
      <c r="ES12">
        <v>0</v>
      </c>
      <c r="ET12">
        <v>0</v>
      </c>
      <c r="EU12">
        <v>0</v>
      </c>
      <c r="EV12">
        <v>0</v>
      </c>
      <c r="EW12">
        <v>0</v>
      </c>
      <c r="EX12">
        <v>0</v>
      </c>
      <c r="EY12">
        <v>0</v>
      </c>
      <c r="EZ12">
        <v>0</v>
      </c>
      <c r="FA12">
        <v>0</v>
      </c>
      <c r="FB12">
        <v>0</v>
      </c>
      <c r="FC12">
        <v>0</v>
      </c>
      <c r="FD12">
        <v>0</v>
      </c>
      <c r="FE12">
        <v>0</v>
      </c>
      <c r="FF12">
        <v>0</v>
      </c>
      <c r="FG12">
        <v>0</v>
      </c>
      <c r="FH12">
        <v>0</v>
      </c>
      <c r="FI12">
        <v>0</v>
      </c>
      <c r="FJ12">
        <v>0</v>
      </c>
      <c r="FK12">
        <v>0</v>
      </c>
      <c r="FL12">
        <v>0</v>
      </c>
      <c r="FM12">
        <v>0</v>
      </c>
      <c r="FN12">
        <v>0</v>
      </c>
      <c r="FO12">
        <v>0</v>
      </c>
      <c r="FP12">
        <v>0</v>
      </c>
      <c r="FQ12">
        <v>0</v>
      </c>
      <c r="FR12">
        <v>0</v>
      </c>
      <c r="FS12">
        <v>0</v>
      </c>
      <c r="FT12">
        <v>0</v>
      </c>
      <c r="FU12">
        <v>0</v>
      </c>
      <c r="FV12">
        <v>0</v>
      </c>
      <c r="FW12">
        <v>0</v>
      </c>
      <c r="FX12">
        <v>0</v>
      </c>
      <c r="FY12">
        <v>0</v>
      </c>
      <c r="FZ12">
        <v>0</v>
      </c>
      <c r="GA12">
        <v>0</v>
      </c>
      <c r="GB12">
        <v>0</v>
      </c>
      <c r="GC12">
        <v>0</v>
      </c>
      <c r="GD12">
        <v>0</v>
      </c>
      <c r="GE12">
        <v>0</v>
      </c>
      <c r="GF12">
        <v>0</v>
      </c>
      <c r="GG12">
        <v>0</v>
      </c>
      <c r="GH12">
        <v>0</v>
      </c>
      <c r="GI12">
        <v>0</v>
      </c>
      <c r="GJ12">
        <v>0</v>
      </c>
      <c r="GK12">
        <v>0</v>
      </c>
      <c r="GL12">
        <v>0</v>
      </c>
      <c r="GM12">
        <v>0</v>
      </c>
      <c r="GN12">
        <v>0</v>
      </c>
      <c r="GO12">
        <v>0</v>
      </c>
      <c r="GP12">
        <v>0</v>
      </c>
      <c r="GQ12">
        <v>0</v>
      </c>
      <c r="GR12">
        <v>0</v>
      </c>
      <c r="GS12">
        <v>0</v>
      </c>
      <c r="GT12">
        <v>0</v>
      </c>
      <c r="GU12">
        <v>0</v>
      </c>
      <c r="GV12">
        <v>0</v>
      </c>
      <c r="GW12">
        <v>347555</v>
      </c>
      <c r="GX12">
        <v>0</v>
      </c>
      <c r="GY12">
        <v>0</v>
      </c>
      <c r="GZ12">
        <v>0</v>
      </c>
      <c r="HA12">
        <v>0</v>
      </c>
      <c r="HB12">
        <v>1800</v>
      </c>
      <c r="HC12">
        <v>0</v>
      </c>
      <c r="HD12">
        <v>0</v>
      </c>
      <c r="HE12">
        <v>0</v>
      </c>
      <c r="HF12">
        <v>0</v>
      </c>
      <c r="HG12">
        <v>0</v>
      </c>
      <c r="HH12">
        <v>0</v>
      </c>
      <c r="HI12">
        <v>0</v>
      </c>
      <c r="HJ12">
        <v>0</v>
      </c>
      <c r="HK12">
        <v>0</v>
      </c>
      <c r="HL12">
        <v>0</v>
      </c>
      <c r="HM12">
        <v>0</v>
      </c>
      <c r="HN12">
        <v>0</v>
      </c>
      <c r="HO12">
        <v>0</v>
      </c>
      <c r="HP12">
        <v>0</v>
      </c>
      <c r="HQ12">
        <v>0</v>
      </c>
      <c r="HR12">
        <v>0</v>
      </c>
      <c r="HS12">
        <v>0</v>
      </c>
      <c r="HT12">
        <v>0</v>
      </c>
      <c r="HU12">
        <v>0</v>
      </c>
      <c r="HV12">
        <v>1800</v>
      </c>
      <c r="HW12">
        <v>0</v>
      </c>
      <c r="HX12">
        <v>0</v>
      </c>
      <c r="HY12">
        <v>0</v>
      </c>
      <c r="HZ12">
        <v>0</v>
      </c>
      <c r="IA12">
        <v>0</v>
      </c>
      <c r="IB12">
        <v>0</v>
      </c>
      <c r="IC12">
        <v>0</v>
      </c>
      <c r="ID12">
        <v>0</v>
      </c>
      <c r="IE12">
        <v>0</v>
      </c>
      <c r="IF12">
        <v>0</v>
      </c>
      <c r="IG12">
        <v>0</v>
      </c>
      <c r="IH12">
        <v>0</v>
      </c>
      <c r="II12">
        <v>0</v>
      </c>
      <c r="IJ12">
        <v>0</v>
      </c>
      <c r="IK12">
        <v>0</v>
      </c>
      <c r="IL12">
        <v>347555</v>
      </c>
      <c r="IM12">
        <v>0</v>
      </c>
      <c r="IN12">
        <v>1800</v>
      </c>
      <c r="IO12">
        <v>0</v>
      </c>
      <c r="IP12">
        <v>349355</v>
      </c>
      <c r="IQ12">
        <v>0</v>
      </c>
      <c r="IR12">
        <v>0</v>
      </c>
      <c r="IS12">
        <v>0</v>
      </c>
      <c r="IT12">
        <v>0</v>
      </c>
      <c r="IU12">
        <v>0</v>
      </c>
      <c r="IV12">
        <v>0</v>
      </c>
      <c r="IW12">
        <v>0</v>
      </c>
      <c r="IX12">
        <v>0</v>
      </c>
      <c r="IY12">
        <v>0</v>
      </c>
      <c r="IZ12">
        <v>0</v>
      </c>
      <c r="JA12">
        <v>0</v>
      </c>
      <c r="JB12">
        <v>0</v>
      </c>
      <c r="JC12">
        <v>0</v>
      </c>
      <c r="JD12">
        <v>0</v>
      </c>
      <c r="JE12">
        <v>0</v>
      </c>
      <c r="JF12">
        <v>0</v>
      </c>
      <c r="JG12">
        <v>349355</v>
      </c>
      <c r="JH12">
        <v>0</v>
      </c>
      <c r="JI12">
        <v>7770</v>
      </c>
      <c r="JJ12">
        <v>0</v>
      </c>
      <c r="JK12">
        <v>0</v>
      </c>
      <c r="JL12">
        <v>0</v>
      </c>
      <c r="JM12">
        <v>-20</v>
      </c>
      <c r="JN12">
        <v>3611</v>
      </c>
      <c r="JO12">
        <v>0</v>
      </c>
      <c r="JP12">
        <v>5876</v>
      </c>
      <c r="JQ12">
        <v>0</v>
      </c>
      <c r="JR12">
        <v>366592</v>
      </c>
      <c r="JS12">
        <v>-260</v>
      </c>
      <c r="JT12">
        <v>0</v>
      </c>
      <c r="JU12">
        <v>0</v>
      </c>
      <c r="JV12">
        <v>0</v>
      </c>
      <c r="JW12">
        <v>-144</v>
      </c>
      <c r="JX12">
        <v>0</v>
      </c>
      <c r="JY12">
        <v>0</v>
      </c>
      <c r="JZ12">
        <v>0</v>
      </c>
      <c r="KA12">
        <v>0</v>
      </c>
      <c r="KB12">
        <v>0</v>
      </c>
      <c r="KC12">
        <v>366188</v>
      </c>
      <c r="KD12">
        <v>0</v>
      </c>
      <c r="KE12">
        <v>-31561</v>
      </c>
      <c r="KF12">
        <v>334627</v>
      </c>
      <c r="KG12">
        <v>0</v>
      </c>
      <c r="KH12">
        <v>0</v>
      </c>
      <c r="KI12">
        <v>0</v>
      </c>
      <c r="KJ12">
        <v>0</v>
      </c>
      <c r="KK12">
        <v>2413</v>
      </c>
      <c r="KL12">
        <v>0</v>
      </c>
      <c r="KM12">
        <v>0</v>
      </c>
      <c r="KN12">
        <v>-200493</v>
      </c>
      <c r="KO12">
        <v>0</v>
      </c>
      <c r="KP12">
        <v>965</v>
      </c>
      <c r="KQ12">
        <v>2449</v>
      </c>
      <c r="KR12">
        <v>137695</v>
      </c>
      <c r="KS12">
        <v>0</v>
      </c>
      <c r="KT12">
        <v>0</v>
      </c>
      <c r="KU12">
        <v>0</v>
      </c>
      <c r="KV12">
        <v>39455</v>
      </c>
      <c r="KW12">
        <v>12000</v>
      </c>
      <c r="KX12">
        <v>0</v>
      </c>
      <c r="KY12">
        <v>0</v>
      </c>
      <c r="KZ12">
        <v>0</v>
      </c>
      <c r="LA12">
        <v>41868</v>
      </c>
      <c r="LB12">
        <v>12000</v>
      </c>
      <c r="LC12">
        <v>0</v>
      </c>
      <c r="LD12">
        <v>13606</v>
      </c>
      <c r="LE12">
        <v>0</v>
      </c>
      <c r="LF12">
        <v>1911</v>
      </c>
      <c r="LG12">
        <v>-304</v>
      </c>
      <c r="LH12">
        <v>0</v>
      </c>
      <c r="LI12">
        <v>15213</v>
      </c>
      <c r="LJ12">
        <v>0</v>
      </c>
      <c r="LK12">
        <v>0</v>
      </c>
      <c r="LL12">
        <v>0</v>
      </c>
      <c r="LM12">
        <v>0</v>
      </c>
      <c r="LN12">
        <v>0</v>
      </c>
      <c r="LO12">
        <v>0</v>
      </c>
      <c r="LP12">
        <v>0</v>
      </c>
      <c r="LQ12">
        <v>0</v>
      </c>
      <c r="LR12">
        <v>0</v>
      </c>
      <c r="LS12">
        <v>0</v>
      </c>
      <c r="LT12">
        <v>0</v>
      </c>
      <c r="LU12">
        <v>0</v>
      </c>
      <c r="LV12">
        <v>0</v>
      </c>
      <c r="LW12">
        <v>0</v>
      </c>
      <c r="LX12">
        <v>0</v>
      </c>
      <c r="LY12">
        <v>0</v>
      </c>
      <c r="LZ12">
        <v>0</v>
      </c>
      <c r="MA12">
        <v>0</v>
      </c>
      <c r="MB12">
        <v>0</v>
      </c>
      <c r="MC12">
        <v>0</v>
      </c>
      <c r="MD12">
        <v>347555</v>
      </c>
      <c r="ME12">
        <v>0</v>
      </c>
      <c r="MF12">
        <v>1800</v>
      </c>
      <c r="MG12">
        <v>0</v>
      </c>
      <c r="MH12">
        <v>349355</v>
      </c>
      <c r="MI12">
        <v>0</v>
      </c>
      <c r="MJ12">
        <v>0</v>
      </c>
      <c r="MK12">
        <v>0</v>
      </c>
      <c r="ML12">
        <v>0</v>
      </c>
      <c r="MM12">
        <v>0</v>
      </c>
      <c r="MN12">
        <v>0</v>
      </c>
      <c r="MO12">
        <v>0</v>
      </c>
      <c r="MP12">
        <v>0</v>
      </c>
      <c r="MQ12">
        <v>0</v>
      </c>
      <c r="MR12">
        <v>0</v>
      </c>
      <c r="MS12">
        <v>0</v>
      </c>
      <c r="MT12">
        <v>0</v>
      </c>
      <c r="MU12">
        <v>0</v>
      </c>
      <c r="MV12">
        <v>0</v>
      </c>
      <c r="MW12">
        <v>0</v>
      </c>
      <c r="MX12">
        <v>0</v>
      </c>
      <c r="MY12">
        <v>0</v>
      </c>
      <c r="MZ12">
        <v>0</v>
      </c>
      <c r="NA12">
        <v>0</v>
      </c>
      <c r="NB12">
        <v>0</v>
      </c>
      <c r="NC12">
        <v>0</v>
      </c>
      <c r="ND12">
        <v>0</v>
      </c>
      <c r="NE12">
        <v>0</v>
      </c>
      <c r="NF12">
        <v>0</v>
      </c>
      <c r="NG12">
        <v>0</v>
      </c>
      <c r="NH12">
        <v>0</v>
      </c>
      <c r="NI12">
        <v>0</v>
      </c>
      <c r="NJ12">
        <v>0</v>
      </c>
      <c r="NK12">
        <v>0</v>
      </c>
      <c r="NL12">
        <v>0</v>
      </c>
      <c r="NM12">
        <v>0</v>
      </c>
      <c r="NN12">
        <v>0</v>
      </c>
      <c r="NO12">
        <v>0</v>
      </c>
      <c r="NP12">
        <v>0</v>
      </c>
      <c r="NQ12">
        <v>0</v>
      </c>
      <c r="NR12">
        <v>0</v>
      </c>
      <c r="NS12">
        <v>0</v>
      </c>
      <c r="NT12">
        <v>0</v>
      </c>
      <c r="NU12">
        <v>0</v>
      </c>
      <c r="NV12">
        <v>0</v>
      </c>
      <c r="NW12">
        <v>0</v>
      </c>
      <c r="NX12">
        <v>0</v>
      </c>
      <c r="NY12">
        <v>0</v>
      </c>
      <c r="NZ12">
        <v>0</v>
      </c>
      <c r="OA12">
        <v>0</v>
      </c>
      <c r="OB12">
        <v>0</v>
      </c>
      <c r="OC12">
        <v>0</v>
      </c>
      <c r="OD12">
        <v>0</v>
      </c>
      <c r="OE12">
        <v>0</v>
      </c>
      <c r="OF12">
        <v>0</v>
      </c>
      <c r="OG12">
        <v>0</v>
      </c>
      <c r="OH12">
        <v>0</v>
      </c>
      <c r="OI12">
        <v>0</v>
      </c>
      <c r="OJ12">
        <v>0</v>
      </c>
      <c r="OK12">
        <v>0</v>
      </c>
      <c r="OL12">
        <v>0</v>
      </c>
      <c r="OM12">
        <v>0</v>
      </c>
      <c r="ON12">
        <v>0</v>
      </c>
    </row>
    <row r="13" spans="1:404" hidden="1" x14ac:dyDescent="0.25">
      <c r="A13" t="s">
        <v>91</v>
      </c>
      <c r="B13" t="s">
        <v>92</v>
      </c>
      <c r="C13" t="s">
        <v>90</v>
      </c>
      <c r="E13" t="s">
        <v>5408</v>
      </c>
      <c r="F13">
        <v>0</v>
      </c>
      <c r="G13">
        <v>0</v>
      </c>
      <c r="H13">
        <v>0</v>
      </c>
      <c r="I13">
        <v>0</v>
      </c>
      <c r="J13">
        <v>0</v>
      </c>
      <c r="K13">
        <v>0</v>
      </c>
      <c r="L13">
        <v>0</v>
      </c>
      <c r="M13">
        <v>0</v>
      </c>
      <c r="N13">
        <v>0</v>
      </c>
      <c r="O13">
        <v>0</v>
      </c>
      <c r="P13">
        <v>0</v>
      </c>
      <c r="Q13">
        <v>0</v>
      </c>
      <c r="R13">
        <v>0</v>
      </c>
      <c r="S13">
        <v>0</v>
      </c>
      <c r="T13">
        <v>0</v>
      </c>
      <c r="U13">
        <v>0</v>
      </c>
      <c r="V13">
        <v>0</v>
      </c>
      <c r="W13">
        <v>0</v>
      </c>
      <c r="X13">
        <v>0</v>
      </c>
      <c r="Y13">
        <v>0</v>
      </c>
      <c r="Z13">
        <v>0</v>
      </c>
      <c r="AA13">
        <v>0</v>
      </c>
      <c r="AB13">
        <v>0</v>
      </c>
      <c r="AC13">
        <v>0</v>
      </c>
      <c r="AD13">
        <v>0</v>
      </c>
      <c r="AE13">
        <v>0</v>
      </c>
      <c r="AF13">
        <v>0</v>
      </c>
      <c r="AG13">
        <v>0</v>
      </c>
      <c r="AH13">
        <v>0</v>
      </c>
      <c r="AI13">
        <v>0</v>
      </c>
      <c r="AJ13">
        <v>0</v>
      </c>
      <c r="AK13">
        <v>0</v>
      </c>
      <c r="AL13">
        <v>0</v>
      </c>
      <c r="AM13">
        <v>0</v>
      </c>
      <c r="AN13">
        <v>0</v>
      </c>
      <c r="AO13">
        <v>0</v>
      </c>
      <c r="AP13">
        <v>0</v>
      </c>
      <c r="AQ13">
        <v>0</v>
      </c>
      <c r="AR13">
        <v>0</v>
      </c>
      <c r="AS13">
        <v>0</v>
      </c>
      <c r="AT13">
        <v>0</v>
      </c>
      <c r="AU13">
        <v>0</v>
      </c>
      <c r="AV13">
        <v>0</v>
      </c>
      <c r="AW13">
        <v>0</v>
      </c>
      <c r="AX13">
        <v>0</v>
      </c>
      <c r="AY13">
        <v>0</v>
      </c>
      <c r="AZ13">
        <v>0</v>
      </c>
      <c r="BA13">
        <v>0</v>
      </c>
      <c r="BB13">
        <v>0</v>
      </c>
      <c r="BC13">
        <v>0</v>
      </c>
      <c r="BD13">
        <v>0</v>
      </c>
      <c r="BE13">
        <v>0</v>
      </c>
      <c r="BF13">
        <v>0</v>
      </c>
      <c r="BG13">
        <v>0</v>
      </c>
      <c r="BH13">
        <v>0</v>
      </c>
      <c r="BI13">
        <v>0</v>
      </c>
      <c r="BJ13">
        <v>0</v>
      </c>
      <c r="BK13">
        <v>0</v>
      </c>
      <c r="BL13">
        <v>0</v>
      </c>
      <c r="BM13">
        <v>0</v>
      </c>
      <c r="BN13">
        <v>0</v>
      </c>
      <c r="BO13">
        <v>0</v>
      </c>
      <c r="BP13">
        <v>0</v>
      </c>
      <c r="BQ13">
        <v>0</v>
      </c>
      <c r="BR13">
        <v>0</v>
      </c>
      <c r="BS13">
        <v>0</v>
      </c>
      <c r="BT13">
        <v>0</v>
      </c>
      <c r="BU13">
        <v>0</v>
      </c>
      <c r="BV13">
        <v>0</v>
      </c>
      <c r="BW13">
        <v>0</v>
      </c>
      <c r="BX13">
        <v>0</v>
      </c>
      <c r="BY13">
        <v>0</v>
      </c>
      <c r="BZ13">
        <v>0</v>
      </c>
      <c r="CA13">
        <v>0</v>
      </c>
      <c r="CB13">
        <v>0</v>
      </c>
      <c r="CC13">
        <v>0</v>
      </c>
      <c r="CD13">
        <v>0</v>
      </c>
      <c r="CE13">
        <v>0</v>
      </c>
      <c r="CF13">
        <v>0</v>
      </c>
      <c r="CG13">
        <v>0</v>
      </c>
      <c r="CH13">
        <v>0</v>
      </c>
      <c r="CI13">
        <v>0</v>
      </c>
      <c r="CJ13">
        <v>0</v>
      </c>
      <c r="CK13">
        <v>0</v>
      </c>
      <c r="CL13">
        <v>0</v>
      </c>
      <c r="CM13">
        <v>0</v>
      </c>
      <c r="CN13">
        <v>0</v>
      </c>
      <c r="CO13">
        <v>0</v>
      </c>
      <c r="CP13">
        <v>0</v>
      </c>
      <c r="CQ13">
        <v>0</v>
      </c>
      <c r="CR13">
        <v>0</v>
      </c>
      <c r="CS13">
        <v>0</v>
      </c>
      <c r="CT13">
        <v>0</v>
      </c>
      <c r="CU13">
        <v>0</v>
      </c>
      <c r="CV13">
        <v>0</v>
      </c>
      <c r="CW13">
        <v>0</v>
      </c>
      <c r="CX13">
        <v>0</v>
      </c>
      <c r="CY13">
        <v>0</v>
      </c>
      <c r="CZ13">
        <v>0</v>
      </c>
      <c r="DA13">
        <v>0</v>
      </c>
      <c r="DB13">
        <v>0</v>
      </c>
      <c r="DC13">
        <v>0</v>
      </c>
      <c r="DD13">
        <v>0</v>
      </c>
      <c r="DE13">
        <v>0</v>
      </c>
      <c r="DF13">
        <v>0</v>
      </c>
      <c r="DG13">
        <v>0</v>
      </c>
      <c r="DH13">
        <v>0</v>
      </c>
      <c r="DI13">
        <v>0</v>
      </c>
      <c r="DJ13">
        <v>0</v>
      </c>
      <c r="DK13">
        <v>0</v>
      </c>
      <c r="DL13">
        <v>0</v>
      </c>
      <c r="DM13">
        <v>0</v>
      </c>
      <c r="DN13">
        <v>0</v>
      </c>
      <c r="DO13">
        <v>0</v>
      </c>
      <c r="DP13">
        <v>0</v>
      </c>
      <c r="DQ13">
        <v>0</v>
      </c>
      <c r="DR13">
        <v>0</v>
      </c>
      <c r="DS13">
        <v>0</v>
      </c>
      <c r="DT13">
        <v>0</v>
      </c>
      <c r="DU13">
        <v>0</v>
      </c>
      <c r="DV13">
        <v>0</v>
      </c>
      <c r="DW13">
        <v>0</v>
      </c>
      <c r="DX13">
        <v>0</v>
      </c>
      <c r="DY13">
        <v>0</v>
      </c>
      <c r="DZ13">
        <v>0</v>
      </c>
      <c r="EA13">
        <v>0</v>
      </c>
      <c r="EB13">
        <v>0</v>
      </c>
      <c r="EC13">
        <v>0</v>
      </c>
      <c r="ED13">
        <v>0</v>
      </c>
      <c r="EE13">
        <v>0</v>
      </c>
      <c r="EF13">
        <v>0</v>
      </c>
      <c r="EG13">
        <v>0</v>
      </c>
      <c r="EH13">
        <v>0</v>
      </c>
      <c r="EI13">
        <v>0</v>
      </c>
      <c r="EJ13">
        <v>0</v>
      </c>
      <c r="EK13">
        <v>0</v>
      </c>
      <c r="EL13">
        <v>0</v>
      </c>
      <c r="EM13">
        <v>0</v>
      </c>
      <c r="EN13">
        <v>0</v>
      </c>
      <c r="EO13">
        <v>0</v>
      </c>
      <c r="EP13">
        <v>0</v>
      </c>
      <c r="EQ13">
        <v>0</v>
      </c>
      <c r="ER13">
        <v>0</v>
      </c>
      <c r="ES13">
        <v>0</v>
      </c>
      <c r="ET13">
        <v>0</v>
      </c>
      <c r="EU13">
        <v>0</v>
      </c>
      <c r="EV13">
        <v>0</v>
      </c>
      <c r="EW13">
        <v>0</v>
      </c>
      <c r="EX13">
        <v>0</v>
      </c>
      <c r="EY13">
        <v>0</v>
      </c>
      <c r="EZ13">
        <v>0</v>
      </c>
      <c r="FA13">
        <v>0</v>
      </c>
      <c r="FB13">
        <v>0</v>
      </c>
      <c r="FC13">
        <v>0</v>
      </c>
      <c r="FD13">
        <v>0</v>
      </c>
      <c r="FE13">
        <v>0</v>
      </c>
      <c r="FF13">
        <v>0</v>
      </c>
      <c r="FG13">
        <v>0</v>
      </c>
      <c r="FH13">
        <v>0</v>
      </c>
      <c r="FI13">
        <v>0</v>
      </c>
      <c r="FJ13">
        <v>0</v>
      </c>
      <c r="FK13">
        <v>0</v>
      </c>
      <c r="FL13">
        <v>0</v>
      </c>
      <c r="FM13">
        <v>0</v>
      </c>
      <c r="FN13">
        <v>0</v>
      </c>
      <c r="FO13">
        <v>0</v>
      </c>
      <c r="FP13">
        <v>0</v>
      </c>
      <c r="FQ13">
        <v>0</v>
      </c>
      <c r="FR13">
        <v>0</v>
      </c>
      <c r="FS13">
        <v>0</v>
      </c>
      <c r="FT13">
        <v>0</v>
      </c>
      <c r="FU13">
        <v>0</v>
      </c>
      <c r="FV13">
        <v>0</v>
      </c>
      <c r="FW13">
        <v>0</v>
      </c>
      <c r="FX13">
        <v>0</v>
      </c>
      <c r="FY13">
        <v>0</v>
      </c>
      <c r="FZ13">
        <v>0</v>
      </c>
      <c r="GA13">
        <v>0</v>
      </c>
      <c r="GB13">
        <v>0</v>
      </c>
      <c r="GC13">
        <v>0</v>
      </c>
      <c r="GD13">
        <v>0</v>
      </c>
      <c r="GE13">
        <v>0</v>
      </c>
      <c r="GF13">
        <v>0</v>
      </c>
      <c r="GG13">
        <v>0</v>
      </c>
      <c r="GH13">
        <v>0</v>
      </c>
      <c r="GI13">
        <v>0</v>
      </c>
      <c r="GJ13">
        <v>0</v>
      </c>
      <c r="GK13">
        <v>0</v>
      </c>
      <c r="GL13">
        <v>0</v>
      </c>
      <c r="GM13">
        <v>0</v>
      </c>
      <c r="GN13">
        <v>0</v>
      </c>
      <c r="GO13">
        <v>0</v>
      </c>
      <c r="GP13">
        <v>0</v>
      </c>
      <c r="GQ13">
        <v>0</v>
      </c>
      <c r="GR13">
        <v>0</v>
      </c>
      <c r="GS13">
        <v>0</v>
      </c>
      <c r="GT13">
        <v>0</v>
      </c>
      <c r="GU13">
        <v>0</v>
      </c>
      <c r="GV13">
        <v>0</v>
      </c>
      <c r="GW13">
        <v>0</v>
      </c>
      <c r="GX13">
        <v>5627</v>
      </c>
      <c r="GY13">
        <v>44894</v>
      </c>
      <c r="GZ13">
        <v>98</v>
      </c>
      <c r="HA13">
        <v>50619</v>
      </c>
      <c r="HB13">
        <v>1552</v>
      </c>
      <c r="HC13">
        <v>0</v>
      </c>
      <c r="HD13">
        <v>0</v>
      </c>
      <c r="HE13">
        <v>0</v>
      </c>
      <c r="HF13">
        <v>0</v>
      </c>
      <c r="HG13">
        <v>0</v>
      </c>
      <c r="HH13">
        <v>0</v>
      </c>
      <c r="HI13">
        <v>0</v>
      </c>
      <c r="HJ13">
        <v>0</v>
      </c>
      <c r="HK13">
        <v>0</v>
      </c>
      <c r="HL13">
        <v>0</v>
      </c>
      <c r="HM13">
        <v>0</v>
      </c>
      <c r="HN13">
        <v>0</v>
      </c>
      <c r="HO13">
        <v>0</v>
      </c>
      <c r="HP13">
        <v>0</v>
      </c>
      <c r="HQ13">
        <v>0</v>
      </c>
      <c r="HR13">
        <v>0</v>
      </c>
      <c r="HS13">
        <v>0</v>
      </c>
      <c r="HT13">
        <v>0</v>
      </c>
      <c r="HU13">
        <v>0</v>
      </c>
      <c r="HV13">
        <v>1552</v>
      </c>
      <c r="HW13">
        <v>0</v>
      </c>
      <c r="HX13">
        <v>0</v>
      </c>
      <c r="HY13">
        <v>0</v>
      </c>
      <c r="HZ13">
        <v>0</v>
      </c>
      <c r="IA13">
        <v>0</v>
      </c>
      <c r="IB13">
        <v>0</v>
      </c>
      <c r="IC13">
        <v>0</v>
      </c>
      <c r="ID13">
        <v>0</v>
      </c>
      <c r="IE13">
        <v>0</v>
      </c>
      <c r="IF13">
        <v>0</v>
      </c>
      <c r="IG13">
        <v>0</v>
      </c>
      <c r="IH13">
        <v>0</v>
      </c>
      <c r="II13">
        <v>0</v>
      </c>
      <c r="IJ13">
        <v>0</v>
      </c>
      <c r="IK13">
        <v>0</v>
      </c>
      <c r="IL13">
        <v>0</v>
      </c>
      <c r="IM13">
        <v>50619</v>
      </c>
      <c r="IN13">
        <v>1552</v>
      </c>
      <c r="IO13">
        <v>0</v>
      </c>
      <c r="IP13">
        <v>52171</v>
      </c>
      <c r="IQ13">
        <v>0</v>
      </c>
      <c r="IR13">
        <v>0</v>
      </c>
      <c r="IS13">
        <v>0</v>
      </c>
      <c r="IT13">
        <v>0</v>
      </c>
      <c r="IU13">
        <v>0</v>
      </c>
      <c r="IV13">
        <v>0</v>
      </c>
      <c r="IW13">
        <v>0</v>
      </c>
      <c r="IX13">
        <v>0</v>
      </c>
      <c r="IY13">
        <v>0</v>
      </c>
      <c r="IZ13">
        <v>0</v>
      </c>
      <c r="JA13">
        <v>0</v>
      </c>
      <c r="JB13">
        <v>0</v>
      </c>
      <c r="JC13">
        <v>0</v>
      </c>
      <c r="JD13">
        <v>0</v>
      </c>
      <c r="JE13">
        <v>-43</v>
      </c>
      <c r="JF13">
        <v>0</v>
      </c>
      <c r="JG13">
        <v>52128</v>
      </c>
      <c r="JH13">
        <v>0</v>
      </c>
      <c r="JI13">
        <v>25</v>
      </c>
      <c r="JJ13">
        <v>0</v>
      </c>
      <c r="JK13">
        <v>0</v>
      </c>
      <c r="JL13">
        <v>0</v>
      </c>
      <c r="JM13">
        <v>0</v>
      </c>
      <c r="JN13">
        <v>535</v>
      </c>
      <c r="JO13">
        <v>0</v>
      </c>
      <c r="JP13">
        <v>221</v>
      </c>
      <c r="JQ13">
        <v>0</v>
      </c>
      <c r="JR13">
        <v>52909</v>
      </c>
      <c r="JS13">
        <v>-10</v>
      </c>
      <c r="JT13">
        <v>0</v>
      </c>
      <c r="JU13">
        <v>0</v>
      </c>
      <c r="JV13">
        <v>0</v>
      </c>
      <c r="JW13">
        <v>0</v>
      </c>
      <c r="JX13">
        <v>0</v>
      </c>
      <c r="JY13">
        <v>0</v>
      </c>
      <c r="JZ13">
        <v>0</v>
      </c>
      <c r="KA13">
        <v>0</v>
      </c>
      <c r="KB13">
        <v>0</v>
      </c>
      <c r="KC13">
        <v>52899</v>
      </c>
      <c r="KD13">
        <v>0</v>
      </c>
      <c r="KE13">
        <v>-6757</v>
      </c>
      <c r="KF13">
        <v>46142</v>
      </c>
      <c r="KG13">
        <v>0</v>
      </c>
      <c r="KH13">
        <v>0</v>
      </c>
      <c r="KI13">
        <v>0</v>
      </c>
      <c r="KJ13">
        <v>0</v>
      </c>
      <c r="KK13">
        <v>429</v>
      </c>
      <c r="KL13">
        <v>0</v>
      </c>
      <c r="KM13">
        <v>-5144</v>
      </c>
      <c r="KN13">
        <v>0</v>
      </c>
      <c r="KO13">
        <v>-10978</v>
      </c>
      <c r="KP13">
        <v>0</v>
      </c>
      <c r="KQ13">
        <v>0</v>
      </c>
      <c r="KR13">
        <v>28390</v>
      </c>
      <c r="KS13">
        <v>0</v>
      </c>
      <c r="KT13">
        <v>0</v>
      </c>
      <c r="KU13">
        <v>0</v>
      </c>
      <c r="KV13">
        <v>19292</v>
      </c>
      <c r="KW13">
        <v>1500</v>
      </c>
      <c r="KX13">
        <v>0</v>
      </c>
      <c r="KY13">
        <v>0</v>
      </c>
      <c r="KZ13">
        <v>0</v>
      </c>
      <c r="LA13">
        <v>19721</v>
      </c>
      <c r="LB13">
        <v>1500</v>
      </c>
      <c r="LC13">
        <v>0</v>
      </c>
      <c r="LD13">
        <v>3312</v>
      </c>
      <c r="LE13">
        <v>0</v>
      </c>
      <c r="LF13">
        <v>0</v>
      </c>
      <c r="LG13">
        <v>-762</v>
      </c>
      <c r="LH13">
        <v>0</v>
      </c>
      <c r="LI13">
        <v>2550</v>
      </c>
      <c r="LJ13">
        <v>0</v>
      </c>
      <c r="LK13">
        <v>0</v>
      </c>
      <c r="LL13">
        <v>0</v>
      </c>
      <c r="LM13">
        <v>0</v>
      </c>
      <c r="LN13">
        <v>0</v>
      </c>
      <c r="LO13">
        <v>0</v>
      </c>
      <c r="LP13">
        <v>0</v>
      </c>
      <c r="LQ13">
        <v>0</v>
      </c>
      <c r="LR13">
        <v>0</v>
      </c>
      <c r="LS13">
        <v>0</v>
      </c>
      <c r="LT13">
        <v>0</v>
      </c>
      <c r="LU13">
        <v>0</v>
      </c>
      <c r="LV13">
        <v>0</v>
      </c>
      <c r="LW13">
        <v>0</v>
      </c>
      <c r="LX13">
        <v>0</v>
      </c>
      <c r="LY13">
        <v>0</v>
      </c>
      <c r="LZ13">
        <v>0</v>
      </c>
      <c r="MA13">
        <v>0</v>
      </c>
      <c r="MB13">
        <v>0</v>
      </c>
      <c r="MC13">
        <v>0</v>
      </c>
      <c r="MD13">
        <v>0</v>
      </c>
      <c r="ME13">
        <v>50619</v>
      </c>
      <c r="MF13">
        <v>1552</v>
      </c>
      <c r="MG13">
        <v>0</v>
      </c>
      <c r="MH13">
        <v>52171</v>
      </c>
      <c r="MI13">
        <v>0</v>
      </c>
      <c r="MJ13">
        <v>0</v>
      </c>
      <c r="MK13">
        <v>0</v>
      </c>
      <c r="ML13">
        <v>0</v>
      </c>
      <c r="MM13">
        <v>0</v>
      </c>
      <c r="MN13">
        <v>0</v>
      </c>
      <c r="MO13">
        <v>0</v>
      </c>
      <c r="MP13">
        <v>0</v>
      </c>
      <c r="MQ13">
        <v>0</v>
      </c>
      <c r="MR13">
        <v>0</v>
      </c>
      <c r="MS13">
        <v>0</v>
      </c>
      <c r="MT13">
        <v>0</v>
      </c>
      <c r="MU13">
        <v>0</v>
      </c>
      <c r="MV13">
        <v>0</v>
      </c>
      <c r="MW13">
        <v>0</v>
      </c>
      <c r="MX13">
        <v>0</v>
      </c>
      <c r="MY13">
        <v>0</v>
      </c>
      <c r="MZ13">
        <v>0</v>
      </c>
      <c r="NA13">
        <v>0</v>
      </c>
      <c r="NB13">
        <v>0</v>
      </c>
      <c r="NC13">
        <v>0</v>
      </c>
      <c r="ND13">
        <v>0</v>
      </c>
      <c r="NE13">
        <v>0</v>
      </c>
      <c r="NF13">
        <v>0</v>
      </c>
      <c r="NG13">
        <v>0</v>
      </c>
      <c r="NH13">
        <v>0</v>
      </c>
      <c r="NI13">
        <v>0</v>
      </c>
      <c r="NJ13">
        <v>0</v>
      </c>
      <c r="NK13">
        <v>0</v>
      </c>
      <c r="NL13">
        <v>0</v>
      </c>
      <c r="NM13">
        <v>0</v>
      </c>
      <c r="NN13">
        <v>0</v>
      </c>
      <c r="NO13">
        <v>0</v>
      </c>
      <c r="NP13">
        <v>0</v>
      </c>
      <c r="NQ13">
        <v>0</v>
      </c>
      <c r="NR13">
        <v>0</v>
      </c>
      <c r="NS13">
        <v>0</v>
      </c>
      <c r="NT13">
        <v>0</v>
      </c>
      <c r="NU13">
        <v>0</v>
      </c>
      <c r="NV13">
        <v>0</v>
      </c>
      <c r="NW13">
        <v>0</v>
      </c>
      <c r="NX13">
        <v>0</v>
      </c>
      <c r="NY13">
        <v>0</v>
      </c>
      <c r="NZ13">
        <v>0</v>
      </c>
      <c r="OA13">
        <v>0</v>
      </c>
      <c r="OB13">
        <v>0</v>
      </c>
      <c r="OC13">
        <v>0</v>
      </c>
      <c r="OD13">
        <v>0</v>
      </c>
      <c r="OE13">
        <v>0</v>
      </c>
      <c r="OF13">
        <v>0</v>
      </c>
      <c r="OG13">
        <v>0</v>
      </c>
      <c r="OH13">
        <v>0</v>
      </c>
      <c r="OI13">
        <v>0</v>
      </c>
      <c r="OJ13">
        <v>0</v>
      </c>
      <c r="OK13">
        <v>0</v>
      </c>
      <c r="OL13">
        <v>0</v>
      </c>
      <c r="OM13">
        <v>0</v>
      </c>
      <c r="ON13">
        <v>0</v>
      </c>
    </row>
    <row r="14" spans="1:404" hidden="1" x14ac:dyDescent="0.25">
      <c r="A14" t="s">
        <v>95</v>
      </c>
      <c r="B14" t="s">
        <v>96</v>
      </c>
      <c r="C14" t="s">
        <v>94</v>
      </c>
      <c r="E14" t="s">
        <v>61</v>
      </c>
      <c r="F14">
        <v>0</v>
      </c>
      <c r="G14">
        <v>0</v>
      </c>
      <c r="H14">
        <v>0</v>
      </c>
      <c r="I14">
        <v>0</v>
      </c>
      <c r="J14">
        <v>0</v>
      </c>
      <c r="K14">
        <v>0</v>
      </c>
      <c r="L14">
        <v>0</v>
      </c>
      <c r="M14">
        <v>0</v>
      </c>
      <c r="N14">
        <v>0</v>
      </c>
      <c r="O14">
        <v>0</v>
      </c>
      <c r="P14">
        <v>0</v>
      </c>
      <c r="Q14">
        <v>0</v>
      </c>
      <c r="R14">
        <v>0</v>
      </c>
      <c r="S14">
        <v>0</v>
      </c>
      <c r="T14">
        <v>0</v>
      </c>
      <c r="U14">
        <v>0</v>
      </c>
      <c r="V14">
        <v>0</v>
      </c>
      <c r="W14">
        <v>0</v>
      </c>
      <c r="X14">
        <v>0</v>
      </c>
      <c r="Y14">
        <v>0</v>
      </c>
      <c r="Z14">
        <v>426</v>
      </c>
      <c r="AA14">
        <v>8</v>
      </c>
      <c r="AB14">
        <v>0</v>
      </c>
      <c r="AC14">
        <v>0</v>
      </c>
      <c r="AD14">
        <v>0</v>
      </c>
      <c r="AE14">
        <v>0</v>
      </c>
      <c r="AF14">
        <v>0</v>
      </c>
      <c r="AG14">
        <v>0</v>
      </c>
      <c r="AH14">
        <v>0</v>
      </c>
      <c r="AI14">
        <v>434</v>
      </c>
      <c r="AJ14">
        <v>0</v>
      </c>
      <c r="AK14">
        <v>0</v>
      </c>
      <c r="AL14">
        <v>0</v>
      </c>
      <c r="AM14">
        <v>0</v>
      </c>
      <c r="AN14">
        <v>0</v>
      </c>
      <c r="AO14">
        <v>0</v>
      </c>
      <c r="AP14">
        <v>0</v>
      </c>
      <c r="AQ14">
        <v>0</v>
      </c>
      <c r="AR14">
        <v>0</v>
      </c>
      <c r="AS14">
        <v>0</v>
      </c>
      <c r="AT14">
        <v>0</v>
      </c>
      <c r="AU14">
        <v>0</v>
      </c>
      <c r="AV14">
        <v>0</v>
      </c>
      <c r="AW14">
        <v>0</v>
      </c>
      <c r="AX14">
        <v>0</v>
      </c>
      <c r="AY14">
        <v>0</v>
      </c>
      <c r="AZ14">
        <v>0</v>
      </c>
      <c r="BA14">
        <v>0</v>
      </c>
      <c r="BB14">
        <v>0</v>
      </c>
      <c r="BC14">
        <v>0</v>
      </c>
      <c r="BD14">
        <v>0</v>
      </c>
      <c r="BE14">
        <v>0</v>
      </c>
      <c r="BF14">
        <v>0</v>
      </c>
      <c r="BG14">
        <v>0</v>
      </c>
      <c r="BH14">
        <v>0</v>
      </c>
      <c r="BI14">
        <v>0</v>
      </c>
      <c r="BJ14">
        <v>0</v>
      </c>
      <c r="BK14">
        <v>0</v>
      </c>
      <c r="BL14">
        <v>0</v>
      </c>
      <c r="BM14">
        <v>0</v>
      </c>
      <c r="BN14">
        <v>0</v>
      </c>
      <c r="BO14">
        <v>0</v>
      </c>
      <c r="BP14">
        <v>0</v>
      </c>
      <c r="BQ14">
        <v>0</v>
      </c>
      <c r="BR14">
        <v>0</v>
      </c>
      <c r="BS14">
        <v>0</v>
      </c>
      <c r="BT14">
        <v>0</v>
      </c>
      <c r="BU14">
        <v>0</v>
      </c>
      <c r="BV14">
        <v>0</v>
      </c>
      <c r="BW14">
        <v>0</v>
      </c>
      <c r="BX14">
        <v>0</v>
      </c>
      <c r="BY14">
        <v>0</v>
      </c>
      <c r="BZ14">
        <v>0</v>
      </c>
      <c r="CA14">
        <v>0</v>
      </c>
      <c r="CB14">
        <v>0</v>
      </c>
      <c r="CC14">
        <v>0</v>
      </c>
      <c r="CD14">
        <v>0</v>
      </c>
      <c r="CE14">
        <v>0</v>
      </c>
      <c r="CF14">
        <v>0</v>
      </c>
      <c r="CG14">
        <v>0</v>
      </c>
      <c r="CH14">
        <v>0</v>
      </c>
      <c r="CI14">
        <v>0</v>
      </c>
      <c r="CJ14">
        <v>0</v>
      </c>
      <c r="CK14">
        <v>0</v>
      </c>
      <c r="CL14">
        <v>0</v>
      </c>
      <c r="CM14">
        <v>0</v>
      </c>
      <c r="CN14">
        <v>0</v>
      </c>
      <c r="CO14">
        <v>0</v>
      </c>
      <c r="CP14">
        <v>0</v>
      </c>
      <c r="CQ14">
        <v>0</v>
      </c>
      <c r="CR14">
        <v>0</v>
      </c>
      <c r="CS14">
        <v>0</v>
      </c>
      <c r="CT14">
        <v>0</v>
      </c>
      <c r="CU14">
        <v>0</v>
      </c>
      <c r="CV14">
        <v>0</v>
      </c>
      <c r="CW14">
        <v>0</v>
      </c>
      <c r="CX14">
        <v>0</v>
      </c>
      <c r="CY14">
        <v>0</v>
      </c>
      <c r="CZ14">
        <v>0</v>
      </c>
      <c r="DA14">
        <v>0</v>
      </c>
      <c r="DB14">
        <v>0</v>
      </c>
      <c r="DC14">
        <v>508</v>
      </c>
      <c r="DD14">
        <v>0</v>
      </c>
      <c r="DE14">
        <v>0</v>
      </c>
      <c r="DF14">
        <v>136</v>
      </c>
      <c r="DG14">
        <v>0</v>
      </c>
      <c r="DH14">
        <v>0</v>
      </c>
      <c r="DI14">
        <v>0</v>
      </c>
      <c r="DJ14">
        <v>74</v>
      </c>
      <c r="DK14">
        <v>0</v>
      </c>
      <c r="DL14">
        <v>0</v>
      </c>
      <c r="DM14">
        <v>322</v>
      </c>
      <c r="DN14">
        <v>531</v>
      </c>
      <c r="DO14">
        <v>0</v>
      </c>
      <c r="DP14">
        <v>927</v>
      </c>
      <c r="DQ14">
        <v>8</v>
      </c>
      <c r="DR14">
        <v>0</v>
      </c>
      <c r="DS14">
        <v>3</v>
      </c>
      <c r="DT14">
        <v>0</v>
      </c>
      <c r="DU14">
        <v>0</v>
      </c>
      <c r="DV14">
        <v>71</v>
      </c>
      <c r="DW14">
        <v>0</v>
      </c>
      <c r="DX14">
        <v>1653</v>
      </c>
      <c r="DY14">
        <v>16655</v>
      </c>
      <c r="DZ14">
        <v>249</v>
      </c>
      <c r="EA14">
        <v>668</v>
      </c>
      <c r="EB14">
        <v>64</v>
      </c>
      <c r="EC14">
        <v>0</v>
      </c>
      <c r="ED14">
        <v>0</v>
      </c>
      <c r="EE14">
        <v>0</v>
      </c>
      <c r="EF14">
        <v>0</v>
      </c>
      <c r="EG14">
        <v>0</v>
      </c>
      <c r="EH14">
        <v>4426</v>
      </c>
      <c r="EI14">
        <v>1918</v>
      </c>
      <c r="EJ14">
        <v>1269</v>
      </c>
      <c r="EK14">
        <v>65</v>
      </c>
      <c r="EL14">
        <v>0</v>
      </c>
      <c r="EM14">
        <v>0</v>
      </c>
      <c r="EN14">
        <v>0</v>
      </c>
      <c r="EO14">
        <v>-20</v>
      </c>
      <c r="EP14">
        <v>0</v>
      </c>
      <c r="EQ14">
        <v>0</v>
      </c>
      <c r="ER14">
        <v>0</v>
      </c>
      <c r="ES14">
        <v>15895</v>
      </c>
      <c r="ET14">
        <v>25873</v>
      </c>
      <c r="EU14">
        <v>0</v>
      </c>
      <c r="EV14">
        <v>0</v>
      </c>
      <c r="EW14">
        <v>0</v>
      </c>
      <c r="EX14">
        <v>0</v>
      </c>
      <c r="EY14">
        <v>0</v>
      </c>
      <c r="EZ14">
        <v>0</v>
      </c>
      <c r="FA14">
        <v>0</v>
      </c>
      <c r="FB14">
        <v>4</v>
      </c>
      <c r="FC14">
        <v>-165</v>
      </c>
      <c r="FD14">
        <v>1235</v>
      </c>
      <c r="FE14">
        <v>0</v>
      </c>
      <c r="FF14">
        <v>71</v>
      </c>
      <c r="FG14">
        <v>0</v>
      </c>
      <c r="FH14">
        <v>1145</v>
      </c>
      <c r="FI14">
        <v>1</v>
      </c>
      <c r="FJ14">
        <v>0</v>
      </c>
      <c r="FK14">
        <v>1</v>
      </c>
      <c r="FL14">
        <v>434</v>
      </c>
      <c r="FM14">
        <v>612</v>
      </c>
      <c r="FN14">
        <v>171</v>
      </c>
      <c r="FO14">
        <v>-2</v>
      </c>
      <c r="FP14">
        <v>0</v>
      </c>
      <c r="FQ14">
        <v>0</v>
      </c>
      <c r="FR14">
        <v>0</v>
      </c>
      <c r="FS14">
        <v>100</v>
      </c>
      <c r="FT14">
        <v>12</v>
      </c>
      <c r="FU14">
        <v>8</v>
      </c>
      <c r="FV14">
        <v>12</v>
      </c>
      <c r="FW14">
        <v>0</v>
      </c>
      <c r="FX14">
        <v>37</v>
      </c>
      <c r="FY14">
        <v>0</v>
      </c>
      <c r="FZ14">
        <v>6</v>
      </c>
      <c r="GA14">
        <v>0</v>
      </c>
      <c r="GB14">
        <v>0</v>
      </c>
      <c r="GC14">
        <v>0</v>
      </c>
      <c r="GD14">
        <v>447</v>
      </c>
      <c r="GE14">
        <v>2327</v>
      </c>
      <c r="GF14">
        <v>0</v>
      </c>
      <c r="GG14">
        <v>-143</v>
      </c>
      <c r="GH14">
        <v>-245</v>
      </c>
      <c r="GI14">
        <v>0</v>
      </c>
      <c r="GJ14">
        <v>13</v>
      </c>
      <c r="GK14">
        <v>3791</v>
      </c>
      <c r="GL14">
        <v>284</v>
      </c>
      <c r="GM14">
        <v>1466</v>
      </c>
      <c r="GN14">
        <v>319</v>
      </c>
      <c r="GO14">
        <v>1678</v>
      </c>
      <c r="GP14">
        <v>0</v>
      </c>
      <c r="GQ14">
        <v>894</v>
      </c>
      <c r="GR14">
        <v>0</v>
      </c>
      <c r="GS14">
        <v>252</v>
      </c>
      <c r="GT14">
        <v>-77</v>
      </c>
      <c r="GU14">
        <v>4816</v>
      </c>
      <c r="GV14">
        <v>9752</v>
      </c>
      <c r="GW14">
        <v>0</v>
      </c>
      <c r="GX14">
        <v>0</v>
      </c>
      <c r="GY14">
        <v>0</v>
      </c>
      <c r="GZ14">
        <v>0</v>
      </c>
      <c r="HA14">
        <v>0</v>
      </c>
      <c r="HB14">
        <v>1115</v>
      </c>
      <c r="HC14">
        <v>1138</v>
      </c>
      <c r="HD14">
        <v>0</v>
      </c>
      <c r="HE14">
        <v>0</v>
      </c>
      <c r="HF14">
        <v>60</v>
      </c>
      <c r="HG14">
        <v>-107</v>
      </c>
      <c r="HH14">
        <v>0</v>
      </c>
      <c r="HI14">
        <v>0</v>
      </c>
      <c r="HJ14">
        <v>121</v>
      </c>
      <c r="HK14">
        <v>113</v>
      </c>
      <c r="HL14">
        <v>-40</v>
      </c>
      <c r="HM14">
        <v>-7</v>
      </c>
      <c r="HN14">
        <v>0</v>
      </c>
      <c r="HO14">
        <v>149</v>
      </c>
      <c r="HP14">
        <v>0</v>
      </c>
      <c r="HQ14">
        <v>0</v>
      </c>
      <c r="HR14">
        <v>8</v>
      </c>
      <c r="HS14">
        <v>0</v>
      </c>
      <c r="HT14">
        <v>0</v>
      </c>
      <c r="HU14">
        <v>0</v>
      </c>
      <c r="HV14">
        <v>2550</v>
      </c>
      <c r="HW14">
        <v>1586</v>
      </c>
      <c r="HX14">
        <v>3579</v>
      </c>
      <c r="HY14">
        <v>0</v>
      </c>
      <c r="HZ14">
        <v>97</v>
      </c>
      <c r="IA14">
        <v>0</v>
      </c>
      <c r="IB14">
        <v>39</v>
      </c>
      <c r="IC14">
        <v>0</v>
      </c>
      <c r="ID14">
        <v>434</v>
      </c>
      <c r="IE14">
        <v>0</v>
      </c>
      <c r="IF14">
        <v>0</v>
      </c>
      <c r="IG14">
        <v>0</v>
      </c>
      <c r="IH14">
        <v>1653</v>
      </c>
      <c r="II14">
        <v>1145</v>
      </c>
      <c r="IJ14">
        <v>3791</v>
      </c>
      <c r="IK14">
        <v>4816</v>
      </c>
      <c r="IL14">
        <v>0</v>
      </c>
      <c r="IM14">
        <v>0</v>
      </c>
      <c r="IN14">
        <v>2550</v>
      </c>
      <c r="IO14">
        <v>39</v>
      </c>
      <c r="IP14">
        <v>14428</v>
      </c>
      <c r="IQ14">
        <v>6595</v>
      </c>
      <c r="IR14">
        <v>0</v>
      </c>
      <c r="IS14">
        <v>5598</v>
      </c>
      <c r="IT14">
        <v>0</v>
      </c>
      <c r="IU14">
        <v>0</v>
      </c>
      <c r="IV14">
        <v>2943</v>
      </c>
      <c r="IW14">
        <v>0</v>
      </c>
      <c r="IX14">
        <v>0</v>
      </c>
      <c r="IY14">
        <v>0</v>
      </c>
      <c r="IZ14">
        <v>0</v>
      </c>
      <c r="JA14">
        <v>0</v>
      </c>
      <c r="JB14">
        <v>0</v>
      </c>
      <c r="JC14">
        <v>0</v>
      </c>
      <c r="JD14">
        <v>0</v>
      </c>
      <c r="JE14">
        <v>0</v>
      </c>
      <c r="JF14">
        <v>0</v>
      </c>
      <c r="JG14">
        <v>29564</v>
      </c>
      <c r="JH14">
        <v>0</v>
      </c>
      <c r="JI14">
        <v>0</v>
      </c>
      <c r="JJ14">
        <v>0</v>
      </c>
      <c r="JK14">
        <v>0</v>
      </c>
      <c r="JL14">
        <v>0</v>
      </c>
      <c r="JM14">
        <v>0</v>
      </c>
      <c r="JN14">
        <v>0</v>
      </c>
      <c r="JO14">
        <v>0</v>
      </c>
      <c r="JP14">
        <v>3026</v>
      </c>
      <c r="JQ14">
        <v>0</v>
      </c>
      <c r="JR14">
        <v>32590</v>
      </c>
      <c r="JS14">
        <v>0</v>
      </c>
      <c r="JT14">
        <v>0</v>
      </c>
      <c r="JU14">
        <v>0</v>
      </c>
      <c r="JV14">
        <v>0</v>
      </c>
      <c r="JW14">
        <v>-12480</v>
      </c>
      <c r="JX14">
        <v>0</v>
      </c>
      <c r="JY14">
        <v>-5062</v>
      </c>
      <c r="JZ14">
        <v>0</v>
      </c>
      <c r="KA14">
        <v>0</v>
      </c>
      <c r="KB14">
        <v>0</v>
      </c>
      <c r="KC14">
        <v>15048</v>
      </c>
      <c r="KD14">
        <v>0</v>
      </c>
      <c r="KE14">
        <v>-2257</v>
      </c>
      <c r="KF14">
        <v>12791</v>
      </c>
      <c r="KG14">
        <v>0</v>
      </c>
      <c r="KH14">
        <v>0</v>
      </c>
      <c r="KI14">
        <v>0</v>
      </c>
      <c r="KJ14">
        <v>0</v>
      </c>
      <c r="KK14">
        <v>539</v>
      </c>
      <c r="KL14">
        <v>0</v>
      </c>
      <c r="KM14">
        <v>0</v>
      </c>
      <c r="KN14">
        <v>0</v>
      </c>
      <c r="KO14">
        <v>-640</v>
      </c>
      <c r="KP14">
        <v>0</v>
      </c>
      <c r="KQ14">
        <v>0</v>
      </c>
      <c r="KR14">
        <v>8756</v>
      </c>
      <c r="KS14">
        <v>0</v>
      </c>
      <c r="KT14">
        <v>0</v>
      </c>
      <c r="KU14">
        <v>0</v>
      </c>
      <c r="KV14">
        <v>17306</v>
      </c>
      <c r="KW14">
        <v>1200</v>
      </c>
      <c r="KX14">
        <v>0</v>
      </c>
      <c r="KY14">
        <v>0</v>
      </c>
      <c r="KZ14">
        <v>0</v>
      </c>
      <c r="LA14">
        <v>17845</v>
      </c>
      <c r="LB14">
        <v>1200</v>
      </c>
      <c r="LC14">
        <v>0</v>
      </c>
      <c r="LD14">
        <v>1014</v>
      </c>
      <c r="LE14">
        <v>759</v>
      </c>
      <c r="LF14">
        <v>-326</v>
      </c>
      <c r="LG14">
        <v>-991</v>
      </c>
      <c r="LH14">
        <v>2206</v>
      </c>
      <c r="LI14">
        <v>2662</v>
      </c>
      <c r="LJ14">
        <v>2234</v>
      </c>
      <c r="LK14">
        <v>2534</v>
      </c>
      <c r="LL14">
        <v>4768</v>
      </c>
      <c r="LM14">
        <v>0</v>
      </c>
      <c r="LN14">
        <v>0</v>
      </c>
      <c r="LO14">
        <v>0</v>
      </c>
      <c r="LP14">
        <v>17636</v>
      </c>
      <c r="LQ14">
        <v>7658</v>
      </c>
      <c r="LR14">
        <v>9978</v>
      </c>
      <c r="LS14">
        <v>15895</v>
      </c>
      <c r="LT14">
        <v>25873</v>
      </c>
      <c r="LU14">
        <v>0</v>
      </c>
      <c r="LV14">
        <v>434</v>
      </c>
      <c r="LW14">
        <v>0</v>
      </c>
      <c r="LX14">
        <v>0</v>
      </c>
      <c r="LY14">
        <v>0</v>
      </c>
      <c r="LZ14">
        <v>1653</v>
      </c>
      <c r="MA14">
        <v>1145</v>
      </c>
      <c r="MB14">
        <v>3791</v>
      </c>
      <c r="MC14">
        <v>4816</v>
      </c>
      <c r="MD14">
        <v>0</v>
      </c>
      <c r="ME14">
        <v>0</v>
      </c>
      <c r="MF14">
        <v>2550</v>
      </c>
      <c r="MG14">
        <v>39</v>
      </c>
      <c r="MH14">
        <v>14428</v>
      </c>
      <c r="MI14">
        <v>0</v>
      </c>
      <c r="MJ14">
        <v>0</v>
      </c>
      <c r="MK14">
        <v>0</v>
      </c>
      <c r="ML14">
        <v>0</v>
      </c>
      <c r="MM14">
        <v>0</v>
      </c>
      <c r="MN14">
        <v>0</v>
      </c>
      <c r="MO14">
        <v>0</v>
      </c>
      <c r="MP14">
        <v>0</v>
      </c>
      <c r="MQ14">
        <v>0</v>
      </c>
      <c r="MR14">
        <v>0</v>
      </c>
      <c r="MS14">
        <v>0</v>
      </c>
      <c r="MT14">
        <v>0</v>
      </c>
      <c r="MU14">
        <v>0</v>
      </c>
      <c r="MV14">
        <v>0</v>
      </c>
      <c r="MW14">
        <v>0</v>
      </c>
      <c r="MX14">
        <v>0</v>
      </c>
      <c r="MY14">
        <v>0</v>
      </c>
      <c r="MZ14">
        <v>0</v>
      </c>
      <c r="NA14">
        <v>0</v>
      </c>
      <c r="NB14">
        <v>0</v>
      </c>
      <c r="NC14">
        <v>0</v>
      </c>
      <c r="ND14">
        <v>0</v>
      </c>
      <c r="NE14">
        <v>0</v>
      </c>
      <c r="NF14">
        <v>0</v>
      </c>
      <c r="NG14">
        <v>0</v>
      </c>
      <c r="NH14">
        <v>0</v>
      </c>
      <c r="NI14">
        <v>0</v>
      </c>
      <c r="NJ14">
        <v>0</v>
      </c>
      <c r="NK14">
        <v>0</v>
      </c>
      <c r="NL14">
        <v>0</v>
      </c>
      <c r="NM14">
        <v>0</v>
      </c>
      <c r="NN14">
        <v>0</v>
      </c>
      <c r="NO14">
        <v>0</v>
      </c>
      <c r="NP14">
        <v>0</v>
      </c>
      <c r="NQ14">
        <v>0</v>
      </c>
      <c r="NR14">
        <v>0</v>
      </c>
      <c r="NS14">
        <v>0</v>
      </c>
      <c r="NT14">
        <v>0</v>
      </c>
      <c r="NU14">
        <v>0</v>
      </c>
      <c r="NV14">
        <v>0</v>
      </c>
      <c r="NW14">
        <v>0</v>
      </c>
      <c r="NX14">
        <v>0</v>
      </c>
      <c r="NY14">
        <v>0</v>
      </c>
      <c r="NZ14">
        <v>0</v>
      </c>
      <c r="OA14">
        <v>0</v>
      </c>
      <c r="OB14">
        <v>0</v>
      </c>
      <c r="OC14">
        <v>0</v>
      </c>
      <c r="OD14">
        <v>0</v>
      </c>
      <c r="OE14">
        <v>0</v>
      </c>
      <c r="OF14">
        <v>0</v>
      </c>
      <c r="OG14">
        <v>0</v>
      </c>
      <c r="OH14">
        <v>0</v>
      </c>
      <c r="OI14">
        <v>0</v>
      </c>
      <c r="OJ14">
        <v>0</v>
      </c>
      <c r="OK14">
        <v>0</v>
      </c>
      <c r="OL14">
        <v>0</v>
      </c>
      <c r="OM14">
        <v>0</v>
      </c>
      <c r="ON14">
        <v>0</v>
      </c>
    </row>
    <row r="15" spans="1:404" hidden="1" x14ac:dyDescent="0.25">
      <c r="A15" t="s">
        <v>99</v>
      </c>
      <c r="B15" t="s">
        <v>100</v>
      </c>
      <c r="C15" t="s">
        <v>98</v>
      </c>
      <c r="E15" t="s">
        <v>1940</v>
      </c>
      <c r="F15">
        <v>18384</v>
      </c>
      <c r="G15">
        <v>131943</v>
      </c>
      <c r="H15">
        <v>79508</v>
      </c>
      <c r="I15">
        <v>45364</v>
      </c>
      <c r="J15">
        <v>3004</v>
      </c>
      <c r="K15">
        <v>7443</v>
      </c>
      <c r="L15">
        <v>285646</v>
      </c>
      <c r="M15">
        <v>0</v>
      </c>
      <c r="N15">
        <v>2413</v>
      </c>
      <c r="O15">
        <v>0</v>
      </c>
      <c r="P15">
        <v>732</v>
      </c>
      <c r="Q15">
        <v>0</v>
      </c>
      <c r="R15">
        <v>0</v>
      </c>
      <c r="S15">
        <v>0</v>
      </c>
      <c r="T15">
        <v>0</v>
      </c>
      <c r="U15">
        <v>1150</v>
      </c>
      <c r="V15">
        <v>0</v>
      </c>
      <c r="W15">
        <v>0</v>
      </c>
      <c r="X15">
        <v>6</v>
      </c>
      <c r="Y15">
        <v>0</v>
      </c>
      <c r="Z15">
        <v>-12088</v>
      </c>
      <c r="AA15">
        <v>-1042</v>
      </c>
      <c r="AB15">
        <v>4732</v>
      </c>
      <c r="AC15">
        <v>0</v>
      </c>
      <c r="AD15">
        <v>0</v>
      </c>
      <c r="AE15">
        <v>0</v>
      </c>
      <c r="AF15">
        <v>0</v>
      </c>
      <c r="AG15">
        <v>0</v>
      </c>
      <c r="AH15">
        <v>0</v>
      </c>
      <c r="AI15">
        <v>-4097</v>
      </c>
      <c r="AJ15">
        <v>0</v>
      </c>
      <c r="AK15">
        <v>0</v>
      </c>
      <c r="AL15">
        <v>0</v>
      </c>
      <c r="AM15">
        <v>0</v>
      </c>
      <c r="AN15">
        <v>0</v>
      </c>
      <c r="AO15">
        <v>0</v>
      </c>
      <c r="AP15">
        <v>0</v>
      </c>
      <c r="AQ15">
        <v>13046</v>
      </c>
      <c r="AR15">
        <v>3321</v>
      </c>
      <c r="AS15">
        <v>0</v>
      </c>
      <c r="AT15">
        <v>0</v>
      </c>
      <c r="AU15">
        <v>0</v>
      </c>
      <c r="AV15">
        <v>1166</v>
      </c>
      <c r="AW15">
        <v>28282</v>
      </c>
      <c r="AX15">
        <v>19</v>
      </c>
      <c r="AY15">
        <v>13031</v>
      </c>
      <c r="AZ15">
        <v>2064</v>
      </c>
      <c r="BA15">
        <v>23908</v>
      </c>
      <c r="BB15">
        <v>0</v>
      </c>
      <c r="BC15">
        <v>1870</v>
      </c>
      <c r="BD15">
        <v>70340</v>
      </c>
      <c r="BE15">
        <v>6333</v>
      </c>
      <c r="BF15">
        <v>7541</v>
      </c>
      <c r="BG15">
        <v>46</v>
      </c>
      <c r="BH15">
        <v>132</v>
      </c>
      <c r="BI15">
        <v>347</v>
      </c>
      <c r="BJ15">
        <v>4628</v>
      </c>
      <c r="BK15">
        <v>14733</v>
      </c>
      <c r="BL15">
        <v>2330</v>
      </c>
      <c r="BM15">
        <v>5838</v>
      </c>
      <c r="BN15">
        <v>1477</v>
      </c>
      <c r="BO15">
        <v>399</v>
      </c>
      <c r="BP15">
        <v>1</v>
      </c>
      <c r="BQ15">
        <v>0</v>
      </c>
      <c r="BR15">
        <v>269</v>
      </c>
      <c r="BS15">
        <v>776</v>
      </c>
      <c r="BT15">
        <v>8412</v>
      </c>
      <c r="BU15">
        <v>921</v>
      </c>
      <c r="BV15">
        <v>254</v>
      </c>
      <c r="BW15">
        <v>54437</v>
      </c>
      <c r="BX15">
        <v>946</v>
      </c>
      <c r="BY15">
        <v>533</v>
      </c>
      <c r="BZ15">
        <v>126</v>
      </c>
      <c r="CA15">
        <v>147</v>
      </c>
      <c r="CB15">
        <v>58</v>
      </c>
      <c r="CC15">
        <v>50</v>
      </c>
      <c r="CD15">
        <v>177</v>
      </c>
      <c r="CE15">
        <v>55</v>
      </c>
      <c r="CF15">
        <v>213</v>
      </c>
      <c r="CG15">
        <v>450</v>
      </c>
      <c r="CH15">
        <v>231</v>
      </c>
      <c r="CI15">
        <v>787</v>
      </c>
      <c r="CJ15">
        <v>787</v>
      </c>
      <c r="CK15">
        <v>197</v>
      </c>
      <c r="CL15">
        <v>197</v>
      </c>
      <c r="CM15">
        <v>406</v>
      </c>
      <c r="CN15">
        <v>410</v>
      </c>
      <c r="CO15">
        <v>66</v>
      </c>
      <c r="CP15">
        <v>1625</v>
      </c>
      <c r="CQ15">
        <v>4542</v>
      </c>
      <c r="CR15">
        <v>275</v>
      </c>
      <c r="CS15">
        <v>0</v>
      </c>
      <c r="CT15">
        <v>193</v>
      </c>
      <c r="CU15">
        <v>3703</v>
      </c>
      <c r="CV15">
        <v>16165</v>
      </c>
      <c r="CW15">
        <v>274</v>
      </c>
      <c r="CX15">
        <v>0</v>
      </c>
      <c r="CY15">
        <v>51</v>
      </c>
      <c r="CZ15">
        <v>0</v>
      </c>
      <c r="DA15">
        <v>0</v>
      </c>
      <c r="DB15">
        <v>0</v>
      </c>
      <c r="DC15">
        <v>0</v>
      </c>
      <c r="DD15">
        <v>0</v>
      </c>
      <c r="DE15">
        <v>0</v>
      </c>
      <c r="DF15">
        <v>-859</v>
      </c>
      <c r="DG15">
        <v>0</v>
      </c>
      <c r="DH15">
        <v>3224</v>
      </c>
      <c r="DI15">
        <v>-2346</v>
      </c>
      <c r="DJ15">
        <v>0</v>
      </c>
      <c r="DK15">
        <v>-590</v>
      </c>
      <c r="DL15">
        <v>0</v>
      </c>
      <c r="DM15">
        <v>2413</v>
      </c>
      <c r="DN15">
        <v>309</v>
      </c>
      <c r="DO15">
        <v>1554</v>
      </c>
      <c r="DP15">
        <v>4564</v>
      </c>
      <c r="DQ15">
        <v>1273</v>
      </c>
      <c r="DR15">
        <v>0</v>
      </c>
      <c r="DS15">
        <v>0</v>
      </c>
      <c r="DT15">
        <v>5221</v>
      </c>
      <c r="DU15">
        <v>709</v>
      </c>
      <c r="DV15">
        <v>4</v>
      </c>
      <c r="DW15">
        <v>0</v>
      </c>
      <c r="DX15">
        <v>10912</v>
      </c>
      <c r="DY15">
        <v>83836</v>
      </c>
      <c r="DZ15">
        <v>749</v>
      </c>
      <c r="EA15">
        <v>22848</v>
      </c>
      <c r="EB15">
        <v>0</v>
      </c>
      <c r="EC15">
        <v>0</v>
      </c>
      <c r="ED15">
        <v>341</v>
      </c>
      <c r="EE15">
        <v>0</v>
      </c>
      <c r="EF15">
        <v>0</v>
      </c>
      <c r="EG15">
        <v>-243</v>
      </c>
      <c r="EH15">
        <v>17512</v>
      </c>
      <c r="EI15">
        <v>32126</v>
      </c>
      <c r="EJ15">
        <v>8030</v>
      </c>
      <c r="EK15">
        <v>970</v>
      </c>
      <c r="EL15">
        <v>11215</v>
      </c>
      <c r="EM15">
        <v>17820</v>
      </c>
      <c r="EN15">
        <v>0</v>
      </c>
      <c r="EO15">
        <v>0</v>
      </c>
      <c r="EP15">
        <v>0</v>
      </c>
      <c r="EQ15">
        <v>5772</v>
      </c>
      <c r="ER15">
        <v>1281</v>
      </c>
      <c r="ES15">
        <v>17600</v>
      </c>
      <c r="ET15">
        <v>30405</v>
      </c>
      <c r="EU15">
        <v>348</v>
      </c>
      <c r="EV15">
        <v>793</v>
      </c>
      <c r="EW15">
        <v>0</v>
      </c>
      <c r="EX15">
        <v>698</v>
      </c>
      <c r="EY15">
        <v>667</v>
      </c>
      <c r="EZ15">
        <v>18</v>
      </c>
      <c r="FA15">
        <v>0</v>
      </c>
      <c r="FB15">
        <v>435</v>
      </c>
      <c r="FC15">
        <v>19</v>
      </c>
      <c r="FD15">
        <v>1977</v>
      </c>
      <c r="FE15">
        <v>0</v>
      </c>
      <c r="FF15">
        <v>0</v>
      </c>
      <c r="FG15">
        <v>1195</v>
      </c>
      <c r="FH15">
        <v>6150</v>
      </c>
      <c r="FI15">
        <v>-177</v>
      </c>
      <c r="FJ15">
        <v>264</v>
      </c>
      <c r="FK15">
        <v>0</v>
      </c>
      <c r="FL15">
        <v>126</v>
      </c>
      <c r="FM15">
        <v>-117</v>
      </c>
      <c r="FN15">
        <v>0</v>
      </c>
      <c r="FO15">
        <v>-1</v>
      </c>
      <c r="FP15">
        <v>0</v>
      </c>
      <c r="FQ15">
        <v>0</v>
      </c>
      <c r="FR15">
        <v>0</v>
      </c>
      <c r="FS15">
        <v>0</v>
      </c>
      <c r="FT15">
        <v>0</v>
      </c>
      <c r="FU15">
        <v>60</v>
      </c>
      <c r="FV15">
        <v>139</v>
      </c>
      <c r="FW15">
        <v>2145</v>
      </c>
      <c r="FX15">
        <v>778</v>
      </c>
      <c r="FY15">
        <v>20</v>
      </c>
      <c r="FZ15">
        <v>0</v>
      </c>
      <c r="GA15">
        <v>0</v>
      </c>
      <c r="GB15">
        <v>0</v>
      </c>
      <c r="GC15">
        <v>0</v>
      </c>
      <c r="GD15">
        <v>4643</v>
      </c>
      <c r="GE15">
        <v>3905</v>
      </c>
      <c r="GF15">
        <v>3</v>
      </c>
      <c r="GG15">
        <v>-229</v>
      </c>
      <c r="GH15">
        <v>0</v>
      </c>
      <c r="GI15">
        <v>0</v>
      </c>
      <c r="GJ15">
        <v>0</v>
      </c>
      <c r="GK15">
        <v>11559</v>
      </c>
      <c r="GL15">
        <v>0</v>
      </c>
      <c r="GM15">
        <v>955</v>
      </c>
      <c r="GN15">
        <v>2395</v>
      </c>
      <c r="GO15">
        <v>405</v>
      </c>
      <c r="GP15">
        <v>0</v>
      </c>
      <c r="GQ15">
        <v>930</v>
      </c>
      <c r="GR15">
        <v>0</v>
      </c>
      <c r="GS15">
        <v>223</v>
      </c>
      <c r="GT15">
        <v>0</v>
      </c>
      <c r="GU15">
        <v>4908</v>
      </c>
      <c r="GV15">
        <v>22617</v>
      </c>
      <c r="GW15">
        <v>0</v>
      </c>
      <c r="GX15">
        <v>0</v>
      </c>
      <c r="GY15">
        <v>0</v>
      </c>
      <c r="GZ15">
        <v>0</v>
      </c>
      <c r="HA15">
        <v>0</v>
      </c>
      <c r="HB15">
        <v>5346</v>
      </c>
      <c r="HC15">
        <v>1218</v>
      </c>
      <c r="HD15">
        <v>0</v>
      </c>
      <c r="HE15">
        <v>0</v>
      </c>
      <c r="HF15">
        <v>0</v>
      </c>
      <c r="HG15">
        <v>717</v>
      </c>
      <c r="HH15">
        <v>0</v>
      </c>
      <c r="HI15">
        <v>-13</v>
      </c>
      <c r="HJ15">
        <v>382</v>
      </c>
      <c r="HK15">
        <v>50</v>
      </c>
      <c r="HL15">
        <v>0</v>
      </c>
      <c r="HM15">
        <v>0</v>
      </c>
      <c r="HN15">
        <v>0</v>
      </c>
      <c r="HO15">
        <v>0</v>
      </c>
      <c r="HP15">
        <v>0</v>
      </c>
      <c r="HQ15">
        <v>0</v>
      </c>
      <c r="HR15">
        <v>8</v>
      </c>
      <c r="HS15">
        <v>0</v>
      </c>
      <c r="HT15">
        <v>0</v>
      </c>
      <c r="HU15">
        <v>7476</v>
      </c>
      <c r="HV15">
        <v>15184</v>
      </c>
      <c r="HW15">
        <v>9706</v>
      </c>
      <c r="HX15">
        <v>0</v>
      </c>
      <c r="HY15">
        <v>0</v>
      </c>
      <c r="HZ15">
        <v>0</v>
      </c>
      <c r="IA15">
        <v>397</v>
      </c>
      <c r="IB15">
        <v>0</v>
      </c>
      <c r="IC15">
        <v>285646</v>
      </c>
      <c r="ID15">
        <v>-4097</v>
      </c>
      <c r="IE15">
        <v>70340</v>
      </c>
      <c r="IF15">
        <v>54437</v>
      </c>
      <c r="IG15">
        <v>16165</v>
      </c>
      <c r="IH15">
        <v>10912</v>
      </c>
      <c r="II15">
        <v>6150</v>
      </c>
      <c r="IJ15">
        <v>11559</v>
      </c>
      <c r="IK15">
        <v>4908</v>
      </c>
      <c r="IL15">
        <v>0</v>
      </c>
      <c r="IM15">
        <v>0</v>
      </c>
      <c r="IN15">
        <v>15184</v>
      </c>
      <c r="IO15">
        <v>0</v>
      </c>
      <c r="IP15">
        <v>471204</v>
      </c>
      <c r="IQ15">
        <v>38023</v>
      </c>
      <c r="IR15">
        <v>9038</v>
      </c>
      <c r="IS15">
        <v>32136</v>
      </c>
      <c r="IT15">
        <v>0</v>
      </c>
      <c r="IU15">
        <v>0</v>
      </c>
      <c r="IV15">
        <v>0</v>
      </c>
      <c r="IW15">
        <v>0</v>
      </c>
      <c r="IX15">
        <v>8861</v>
      </c>
      <c r="IY15">
        <v>174</v>
      </c>
      <c r="IZ15">
        <v>123</v>
      </c>
      <c r="JA15">
        <v>-733</v>
      </c>
      <c r="JB15">
        <v>0</v>
      </c>
      <c r="JC15">
        <v>0</v>
      </c>
      <c r="JD15">
        <v>0</v>
      </c>
      <c r="JE15">
        <v>0</v>
      </c>
      <c r="JF15">
        <v>0</v>
      </c>
      <c r="JG15">
        <v>558826</v>
      </c>
      <c r="JH15">
        <v>120</v>
      </c>
      <c r="JI15">
        <v>2087</v>
      </c>
      <c r="JJ15">
        <v>0</v>
      </c>
      <c r="JK15">
        <v>0</v>
      </c>
      <c r="JL15">
        <v>0</v>
      </c>
      <c r="JM15">
        <v>928</v>
      </c>
      <c r="JN15">
        <v>12710</v>
      </c>
      <c r="JO15">
        <v>0</v>
      </c>
      <c r="JP15">
        <v>20667</v>
      </c>
      <c r="JQ15">
        <v>-712</v>
      </c>
      <c r="JR15">
        <v>594626</v>
      </c>
      <c r="JS15">
        <v>-20208</v>
      </c>
      <c r="JT15">
        <v>0</v>
      </c>
      <c r="JU15">
        <v>-8827</v>
      </c>
      <c r="JV15">
        <v>0</v>
      </c>
      <c r="JW15">
        <v>-116506</v>
      </c>
      <c r="JX15">
        <v>0</v>
      </c>
      <c r="JY15">
        <v>0</v>
      </c>
      <c r="JZ15">
        <v>0</v>
      </c>
      <c r="KA15">
        <v>0</v>
      </c>
      <c r="KB15">
        <v>0</v>
      </c>
      <c r="KC15">
        <v>449085</v>
      </c>
      <c r="KD15">
        <v>0</v>
      </c>
      <c r="KE15">
        <v>-324527</v>
      </c>
      <c r="KF15">
        <v>124557</v>
      </c>
      <c r="KG15">
        <v>0</v>
      </c>
      <c r="KH15">
        <v>916</v>
      </c>
      <c r="KI15">
        <v>836</v>
      </c>
      <c r="KJ15">
        <v>1136</v>
      </c>
      <c r="KK15">
        <v>45073</v>
      </c>
      <c r="KL15">
        <v>0</v>
      </c>
      <c r="KM15">
        <v>-18119</v>
      </c>
      <c r="KN15">
        <v>0</v>
      </c>
      <c r="KO15">
        <v>-62474</v>
      </c>
      <c r="KP15">
        <v>2663</v>
      </c>
      <c r="KQ15">
        <v>-33</v>
      </c>
      <c r="KR15">
        <v>68789</v>
      </c>
      <c r="KS15">
        <v>12595</v>
      </c>
      <c r="KT15">
        <v>8940</v>
      </c>
      <c r="KU15">
        <v>2455</v>
      </c>
      <c r="KV15">
        <v>88758</v>
      </c>
      <c r="KW15">
        <v>17030</v>
      </c>
      <c r="KX15">
        <v>13511</v>
      </c>
      <c r="KY15">
        <v>9776</v>
      </c>
      <c r="KZ15">
        <v>3591</v>
      </c>
      <c r="LA15">
        <v>133831</v>
      </c>
      <c r="LB15">
        <v>17030</v>
      </c>
      <c r="LC15">
        <v>0</v>
      </c>
      <c r="LD15">
        <v>51806</v>
      </c>
      <c r="LE15">
        <v>0</v>
      </c>
      <c r="LF15">
        <v>-6024</v>
      </c>
      <c r="LG15">
        <v>-47589</v>
      </c>
      <c r="LH15">
        <v>11374</v>
      </c>
      <c r="LI15">
        <v>9567</v>
      </c>
      <c r="LJ15">
        <v>5086</v>
      </c>
      <c r="LK15">
        <v>9377</v>
      </c>
      <c r="LL15">
        <v>14464</v>
      </c>
      <c r="LM15">
        <v>0</v>
      </c>
      <c r="LN15">
        <v>0</v>
      </c>
      <c r="LO15">
        <v>0</v>
      </c>
      <c r="LP15">
        <v>107531</v>
      </c>
      <c r="LQ15">
        <v>94726</v>
      </c>
      <c r="LR15">
        <v>12805</v>
      </c>
      <c r="LS15">
        <v>17600</v>
      </c>
      <c r="LT15">
        <v>30405</v>
      </c>
      <c r="LU15">
        <v>285646</v>
      </c>
      <c r="LV15">
        <v>-4097</v>
      </c>
      <c r="LW15">
        <v>70340</v>
      </c>
      <c r="LX15">
        <v>54437</v>
      </c>
      <c r="LY15">
        <v>16165</v>
      </c>
      <c r="LZ15">
        <v>10912</v>
      </c>
      <c r="MA15">
        <v>6150</v>
      </c>
      <c r="MB15">
        <v>11559</v>
      </c>
      <c r="MC15">
        <v>4908</v>
      </c>
      <c r="MD15">
        <v>0</v>
      </c>
      <c r="ME15">
        <v>0</v>
      </c>
      <c r="MF15">
        <v>15184</v>
      </c>
      <c r="MG15">
        <v>0</v>
      </c>
      <c r="MH15">
        <v>471204</v>
      </c>
      <c r="MI15">
        <v>0</v>
      </c>
      <c r="MJ15">
        <v>0</v>
      </c>
      <c r="MK15">
        <v>0</v>
      </c>
      <c r="ML15">
        <v>0</v>
      </c>
      <c r="MM15">
        <v>0</v>
      </c>
      <c r="MN15">
        <v>0</v>
      </c>
      <c r="MO15">
        <v>0</v>
      </c>
      <c r="MP15">
        <v>0</v>
      </c>
      <c r="MQ15">
        <v>0</v>
      </c>
      <c r="MR15">
        <v>0</v>
      </c>
      <c r="MS15">
        <v>0</v>
      </c>
      <c r="MT15">
        <v>0</v>
      </c>
      <c r="MU15">
        <v>0</v>
      </c>
      <c r="MV15">
        <v>0</v>
      </c>
      <c r="MW15">
        <v>0</v>
      </c>
      <c r="MX15">
        <v>0</v>
      </c>
      <c r="MY15">
        <v>0</v>
      </c>
      <c r="MZ15">
        <v>-634</v>
      </c>
      <c r="NA15">
        <v>-733</v>
      </c>
      <c r="NB15">
        <v>0</v>
      </c>
      <c r="NC15">
        <v>-733</v>
      </c>
      <c r="ND15">
        <v>0</v>
      </c>
      <c r="NE15">
        <v>0</v>
      </c>
      <c r="NF15">
        <v>0</v>
      </c>
      <c r="NG15">
        <v>0</v>
      </c>
      <c r="NH15">
        <v>0</v>
      </c>
      <c r="NI15">
        <v>0</v>
      </c>
      <c r="NJ15">
        <v>0</v>
      </c>
      <c r="NK15">
        <v>0</v>
      </c>
      <c r="NL15">
        <v>0</v>
      </c>
      <c r="NM15">
        <v>0</v>
      </c>
      <c r="NN15">
        <v>0</v>
      </c>
      <c r="NO15">
        <v>0</v>
      </c>
      <c r="NP15">
        <v>0</v>
      </c>
      <c r="NQ15">
        <v>0</v>
      </c>
      <c r="NR15">
        <v>0</v>
      </c>
      <c r="NS15">
        <v>0</v>
      </c>
      <c r="NT15">
        <v>0</v>
      </c>
      <c r="NU15">
        <v>0</v>
      </c>
      <c r="NV15">
        <v>0</v>
      </c>
      <c r="NW15">
        <v>0</v>
      </c>
      <c r="NX15">
        <v>0</v>
      </c>
      <c r="NY15">
        <v>0</v>
      </c>
      <c r="NZ15">
        <v>0</v>
      </c>
      <c r="OA15">
        <v>0</v>
      </c>
      <c r="OB15">
        <v>0</v>
      </c>
      <c r="OC15">
        <v>0</v>
      </c>
      <c r="OD15">
        <v>0</v>
      </c>
      <c r="OE15">
        <v>0</v>
      </c>
      <c r="OF15">
        <v>0</v>
      </c>
      <c r="OG15">
        <v>0</v>
      </c>
      <c r="OH15">
        <v>0</v>
      </c>
      <c r="OI15">
        <v>0</v>
      </c>
      <c r="OJ15">
        <v>0</v>
      </c>
      <c r="OK15">
        <v>0</v>
      </c>
      <c r="OL15">
        <v>0</v>
      </c>
      <c r="OM15">
        <v>0</v>
      </c>
      <c r="ON15">
        <v>0</v>
      </c>
    </row>
    <row r="16" spans="1:404" hidden="1" x14ac:dyDescent="0.25">
      <c r="A16" t="s">
        <v>104</v>
      </c>
      <c r="B16" t="s">
        <v>105</v>
      </c>
      <c r="C16" t="s">
        <v>103</v>
      </c>
      <c r="E16" t="s">
        <v>1940</v>
      </c>
      <c r="F16">
        <v>19853</v>
      </c>
      <c r="G16">
        <v>153487</v>
      </c>
      <c r="H16">
        <v>49504</v>
      </c>
      <c r="I16">
        <v>29955</v>
      </c>
      <c r="J16">
        <v>3975</v>
      </c>
      <c r="K16">
        <v>12898</v>
      </c>
      <c r="L16">
        <v>269674</v>
      </c>
      <c r="M16">
        <v>1268</v>
      </c>
      <c r="N16">
        <v>5482</v>
      </c>
      <c r="O16">
        <v>2505</v>
      </c>
      <c r="P16">
        <v>0</v>
      </c>
      <c r="Q16">
        <v>135</v>
      </c>
      <c r="R16">
        <v>-131</v>
      </c>
      <c r="S16">
        <v>1861</v>
      </c>
      <c r="T16">
        <v>4</v>
      </c>
      <c r="U16">
        <v>5543</v>
      </c>
      <c r="V16">
        <v>0</v>
      </c>
      <c r="W16">
        <v>0</v>
      </c>
      <c r="X16">
        <v>0</v>
      </c>
      <c r="Y16">
        <v>0</v>
      </c>
      <c r="Z16">
        <v>-8751</v>
      </c>
      <c r="AA16">
        <v>-292</v>
      </c>
      <c r="AB16">
        <v>12977</v>
      </c>
      <c r="AC16">
        <v>0</v>
      </c>
      <c r="AD16">
        <v>0</v>
      </c>
      <c r="AE16">
        <v>0</v>
      </c>
      <c r="AF16">
        <v>0</v>
      </c>
      <c r="AG16">
        <v>0</v>
      </c>
      <c r="AH16">
        <v>0</v>
      </c>
      <c r="AI16">
        <v>20601</v>
      </c>
      <c r="AJ16">
        <v>0</v>
      </c>
      <c r="AK16">
        <v>0</v>
      </c>
      <c r="AL16">
        <v>0</v>
      </c>
      <c r="AM16">
        <v>0</v>
      </c>
      <c r="AN16">
        <v>0</v>
      </c>
      <c r="AO16">
        <v>0</v>
      </c>
      <c r="AP16">
        <v>0</v>
      </c>
      <c r="AQ16">
        <v>3094</v>
      </c>
      <c r="AR16">
        <v>9051</v>
      </c>
      <c r="AS16">
        <v>0</v>
      </c>
      <c r="AT16">
        <v>0</v>
      </c>
      <c r="AU16">
        <v>0</v>
      </c>
      <c r="AV16">
        <v>4815</v>
      </c>
      <c r="AW16">
        <v>30970</v>
      </c>
      <c r="AX16">
        <v>3834</v>
      </c>
      <c r="AY16">
        <v>10674</v>
      </c>
      <c r="AZ16">
        <v>1280</v>
      </c>
      <c r="BA16">
        <v>24208</v>
      </c>
      <c r="BB16">
        <v>1572</v>
      </c>
      <c r="BC16">
        <v>2486</v>
      </c>
      <c r="BD16">
        <v>79838</v>
      </c>
      <c r="BE16">
        <v>8273</v>
      </c>
      <c r="BF16">
        <v>22809</v>
      </c>
      <c r="BG16">
        <v>426</v>
      </c>
      <c r="BH16">
        <v>1061</v>
      </c>
      <c r="BI16">
        <v>494</v>
      </c>
      <c r="BJ16">
        <v>10096</v>
      </c>
      <c r="BK16">
        <v>33991</v>
      </c>
      <c r="BL16">
        <v>3828</v>
      </c>
      <c r="BM16">
        <v>10177</v>
      </c>
      <c r="BN16">
        <v>4267</v>
      </c>
      <c r="BO16">
        <v>0</v>
      </c>
      <c r="BP16">
        <v>165</v>
      </c>
      <c r="BQ16">
        <v>0</v>
      </c>
      <c r="BR16">
        <v>0</v>
      </c>
      <c r="BS16">
        <v>1031</v>
      </c>
      <c r="BT16">
        <v>12407</v>
      </c>
      <c r="BU16">
        <v>558</v>
      </c>
      <c r="BV16">
        <v>14950</v>
      </c>
      <c r="BW16">
        <v>133191</v>
      </c>
      <c r="BX16">
        <v>3057</v>
      </c>
      <c r="BY16">
        <v>144</v>
      </c>
      <c r="BZ16">
        <v>291</v>
      </c>
      <c r="CA16">
        <v>185</v>
      </c>
      <c r="CB16">
        <v>173</v>
      </c>
      <c r="CC16">
        <v>160</v>
      </c>
      <c r="CD16">
        <v>227</v>
      </c>
      <c r="CE16">
        <v>53</v>
      </c>
      <c r="CF16">
        <v>145</v>
      </c>
      <c r="CG16">
        <v>191</v>
      </c>
      <c r="CH16">
        <v>192</v>
      </c>
      <c r="CI16">
        <v>769</v>
      </c>
      <c r="CJ16">
        <v>513</v>
      </c>
      <c r="CK16">
        <v>769</v>
      </c>
      <c r="CL16">
        <v>518</v>
      </c>
      <c r="CM16">
        <v>213</v>
      </c>
      <c r="CN16">
        <v>174</v>
      </c>
      <c r="CO16">
        <v>112</v>
      </c>
      <c r="CP16">
        <v>1153</v>
      </c>
      <c r="CQ16">
        <v>5604</v>
      </c>
      <c r="CR16">
        <v>329</v>
      </c>
      <c r="CS16">
        <v>36</v>
      </c>
      <c r="CT16">
        <v>100</v>
      </c>
      <c r="CU16">
        <v>2816</v>
      </c>
      <c r="CV16">
        <v>23076</v>
      </c>
      <c r="CW16">
        <v>128</v>
      </c>
      <c r="CX16">
        <v>102</v>
      </c>
      <c r="CY16">
        <v>29</v>
      </c>
      <c r="CZ16">
        <v>0</v>
      </c>
      <c r="DA16">
        <v>0</v>
      </c>
      <c r="DB16">
        <v>0</v>
      </c>
      <c r="DC16">
        <v>0</v>
      </c>
      <c r="DD16">
        <v>0</v>
      </c>
      <c r="DE16">
        <v>0</v>
      </c>
      <c r="DF16">
        <v>-584</v>
      </c>
      <c r="DG16">
        <v>1930</v>
      </c>
      <c r="DH16">
        <v>0</v>
      </c>
      <c r="DI16">
        <v>0</v>
      </c>
      <c r="DJ16">
        <v>0</v>
      </c>
      <c r="DK16">
        <v>0</v>
      </c>
      <c r="DL16">
        <v>2334</v>
      </c>
      <c r="DM16">
        <v>0</v>
      </c>
      <c r="DN16">
        <v>4861</v>
      </c>
      <c r="DO16">
        <v>55</v>
      </c>
      <c r="DP16">
        <v>9180</v>
      </c>
      <c r="DQ16">
        <v>0</v>
      </c>
      <c r="DR16">
        <v>0</v>
      </c>
      <c r="DS16">
        <v>0</v>
      </c>
      <c r="DT16">
        <v>93</v>
      </c>
      <c r="DU16">
        <v>0</v>
      </c>
      <c r="DV16">
        <v>3</v>
      </c>
      <c r="DW16">
        <v>345</v>
      </c>
      <c r="DX16">
        <v>9036</v>
      </c>
      <c r="DY16">
        <v>50390</v>
      </c>
      <c r="DZ16">
        <v>0</v>
      </c>
      <c r="EA16">
        <v>5850</v>
      </c>
      <c r="EB16">
        <v>0</v>
      </c>
      <c r="EC16">
        <v>0</v>
      </c>
      <c r="ED16">
        <v>116</v>
      </c>
      <c r="EE16">
        <v>0</v>
      </c>
      <c r="EF16">
        <v>0</v>
      </c>
      <c r="EG16">
        <v>0</v>
      </c>
      <c r="EH16">
        <v>9559</v>
      </c>
      <c r="EI16">
        <v>21931</v>
      </c>
      <c r="EJ16">
        <v>0</v>
      </c>
      <c r="EK16">
        <v>0</v>
      </c>
      <c r="EL16">
        <v>10103</v>
      </c>
      <c r="EM16">
        <v>0</v>
      </c>
      <c r="EN16">
        <v>0</v>
      </c>
      <c r="EO16">
        <v>0</v>
      </c>
      <c r="EP16">
        <v>0</v>
      </c>
      <c r="EQ16">
        <v>14155</v>
      </c>
      <c r="ER16">
        <v>589</v>
      </c>
      <c r="ES16">
        <v>4000</v>
      </c>
      <c r="ET16">
        <v>4020</v>
      </c>
      <c r="EU16">
        <v>-52</v>
      </c>
      <c r="EV16">
        <v>0</v>
      </c>
      <c r="EW16">
        <v>0</v>
      </c>
      <c r="EX16">
        <v>0</v>
      </c>
      <c r="EY16">
        <v>0</v>
      </c>
      <c r="EZ16">
        <v>0</v>
      </c>
      <c r="FA16">
        <v>0</v>
      </c>
      <c r="FB16">
        <v>315</v>
      </c>
      <c r="FC16">
        <v>967</v>
      </c>
      <c r="FD16">
        <v>6434</v>
      </c>
      <c r="FE16">
        <v>0</v>
      </c>
      <c r="FF16">
        <v>0</v>
      </c>
      <c r="FG16">
        <v>5603</v>
      </c>
      <c r="FH16">
        <v>13265</v>
      </c>
      <c r="FI16">
        <v>-1332</v>
      </c>
      <c r="FJ16">
        <v>382</v>
      </c>
      <c r="FK16">
        <v>0</v>
      </c>
      <c r="FL16">
        <v>663</v>
      </c>
      <c r="FM16">
        <v>0</v>
      </c>
      <c r="FN16">
        <v>68</v>
      </c>
      <c r="FO16">
        <v>68</v>
      </c>
      <c r="FP16">
        <v>0</v>
      </c>
      <c r="FQ16">
        <v>0</v>
      </c>
      <c r="FR16">
        <v>52</v>
      </c>
      <c r="FS16">
        <v>13</v>
      </c>
      <c r="FT16">
        <v>-11</v>
      </c>
      <c r="FU16">
        <v>62</v>
      </c>
      <c r="FV16">
        <v>348</v>
      </c>
      <c r="FW16">
        <v>1071</v>
      </c>
      <c r="FX16">
        <v>654</v>
      </c>
      <c r="FY16">
        <v>338</v>
      </c>
      <c r="FZ16">
        <v>918</v>
      </c>
      <c r="GA16">
        <v>0</v>
      </c>
      <c r="GB16">
        <v>0</v>
      </c>
      <c r="GC16">
        <v>0</v>
      </c>
      <c r="GD16">
        <v>6586</v>
      </c>
      <c r="GE16">
        <v>10775</v>
      </c>
      <c r="GF16">
        <v>63</v>
      </c>
      <c r="GG16">
        <v>-1695</v>
      </c>
      <c r="GH16">
        <v>45</v>
      </c>
      <c r="GI16">
        <v>0</v>
      </c>
      <c r="GJ16">
        <v>0</v>
      </c>
      <c r="GK16">
        <v>19070</v>
      </c>
      <c r="GL16">
        <v>876</v>
      </c>
      <c r="GM16">
        <v>668</v>
      </c>
      <c r="GN16">
        <v>0</v>
      </c>
      <c r="GO16">
        <v>1279</v>
      </c>
      <c r="GP16">
        <v>0</v>
      </c>
      <c r="GQ16">
        <v>167</v>
      </c>
      <c r="GR16">
        <v>0</v>
      </c>
      <c r="GS16">
        <v>0</v>
      </c>
      <c r="GT16">
        <v>-1507</v>
      </c>
      <c r="GU16">
        <v>1484</v>
      </c>
      <c r="GV16">
        <v>33820</v>
      </c>
      <c r="GW16">
        <v>0</v>
      </c>
      <c r="GX16">
        <v>0</v>
      </c>
      <c r="GY16">
        <v>0</v>
      </c>
      <c r="GZ16">
        <v>0</v>
      </c>
      <c r="HA16">
        <v>0</v>
      </c>
      <c r="HB16">
        <v>5089</v>
      </c>
      <c r="HC16">
        <v>-2035</v>
      </c>
      <c r="HD16">
        <v>0</v>
      </c>
      <c r="HE16">
        <v>0</v>
      </c>
      <c r="HF16">
        <v>0</v>
      </c>
      <c r="HG16">
        <v>364</v>
      </c>
      <c r="HH16">
        <v>0</v>
      </c>
      <c r="HI16">
        <v>-149</v>
      </c>
      <c r="HJ16">
        <v>846</v>
      </c>
      <c r="HK16">
        <v>704</v>
      </c>
      <c r="HL16">
        <v>296</v>
      </c>
      <c r="HM16">
        <v>-1329</v>
      </c>
      <c r="HN16">
        <v>203</v>
      </c>
      <c r="HO16">
        <v>114</v>
      </c>
      <c r="HP16">
        <v>0</v>
      </c>
      <c r="HQ16">
        <v>0</v>
      </c>
      <c r="HR16">
        <v>2800</v>
      </c>
      <c r="HS16">
        <v>0</v>
      </c>
      <c r="HT16">
        <v>0</v>
      </c>
      <c r="HU16">
        <v>28806</v>
      </c>
      <c r="HV16">
        <v>35708</v>
      </c>
      <c r="HW16">
        <v>2182</v>
      </c>
      <c r="HX16">
        <v>21563</v>
      </c>
      <c r="HY16">
        <v>0</v>
      </c>
      <c r="HZ16">
        <v>6696</v>
      </c>
      <c r="IA16">
        <v>3036</v>
      </c>
      <c r="IB16">
        <v>200</v>
      </c>
      <c r="IC16">
        <v>269674</v>
      </c>
      <c r="ID16">
        <v>20601</v>
      </c>
      <c r="IE16">
        <v>79838</v>
      </c>
      <c r="IF16">
        <v>133191</v>
      </c>
      <c r="IG16">
        <v>23076</v>
      </c>
      <c r="IH16">
        <v>9036</v>
      </c>
      <c r="II16">
        <v>13265</v>
      </c>
      <c r="IJ16">
        <v>19070</v>
      </c>
      <c r="IK16">
        <v>1484</v>
      </c>
      <c r="IL16">
        <v>0</v>
      </c>
      <c r="IM16">
        <v>0</v>
      </c>
      <c r="IN16">
        <v>35708</v>
      </c>
      <c r="IO16">
        <v>200</v>
      </c>
      <c r="IP16">
        <v>605144</v>
      </c>
      <c r="IQ16">
        <v>155954</v>
      </c>
      <c r="IR16">
        <v>17482</v>
      </c>
      <c r="IS16">
        <v>20730</v>
      </c>
      <c r="IT16">
        <v>0</v>
      </c>
      <c r="IU16">
        <v>0</v>
      </c>
      <c r="IV16">
        <v>0</v>
      </c>
      <c r="IW16">
        <v>0</v>
      </c>
      <c r="IX16">
        <v>14271</v>
      </c>
      <c r="IY16">
        <v>506</v>
      </c>
      <c r="IZ16">
        <v>2147</v>
      </c>
      <c r="JA16">
        <v>0</v>
      </c>
      <c r="JB16">
        <v>2461</v>
      </c>
      <c r="JC16">
        <v>0</v>
      </c>
      <c r="JD16">
        <v>0</v>
      </c>
      <c r="JE16">
        <v>0</v>
      </c>
      <c r="JF16">
        <v>0</v>
      </c>
      <c r="JG16">
        <v>818695</v>
      </c>
      <c r="JH16">
        <v>348</v>
      </c>
      <c r="JI16">
        <v>0</v>
      </c>
      <c r="JJ16">
        <v>0</v>
      </c>
      <c r="JK16">
        <v>0</v>
      </c>
      <c r="JL16">
        <v>0</v>
      </c>
      <c r="JM16">
        <v>222</v>
      </c>
      <c r="JN16">
        <v>15420</v>
      </c>
      <c r="JO16">
        <v>0</v>
      </c>
      <c r="JP16">
        <v>7136</v>
      </c>
      <c r="JQ16">
        <v>0</v>
      </c>
      <c r="JR16">
        <v>841822</v>
      </c>
      <c r="JS16">
        <v>-5691</v>
      </c>
      <c r="JT16">
        <v>0</v>
      </c>
      <c r="JU16">
        <v>0</v>
      </c>
      <c r="JV16">
        <v>0</v>
      </c>
      <c r="JW16">
        <v>-204426</v>
      </c>
      <c r="JX16">
        <v>0</v>
      </c>
      <c r="JY16">
        <v>-28503</v>
      </c>
      <c r="JZ16">
        <v>0</v>
      </c>
      <c r="KA16">
        <v>0</v>
      </c>
      <c r="KB16">
        <v>0</v>
      </c>
      <c r="KC16">
        <v>603202</v>
      </c>
      <c r="KD16">
        <v>-695</v>
      </c>
      <c r="KE16">
        <v>-354043</v>
      </c>
      <c r="KF16">
        <v>248463</v>
      </c>
      <c r="KG16">
        <v>0</v>
      </c>
      <c r="KH16">
        <v>3092</v>
      </c>
      <c r="KI16">
        <v>1626</v>
      </c>
      <c r="KJ16">
        <v>-73</v>
      </c>
      <c r="KK16">
        <v>13531</v>
      </c>
      <c r="KL16">
        <v>9638</v>
      </c>
      <c r="KM16">
        <v>-6318</v>
      </c>
      <c r="KN16">
        <v>-641</v>
      </c>
      <c r="KO16">
        <v>-38573</v>
      </c>
      <c r="KP16">
        <v>0</v>
      </c>
      <c r="KQ16">
        <v>0</v>
      </c>
      <c r="KR16">
        <v>198050</v>
      </c>
      <c r="KS16">
        <v>13037</v>
      </c>
      <c r="KT16">
        <v>3244</v>
      </c>
      <c r="KU16">
        <v>1901</v>
      </c>
      <c r="KV16">
        <v>138596</v>
      </c>
      <c r="KW16">
        <v>15083</v>
      </c>
      <c r="KX16">
        <v>16129</v>
      </c>
      <c r="KY16">
        <v>4870</v>
      </c>
      <c r="KZ16">
        <v>1828</v>
      </c>
      <c r="LA16">
        <v>152127</v>
      </c>
      <c r="LB16">
        <v>24721</v>
      </c>
      <c r="LC16">
        <v>0</v>
      </c>
      <c r="LD16">
        <v>37660</v>
      </c>
      <c r="LE16">
        <v>0</v>
      </c>
      <c r="LF16">
        <v>-7275</v>
      </c>
      <c r="LG16">
        <v>-152708</v>
      </c>
      <c r="LH16">
        <v>73428</v>
      </c>
      <c r="LI16">
        <v>-48895</v>
      </c>
      <c r="LJ16">
        <v>9697</v>
      </c>
      <c r="LK16">
        <v>15405</v>
      </c>
      <c r="LL16">
        <v>25102</v>
      </c>
      <c r="LM16">
        <v>0</v>
      </c>
      <c r="LN16">
        <v>0</v>
      </c>
      <c r="LO16">
        <v>0</v>
      </c>
      <c r="LP16">
        <v>56356</v>
      </c>
      <c r="LQ16">
        <v>56336</v>
      </c>
      <c r="LR16">
        <v>20</v>
      </c>
      <c r="LS16">
        <v>4000</v>
      </c>
      <c r="LT16">
        <v>4020</v>
      </c>
      <c r="LU16">
        <v>269674</v>
      </c>
      <c r="LV16">
        <v>20601</v>
      </c>
      <c r="LW16">
        <v>79838</v>
      </c>
      <c r="LX16">
        <v>133191</v>
      </c>
      <c r="LY16">
        <v>23076</v>
      </c>
      <c r="LZ16">
        <v>9036</v>
      </c>
      <c r="MA16">
        <v>13265</v>
      </c>
      <c r="MB16">
        <v>19070</v>
      </c>
      <c r="MC16">
        <v>1484</v>
      </c>
      <c r="MD16">
        <v>0</v>
      </c>
      <c r="ME16">
        <v>0</v>
      </c>
      <c r="MF16">
        <v>35708</v>
      </c>
      <c r="MG16">
        <v>200</v>
      </c>
      <c r="MH16">
        <v>605144</v>
      </c>
      <c r="MI16">
        <v>0</v>
      </c>
      <c r="MJ16">
        <v>0</v>
      </c>
      <c r="MK16">
        <v>0</v>
      </c>
      <c r="ML16">
        <v>0</v>
      </c>
      <c r="MM16">
        <v>0</v>
      </c>
      <c r="MN16">
        <v>0</v>
      </c>
      <c r="MO16">
        <v>0</v>
      </c>
      <c r="MP16">
        <v>0</v>
      </c>
      <c r="MQ16">
        <v>0</v>
      </c>
      <c r="MR16">
        <v>0</v>
      </c>
      <c r="MS16">
        <v>0</v>
      </c>
      <c r="MT16">
        <v>0</v>
      </c>
      <c r="MU16">
        <v>0</v>
      </c>
      <c r="MV16">
        <v>0</v>
      </c>
      <c r="MW16">
        <v>0</v>
      </c>
      <c r="MX16">
        <v>0</v>
      </c>
      <c r="MY16">
        <v>0</v>
      </c>
      <c r="MZ16">
        <v>0</v>
      </c>
      <c r="NA16">
        <v>0</v>
      </c>
      <c r="NB16">
        <v>0</v>
      </c>
      <c r="NC16">
        <v>0</v>
      </c>
      <c r="ND16">
        <v>0</v>
      </c>
      <c r="NE16">
        <v>0</v>
      </c>
      <c r="NF16">
        <v>0</v>
      </c>
      <c r="NG16">
        <v>0</v>
      </c>
      <c r="NH16">
        <v>0</v>
      </c>
      <c r="NI16">
        <v>0</v>
      </c>
      <c r="NJ16">
        <v>0</v>
      </c>
      <c r="NK16">
        <v>0</v>
      </c>
      <c r="NL16">
        <v>0</v>
      </c>
      <c r="NM16">
        <v>0</v>
      </c>
      <c r="NN16">
        <v>0</v>
      </c>
      <c r="NO16">
        <v>0</v>
      </c>
      <c r="NP16">
        <v>0</v>
      </c>
      <c r="NQ16">
        <v>444</v>
      </c>
      <c r="NR16">
        <v>2017</v>
      </c>
      <c r="NS16">
        <v>0</v>
      </c>
      <c r="NT16">
        <v>0</v>
      </c>
      <c r="NU16">
        <v>0</v>
      </c>
      <c r="NV16">
        <v>0</v>
      </c>
      <c r="NW16">
        <v>0</v>
      </c>
      <c r="NX16">
        <v>0</v>
      </c>
      <c r="NY16">
        <v>0</v>
      </c>
      <c r="NZ16">
        <v>2461</v>
      </c>
      <c r="OA16">
        <v>0</v>
      </c>
      <c r="OB16">
        <v>2461</v>
      </c>
      <c r="OC16">
        <v>0</v>
      </c>
      <c r="OD16">
        <v>0</v>
      </c>
      <c r="OE16">
        <v>0</v>
      </c>
      <c r="OF16">
        <v>0</v>
      </c>
      <c r="OG16">
        <v>0</v>
      </c>
      <c r="OH16">
        <v>0</v>
      </c>
      <c r="OI16">
        <v>0</v>
      </c>
      <c r="OJ16">
        <v>0</v>
      </c>
      <c r="OK16">
        <v>0</v>
      </c>
      <c r="OL16">
        <v>0</v>
      </c>
      <c r="OM16">
        <v>0</v>
      </c>
      <c r="ON16">
        <v>0</v>
      </c>
    </row>
    <row r="17" spans="1:404" hidden="1" x14ac:dyDescent="0.25">
      <c r="A17" t="s">
        <v>107</v>
      </c>
      <c r="B17" t="s">
        <v>108</v>
      </c>
      <c r="C17" t="s">
        <v>106</v>
      </c>
      <c r="E17" t="s">
        <v>97</v>
      </c>
      <c r="F17">
        <v>11738</v>
      </c>
      <c r="G17">
        <v>54466</v>
      </c>
      <c r="H17">
        <v>16565</v>
      </c>
      <c r="I17">
        <v>7349</v>
      </c>
      <c r="J17">
        <v>3122</v>
      </c>
      <c r="K17">
        <v>26746</v>
      </c>
      <c r="L17">
        <v>119986</v>
      </c>
      <c r="M17">
        <v>3635</v>
      </c>
      <c r="N17">
        <v>0</v>
      </c>
      <c r="O17">
        <v>-4</v>
      </c>
      <c r="P17">
        <v>-32</v>
      </c>
      <c r="Q17">
        <v>0</v>
      </c>
      <c r="R17">
        <v>67</v>
      </c>
      <c r="S17">
        <v>531</v>
      </c>
      <c r="T17">
        <v>1249</v>
      </c>
      <c r="U17">
        <v>1039</v>
      </c>
      <c r="V17">
        <v>0</v>
      </c>
      <c r="W17">
        <v>0</v>
      </c>
      <c r="X17">
        <v>248</v>
      </c>
      <c r="Y17">
        <v>0</v>
      </c>
      <c r="Z17">
        <v>-310</v>
      </c>
      <c r="AA17">
        <v>-326</v>
      </c>
      <c r="AB17">
        <v>0</v>
      </c>
      <c r="AC17">
        <v>0</v>
      </c>
      <c r="AD17">
        <v>0</v>
      </c>
      <c r="AE17">
        <v>0</v>
      </c>
      <c r="AF17">
        <v>0</v>
      </c>
      <c r="AG17">
        <v>0</v>
      </c>
      <c r="AH17">
        <v>0</v>
      </c>
      <c r="AI17">
        <v>6097</v>
      </c>
      <c r="AJ17">
        <v>0</v>
      </c>
      <c r="AK17">
        <v>0</v>
      </c>
      <c r="AL17">
        <v>0</v>
      </c>
      <c r="AM17">
        <v>0</v>
      </c>
      <c r="AN17">
        <v>0</v>
      </c>
      <c r="AO17">
        <v>0</v>
      </c>
      <c r="AP17">
        <v>0</v>
      </c>
      <c r="AQ17">
        <v>44</v>
      </c>
      <c r="AR17">
        <v>460</v>
      </c>
      <c r="AS17">
        <v>0</v>
      </c>
      <c r="AT17">
        <v>0</v>
      </c>
      <c r="AU17">
        <v>0</v>
      </c>
      <c r="AV17">
        <v>2834</v>
      </c>
      <c r="AW17">
        <v>25041</v>
      </c>
      <c r="AX17">
        <v>25</v>
      </c>
      <c r="AY17">
        <v>4140</v>
      </c>
      <c r="AZ17">
        <v>1071</v>
      </c>
      <c r="BA17">
        <v>7299</v>
      </c>
      <c r="BB17">
        <v>0</v>
      </c>
      <c r="BC17">
        <v>2273</v>
      </c>
      <c r="BD17">
        <v>42683</v>
      </c>
      <c r="BE17">
        <v>4502</v>
      </c>
      <c r="BF17">
        <v>9007</v>
      </c>
      <c r="BG17">
        <v>184</v>
      </c>
      <c r="BH17">
        <v>121</v>
      </c>
      <c r="BI17">
        <v>795</v>
      </c>
      <c r="BJ17">
        <v>5814</v>
      </c>
      <c r="BK17">
        <v>17177</v>
      </c>
      <c r="BL17">
        <v>5437</v>
      </c>
      <c r="BM17">
        <v>1014</v>
      </c>
      <c r="BN17">
        <v>1532</v>
      </c>
      <c r="BO17">
        <v>0</v>
      </c>
      <c r="BP17">
        <v>206</v>
      </c>
      <c r="BQ17">
        <v>0</v>
      </c>
      <c r="BR17">
        <v>997</v>
      </c>
      <c r="BS17">
        <v>-72</v>
      </c>
      <c r="BT17">
        <v>6681</v>
      </c>
      <c r="BU17">
        <v>1239</v>
      </c>
      <c r="BV17">
        <v>199</v>
      </c>
      <c r="BW17">
        <v>63270</v>
      </c>
      <c r="BX17">
        <v>1898</v>
      </c>
      <c r="BY17">
        <v>242</v>
      </c>
      <c r="BZ17">
        <v>246</v>
      </c>
      <c r="CA17">
        <v>55</v>
      </c>
      <c r="CB17">
        <v>55</v>
      </c>
      <c r="CC17">
        <v>331</v>
      </c>
      <c r="CD17">
        <v>13</v>
      </c>
      <c r="CE17">
        <v>393</v>
      </c>
      <c r="CF17">
        <v>190</v>
      </c>
      <c r="CG17">
        <v>136</v>
      </c>
      <c r="CH17">
        <v>59</v>
      </c>
      <c r="CI17">
        <v>2310</v>
      </c>
      <c r="CJ17">
        <v>990</v>
      </c>
      <c r="CK17">
        <v>100</v>
      </c>
      <c r="CL17">
        <v>281</v>
      </c>
      <c r="CM17">
        <v>122</v>
      </c>
      <c r="CN17">
        <v>615</v>
      </c>
      <c r="CO17">
        <v>673</v>
      </c>
      <c r="CP17">
        <v>2066</v>
      </c>
      <c r="CQ17">
        <v>1177</v>
      </c>
      <c r="CR17">
        <v>2059</v>
      </c>
      <c r="CS17">
        <v>0</v>
      </c>
      <c r="CT17">
        <v>613</v>
      </c>
      <c r="CU17">
        <v>4505</v>
      </c>
      <c r="CV17">
        <v>32705</v>
      </c>
      <c r="CW17">
        <v>0</v>
      </c>
      <c r="CX17">
        <v>0</v>
      </c>
      <c r="CY17">
        <v>0</v>
      </c>
      <c r="CZ17">
        <v>0</v>
      </c>
      <c r="DA17">
        <v>0</v>
      </c>
      <c r="DB17">
        <v>0</v>
      </c>
      <c r="DC17">
        <v>-36</v>
      </c>
      <c r="DD17">
        <v>11</v>
      </c>
      <c r="DE17">
        <v>0</v>
      </c>
      <c r="DF17">
        <v>-30</v>
      </c>
      <c r="DG17">
        <v>0</v>
      </c>
      <c r="DH17">
        <v>-47</v>
      </c>
      <c r="DI17">
        <v>0</v>
      </c>
      <c r="DJ17">
        <v>107</v>
      </c>
      <c r="DK17">
        <v>0</v>
      </c>
      <c r="DL17">
        <v>198</v>
      </c>
      <c r="DM17">
        <v>0</v>
      </c>
      <c r="DN17">
        <v>106</v>
      </c>
      <c r="DO17">
        <v>436</v>
      </c>
      <c r="DP17">
        <v>800</v>
      </c>
      <c r="DQ17">
        <v>266</v>
      </c>
      <c r="DR17">
        <v>2</v>
      </c>
      <c r="DS17">
        <v>302</v>
      </c>
      <c r="DT17">
        <v>276</v>
      </c>
      <c r="DU17">
        <v>-2</v>
      </c>
      <c r="DV17">
        <v>0</v>
      </c>
      <c r="DW17">
        <v>0</v>
      </c>
      <c r="DX17">
        <v>1589</v>
      </c>
      <c r="DY17">
        <v>71132</v>
      </c>
      <c r="DZ17">
        <v>297</v>
      </c>
      <c r="EA17">
        <v>1030</v>
      </c>
      <c r="EB17">
        <v>1010</v>
      </c>
      <c r="EC17">
        <v>0</v>
      </c>
      <c r="ED17">
        <v>31</v>
      </c>
      <c r="EE17">
        <v>0</v>
      </c>
      <c r="EF17">
        <v>0</v>
      </c>
      <c r="EG17">
        <v>0</v>
      </c>
      <c r="EH17">
        <v>21550</v>
      </c>
      <c r="EI17">
        <v>13633</v>
      </c>
      <c r="EJ17">
        <v>5040</v>
      </c>
      <c r="EK17">
        <v>295</v>
      </c>
      <c r="EL17">
        <v>10205</v>
      </c>
      <c r="EM17">
        <v>12383</v>
      </c>
      <c r="EN17">
        <v>3716</v>
      </c>
      <c r="EO17">
        <v>100</v>
      </c>
      <c r="EP17">
        <v>0</v>
      </c>
      <c r="EQ17">
        <v>7887</v>
      </c>
      <c r="ER17">
        <v>800</v>
      </c>
      <c r="ES17">
        <v>30950</v>
      </c>
      <c r="ET17">
        <v>28841</v>
      </c>
      <c r="EU17">
        <v>169</v>
      </c>
      <c r="EV17">
        <v>215</v>
      </c>
      <c r="EW17">
        <v>165</v>
      </c>
      <c r="EX17">
        <v>2383</v>
      </c>
      <c r="EY17">
        <v>36</v>
      </c>
      <c r="EZ17">
        <v>4</v>
      </c>
      <c r="FA17">
        <v>0</v>
      </c>
      <c r="FB17">
        <v>109</v>
      </c>
      <c r="FC17">
        <v>204</v>
      </c>
      <c r="FD17">
        <v>278</v>
      </c>
      <c r="FE17">
        <v>19</v>
      </c>
      <c r="FF17">
        <v>0</v>
      </c>
      <c r="FG17">
        <v>2764</v>
      </c>
      <c r="FH17">
        <v>6346</v>
      </c>
      <c r="FI17">
        <v>-1334</v>
      </c>
      <c r="FJ17">
        <v>212</v>
      </c>
      <c r="FK17">
        <v>0</v>
      </c>
      <c r="FL17">
        <v>387</v>
      </c>
      <c r="FM17">
        <v>397</v>
      </c>
      <c r="FN17">
        <v>0</v>
      </c>
      <c r="FO17">
        <v>74</v>
      </c>
      <c r="FP17">
        <v>0</v>
      </c>
      <c r="FQ17">
        <v>0</v>
      </c>
      <c r="FR17">
        <v>-48</v>
      </c>
      <c r="FS17">
        <v>-2</v>
      </c>
      <c r="FT17">
        <v>146</v>
      </c>
      <c r="FU17">
        <v>-258</v>
      </c>
      <c r="FV17">
        <v>0</v>
      </c>
      <c r="FW17">
        <v>1157</v>
      </c>
      <c r="FX17">
        <v>0</v>
      </c>
      <c r="FY17">
        <v>0</v>
      </c>
      <c r="FZ17">
        <v>859</v>
      </c>
      <c r="GA17">
        <v>0</v>
      </c>
      <c r="GB17">
        <v>0</v>
      </c>
      <c r="GC17">
        <v>0</v>
      </c>
      <c r="GD17">
        <v>2140</v>
      </c>
      <c r="GE17">
        <v>5264</v>
      </c>
      <c r="GF17">
        <v>7880</v>
      </c>
      <c r="GG17">
        <v>-588</v>
      </c>
      <c r="GH17">
        <v>-67</v>
      </c>
      <c r="GI17">
        <v>0</v>
      </c>
      <c r="GJ17">
        <v>0</v>
      </c>
      <c r="GK17">
        <v>16219</v>
      </c>
      <c r="GL17">
        <v>77</v>
      </c>
      <c r="GM17">
        <v>-339</v>
      </c>
      <c r="GN17">
        <v>0</v>
      </c>
      <c r="GO17">
        <v>675</v>
      </c>
      <c r="GP17">
        <v>54</v>
      </c>
      <c r="GQ17">
        <v>4249</v>
      </c>
      <c r="GR17">
        <v>0</v>
      </c>
      <c r="GS17">
        <v>2781</v>
      </c>
      <c r="GT17">
        <v>3920</v>
      </c>
      <c r="GU17">
        <v>11417</v>
      </c>
      <c r="GV17">
        <v>33982</v>
      </c>
      <c r="GW17">
        <v>0</v>
      </c>
      <c r="GX17">
        <v>0</v>
      </c>
      <c r="GY17">
        <v>0</v>
      </c>
      <c r="GZ17">
        <v>0</v>
      </c>
      <c r="HA17">
        <v>0</v>
      </c>
      <c r="HB17">
        <v>3118</v>
      </c>
      <c r="HC17">
        <v>1013</v>
      </c>
      <c r="HD17">
        <v>0</v>
      </c>
      <c r="HE17">
        <v>0</v>
      </c>
      <c r="HF17">
        <v>47</v>
      </c>
      <c r="HG17">
        <v>0</v>
      </c>
      <c r="HH17">
        <v>0</v>
      </c>
      <c r="HI17">
        <v>-93</v>
      </c>
      <c r="HJ17">
        <v>29</v>
      </c>
      <c r="HK17">
        <v>739</v>
      </c>
      <c r="HL17">
        <v>0</v>
      </c>
      <c r="HM17">
        <v>-96</v>
      </c>
      <c r="HN17">
        <v>0</v>
      </c>
      <c r="HO17">
        <v>0</v>
      </c>
      <c r="HP17">
        <v>868</v>
      </c>
      <c r="HQ17">
        <v>0</v>
      </c>
      <c r="HR17">
        <v>110</v>
      </c>
      <c r="HS17">
        <v>0</v>
      </c>
      <c r="HT17">
        <v>0</v>
      </c>
      <c r="HU17">
        <v>0</v>
      </c>
      <c r="HV17">
        <v>5735</v>
      </c>
      <c r="HW17">
        <v>0</v>
      </c>
      <c r="HX17">
        <v>0</v>
      </c>
      <c r="HY17">
        <v>0</v>
      </c>
      <c r="HZ17">
        <v>0</v>
      </c>
      <c r="IA17">
        <v>0</v>
      </c>
      <c r="IB17">
        <v>7433</v>
      </c>
      <c r="IC17">
        <v>119986</v>
      </c>
      <c r="ID17">
        <v>6097</v>
      </c>
      <c r="IE17">
        <v>42683</v>
      </c>
      <c r="IF17">
        <v>63270</v>
      </c>
      <c r="IG17">
        <v>32705</v>
      </c>
      <c r="IH17">
        <v>1589</v>
      </c>
      <c r="II17">
        <v>6346</v>
      </c>
      <c r="IJ17">
        <v>16219</v>
      </c>
      <c r="IK17">
        <v>11417</v>
      </c>
      <c r="IL17">
        <v>0</v>
      </c>
      <c r="IM17">
        <v>0</v>
      </c>
      <c r="IN17">
        <v>5735</v>
      </c>
      <c r="IO17">
        <v>7433</v>
      </c>
      <c r="IP17">
        <v>313480</v>
      </c>
      <c r="IQ17">
        <v>18954</v>
      </c>
      <c r="IR17">
        <v>180</v>
      </c>
      <c r="IS17">
        <v>24333</v>
      </c>
      <c r="IT17">
        <v>0</v>
      </c>
      <c r="IU17">
        <v>0</v>
      </c>
      <c r="IV17">
        <v>437</v>
      </c>
      <c r="IW17">
        <v>0</v>
      </c>
      <c r="IX17">
        <v>0</v>
      </c>
      <c r="IY17">
        <v>0</v>
      </c>
      <c r="IZ17">
        <v>466</v>
      </c>
      <c r="JA17">
        <v>-2</v>
      </c>
      <c r="JB17">
        <v>10352</v>
      </c>
      <c r="JC17">
        <v>0</v>
      </c>
      <c r="JD17">
        <v>0</v>
      </c>
      <c r="JE17">
        <v>0</v>
      </c>
      <c r="JF17">
        <v>0</v>
      </c>
      <c r="JG17">
        <v>368200</v>
      </c>
      <c r="JH17">
        <v>0</v>
      </c>
      <c r="JI17">
        <v>10272</v>
      </c>
      <c r="JJ17">
        <v>0</v>
      </c>
      <c r="JK17">
        <v>0</v>
      </c>
      <c r="JL17">
        <v>0</v>
      </c>
      <c r="JM17">
        <v>-222</v>
      </c>
      <c r="JN17">
        <v>7180</v>
      </c>
      <c r="JO17">
        <v>47</v>
      </c>
      <c r="JP17">
        <v>32836</v>
      </c>
      <c r="JQ17">
        <v>0</v>
      </c>
      <c r="JR17">
        <v>418313</v>
      </c>
      <c r="JS17">
        <v>-1873</v>
      </c>
      <c r="JT17">
        <v>0</v>
      </c>
      <c r="JU17">
        <v>531</v>
      </c>
      <c r="JV17">
        <v>0</v>
      </c>
      <c r="JW17">
        <v>-55137</v>
      </c>
      <c r="JX17">
        <v>0</v>
      </c>
      <c r="JY17">
        <v>0</v>
      </c>
      <c r="JZ17">
        <v>0</v>
      </c>
      <c r="KA17">
        <v>0</v>
      </c>
      <c r="KB17">
        <v>11757</v>
      </c>
      <c r="KC17">
        <v>373591</v>
      </c>
      <c r="KD17">
        <v>0</v>
      </c>
      <c r="KE17">
        <v>-202692</v>
      </c>
      <c r="KF17">
        <v>170899</v>
      </c>
      <c r="KG17">
        <v>0</v>
      </c>
      <c r="KH17">
        <v>-423</v>
      </c>
      <c r="KI17">
        <v>0</v>
      </c>
      <c r="KJ17">
        <v>-602</v>
      </c>
      <c r="KK17">
        <v>12155</v>
      </c>
      <c r="KL17">
        <v>0</v>
      </c>
      <c r="KM17">
        <v>-13026</v>
      </c>
      <c r="KN17">
        <v>0</v>
      </c>
      <c r="KO17">
        <v>-52893</v>
      </c>
      <c r="KP17">
        <v>16075</v>
      </c>
      <c r="KQ17">
        <v>-11757</v>
      </c>
      <c r="KR17">
        <v>103888</v>
      </c>
      <c r="KS17">
        <v>5267</v>
      </c>
      <c r="KT17">
        <v>-11757</v>
      </c>
      <c r="KU17">
        <v>1454</v>
      </c>
      <c r="KV17">
        <v>184972</v>
      </c>
      <c r="KW17">
        <v>20000</v>
      </c>
      <c r="KX17">
        <v>4844</v>
      </c>
      <c r="KY17">
        <v>-11757</v>
      </c>
      <c r="KZ17">
        <v>852</v>
      </c>
      <c r="LA17">
        <v>197127</v>
      </c>
      <c r="LB17">
        <v>20000</v>
      </c>
      <c r="LC17">
        <v>0</v>
      </c>
      <c r="LD17">
        <v>19999</v>
      </c>
      <c r="LE17">
        <v>0</v>
      </c>
      <c r="LF17">
        <v>130324</v>
      </c>
      <c r="LG17">
        <v>-46170</v>
      </c>
      <c r="LH17">
        <v>11346</v>
      </c>
      <c r="LI17">
        <v>115499</v>
      </c>
      <c r="LJ17">
        <v>7770</v>
      </c>
      <c r="LK17">
        <v>12543</v>
      </c>
      <c r="LL17">
        <v>20313</v>
      </c>
      <c r="LM17">
        <v>0</v>
      </c>
      <c r="LN17">
        <v>0</v>
      </c>
      <c r="LO17">
        <v>0</v>
      </c>
      <c r="LP17">
        <v>73500</v>
      </c>
      <c r="LQ17">
        <v>75609</v>
      </c>
      <c r="LR17">
        <v>-2109</v>
      </c>
      <c r="LS17">
        <v>30950</v>
      </c>
      <c r="LT17">
        <v>28841</v>
      </c>
      <c r="LU17">
        <v>119986</v>
      </c>
      <c r="LV17">
        <v>6097</v>
      </c>
      <c r="LW17">
        <v>42683</v>
      </c>
      <c r="LX17">
        <v>63270</v>
      </c>
      <c r="LY17">
        <v>32705</v>
      </c>
      <c r="LZ17">
        <v>1589</v>
      </c>
      <c r="MA17">
        <v>6346</v>
      </c>
      <c r="MB17">
        <v>16219</v>
      </c>
      <c r="MC17">
        <v>11417</v>
      </c>
      <c r="MD17">
        <v>0</v>
      </c>
      <c r="ME17">
        <v>0</v>
      </c>
      <c r="MF17">
        <v>5735</v>
      </c>
      <c r="MG17">
        <v>7433</v>
      </c>
      <c r="MH17">
        <v>313480</v>
      </c>
      <c r="MI17">
        <v>0</v>
      </c>
      <c r="MJ17">
        <v>0</v>
      </c>
      <c r="MK17">
        <v>0</v>
      </c>
      <c r="ML17">
        <v>0</v>
      </c>
      <c r="MM17">
        <v>0</v>
      </c>
      <c r="MN17">
        <v>0</v>
      </c>
      <c r="MO17">
        <v>0</v>
      </c>
      <c r="MP17">
        <v>0</v>
      </c>
      <c r="MQ17">
        <v>0</v>
      </c>
      <c r="MR17">
        <v>0</v>
      </c>
      <c r="MS17">
        <v>0</v>
      </c>
      <c r="MT17">
        <v>0</v>
      </c>
      <c r="MU17">
        <v>0</v>
      </c>
      <c r="MV17">
        <v>0</v>
      </c>
      <c r="MW17">
        <v>0</v>
      </c>
      <c r="MX17">
        <v>0</v>
      </c>
      <c r="MY17">
        <v>-2</v>
      </c>
      <c r="MZ17">
        <v>0</v>
      </c>
      <c r="NA17">
        <v>-2</v>
      </c>
      <c r="NB17">
        <v>0</v>
      </c>
      <c r="NC17">
        <v>-2</v>
      </c>
      <c r="ND17">
        <v>0</v>
      </c>
      <c r="NE17">
        <v>0</v>
      </c>
      <c r="NF17">
        <v>-3638</v>
      </c>
      <c r="NG17">
        <v>0</v>
      </c>
      <c r="NH17">
        <v>0</v>
      </c>
      <c r="NI17">
        <v>0</v>
      </c>
      <c r="NJ17">
        <v>0</v>
      </c>
      <c r="NK17">
        <v>0</v>
      </c>
      <c r="NL17">
        <v>0</v>
      </c>
      <c r="NM17">
        <v>6812</v>
      </c>
      <c r="NN17">
        <v>-7</v>
      </c>
      <c r="NO17">
        <v>0</v>
      </c>
      <c r="NP17">
        <v>0</v>
      </c>
      <c r="NQ17">
        <v>0</v>
      </c>
      <c r="NR17">
        <v>1836</v>
      </c>
      <c r="NS17">
        <v>0</v>
      </c>
      <c r="NT17">
        <v>108</v>
      </c>
      <c r="NU17">
        <v>721</v>
      </c>
      <c r="NV17">
        <v>0</v>
      </c>
      <c r="NW17">
        <v>2329</v>
      </c>
      <c r="NX17">
        <v>1620</v>
      </c>
      <c r="NY17">
        <v>-103</v>
      </c>
      <c r="NZ17">
        <v>10352</v>
      </c>
      <c r="OA17">
        <v>0</v>
      </c>
      <c r="OB17">
        <v>10352</v>
      </c>
      <c r="OC17">
        <v>0</v>
      </c>
      <c r="OD17">
        <v>0</v>
      </c>
      <c r="OE17">
        <v>0</v>
      </c>
      <c r="OF17">
        <v>0</v>
      </c>
      <c r="OG17">
        <v>0</v>
      </c>
      <c r="OH17">
        <v>0</v>
      </c>
      <c r="OI17">
        <v>0</v>
      </c>
      <c r="OJ17">
        <v>0</v>
      </c>
      <c r="OK17">
        <v>0</v>
      </c>
      <c r="OL17">
        <v>0</v>
      </c>
      <c r="OM17">
        <v>0</v>
      </c>
      <c r="ON17">
        <v>0</v>
      </c>
    </row>
    <row r="18" spans="1:404" hidden="1" x14ac:dyDescent="0.25">
      <c r="A18" t="s">
        <v>112</v>
      </c>
      <c r="B18" t="s">
        <v>113</v>
      </c>
      <c r="C18" t="s">
        <v>111</v>
      </c>
      <c r="E18" t="s">
        <v>61</v>
      </c>
      <c r="F18">
        <v>0</v>
      </c>
      <c r="G18">
        <v>0</v>
      </c>
      <c r="H18">
        <v>0</v>
      </c>
      <c r="I18">
        <v>0</v>
      </c>
      <c r="J18">
        <v>0</v>
      </c>
      <c r="K18">
        <v>0</v>
      </c>
      <c r="L18">
        <v>0</v>
      </c>
      <c r="M18">
        <v>0</v>
      </c>
      <c r="N18">
        <v>0</v>
      </c>
      <c r="O18">
        <v>0</v>
      </c>
      <c r="P18">
        <v>0</v>
      </c>
      <c r="Q18">
        <v>0</v>
      </c>
      <c r="R18">
        <v>0</v>
      </c>
      <c r="S18">
        <v>8</v>
      </c>
      <c r="T18">
        <v>0</v>
      </c>
      <c r="U18">
        <v>45</v>
      </c>
      <c r="V18">
        <v>0</v>
      </c>
      <c r="W18">
        <v>0</v>
      </c>
      <c r="X18">
        <v>0</v>
      </c>
      <c r="Y18">
        <v>5</v>
      </c>
      <c r="Z18">
        <v>0</v>
      </c>
      <c r="AA18">
        <v>71</v>
      </c>
      <c r="AB18">
        <v>0</v>
      </c>
      <c r="AC18">
        <v>0</v>
      </c>
      <c r="AD18">
        <v>0</v>
      </c>
      <c r="AE18">
        <v>0</v>
      </c>
      <c r="AF18">
        <v>0</v>
      </c>
      <c r="AG18">
        <v>10</v>
      </c>
      <c r="AH18">
        <v>0</v>
      </c>
      <c r="AI18">
        <v>139</v>
      </c>
      <c r="AJ18">
        <v>0</v>
      </c>
      <c r="AK18">
        <v>0</v>
      </c>
      <c r="AL18">
        <v>0</v>
      </c>
      <c r="AM18">
        <v>0</v>
      </c>
      <c r="AN18">
        <v>0</v>
      </c>
      <c r="AO18">
        <v>0</v>
      </c>
      <c r="AP18">
        <v>0</v>
      </c>
      <c r="AQ18">
        <v>0</v>
      </c>
      <c r="AR18">
        <v>0</v>
      </c>
      <c r="AS18">
        <v>0</v>
      </c>
      <c r="AT18">
        <v>0</v>
      </c>
      <c r="AU18">
        <v>0</v>
      </c>
      <c r="AV18">
        <v>0</v>
      </c>
      <c r="AW18">
        <v>0</v>
      </c>
      <c r="AX18">
        <v>0</v>
      </c>
      <c r="AY18">
        <v>0</v>
      </c>
      <c r="AZ18">
        <v>0</v>
      </c>
      <c r="BA18">
        <v>0</v>
      </c>
      <c r="BB18">
        <v>0</v>
      </c>
      <c r="BC18">
        <v>0</v>
      </c>
      <c r="BD18">
        <v>0</v>
      </c>
      <c r="BE18">
        <v>0</v>
      </c>
      <c r="BF18">
        <v>0</v>
      </c>
      <c r="BG18">
        <v>0</v>
      </c>
      <c r="BH18">
        <v>0</v>
      </c>
      <c r="BI18">
        <v>0</v>
      </c>
      <c r="BJ18">
        <v>0</v>
      </c>
      <c r="BK18">
        <v>0</v>
      </c>
      <c r="BL18">
        <v>0</v>
      </c>
      <c r="BM18">
        <v>0</v>
      </c>
      <c r="BN18">
        <v>0</v>
      </c>
      <c r="BO18">
        <v>0</v>
      </c>
      <c r="BP18">
        <v>0</v>
      </c>
      <c r="BQ18">
        <v>0</v>
      </c>
      <c r="BR18">
        <v>0</v>
      </c>
      <c r="BS18">
        <v>0</v>
      </c>
      <c r="BT18">
        <v>0</v>
      </c>
      <c r="BU18">
        <v>0</v>
      </c>
      <c r="BV18">
        <v>0</v>
      </c>
      <c r="BW18">
        <v>0</v>
      </c>
      <c r="BX18">
        <v>0</v>
      </c>
      <c r="BY18">
        <v>0</v>
      </c>
      <c r="BZ18">
        <v>0</v>
      </c>
      <c r="CA18">
        <v>0</v>
      </c>
      <c r="CB18">
        <v>0</v>
      </c>
      <c r="CC18">
        <v>0</v>
      </c>
      <c r="CD18">
        <v>0</v>
      </c>
      <c r="CE18">
        <v>0</v>
      </c>
      <c r="CF18">
        <v>0</v>
      </c>
      <c r="CG18">
        <v>0</v>
      </c>
      <c r="CH18">
        <v>0</v>
      </c>
      <c r="CI18">
        <v>0</v>
      </c>
      <c r="CJ18">
        <v>0</v>
      </c>
      <c r="CK18">
        <v>0</v>
      </c>
      <c r="CL18">
        <v>0</v>
      </c>
      <c r="CM18">
        <v>0</v>
      </c>
      <c r="CN18">
        <v>0</v>
      </c>
      <c r="CO18">
        <v>0</v>
      </c>
      <c r="CP18">
        <v>0</v>
      </c>
      <c r="CQ18">
        <v>0</v>
      </c>
      <c r="CR18">
        <v>0</v>
      </c>
      <c r="CS18">
        <v>0</v>
      </c>
      <c r="CT18">
        <v>0</v>
      </c>
      <c r="CU18">
        <v>0</v>
      </c>
      <c r="CV18">
        <v>-14</v>
      </c>
      <c r="CW18">
        <v>0</v>
      </c>
      <c r="CX18">
        <v>0</v>
      </c>
      <c r="CY18">
        <v>0</v>
      </c>
      <c r="CZ18">
        <v>0</v>
      </c>
      <c r="DA18">
        <v>0</v>
      </c>
      <c r="DB18">
        <v>0</v>
      </c>
      <c r="DC18">
        <v>21</v>
      </c>
      <c r="DD18">
        <v>0</v>
      </c>
      <c r="DE18">
        <v>163</v>
      </c>
      <c r="DF18">
        <v>0</v>
      </c>
      <c r="DG18">
        <v>0</v>
      </c>
      <c r="DH18">
        <v>0</v>
      </c>
      <c r="DI18">
        <v>0</v>
      </c>
      <c r="DJ18">
        <v>14</v>
      </c>
      <c r="DK18">
        <v>0</v>
      </c>
      <c r="DL18">
        <v>0</v>
      </c>
      <c r="DM18">
        <v>0</v>
      </c>
      <c r="DN18">
        <v>256</v>
      </c>
      <c r="DO18">
        <v>0</v>
      </c>
      <c r="DP18">
        <v>270</v>
      </c>
      <c r="DQ18">
        <v>3</v>
      </c>
      <c r="DR18">
        <v>0</v>
      </c>
      <c r="DS18">
        <v>9</v>
      </c>
      <c r="DT18">
        <v>816</v>
      </c>
      <c r="DU18">
        <v>0</v>
      </c>
      <c r="DV18">
        <v>0</v>
      </c>
      <c r="DW18">
        <v>0</v>
      </c>
      <c r="DX18">
        <v>1282</v>
      </c>
      <c r="DY18">
        <v>9935</v>
      </c>
      <c r="DZ18">
        <v>378</v>
      </c>
      <c r="EA18">
        <v>1080</v>
      </c>
      <c r="EB18">
        <v>162</v>
      </c>
      <c r="EC18">
        <v>0</v>
      </c>
      <c r="ED18">
        <v>0</v>
      </c>
      <c r="EE18">
        <v>0</v>
      </c>
      <c r="EF18">
        <v>0</v>
      </c>
      <c r="EG18">
        <v>46</v>
      </c>
      <c r="EH18">
        <v>3397</v>
      </c>
      <c r="EI18">
        <v>3263</v>
      </c>
      <c r="EJ18">
        <v>291</v>
      </c>
      <c r="EK18">
        <v>24</v>
      </c>
      <c r="EL18">
        <v>881</v>
      </c>
      <c r="EM18">
        <v>3065</v>
      </c>
      <c r="EN18">
        <v>0</v>
      </c>
      <c r="EO18">
        <v>11</v>
      </c>
      <c r="EP18">
        <v>0</v>
      </c>
      <c r="EQ18">
        <v>19</v>
      </c>
      <c r="ER18">
        <v>0</v>
      </c>
      <c r="ES18">
        <v>5388</v>
      </c>
      <c r="ET18">
        <v>6038</v>
      </c>
      <c r="EU18">
        <v>0</v>
      </c>
      <c r="EV18">
        <v>0</v>
      </c>
      <c r="EW18">
        <v>0</v>
      </c>
      <c r="EX18">
        <v>345</v>
      </c>
      <c r="EY18">
        <v>426</v>
      </c>
      <c r="EZ18">
        <v>0</v>
      </c>
      <c r="FA18">
        <v>0</v>
      </c>
      <c r="FB18">
        <v>51</v>
      </c>
      <c r="FC18">
        <v>407</v>
      </c>
      <c r="FD18">
        <v>1124</v>
      </c>
      <c r="FE18">
        <v>4</v>
      </c>
      <c r="FF18">
        <v>0</v>
      </c>
      <c r="FG18">
        <v>0</v>
      </c>
      <c r="FH18">
        <v>2357</v>
      </c>
      <c r="FI18">
        <v>-343</v>
      </c>
      <c r="FJ18">
        <v>0</v>
      </c>
      <c r="FK18">
        <v>0</v>
      </c>
      <c r="FL18">
        <v>183</v>
      </c>
      <c r="FM18">
        <v>185</v>
      </c>
      <c r="FN18">
        <v>0</v>
      </c>
      <c r="FO18">
        <v>64</v>
      </c>
      <c r="FP18">
        <v>4</v>
      </c>
      <c r="FQ18">
        <v>0</v>
      </c>
      <c r="FR18">
        <v>0</v>
      </c>
      <c r="FS18">
        <v>88</v>
      </c>
      <c r="FT18">
        <v>175</v>
      </c>
      <c r="FU18">
        <v>86</v>
      </c>
      <c r="FV18">
        <v>205</v>
      </c>
      <c r="FW18">
        <v>0</v>
      </c>
      <c r="FX18">
        <v>0</v>
      </c>
      <c r="FY18">
        <v>0</v>
      </c>
      <c r="FZ18">
        <v>0</v>
      </c>
      <c r="GA18">
        <v>0</v>
      </c>
      <c r="GB18">
        <v>24</v>
      </c>
      <c r="GC18">
        <v>0</v>
      </c>
      <c r="GD18">
        <v>828</v>
      </c>
      <c r="GE18">
        <v>1069</v>
      </c>
      <c r="GF18">
        <v>0</v>
      </c>
      <c r="GG18">
        <v>0</v>
      </c>
      <c r="GH18">
        <v>194</v>
      </c>
      <c r="GI18">
        <v>0</v>
      </c>
      <c r="GJ18">
        <v>0</v>
      </c>
      <c r="GK18">
        <v>2762</v>
      </c>
      <c r="GL18">
        <v>137</v>
      </c>
      <c r="GM18">
        <v>495</v>
      </c>
      <c r="GN18">
        <v>0</v>
      </c>
      <c r="GO18">
        <v>211</v>
      </c>
      <c r="GP18">
        <v>0</v>
      </c>
      <c r="GQ18">
        <v>-206</v>
      </c>
      <c r="GR18">
        <v>0</v>
      </c>
      <c r="GS18">
        <v>0</v>
      </c>
      <c r="GT18">
        <v>8</v>
      </c>
      <c r="GU18">
        <v>645</v>
      </c>
      <c r="GV18">
        <v>5764</v>
      </c>
      <c r="GW18">
        <v>0</v>
      </c>
      <c r="GX18">
        <v>0</v>
      </c>
      <c r="GY18">
        <v>0</v>
      </c>
      <c r="GZ18">
        <v>0</v>
      </c>
      <c r="HA18">
        <v>0</v>
      </c>
      <c r="HB18">
        <v>3420</v>
      </c>
      <c r="HC18">
        <v>361</v>
      </c>
      <c r="HD18">
        <v>0</v>
      </c>
      <c r="HE18">
        <v>38</v>
      </c>
      <c r="HF18">
        <v>533</v>
      </c>
      <c r="HG18">
        <v>81</v>
      </c>
      <c r="HH18">
        <v>0</v>
      </c>
      <c r="HI18">
        <v>0</v>
      </c>
      <c r="HJ18">
        <v>326</v>
      </c>
      <c r="HK18">
        <v>0</v>
      </c>
      <c r="HL18">
        <v>798</v>
      </c>
      <c r="HM18">
        <v>-45</v>
      </c>
      <c r="HN18">
        <v>0</v>
      </c>
      <c r="HO18">
        <v>156</v>
      </c>
      <c r="HP18">
        <v>0</v>
      </c>
      <c r="HQ18">
        <v>0</v>
      </c>
      <c r="HR18">
        <v>296</v>
      </c>
      <c r="HS18">
        <v>0</v>
      </c>
      <c r="HT18">
        <v>0</v>
      </c>
      <c r="HU18">
        <v>-652</v>
      </c>
      <c r="HV18">
        <v>5312</v>
      </c>
      <c r="HW18">
        <v>449</v>
      </c>
      <c r="HX18">
        <v>3055</v>
      </c>
      <c r="HY18">
        <v>0</v>
      </c>
      <c r="HZ18">
        <v>523</v>
      </c>
      <c r="IA18">
        <v>133</v>
      </c>
      <c r="IB18">
        <v>0</v>
      </c>
      <c r="IC18">
        <v>0</v>
      </c>
      <c r="ID18">
        <v>139</v>
      </c>
      <c r="IE18">
        <v>0</v>
      </c>
      <c r="IF18">
        <v>0</v>
      </c>
      <c r="IG18">
        <v>-14</v>
      </c>
      <c r="IH18">
        <v>1282</v>
      </c>
      <c r="II18">
        <v>2357</v>
      </c>
      <c r="IJ18">
        <v>2762</v>
      </c>
      <c r="IK18">
        <v>645</v>
      </c>
      <c r="IL18">
        <v>0</v>
      </c>
      <c r="IM18">
        <v>0</v>
      </c>
      <c r="IN18">
        <v>5312</v>
      </c>
      <c r="IO18">
        <v>0</v>
      </c>
      <c r="IP18">
        <v>12483</v>
      </c>
      <c r="IQ18">
        <v>10923</v>
      </c>
      <c r="IR18">
        <v>0</v>
      </c>
      <c r="IS18">
        <v>4498</v>
      </c>
      <c r="IT18">
        <v>0</v>
      </c>
      <c r="IU18">
        <v>0</v>
      </c>
      <c r="IV18">
        <v>142</v>
      </c>
      <c r="IW18">
        <v>0</v>
      </c>
      <c r="IX18">
        <v>0</v>
      </c>
      <c r="IY18">
        <v>0</v>
      </c>
      <c r="IZ18">
        <v>0</v>
      </c>
      <c r="JA18">
        <v>0</v>
      </c>
      <c r="JB18">
        <v>0</v>
      </c>
      <c r="JC18">
        <v>0</v>
      </c>
      <c r="JD18">
        <v>0</v>
      </c>
      <c r="JE18">
        <v>78</v>
      </c>
      <c r="JF18">
        <v>0</v>
      </c>
      <c r="JG18">
        <v>28124</v>
      </c>
      <c r="JH18">
        <v>0</v>
      </c>
      <c r="JI18">
        <v>0</v>
      </c>
      <c r="JJ18">
        <v>0</v>
      </c>
      <c r="JK18">
        <v>0</v>
      </c>
      <c r="JL18">
        <v>0</v>
      </c>
      <c r="JM18">
        <v>175</v>
      </c>
      <c r="JN18">
        <v>741</v>
      </c>
      <c r="JO18">
        <v>0</v>
      </c>
      <c r="JP18">
        <v>1391</v>
      </c>
      <c r="JQ18">
        <v>-791</v>
      </c>
      <c r="JR18">
        <v>29640</v>
      </c>
      <c r="JS18">
        <v>-123</v>
      </c>
      <c r="JT18">
        <v>0</v>
      </c>
      <c r="JU18">
        <v>42</v>
      </c>
      <c r="JV18">
        <v>0</v>
      </c>
      <c r="JW18">
        <v>-15033</v>
      </c>
      <c r="JX18">
        <v>0</v>
      </c>
      <c r="JY18">
        <v>0</v>
      </c>
      <c r="JZ18">
        <v>0</v>
      </c>
      <c r="KA18">
        <v>0</v>
      </c>
      <c r="KB18">
        <v>0</v>
      </c>
      <c r="KC18">
        <v>14526</v>
      </c>
      <c r="KD18">
        <v>0</v>
      </c>
      <c r="KE18">
        <v>-1970</v>
      </c>
      <c r="KF18">
        <v>12556</v>
      </c>
      <c r="KG18">
        <v>0</v>
      </c>
      <c r="KH18">
        <v>0</v>
      </c>
      <c r="KI18">
        <v>0</v>
      </c>
      <c r="KJ18">
        <v>0</v>
      </c>
      <c r="KK18">
        <v>-1661</v>
      </c>
      <c r="KL18">
        <v>0</v>
      </c>
      <c r="KM18">
        <v>-1279</v>
      </c>
      <c r="KN18">
        <v>0</v>
      </c>
      <c r="KO18">
        <v>-1034</v>
      </c>
      <c r="KP18">
        <v>57</v>
      </c>
      <c r="KQ18">
        <v>0</v>
      </c>
      <c r="KR18">
        <v>4975</v>
      </c>
      <c r="KS18">
        <v>0</v>
      </c>
      <c r="KT18">
        <v>0</v>
      </c>
      <c r="KU18">
        <v>0</v>
      </c>
      <c r="KV18">
        <v>13378</v>
      </c>
      <c r="KW18">
        <v>2300</v>
      </c>
      <c r="KX18">
        <v>0</v>
      </c>
      <c r="KY18">
        <v>0</v>
      </c>
      <c r="KZ18">
        <v>0</v>
      </c>
      <c r="LA18">
        <v>11717</v>
      </c>
      <c r="LB18">
        <v>2300</v>
      </c>
      <c r="LC18">
        <v>0</v>
      </c>
      <c r="LD18">
        <v>2162</v>
      </c>
      <c r="LE18">
        <v>0</v>
      </c>
      <c r="LF18">
        <v>2232</v>
      </c>
      <c r="LG18">
        <v>0</v>
      </c>
      <c r="LH18">
        <v>8</v>
      </c>
      <c r="LI18">
        <v>4402</v>
      </c>
      <c r="LJ18">
        <v>2204</v>
      </c>
      <c r="LK18">
        <v>3887</v>
      </c>
      <c r="LL18">
        <v>6091</v>
      </c>
      <c r="LM18">
        <v>4</v>
      </c>
      <c r="LN18">
        <v>0</v>
      </c>
      <c r="LO18">
        <v>0</v>
      </c>
      <c r="LP18">
        <v>11601</v>
      </c>
      <c r="LQ18">
        <v>10951</v>
      </c>
      <c r="LR18">
        <v>650</v>
      </c>
      <c r="LS18">
        <v>5388</v>
      </c>
      <c r="LT18">
        <v>6038</v>
      </c>
      <c r="LU18">
        <v>0</v>
      </c>
      <c r="LV18">
        <v>139</v>
      </c>
      <c r="LW18">
        <v>0</v>
      </c>
      <c r="LX18">
        <v>0</v>
      </c>
      <c r="LY18">
        <v>-14</v>
      </c>
      <c r="LZ18">
        <v>1282</v>
      </c>
      <c r="MA18">
        <v>2357</v>
      </c>
      <c r="MB18">
        <v>2762</v>
      </c>
      <c r="MC18">
        <v>645</v>
      </c>
      <c r="MD18">
        <v>0</v>
      </c>
      <c r="ME18">
        <v>0</v>
      </c>
      <c r="MF18">
        <v>5312</v>
      </c>
      <c r="MG18">
        <v>0</v>
      </c>
      <c r="MH18">
        <v>12483</v>
      </c>
      <c r="MI18">
        <v>0</v>
      </c>
      <c r="MJ18">
        <v>0</v>
      </c>
      <c r="MK18">
        <v>0</v>
      </c>
      <c r="ML18">
        <v>0</v>
      </c>
      <c r="MM18">
        <v>0</v>
      </c>
      <c r="MN18">
        <v>0</v>
      </c>
      <c r="MO18">
        <v>0</v>
      </c>
      <c r="MP18">
        <v>0</v>
      </c>
      <c r="MQ18">
        <v>0</v>
      </c>
      <c r="MR18">
        <v>0</v>
      </c>
      <c r="MS18">
        <v>0</v>
      </c>
      <c r="MT18">
        <v>0</v>
      </c>
      <c r="MU18">
        <v>0</v>
      </c>
      <c r="MV18">
        <v>0</v>
      </c>
      <c r="MW18">
        <v>0</v>
      </c>
      <c r="MX18">
        <v>0</v>
      </c>
      <c r="MY18">
        <v>0</v>
      </c>
      <c r="MZ18">
        <v>0</v>
      </c>
      <c r="NA18">
        <v>0</v>
      </c>
      <c r="NB18">
        <v>0</v>
      </c>
      <c r="NC18">
        <v>0</v>
      </c>
      <c r="ND18">
        <v>0</v>
      </c>
      <c r="NE18">
        <v>0</v>
      </c>
      <c r="NF18">
        <v>0</v>
      </c>
      <c r="NG18">
        <v>0</v>
      </c>
      <c r="NH18">
        <v>0</v>
      </c>
      <c r="NI18">
        <v>0</v>
      </c>
      <c r="NJ18">
        <v>0</v>
      </c>
      <c r="NK18">
        <v>0</v>
      </c>
      <c r="NL18">
        <v>0</v>
      </c>
      <c r="NM18">
        <v>0</v>
      </c>
      <c r="NN18">
        <v>0</v>
      </c>
      <c r="NO18">
        <v>0</v>
      </c>
      <c r="NP18">
        <v>0</v>
      </c>
      <c r="NQ18">
        <v>0</v>
      </c>
      <c r="NR18">
        <v>0</v>
      </c>
      <c r="NS18">
        <v>0</v>
      </c>
      <c r="NT18">
        <v>0</v>
      </c>
      <c r="NU18">
        <v>0</v>
      </c>
      <c r="NV18">
        <v>0</v>
      </c>
      <c r="NW18">
        <v>0</v>
      </c>
      <c r="NX18">
        <v>0</v>
      </c>
      <c r="NY18">
        <v>0</v>
      </c>
      <c r="NZ18">
        <v>0</v>
      </c>
      <c r="OA18">
        <v>0</v>
      </c>
      <c r="OB18">
        <v>0</v>
      </c>
      <c r="OC18">
        <v>0</v>
      </c>
      <c r="OD18">
        <v>0</v>
      </c>
      <c r="OE18">
        <v>0</v>
      </c>
      <c r="OF18">
        <v>0</v>
      </c>
      <c r="OG18">
        <v>0</v>
      </c>
      <c r="OH18">
        <v>0</v>
      </c>
      <c r="OI18">
        <v>0</v>
      </c>
      <c r="OJ18">
        <v>0</v>
      </c>
      <c r="OK18">
        <v>0</v>
      </c>
      <c r="OL18">
        <v>0</v>
      </c>
      <c r="OM18">
        <v>0</v>
      </c>
      <c r="ON18">
        <v>0</v>
      </c>
    </row>
    <row r="19" spans="1:404" hidden="1" x14ac:dyDescent="0.25">
      <c r="A19" t="s">
        <v>116</v>
      </c>
      <c r="B19" t="s">
        <v>117</v>
      </c>
      <c r="C19" t="s">
        <v>115</v>
      </c>
      <c r="E19" t="s">
        <v>61</v>
      </c>
      <c r="F19">
        <v>0</v>
      </c>
      <c r="G19">
        <v>0</v>
      </c>
      <c r="H19">
        <v>0</v>
      </c>
      <c r="I19">
        <v>0</v>
      </c>
      <c r="J19">
        <v>0</v>
      </c>
      <c r="K19">
        <v>0</v>
      </c>
      <c r="L19">
        <v>0</v>
      </c>
      <c r="M19">
        <v>0</v>
      </c>
      <c r="N19">
        <v>0</v>
      </c>
      <c r="O19">
        <v>0</v>
      </c>
      <c r="P19">
        <v>0</v>
      </c>
      <c r="Q19">
        <v>0</v>
      </c>
      <c r="R19">
        <v>0</v>
      </c>
      <c r="S19">
        <v>0</v>
      </c>
      <c r="T19">
        <v>0</v>
      </c>
      <c r="U19">
        <v>184</v>
      </c>
      <c r="V19">
        <v>0</v>
      </c>
      <c r="W19">
        <v>0</v>
      </c>
      <c r="X19">
        <v>0</v>
      </c>
      <c r="Y19">
        <v>0</v>
      </c>
      <c r="Z19">
        <v>0</v>
      </c>
      <c r="AA19">
        <v>61</v>
      </c>
      <c r="AB19">
        <v>0</v>
      </c>
      <c r="AC19">
        <v>0</v>
      </c>
      <c r="AD19">
        <v>0</v>
      </c>
      <c r="AE19">
        <v>0</v>
      </c>
      <c r="AF19">
        <v>0</v>
      </c>
      <c r="AG19">
        <v>0</v>
      </c>
      <c r="AH19">
        <v>0</v>
      </c>
      <c r="AI19">
        <v>245</v>
      </c>
      <c r="AJ19">
        <v>0</v>
      </c>
      <c r="AK19">
        <v>0</v>
      </c>
      <c r="AL19">
        <v>0</v>
      </c>
      <c r="AM19">
        <v>0</v>
      </c>
      <c r="AN19">
        <v>0</v>
      </c>
      <c r="AO19">
        <v>0</v>
      </c>
      <c r="AP19">
        <v>0</v>
      </c>
      <c r="AQ19">
        <v>0</v>
      </c>
      <c r="AR19">
        <v>0</v>
      </c>
      <c r="AS19">
        <v>0</v>
      </c>
      <c r="AT19">
        <v>0</v>
      </c>
      <c r="AU19">
        <v>0</v>
      </c>
      <c r="AV19">
        <v>0</v>
      </c>
      <c r="AW19">
        <v>0</v>
      </c>
      <c r="AX19">
        <v>0</v>
      </c>
      <c r="AY19">
        <v>0</v>
      </c>
      <c r="AZ19">
        <v>0</v>
      </c>
      <c r="BA19">
        <v>0</v>
      </c>
      <c r="BB19">
        <v>0</v>
      </c>
      <c r="BC19">
        <v>0</v>
      </c>
      <c r="BD19">
        <v>0</v>
      </c>
      <c r="BE19">
        <v>0</v>
      </c>
      <c r="BF19">
        <v>0</v>
      </c>
      <c r="BG19">
        <v>0</v>
      </c>
      <c r="BH19">
        <v>0</v>
      </c>
      <c r="BI19">
        <v>0</v>
      </c>
      <c r="BJ19">
        <v>0</v>
      </c>
      <c r="BK19">
        <v>0</v>
      </c>
      <c r="BL19">
        <v>0</v>
      </c>
      <c r="BM19">
        <v>0</v>
      </c>
      <c r="BN19">
        <v>0</v>
      </c>
      <c r="BO19">
        <v>0</v>
      </c>
      <c r="BP19">
        <v>0</v>
      </c>
      <c r="BQ19">
        <v>0</v>
      </c>
      <c r="BR19">
        <v>0</v>
      </c>
      <c r="BS19">
        <v>0</v>
      </c>
      <c r="BT19">
        <v>0</v>
      </c>
      <c r="BU19">
        <v>0</v>
      </c>
      <c r="BV19">
        <v>0</v>
      </c>
      <c r="BW19">
        <v>0</v>
      </c>
      <c r="BX19">
        <v>0</v>
      </c>
      <c r="BY19">
        <v>0</v>
      </c>
      <c r="BZ19">
        <v>0</v>
      </c>
      <c r="CA19">
        <v>0</v>
      </c>
      <c r="CB19">
        <v>0</v>
      </c>
      <c r="CC19">
        <v>0</v>
      </c>
      <c r="CD19">
        <v>0</v>
      </c>
      <c r="CE19">
        <v>0</v>
      </c>
      <c r="CF19">
        <v>0</v>
      </c>
      <c r="CG19">
        <v>0</v>
      </c>
      <c r="CH19">
        <v>0</v>
      </c>
      <c r="CI19">
        <v>0</v>
      </c>
      <c r="CJ19">
        <v>0</v>
      </c>
      <c r="CK19">
        <v>0</v>
      </c>
      <c r="CL19">
        <v>0</v>
      </c>
      <c r="CM19">
        <v>0</v>
      </c>
      <c r="CN19">
        <v>0</v>
      </c>
      <c r="CO19">
        <v>0</v>
      </c>
      <c r="CP19">
        <v>0</v>
      </c>
      <c r="CQ19">
        <v>0</v>
      </c>
      <c r="CR19">
        <v>0</v>
      </c>
      <c r="CS19">
        <v>0</v>
      </c>
      <c r="CT19">
        <v>0</v>
      </c>
      <c r="CU19">
        <v>0</v>
      </c>
      <c r="CV19">
        <v>223</v>
      </c>
      <c r="CW19">
        <v>0</v>
      </c>
      <c r="CX19">
        <v>0</v>
      </c>
      <c r="CY19">
        <v>0</v>
      </c>
      <c r="CZ19">
        <v>0</v>
      </c>
      <c r="DA19">
        <v>0</v>
      </c>
      <c r="DB19">
        <v>0</v>
      </c>
      <c r="DC19">
        <v>1599</v>
      </c>
      <c r="DD19">
        <v>0</v>
      </c>
      <c r="DE19">
        <v>0</v>
      </c>
      <c r="DF19">
        <v>-44</v>
      </c>
      <c r="DG19">
        <v>0</v>
      </c>
      <c r="DH19">
        <v>0</v>
      </c>
      <c r="DI19">
        <v>24</v>
      </c>
      <c r="DJ19">
        <v>2</v>
      </c>
      <c r="DK19">
        <v>0</v>
      </c>
      <c r="DL19">
        <v>0</v>
      </c>
      <c r="DM19">
        <v>876</v>
      </c>
      <c r="DN19">
        <v>0</v>
      </c>
      <c r="DO19">
        <v>0</v>
      </c>
      <c r="DP19">
        <v>902</v>
      </c>
      <c r="DQ19">
        <v>0</v>
      </c>
      <c r="DR19">
        <v>0</v>
      </c>
      <c r="DS19">
        <v>0</v>
      </c>
      <c r="DT19">
        <v>104</v>
      </c>
      <c r="DU19">
        <v>0</v>
      </c>
      <c r="DV19">
        <v>688</v>
      </c>
      <c r="DW19">
        <v>0</v>
      </c>
      <c r="DX19">
        <v>3249</v>
      </c>
      <c r="DY19">
        <v>49346</v>
      </c>
      <c r="DZ19">
        <v>18</v>
      </c>
      <c r="EA19">
        <v>4226</v>
      </c>
      <c r="EB19">
        <v>511</v>
      </c>
      <c r="EC19">
        <v>0</v>
      </c>
      <c r="ED19">
        <v>0</v>
      </c>
      <c r="EE19">
        <v>0</v>
      </c>
      <c r="EF19">
        <v>0</v>
      </c>
      <c r="EG19">
        <v>12</v>
      </c>
      <c r="EH19">
        <v>12186</v>
      </c>
      <c r="EI19">
        <v>17009</v>
      </c>
      <c r="EJ19">
        <v>0</v>
      </c>
      <c r="EK19">
        <v>218</v>
      </c>
      <c r="EL19">
        <v>8380</v>
      </c>
      <c r="EM19">
        <v>57</v>
      </c>
      <c r="EN19">
        <v>11409</v>
      </c>
      <c r="EO19">
        <v>54</v>
      </c>
      <c r="EP19">
        <v>326</v>
      </c>
      <c r="EQ19">
        <v>18199</v>
      </c>
      <c r="ER19">
        <v>248</v>
      </c>
      <c r="ES19">
        <v>24517</v>
      </c>
      <c r="ET19">
        <v>10544</v>
      </c>
      <c r="EU19">
        <v>0</v>
      </c>
      <c r="EV19">
        <v>0</v>
      </c>
      <c r="EW19">
        <v>0</v>
      </c>
      <c r="EX19">
        <v>0</v>
      </c>
      <c r="EY19">
        <v>134</v>
      </c>
      <c r="EZ19">
        <v>590</v>
      </c>
      <c r="FA19">
        <v>0</v>
      </c>
      <c r="FB19">
        <v>59</v>
      </c>
      <c r="FC19">
        <v>2040</v>
      </c>
      <c r="FD19">
        <v>4069</v>
      </c>
      <c r="FE19">
        <v>6</v>
      </c>
      <c r="FF19">
        <v>0</v>
      </c>
      <c r="FG19">
        <v>0</v>
      </c>
      <c r="FH19">
        <v>6898</v>
      </c>
      <c r="FI19">
        <v>35</v>
      </c>
      <c r="FJ19">
        <v>0</v>
      </c>
      <c r="FK19">
        <v>0</v>
      </c>
      <c r="FL19">
        <v>146</v>
      </c>
      <c r="FM19">
        <v>541</v>
      </c>
      <c r="FN19">
        <v>46</v>
      </c>
      <c r="FO19">
        <v>232</v>
      </c>
      <c r="FP19">
        <v>0</v>
      </c>
      <c r="FQ19">
        <v>0</v>
      </c>
      <c r="FR19">
        <v>0</v>
      </c>
      <c r="FS19">
        <v>19</v>
      </c>
      <c r="FT19">
        <v>182</v>
      </c>
      <c r="FU19">
        <v>385</v>
      </c>
      <c r="FV19">
        <v>413</v>
      </c>
      <c r="FW19">
        <v>0</v>
      </c>
      <c r="FX19">
        <v>122</v>
      </c>
      <c r="FY19">
        <v>0</v>
      </c>
      <c r="FZ19">
        <v>0</v>
      </c>
      <c r="GA19">
        <v>0</v>
      </c>
      <c r="GB19">
        <v>0</v>
      </c>
      <c r="GC19">
        <v>0</v>
      </c>
      <c r="GD19">
        <v>3059</v>
      </c>
      <c r="GE19">
        <v>3543</v>
      </c>
      <c r="GF19">
        <v>0</v>
      </c>
      <c r="GG19">
        <v>-248</v>
      </c>
      <c r="GH19">
        <v>753</v>
      </c>
      <c r="GI19">
        <v>0</v>
      </c>
      <c r="GJ19">
        <v>0</v>
      </c>
      <c r="GK19">
        <v>9228</v>
      </c>
      <c r="GL19">
        <v>213</v>
      </c>
      <c r="GM19">
        <v>1832</v>
      </c>
      <c r="GN19">
        <v>0</v>
      </c>
      <c r="GO19">
        <v>366</v>
      </c>
      <c r="GP19">
        <v>0</v>
      </c>
      <c r="GQ19">
        <v>567</v>
      </c>
      <c r="GR19">
        <v>0</v>
      </c>
      <c r="GS19">
        <v>1210</v>
      </c>
      <c r="GT19">
        <v>221</v>
      </c>
      <c r="GU19">
        <v>4409</v>
      </c>
      <c r="GV19">
        <v>20535</v>
      </c>
      <c r="GW19">
        <v>0</v>
      </c>
      <c r="GX19">
        <v>0</v>
      </c>
      <c r="GY19">
        <v>0</v>
      </c>
      <c r="GZ19">
        <v>0</v>
      </c>
      <c r="HA19">
        <v>0</v>
      </c>
      <c r="HB19">
        <v>2391</v>
      </c>
      <c r="HC19">
        <v>910</v>
      </c>
      <c r="HD19">
        <v>0</v>
      </c>
      <c r="HE19">
        <v>0</v>
      </c>
      <c r="HF19">
        <v>305</v>
      </c>
      <c r="HG19">
        <v>46</v>
      </c>
      <c r="HH19">
        <v>0</v>
      </c>
      <c r="HI19">
        <v>0</v>
      </c>
      <c r="HJ19">
        <v>334</v>
      </c>
      <c r="HK19">
        <v>96</v>
      </c>
      <c r="HL19">
        <v>0</v>
      </c>
      <c r="HM19">
        <v>-285</v>
      </c>
      <c r="HN19">
        <v>0</v>
      </c>
      <c r="HO19">
        <v>384</v>
      </c>
      <c r="HP19">
        <v>0</v>
      </c>
      <c r="HQ19">
        <v>0</v>
      </c>
      <c r="HR19">
        <v>0</v>
      </c>
      <c r="HS19">
        <v>0</v>
      </c>
      <c r="HT19">
        <v>0</v>
      </c>
      <c r="HU19">
        <v>0</v>
      </c>
      <c r="HV19">
        <v>4181</v>
      </c>
      <c r="HW19">
        <v>0</v>
      </c>
      <c r="HX19">
        <v>14839</v>
      </c>
      <c r="HY19">
        <v>0</v>
      </c>
      <c r="HZ19">
        <v>0</v>
      </c>
      <c r="IA19">
        <v>0</v>
      </c>
      <c r="IB19">
        <v>0</v>
      </c>
      <c r="IC19">
        <v>0</v>
      </c>
      <c r="ID19">
        <v>245</v>
      </c>
      <c r="IE19">
        <v>0</v>
      </c>
      <c r="IF19">
        <v>0</v>
      </c>
      <c r="IG19">
        <v>223</v>
      </c>
      <c r="IH19">
        <v>3249</v>
      </c>
      <c r="II19">
        <v>6898</v>
      </c>
      <c r="IJ19">
        <v>9228</v>
      </c>
      <c r="IK19">
        <v>4409</v>
      </c>
      <c r="IL19">
        <v>0</v>
      </c>
      <c r="IM19">
        <v>0</v>
      </c>
      <c r="IN19">
        <v>4181</v>
      </c>
      <c r="IO19">
        <v>0</v>
      </c>
      <c r="IP19">
        <v>28433</v>
      </c>
      <c r="IQ19">
        <v>19713</v>
      </c>
      <c r="IR19">
        <v>2506</v>
      </c>
      <c r="IS19">
        <v>16795</v>
      </c>
      <c r="IT19">
        <v>0</v>
      </c>
      <c r="IU19">
        <v>379</v>
      </c>
      <c r="IV19">
        <v>477</v>
      </c>
      <c r="IW19">
        <v>0</v>
      </c>
      <c r="IX19">
        <v>0</v>
      </c>
      <c r="IY19">
        <v>0</v>
      </c>
      <c r="IZ19">
        <v>0</v>
      </c>
      <c r="JA19">
        <v>16514</v>
      </c>
      <c r="JB19">
        <v>0</v>
      </c>
      <c r="JC19">
        <v>-20297</v>
      </c>
      <c r="JD19">
        <v>0</v>
      </c>
      <c r="JE19">
        <v>-32</v>
      </c>
      <c r="JF19">
        <v>0</v>
      </c>
      <c r="JG19">
        <v>64488</v>
      </c>
      <c r="JH19">
        <v>0</v>
      </c>
      <c r="JI19">
        <v>54</v>
      </c>
      <c r="JJ19">
        <v>0</v>
      </c>
      <c r="JK19">
        <v>0</v>
      </c>
      <c r="JL19">
        <v>0</v>
      </c>
      <c r="JM19">
        <v>0</v>
      </c>
      <c r="JN19">
        <v>4259</v>
      </c>
      <c r="JO19">
        <v>3637</v>
      </c>
      <c r="JP19">
        <v>10669</v>
      </c>
      <c r="JQ19">
        <v>-8380</v>
      </c>
      <c r="JR19">
        <v>74727</v>
      </c>
      <c r="JS19">
        <v>-13309</v>
      </c>
      <c r="JT19">
        <v>0</v>
      </c>
      <c r="JU19">
        <v>25</v>
      </c>
      <c r="JV19">
        <v>0</v>
      </c>
      <c r="JW19">
        <v>-38116</v>
      </c>
      <c r="JX19">
        <v>0</v>
      </c>
      <c r="JY19">
        <v>0</v>
      </c>
      <c r="JZ19">
        <v>87</v>
      </c>
      <c r="KA19">
        <v>-87</v>
      </c>
      <c r="KB19">
        <v>0</v>
      </c>
      <c r="KC19">
        <v>23327</v>
      </c>
      <c r="KD19">
        <v>0</v>
      </c>
      <c r="KE19">
        <v>-3512</v>
      </c>
      <c r="KF19">
        <v>19815</v>
      </c>
      <c r="KG19">
        <v>0</v>
      </c>
      <c r="KH19">
        <v>0</v>
      </c>
      <c r="KI19">
        <v>0</v>
      </c>
      <c r="KJ19">
        <v>0</v>
      </c>
      <c r="KK19">
        <v>-3898</v>
      </c>
      <c r="KL19">
        <v>3165</v>
      </c>
      <c r="KM19">
        <v>0</v>
      </c>
      <c r="KN19">
        <v>0</v>
      </c>
      <c r="KO19">
        <v>-6657</v>
      </c>
      <c r="KP19">
        <v>307</v>
      </c>
      <c r="KQ19">
        <v>0</v>
      </c>
      <c r="KR19">
        <v>17446</v>
      </c>
      <c r="KS19">
        <v>0</v>
      </c>
      <c r="KT19">
        <v>0</v>
      </c>
      <c r="KU19">
        <v>0</v>
      </c>
      <c r="KV19">
        <v>53728</v>
      </c>
      <c r="KW19">
        <v>9932</v>
      </c>
      <c r="KX19">
        <v>0</v>
      </c>
      <c r="KY19">
        <v>0</v>
      </c>
      <c r="KZ19">
        <v>0</v>
      </c>
      <c r="LA19">
        <v>49830</v>
      </c>
      <c r="LB19">
        <v>13097</v>
      </c>
      <c r="LC19">
        <v>0</v>
      </c>
      <c r="LD19">
        <v>5630</v>
      </c>
      <c r="LE19">
        <v>21452</v>
      </c>
      <c r="LF19">
        <v>-1680</v>
      </c>
      <c r="LG19">
        <v>-2966</v>
      </c>
      <c r="LH19">
        <v>1662</v>
      </c>
      <c r="LI19">
        <v>11863</v>
      </c>
      <c r="LJ19">
        <v>5408</v>
      </c>
      <c r="LK19">
        <v>7473</v>
      </c>
      <c r="LL19">
        <v>12881</v>
      </c>
      <c r="LM19">
        <v>0</v>
      </c>
      <c r="LN19">
        <v>0</v>
      </c>
      <c r="LO19">
        <v>0</v>
      </c>
      <c r="LP19">
        <v>54113</v>
      </c>
      <c r="LQ19">
        <v>68086</v>
      </c>
      <c r="LR19">
        <v>-13973</v>
      </c>
      <c r="LS19">
        <v>24517</v>
      </c>
      <c r="LT19">
        <v>10544</v>
      </c>
      <c r="LU19">
        <v>0</v>
      </c>
      <c r="LV19">
        <v>245</v>
      </c>
      <c r="LW19">
        <v>0</v>
      </c>
      <c r="LX19">
        <v>0</v>
      </c>
      <c r="LY19">
        <v>223</v>
      </c>
      <c r="LZ19">
        <v>3249</v>
      </c>
      <c r="MA19">
        <v>6898</v>
      </c>
      <c r="MB19">
        <v>9228</v>
      </c>
      <c r="MC19">
        <v>4409</v>
      </c>
      <c r="MD19">
        <v>0</v>
      </c>
      <c r="ME19">
        <v>0</v>
      </c>
      <c r="MF19">
        <v>4181</v>
      </c>
      <c r="MG19">
        <v>0</v>
      </c>
      <c r="MH19">
        <v>28433</v>
      </c>
      <c r="MI19">
        <v>0</v>
      </c>
      <c r="MJ19">
        <v>0</v>
      </c>
      <c r="MK19">
        <v>0</v>
      </c>
      <c r="ML19">
        <v>0</v>
      </c>
      <c r="MM19">
        <v>0</v>
      </c>
      <c r="MN19">
        <v>0</v>
      </c>
      <c r="MO19">
        <v>0</v>
      </c>
      <c r="MP19">
        <v>0</v>
      </c>
      <c r="MQ19">
        <v>0</v>
      </c>
      <c r="MR19">
        <v>0</v>
      </c>
      <c r="MS19">
        <v>0</v>
      </c>
      <c r="MT19">
        <v>0</v>
      </c>
      <c r="MU19">
        <v>0</v>
      </c>
      <c r="MV19">
        <v>0</v>
      </c>
      <c r="MW19">
        <v>0</v>
      </c>
      <c r="MX19">
        <v>-3783</v>
      </c>
      <c r="MY19">
        <v>0</v>
      </c>
      <c r="MZ19">
        <v>0</v>
      </c>
      <c r="NA19">
        <v>-3783</v>
      </c>
      <c r="NB19">
        <v>20297</v>
      </c>
      <c r="NC19">
        <v>16514</v>
      </c>
      <c r="ND19">
        <v>0</v>
      </c>
      <c r="NE19">
        <v>0</v>
      </c>
      <c r="NF19">
        <v>0</v>
      </c>
      <c r="NG19">
        <v>0</v>
      </c>
      <c r="NH19">
        <v>0</v>
      </c>
      <c r="NI19">
        <v>0</v>
      </c>
      <c r="NJ19">
        <v>0</v>
      </c>
      <c r="NK19">
        <v>0</v>
      </c>
      <c r="NL19">
        <v>0</v>
      </c>
      <c r="NM19">
        <v>0</v>
      </c>
      <c r="NN19">
        <v>0</v>
      </c>
      <c r="NO19">
        <v>0</v>
      </c>
      <c r="NP19">
        <v>0</v>
      </c>
      <c r="NQ19">
        <v>0</v>
      </c>
      <c r="NR19">
        <v>0</v>
      </c>
      <c r="NS19">
        <v>0</v>
      </c>
      <c r="NT19">
        <v>0</v>
      </c>
      <c r="NU19">
        <v>0</v>
      </c>
      <c r="NV19">
        <v>0</v>
      </c>
      <c r="NW19">
        <v>0</v>
      </c>
      <c r="NX19">
        <v>0</v>
      </c>
      <c r="NY19">
        <v>0</v>
      </c>
      <c r="NZ19">
        <v>0</v>
      </c>
      <c r="OA19">
        <v>0</v>
      </c>
      <c r="OB19">
        <v>0</v>
      </c>
      <c r="OC19">
        <v>1095</v>
      </c>
      <c r="OD19">
        <v>18749</v>
      </c>
      <c r="OE19">
        <v>453</v>
      </c>
      <c r="OF19">
        <v>0</v>
      </c>
      <c r="OG19">
        <v>0</v>
      </c>
      <c r="OH19">
        <v>20297</v>
      </c>
      <c r="OI19">
        <v>0</v>
      </c>
      <c r="OJ19">
        <v>0</v>
      </c>
      <c r="OK19">
        <v>0</v>
      </c>
      <c r="OL19">
        <v>0</v>
      </c>
      <c r="OM19">
        <v>0</v>
      </c>
      <c r="ON19">
        <v>0</v>
      </c>
    </row>
    <row r="20" spans="1:404" hidden="1" x14ac:dyDescent="0.25">
      <c r="A20" t="s">
        <v>120</v>
      </c>
      <c r="B20" t="s">
        <v>121</v>
      </c>
      <c r="C20" t="s">
        <v>119</v>
      </c>
      <c r="E20" t="s">
        <v>61</v>
      </c>
      <c r="F20">
        <v>0</v>
      </c>
      <c r="G20">
        <v>0</v>
      </c>
      <c r="H20">
        <v>0</v>
      </c>
      <c r="I20">
        <v>0</v>
      </c>
      <c r="J20">
        <v>0</v>
      </c>
      <c r="K20">
        <v>0</v>
      </c>
      <c r="L20">
        <v>0</v>
      </c>
      <c r="M20">
        <v>-186</v>
      </c>
      <c r="N20">
        <v>265</v>
      </c>
      <c r="O20">
        <v>0</v>
      </c>
      <c r="P20">
        <v>0</v>
      </c>
      <c r="Q20">
        <v>0</v>
      </c>
      <c r="R20">
        <v>0</v>
      </c>
      <c r="S20">
        <v>657</v>
      </c>
      <c r="T20">
        <v>0</v>
      </c>
      <c r="U20">
        <v>0</v>
      </c>
      <c r="V20">
        <v>0</v>
      </c>
      <c r="W20">
        <v>0</v>
      </c>
      <c r="X20">
        <v>0</v>
      </c>
      <c r="Y20">
        <v>10</v>
      </c>
      <c r="Z20">
        <v>-77</v>
      </c>
      <c r="AA20">
        <v>-710</v>
      </c>
      <c r="AB20">
        <v>0</v>
      </c>
      <c r="AC20">
        <v>0</v>
      </c>
      <c r="AD20">
        <v>493</v>
      </c>
      <c r="AE20">
        <v>0</v>
      </c>
      <c r="AF20">
        <v>0</v>
      </c>
      <c r="AG20">
        <v>43</v>
      </c>
      <c r="AH20">
        <v>0</v>
      </c>
      <c r="AI20">
        <v>495</v>
      </c>
      <c r="AJ20">
        <v>0</v>
      </c>
      <c r="AK20">
        <v>0</v>
      </c>
      <c r="AL20">
        <v>0</v>
      </c>
      <c r="AM20">
        <v>0</v>
      </c>
      <c r="AN20">
        <v>0</v>
      </c>
      <c r="AO20">
        <v>0</v>
      </c>
      <c r="AP20">
        <v>0</v>
      </c>
      <c r="AQ20">
        <v>231</v>
      </c>
      <c r="AR20">
        <v>98</v>
      </c>
      <c r="AS20">
        <v>0</v>
      </c>
      <c r="AT20">
        <v>0</v>
      </c>
      <c r="AU20">
        <v>0</v>
      </c>
      <c r="AV20">
        <v>0</v>
      </c>
      <c r="AW20">
        <v>0</v>
      </c>
      <c r="AX20">
        <v>0</v>
      </c>
      <c r="AY20">
        <v>0</v>
      </c>
      <c r="AZ20">
        <v>0</v>
      </c>
      <c r="BA20">
        <v>0</v>
      </c>
      <c r="BB20">
        <v>0</v>
      </c>
      <c r="BC20">
        <v>0</v>
      </c>
      <c r="BD20">
        <v>0</v>
      </c>
      <c r="BE20">
        <v>0</v>
      </c>
      <c r="BF20">
        <v>0</v>
      </c>
      <c r="BG20">
        <v>0</v>
      </c>
      <c r="BH20">
        <v>0</v>
      </c>
      <c r="BI20">
        <v>0</v>
      </c>
      <c r="BJ20">
        <v>0</v>
      </c>
      <c r="BK20">
        <v>0</v>
      </c>
      <c r="BL20">
        <v>0</v>
      </c>
      <c r="BM20">
        <v>0</v>
      </c>
      <c r="BN20">
        <v>0</v>
      </c>
      <c r="BO20">
        <v>0</v>
      </c>
      <c r="BP20">
        <v>0</v>
      </c>
      <c r="BQ20">
        <v>0</v>
      </c>
      <c r="BR20">
        <v>0</v>
      </c>
      <c r="BS20">
        <v>0</v>
      </c>
      <c r="BT20">
        <v>0</v>
      </c>
      <c r="BU20">
        <v>0</v>
      </c>
      <c r="BV20">
        <v>0</v>
      </c>
      <c r="BW20">
        <v>0</v>
      </c>
      <c r="BX20">
        <v>0</v>
      </c>
      <c r="BY20">
        <v>0</v>
      </c>
      <c r="BZ20">
        <v>0</v>
      </c>
      <c r="CA20">
        <v>0</v>
      </c>
      <c r="CB20">
        <v>0</v>
      </c>
      <c r="CC20">
        <v>0</v>
      </c>
      <c r="CD20">
        <v>0</v>
      </c>
      <c r="CE20">
        <v>0</v>
      </c>
      <c r="CF20">
        <v>0</v>
      </c>
      <c r="CG20">
        <v>0</v>
      </c>
      <c r="CH20">
        <v>0</v>
      </c>
      <c r="CI20">
        <v>0</v>
      </c>
      <c r="CJ20">
        <v>0</v>
      </c>
      <c r="CK20">
        <v>0</v>
      </c>
      <c r="CL20">
        <v>0</v>
      </c>
      <c r="CM20">
        <v>0</v>
      </c>
      <c r="CN20">
        <v>0</v>
      </c>
      <c r="CO20">
        <v>0</v>
      </c>
      <c r="CP20">
        <v>0</v>
      </c>
      <c r="CQ20">
        <v>0</v>
      </c>
      <c r="CR20">
        <v>0</v>
      </c>
      <c r="CS20">
        <v>0</v>
      </c>
      <c r="CT20">
        <v>0</v>
      </c>
      <c r="CU20">
        <v>0</v>
      </c>
      <c r="CV20">
        <v>0</v>
      </c>
      <c r="CW20">
        <v>0</v>
      </c>
      <c r="CX20">
        <v>0</v>
      </c>
      <c r="CY20">
        <v>0</v>
      </c>
      <c r="CZ20">
        <v>0</v>
      </c>
      <c r="DA20">
        <v>0</v>
      </c>
      <c r="DB20">
        <v>0</v>
      </c>
      <c r="DC20">
        <v>560</v>
      </c>
      <c r="DD20">
        <v>0</v>
      </c>
      <c r="DE20">
        <v>173</v>
      </c>
      <c r="DF20">
        <v>0</v>
      </c>
      <c r="DG20">
        <v>0</v>
      </c>
      <c r="DH20">
        <v>0</v>
      </c>
      <c r="DI20">
        <v>134</v>
      </c>
      <c r="DJ20">
        <v>19</v>
      </c>
      <c r="DK20">
        <v>8</v>
      </c>
      <c r="DL20">
        <v>117</v>
      </c>
      <c r="DM20">
        <v>1</v>
      </c>
      <c r="DN20">
        <v>1504</v>
      </c>
      <c r="DO20">
        <v>508</v>
      </c>
      <c r="DP20">
        <v>2291</v>
      </c>
      <c r="DQ20">
        <v>0</v>
      </c>
      <c r="DR20">
        <v>0</v>
      </c>
      <c r="DS20">
        <v>0</v>
      </c>
      <c r="DT20">
        <v>1372</v>
      </c>
      <c r="DU20">
        <v>-30</v>
      </c>
      <c r="DV20">
        <v>0</v>
      </c>
      <c r="DW20">
        <v>0</v>
      </c>
      <c r="DX20">
        <v>4366</v>
      </c>
      <c r="DY20">
        <v>0</v>
      </c>
      <c r="DZ20">
        <v>0</v>
      </c>
      <c r="EA20">
        <v>0</v>
      </c>
      <c r="EB20">
        <v>0</v>
      </c>
      <c r="EC20">
        <v>0</v>
      </c>
      <c r="ED20">
        <v>0</v>
      </c>
      <c r="EE20">
        <v>0</v>
      </c>
      <c r="EF20">
        <v>0</v>
      </c>
      <c r="EG20">
        <v>0</v>
      </c>
      <c r="EH20">
        <v>0</v>
      </c>
      <c r="EI20">
        <v>0</v>
      </c>
      <c r="EJ20">
        <v>0</v>
      </c>
      <c r="EK20">
        <v>0</v>
      </c>
      <c r="EL20">
        <v>0</v>
      </c>
      <c r="EM20">
        <v>0</v>
      </c>
      <c r="EN20">
        <v>0</v>
      </c>
      <c r="EO20">
        <v>0</v>
      </c>
      <c r="EP20">
        <v>0</v>
      </c>
      <c r="EQ20">
        <v>0</v>
      </c>
      <c r="ER20">
        <v>0</v>
      </c>
      <c r="ES20">
        <v>0</v>
      </c>
      <c r="ET20">
        <v>0</v>
      </c>
      <c r="EU20">
        <v>0</v>
      </c>
      <c r="EV20">
        <v>740</v>
      </c>
      <c r="EW20">
        <v>0</v>
      </c>
      <c r="EX20">
        <v>28</v>
      </c>
      <c r="EY20">
        <v>350</v>
      </c>
      <c r="EZ20">
        <v>799</v>
      </c>
      <c r="FA20">
        <v>0</v>
      </c>
      <c r="FB20">
        <v>396</v>
      </c>
      <c r="FC20">
        <v>559</v>
      </c>
      <c r="FD20">
        <v>5398</v>
      </c>
      <c r="FE20">
        <v>189</v>
      </c>
      <c r="FF20">
        <v>33</v>
      </c>
      <c r="FG20">
        <v>0</v>
      </c>
      <c r="FH20">
        <v>8492</v>
      </c>
      <c r="FI20">
        <v>238</v>
      </c>
      <c r="FJ20">
        <v>0</v>
      </c>
      <c r="FK20">
        <v>0</v>
      </c>
      <c r="FL20">
        <v>346</v>
      </c>
      <c r="FM20">
        <v>442</v>
      </c>
      <c r="FN20">
        <v>171</v>
      </c>
      <c r="FO20">
        <v>0</v>
      </c>
      <c r="FP20">
        <v>0</v>
      </c>
      <c r="FQ20">
        <v>0</v>
      </c>
      <c r="FR20">
        <v>76</v>
      </c>
      <c r="FS20">
        <v>115</v>
      </c>
      <c r="FT20">
        <v>333</v>
      </c>
      <c r="FU20">
        <v>415</v>
      </c>
      <c r="FV20">
        <v>-1</v>
      </c>
      <c r="FW20">
        <v>844</v>
      </c>
      <c r="FX20">
        <v>66</v>
      </c>
      <c r="FY20">
        <v>75</v>
      </c>
      <c r="FZ20">
        <v>0</v>
      </c>
      <c r="GA20">
        <v>0</v>
      </c>
      <c r="GB20">
        <v>0</v>
      </c>
      <c r="GC20">
        <v>0</v>
      </c>
      <c r="GD20">
        <v>2967</v>
      </c>
      <c r="GE20">
        <v>3277</v>
      </c>
      <c r="GF20">
        <v>0</v>
      </c>
      <c r="GG20">
        <v>0</v>
      </c>
      <c r="GH20">
        <v>1921</v>
      </c>
      <c r="GI20">
        <v>0</v>
      </c>
      <c r="GJ20">
        <v>174</v>
      </c>
      <c r="GK20">
        <v>11459</v>
      </c>
      <c r="GL20">
        <v>332</v>
      </c>
      <c r="GM20">
        <v>2100</v>
      </c>
      <c r="GN20">
        <v>55</v>
      </c>
      <c r="GO20">
        <v>1535</v>
      </c>
      <c r="GP20">
        <v>135</v>
      </c>
      <c r="GQ20">
        <v>72</v>
      </c>
      <c r="GR20">
        <v>0</v>
      </c>
      <c r="GS20">
        <v>924</v>
      </c>
      <c r="GT20">
        <v>757</v>
      </c>
      <c r="GU20">
        <v>5910</v>
      </c>
      <c r="GV20">
        <v>25861</v>
      </c>
      <c r="GW20">
        <v>0</v>
      </c>
      <c r="GX20">
        <v>0</v>
      </c>
      <c r="GY20">
        <v>0</v>
      </c>
      <c r="GZ20">
        <v>0</v>
      </c>
      <c r="HA20">
        <v>0</v>
      </c>
      <c r="HB20">
        <v>4318</v>
      </c>
      <c r="HC20">
        <v>1343</v>
      </c>
      <c r="HD20">
        <v>0</v>
      </c>
      <c r="HE20">
        <v>0</v>
      </c>
      <c r="HF20">
        <v>337</v>
      </c>
      <c r="HG20">
        <v>256</v>
      </c>
      <c r="HH20">
        <v>0</v>
      </c>
      <c r="HI20">
        <v>0</v>
      </c>
      <c r="HJ20">
        <v>364</v>
      </c>
      <c r="HK20">
        <v>357</v>
      </c>
      <c r="HL20">
        <v>3508</v>
      </c>
      <c r="HM20">
        <v>74</v>
      </c>
      <c r="HN20">
        <v>0</v>
      </c>
      <c r="HO20">
        <v>30</v>
      </c>
      <c r="HP20">
        <v>0</v>
      </c>
      <c r="HQ20">
        <v>0</v>
      </c>
      <c r="HR20">
        <v>375</v>
      </c>
      <c r="HS20">
        <v>0</v>
      </c>
      <c r="HT20">
        <v>0</v>
      </c>
      <c r="HU20">
        <v>-7084</v>
      </c>
      <c r="HV20">
        <v>3878</v>
      </c>
      <c r="HW20">
        <v>5792</v>
      </c>
      <c r="HX20">
        <v>37394</v>
      </c>
      <c r="HY20">
        <v>0</v>
      </c>
      <c r="HZ20">
        <v>4044</v>
      </c>
      <c r="IA20">
        <v>193</v>
      </c>
      <c r="IB20">
        <v>0</v>
      </c>
      <c r="IC20">
        <v>0</v>
      </c>
      <c r="ID20">
        <v>495</v>
      </c>
      <c r="IE20">
        <v>0</v>
      </c>
      <c r="IF20">
        <v>0</v>
      </c>
      <c r="IG20">
        <v>0</v>
      </c>
      <c r="IH20">
        <v>4366</v>
      </c>
      <c r="II20">
        <v>8492</v>
      </c>
      <c r="IJ20">
        <v>11459</v>
      </c>
      <c r="IK20">
        <v>5910</v>
      </c>
      <c r="IL20">
        <v>0</v>
      </c>
      <c r="IM20">
        <v>0</v>
      </c>
      <c r="IN20">
        <v>3878</v>
      </c>
      <c r="IO20">
        <v>0</v>
      </c>
      <c r="IP20">
        <v>34600</v>
      </c>
      <c r="IQ20">
        <v>29330</v>
      </c>
      <c r="IR20">
        <v>97</v>
      </c>
      <c r="IS20">
        <v>0</v>
      </c>
      <c r="IT20">
        <v>0</v>
      </c>
      <c r="IU20">
        <v>0</v>
      </c>
      <c r="IV20">
        <v>1548</v>
      </c>
      <c r="IW20">
        <v>0</v>
      </c>
      <c r="IX20">
        <v>0</v>
      </c>
      <c r="IY20">
        <v>0</v>
      </c>
      <c r="IZ20">
        <v>0</v>
      </c>
      <c r="JA20">
        <v>-12569</v>
      </c>
      <c r="JB20">
        <v>0</v>
      </c>
      <c r="JC20">
        <v>0</v>
      </c>
      <c r="JD20">
        <v>0</v>
      </c>
      <c r="JE20">
        <v>35</v>
      </c>
      <c r="JF20">
        <v>0</v>
      </c>
      <c r="JG20">
        <v>53041</v>
      </c>
      <c r="JH20">
        <v>0</v>
      </c>
      <c r="JI20">
        <v>6116</v>
      </c>
      <c r="JJ20">
        <v>0</v>
      </c>
      <c r="JK20">
        <v>0</v>
      </c>
      <c r="JL20">
        <v>0</v>
      </c>
      <c r="JM20">
        <v>-985</v>
      </c>
      <c r="JN20">
        <v>0</v>
      </c>
      <c r="JO20">
        <v>0</v>
      </c>
      <c r="JP20">
        <v>34</v>
      </c>
      <c r="JQ20">
        <v>0</v>
      </c>
      <c r="JR20">
        <v>58206</v>
      </c>
      <c r="JS20">
        <v>-1415</v>
      </c>
      <c r="JT20">
        <v>0</v>
      </c>
      <c r="JU20">
        <v>-487</v>
      </c>
      <c r="JV20">
        <v>0</v>
      </c>
      <c r="JW20">
        <v>-29817</v>
      </c>
      <c r="JX20">
        <v>0</v>
      </c>
      <c r="JY20">
        <v>-2594</v>
      </c>
      <c r="JZ20">
        <v>0</v>
      </c>
      <c r="KA20">
        <v>0</v>
      </c>
      <c r="KB20">
        <v>0</v>
      </c>
      <c r="KC20">
        <v>23893</v>
      </c>
      <c r="KD20">
        <v>0</v>
      </c>
      <c r="KE20">
        <v>-9000</v>
      </c>
      <c r="KF20">
        <v>14893</v>
      </c>
      <c r="KG20">
        <v>0</v>
      </c>
      <c r="KH20">
        <v>0</v>
      </c>
      <c r="KI20">
        <v>0</v>
      </c>
      <c r="KJ20">
        <v>0</v>
      </c>
      <c r="KK20">
        <v>-7396</v>
      </c>
      <c r="KL20">
        <v>0</v>
      </c>
      <c r="KM20">
        <v>0</v>
      </c>
      <c r="KN20">
        <v>0</v>
      </c>
      <c r="KO20">
        <v>2546</v>
      </c>
      <c r="KP20">
        <v>28</v>
      </c>
      <c r="KQ20">
        <v>1604</v>
      </c>
      <c r="KR20">
        <v>10304</v>
      </c>
      <c r="KS20">
        <v>0</v>
      </c>
      <c r="KT20">
        <v>0</v>
      </c>
      <c r="KU20">
        <v>0</v>
      </c>
      <c r="KV20">
        <v>52172</v>
      </c>
      <c r="KW20">
        <v>1500</v>
      </c>
      <c r="KX20">
        <v>0</v>
      </c>
      <c r="KY20">
        <v>0</v>
      </c>
      <c r="KZ20">
        <v>0</v>
      </c>
      <c r="LA20">
        <v>44776</v>
      </c>
      <c r="LB20">
        <v>1500</v>
      </c>
      <c r="LC20">
        <v>0</v>
      </c>
      <c r="LD20">
        <v>3459</v>
      </c>
      <c r="LE20">
        <v>1462</v>
      </c>
      <c r="LF20">
        <v>0</v>
      </c>
      <c r="LG20">
        <v>-3543</v>
      </c>
      <c r="LH20">
        <v>3925</v>
      </c>
      <c r="LI20">
        <v>5303</v>
      </c>
      <c r="LJ20">
        <v>2860</v>
      </c>
      <c r="LK20">
        <v>5820</v>
      </c>
      <c r="LL20">
        <v>8680</v>
      </c>
      <c r="LM20">
        <v>0</v>
      </c>
      <c r="LN20">
        <v>0</v>
      </c>
      <c r="LO20">
        <v>0</v>
      </c>
      <c r="LP20">
        <v>0</v>
      </c>
      <c r="LQ20">
        <v>0</v>
      </c>
      <c r="LR20">
        <v>0</v>
      </c>
      <c r="LS20">
        <v>0</v>
      </c>
      <c r="LT20">
        <v>0</v>
      </c>
      <c r="LU20">
        <v>0</v>
      </c>
      <c r="LV20">
        <v>495</v>
      </c>
      <c r="LW20">
        <v>0</v>
      </c>
      <c r="LX20">
        <v>0</v>
      </c>
      <c r="LY20">
        <v>0</v>
      </c>
      <c r="LZ20">
        <v>4366</v>
      </c>
      <c r="MA20">
        <v>8492</v>
      </c>
      <c r="MB20">
        <v>11459</v>
      </c>
      <c r="MC20">
        <v>5910</v>
      </c>
      <c r="MD20">
        <v>0</v>
      </c>
      <c r="ME20">
        <v>0</v>
      </c>
      <c r="MF20">
        <v>3878</v>
      </c>
      <c r="MG20">
        <v>0</v>
      </c>
      <c r="MH20">
        <v>34600</v>
      </c>
      <c r="MI20">
        <v>0</v>
      </c>
      <c r="MJ20">
        <v>0</v>
      </c>
      <c r="MK20">
        <v>0</v>
      </c>
      <c r="ML20">
        <v>0</v>
      </c>
      <c r="MM20">
        <v>0</v>
      </c>
      <c r="MN20">
        <v>0</v>
      </c>
      <c r="MO20">
        <v>0</v>
      </c>
      <c r="MP20">
        <v>0</v>
      </c>
      <c r="MQ20">
        <v>0</v>
      </c>
      <c r="MR20">
        <v>0</v>
      </c>
      <c r="MS20">
        <v>0</v>
      </c>
      <c r="MT20">
        <v>0</v>
      </c>
      <c r="MU20">
        <v>0</v>
      </c>
      <c r="MV20">
        <v>0</v>
      </c>
      <c r="MW20">
        <v>0</v>
      </c>
      <c r="MX20">
        <v>0</v>
      </c>
      <c r="MY20">
        <v>-12569</v>
      </c>
      <c r="MZ20">
        <v>0</v>
      </c>
      <c r="NA20">
        <v>-12569</v>
      </c>
      <c r="NB20">
        <v>0</v>
      </c>
      <c r="NC20">
        <v>-12569</v>
      </c>
      <c r="ND20">
        <v>0</v>
      </c>
      <c r="NE20">
        <v>0</v>
      </c>
      <c r="NF20">
        <v>0</v>
      </c>
      <c r="NG20">
        <v>0</v>
      </c>
      <c r="NH20">
        <v>0</v>
      </c>
      <c r="NI20">
        <v>0</v>
      </c>
      <c r="NJ20">
        <v>0</v>
      </c>
      <c r="NK20">
        <v>0</v>
      </c>
      <c r="NL20">
        <v>0</v>
      </c>
      <c r="NM20">
        <v>0</v>
      </c>
      <c r="NN20">
        <v>0</v>
      </c>
      <c r="NO20">
        <v>0</v>
      </c>
      <c r="NP20">
        <v>0</v>
      </c>
      <c r="NQ20">
        <v>0</v>
      </c>
      <c r="NR20">
        <v>0</v>
      </c>
      <c r="NS20">
        <v>0</v>
      </c>
      <c r="NT20">
        <v>0</v>
      </c>
      <c r="NU20">
        <v>0</v>
      </c>
      <c r="NV20">
        <v>0</v>
      </c>
      <c r="NW20">
        <v>0</v>
      </c>
      <c r="NX20">
        <v>0</v>
      </c>
      <c r="NY20">
        <v>0</v>
      </c>
      <c r="NZ20">
        <v>0</v>
      </c>
      <c r="OA20">
        <v>0</v>
      </c>
      <c r="OB20">
        <v>0</v>
      </c>
      <c r="OC20">
        <v>0</v>
      </c>
      <c r="OD20">
        <v>0</v>
      </c>
      <c r="OE20">
        <v>0</v>
      </c>
      <c r="OF20">
        <v>0</v>
      </c>
      <c r="OG20">
        <v>0</v>
      </c>
      <c r="OH20">
        <v>0</v>
      </c>
      <c r="OI20">
        <v>0</v>
      </c>
      <c r="OJ20">
        <v>0</v>
      </c>
      <c r="OK20">
        <v>0</v>
      </c>
      <c r="OL20">
        <v>0</v>
      </c>
      <c r="OM20">
        <v>0</v>
      </c>
      <c r="ON20">
        <v>0</v>
      </c>
    </row>
    <row r="21" spans="1:404" hidden="1" x14ac:dyDescent="0.25">
      <c r="A21" t="s">
        <v>123</v>
      </c>
      <c r="B21" t="s">
        <v>124</v>
      </c>
      <c r="C21" t="s">
        <v>122</v>
      </c>
      <c r="E21" t="s">
        <v>61</v>
      </c>
      <c r="F21">
        <v>0</v>
      </c>
      <c r="G21">
        <v>0</v>
      </c>
      <c r="H21">
        <v>0</v>
      </c>
      <c r="I21">
        <v>0</v>
      </c>
      <c r="J21">
        <v>0</v>
      </c>
      <c r="K21">
        <v>0</v>
      </c>
      <c r="L21">
        <v>0</v>
      </c>
      <c r="M21">
        <v>0</v>
      </c>
      <c r="N21">
        <v>0</v>
      </c>
      <c r="O21">
        <v>0</v>
      </c>
      <c r="P21">
        <v>0</v>
      </c>
      <c r="Q21">
        <v>0</v>
      </c>
      <c r="R21">
        <v>0</v>
      </c>
      <c r="S21">
        <v>0</v>
      </c>
      <c r="T21">
        <v>0</v>
      </c>
      <c r="U21">
        <v>52</v>
      </c>
      <c r="V21">
        <v>0</v>
      </c>
      <c r="W21">
        <v>0</v>
      </c>
      <c r="X21">
        <v>0</v>
      </c>
      <c r="Y21">
        <v>0</v>
      </c>
      <c r="Z21">
        <v>0</v>
      </c>
      <c r="AA21">
        <v>-189</v>
      </c>
      <c r="AB21">
        <v>0</v>
      </c>
      <c r="AC21">
        <v>0</v>
      </c>
      <c r="AD21">
        <v>0</v>
      </c>
      <c r="AE21">
        <v>0</v>
      </c>
      <c r="AF21">
        <v>0</v>
      </c>
      <c r="AG21">
        <v>0</v>
      </c>
      <c r="AH21">
        <v>0</v>
      </c>
      <c r="AI21">
        <v>-137</v>
      </c>
      <c r="AJ21">
        <v>0</v>
      </c>
      <c r="AK21">
        <v>0</v>
      </c>
      <c r="AL21">
        <v>0</v>
      </c>
      <c r="AM21">
        <v>0</v>
      </c>
      <c r="AN21">
        <v>0</v>
      </c>
      <c r="AO21">
        <v>0</v>
      </c>
      <c r="AP21">
        <v>0</v>
      </c>
      <c r="AQ21">
        <v>0</v>
      </c>
      <c r="AR21">
        <v>0</v>
      </c>
      <c r="AS21">
        <v>0</v>
      </c>
      <c r="AT21">
        <v>0</v>
      </c>
      <c r="AU21">
        <v>0</v>
      </c>
      <c r="AV21">
        <v>0</v>
      </c>
      <c r="AW21">
        <v>0</v>
      </c>
      <c r="AX21">
        <v>0</v>
      </c>
      <c r="AY21">
        <v>0</v>
      </c>
      <c r="AZ21">
        <v>0</v>
      </c>
      <c r="BA21">
        <v>0</v>
      </c>
      <c r="BB21">
        <v>0</v>
      </c>
      <c r="BC21">
        <v>0</v>
      </c>
      <c r="BD21">
        <v>0</v>
      </c>
      <c r="BE21">
        <v>0</v>
      </c>
      <c r="BF21">
        <v>0</v>
      </c>
      <c r="BG21">
        <v>0</v>
      </c>
      <c r="BH21">
        <v>0</v>
      </c>
      <c r="BI21">
        <v>0</v>
      </c>
      <c r="BJ21">
        <v>0</v>
      </c>
      <c r="BK21">
        <v>0</v>
      </c>
      <c r="BL21">
        <v>0</v>
      </c>
      <c r="BM21">
        <v>0</v>
      </c>
      <c r="BN21">
        <v>0</v>
      </c>
      <c r="BO21">
        <v>0</v>
      </c>
      <c r="BP21">
        <v>0</v>
      </c>
      <c r="BQ21">
        <v>0</v>
      </c>
      <c r="BR21">
        <v>0</v>
      </c>
      <c r="BS21">
        <v>0</v>
      </c>
      <c r="BT21">
        <v>0</v>
      </c>
      <c r="BU21">
        <v>0</v>
      </c>
      <c r="BV21">
        <v>0</v>
      </c>
      <c r="BW21">
        <v>0</v>
      </c>
      <c r="BX21">
        <v>0</v>
      </c>
      <c r="BY21">
        <v>0</v>
      </c>
      <c r="BZ21">
        <v>0</v>
      </c>
      <c r="CA21">
        <v>0</v>
      </c>
      <c r="CB21">
        <v>0</v>
      </c>
      <c r="CC21">
        <v>0</v>
      </c>
      <c r="CD21">
        <v>0</v>
      </c>
      <c r="CE21">
        <v>0</v>
      </c>
      <c r="CF21">
        <v>0</v>
      </c>
      <c r="CG21">
        <v>0</v>
      </c>
      <c r="CH21">
        <v>0</v>
      </c>
      <c r="CI21">
        <v>0</v>
      </c>
      <c r="CJ21">
        <v>0</v>
      </c>
      <c r="CK21">
        <v>0</v>
      </c>
      <c r="CL21">
        <v>0</v>
      </c>
      <c r="CM21">
        <v>0</v>
      </c>
      <c r="CN21">
        <v>0</v>
      </c>
      <c r="CO21">
        <v>0</v>
      </c>
      <c r="CP21">
        <v>0</v>
      </c>
      <c r="CQ21">
        <v>0</v>
      </c>
      <c r="CR21">
        <v>0</v>
      </c>
      <c r="CS21">
        <v>0</v>
      </c>
      <c r="CT21">
        <v>0</v>
      </c>
      <c r="CU21">
        <v>0</v>
      </c>
      <c r="CV21">
        <v>0</v>
      </c>
      <c r="CW21">
        <v>0</v>
      </c>
      <c r="CX21">
        <v>0</v>
      </c>
      <c r="CY21">
        <v>0</v>
      </c>
      <c r="CZ21">
        <v>0</v>
      </c>
      <c r="DA21">
        <v>0</v>
      </c>
      <c r="DB21">
        <v>0</v>
      </c>
      <c r="DC21">
        <v>74</v>
      </c>
      <c r="DD21">
        <v>0</v>
      </c>
      <c r="DE21">
        <v>48</v>
      </c>
      <c r="DF21">
        <v>0</v>
      </c>
      <c r="DG21">
        <v>0</v>
      </c>
      <c r="DH21">
        <v>0</v>
      </c>
      <c r="DI21">
        <v>0</v>
      </c>
      <c r="DJ21">
        <v>18</v>
      </c>
      <c r="DK21">
        <v>121</v>
      </c>
      <c r="DL21">
        <v>37</v>
      </c>
      <c r="DM21">
        <v>215</v>
      </c>
      <c r="DN21">
        <v>0</v>
      </c>
      <c r="DO21">
        <v>75</v>
      </c>
      <c r="DP21">
        <v>466</v>
      </c>
      <c r="DQ21">
        <v>18</v>
      </c>
      <c r="DR21">
        <v>0</v>
      </c>
      <c r="DS21">
        <v>235</v>
      </c>
      <c r="DT21">
        <v>1064</v>
      </c>
      <c r="DU21">
        <v>-49</v>
      </c>
      <c r="DV21">
        <v>-26</v>
      </c>
      <c r="DW21">
        <v>0</v>
      </c>
      <c r="DX21">
        <v>1830</v>
      </c>
      <c r="DY21">
        <v>25854</v>
      </c>
      <c r="DZ21">
        <v>283</v>
      </c>
      <c r="EA21">
        <v>658</v>
      </c>
      <c r="EB21">
        <v>803</v>
      </c>
      <c r="EC21">
        <v>0</v>
      </c>
      <c r="ED21">
        <v>10</v>
      </c>
      <c r="EE21">
        <v>0</v>
      </c>
      <c r="EF21">
        <v>0</v>
      </c>
      <c r="EG21">
        <v>0</v>
      </c>
      <c r="EH21">
        <v>7569</v>
      </c>
      <c r="EI21">
        <v>5708</v>
      </c>
      <c r="EJ21">
        <v>2140</v>
      </c>
      <c r="EK21">
        <v>468</v>
      </c>
      <c r="EL21">
        <v>3689</v>
      </c>
      <c r="EM21">
        <v>6537</v>
      </c>
      <c r="EN21">
        <v>0</v>
      </c>
      <c r="EO21">
        <v>0</v>
      </c>
      <c r="EP21">
        <v>0</v>
      </c>
      <c r="EQ21">
        <v>0</v>
      </c>
      <c r="ER21">
        <v>22</v>
      </c>
      <c r="ES21">
        <v>7821</v>
      </c>
      <c r="ET21">
        <v>9296</v>
      </c>
      <c r="EU21">
        <v>0</v>
      </c>
      <c r="EV21">
        <v>4</v>
      </c>
      <c r="EW21">
        <v>0</v>
      </c>
      <c r="EX21">
        <v>201</v>
      </c>
      <c r="EY21">
        <v>-4</v>
      </c>
      <c r="EZ21">
        <v>0</v>
      </c>
      <c r="FA21">
        <v>0</v>
      </c>
      <c r="FB21">
        <v>125</v>
      </c>
      <c r="FC21">
        <v>990</v>
      </c>
      <c r="FD21">
        <v>449</v>
      </c>
      <c r="FE21">
        <v>7</v>
      </c>
      <c r="FF21">
        <v>81</v>
      </c>
      <c r="FG21">
        <v>0</v>
      </c>
      <c r="FH21">
        <v>1853</v>
      </c>
      <c r="FI21">
        <v>-158</v>
      </c>
      <c r="FJ21">
        <v>0</v>
      </c>
      <c r="FK21">
        <v>24</v>
      </c>
      <c r="FL21">
        <v>164</v>
      </c>
      <c r="FM21">
        <v>334</v>
      </c>
      <c r="FN21">
        <v>118</v>
      </c>
      <c r="FO21">
        <v>280</v>
      </c>
      <c r="FP21">
        <v>0</v>
      </c>
      <c r="FQ21">
        <v>0</v>
      </c>
      <c r="FR21">
        <v>0</v>
      </c>
      <c r="FS21">
        <v>175</v>
      </c>
      <c r="FT21">
        <v>206</v>
      </c>
      <c r="FU21">
        <v>-19</v>
      </c>
      <c r="FV21">
        <v>243</v>
      </c>
      <c r="FW21">
        <v>0</v>
      </c>
      <c r="FX21">
        <v>387</v>
      </c>
      <c r="FY21">
        <v>66</v>
      </c>
      <c r="FZ21">
        <v>600</v>
      </c>
      <c r="GA21">
        <v>0</v>
      </c>
      <c r="GB21">
        <v>0</v>
      </c>
      <c r="GC21">
        <v>0</v>
      </c>
      <c r="GD21">
        <v>823</v>
      </c>
      <c r="GE21">
        <v>1888</v>
      </c>
      <c r="GF21">
        <v>-32</v>
      </c>
      <c r="GG21">
        <v>0</v>
      </c>
      <c r="GH21">
        <v>63</v>
      </c>
      <c r="GI21">
        <v>0</v>
      </c>
      <c r="GJ21">
        <v>92</v>
      </c>
      <c r="GK21">
        <v>5254</v>
      </c>
      <c r="GL21">
        <v>351</v>
      </c>
      <c r="GM21">
        <v>-698</v>
      </c>
      <c r="GN21">
        <v>189</v>
      </c>
      <c r="GO21">
        <v>787</v>
      </c>
      <c r="GP21">
        <v>0</v>
      </c>
      <c r="GQ21">
        <v>464</v>
      </c>
      <c r="GR21">
        <v>0</v>
      </c>
      <c r="GS21">
        <v>357</v>
      </c>
      <c r="GT21">
        <v>76</v>
      </c>
      <c r="GU21">
        <v>1526</v>
      </c>
      <c r="GV21">
        <v>8633</v>
      </c>
      <c r="GW21">
        <v>0</v>
      </c>
      <c r="GX21">
        <v>0</v>
      </c>
      <c r="GY21">
        <v>0</v>
      </c>
      <c r="GZ21">
        <v>0</v>
      </c>
      <c r="HA21">
        <v>0</v>
      </c>
      <c r="HB21">
        <v>1238</v>
      </c>
      <c r="HC21">
        <v>348</v>
      </c>
      <c r="HD21">
        <v>0</v>
      </c>
      <c r="HE21">
        <v>0</v>
      </c>
      <c r="HF21">
        <v>0</v>
      </c>
      <c r="HG21">
        <v>148</v>
      </c>
      <c r="HH21">
        <v>17</v>
      </c>
      <c r="HI21">
        <v>0</v>
      </c>
      <c r="HJ21">
        <v>198</v>
      </c>
      <c r="HK21">
        <v>151</v>
      </c>
      <c r="HL21">
        <v>84</v>
      </c>
      <c r="HM21">
        <v>-21</v>
      </c>
      <c r="HN21">
        <v>14</v>
      </c>
      <c r="HO21">
        <v>133</v>
      </c>
      <c r="HP21">
        <v>0</v>
      </c>
      <c r="HQ21">
        <v>0</v>
      </c>
      <c r="HR21">
        <v>91</v>
      </c>
      <c r="HS21">
        <v>48</v>
      </c>
      <c r="HT21">
        <v>0</v>
      </c>
      <c r="HU21">
        <v>2647</v>
      </c>
      <c r="HV21">
        <v>5096</v>
      </c>
      <c r="HW21">
        <v>2032</v>
      </c>
      <c r="HX21">
        <v>4282</v>
      </c>
      <c r="HY21">
        <v>0</v>
      </c>
      <c r="HZ21">
        <v>617</v>
      </c>
      <c r="IA21">
        <v>0</v>
      </c>
      <c r="IB21">
        <v>0</v>
      </c>
      <c r="IC21">
        <v>0</v>
      </c>
      <c r="ID21">
        <v>-137</v>
      </c>
      <c r="IE21">
        <v>0</v>
      </c>
      <c r="IF21">
        <v>0</v>
      </c>
      <c r="IG21">
        <v>0</v>
      </c>
      <c r="IH21">
        <v>1830</v>
      </c>
      <c r="II21">
        <v>1853</v>
      </c>
      <c r="IJ21">
        <v>5254</v>
      </c>
      <c r="IK21">
        <v>1526</v>
      </c>
      <c r="IL21">
        <v>0</v>
      </c>
      <c r="IM21">
        <v>0</v>
      </c>
      <c r="IN21">
        <v>5096</v>
      </c>
      <c r="IO21">
        <v>0</v>
      </c>
      <c r="IP21">
        <v>15422</v>
      </c>
      <c r="IQ21">
        <v>8058</v>
      </c>
      <c r="IR21">
        <v>27</v>
      </c>
      <c r="IS21">
        <v>9146</v>
      </c>
      <c r="IT21">
        <v>0</v>
      </c>
      <c r="IU21">
        <v>0</v>
      </c>
      <c r="IV21">
        <v>1335</v>
      </c>
      <c r="IW21">
        <v>0</v>
      </c>
      <c r="IX21">
        <v>0</v>
      </c>
      <c r="IY21">
        <v>0</v>
      </c>
      <c r="IZ21">
        <v>0</v>
      </c>
      <c r="JA21">
        <v>434</v>
      </c>
      <c r="JB21">
        <v>1190</v>
      </c>
      <c r="JC21">
        <v>-55</v>
      </c>
      <c r="JD21">
        <v>-111</v>
      </c>
      <c r="JE21">
        <v>21</v>
      </c>
      <c r="JF21">
        <v>0</v>
      </c>
      <c r="JG21">
        <v>35467</v>
      </c>
      <c r="JH21">
        <v>0</v>
      </c>
      <c r="JI21">
        <v>0</v>
      </c>
      <c r="JJ21">
        <v>0</v>
      </c>
      <c r="JK21">
        <v>0</v>
      </c>
      <c r="JL21">
        <v>0</v>
      </c>
      <c r="JM21">
        <v>469</v>
      </c>
      <c r="JN21">
        <v>637</v>
      </c>
      <c r="JO21">
        <v>0</v>
      </c>
      <c r="JP21">
        <v>4077</v>
      </c>
      <c r="JQ21">
        <v>0</v>
      </c>
      <c r="JR21">
        <v>40650</v>
      </c>
      <c r="JS21">
        <v>0</v>
      </c>
      <c r="JT21">
        <v>0</v>
      </c>
      <c r="JU21">
        <v>0</v>
      </c>
      <c r="JV21">
        <v>0</v>
      </c>
      <c r="JW21">
        <v>-18399</v>
      </c>
      <c r="JX21">
        <v>0</v>
      </c>
      <c r="JY21">
        <v>-5966</v>
      </c>
      <c r="JZ21">
        <v>0</v>
      </c>
      <c r="KA21">
        <v>0</v>
      </c>
      <c r="KB21">
        <v>0</v>
      </c>
      <c r="KC21">
        <v>16285</v>
      </c>
      <c r="KD21">
        <v>0</v>
      </c>
      <c r="KE21">
        <v>-2246</v>
      </c>
      <c r="KF21">
        <v>14039</v>
      </c>
      <c r="KG21">
        <v>0</v>
      </c>
      <c r="KH21">
        <v>0</v>
      </c>
      <c r="KI21">
        <v>0</v>
      </c>
      <c r="KJ21">
        <v>0</v>
      </c>
      <c r="KK21">
        <v>3633</v>
      </c>
      <c r="KL21">
        <v>0</v>
      </c>
      <c r="KM21">
        <v>-229</v>
      </c>
      <c r="KN21">
        <v>0</v>
      </c>
      <c r="KO21">
        <v>-6375</v>
      </c>
      <c r="KP21">
        <v>0</v>
      </c>
      <c r="KQ21">
        <v>1077</v>
      </c>
      <c r="KR21">
        <v>7898</v>
      </c>
      <c r="KS21">
        <v>0</v>
      </c>
      <c r="KT21">
        <v>0</v>
      </c>
      <c r="KU21">
        <v>0</v>
      </c>
      <c r="KV21">
        <v>5331</v>
      </c>
      <c r="KW21">
        <v>5437</v>
      </c>
      <c r="KX21">
        <v>0</v>
      </c>
      <c r="KY21">
        <v>0</v>
      </c>
      <c r="KZ21">
        <v>0</v>
      </c>
      <c r="LA21">
        <v>8964</v>
      </c>
      <c r="LB21">
        <v>5437</v>
      </c>
      <c r="LC21">
        <v>0</v>
      </c>
      <c r="LD21">
        <v>1804</v>
      </c>
      <c r="LE21">
        <v>0</v>
      </c>
      <c r="LF21">
        <v>850</v>
      </c>
      <c r="LG21">
        <v>0</v>
      </c>
      <c r="LH21">
        <v>1130</v>
      </c>
      <c r="LI21">
        <v>3784</v>
      </c>
      <c r="LJ21">
        <v>3237</v>
      </c>
      <c r="LK21">
        <v>4490</v>
      </c>
      <c r="LL21">
        <v>7727</v>
      </c>
      <c r="LM21">
        <v>0</v>
      </c>
      <c r="LN21">
        <v>0</v>
      </c>
      <c r="LO21">
        <v>0</v>
      </c>
      <c r="LP21">
        <v>27608</v>
      </c>
      <c r="LQ21">
        <v>26133</v>
      </c>
      <c r="LR21">
        <v>1475</v>
      </c>
      <c r="LS21">
        <v>7821</v>
      </c>
      <c r="LT21">
        <v>9296</v>
      </c>
      <c r="LU21">
        <v>0</v>
      </c>
      <c r="LV21">
        <v>-137</v>
      </c>
      <c r="LW21">
        <v>0</v>
      </c>
      <c r="LX21">
        <v>0</v>
      </c>
      <c r="LY21">
        <v>0</v>
      </c>
      <c r="LZ21">
        <v>1830</v>
      </c>
      <c r="MA21">
        <v>1853</v>
      </c>
      <c r="MB21">
        <v>5254</v>
      </c>
      <c r="MC21">
        <v>1526</v>
      </c>
      <c r="MD21">
        <v>0</v>
      </c>
      <c r="ME21">
        <v>0</v>
      </c>
      <c r="MF21">
        <v>5096</v>
      </c>
      <c r="MG21">
        <v>0</v>
      </c>
      <c r="MH21">
        <v>15422</v>
      </c>
      <c r="MI21">
        <v>0</v>
      </c>
      <c r="MJ21">
        <v>0</v>
      </c>
      <c r="MK21">
        <v>0</v>
      </c>
      <c r="ML21">
        <v>0</v>
      </c>
      <c r="MM21">
        <v>0</v>
      </c>
      <c r="MN21">
        <v>0</v>
      </c>
      <c r="MO21">
        <v>0</v>
      </c>
      <c r="MP21">
        <v>0</v>
      </c>
      <c r="MQ21">
        <v>0</v>
      </c>
      <c r="MR21">
        <v>0</v>
      </c>
      <c r="MS21">
        <v>0</v>
      </c>
      <c r="MT21">
        <v>0</v>
      </c>
      <c r="MU21">
        <v>-9</v>
      </c>
      <c r="MV21">
        <v>0</v>
      </c>
      <c r="MW21">
        <v>0</v>
      </c>
      <c r="MX21">
        <v>75</v>
      </c>
      <c r="MY21">
        <v>0</v>
      </c>
      <c r="MZ21">
        <v>390</v>
      </c>
      <c r="NA21">
        <v>379</v>
      </c>
      <c r="NB21">
        <v>55</v>
      </c>
      <c r="NC21">
        <v>434</v>
      </c>
      <c r="ND21">
        <v>0</v>
      </c>
      <c r="NE21">
        <v>0</v>
      </c>
      <c r="NF21">
        <v>0</v>
      </c>
      <c r="NG21">
        <v>0</v>
      </c>
      <c r="NH21">
        <v>0</v>
      </c>
      <c r="NI21">
        <v>0</v>
      </c>
      <c r="NJ21">
        <v>0</v>
      </c>
      <c r="NK21">
        <v>0</v>
      </c>
      <c r="NL21">
        <v>45</v>
      </c>
      <c r="NM21">
        <v>0</v>
      </c>
      <c r="NN21">
        <v>0</v>
      </c>
      <c r="NO21">
        <v>0</v>
      </c>
      <c r="NP21">
        <v>894</v>
      </c>
      <c r="NQ21">
        <v>0</v>
      </c>
      <c r="NR21">
        <v>0</v>
      </c>
      <c r="NS21">
        <v>68</v>
      </c>
      <c r="NT21">
        <v>0</v>
      </c>
      <c r="NU21">
        <v>0</v>
      </c>
      <c r="NV21">
        <v>0</v>
      </c>
      <c r="NW21">
        <v>0</v>
      </c>
      <c r="NX21">
        <v>0</v>
      </c>
      <c r="NY21">
        <v>0</v>
      </c>
      <c r="NZ21">
        <v>1079</v>
      </c>
      <c r="OA21">
        <v>111</v>
      </c>
      <c r="OB21">
        <v>1190</v>
      </c>
      <c r="OC21">
        <v>55</v>
      </c>
      <c r="OD21">
        <v>0</v>
      </c>
      <c r="OE21">
        <v>0</v>
      </c>
      <c r="OF21">
        <v>0</v>
      </c>
      <c r="OG21">
        <v>0</v>
      </c>
      <c r="OH21">
        <v>55</v>
      </c>
      <c r="OI21">
        <v>111</v>
      </c>
      <c r="OJ21">
        <v>0</v>
      </c>
      <c r="OK21">
        <v>0</v>
      </c>
      <c r="OL21">
        <v>0</v>
      </c>
      <c r="OM21">
        <v>0</v>
      </c>
      <c r="ON21">
        <v>111</v>
      </c>
    </row>
    <row r="22" spans="1:404" hidden="1" x14ac:dyDescent="0.25">
      <c r="A22" t="s">
        <v>127</v>
      </c>
      <c r="B22" t="s">
        <v>128</v>
      </c>
      <c r="C22" t="s">
        <v>126</v>
      </c>
      <c r="E22" t="s">
        <v>125</v>
      </c>
      <c r="F22">
        <v>10439</v>
      </c>
      <c r="G22">
        <v>17119</v>
      </c>
      <c r="H22">
        <v>16425</v>
      </c>
      <c r="I22">
        <v>23884</v>
      </c>
      <c r="J22">
        <v>3401</v>
      </c>
      <c r="K22">
        <v>5645</v>
      </c>
      <c r="L22">
        <v>76913</v>
      </c>
      <c r="M22">
        <v>385</v>
      </c>
      <c r="N22">
        <v>387</v>
      </c>
      <c r="O22">
        <v>2336</v>
      </c>
      <c r="P22">
        <v>1088</v>
      </c>
      <c r="Q22">
        <v>207</v>
      </c>
      <c r="R22">
        <v>302</v>
      </c>
      <c r="S22">
        <v>0</v>
      </c>
      <c r="T22">
        <v>462</v>
      </c>
      <c r="U22">
        <v>2031</v>
      </c>
      <c r="V22">
        <v>0</v>
      </c>
      <c r="W22">
        <v>-756</v>
      </c>
      <c r="X22">
        <v>378</v>
      </c>
      <c r="Y22">
        <v>97</v>
      </c>
      <c r="Z22">
        <v>-1388</v>
      </c>
      <c r="AA22">
        <v>-5385</v>
      </c>
      <c r="AB22">
        <v>-1</v>
      </c>
      <c r="AC22">
        <v>0</v>
      </c>
      <c r="AD22">
        <v>85</v>
      </c>
      <c r="AE22">
        <v>0</v>
      </c>
      <c r="AF22">
        <v>0</v>
      </c>
      <c r="AG22">
        <v>29</v>
      </c>
      <c r="AH22">
        <v>0</v>
      </c>
      <c r="AI22">
        <v>256</v>
      </c>
      <c r="AJ22">
        <v>0</v>
      </c>
      <c r="AK22">
        <v>0</v>
      </c>
      <c r="AL22">
        <v>0</v>
      </c>
      <c r="AM22">
        <v>0</v>
      </c>
      <c r="AN22">
        <v>0</v>
      </c>
      <c r="AO22">
        <v>0</v>
      </c>
      <c r="AP22">
        <v>0</v>
      </c>
      <c r="AQ22">
        <v>604</v>
      </c>
      <c r="AR22">
        <v>2287</v>
      </c>
      <c r="AS22">
        <v>0</v>
      </c>
      <c r="AT22">
        <v>0</v>
      </c>
      <c r="AU22">
        <v>0</v>
      </c>
      <c r="AV22">
        <v>1227</v>
      </c>
      <c r="AW22">
        <v>19646</v>
      </c>
      <c r="AX22">
        <v>3509</v>
      </c>
      <c r="AY22">
        <v>1051</v>
      </c>
      <c r="AZ22">
        <v>482</v>
      </c>
      <c r="BA22">
        <v>8149</v>
      </c>
      <c r="BB22">
        <v>0</v>
      </c>
      <c r="BC22">
        <v>242</v>
      </c>
      <c r="BD22">
        <v>34306</v>
      </c>
      <c r="BE22">
        <v>3153</v>
      </c>
      <c r="BF22">
        <v>10389</v>
      </c>
      <c r="BG22">
        <v>763</v>
      </c>
      <c r="BH22">
        <v>350</v>
      </c>
      <c r="BI22">
        <v>260</v>
      </c>
      <c r="BJ22">
        <v>4649</v>
      </c>
      <c r="BK22">
        <v>18681</v>
      </c>
      <c r="BL22">
        <v>2264</v>
      </c>
      <c r="BM22">
        <v>1744</v>
      </c>
      <c r="BN22">
        <v>4232</v>
      </c>
      <c r="BO22">
        <v>130</v>
      </c>
      <c r="BP22">
        <v>0</v>
      </c>
      <c r="BQ22">
        <v>729</v>
      </c>
      <c r="BR22">
        <v>241</v>
      </c>
      <c r="BS22">
        <v>225</v>
      </c>
      <c r="BT22">
        <v>4884</v>
      </c>
      <c r="BU22">
        <v>1201</v>
      </c>
      <c r="BV22">
        <v>5357</v>
      </c>
      <c r="BW22">
        <v>64790</v>
      </c>
      <c r="BX22">
        <v>1003</v>
      </c>
      <c r="BY22">
        <v>288</v>
      </c>
      <c r="BZ22">
        <v>150</v>
      </c>
      <c r="CA22">
        <v>194</v>
      </c>
      <c r="CB22">
        <v>36</v>
      </c>
      <c r="CC22">
        <v>38</v>
      </c>
      <c r="CD22">
        <v>163</v>
      </c>
      <c r="CE22">
        <v>433</v>
      </c>
      <c r="CF22">
        <v>266</v>
      </c>
      <c r="CG22">
        <v>224</v>
      </c>
      <c r="CH22">
        <v>38</v>
      </c>
      <c r="CI22">
        <v>1187</v>
      </c>
      <c r="CJ22">
        <v>798</v>
      </c>
      <c r="CK22">
        <v>37</v>
      </c>
      <c r="CL22">
        <v>38</v>
      </c>
      <c r="CM22">
        <v>57</v>
      </c>
      <c r="CN22">
        <v>94</v>
      </c>
      <c r="CO22">
        <v>252</v>
      </c>
      <c r="CP22">
        <v>628</v>
      </c>
      <c r="CQ22">
        <v>2702</v>
      </c>
      <c r="CR22">
        <v>61</v>
      </c>
      <c r="CS22">
        <v>37</v>
      </c>
      <c r="CT22">
        <v>87</v>
      </c>
      <c r="CU22">
        <v>1025</v>
      </c>
      <c r="CV22">
        <v>13044</v>
      </c>
      <c r="CW22">
        <v>0</v>
      </c>
      <c r="CX22">
        <v>0</v>
      </c>
      <c r="CY22">
        <v>0</v>
      </c>
      <c r="CZ22">
        <v>0</v>
      </c>
      <c r="DA22">
        <v>0</v>
      </c>
      <c r="DB22">
        <v>0</v>
      </c>
      <c r="DC22">
        <v>252</v>
      </c>
      <c r="DD22">
        <v>0</v>
      </c>
      <c r="DE22">
        <v>0</v>
      </c>
      <c r="DF22">
        <v>233</v>
      </c>
      <c r="DG22">
        <v>0</v>
      </c>
      <c r="DH22">
        <v>0</v>
      </c>
      <c r="DI22">
        <v>0</v>
      </c>
      <c r="DJ22">
        <v>62</v>
      </c>
      <c r="DK22">
        <v>0</v>
      </c>
      <c r="DL22">
        <v>0</v>
      </c>
      <c r="DM22">
        <v>0</v>
      </c>
      <c r="DN22">
        <v>0</v>
      </c>
      <c r="DO22">
        <v>1870</v>
      </c>
      <c r="DP22">
        <v>1932</v>
      </c>
      <c r="DQ22">
        <v>-94</v>
      </c>
      <c r="DR22">
        <v>0</v>
      </c>
      <c r="DS22">
        <v>0</v>
      </c>
      <c r="DT22">
        <v>2106</v>
      </c>
      <c r="DU22">
        <v>0</v>
      </c>
      <c r="DV22">
        <v>1896</v>
      </c>
      <c r="DW22">
        <v>0</v>
      </c>
      <c r="DX22">
        <v>6325</v>
      </c>
      <c r="DY22">
        <v>0</v>
      </c>
      <c r="DZ22">
        <v>0</v>
      </c>
      <c r="EA22">
        <v>0</v>
      </c>
      <c r="EB22">
        <v>0</v>
      </c>
      <c r="EC22">
        <v>0</v>
      </c>
      <c r="ED22">
        <v>0</v>
      </c>
      <c r="EE22">
        <v>0</v>
      </c>
      <c r="EF22">
        <v>0</v>
      </c>
      <c r="EG22">
        <v>0</v>
      </c>
      <c r="EH22">
        <v>0</v>
      </c>
      <c r="EI22">
        <v>0</v>
      </c>
      <c r="EJ22">
        <v>0</v>
      </c>
      <c r="EK22">
        <v>0</v>
      </c>
      <c r="EL22">
        <v>0</v>
      </c>
      <c r="EM22">
        <v>0</v>
      </c>
      <c r="EN22">
        <v>0</v>
      </c>
      <c r="EO22">
        <v>0</v>
      </c>
      <c r="EP22">
        <v>0</v>
      </c>
      <c r="EQ22">
        <v>0</v>
      </c>
      <c r="ER22">
        <v>0</v>
      </c>
      <c r="ES22">
        <v>0</v>
      </c>
      <c r="ET22">
        <v>0</v>
      </c>
      <c r="EU22">
        <v>420</v>
      </c>
      <c r="EV22">
        <v>0</v>
      </c>
      <c r="EW22">
        <v>-2045</v>
      </c>
      <c r="EX22">
        <v>1303</v>
      </c>
      <c r="EY22">
        <v>0</v>
      </c>
      <c r="EZ22">
        <v>0</v>
      </c>
      <c r="FA22">
        <v>0</v>
      </c>
      <c r="FB22">
        <v>0</v>
      </c>
      <c r="FC22">
        <v>-672</v>
      </c>
      <c r="FD22">
        <v>2582</v>
      </c>
      <c r="FE22">
        <v>0</v>
      </c>
      <c r="FF22">
        <v>606</v>
      </c>
      <c r="FG22">
        <v>1889</v>
      </c>
      <c r="FH22">
        <v>4083</v>
      </c>
      <c r="FI22">
        <v>-495</v>
      </c>
      <c r="FJ22">
        <v>533</v>
      </c>
      <c r="FK22">
        <v>0</v>
      </c>
      <c r="FL22">
        <v>521</v>
      </c>
      <c r="FM22">
        <v>-2387</v>
      </c>
      <c r="FN22">
        <v>354</v>
      </c>
      <c r="FO22">
        <v>0</v>
      </c>
      <c r="FP22">
        <v>0</v>
      </c>
      <c r="FQ22">
        <v>0</v>
      </c>
      <c r="FR22">
        <v>88</v>
      </c>
      <c r="FS22">
        <v>332</v>
      </c>
      <c r="FT22">
        <v>57</v>
      </c>
      <c r="FU22">
        <v>12</v>
      </c>
      <c r="FV22">
        <v>181</v>
      </c>
      <c r="FW22">
        <v>0</v>
      </c>
      <c r="FX22">
        <v>749</v>
      </c>
      <c r="FY22">
        <v>267</v>
      </c>
      <c r="FZ22">
        <v>153</v>
      </c>
      <c r="GA22">
        <v>0</v>
      </c>
      <c r="GB22">
        <v>0</v>
      </c>
      <c r="GC22">
        <v>0</v>
      </c>
      <c r="GD22">
        <v>3110</v>
      </c>
      <c r="GE22">
        <v>3395</v>
      </c>
      <c r="GF22">
        <v>5499</v>
      </c>
      <c r="GG22">
        <v>2</v>
      </c>
      <c r="GH22">
        <v>4957</v>
      </c>
      <c r="GI22">
        <v>138</v>
      </c>
      <c r="GJ22">
        <v>0</v>
      </c>
      <c r="GK22">
        <v>17464</v>
      </c>
      <c r="GL22">
        <v>254</v>
      </c>
      <c r="GM22">
        <v>1049</v>
      </c>
      <c r="GN22">
        <v>0</v>
      </c>
      <c r="GO22">
        <v>1694</v>
      </c>
      <c r="GP22">
        <v>838</v>
      </c>
      <c r="GQ22">
        <v>603</v>
      </c>
      <c r="GR22">
        <v>603</v>
      </c>
      <c r="GS22">
        <v>1424</v>
      </c>
      <c r="GT22">
        <v>1092</v>
      </c>
      <c r="GU22">
        <v>7557</v>
      </c>
      <c r="GV22">
        <v>29104</v>
      </c>
      <c r="GW22">
        <v>0</v>
      </c>
      <c r="GX22">
        <v>0</v>
      </c>
      <c r="GY22">
        <v>0</v>
      </c>
      <c r="GZ22">
        <v>0</v>
      </c>
      <c r="HA22">
        <v>0</v>
      </c>
      <c r="HB22">
        <v>3228</v>
      </c>
      <c r="HC22">
        <v>410</v>
      </c>
      <c r="HD22">
        <v>0</v>
      </c>
      <c r="HE22">
        <v>0</v>
      </c>
      <c r="HF22">
        <v>1150</v>
      </c>
      <c r="HG22">
        <v>-182</v>
      </c>
      <c r="HH22">
        <v>0</v>
      </c>
      <c r="HI22">
        <v>-149</v>
      </c>
      <c r="HJ22">
        <v>113</v>
      </c>
      <c r="HK22">
        <v>48</v>
      </c>
      <c r="HL22">
        <v>278</v>
      </c>
      <c r="HM22">
        <v>-165</v>
      </c>
      <c r="HN22">
        <v>0</v>
      </c>
      <c r="HO22">
        <v>0</v>
      </c>
      <c r="HP22">
        <v>394</v>
      </c>
      <c r="HQ22">
        <v>8</v>
      </c>
      <c r="HR22">
        <v>1436</v>
      </c>
      <c r="HS22">
        <v>0</v>
      </c>
      <c r="HT22">
        <v>0</v>
      </c>
      <c r="HU22">
        <v>1914</v>
      </c>
      <c r="HV22">
        <v>8483</v>
      </c>
      <c r="HW22">
        <v>0</v>
      </c>
      <c r="HX22">
        <v>21095</v>
      </c>
      <c r="HY22">
        <v>0</v>
      </c>
      <c r="HZ22">
        <v>0</v>
      </c>
      <c r="IA22">
        <v>0</v>
      </c>
      <c r="IB22">
        <v>0</v>
      </c>
      <c r="IC22">
        <v>76913</v>
      </c>
      <c r="ID22">
        <v>256</v>
      </c>
      <c r="IE22">
        <v>34306</v>
      </c>
      <c r="IF22">
        <v>64790</v>
      </c>
      <c r="IG22">
        <v>13044</v>
      </c>
      <c r="IH22">
        <v>6325</v>
      </c>
      <c r="II22">
        <v>4083</v>
      </c>
      <c r="IJ22">
        <v>17464</v>
      </c>
      <c r="IK22">
        <v>7557</v>
      </c>
      <c r="IL22">
        <v>0</v>
      </c>
      <c r="IM22">
        <v>0</v>
      </c>
      <c r="IN22">
        <v>8483</v>
      </c>
      <c r="IO22">
        <v>0</v>
      </c>
      <c r="IP22">
        <v>233220</v>
      </c>
      <c r="IQ22">
        <v>28692</v>
      </c>
      <c r="IR22">
        <v>0</v>
      </c>
      <c r="IS22">
        <v>0</v>
      </c>
      <c r="IT22">
        <v>0</v>
      </c>
      <c r="IU22">
        <v>0</v>
      </c>
      <c r="IV22">
        <v>2946</v>
      </c>
      <c r="IW22">
        <v>5194</v>
      </c>
      <c r="IX22">
        <v>0</v>
      </c>
      <c r="IY22">
        <v>0</v>
      </c>
      <c r="IZ22">
        <v>0</v>
      </c>
      <c r="JA22">
        <v>-15661</v>
      </c>
      <c r="JB22">
        <v>708</v>
      </c>
      <c r="JC22">
        <v>0</v>
      </c>
      <c r="JD22">
        <v>0</v>
      </c>
      <c r="JE22">
        <v>0</v>
      </c>
      <c r="JF22">
        <v>3915</v>
      </c>
      <c r="JG22">
        <v>259015</v>
      </c>
      <c r="JH22">
        <v>248</v>
      </c>
      <c r="JI22">
        <v>0</v>
      </c>
      <c r="JJ22">
        <v>0</v>
      </c>
      <c r="JK22">
        <v>0</v>
      </c>
      <c r="JL22">
        <v>0</v>
      </c>
      <c r="JM22">
        <v>84</v>
      </c>
      <c r="JN22">
        <v>8360</v>
      </c>
      <c r="JO22">
        <v>0</v>
      </c>
      <c r="JP22">
        <v>7907</v>
      </c>
      <c r="JQ22">
        <v>0</v>
      </c>
      <c r="JR22">
        <v>275614</v>
      </c>
      <c r="JS22">
        <v>-337</v>
      </c>
      <c r="JT22">
        <v>0</v>
      </c>
      <c r="JU22">
        <v>-717</v>
      </c>
      <c r="JV22">
        <v>0</v>
      </c>
      <c r="JW22">
        <v>-30934</v>
      </c>
      <c r="JX22">
        <v>0</v>
      </c>
      <c r="JY22">
        <v>-238</v>
      </c>
      <c r="JZ22">
        <v>0</v>
      </c>
      <c r="KA22">
        <v>0</v>
      </c>
      <c r="KB22">
        <v>-8013</v>
      </c>
      <c r="KC22">
        <v>235375</v>
      </c>
      <c r="KD22">
        <v>0</v>
      </c>
      <c r="KE22">
        <v>-104131</v>
      </c>
      <c r="KF22">
        <v>131244</v>
      </c>
      <c r="KG22">
        <v>0</v>
      </c>
      <c r="KH22">
        <v>-144</v>
      </c>
      <c r="KI22">
        <v>0</v>
      </c>
      <c r="KJ22">
        <v>227</v>
      </c>
      <c r="KK22">
        <v>-5555</v>
      </c>
      <c r="KL22">
        <v>-3368</v>
      </c>
      <c r="KM22">
        <v>0</v>
      </c>
      <c r="KN22">
        <v>0</v>
      </c>
      <c r="KO22">
        <v>-29504</v>
      </c>
      <c r="KP22">
        <v>1328</v>
      </c>
      <c r="KQ22">
        <v>39147</v>
      </c>
      <c r="KR22">
        <v>104986</v>
      </c>
      <c r="KS22">
        <v>1230</v>
      </c>
      <c r="KT22">
        <v>0</v>
      </c>
      <c r="KU22">
        <v>588</v>
      </c>
      <c r="KV22">
        <v>99101</v>
      </c>
      <c r="KW22">
        <v>19244</v>
      </c>
      <c r="KX22">
        <v>1086</v>
      </c>
      <c r="KY22">
        <v>0</v>
      </c>
      <c r="KZ22">
        <v>815</v>
      </c>
      <c r="LA22">
        <v>93546</v>
      </c>
      <c r="LB22">
        <v>15876</v>
      </c>
      <c r="LC22">
        <v>0</v>
      </c>
      <c r="LD22">
        <v>23621</v>
      </c>
      <c r="LE22">
        <v>0</v>
      </c>
      <c r="LF22">
        <v>-24</v>
      </c>
      <c r="LG22">
        <v>-15279</v>
      </c>
      <c r="LH22">
        <v>16883</v>
      </c>
      <c r="LI22">
        <v>29077</v>
      </c>
      <c r="LJ22">
        <v>4020</v>
      </c>
      <c r="LK22">
        <v>6153</v>
      </c>
      <c r="LL22">
        <v>10173</v>
      </c>
      <c r="LM22">
        <v>0</v>
      </c>
      <c r="LN22">
        <v>0</v>
      </c>
      <c r="LO22">
        <v>0</v>
      </c>
      <c r="LP22">
        <v>0</v>
      </c>
      <c r="LQ22">
        <v>0</v>
      </c>
      <c r="LR22">
        <v>0</v>
      </c>
      <c r="LS22">
        <v>0</v>
      </c>
      <c r="LT22">
        <v>0</v>
      </c>
      <c r="LU22">
        <v>76913</v>
      </c>
      <c r="LV22">
        <v>256</v>
      </c>
      <c r="LW22">
        <v>34306</v>
      </c>
      <c r="LX22">
        <v>64790</v>
      </c>
      <c r="LY22">
        <v>13044</v>
      </c>
      <c r="LZ22">
        <v>6325</v>
      </c>
      <c r="MA22">
        <v>4083</v>
      </c>
      <c r="MB22">
        <v>17464</v>
      </c>
      <c r="MC22">
        <v>7557</v>
      </c>
      <c r="MD22">
        <v>0</v>
      </c>
      <c r="ME22">
        <v>0</v>
      </c>
      <c r="MF22">
        <v>8483</v>
      </c>
      <c r="MG22">
        <v>0</v>
      </c>
      <c r="MH22">
        <v>233220</v>
      </c>
      <c r="MI22">
        <v>0</v>
      </c>
      <c r="MJ22">
        <v>0</v>
      </c>
      <c r="MK22">
        <v>0</v>
      </c>
      <c r="ML22">
        <v>0</v>
      </c>
      <c r="MM22">
        <v>0</v>
      </c>
      <c r="MN22">
        <v>0</v>
      </c>
      <c r="MO22">
        <v>0</v>
      </c>
      <c r="MP22">
        <v>0</v>
      </c>
      <c r="MQ22">
        <v>0</v>
      </c>
      <c r="MR22">
        <v>0</v>
      </c>
      <c r="MS22">
        <v>0</v>
      </c>
      <c r="MT22">
        <v>0</v>
      </c>
      <c r="MU22">
        <v>0</v>
      </c>
      <c r="MV22">
        <v>0</v>
      </c>
      <c r="MW22">
        <v>0</v>
      </c>
      <c r="MX22">
        <v>0</v>
      </c>
      <c r="MY22">
        <v>-15661</v>
      </c>
      <c r="MZ22">
        <v>0</v>
      </c>
      <c r="NA22">
        <v>-15661</v>
      </c>
      <c r="NB22">
        <v>0</v>
      </c>
      <c r="NC22">
        <v>-15661</v>
      </c>
      <c r="ND22">
        <v>0</v>
      </c>
      <c r="NE22">
        <v>0</v>
      </c>
      <c r="NF22">
        <v>0</v>
      </c>
      <c r="NG22">
        <v>0</v>
      </c>
      <c r="NH22">
        <v>0</v>
      </c>
      <c r="NI22">
        <v>0</v>
      </c>
      <c r="NJ22">
        <v>0</v>
      </c>
      <c r="NK22">
        <v>0</v>
      </c>
      <c r="NL22">
        <v>0</v>
      </c>
      <c r="NM22">
        <v>0</v>
      </c>
      <c r="NN22">
        <v>172</v>
      </c>
      <c r="NO22">
        <v>0</v>
      </c>
      <c r="NP22">
        <v>0</v>
      </c>
      <c r="NQ22">
        <v>0</v>
      </c>
      <c r="NR22">
        <v>531</v>
      </c>
      <c r="NS22">
        <v>0</v>
      </c>
      <c r="NT22">
        <v>4</v>
      </c>
      <c r="NU22">
        <v>1</v>
      </c>
      <c r="NV22">
        <v>0</v>
      </c>
      <c r="NW22">
        <v>0</v>
      </c>
      <c r="NX22">
        <v>0</v>
      </c>
      <c r="NY22">
        <v>0</v>
      </c>
      <c r="NZ22">
        <v>708</v>
      </c>
      <c r="OA22">
        <v>0</v>
      </c>
      <c r="OB22">
        <v>708</v>
      </c>
      <c r="OC22">
        <v>0</v>
      </c>
      <c r="OD22">
        <v>0</v>
      </c>
      <c r="OE22">
        <v>0</v>
      </c>
      <c r="OF22">
        <v>0</v>
      </c>
      <c r="OG22">
        <v>0</v>
      </c>
      <c r="OH22">
        <v>0</v>
      </c>
      <c r="OI22">
        <v>0</v>
      </c>
      <c r="OJ22">
        <v>0</v>
      </c>
      <c r="OK22">
        <v>0</v>
      </c>
      <c r="OL22">
        <v>0</v>
      </c>
      <c r="OM22">
        <v>0</v>
      </c>
      <c r="ON22">
        <v>0</v>
      </c>
    </row>
    <row r="23" spans="1:404" hidden="1" x14ac:dyDescent="0.25">
      <c r="A23" t="s">
        <v>131</v>
      </c>
      <c r="B23" t="s">
        <v>132</v>
      </c>
      <c r="C23" t="s">
        <v>130</v>
      </c>
      <c r="E23" t="s">
        <v>125</v>
      </c>
      <c r="F23">
        <v>12964</v>
      </c>
      <c r="G23">
        <v>52165</v>
      </c>
      <c r="H23">
        <v>16880</v>
      </c>
      <c r="I23">
        <v>10504</v>
      </c>
      <c r="J23">
        <v>2068</v>
      </c>
      <c r="K23">
        <v>10039</v>
      </c>
      <c r="L23">
        <v>104620</v>
      </c>
      <c r="M23">
        <v>695</v>
      </c>
      <c r="N23">
        <v>1177</v>
      </c>
      <c r="O23">
        <v>292</v>
      </c>
      <c r="P23">
        <v>271</v>
      </c>
      <c r="Q23">
        <v>0</v>
      </c>
      <c r="R23">
        <v>1078</v>
      </c>
      <c r="S23">
        <v>924</v>
      </c>
      <c r="T23">
        <v>546</v>
      </c>
      <c r="U23">
        <v>903</v>
      </c>
      <c r="V23">
        <v>0</v>
      </c>
      <c r="W23">
        <v>0</v>
      </c>
      <c r="X23">
        <v>207</v>
      </c>
      <c r="Y23">
        <v>7</v>
      </c>
      <c r="Z23">
        <v>512</v>
      </c>
      <c r="AA23">
        <v>-462</v>
      </c>
      <c r="AB23">
        <v>2972</v>
      </c>
      <c r="AC23">
        <v>0</v>
      </c>
      <c r="AD23">
        <v>1324</v>
      </c>
      <c r="AE23">
        <v>0</v>
      </c>
      <c r="AF23">
        <v>0</v>
      </c>
      <c r="AG23">
        <v>375</v>
      </c>
      <c r="AH23">
        <v>0</v>
      </c>
      <c r="AI23">
        <v>10821</v>
      </c>
      <c r="AJ23">
        <v>0</v>
      </c>
      <c r="AK23">
        <v>0</v>
      </c>
      <c r="AL23">
        <v>0</v>
      </c>
      <c r="AM23">
        <v>0</v>
      </c>
      <c r="AN23">
        <v>0</v>
      </c>
      <c r="AO23">
        <v>0</v>
      </c>
      <c r="AP23">
        <v>0</v>
      </c>
      <c r="AQ23">
        <v>986</v>
      </c>
      <c r="AR23">
        <v>867</v>
      </c>
      <c r="AS23">
        <v>0</v>
      </c>
      <c r="AT23">
        <v>0</v>
      </c>
      <c r="AU23">
        <v>0</v>
      </c>
      <c r="AV23">
        <v>1355</v>
      </c>
      <c r="AW23">
        <v>18551</v>
      </c>
      <c r="AX23">
        <v>472</v>
      </c>
      <c r="AY23">
        <v>8326</v>
      </c>
      <c r="AZ23">
        <v>1528</v>
      </c>
      <c r="BA23">
        <v>9680</v>
      </c>
      <c r="BB23">
        <v>1494</v>
      </c>
      <c r="BC23">
        <v>435</v>
      </c>
      <c r="BD23">
        <v>41841</v>
      </c>
      <c r="BE23">
        <v>11347</v>
      </c>
      <c r="BF23">
        <v>14086</v>
      </c>
      <c r="BG23">
        <v>147</v>
      </c>
      <c r="BH23">
        <v>526</v>
      </c>
      <c r="BI23">
        <v>284</v>
      </c>
      <c r="BJ23">
        <v>2282</v>
      </c>
      <c r="BK23">
        <v>13197</v>
      </c>
      <c r="BL23">
        <v>996</v>
      </c>
      <c r="BM23">
        <v>3476</v>
      </c>
      <c r="BN23">
        <v>1480</v>
      </c>
      <c r="BO23">
        <v>0</v>
      </c>
      <c r="BP23">
        <v>501</v>
      </c>
      <c r="BQ23">
        <v>485</v>
      </c>
      <c r="BR23">
        <v>505</v>
      </c>
      <c r="BS23">
        <v>231</v>
      </c>
      <c r="BT23">
        <v>5920</v>
      </c>
      <c r="BU23">
        <v>433</v>
      </c>
      <c r="BV23">
        <v>8387</v>
      </c>
      <c r="BW23">
        <v>64283</v>
      </c>
      <c r="BX23">
        <v>1079</v>
      </c>
      <c r="BY23">
        <v>312</v>
      </c>
      <c r="BZ23">
        <v>175</v>
      </c>
      <c r="CA23">
        <v>80</v>
      </c>
      <c r="CB23">
        <v>21</v>
      </c>
      <c r="CC23">
        <v>8</v>
      </c>
      <c r="CD23">
        <v>564</v>
      </c>
      <c r="CE23">
        <v>150</v>
      </c>
      <c r="CF23">
        <v>158</v>
      </c>
      <c r="CG23">
        <v>72</v>
      </c>
      <c r="CH23">
        <v>72</v>
      </c>
      <c r="CI23">
        <v>1376</v>
      </c>
      <c r="CJ23">
        <v>256</v>
      </c>
      <c r="CK23">
        <v>86</v>
      </c>
      <c r="CL23">
        <v>79</v>
      </c>
      <c r="CM23">
        <v>74</v>
      </c>
      <c r="CN23">
        <v>227</v>
      </c>
      <c r="CO23">
        <v>16</v>
      </c>
      <c r="CP23">
        <v>653</v>
      </c>
      <c r="CQ23">
        <v>2495</v>
      </c>
      <c r="CR23">
        <v>7</v>
      </c>
      <c r="CS23">
        <v>25</v>
      </c>
      <c r="CT23">
        <v>25</v>
      </c>
      <c r="CU23">
        <v>716</v>
      </c>
      <c r="CV23">
        <v>12344</v>
      </c>
      <c r="CW23">
        <v>0</v>
      </c>
      <c r="CX23">
        <v>0</v>
      </c>
      <c r="CY23">
        <v>0</v>
      </c>
      <c r="CZ23">
        <v>0</v>
      </c>
      <c r="DA23">
        <v>0</v>
      </c>
      <c r="DB23">
        <v>0</v>
      </c>
      <c r="DC23">
        <v>235</v>
      </c>
      <c r="DD23">
        <v>0</v>
      </c>
      <c r="DE23">
        <v>0</v>
      </c>
      <c r="DF23">
        <v>252</v>
      </c>
      <c r="DG23">
        <v>1011</v>
      </c>
      <c r="DH23">
        <v>0</v>
      </c>
      <c r="DI23">
        <v>0</v>
      </c>
      <c r="DJ23">
        <v>1503</v>
      </c>
      <c r="DK23">
        <v>0</v>
      </c>
      <c r="DL23">
        <v>271</v>
      </c>
      <c r="DM23">
        <v>1449</v>
      </c>
      <c r="DN23">
        <v>244</v>
      </c>
      <c r="DO23">
        <v>1943</v>
      </c>
      <c r="DP23">
        <v>6421</v>
      </c>
      <c r="DQ23">
        <v>0</v>
      </c>
      <c r="DR23">
        <v>0</v>
      </c>
      <c r="DS23">
        <v>0</v>
      </c>
      <c r="DT23">
        <v>1394</v>
      </c>
      <c r="DU23">
        <v>168</v>
      </c>
      <c r="DV23">
        <v>1162</v>
      </c>
      <c r="DW23">
        <v>27</v>
      </c>
      <c r="DX23">
        <v>9659</v>
      </c>
      <c r="DY23">
        <v>0</v>
      </c>
      <c r="DZ23">
        <v>0</v>
      </c>
      <c r="EA23">
        <v>0</v>
      </c>
      <c r="EB23">
        <v>0</v>
      </c>
      <c r="EC23">
        <v>0</v>
      </c>
      <c r="ED23">
        <v>0</v>
      </c>
      <c r="EE23">
        <v>0</v>
      </c>
      <c r="EF23">
        <v>0</v>
      </c>
      <c r="EG23">
        <v>0</v>
      </c>
      <c r="EH23">
        <v>0</v>
      </c>
      <c r="EI23">
        <v>0</v>
      </c>
      <c r="EJ23">
        <v>0</v>
      </c>
      <c r="EK23">
        <v>0</v>
      </c>
      <c r="EL23">
        <v>0</v>
      </c>
      <c r="EM23">
        <v>0</v>
      </c>
      <c r="EN23">
        <v>0</v>
      </c>
      <c r="EO23">
        <v>0</v>
      </c>
      <c r="EP23">
        <v>0</v>
      </c>
      <c r="EQ23">
        <v>0</v>
      </c>
      <c r="ER23">
        <v>0</v>
      </c>
      <c r="ES23">
        <v>0</v>
      </c>
      <c r="ET23">
        <v>0</v>
      </c>
      <c r="EU23">
        <v>36</v>
      </c>
      <c r="EV23">
        <v>0</v>
      </c>
      <c r="EW23">
        <v>101</v>
      </c>
      <c r="EX23">
        <v>676</v>
      </c>
      <c r="EY23">
        <v>252</v>
      </c>
      <c r="EZ23">
        <v>34</v>
      </c>
      <c r="FA23">
        <v>0</v>
      </c>
      <c r="FB23">
        <v>121</v>
      </c>
      <c r="FC23">
        <v>-113</v>
      </c>
      <c r="FD23">
        <v>2815</v>
      </c>
      <c r="FE23">
        <v>-8</v>
      </c>
      <c r="FF23">
        <v>48</v>
      </c>
      <c r="FG23">
        <v>1871</v>
      </c>
      <c r="FH23">
        <v>5833</v>
      </c>
      <c r="FI23">
        <v>-978</v>
      </c>
      <c r="FJ23">
        <v>384</v>
      </c>
      <c r="FK23">
        <v>0</v>
      </c>
      <c r="FL23">
        <v>328</v>
      </c>
      <c r="FM23">
        <v>668</v>
      </c>
      <c r="FN23">
        <v>22</v>
      </c>
      <c r="FO23">
        <v>75</v>
      </c>
      <c r="FP23">
        <v>0</v>
      </c>
      <c r="FQ23">
        <v>0</v>
      </c>
      <c r="FR23">
        <v>49</v>
      </c>
      <c r="FS23">
        <v>36</v>
      </c>
      <c r="FT23">
        <v>18</v>
      </c>
      <c r="FU23">
        <v>10</v>
      </c>
      <c r="FV23">
        <v>280</v>
      </c>
      <c r="FW23">
        <v>1</v>
      </c>
      <c r="FX23">
        <v>216</v>
      </c>
      <c r="FY23">
        <v>306</v>
      </c>
      <c r="FZ23">
        <v>17</v>
      </c>
      <c r="GA23">
        <v>0</v>
      </c>
      <c r="GB23">
        <v>0</v>
      </c>
      <c r="GC23">
        <v>0</v>
      </c>
      <c r="GD23">
        <v>2219</v>
      </c>
      <c r="GE23">
        <v>2958</v>
      </c>
      <c r="GF23">
        <v>5209</v>
      </c>
      <c r="GG23">
        <v>-1159</v>
      </c>
      <c r="GH23">
        <v>2655</v>
      </c>
      <c r="GI23">
        <v>46</v>
      </c>
      <c r="GJ23">
        <v>1</v>
      </c>
      <c r="GK23">
        <v>13361</v>
      </c>
      <c r="GL23">
        <v>254</v>
      </c>
      <c r="GM23">
        <v>606</v>
      </c>
      <c r="GN23">
        <v>434</v>
      </c>
      <c r="GO23">
        <v>1070</v>
      </c>
      <c r="GP23">
        <v>98</v>
      </c>
      <c r="GQ23">
        <v>129</v>
      </c>
      <c r="GR23">
        <v>12</v>
      </c>
      <c r="GS23">
        <v>339</v>
      </c>
      <c r="GT23">
        <v>0</v>
      </c>
      <c r="GU23">
        <v>2942</v>
      </c>
      <c r="GV23">
        <v>22136</v>
      </c>
      <c r="GW23">
        <v>0</v>
      </c>
      <c r="GX23">
        <v>0</v>
      </c>
      <c r="GY23">
        <v>0</v>
      </c>
      <c r="GZ23">
        <v>0</v>
      </c>
      <c r="HA23">
        <v>0</v>
      </c>
      <c r="HB23">
        <v>2775</v>
      </c>
      <c r="HC23">
        <v>157</v>
      </c>
      <c r="HD23">
        <v>0</v>
      </c>
      <c r="HE23">
        <v>0</v>
      </c>
      <c r="HF23">
        <v>385</v>
      </c>
      <c r="HG23">
        <v>105</v>
      </c>
      <c r="HH23">
        <v>0</v>
      </c>
      <c r="HI23">
        <v>171</v>
      </c>
      <c r="HJ23">
        <v>179</v>
      </c>
      <c r="HK23">
        <v>0</v>
      </c>
      <c r="HL23">
        <v>202</v>
      </c>
      <c r="HM23">
        <v>-51</v>
      </c>
      <c r="HN23">
        <v>157</v>
      </c>
      <c r="HO23">
        <v>394</v>
      </c>
      <c r="HP23">
        <v>403</v>
      </c>
      <c r="HQ23">
        <v>0</v>
      </c>
      <c r="HR23">
        <v>624</v>
      </c>
      <c r="HS23">
        <v>0</v>
      </c>
      <c r="HT23">
        <v>372</v>
      </c>
      <c r="HU23">
        <v>0</v>
      </c>
      <c r="HV23">
        <v>5873</v>
      </c>
      <c r="HW23">
        <v>1944</v>
      </c>
      <c r="HX23">
        <v>16922</v>
      </c>
      <c r="HY23">
        <v>0</v>
      </c>
      <c r="HZ23">
        <v>0</v>
      </c>
      <c r="IA23">
        <v>840</v>
      </c>
      <c r="IB23">
        <v>5310</v>
      </c>
      <c r="IC23">
        <v>104620</v>
      </c>
      <c r="ID23">
        <v>10821</v>
      </c>
      <c r="IE23">
        <v>41841</v>
      </c>
      <c r="IF23">
        <v>64283</v>
      </c>
      <c r="IG23">
        <v>12344</v>
      </c>
      <c r="IH23">
        <v>9659</v>
      </c>
      <c r="II23">
        <v>5833</v>
      </c>
      <c r="IJ23">
        <v>13361</v>
      </c>
      <c r="IK23">
        <v>2942</v>
      </c>
      <c r="IL23">
        <v>0</v>
      </c>
      <c r="IM23">
        <v>0</v>
      </c>
      <c r="IN23">
        <v>5873</v>
      </c>
      <c r="IO23">
        <v>5310</v>
      </c>
      <c r="IP23">
        <v>276887</v>
      </c>
      <c r="IQ23">
        <v>36213</v>
      </c>
      <c r="IR23">
        <v>2525</v>
      </c>
      <c r="IS23">
        <v>0</v>
      </c>
      <c r="IT23">
        <v>0</v>
      </c>
      <c r="IU23">
        <v>0</v>
      </c>
      <c r="IV23">
        <v>1867</v>
      </c>
      <c r="IW23">
        <v>0</v>
      </c>
      <c r="IX23">
        <v>0</v>
      </c>
      <c r="IY23">
        <v>0</v>
      </c>
      <c r="IZ23">
        <v>0</v>
      </c>
      <c r="JA23">
        <v>0</v>
      </c>
      <c r="JB23">
        <v>0</v>
      </c>
      <c r="JC23">
        <v>0</v>
      </c>
      <c r="JD23">
        <v>0</v>
      </c>
      <c r="JE23">
        <v>-516</v>
      </c>
      <c r="JF23">
        <v>0</v>
      </c>
      <c r="JG23">
        <v>316976</v>
      </c>
      <c r="JH23">
        <v>104</v>
      </c>
      <c r="JI23">
        <v>6369</v>
      </c>
      <c r="JJ23">
        <v>0</v>
      </c>
      <c r="JK23">
        <v>0</v>
      </c>
      <c r="JL23">
        <v>0</v>
      </c>
      <c r="JM23">
        <v>898</v>
      </c>
      <c r="JN23">
        <v>3901</v>
      </c>
      <c r="JO23">
        <v>33</v>
      </c>
      <c r="JP23">
        <v>3106</v>
      </c>
      <c r="JQ23">
        <v>0</v>
      </c>
      <c r="JR23">
        <v>331387</v>
      </c>
      <c r="JS23">
        <v>-7980</v>
      </c>
      <c r="JT23">
        <v>0</v>
      </c>
      <c r="JU23">
        <v>2448</v>
      </c>
      <c r="JV23">
        <v>0</v>
      </c>
      <c r="JW23">
        <v>-38072</v>
      </c>
      <c r="JX23">
        <v>0</v>
      </c>
      <c r="JY23">
        <v>-151</v>
      </c>
      <c r="JZ23">
        <v>0</v>
      </c>
      <c r="KA23">
        <v>0</v>
      </c>
      <c r="KB23">
        <v>0</v>
      </c>
      <c r="KC23">
        <v>287632</v>
      </c>
      <c r="KD23">
        <v>-165</v>
      </c>
      <c r="KE23">
        <v>-142211</v>
      </c>
      <c r="KF23">
        <v>145256</v>
      </c>
      <c r="KG23">
        <v>0</v>
      </c>
      <c r="KH23">
        <v>-531</v>
      </c>
      <c r="KI23">
        <v>-145</v>
      </c>
      <c r="KJ23">
        <v>402</v>
      </c>
      <c r="KK23">
        <v>-3698</v>
      </c>
      <c r="KL23">
        <v>-98</v>
      </c>
      <c r="KM23">
        <v>-5893</v>
      </c>
      <c r="KN23">
        <v>0</v>
      </c>
      <c r="KO23">
        <v>-23691</v>
      </c>
      <c r="KP23">
        <v>244</v>
      </c>
      <c r="KQ23">
        <v>0</v>
      </c>
      <c r="KR23">
        <v>97560</v>
      </c>
      <c r="KS23">
        <v>6341</v>
      </c>
      <c r="KT23">
        <v>2373</v>
      </c>
      <c r="KU23">
        <v>1395</v>
      </c>
      <c r="KV23">
        <v>45802</v>
      </c>
      <c r="KW23">
        <v>17774</v>
      </c>
      <c r="KX23">
        <v>5810</v>
      </c>
      <c r="KY23">
        <v>2228</v>
      </c>
      <c r="KZ23">
        <v>1797</v>
      </c>
      <c r="LA23">
        <v>42104</v>
      </c>
      <c r="LB23">
        <v>17676</v>
      </c>
      <c r="LC23">
        <v>0</v>
      </c>
      <c r="LD23">
        <v>21333</v>
      </c>
      <c r="LE23">
        <v>0</v>
      </c>
      <c r="LF23">
        <v>-6503</v>
      </c>
      <c r="LG23">
        <v>0</v>
      </c>
      <c r="LH23">
        <v>5227</v>
      </c>
      <c r="LI23">
        <v>12872</v>
      </c>
      <c r="LJ23">
        <v>3889</v>
      </c>
      <c r="LK23">
        <v>8407</v>
      </c>
      <c r="LL23">
        <v>12296</v>
      </c>
      <c r="LM23">
        <v>0</v>
      </c>
      <c r="LN23">
        <v>0</v>
      </c>
      <c r="LO23">
        <v>0</v>
      </c>
      <c r="LP23">
        <v>0</v>
      </c>
      <c r="LQ23">
        <v>0</v>
      </c>
      <c r="LR23">
        <v>0</v>
      </c>
      <c r="LS23">
        <v>0</v>
      </c>
      <c r="LT23">
        <v>0</v>
      </c>
      <c r="LU23">
        <v>104620</v>
      </c>
      <c r="LV23">
        <v>10821</v>
      </c>
      <c r="LW23">
        <v>41841</v>
      </c>
      <c r="LX23">
        <v>64283</v>
      </c>
      <c r="LY23">
        <v>12344</v>
      </c>
      <c r="LZ23">
        <v>9659</v>
      </c>
      <c r="MA23">
        <v>5833</v>
      </c>
      <c r="MB23">
        <v>13361</v>
      </c>
      <c r="MC23">
        <v>2942</v>
      </c>
      <c r="MD23">
        <v>0</v>
      </c>
      <c r="ME23">
        <v>0</v>
      </c>
      <c r="MF23">
        <v>5873</v>
      </c>
      <c r="MG23">
        <v>5310</v>
      </c>
      <c r="MH23">
        <v>276887</v>
      </c>
      <c r="MI23">
        <v>0</v>
      </c>
      <c r="MJ23">
        <v>0</v>
      </c>
      <c r="MK23">
        <v>0</v>
      </c>
      <c r="ML23">
        <v>0</v>
      </c>
      <c r="MM23">
        <v>0</v>
      </c>
      <c r="MN23">
        <v>0</v>
      </c>
      <c r="MO23">
        <v>0</v>
      </c>
      <c r="MP23">
        <v>0</v>
      </c>
      <c r="MQ23">
        <v>0</v>
      </c>
      <c r="MR23">
        <v>0</v>
      </c>
      <c r="MS23">
        <v>0</v>
      </c>
      <c r="MT23">
        <v>0</v>
      </c>
      <c r="MU23">
        <v>0</v>
      </c>
      <c r="MV23">
        <v>0</v>
      </c>
      <c r="MW23">
        <v>0</v>
      </c>
      <c r="MX23">
        <v>0</v>
      </c>
      <c r="MY23">
        <v>0</v>
      </c>
      <c r="MZ23">
        <v>0</v>
      </c>
      <c r="NA23">
        <v>0</v>
      </c>
      <c r="NB23">
        <v>0</v>
      </c>
      <c r="NC23">
        <v>0</v>
      </c>
      <c r="ND23">
        <v>0</v>
      </c>
      <c r="NE23">
        <v>0</v>
      </c>
      <c r="NF23">
        <v>0</v>
      </c>
      <c r="NG23">
        <v>0</v>
      </c>
      <c r="NH23">
        <v>0</v>
      </c>
      <c r="NI23">
        <v>0</v>
      </c>
      <c r="NJ23">
        <v>0</v>
      </c>
      <c r="NK23">
        <v>0</v>
      </c>
      <c r="NL23">
        <v>0</v>
      </c>
      <c r="NM23">
        <v>0</v>
      </c>
      <c r="NN23">
        <v>0</v>
      </c>
      <c r="NO23">
        <v>0</v>
      </c>
      <c r="NP23">
        <v>0</v>
      </c>
      <c r="NQ23">
        <v>0</v>
      </c>
      <c r="NR23">
        <v>0</v>
      </c>
      <c r="NS23">
        <v>0</v>
      </c>
      <c r="NT23">
        <v>0</v>
      </c>
      <c r="NU23">
        <v>0</v>
      </c>
      <c r="NV23">
        <v>0</v>
      </c>
      <c r="NW23">
        <v>0</v>
      </c>
      <c r="NX23">
        <v>0</v>
      </c>
      <c r="NY23">
        <v>0</v>
      </c>
      <c r="NZ23">
        <v>0</v>
      </c>
      <c r="OA23">
        <v>0</v>
      </c>
      <c r="OB23">
        <v>0</v>
      </c>
      <c r="OC23">
        <v>0</v>
      </c>
      <c r="OD23">
        <v>0</v>
      </c>
      <c r="OE23">
        <v>0</v>
      </c>
      <c r="OF23">
        <v>0</v>
      </c>
      <c r="OG23">
        <v>0</v>
      </c>
      <c r="OH23">
        <v>0</v>
      </c>
      <c r="OI23">
        <v>0</v>
      </c>
      <c r="OJ23">
        <v>0</v>
      </c>
      <c r="OK23">
        <v>0</v>
      </c>
      <c r="OL23">
        <v>0</v>
      </c>
      <c r="OM23">
        <v>0</v>
      </c>
      <c r="ON23">
        <v>0</v>
      </c>
    </row>
    <row r="24" spans="1:404" hidden="1" x14ac:dyDescent="0.25">
      <c r="A24" t="s">
        <v>134</v>
      </c>
      <c r="B24" t="s">
        <v>135</v>
      </c>
      <c r="C24" t="s">
        <v>5409</v>
      </c>
      <c r="E24" t="s">
        <v>5408</v>
      </c>
      <c r="F24">
        <v>0</v>
      </c>
      <c r="G24">
        <v>0</v>
      </c>
      <c r="H24">
        <v>0</v>
      </c>
      <c r="I24">
        <v>0</v>
      </c>
      <c r="J24">
        <v>0</v>
      </c>
      <c r="K24">
        <v>0</v>
      </c>
      <c r="L24">
        <v>0</v>
      </c>
      <c r="M24">
        <v>0</v>
      </c>
      <c r="N24">
        <v>0</v>
      </c>
      <c r="O24">
        <v>0</v>
      </c>
      <c r="P24">
        <v>0</v>
      </c>
      <c r="Q24">
        <v>0</v>
      </c>
      <c r="R24">
        <v>0</v>
      </c>
      <c r="S24">
        <v>0</v>
      </c>
      <c r="T24">
        <v>0</v>
      </c>
      <c r="U24">
        <v>0</v>
      </c>
      <c r="V24">
        <v>0</v>
      </c>
      <c r="W24">
        <v>0</v>
      </c>
      <c r="X24">
        <v>0</v>
      </c>
      <c r="Y24">
        <v>0</v>
      </c>
      <c r="Z24">
        <v>0</v>
      </c>
      <c r="AA24">
        <v>0</v>
      </c>
      <c r="AB24">
        <v>0</v>
      </c>
      <c r="AC24">
        <v>0</v>
      </c>
      <c r="AD24">
        <v>0</v>
      </c>
      <c r="AE24">
        <v>0</v>
      </c>
      <c r="AF24">
        <v>0</v>
      </c>
      <c r="AG24">
        <v>0</v>
      </c>
      <c r="AH24">
        <v>0</v>
      </c>
      <c r="AI24">
        <v>0</v>
      </c>
      <c r="AJ24">
        <v>0</v>
      </c>
      <c r="AK24">
        <v>0</v>
      </c>
      <c r="AL24">
        <v>0</v>
      </c>
      <c r="AM24">
        <v>0</v>
      </c>
      <c r="AN24">
        <v>0</v>
      </c>
      <c r="AO24">
        <v>0</v>
      </c>
      <c r="AP24">
        <v>0</v>
      </c>
      <c r="AQ24">
        <v>0</v>
      </c>
      <c r="AR24">
        <v>0</v>
      </c>
      <c r="AS24">
        <v>0</v>
      </c>
      <c r="AT24">
        <v>0</v>
      </c>
      <c r="AU24">
        <v>0</v>
      </c>
      <c r="AV24">
        <v>0</v>
      </c>
      <c r="AW24">
        <v>0</v>
      </c>
      <c r="AX24">
        <v>0</v>
      </c>
      <c r="AY24">
        <v>0</v>
      </c>
      <c r="AZ24">
        <v>0</v>
      </c>
      <c r="BA24">
        <v>0</v>
      </c>
      <c r="BB24">
        <v>0</v>
      </c>
      <c r="BC24">
        <v>0</v>
      </c>
      <c r="BD24">
        <v>0</v>
      </c>
      <c r="BE24">
        <v>0</v>
      </c>
      <c r="BF24">
        <v>0</v>
      </c>
      <c r="BG24">
        <v>0</v>
      </c>
      <c r="BH24">
        <v>0</v>
      </c>
      <c r="BI24">
        <v>0</v>
      </c>
      <c r="BJ24">
        <v>0</v>
      </c>
      <c r="BK24">
        <v>0</v>
      </c>
      <c r="BL24">
        <v>0</v>
      </c>
      <c r="BM24">
        <v>0</v>
      </c>
      <c r="BN24">
        <v>0</v>
      </c>
      <c r="BO24">
        <v>0</v>
      </c>
      <c r="BP24">
        <v>0</v>
      </c>
      <c r="BQ24">
        <v>0</v>
      </c>
      <c r="BR24">
        <v>0</v>
      </c>
      <c r="BS24">
        <v>0</v>
      </c>
      <c r="BT24">
        <v>0</v>
      </c>
      <c r="BU24">
        <v>0</v>
      </c>
      <c r="BV24">
        <v>0</v>
      </c>
      <c r="BW24">
        <v>0</v>
      </c>
      <c r="BX24">
        <v>0</v>
      </c>
      <c r="BY24">
        <v>0</v>
      </c>
      <c r="BZ24">
        <v>0</v>
      </c>
      <c r="CA24">
        <v>0</v>
      </c>
      <c r="CB24">
        <v>0</v>
      </c>
      <c r="CC24">
        <v>0</v>
      </c>
      <c r="CD24">
        <v>0</v>
      </c>
      <c r="CE24">
        <v>0</v>
      </c>
      <c r="CF24">
        <v>0</v>
      </c>
      <c r="CG24">
        <v>0</v>
      </c>
      <c r="CH24">
        <v>0</v>
      </c>
      <c r="CI24">
        <v>0</v>
      </c>
      <c r="CJ24">
        <v>0</v>
      </c>
      <c r="CK24">
        <v>0</v>
      </c>
      <c r="CL24">
        <v>0</v>
      </c>
      <c r="CM24">
        <v>0</v>
      </c>
      <c r="CN24">
        <v>0</v>
      </c>
      <c r="CO24">
        <v>0</v>
      </c>
      <c r="CP24">
        <v>0</v>
      </c>
      <c r="CQ24">
        <v>0</v>
      </c>
      <c r="CR24">
        <v>0</v>
      </c>
      <c r="CS24">
        <v>0</v>
      </c>
      <c r="CT24">
        <v>0</v>
      </c>
      <c r="CU24">
        <v>0</v>
      </c>
      <c r="CV24">
        <v>0</v>
      </c>
      <c r="CW24">
        <v>0</v>
      </c>
      <c r="CX24">
        <v>0</v>
      </c>
      <c r="CY24">
        <v>0</v>
      </c>
      <c r="CZ24">
        <v>0</v>
      </c>
      <c r="DA24">
        <v>0</v>
      </c>
      <c r="DB24">
        <v>0</v>
      </c>
      <c r="DC24">
        <v>0</v>
      </c>
      <c r="DD24">
        <v>0</v>
      </c>
      <c r="DE24">
        <v>0</v>
      </c>
      <c r="DF24">
        <v>0</v>
      </c>
      <c r="DG24">
        <v>0</v>
      </c>
      <c r="DH24">
        <v>0</v>
      </c>
      <c r="DI24">
        <v>0</v>
      </c>
      <c r="DJ24">
        <v>0</v>
      </c>
      <c r="DK24">
        <v>0</v>
      </c>
      <c r="DL24">
        <v>0</v>
      </c>
      <c r="DM24">
        <v>0</v>
      </c>
      <c r="DN24">
        <v>0</v>
      </c>
      <c r="DO24">
        <v>0</v>
      </c>
      <c r="DP24">
        <v>0</v>
      </c>
      <c r="DQ24">
        <v>0</v>
      </c>
      <c r="DR24">
        <v>0</v>
      </c>
      <c r="DS24">
        <v>0</v>
      </c>
      <c r="DT24">
        <v>0</v>
      </c>
      <c r="DU24">
        <v>0</v>
      </c>
      <c r="DV24">
        <v>0</v>
      </c>
      <c r="DW24">
        <v>0</v>
      </c>
      <c r="DX24">
        <v>0</v>
      </c>
      <c r="DY24">
        <v>0</v>
      </c>
      <c r="DZ24">
        <v>0</v>
      </c>
      <c r="EA24">
        <v>0</v>
      </c>
      <c r="EB24">
        <v>0</v>
      </c>
      <c r="EC24">
        <v>0</v>
      </c>
      <c r="ED24">
        <v>0</v>
      </c>
      <c r="EE24">
        <v>0</v>
      </c>
      <c r="EF24">
        <v>0</v>
      </c>
      <c r="EG24">
        <v>0</v>
      </c>
      <c r="EH24">
        <v>0</v>
      </c>
      <c r="EI24">
        <v>0</v>
      </c>
      <c r="EJ24">
        <v>0</v>
      </c>
      <c r="EK24">
        <v>0</v>
      </c>
      <c r="EL24">
        <v>0</v>
      </c>
      <c r="EM24">
        <v>0</v>
      </c>
      <c r="EN24">
        <v>0</v>
      </c>
      <c r="EO24">
        <v>0</v>
      </c>
      <c r="EP24">
        <v>0</v>
      </c>
      <c r="EQ24">
        <v>0</v>
      </c>
      <c r="ER24">
        <v>0</v>
      </c>
      <c r="ES24">
        <v>0</v>
      </c>
      <c r="ET24">
        <v>0</v>
      </c>
      <c r="EU24">
        <v>0</v>
      </c>
      <c r="EV24">
        <v>0</v>
      </c>
      <c r="EW24">
        <v>0</v>
      </c>
      <c r="EX24">
        <v>0</v>
      </c>
      <c r="EY24">
        <v>0</v>
      </c>
      <c r="EZ24">
        <v>0</v>
      </c>
      <c r="FA24">
        <v>0</v>
      </c>
      <c r="FB24">
        <v>0</v>
      </c>
      <c r="FC24">
        <v>0</v>
      </c>
      <c r="FD24">
        <v>0</v>
      </c>
      <c r="FE24">
        <v>0</v>
      </c>
      <c r="FF24">
        <v>0</v>
      </c>
      <c r="FG24">
        <v>0</v>
      </c>
      <c r="FH24">
        <v>0</v>
      </c>
      <c r="FI24">
        <v>0</v>
      </c>
      <c r="FJ24">
        <v>0</v>
      </c>
      <c r="FK24">
        <v>0</v>
      </c>
      <c r="FL24">
        <v>0</v>
      </c>
      <c r="FM24">
        <v>0</v>
      </c>
      <c r="FN24">
        <v>0</v>
      </c>
      <c r="FO24">
        <v>0</v>
      </c>
      <c r="FP24">
        <v>0</v>
      </c>
      <c r="FQ24">
        <v>0</v>
      </c>
      <c r="FR24">
        <v>0</v>
      </c>
      <c r="FS24">
        <v>0</v>
      </c>
      <c r="FT24">
        <v>0</v>
      </c>
      <c r="FU24">
        <v>0</v>
      </c>
      <c r="FV24">
        <v>0</v>
      </c>
      <c r="FW24">
        <v>0</v>
      </c>
      <c r="FX24">
        <v>0</v>
      </c>
      <c r="FY24">
        <v>0</v>
      </c>
      <c r="FZ24">
        <v>0</v>
      </c>
      <c r="GA24">
        <v>0</v>
      </c>
      <c r="GB24">
        <v>0</v>
      </c>
      <c r="GC24">
        <v>0</v>
      </c>
      <c r="GD24">
        <v>0</v>
      </c>
      <c r="GE24">
        <v>0</v>
      </c>
      <c r="GF24">
        <v>0</v>
      </c>
      <c r="GG24">
        <v>0</v>
      </c>
      <c r="GH24">
        <v>0</v>
      </c>
      <c r="GI24">
        <v>0</v>
      </c>
      <c r="GJ24">
        <v>0</v>
      </c>
      <c r="GK24">
        <v>0</v>
      </c>
      <c r="GL24">
        <v>0</v>
      </c>
      <c r="GM24">
        <v>0</v>
      </c>
      <c r="GN24">
        <v>0</v>
      </c>
      <c r="GO24">
        <v>0</v>
      </c>
      <c r="GP24">
        <v>0</v>
      </c>
      <c r="GQ24">
        <v>0</v>
      </c>
      <c r="GR24">
        <v>0</v>
      </c>
      <c r="GS24">
        <v>0</v>
      </c>
      <c r="GT24">
        <v>0</v>
      </c>
      <c r="GU24">
        <v>0</v>
      </c>
      <c r="GV24">
        <v>0</v>
      </c>
      <c r="GW24">
        <v>0</v>
      </c>
      <c r="GX24">
        <v>2538</v>
      </c>
      <c r="GY24">
        <v>26203</v>
      </c>
      <c r="GZ24">
        <v>453</v>
      </c>
      <c r="HA24">
        <v>29194</v>
      </c>
      <c r="HB24">
        <v>1155</v>
      </c>
      <c r="HC24">
        <v>0</v>
      </c>
      <c r="HD24">
        <v>0</v>
      </c>
      <c r="HE24">
        <v>0</v>
      </c>
      <c r="HF24">
        <v>0</v>
      </c>
      <c r="HG24">
        <v>0</v>
      </c>
      <c r="HH24">
        <v>0</v>
      </c>
      <c r="HI24">
        <v>0</v>
      </c>
      <c r="HJ24">
        <v>0</v>
      </c>
      <c r="HK24">
        <v>0</v>
      </c>
      <c r="HL24">
        <v>0</v>
      </c>
      <c r="HM24">
        <v>0</v>
      </c>
      <c r="HN24">
        <v>0</v>
      </c>
      <c r="HO24">
        <v>0</v>
      </c>
      <c r="HP24">
        <v>0</v>
      </c>
      <c r="HQ24">
        <v>0</v>
      </c>
      <c r="HR24">
        <v>1108</v>
      </c>
      <c r="HS24">
        <v>0</v>
      </c>
      <c r="HT24">
        <v>0</v>
      </c>
      <c r="HU24">
        <v>0</v>
      </c>
      <c r="HV24">
        <v>2263</v>
      </c>
      <c r="HW24">
        <v>0</v>
      </c>
      <c r="HX24">
        <v>0</v>
      </c>
      <c r="HY24">
        <v>0</v>
      </c>
      <c r="HZ24">
        <v>0</v>
      </c>
      <c r="IA24">
        <v>0</v>
      </c>
      <c r="IB24">
        <v>0</v>
      </c>
      <c r="IC24">
        <v>0</v>
      </c>
      <c r="ID24">
        <v>0</v>
      </c>
      <c r="IE24">
        <v>0</v>
      </c>
      <c r="IF24">
        <v>0</v>
      </c>
      <c r="IG24">
        <v>0</v>
      </c>
      <c r="IH24">
        <v>0</v>
      </c>
      <c r="II24">
        <v>0</v>
      </c>
      <c r="IJ24">
        <v>0</v>
      </c>
      <c r="IK24">
        <v>0</v>
      </c>
      <c r="IL24">
        <v>0</v>
      </c>
      <c r="IM24">
        <v>29194</v>
      </c>
      <c r="IN24">
        <v>2263</v>
      </c>
      <c r="IO24">
        <v>0</v>
      </c>
      <c r="IP24">
        <v>31457</v>
      </c>
      <c r="IQ24">
        <v>0</v>
      </c>
      <c r="IR24">
        <v>0</v>
      </c>
      <c r="IS24">
        <v>0</v>
      </c>
      <c r="IT24">
        <v>0</v>
      </c>
      <c r="IU24">
        <v>0</v>
      </c>
      <c r="IV24">
        <v>0</v>
      </c>
      <c r="IW24">
        <v>0</v>
      </c>
      <c r="IX24">
        <v>0</v>
      </c>
      <c r="IY24">
        <v>0</v>
      </c>
      <c r="IZ24">
        <v>0</v>
      </c>
      <c r="JA24">
        <v>0</v>
      </c>
      <c r="JB24">
        <v>0</v>
      </c>
      <c r="JC24">
        <v>0</v>
      </c>
      <c r="JD24">
        <v>0</v>
      </c>
      <c r="JE24">
        <v>-49</v>
      </c>
      <c r="JF24">
        <v>0</v>
      </c>
      <c r="JG24">
        <v>31408</v>
      </c>
      <c r="JH24">
        <v>0</v>
      </c>
      <c r="JI24">
        <v>747</v>
      </c>
      <c r="JJ24">
        <v>0</v>
      </c>
      <c r="JK24">
        <v>0</v>
      </c>
      <c r="JL24">
        <v>0</v>
      </c>
      <c r="JM24">
        <v>0</v>
      </c>
      <c r="JN24">
        <v>276</v>
      </c>
      <c r="JO24">
        <v>0</v>
      </c>
      <c r="JP24">
        <v>422</v>
      </c>
      <c r="JQ24">
        <v>0</v>
      </c>
      <c r="JR24">
        <v>32853</v>
      </c>
      <c r="JS24">
        <v>-56</v>
      </c>
      <c r="JT24">
        <v>0</v>
      </c>
      <c r="JU24">
        <v>0</v>
      </c>
      <c r="JV24">
        <v>0</v>
      </c>
      <c r="JW24">
        <v>0</v>
      </c>
      <c r="JX24">
        <v>0</v>
      </c>
      <c r="JY24">
        <v>0</v>
      </c>
      <c r="JZ24">
        <v>0</v>
      </c>
      <c r="KA24">
        <v>0</v>
      </c>
      <c r="KB24">
        <v>0</v>
      </c>
      <c r="KC24">
        <v>32797</v>
      </c>
      <c r="KD24">
        <v>0</v>
      </c>
      <c r="KE24">
        <v>-524</v>
      </c>
      <c r="KF24">
        <v>32273</v>
      </c>
      <c r="KG24">
        <v>0</v>
      </c>
      <c r="KH24">
        <v>0</v>
      </c>
      <c r="KI24">
        <v>0</v>
      </c>
      <c r="KJ24">
        <v>0</v>
      </c>
      <c r="KK24">
        <v>-781</v>
      </c>
      <c r="KL24">
        <v>0</v>
      </c>
      <c r="KM24">
        <v>-2333</v>
      </c>
      <c r="KN24">
        <v>0</v>
      </c>
      <c r="KO24">
        <v>-7693</v>
      </c>
      <c r="KP24">
        <v>232</v>
      </c>
      <c r="KQ24">
        <v>1500</v>
      </c>
      <c r="KR24">
        <v>22193</v>
      </c>
      <c r="KS24">
        <v>0</v>
      </c>
      <c r="KT24">
        <v>0</v>
      </c>
      <c r="KU24">
        <v>0</v>
      </c>
      <c r="KV24">
        <v>13505</v>
      </c>
      <c r="KW24">
        <v>2400</v>
      </c>
      <c r="KX24">
        <v>0</v>
      </c>
      <c r="KY24">
        <v>0</v>
      </c>
      <c r="KZ24">
        <v>0</v>
      </c>
      <c r="LA24">
        <v>12724</v>
      </c>
      <c r="LB24">
        <v>2400</v>
      </c>
      <c r="LC24">
        <v>0</v>
      </c>
      <c r="LD24">
        <v>1720</v>
      </c>
      <c r="LE24">
        <v>0</v>
      </c>
      <c r="LF24">
        <v>58</v>
      </c>
      <c r="LG24">
        <v>0</v>
      </c>
      <c r="LH24">
        <v>0</v>
      </c>
      <c r="LI24">
        <v>1778</v>
      </c>
      <c r="LJ24">
        <v>0</v>
      </c>
      <c r="LK24">
        <v>0</v>
      </c>
      <c r="LL24">
        <v>0</v>
      </c>
      <c r="LM24">
        <v>0</v>
      </c>
      <c r="LN24">
        <v>0</v>
      </c>
      <c r="LO24">
        <v>0</v>
      </c>
      <c r="LP24">
        <v>0</v>
      </c>
      <c r="LQ24">
        <v>0</v>
      </c>
      <c r="LR24">
        <v>0</v>
      </c>
      <c r="LS24">
        <v>0</v>
      </c>
      <c r="LT24">
        <v>0</v>
      </c>
      <c r="LU24">
        <v>0</v>
      </c>
      <c r="LV24">
        <v>0</v>
      </c>
      <c r="LW24">
        <v>0</v>
      </c>
      <c r="LX24">
        <v>0</v>
      </c>
      <c r="LY24">
        <v>0</v>
      </c>
      <c r="LZ24">
        <v>0</v>
      </c>
      <c r="MA24">
        <v>0</v>
      </c>
      <c r="MB24">
        <v>0</v>
      </c>
      <c r="MC24">
        <v>0</v>
      </c>
      <c r="MD24">
        <v>0</v>
      </c>
      <c r="ME24">
        <v>29194</v>
      </c>
      <c r="MF24">
        <v>2263</v>
      </c>
      <c r="MG24">
        <v>0</v>
      </c>
      <c r="MH24">
        <v>31457</v>
      </c>
      <c r="MI24">
        <v>0</v>
      </c>
      <c r="MJ24">
        <v>0</v>
      </c>
      <c r="MK24">
        <v>0</v>
      </c>
      <c r="ML24">
        <v>0</v>
      </c>
      <c r="MM24">
        <v>0</v>
      </c>
      <c r="MN24">
        <v>0</v>
      </c>
      <c r="MO24">
        <v>0</v>
      </c>
      <c r="MP24">
        <v>0</v>
      </c>
      <c r="MQ24">
        <v>0</v>
      </c>
      <c r="MR24">
        <v>0</v>
      </c>
      <c r="MS24">
        <v>0</v>
      </c>
      <c r="MT24">
        <v>0</v>
      </c>
      <c r="MU24">
        <v>0</v>
      </c>
      <c r="MV24">
        <v>0</v>
      </c>
      <c r="MW24">
        <v>0</v>
      </c>
      <c r="MX24">
        <v>0</v>
      </c>
      <c r="MY24">
        <v>0</v>
      </c>
      <c r="MZ24">
        <v>0</v>
      </c>
      <c r="NA24">
        <v>0</v>
      </c>
      <c r="NB24">
        <v>0</v>
      </c>
      <c r="NC24">
        <v>0</v>
      </c>
      <c r="ND24">
        <v>0</v>
      </c>
      <c r="NE24">
        <v>0</v>
      </c>
      <c r="NF24">
        <v>0</v>
      </c>
      <c r="NG24">
        <v>0</v>
      </c>
      <c r="NH24">
        <v>0</v>
      </c>
      <c r="NI24">
        <v>0</v>
      </c>
      <c r="NJ24">
        <v>0</v>
      </c>
      <c r="NK24">
        <v>0</v>
      </c>
      <c r="NL24">
        <v>0</v>
      </c>
      <c r="NM24">
        <v>0</v>
      </c>
      <c r="NN24">
        <v>0</v>
      </c>
      <c r="NO24">
        <v>0</v>
      </c>
      <c r="NP24">
        <v>0</v>
      </c>
      <c r="NQ24">
        <v>0</v>
      </c>
      <c r="NR24">
        <v>0</v>
      </c>
      <c r="NS24">
        <v>0</v>
      </c>
      <c r="NT24">
        <v>0</v>
      </c>
      <c r="NU24">
        <v>0</v>
      </c>
      <c r="NV24">
        <v>0</v>
      </c>
      <c r="NW24">
        <v>0</v>
      </c>
      <c r="NX24">
        <v>0</v>
      </c>
      <c r="NY24">
        <v>0</v>
      </c>
      <c r="NZ24">
        <v>0</v>
      </c>
      <c r="OA24">
        <v>0</v>
      </c>
      <c r="OB24">
        <v>0</v>
      </c>
      <c r="OC24">
        <v>0</v>
      </c>
      <c r="OD24">
        <v>0</v>
      </c>
      <c r="OE24">
        <v>0</v>
      </c>
      <c r="OF24">
        <v>0</v>
      </c>
      <c r="OG24">
        <v>0</v>
      </c>
      <c r="OH24">
        <v>0</v>
      </c>
      <c r="OI24">
        <v>0</v>
      </c>
      <c r="OJ24">
        <v>0</v>
      </c>
      <c r="OK24">
        <v>0</v>
      </c>
      <c r="OL24">
        <v>0</v>
      </c>
      <c r="OM24">
        <v>0</v>
      </c>
      <c r="ON24">
        <v>0</v>
      </c>
    </row>
    <row r="25" spans="1:404" hidden="1" x14ac:dyDescent="0.25">
      <c r="A25" t="s">
        <v>137</v>
      </c>
      <c r="B25" t="s">
        <v>138</v>
      </c>
      <c r="C25" t="s">
        <v>136</v>
      </c>
      <c r="E25" t="s">
        <v>71</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v>
      </c>
      <c r="BF25">
        <v>0</v>
      </c>
      <c r="BG25">
        <v>0</v>
      </c>
      <c r="BH25">
        <v>0</v>
      </c>
      <c r="BI25">
        <v>0</v>
      </c>
      <c r="BJ25">
        <v>0</v>
      </c>
      <c r="BK25">
        <v>0</v>
      </c>
      <c r="BL25">
        <v>0</v>
      </c>
      <c r="BM25">
        <v>0</v>
      </c>
      <c r="BN25">
        <v>0</v>
      </c>
      <c r="BO25">
        <v>0</v>
      </c>
      <c r="BP25">
        <v>0</v>
      </c>
      <c r="BQ25">
        <v>0</v>
      </c>
      <c r="BR25">
        <v>0</v>
      </c>
      <c r="BS25">
        <v>0</v>
      </c>
      <c r="BT25">
        <v>0</v>
      </c>
      <c r="BU25">
        <v>0</v>
      </c>
      <c r="BV25">
        <v>0</v>
      </c>
      <c r="BW25">
        <v>0</v>
      </c>
      <c r="BX25">
        <v>0</v>
      </c>
      <c r="BY25">
        <v>0</v>
      </c>
      <c r="BZ25">
        <v>0</v>
      </c>
      <c r="CA25">
        <v>0</v>
      </c>
      <c r="CB25">
        <v>0</v>
      </c>
      <c r="CC25">
        <v>0</v>
      </c>
      <c r="CD25">
        <v>0</v>
      </c>
      <c r="CE25">
        <v>0</v>
      </c>
      <c r="CF25">
        <v>0</v>
      </c>
      <c r="CG25">
        <v>0</v>
      </c>
      <c r="CH25">
        <v>0</v>
      </c>
      <c r="CI25">
        <v>0</v>
      </c>
      <c r="CJ25">
        <v>0</v>
      </c>
      <c r="CK25">
        <v>0</v>
      </c>
      <c r="CL25">
        <v>0</v>
      </c>
      <c r="CM25">
        <v>0</v>
      </c>
      <c r="CN25">
        <v>0</v>
      </c>
      <c r="CO25">
        <v>0</v>
      </c>
      <c r="CP25">
        <v>0</v>
      </c>
      <c r="CQ25">
        <v>0</v>
      </c>
      <c r="CR25">
        <v>0</v>
      </c>
      <c r="CS25">
        <v>0</v>
      </c>
      <c r="CT25">
        <v>0</v>
      </c>
      <c r="CU25">
        <v>0</v>
      </c>
      <c r="CV25">
        <v>0</v>
      </c>
      <c r="CW25">
        <v>0</v>
      </c>
      <c r="CX25">
        <v>0</v>
      </c>
      <c r="CY25">
        <v>0</v>
      </c>
      <c r="CZ25">
        <v>0</v>
      </c>
      <c r="DA25">
        <v>0</v>
      </c>
      <c r="DB25">
        <v>0</v>
      </c>
      <c r="DC25">
        <v>0</v>
      </c>
      <c r="DD25">
        <v>0</v>
      </c>
      <c r="DE25">
        <v>0</v>
      </c>
      <c r="DF25">
        <v>0</v>
      </c>
      <c r="DG25">
        <v>0</v>
      </c>
      <c r="DH25">
        <v>0</v>
      </c>
      <c r="DI25">
        <v>0</v>
      </c>
      <c r="DJ25">
        <v>0</v>
      </c>
      <c r="DK25">
        <v>0</v>
      </c>
      <c r="DL25">
        <v>0</v>
      </c>
      <c r="DM25">
        <v>0</v>
      </c>
      <c r="DN25">
        <v>0</v>
      </c>
      <c r="DO25">
        <v>0</v>
      </c>
      <c r="DP25">
        <v>0</v>
      </c>
      <c r="DQ25">
        <v>0</v>
      </c>
      <c r="DR25">
        <v>0</v>
      </c>
      <c r="DS25">
        <v>0</v>
      </c>
      <c r="DT25">
        <v>0</v>
      </c>
      <c r="DU25">
        <v>0</v>
      </c>
      <c r="DV25">
        <v>0</v>
      </c>
      <c r="DW25">
        <v>0</v>
      </c>
      <c r="DX25">
        <v>0</v>
      </c>
      <c r="DY25">
        <v>0</v>
      </c>
      <c r="DZ25">
        <v>0</v>
      </c>
      <c r="EA25">
        <v>0</v>
      </c>
      <c r="EB25">
        <v>0</v>
      </c>
      <c r="EC25">
        <v>0</v>
      </c>
      <c r="ED25">
        <v>0</v>
      </c>
      <c r="EE25">
        <v>0</v>
      </c>
      <c r="EF25">
        <v>0</v>
      </c>
      <c r="EG25">
        <v>0</v>
      </c>
      <c r="EH25">
        <v>0</v>
      </c>
      <c r="EI25">
        <v>0</v>
      </c>
      <c r="EJ25">
        <v>0</v>
      </c>
      <c r="EK25">
        <v>0</v>
      </c>
      <c r="EL25">
        <v>0</v>
      </c>
      <c r="EM25">
        <v>0</v>
      </c>
      <c r="EN25">
        <v>0</v>
      </c>
      <c r="EO25">
        <v>0</v>
      </c>
      <c r="EP25">
        <v>0</v>
      </c>
      <c r="EQ25">
        <v>0</v>
      </c>
      <c r="ER25">
        <v>0</v>
      </c>
      <c r="ES25">
        <v>0</v>
      </c>
      <c r="ET25">
        <v>0</v>
      </c>
      <c r="EU25">
        <v>0</v>
      </c>
      <c r="EV25">
        <v>0</v>
      </c>
      <c r="EW25">
        <v>0</v>
      </c>
      <c r="EX25">
        <v>0</v>
      </c>
      <c r="EY25">
        <v>0</v>
      </c>
      <c r="EZ25">
        <v>0</v>
      </c>
      <c r="FA25">
        <v>0</v>
      </c>
      <c r="FB25">
        <v>0</v>
      </c>
      <c r="FC25">
        <v>0</v>
      </c>
      <c r="FD25">
        <v>0</v>
      </c>
      <c r="FE25">
        <v>0</v>
      </c>
      <c r="FF25">
        <v>0</v>
      </c>
      <c r="FG25">
        <v>0</v>
      </c>
      <c r="FH25">
        <v>0</v>
      </c>
      <c r="FI25">
        <v>0</v>
      </c>
      <c r="FJ25">
        <v>0</v>
      </c>
      <c r="FK25">
        <v>0</v>
      </c>
      <c r="FL25">
        <v>0</v>
      </c>
      <c r="FM25">
        <v>0</v>
      </c>
      <c r="FN25">
        <v>0</v>
      </c>
      <c r="FO25">
        <v>0</v>
      </c>
      <c r="FP25">
        <v>0</v>
      </c>
      <c r="FQ25">
        <v>0</v>
      </c>
      <c r="FR25">
        <v>0</v>
      </c>
      <c r="FS25">
        <v>0</v>
      </c>
      <c r="FT25">
        <v>0</v>
      </c>
      <c r="FU25">
        <v>0</v>
      </c>
      <c r="FV25">
        <v>0</v>
      </c>
      <c r="FW25">
        <v>0</v>
      </c>
      <c r="FX25">
        <v>0</v>
      </c>
      <c r="FY25">
        <v>0</v>
      </c>
      <c r="FZ25">
        <v>0</v>
      </c>
      <c r="GA25">
        <v>0</v>
      </c>
      <c r="GB25">
        <v>0</v>
      </c>
      <c r="GC25">
        <v>0</v>
      </c>
      <c r="GD25">
        <v>0</v>
      </c>
      <c r="GE25">
        <v>0</v>
      </c>
      <c r="GF25">
        <v>0</v>
      </c>
      <c r="GG25">
        <v>0</v>
      </c>
      <c r="GH25">
        <v>0</v>
      </c>
      <c r="GI25">
        <v>0</v>
      </c>
      <c r="GJ25">
        <v>0</v>
      </c>
      <c r="GK25">
        <v>0</v>
      </c>
      <c r="GL25">
        <v>0</v>
      </c>
      <c r="GM25">
        <v>0</v>
      </c>
      <c r="GN25">
        <v>0</v>
      </c>
      <c r="GO25">
        <v>0</v>
      </c>
      <c r="GP25">
        <v>0</v>
      </c>
      <c r="GQ25">
        <v>0</v>
      </c>
      <c r="GR25">
        <v>0</v>
      </c>
      <c r="GS25">
        <v>0</v>
      </c>
      <c r="GT25">
        <v>0</v>
      </c>
      <c r="GU25">
        <v>0</v>
      </c>
      <c r="GV25">
        <v>0</v>
      </c>
      <c r="GW25">
        <v>149892</v>
      </c>
      <c r="GX25">
        <v>0</v>
      </c>
      <c r="GY25">
        <v>0</v>
      </c>
      <c r="GZ25">
        <v>0</v>
      </c>
      <c r="HA25">
        <v>0</v>
      </c>
      <c r="HB25">
        <v>2258</v>
      </c>
      <c r="HC25">
        <v>0</v>
      </c>
      <c r="HD25">
        <v>0</v>
      </c>
      <c r="HE25">
        <v>0</v>
      </c>
      <c r="HF25">
        <v>0</v>
      </c>
      <c r="HG25">
        <v>0</v>
      </c>
      <c r="HH25">
        <v>0</v>
      </c>
      <c r="HI25">
        <v>0</v>
      </c>
      <c r="HJ25">
        <v>0</v>
      </c>
      <c r="HK25">
        <v>0</v>
      </c>
      <c r="HL25">
        <v>0</v>
      </c>
      <c r="HM25">
        <v>0</v>
      </c>
      <c r="HN25">
        <v>0</v>
      </c>
      <c r="HO25">
        <v>0</v>
      </c>
      <c r="HP25">
        <v>0</v>
      </c>
      <c r="HQ25">
        <v>0</v>
      </c>
      <c r="HR25">
        <v>0</v>
      </c>
      <c r="HS25">
        <v>0</v>
      </c>
      <c r="HT25">
        <v>0</v>
      </c>
      <c r="HU25">
        <v>0</v>
      </c>
      <c r="HV25">
        <v>2258</v>
      </c>
      <c r="HW25">
        <v>0</v>
      </c>
      <c r="HX25">
        <v>0</v>
      </c>
      <c r="HY25">
        <v>0</v>
      </c>
      <c r="HZ25">
        <v>0</v>
      </c>
      <c r="IA25">
        <v>0</v>
      </c>
      <c r="IB25">
        <v>0</v>
      </c>
      <c r="IC25">
        <v>0</v>
      </c>
      <c r="ID25">
        <v>0</v>
      </c>
      <c r="IE25">
        <v>0</v>
      </c>
      <c r="IF25">
        <v>0</v>
      </c>
      <c r="IG25">
        <v>0</v>
      </c>
      <c r="IH25">
        <v>0</v>
      </c>
      <c r="II25">
        <v>0</v>
      </c>
      <c r="IJ25">
        <v>0</v>
      </c>
      <c r="IK25">
        <v>0</v>
      </c>
      <c r="IL25">
        <v>149892</v>
      </c>
      <c r="IM25">
        <v>0</v>
      </c>
      <c r="IN25">
        <v>2258</v>
      </c>
      <c r="IO25">
        <v>0</v>
      </c>
      <c r="IP25">
        <v>152150</v>
      </c>
      <c r="IQ25">
        <v>0</v>
      </c>
      <c r="IR25">
        <v>0</v>
      </c>
      <c r="IS25">
        <v>0</v>
      </c>
      <c r="IT25">
        <v>0</v>
      </c>
      <c r="IU25">
        <v>0</v>
      </c>
      <c r="IV25">
        <v>0</v>
      </c>
      <c r="IW25">
        <v>0</v>
      </c>
      <c r="IX25">
        <v>0</v>
      </c>
      <c r="IY25">
        <v>0</v>
      </c>
      <c r="IZ25">
        <v>0</v>
      </c>
      <c r="JA25">
        <v>0</v>
      </c>
      <c r="JB25">
        <v>0</v>
      </c>
      <c r="JC25">
        <v>0</v>
      </c>
      <c r="JD25">
        <v>0</v>
      </c>
      <c r="JE25">
        <v>0</v>
      </c>
      <c r="JF25">
        <v>0</v>
      </c>
      <c r="JG25">
        <v>152150</v>
      </c>
      <c r="JH25">
        <v>0</v>
      </c>
      <c r="JI25">
        <v>2767</v>
      </c>
      <c r="JJ25">
        <v>0</v>
      </c>
      <c r="JK25">
        <v>0</v>
      </c>
      <c r="JL25">
        <v>0</v>
      </c>
      <c r="JM25">
        <v>0</v>
      </c>
      <c r="JN25">
        <v>748</v>
      </c>
      <c r="JO25">
        <v>0</v>
      </c>
      <c r="JP25">
        <v>618</v>
      </c>
      <c r="JQ25">
        <v>0</v>
      </c>
      <c r="JR25">
        <v>156283</v>
      </c>
      <c r="JS25">
        <v>-14</v>
      </c>
      <c r="JT25">
        <v>0</v>
      </c>
      <c r="JU25">
        <v>0</v>
      </c>
      <c r="JV25">
        <v>0</v>
      </c>
      <c r="JW25">
        <v>0</v>
      </c>
      <c r="JX25">
        <v>0</v>
      </c>
      <c r="JY25">
        <v>0</v>
      </c>
      <c r="JZ25">
        <v>0</v>
      </c>
      <c r="KA25">
        <v>0</v>
      </c>
      <c r="KB25">
        <v>0</v>
      </c>
      <c r="KC25">
        <v>156269</v>
      </c>
      <c r="KD25">
        <v>0</v>
      </c>
      <c r="KE25">
        <v>-27944</v>
      </c>
      <c r="KF25">
        <v>128325</v>
      </c>
      <c r="KG25">
        <v>0</v>
      </c>
      <c r="KH25">
        <v>0</v>
      </c>
      <c r="KI25">
        <v>0</v>
      </c>
      <c r="KJ25">
        <v>0</v>
      </c>
      <c r="KK25">
        <v>-1975</v>
      </c>
      <c r="KL25">
        <v>1081</v>
      </c>
      <c r="KM25">
        <v>0</v>
      </c>
      <c r="KN25">
        <v>-77866</v>
      </c>
      <c r="KO25">
        <v>0</v>
      </c>
      <c r="KP25">
        <v>490</v>
      </c>
      <c r="KQ25">
        <v>0</v>
      </c>
      <c r="KR25">
        <v>49211</v>
      </c>
      <c r="KS25">
        <v>0</v>
      </c>
      <c r="KT25">
        <v>0</v>
      </c>
      <c r="KU25">
        <v>0</v>
      </c>
      <c r="KV25">
        <v>9449</v>
      </c>
      <c r="KW25">
        <v>3000</v>
      </c>
      <c r="KX25">
        <v>0</v>
      </c>
      <c r="KY25">
        <v>0</v>
      </c>
      <c r="KZ25">
        <v>0</v>
      </c>
      <c r="LA25">
        <v>7474</v>
      </c>
      <c r="LB25">
        <v>4081</v>
      </c>
      <c r="LC25">
        <v>0</v>
      </c>
      <c r="LD25">
        <v>5142</v>
      </c>
      <c r="LE25">
        <v>0</v>
      </c>
      <c r="LF25">
        <v>0</v>
      </c>
      <c r="LG25">
        <v>-1528</v>
      </c>
      <c r="LH25">
        <v>0</v>
      </c>
      <c r="LI25">
        <v>3614</v>
      </c>
      <c r="LJ25">
        <v>0</v>
      </c>
      <c r="LK25">
        <v>0</v>
      </c>
      <c r="LL25">
        <v>0</v>
      </c>
      <c r="LM25">
        <v>0</v>
      </c>
      <c r="LN25">
        <v>0</v>
      </c>
      <c r="LO25">
        <v>0</v>
      </c>
      <c r="LP25">
        <v>0</v>
      </c>
      <c r="LQ25">
        <v>0</v>
      </c>
      <c r="LR25">
        <v>0</v>
      </c>
      <c r="LS25">
        <v>0</v>
      </c>
      <c r="LT25">
        <v>0</v>
      </c>
      <c r="LU25">
        <v>0</v>
      </c>
      <c r="LV25">
        <v>0</v>
      </c>
      <c r="LW25">
        <v>0</v>
      </c>
      <c r="LX25">
        <v>0</v>
      </c>
      <c r="LY25">
        <v>0</v>
      </c>
      <c r="LZ25">
        <v>0</v>
      </c>
      <c r="MA25">
        <v>0</v>
      </c>
      <c r="MB25">
        <v>0</v>
      </c>
      <c r="MC25">
        <v>0</v>
      </c>
      <c r="MD25">
        <v>149892</v>
      </c>
      <c r="ME25">
        <v>0</v>
      </c>
      <c r="MF25">
        <v>2258</v>
      </c>
      <c r="MG25">
        <v>0</v>
      </c>
      <c r="MH25">
        <v>152150</v>
      </c>
      <c r="MI25">
        <v>0</v>
      </c>
      <c r="MJ25">
        <v>0</v>
      </c>
      <c r="MK25">
        <v>0</v>
      </c>
      <c r="ML25">
        <v>0</v>
      </c>
      <c r="MM25">
        <v>0</v>
      </c>
      <c r="MN25">
        <v>0</v>
      </c>
      <c r="MO25">
        <v>0</v>
      </c>
      <c r="MP25">
        <v>0</v>
      </c>
      <c r="MQ25">
        <v>0</v>
      </c>
      <c r="MR25">
        <v>0</v>
      </c>
      <c r="MS25">
        <v>0</v>
      </c>
      <c r="MT25">
        <v>0</v>
      </c>
      <c r="MU25">
        <v>0</v>
      </c>
      <c r="MV25">
        <v>0</v>
      </c>
      <c r="MW25">
        <v>0</v>
      </c>
      <c r="MX25">
        <v>0</v>
      </c>
      <c r="MY25">
        <v>0</v>
      </c>
      <c r="MZ25">
        <v>0</v>
      </c>
      <c r="NA25">
        <v>0</v>
      </c>
      <c r="NB25">
        <v>0</v>
      </c>
      <c r="NC25">
        <v>0</v>
      </c>
      <c r="ND25">
        <v>0</v>
      </c>
      <c r="NE25">
        <v>0</v>
      </c>
      <c r="NF25">
        <v>0</v>
      </c>
      <c r="NG25">
        <v>0</v>
      </c>
      <c r="NH25">
        <v>0</v>
      </c>
      <c r="NI25">
        <v>0</v>
      </c>
      <c r="NJ25">
        <v>0</v>
      </c>
      <c r="NK25">
        <v>0</v>
      </c>
      <c r="NL25">
        <v>0</v>
      </c>
      <c r="NM25">
        <v>0</v>
      </c>
      <c r="NN25">
        <v>0</v>
      </c>
      <c r="NO25">
        <v>0</v>
      </c>
      <c r="NP25">
        <v>0</v>
      </c>
      <c r="NQ25">
        <v>0</v>
      </c>
      <c r="NR25">
        <v>0</v>
      </c>
      <c r="NS25">
        <v>0</v>
      </c>
      <c r="NT25">
        <v>0</v>
      </c>
      <c r="NU25">
        <v>0</v>
      </c>
      <c r="NV25">
        <v>0</v>
      </c>
      <c r="NW25">
        <v>0</v>
      </c>
      <c r="NX25">
        <v>0</v>
      </c>
      <c r="NY25">
        <v>0</v>
      </c>
      <c r="NZ25">
        <v>0</v>
      </c>
      <c r="OA25">
        <v>0</v>
      </c>
      <c r="OB25">
        <v>0</v>
      </c>
      <c r="OC25">
        <v>0</v>
      </c>
      <c r="OD25">
        <v>0</v>
      </c>
      <c r="OE25">
        <v>0</v>
      </c>
      <c r="OF25">
        <v>0</v>
      </c>
      <c r="OG25">
        <v>0</v>
      </c>
      <c r="OH25">
        <v>0</v>
      </c>
      <c r="OI25">
        <v>0</v>
      </c>
      <c r="OJ25">
        <v>0</v>
      </c>
      <c r="OK25">
        <v>0</v>
      </c>
      <c r="OL25">
        <v>0</v>
      </c>
      <c r="OM25">
        <v>0</v>
      </c>
      <c r="ON25">
        <v>0</v>
      </c>
    </row>
    <row r="26" spans="1:404" hidden="1" x14ac:dyDescent="0.25">
      <c r="A26" t="s">
        <v>140</v>
      </c>
      <c r="B26" t="s">
        <v>141</v>
      </c>
      <c r="C26" t="s">
        <v>5410</v>
      </c>
      <c r="E26" t="s">
        <v>5408</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v>0</v>
      </c>
      <c r="BI26">
        <v>0</v>
      </c>
      <c r="BJ26">
        <v>0</v>
      </c>
      <c r="BK26">
        <v>0</v>
      </c>
      <c r="BL26">
        <v>0</v>
      </c>
      <c r="BM26">
        <v>0</v>
      </c>
      <c r="BN26">
        <v>0</v>
      </c>
      <c r="BO26">
        <v>0</v>
      </c>
      <c r="BP26">
        <v>0</v>
      </c>
      <c r="BQ26">
        <v>0</v>
      </c>
      <c r="BR26">
        <v>0</v>
      </c>
      <c r="BS26">
        <v>0</v>
      </c>
      <c r="BT26">
        <v>0</v>
      </c>
      <c r="BU26">
        <v>0</v>
      </c>
      <c r="BV26">
        <v>0</v>
      </c>
      <c r="BW26">
        <v>0</v>
      </c>
      <c r="BX26">
        <v>0</v>
      </c>
      <c r="BY26">
        <v>0</v>
      </c>
      <c r="BZ26">
        <v>0</v>
      </c>
      <c r="CA26">
        <v>0</v>
      </c>
      <c r="CB26">
        <v>0</v>
      </c>
      <c r="CC26">
        <v>0</v>
      </c>
      <c r="CD26">
        <v>0</v>
      </c>
      <c r="CE26">
        <v>0</v>
      </c>
      <c r="CF26">
        <v>0</v>
      </c>
      <c r="CG26">
        <v>0</v>
      </c>
      <c r="CH26">
        <v>0</v>
      </c>
      <c r="CI26">
        <v>0</v>
      </c>
      <c r="CJ26">
        <v>0</v>
      </c>
      <c r="CK26">
        <v>0</v>
      </c>
      <c r="CL26">
        <v>0</v>
      </c>
      <c r="CM26">
        <v>0</v>
      </c>
      <c r="CN26">
        <v>0</v>
      </c>
      <c r="CO26">
        <v>0</v>
      </c>
      <c r="CP26">
        <v>0</v>
      </c>
      <c r="CQ26">
        <v>0</v>
      </c>
      <c r="CR26">
        <v>0</v>
      </c>
      <c r="CS26">
        <v>0</v>
      </c>
      <c r="CT26">
        <v>0</v>
      </c>
      <c r="CU26">
        <v>0</v>
      </c>
      <c r="CV26">
        <v>0</v>
      </c>
      <c r="CW26">
        <v>0</v>
      </c>
      <c r="CX26">
        <v>0</v>
      </c>
      <c r="CY26">
        <v>0</v>
      </c>
      <c r="CZ26">
        <v>0</v>
      </c>
      <c r="DA26">
        <v>0</v>
      </c>
      <c r="DB26">
        <v>0</v>
      </c>
      <c r="DC26">
        <v>0</v>
      </c>
      <c r="DD26">
        <v>0</v>
      </c>
      <c r="DE26">
        <v>0</v>
      </c>
      <c r="DF26">
        <v>0</v>
      </c>
      <c r="DG26">
        <v>0</v>
      </c>
      <c r="DH26">
        <v>0</v>
      </c>
      <c r="DI26">
        <v>0</v>
      </c>
      <c r="DJ26">
        <v>0</v>
      </c>
      <c r="DK26">
        <v>0</v>
      </c>
      <c r="DL26">
        <v>0</v>
      </c>
      <c r="DM26">
        <v>0</v>
      </c>
      <c r="DN26">
        <v>0</v>
      </c>
      <c r="DO26">
        <v>0</v>
      </c>
      <c r="DP26">
        <v>0</v>
      </c>
      <c r="DQ26">
        <v>0</v>
      </c>
      <c r="DR26">
        <v>0</v>
      </c>
      <c r="DS26">
        <v>0</v>
      </c>
      <c r="DT26">
        <v>0</v>
      </c>
      <c r="DU26">
        <v>0</v>
      </c>
      <c r="DV26">
        <v>0</v>
      </c>
      <c r="DW26">
        <v>0</v>
      </c>
      <c r="DX26">
        <v>0</v>
      </c>
      <c r="DY26">
        <v>0</v>
      </c>
      <c r="DZ26">
        <v>0</v>
      </c>
      <c r="EA26">
        <v>0</v>
      </c>
      <c r="EB26">
        <v>0</v>
      </c>
      <c r="EC26">
        <v>0</v>
      </c>
      <c r="ED26">
        <v>0</v>
      </c>
      <c r="EE26">
        <v>0</v>
      </c>
      <c r="EF26">
        <v>0</v>
      </c>
      <c r="EG26">
        <v>0</v>
      </c>
      <c r="EH26">
        <v>0</v>
      </c>
      <c r="EI26">
        <v>0</v>
      </c>
      <c r="EJ26">
        <v>0</v>
      </c>
      <c r="EK26">
        <v>0</v>
      </c>
      <c r="EL26">
        <v>0</v>
      </c>
      <c r="EM26">
        <v>0</v>
      </c>
      <c r="EN26">
        <v>0</v>
      </c>
      <c r="EO26">
        <v>0</v>
      </c>
      <c r="EP26">
        <v>0</v>
      </c>
      <c r="EQ26">
        <v>0</v>
      </c>
      <c r="ER26">
        <v>0</v>
      </c>
      <c r="ES26">
        <v>0</v>
      </c>
      <c r="ET26">
        <v>0</v>
      </c>
      <c r="EU26">
        <v>0</v>
      </c>
      <c r="EV26">
        <v>0</v>
      </c>
      <c r="EW26">
        <v>0</v>
      </c>
      <c r="EX26">
        <v>0</v>
      </c>
      <c r="EY26">
        <v>0</v>
      </c>
      <c r="EZ26">
        <v>0</v>
      </c>
      <c r="FA26">
        <v>0</v>
      </c>
      <c r="FB26">
        <v>0</v>
      </c>
      <c r="FC26">
        <v>0</v>
      </c>
      <c r="FD26">
        <v>0</v>
      </c>
      <c r="FE26">
        <v>0</v>
      </c>
      <c r="FF26">
        <v>0</v>
      </c>
      <c r="FG26">
        <v>0</v>
      </c>
      <c r="FH26">
        <v>0</v>
      </c>
      <c r="FI26">
        <v>0</v>
      </c>
      <c r="FJ26">
        <v>0</v>
      </c>
      <c r="FK26">
        <v>0</v>
      </c>
      <c r="FL26">
        <v>0</v>
      </c>
      <c r="FM26">
        <v>0</v>
      </c>
      <c r="FN26">
        <v>0</v>
      </c>
      <c r="FO26">
        <v>0</v>
      </c>
      <c r="FP26">
        <v>0</v>
      </c>
      <c r="FQ26">
        <v>0</v>
      </c>
      <c r="FR26">
        <v>0</v>
      </c>
      <c r="FS26">
        <v>0</v>
      </c>
      <c r="FT26">
        <v>0</v>
      </c>
      <c r="FU26">
        <v>0</v>
      </c>
      <c r="FV26">
        <v>0</v>
      </c>
      <c r="FW26">
        <v>0</v>
      </c>
      <c r="FX26">
        <v>0</v>
      </c>
      <c r="FY26">
        <v>0</v>
      </c>
      <c r="FZ26">
        <v>0</v>
      </c>
      <c r="GA26">
        <v>0</v>
      </c>
      <c r="GB26">
        <v>0</v>
      </c>
      <c r="GC26">
        <v>0</v>
      </c>
      <c r="GD26">
        <v>0</v>
      </c>
      <c r="GE26">
        <v>0</v>
      </c>
      <c r="GF26">
        <v>0</v>
      </c>
      <c r="GG26">
        <v>0</v>
      </c>
      <c r="GH26">
        <v>0</v>
      </c>
      <c r="GI26">
        <v>0</v>
      </c>
      <c r="GJ26">
        <v>0</v>
      </c>
      <c r="GK26">
        <v>0</v>
      </c>
      <c r="GL26">
        <v>0</v>
      </c>
      <c r="GM26">
        <v>0</v>
      </c>
      <c r="GN26">
        <v>0</v>
      </c>
      <c r="GO26">
        <v>0</v>
      </c>
      <c r="GP26">
        <v>0</v>
      </c>
      <c r="GQ26">
        <v>0</v>
      </c>
      <c r="GR26">
        <v>0</v>
      </c>
      <c r="GS26">
        <v>0</v>
      </c>
      <c r="GT26">
        <v>0</v>
      </c>
      <c r="GU26">
        <v>0</v>
      </c>
      <c r="GV26">
        <v>0</v>
      </c>
      <c r="GW26">
        <v>0</v>
      </c>
      <c r="GX26">
        <v>12020</v>
      </c>
      <c r="GY26">
        <v>23517</v>
      </c>
      <c r="GZ26">
        <v>197</v>
      </c>
      <c r="HA26">
        <v>35734</v>
      </c>
      <c r="HB26">
        <v>1246</v>
      </c>
      <c r="HC26">
        <v>0</v>
      </c>
      <c r="HD26">
        <v>0</v>
      </c>
      <c r="HE26">
        <v>0</v>
      </c>
      <c r="HF26">
        <v>0</v>
      </c>
      <c r="HG26">
        <v>0</v>
      </c>
      <c r="HH26">
        <v>0</v>
      </c>
      <c r="HI26">
        <v>0</v>
      </c>
      <c r="HJ26">
        <v>0</v>
      </c>
      <c r="HK26">
        <v>0</v>
      </c>
      <c r="HL26">
        <v>0</v>
      </c>
      <c r="HM26">
        <v>0</v>
      </c>
      <c r="HN26">
        <v>0</v>
      </c>
      <c r="HO26">
        <v>0</v>
      </c>
      <c r="HP26">
        <v>0</v>
      </c>
      <c r="HQ26">
        <v>0</v>
      </c>
      <c r="HR26">
        <v>0</v>
      </c>
      <c r="HS26">
        <v>0</v>
      </c>
      <c r="HT26">
        <v>0</v>
      </c>
      <c r="HU26">
        <v>0</v>
      </c>
      <c r="HV26">
        <v>1246</v>
      </c>
      <c r="HW26">
        <v>0</v>
      </c>
      <c r="HX26">
        <v>0</v>
      </c>
      <c r="HY26">
        <v>0</v>
      </c>
      <c r="HZ26">
        <v>0</v>
      </c>
      <c r="IA26">
        <v>0</v>
      </c>
      <c r="IB26">
        <v>0</v>
      </c>
      <c r="IC26">
        <v>0</v>
      </c>
      <c r="ID26">
        <v>0</v>
      </c>
      <c r="IE26">
        <v>0</v>
      </c>
      <c r="IF26">
        <v>0</v>
      </c>
      <c r="IG26">
        <v>0</v>
      </c>
      <c r="IH26">
        <v>0</v>
      </c>
      <c r="II26">
        <v>0</v>
      </c>
      <c r="IJ26">
        <v>0</v>
      </c>
      <c r="IK26">
        <v>0</v>
      </c>
      <c r="IL26">
        <v>0</v>
      </c>
      <c r="IM26">
        <v>35734</v>
      </c>
      <c r="IN26">
        <v>1246</v>
      </c>
      <c r="IO26">
        <v>0</v>
      </c>
      <c r="IP26">
        <v>36980</v>
      </c>
      <c r="IQ26">
        <v>0</v>
      </c>
      <c r="IR26">
        <v>0</v>
      </c>
      <c r="IS26">
        <v>0</v>
      </c>
      <c r="IT26">
        <v>0</v>
      </c>
      <c r="IU26">
        <v>0</v>
      </c>
      <c r="IV26">
        <v>0</v>
      </c>
      <c r="IW26">
        <v>0</v>
      </c>
      <c r="IX26">
        <v>0</v>
      </c>
      <c r="IY26">
        <v>0</v>
      </c>
      <c r="IZ26">
        <v>0</v>
      </c>
      <c r="JA26">
        <v>0</v>
      </c>
      <c r="JB26">
        <v>0</v>
      </c>
      <c r="JC26">
        <v>0</v>
      </c>
      <c r="JD26">
        <v>0</v>
      </c>
      <c r="JE26">
        <v>-84</v>
      </c>
      <c r="JF26">
        <v>0</v>
      </c>
      <c r="JG26">
        <v>36896</v>
      </c>
      <c r="JH26">
        <v>0</v>
      </c>
      <c r="JI26">
        <v>600</v>
      </c>
      <c r="JJ26">
        <v>0</v>
      </c>
      <c r="JK26">
        <v>0</v>
      </c>
      <c r="JL26">
        <v>0</v>
      </c>
      <c r="JM26">
        <v>0</v>
      </c>
      <c r="JN26">
        <v>620</v>
      </c>
      <c r="JO26">
        <v>0</v>
      </c>
      <c r="JP26">
        <v>380</v>
      </c>
      <c r="JQ26">
        <v>0</v>
      </c>
      <c r="JR26">
        <v>38496</v>
      </c>
      <c r="JS26">
        <v>-11</v>
      </c>
      <c r="JT26">
        <v>0</v>
      </c>
      <c r="JU26">
        <v>0</v>
      </c>
      <c r="JV26">
        <v>0</v>
      </c>
      <c r="JW26">
        <v>0</v>
      </c>
      <c r="JX26">
        <v>0</v>
      </c>
      <c r="JY26">
        <v>0</v>
      </c>
      <c r="JZ26">
        <v>0</v>
      </c>
      <c r="KA26">
        <v>0</v>
      </c>
      <c r="KB26">
        <v>0</v>
      </c>
      <c r="KC26">
        <v>38485</v>
      </c>
      <c r="KD26">
        <v>0</v>
      </c>
      <c r="KE26">
        <v>-2594</v>
      </c>
      <c r="KF26">
        <v>35891</v>
      </c>
      <c r="KG26">
        <v>0</v>
      </c>
      <c r="KH26">
        <v>0</v>
      </c>
      <c r="KI26">
        <v>0</v>
      </c>
      <c r="KJ26">
        <v>0</v>
      </c>
      <c r="KK26">
        <v>-1320</v>
      </c>
      <c r="KL26">
        <v>0</v>
      </c>
      <c r="KM26">
        <v>-3290</v>
      </c>
      <c r="KN26">
        <v>0</v>
      </c>
      <c r="KO26">
        <v>-5549</v>
      </c>
      <c r="KP26">
        <v>112</v>
      </c>
      <c r="KQ26">
        <v>0</v>
      </c>
      <c r="KR26">
        <v>24279</v>
      </c>
      <c r="KS26">
        <v>0</v>
      </c>
      <c r="KT26">
        <v>0</v>
      </c>
      <c r="KU26">
        <v>0</v>
      </c>
      <c r="KV26">
        <v>9921</v>
      </c>
      <c r="KW26">
        <v>2267</v>
      </c>
      <c r="KX26">
        <v>0</v>
      </c>
      <c r="KY26">
        <v>0</v>
      </c>
      <c r="KZ26">
        <v>0</v>
      </c>
      <c r="LA26">
        <v>8601</v>
      </c>
      <c r="LB26">
        <v>2267</v>
      </c>
      <c r="LC26">
        <v>0</v>
      </c>
      <c r="LD26">
        <v>2254</v>
      </c>
      <c r="LE26">
        <v>93</v>
      </c>
      <c r="LF26">
        <v>3853</v>
      </c>
      <c r="LG26">
        <v>0</v>
      </c>
      <c r="LH26">
        <v>0</v>
      </c>
      <c r="LI26">
        <v>6463</v>
      </c>
      <c r="LJ26">
        <v>0</v>
      </c>
      <c r="LK26">
        <v>0</v>
      </c>
      <c r="LL26">
        <v>0</v>
      </c>
      <c r="LM26">
        <v>0</v>
      </c>
      <c r="LN26">
        <v>0</v>
      </c>
      <c r="LO26">
        <v>0</v>
      </c>
      <c r="LP26">
        <v>0</v>
      </c>
      <c r="LQ26">
        <v>0</v>
      </c>
      <c r="LR26">
        <v>0</v>
      </c>
      <c r="LS26">
        <v>0</v>
      </c>
      <c r="LT26">
        <v>0</v>
      </c>
      <c r="LU26">
        <v>0</v>
      </c>
      <c r="LV26">
        <v>0</v>
      </c>
      <c r="LW26">
        <v>0</v>
      </c>
      <c r="LX26">
        <v>0</v>
      </c>
      <c r="LY26">
        <v>0</v>
      </c>
      <c r="LZ26">
        <v>0</v>
      </c>
      <c r="MA26">
        <v>0</v>
      </c>
      <c r="MB26">
        <v>0</v>
      </c>
      <c r="MC26">
        <v>0</v>
      </c>
      <c r="MD26">
        <v>0</v>
      </c>
      <c r="ME26">
        <v>35734</v>
      </c>
      <c r="MF26">
        <v>1246</v>
      </c>
      <c r="MG26">
        <v>0</v>
      </c>
      <c r="MH26">
        <v>36980</v>
      </c>
      <c r="MI26">
        <v>0</v>
      </c>
      <c r="MJ26">
        <v>0</v>
      </c>
      <c r="MK26">
        <v>0</v>
      </c>
      <c r="ML26">
        <v>0</v>
      </c>
      <c r="MM26">
        <v>0</v>
      </c>
      <c r="MN26">
        <v>0</v>
      </c>
      <c r="MO26">
        <v>0</v>
      </c>
      <c r="MP26">
        <v>0</v>
      </c>
      <c r="MQ26">
        <v>0</v>
      </c>
      <c r="MR26">
        <v>0</v>
      </c>
      <c r="MS26">
        <v>0</v>
      </c>
      <c r="MT26">
        <v>0</v>
      </c>
      <c r="MU26">
        <v>0</v>
      </c>
      <c r="MV26">
        <v>0</v>
      </c>
      <c r="MW26">
        <v>0</v>
      </c>
      <c r="MX26">
        <v>0</v>
      </c>
      <c r="MY26">
        <v>0</v>
      </c>
      <c r="MZ26">
        <v>0</v>
      </c>
      <c r="NA26">
        <v>0</v>
      </c>
      <c r="NB26">
        <v>0</v>
      </c>
      <c r="NC26">
        <v>0</v>
      </c>
      <c r="ND26">
        <v>0</v>
      </c>
      <c r="NE26">
        <v>0</v>
      </c>
      <c r="NF26">
        <v>0</v>
      </c>
      <c r="NG26">
        <v>0</v>
      </c>
      <c r="NH26">
        <v>0</v>
      </c>
      <c r="NI26">
        <v>0</v>
      </c>
      <c r="NJ26">
        <v>0</v>
      </c>
      <c r="NK26">
        <v>0</v>
      </c>
      <c r="NL26">
        <v>0</v>
      </c>
      <c r="NM26">
        <v>0</v>
      </c>
      <c r="NN26">
        <v>0</v>
      </c>
      <c r="NO26">
        <v>0</v>
      </c>
      <c r="NP26">
        <v>0</v>
      </c>
      <c r="NQ26">
        <v>0</v>
      </c>
      <c r="NR26">
        <v>0</v>
      </c>
      <c r="NS26">
        <v>0</v>
      </c>
      <c r="NT26">
        <v>0</v>
      </c>
      <c r="NU26">
        <v>0</v>
      </c>
      <c r="NV26">
        <v>0</v>
      </c>
      <c r="NW26">
        <v>0</v>
      </c>
      <c r="NX26">
        <v>0</v>
      </c>
      <c r="NY26">
        <v>0</v>
      </c>
      <c r="NZ26">
        <v>0</v>
      </c>
      <c r="OA26">
        <v>0</v>
      </c>
      <c r="OB26">
        <v>0</v>
      </c>
      <c r="OC26">
        <v>0</v>
      </c>
      <c r="OD26">
        <v>0</v>
      </c>
      <c r="OE26">
        <v>0</v>
      </c>
      <c r="OF26">
        <v>0</v>
      </c>
      <c r="OG26">
        <v>0</v>
      </c>
      <c r="OH26">
        <v>0</v>
      </c>
      <c r="OI26">
        <v>0</v>
      </c>
      <c r="OJ26">
        <v>0</v>
      </c>
      <c r="OK26">
        <v>0</v>
      </c>
      <c r="OL26">
        <v>0</v>
      </c>
      <c r="OM26">
        <v>0</v>
      </c>
      <c r="ON26">
        <v>0</v>
      </c>
    </row>
    <row r="27" spans="1:404" hidden="1" x14ac:dyDescent="0.25">
      <c r="A27" t="s">
        <v>143</v>
      </c>
      <c r="B27" t="s">
        <v>144</v>
      </c>
      <c r="C27" t="s">
        <v>142</v>
      </c>
      <c r="E27" t="s">
        <v>1940</v>
      </c>
      <c r="F27">
        <v>17454</v>
      </c>
      <c r="G27">
        <v>38474</v>
      </c>
      <c r="H27">
        <v>4907</v>
      </c>
      <c r="I27">
        <v>22143</v>
      </c>
      <c r="J27">
        <v>2747</v>
      </c>
      <c r="K27">
        <v>8733</v>
      </c>
      <c r="L27">
        <v>94458</v>
      </c>
      <c r="M27">
        <v>436</v>
      </c>
      <c r="N27">
        <v>0</v>
      </c>
      <c r="O27">
        <v>0</v>
      </c>
      <c r="P27">
        <v>0</v>
      </c>
      <c r="Q27">
        <v>70</v>
      </c>
      <c r="R27">
        <v>1218</v>
      </c>
      <c r="S27">
        <v>1009</v>
      </c>
      <c r="T27">
        <v>510</v>
      </c>
      <c r="U27">
        <v>711</v>
      </c>
      <c r="V27">
        <v>0</v>
      </c>
      <c r="W27">
        <v>0</v>
      </c>
      <c r="X27">
        <v>47</v>
      </c>
      <c r="Y27">
        <v>0</v>
      </c>
      <c r="Z27">
        <v>-3684</v>
      </c>
      <c r="AA27">
        <v>-300</v>
      </c>
      <c r="AB27">
        <v>5812</v>
      </c>
      <c r="AC27">
        <v>0</v>
      </c>
      <c r="AD27">
        <v>0</v>
      </c>
      <c r="AE27">
        <v>0</v>
      </c>
      <c r="AF27">
        <v>0</v>
      </c>
      <c r="AG27">
        <v>0</v>
      </c>
      <c r="AH27">
        <v>0</v>
      </c>
      <c r="AI27">
        <v>5829</v>
      </c>
      <c r="AJ27">
        <v>0</v>
      </c>
      <c r="AK27">
        <v>0</v>
      </c>
      <c r="AL27">
        <v>0</v>
      </c>
      <c r="AM27">
        <v>0</v>
      </c>
      <c r="AN27">
        <v>0</v>
      </c>
      <c r="AO27">
        <v>0</v>
      </c>
      <c r="AP27">
        <v>0</v>
      </c>
      <c r="AQ27">
        <v>0</v>
      </c>
      <c r="AR27">
        <v>5631</v>
      </c>
      <c r="AS27">
        <v>0</v>
      </c>
      <c r="AT27">
        <v>0</v>
      </c>
      <c r="AU27">
        <v>0</v>
      </c>
      <c r="AV27">
        <v>507</v>
      </c>
      <c r="AW27">
        <v>21011</v>
      </c>
      <c r="AX27">
        <v>0</v>
      </c>
      <c r="AY27">
        <v>4040</v>
      </c>
      <c r="AZ27">
        <v>726</v>
      </c>
      <c r="BA27">
        <v>8189</v>
      </c>
      <c r="BB27">
        <v>751</v>
      </c>
      <c r="BC27">
        <v>980</v>
      </c>
      <c r="BD27">
        <v>36204</v>
      </c>
      <c r="BE27">
        <v>6603</v>
      </c>
      <c r="BF27">
        <v>9471</v>
      </c>
      <c r="BG27">
        <v>0</v>
      </c>
      <c r="BH27">
        <v>0</v>
      </c>
      <c r="BI27">
        <v>553</v>
      </c>
      <c r="BJ27">
        <v>2661</v>
      </c>
      <c r="BK27">
        <v>19617</v>
      </c>
      <c r="BL27">
        <v>2295</v>
      </c>
      <c r="BM27">
        <v>3681</v>
      </c>
      <c r="BN27">
        <v>1119</v>
      </c>
      <c r="BO27">
        <v>4</v>
      </c>
      <c r="BP27">
        <v>0</v>
      </c>
      <c r="BQ27">
        <v>1056</v>
      </c>
      <c r="BR27">
        <v>-39</v>
      </c>
      <c r="BS27">
        <v>967</v>
      </c>
      <c r="BT27">
        <v>5626</v>
      </c>
      <c r="BU27">
        <v>1120</v>
      </c>
      <c r="BV27">
        <v>6960</v>
      </c>
      <c r="BW27">
        <v>61694</v>
      </c>
      <c r="BX27">
        <v>945</v>
      </c>
      <c r="BY27">
        <v>585</v>
      </c>
      <c r="BZ27">
        <v>121</v>
      </c>
      <c r="CA27">
        <v>199</v>
      </c>
      <c r="CB27">
        <v>627</v>
      </c>
      <c r="CC27">
        <v>325</v>
      </c>
      <c r="CD27">
        <v>127</v>
      </c>
      <c r="CE27">
        <v>245</v>
      </c>
      <c r="CF27">
        <v>376</v>
      </c>
      <c r="CG27">
        <v>396</v>
      </c>
      <c r="CH27">
        <v>170</v>
      </c>
      <c r="CI27">
        <v>866</v>
      </c>
      <c r="CJ27">
        <v>850</v>
      </c>
      <c r="CK27">
        <v>420</v>
      </c>
      <c r="CL27">
        <v>302</v>
      </c>
      <c r="CM27">
        <v>129</v>
      </c>
      <c r="CN27">
        <v>215</v>
      </c>
      <c r="CO27">
        <v>61</v>
      </c>
      <c r="CP27">
        <v>239</v>
      </c>
      <c r="CQ27">
        <v>3276</v>
      </c>
      <c r="CR27">
        <v>167</v>
      </c>
      <c r="CS27">
        <v>25</v>
      </c>
      <c r="CT27">
        <v>50</v>
      </c>
      <c r="CU27">
        <v>188</v>
      </c>
      <c r="CV27">
        <v>12759</v>
      </c>
      <c r="CW27">
        <v>0</v>
      </c>
      <c r="CX27">
        <v>0</v>
      </c>
      <c r="CY27">
        <v>0</v>
      </c>
      <c r="CZ27">
        <v>0</v>
      </c>
      <c r="DA27">
        <v>0</v>
      </c>
      <c r="DB27">
        <v>0</v>
      </c>
      <c r="DC27">
        <v>63</v>
      </c>
      <c r="DD27">
        <v>0</v>
      </c>
      <c r="DE27">
        <v>157</v>
      </c>
      <c r="DF27">
        <v>0</v>
      </c>
      <c r="DG27">
        <v>8765</v>
      </c>
      <c r="DH27">
        <v>2092</v>
      </c>
      <c r="DI27">
        <v>192</v>
      </c>
      <c r="DJ27">
        <v>0</v>
      </c>
      <c r="DK27">
        <v>-790</v>
      </c>
      <c r="DL27">
        <v>-16</v>
      </c>
      <c r="DM27">
        <v>606</v>
      </c>
      <c r="DN27">
        <v>267</v>
      </c>
      <c r="DO27">
        <v>0</v>
      </c>
      <c r="DP27">
        <v>11116</v>
      </c>
      <c r="DQ27">
        <v>31</v>
      </c>
      <c r="DR27">
        <v>0</v>
      </c>
      <c r="DS27">
        <v>0</v>
      </c>
      <c r="DT27">
        <v>0</v>
      </c>
      <c r="DU27">
        <v>0</v>
      </c>
      <c r="DV27">
        <v>0</v>
      </c>
      <c r="DW27">
        <v>0</v>
      </c>
      <c r="DX27">
        <v>11367</v>
      </c>
      <c r="DY27">
        <v>0</v>
      </c>
      <c r="DZ27">
        <v>0</v>
      </c>
      <c r="EA27">
        <v>0</v>
      </c>
      <c r="EB27">
        <v>0</v>
      </c>
      <c r="EC27">
        <v>0</v>
      </c>
      <c r="ED27">
        <v>0</v>
      </c>
      <c r="EE27">
        <v>0</v>
      </c>
      <c r="EF27">
        <v>0</v>
      </c>
      <c r="EG27">
        <v>0</v>
      </c>
      <c r="EH27">
        <v>0</v>
      </c>
      <c r="EI27">
        <v>0</v>
      </c>
      <c r="EJ27">
        <v>0</v>
      </c>
      <c r="EK27">
        <v>0</v>
      </c>
      <c r="EL27">
        <v>0</v>
      </c>
      <c r="EM27">
        <v>0</v>
      </c>
      <c r="EN27">
        <v>0</v>
      </c>
      <c r="EO27">
        <v>0</v>
      </c>
      <c r="EP27">
        <v>0</v>
      </c>
      <c r="EQ27">
        <v>0</v>
      </c>
      <c r="ER27">
        <v>0</v>
      </c>
      <c r="ES27">
        <v>0</v>
      </c>
      <c r="ET27">
        <v>0</v>
      </c>
      <c r="EU27">
        <v>0</v>
      </c>
      <c r="EV27">
        <v>0</v>
      </c>
      <c r="EW27">
        <v>0</v>
      </c>
      <c r="EX27">
        <v>0</v>
      </c>
      <c r="EY27">
        <v>0</v>
      </c>
      <c r="EZ27">
        <v>0</v>
      </c>
      <c r="FA27">
        <v>0</v>
      </c>
      <c r="FB27">
        <v>0</v>
      </c>
      <c r="FC27">
        <v>1624</v>
      </c>
      <c r="FD27">
        <v>3394</v>
      </c>
      <c r="FE27">
        <v>-50</v>
      </c>
      <c r="FF27">
        <v>443</v>
      </c>
      <c r="FG27">
        <v>2315</v>
      </c>
      <c r="FH27">
        <v>7726</v>
      </c>
      <c r="FI27">
        <v>-679</v>
      </c>
      <c r="FJ27">
        <v>767</v>
      </c>
      <c r="FK27">
        <v>0</v>
      </c>
      <c r="FL27">
        <v>0</v>
      </c>
      <c r="FM27">
        <v>372</v>
      </c>
      <c r="FN27">
        <v>323</v>
      </c>
      <c r="FO27">
        <v>0</v>
      </c>
      <c r="FP27">
        <v>0</v>
      </c>
      <c r="FQ27">
        <v>0</v>
      </c>
      <c r="FR27">
        <v>0</v>
      </c>
      <c r="FS27">
        <v>111</v>
      </c>
      <c r="FT27">
        <v>0</v>
      </c>
      <c r="FU27">
        <v>-22</v>
      </c>
      <c r="FV27">
        <v>0</v>
      </c>
      <c r="FW27">
        <v>915</v>
      </c>
      <c r="FX27">
        <v>581</v>
      </c>
      <c r="FY27">
        <v>0</v>
      </c>
      <c r="FZ27">
        <v>0</v>
      </c>
      <c r="GA27">
        <v>0</v>
      </c>
      <c r="GB27">
        <v>0</v>
      </c>
      <c r="GC27">
        <v>0</v>
      </c>
      <c r="GD27">
        <v>3410</v>
      </c>
      <c r="GE27">
        <v>8660</v>
      </c>
      <c r="GF27">
        <v>7617</v>
      </c>
      <c r="GG27">
        <v>-1068</v>
      </c>
      <c r="GH27">
        <v>431</v>
      </c>
      <c r="GI27">
        <v>0</v>
      </c>
      <c r="GJ27">
        <v>0</v>
      </c>
      <c r="GK27">
        <v>21418</v>
      </c>
      <c r="GL27">
        <v>-98</v>
      </c>
      <c r="GM27">
        <v>-385</v>
      </c>
      <c r="GN27">
        <v>0</v>
      </c>
      <c r="GO27">
        <v>692</v>
      </c>
      <c r="GP27">
        <v>0</v>
      </c>
      <c r="GQ27">
        <v>421</v>
      </c>
      <c r="GR27">
        <v>0</v>
      </c>
      <c r="GS27">
        <v>0</v>
      </c>
      <c r="GT27">
        <v>0</v>
      </c>
      <c r="GU27">
        <v>630</v>
      </c>
      <c r="GV27">
        <v>29774</v>
      </c>
      <c r="GW27">
        <v>0</v>
      </c>
      <c r="GX27">
        <v>0</v>
      </c>
      <c r="GY27">
        <v>0</v>
      </c>
      <c r="GZ27">
        <v>0</v>
      </c>
      <c r="HA27">
        <v>0</v>
      </c>
      <c r="HB27">
        <v>30188</v>
      </c>
      <c r="HC27">
        <v>256</v>
      </c>
      <c r="HD27">
        <v>0</v>
      </c>
      <c r="HE27">
        <v>0</v>
      </c>
      <c r="HF27">
        <v>903</v>
      </c>
      <c r="HG27">
        <v>241</v>
      </c>
      <c r="HH27">
        <v>0</v>
      </c>
      <c r="HI27">
        <v>-63</v>
      </c>
      <c r="HJ27">
        <v>242</v>
      </c>
      <c r="HK27">
        <v>-668</v>
      </c>
      <c r="HL27">
        <v>0</v>
      </c>
      <c r="HM27">
        <v>0</v>
      </c>
      <c r="HN27">
        <v>0</v>
      </c>
      <c r="HO27">
        <v>0</v>
      </c>
      <c r="HP27">
        <v>0</v>
      </c>
      <c r="HQ27">
        <v>0</v>
      </c>
      <c r="HR27">
        <v>2072</v>
      </c>
      <c r="HS27">
        <v>0</v>
      </c>
      <c r="HT27">
        <v>0</v>
      </c>
      <c r="HU27">
        <v>0</v>
      </c>
      <c r="HV27">
        <v>33171</v>
      </c>
      <c r="HW27">
        <v>0</v>
      </c>
      <c r="HX27">
        <v>0</v>
      </c>
      <c r="HY27">
        <v>0</v>
      </c>
      <c r="HZ27">
        <v>0</v>
      </c>
      <c r="IA27">
        <v>0</v>
      </c>
      <c r="IB27">
        <v>0</v>
      </c>
      <c r="IC27">
        <v>94458</v>
      </c>
      <c r="ID27">
        <v>5829</v>
      </c>
      <c r="IE27">
        <v>36204</v>
      </c>
      <c r="IF27">
        <v>61694</v>
      </c>
      <c r="IG27">
        <v>12759</v>
      </c>
      <c r="IH27">
        <v>11367</v>
      </c>
      <c r="II27">
        <v>7726</v>
      </c>
      <c r="IJ27">
        <v>21418</v>
      </c>
      <c r="IK27">
        <v>630</v>
      </c>
      <c r="IL27">
        <v>0</v>
      </c>
      <c r="IM27">
        <v>0</v>
      </c>
      <c r="IN27">
        <v>33171</v>
      </c>
      <c r="IO27">
        <v>0</v>
      </c>
      <c r="IP27">
        <v>285256</v>
      </c>
      <c r="IQ27">
        <v>54388</v>
      </c>
      <c r="IR27">
        <v>7947</v>
      </c>
      <c r="IS27">
        <v>0</v>
      </c>
      <c r="IT27">
        <v>0</v>
      </c>
      <c r="IU27">
        <v>0</v>
      </c>
      <c r="IV27">
        <v>0</v>
      </c>
      <c r="IW27">
        <v>0</v>
      </c>
      <c r="IX27">
        <v>0</v>
      </c>
      <c r="IY27">
        <v>279</v>
      </c>
      <c r="IZ27">
        <v>460</v>
      </c>
      <c r="JA27">
        <v>0</v>
      </c>
      <c r="JB27">
        <v>0</v>
      </c>
      <c r="JC27">
        <v>0</v>
      </c>
      <c r="JD27">
        <v>0</v>
      </c>
      <c r="JE27">
        <v>0</v>
      </c>
      <c r="JF27">
        <v>0</v>
      </c>
      <c r="JG27">
        <v>348330</v>
      </c>
      <c r="JH27">
        <v>120</v>
      </c>
      <c r="JI27">
        <v>0</v>
      </c>
      <c r="JJ27">
        <v>0</v>
      </c>
      <c r="JK27">
        <v>-562</v>
      </c>
      <c r="JL27">
        <v>0</v>
      </c>
      <c r="JM27">
        <v>369</v>
      </c>
      <c r="JN27">
        <v>7504</v>
      </c>
      <c r="JO27">
        <v>152</v>
      </c>
      <c r="JP27">
        <v>7442</v>
      </c>
      <c r="JQ27">
        <v>0</v>
      </c>
      <c r="JR27">
        <v>363355</v>
      </c>
      <c r="JS27">
        <v>-3808</v>
      </c>
      <c r="JT27">
        <v>2748</v>
      </c>
      <c r="JU27">
        <v>0</v>
      </c>
      <c r="JV27">
        <v>0</v>
      </c>
      <c r="JW27">
        <v>-65157</v>
      </c>
      <c r="JX27">
        <v>0</v>
      </c>
      <c r="JY27">
        <v>-126</v>
      </c>
      <c r="JZ27">
        <v>0</v>
      </c>
      <c r="KA27">
        <v>0</v>
      </c>
      <c r="KB27">
        <v>0</v>
      </c>
      <c r="KC27">
        <v>297012</v>
      </c>
      <c r="KD27">
        <v>0</v>
      </c>
      <c r="KE27">
        <v>-118337</v>
      </c>
      <c r="KF27">
        <v>178675</v>
      </c>
      <c r="KG27">
        <v>0</v>
      </c>
      <c r="KH27">
        <v>-327</v>
      </c>
      <c r="KI27">
        <v>0</v>
      </c>
      <c r="KJ27">
        <v>587</v>
      </c>
      <c r="KK27">
        <v>-15792</v>
      </c>
      <c r="KL27">
        <v>110</v>
      </c>
      <c r="KM27">
        <v>-3321</v>
      </c>
      <c r="KN27">
        <v>0</v>
      </c>
      <c r="KO27">
        <v>-19399</v>
      </c>
      <c r="KP27">
        <v>356</v>
      </c>
      <c r="KQ27">
        <v>0</v>
      </c>
      <c r="KR27">
        <v>121228</v>
      </c>
      <c r="KS27">
        <v>4493</v>
      </c>
      <c r="KT27">
        <v>0</v>
      </c>
      <c r="KU27">
        <v>811</v>
      </c>
      <c r="KV27">
        <v>85996</v>
      </c>
      <c r="KW27">
        <v>3112</v>
      </c>
      <c r="KX27">
        <v>4166</v>
      </c>
      <c r="KY27">
        <v>0</v>
      </c>
      <c r="KZ27">
        <v>1398</v>
      </c>
      <c r="LA27">
        <v>70204</v>
      </c>
      <c r="LB27">
        <v>3222</v>
      </c>
      <c r="LC27">
        <v>0</v>
      </c>
      <c r="LD27">
        <v>0</v>
      </c>
      <c r="LE27">
        <v>5643</v>
      </c>
      <c r="LF27">
        <v>0</v>
      </c>
      <c r="LG27">
        <v>-11364</v>
      </c>
      <c r="LH27">
        <v>421</v>
      </c>
      <c r="LI27">
        <v>-5300</v>
      </c>
      <c r="LJ27">
        <v>4444</v>
      </c>
      <c r="LK27">
        <v>9455</v>
      </c>
      <c r="LL27">
        <v>13899</v>
      </c>
      <c r="LM27">
        <v>0</v>
      </c>
      <c r="LN27">
        <v>0</v>
      </c>
      <c r="LO27">
        <v>0</v>
      </c>
      <c r="LP27">
        <v>0</v>
      </c>
      <c r="LQ27">
        <v>0</v>
      </c>
      <c r="LR27">
        <v>0</v>
      </c>
      <c r="LS27">
        <v>0</v>
      </c>
      <c r="LT27">
        <v>0</v>
      </c>
      <c r="LU27">
        <v>94458</v>
      </c>
      <c r="LV27">
        <v>5829</v>
      </c>
      <c r="LW27">
        <v>36204</v>
      </c>
      <c r="LX27">
        <v>61694</v>
      </c>
      <c r="LY27">
        <v>12759</v>
      </c>
      <c r="LZ27">
        <v>11367</v>
      </c>
      <c r="MA27">
        <v>7726</v>
      </c>
      <c r="MB27">
        <v>21418</v>
      </c>
      <c r="MC27">
        <v>630</v>
      </c>
      <c r="MD27">
        <v>0</v>
      </c>
      <c r="ME27">
        <v>0</v>
      </c>
      <c r="MF27">
        <v>33171</v>
      </c>
      <c r="MG27">
        <v>0</v>
      </c>
      <c r="MH27">
        <v>285256</v>
      </c>
      <c r="MI27">
        <v>0</v>
      </c>
      <c r="MJ27">
        <v>0</v>
      </c>
      <c r="MK27">
        <v>0</v>
      </c>
      <c r="ML27">
        <v>0</v>
      </c>
      <c r="MM27">
        <v>0</v>
      </c>
      <c r="MN27">
        <v>0</v>
      </c>
      <c r="MO27">
        <v>0</v>
      </c>
      <c r="MP27">
        <v>0</v>
      </c>
      <c r="MQ27">
        <v>0</v>
      </c>
      <c r="MR27">
        <v>0</v>
      </c>
      <c r="MS27">
        <v>0</v>
      </c>
      <c r="MT27">
        <v>0</v>
      </c>
      <c r="MU27">
        <v>0</v>
      </c>
      <c r="MV27">
        <v>0</v>
      </c>
      <c r="MW27">
        <v>0</v>
      </c>
      <c r="MX27">
        <v>0</v>
      </c>
      <c r="MY27">
        <v>0</v>
      </c>
      <c r="MZ27">
        <v>0</v>
      </c>
      <c r="NA27">
        <v>0</v>
      </c>
      <c r="NB27">
        <v>0</v>
      </c>
      <c r="NC27">
        <v>0</v>
      </c>
      <c r="ND27">
        <v>0</v>
      </c>
      <c r="NE27">
        <v>0</v>
      </c>
      <c r="NF27">
        <v>0</v>
      </c>
      <c r="NG27">
        <v>0</v>
      </c>
      <c r="NH27">
        <v>0</v>
      </c>
      <c r="NI27">
        <v>0</v>
      </c>
      <c r="NJ27">
        <v>0</v>
      </c>
      <c r="NK27">
        <v>0</v>
      </c>
      <c r="NL27">
        <v>0</v>
      </c>
      <c r="NM27">
        <v>0</v>
      </c>
      <c r="NN27">
        <v>0</v>
      </c>
      <c r="NO27">
        <v>0</v>
      </c>
      <c r="NP27">
        <v>0</v>
      </c>
      <c r="NQ27">
        <v>0</v>
      </c>
      <c r="NR27">
        <v>0</v>
      </c>
      <c r="NS27">
        <v>0</v>
      </c>
      <c r="NT27">
        <v>0</v>
      </c>
      <c r="NU27">
        <v>0</v>
      </c>
      <c r="NV27">
        <v>0</v>
      </c>
      <c r="NW27">
        <v>0</v>
      </c>
      <c r="NX27">
        <v>0</v>
      </c>
      <c r="NY27">
        <v>0</v>
      </c>
      <c r="NZ27">
        <v>0</v>
      </c>
      <c r="OA27">
        <v>0</v>
      </c>
      <c r="OB27">
        <v>0</v>
      </c>
      <c r="OC27">
        <v>0</v>
      </c>
      <c r="OD27">
        <v>0</v>
      </c>
      <c r="OE27">
        <v>0</v>
      </c>
      <c r="OF27">
        <v>0</v>
      </c>
      <c r="OG27">
        <v>0</v>
      </c>
      <c r="OH27">
        <v>0</v>
      </c>
      <c r="OI27">
        <v>0</v>
      </c>
      <c r="OJ27">
        <v>0</v>
      </c>
      <c r="OK27">
        <v>0</v>
      </c>
      <c r="OL27">
        <v>0</v>
      </c>
      <c r="OM27">
        <v>0</v>
      </c>
      <c r="ON27">
        <v>0</v>
      </c>
    </row>
    <row r="28" spans="1:404" hidden="1" x14ac:dyDescent="0.25">
      <c r="A28" t="s">
        <v>146</v>
      </c>
      <c r="B28" t="s">
        <v>147</v>
      </c>
      <c r="C28" t="s">
        <v>145</v>
      </c>
      <c r="E28" t="s">
        <v>97</v>
      </c>
      <c r="F28">
        <v>78590</v>
      </c>
      <c r="G28">
        <v>372210</v>
      </c>
      <c r="H28">
        <v>140389</v>
      </c>
      <c r="I28">
        <v>130124</v>
      </c>
      <c r="J28">
        <v>677</v>
      </c>
      <c r="K28">
        <v>72233</v>
      </c>
      <c r="L28">
        <v>794223</v>
      </c>
      <c r="M28">
        <v>342</v>
      </c>
      <c r="N28">
        <v>996</v>
      </c>
      <c r="O28">
        <v>1339</v>
      </c>
      <c r="P28">
        <v>14339</v>
      </c>
      <c r="Q28">
        <v>3608</v>
      </c>
      <c r="R28">
        <v>13683</v>
      </c>
      <c r="S28">
        <v>51285</v>
      </c>
      <c r="T28">
        <v>9290</v>
      </c>
      <c r="U28">
        <v>37172</v>
      </c>
      <c r="V28">
        <v>0</v>
      </c>
      <c r="W28">
        <v>-2960</v>
      </c>
      <c r="X28">
        <v>-12</v>
      </c>
      <c r="Y28">
        <v>467</v>
      </c>
      <c r="Z28">
        <v>-7071</v>
      </c>
      <c r="AA28">
        <v>-1217</v>
      </c>
      <c r="AB28">
        <v>0</v>
      </c>
      <c r="AC28">
        <v>0</v>
      </c>
      <c r="AD28">
        <v>0</v>
      </c>
      <c r="AE28">
        <v>0</v>
      </c>
      <c r="AF28">
        <v>0</v>
      </c>
      <c r="AG28">
        <v>0</v>
      </c>
      <c r="AH28">
        <v>0</v>
      </c>
      <c r="AI28">
        <v>121261</v>
      </c>
      <c r="AJ28">
        <v>0</v>
      </c>
      <c r="AK28">
        <v>0</v>
      </c>
      <c r="AL28">
        <v>0</v>
      </c>
      <c r="AM28">
        <v>0</v>
      </c>
      <c r="AN28">
        <v>0</v>
      </c>
      <c r="AO28">
        <v>0</v>
      </c>
      <c r="AP28">
        <v>0</v>
      </c>
      <c r="AQ28">
        <v>4135</v>
      </c>
      <c r="AR28">
        <v>6381</v>
      </c>
      <c r="AS28">
        <v>0</v>
      </c>
      <c r="AT28">
        <v>0</v>
      </c>
      <c r="AU28">
        <v>0</v>
      </c>
      <c r="AV28">
        <v>229</v>
      </c>
      <c r="AW28">
        <v>126737</v>
      </c>
      <c r="AX28">
        <v>2283</v>
      </c>
      <c r="AY28">
        <v>24201</v>
      </c>
      <c r="AZ28">
        <v>6676</v>
      </c>
      <c r="BA28">
        <v>64479</v>
      </c>
      <c r="BB28">
        <v>6828</v>
      </c>
      <c r="BC28">
        <v>25382</v>
      </c>
      <c r="BD28">
        <v>256815</v>
      </c>
      <c r="BE28">
        <v>27508</v>
      </c>
      <c r="BF28">
        <v>82637</v>
      </c>
      <c r="BG28">
        <v>1491</v>
      </c>
      <c r="BH28">
        <v>1238</v>
      </c>
      <c r="BI28">
        <v>1236</v>
      </c>
      <c r="BJ28">
        <v>4611</v>
      </c>
      <c r="BK28">
        <v>96653</v>
      </c>
      <c r="BL28">
        <v>14964</v>
      </c>
      <c r="BM28">
        <v>14989</v>
      </c>
      <c r="BN28">
        <v>10446</v>
      </c>
      <c r="BO28">
        <v>0</v>
      </c>
      <c r="BP28">
        <v>2535</v>
      </c>
      <c r="BQ28">
        <v>548</v>
      </c>
      <c r="BR28">
        <v>1457</v>
      </c>
      <c r="BS28">
        <v>1792</v>
      </c>
      <c r="BT28">
        <v>39935</v>
      </c>
      <c r="BU28">
        <v>8178</v>
      </c>
      <c r="BV28">
        <v>13120</v>
      </c>
      <c r="BW28">
        <v>331951</v>
      </c>
      <c r="BX28">
        <v>8107</v>
      </c>
      <c r="BY28">
        <v>6013</v>
      </c>
      <c r="BZ28">
        <v>1702</v>
      </c>
      <c r="CA28">
        <v>796</v>
      </c>
      <c r="CB28">
        <v>1510</v>
      </c>
      <c r="CC28">
        <v>366</v>
      </c>
      <c r="CD28">
        <v>185</v>
      </c>
      <c r="CE28">
        <v>621</v>
      </c>
      <c r="CF28">
        <v>616</v>
      </c>
      <c r="CG28">
        <v>4966</v>
      </c>
      <c r="CH28">
        <v>1548</v>
      </c>
      <c r="CI28">
        <v>9304</v>
      </c>
      <c r="CJ28">
        <v>3157</v>
      </c>
      <c r="CK28">
        <v>3832</v>
      </c>
      <c r="CL28">
        <v>1296</v>
      </c>
      <c r="CM28">
        <v>740</v>
      </c>
      <c r="CN28">
        <v>1249</v>
      </c>
      <c r="CO28">
        <v>0</v>
      </c>
      <c r="CP28">
        <v>4381</v>
      </c>
      <c r="CQ28">
        <v>19818</v>
      </c>
      <c r="CR28">
        <v>15548</v>
      </c>
      <c r="CS28">
        <v>0</v>
      </c>
      <c r="CT28">
        <v>2640</v>
      </c>
      <c r="CU28">
        <v>5386</v>
      </c>
      <c r="CV28">
        <v>106531</v>
      </c>
      <c r="CW28">
        <v>734</v>
      </c>
      <c r="CX28">
        <v>0</v>
      </c>
      <c r="CY28">
        <v>825</v>
      </c>
      <c r="CZ28">
        <v>291</v>
      </c>
      <c r="DA28">
        <v>0</v>
      </c>
      <c r="DB28">
        <v>0</v>
      </c>
      <c r="DC28">
        <v>4874</v>
      </c>
      <c r="DD28">
        <v>0</v>
      </c>
      <c r="DE28">
        <v>-161</v>
      </c>
      <c r="DF28">
        <v>2153</v>
      </c>
      <c r="DG28">
        <v>0</v>
      </c>
      <c r="DH28">
        <v>10360</v>
      </c>
      <c r="DI28">
        <v>1258</v>
      </c>
      <c r="DJ28">
        <v>10250</v>
      </c>
      <c r="DK28">
        <v>-8865</v>
      </c>
      <c r="DL28">
        <v>0</v>
      </c>
      <c r="DM28">
        <v>10033</v>
      </c>
      <c r="DN28">
        <v>0</v>
      </c>
      <c r="DO28">
        <v>1360</v>
      </c>
      <c r="DP28">
        <v>24396</v>
      </c>
      <c r="DQ28">
        <v>1569</v>
      </c>
      <c r="DR28">
        <v>336</v>
      </c>
      <c r="DS28">
        <v>1831</v>
      </c>
      <c r="DT28">
        <v>10351</v>
      </c>
      <c r="DU28">
        <v>0</v>
      </c>
      <c r="DV28">
        <v>19665</v>
      </c>
      <c r="DW28">
        <v>273</v>
      </c>
      <c r="DX28">
        <v>65287</v>
      </c>
      <c r="DY28">
        <v>256181</v>
      </c>
      <c r="DZ28">
        <v>5384</v>
      </c>
      <c r="EA28">
        <v>17683</v>
      </c>
      <c r="EB28">
        <v>3043</v>
      </c>
      <c r="EC28">
        <v>0</v>
      </c>
      <c r="ED28">
        <v>172</v>
      </c>
      <c r="EE28">
        <v>0</v>
      </c>
      <c r="EF28">
        <v>0</v>
      </c>
      <c r="EG28">
        <v>0</v>
      </c>
      <c r="EH28">
        <v>62284</v>
      </c>
      <c r="EI28">
        <v>60549</v>
      </c>
      <c r="EJ28">
        <v>18026</v>
      </c>
      <c r="EK28">
        <v>5737</v>
      </c>
      <c r="EL28">
        <v>47175</v>
      </c>
      <c r="EM28">
        <v>59689</v>
      </c>
      <c r="EN28">
        <v>21799</v>
      </c>
      <c r="EO28">
        <v>144</v>
      </c>
      <c r="EP28">
        <v>0</v>
      </c>
      <c r="EQ28">
        <v>0</v>
      </c>
      <c r="ER28">
        <v>2987</v>
      </c>
      <c r="ES28">
        <v>11253</v>
      </c>
      <c r="ET28">
        <v>15326</v>
      </c>
      <c r="EU28">
        <v>0</v>
      </c>
      <c r="EV28">
        <v>3551</v>
      </c>
      <c r="EW28">
        <v>41</v>
      </c>
      <c r="EX28">
        <v>5156</v>
      </c>
      <c r="EY28">
        <v>0</v>
      </c>
      <c r="EZ28">
        <v>0</v>
      </c>
      <c r="FA28">
        <v>0</v>
      </c>
      <c r="FB28">
        <v>13495</v>
      </c>
      <c r="FC28">
        <v>12171</v>
      </c>
      <c r="FD28">
        <v>14337</v>
      </c>
      <c r="FE28">
        <v>-9</v>
      </c>
      <c r="FF28">
        <v>0</v>
      </c>
      <c r="FG28">
        <v>12586</v>
      </c>
      <c r="FH28">
        <v>61328</v>
      </c>
      <c r="FI28">
        <v>-4317</v>
      </c>
      <c r="FJ28">
        <v>1556</v>
      </c>
      <c r="FK28">
        <v>0</v>
      </c>
      <c r="FL28">
        <v>469</v>
      </c>
      <c r="FM28">
        <v>-23679</v>
      </c>
      <c r="FN28">
        <v>0</v>
      </c>
      <c r="FO28">
        <v>967</v>
      </c>
      <c r="FP28">
        <v>0</v>
      </c>
      <c r="FQ28">
        <v>0</v>
      </c>
      <c r="FR28">
        <v>557</v>
      </c>
      <c r="FS28">
        <v>304</v>
      </c>
      <c r="FT28">
        <v>213</v>
      </c>
      <c r="FU28">
        <v>724</v>
      </c>
      <c r="FV28">
        <v>5495</v>
      </c>
      <c r="FW28">
        <v>0</v>
      </c>
      <c r="FX28">
        <v>418</v>
      </c>
      <c r="FY28">
        <v>0</v>
      </c>
      <c r="FZ28">
        <v>627</v>
      </c>
      <c r="GA28">
        <v>0</v>
      </c>
      <c r="GB28">
        <v>0</v>
      </c>
      <c r="GC28">
        <v>0</v>
      </c>
      <c r="GD28">
        <v>15075</v>
      </c>
      <c r="GE28">
        <v>34528</v>
      </c>
      <c r="GF28">
        <v>17305</v>
      </c>
      <c r="GG28">
        <v>-50</v>
      </c>
      <c r="GH28">
        <v>10082</v>
      </c>
      <c r="GI28">
        <v>144</v>
      </c>
      <c r="GJ28">
        <v>99</v>
      </c>
      <c r="GK28">
        <v>60517</v>
      </c>
      <c r="GL28">
        <v>1169</v>
      </c>
      <c r="GM28">
        <v>1512</v>
      </c>
      <c r="GN28">
        <v>0</v>
      </c>
      <c r="GO28">
        <v>731</v>
      </c>
      <c r="GP28">
        <v>0</v>
      </c>
      <c r="GQ28">
        <v>9854</v>
      </c>
      <c r="GR28">
        <v>0</v>
      </c>
      <c r="GS28">
        <v>0</v>
      </c>
      <c r="GT28">
        <v>2103</v>
      </c>
      <c r="GU28">
        <v>15369</v>
      </c>
      <c r="GV28">
        <v>137214</v>
      </c>
      <c r="GW28">
        <v>0</v>
      </c>
      <c r="GX28">
        <v>0</v>
      </c>
      <c r="GY28">
        <v>0</v>
      </c>
      <c r="GZ28">
        <v>0</v>
      </c>
      <c r="HA28">
        <v>0</v>
      </c>
      <c r="HB28">
        <v>9375</v>
      </c>
      <c r="HC28">
        <v>-651</v>
      </c>
      <c r="HD28">
        <v>0</v>
      </c>
      <c r="HE28">
        <v>0</v>
      </c>
      <c r="HF28">
        <v>3378</v>
      </c>
      <c r="HG28">
        <v>-216</v>
      </c>
      <c r="HH28">
        <v>0</v>
      </c>
      <c r="HI28">
        <v>715</v>
      </c>
      <c r="HJ28">
        <v>797</v>
      </c>
      <c r="HK28">
        <v>2638</v>
      </c>
      <c r="HL28">
        <v>560</v>
      </c>
      <c r="HM28">
        <v>-335</v>
      </c>
      <c r="HN28">
        <v>790</v>
      </c>
      <c r="HO28">
        <v>0</v>
      </c>
      <c r="HP28">
        <v>3068</v>
      </c>
      <c r="HQ28">
        <v>0</v>
      </c>
      <c r="HR28">
        <v>14734</v>
      </c>
      <c r="HS28">
        <v>0</v>
      </c>
      <c r="HT28">
        <v>0</v>
      </c>
      <c r="HU28">
        <v>22954</v>
      </c>
      <c r="HV28">
        <v>57807</v>
      </c>
      <c r="HW28">
        <v>8473</v>
      </c>
      <c r="HX28">
        <v>108322</v>
      </c>
      <c r="HY28">
        <v>0</v>
      </c>
      <c r="HZ28">
        <v>24004</v>
      </c>
      <c r="IA28">
        <v>7407</v>
      </c>
      <c r="IB28">
        <v>22771</v>
      </c>
      <c r="IC28">
        <v>794223</v>
      </c>
      <c r="ID28">
        <v>121261</v>
      </c>
      <c r="IE28">
        <v>256815</v>
      </c>
      <c r="IF28">
        <v>331951</v>
      </c>
      <c r="IG28">
        <v>106531</v>
      </c>
      <c r="IH28">
        <v>65287</v>
      </c>
      <c r="II28">
        <v>61328</v>
      </c>
      <c r="IJ28">
        <v>60517</v>
      </c>
      <c r="IK28">
        <v>15369</v>
      </c>
      <c r="IL28">
        <v>0</v>
      </c>
      <c r="IM28">
        <v>0</v>
      </c>
      <c r="IN28">
        <v>57807</v>
      </c>
      <c r="IO28">
        <v>22771</v>
      </c>
      <c r="IP28">
        <v>1893860</v>
      </c>
      <c r="IQ28">
        <v>390876</v>
      </c>
      <c r="IR28">
        <v>28854</v>
      </c>
      <c r="IS28">
        <v>97699</v>
      </c>
      <c r="IT28">
        <v>0</v>
      </c>
      <c r="IU28">
        <v>0</v>
      </c>
      <c r="IV28">
        <v>1866</v>
      </c>
      <c r="IW28">
        <v>44728</v>
      </c>
      <c r="IX28">
        <v>0</v>
      </c>
      <c r="IY28">
        <v>0</v>
      </c>
      <c r="IZ28">
        <v>2205</v>
      </c>
      <c r="JA28">
        <v>-2484</v>
      </c>
      <c r="JB28">
        <v>607</v>
      </c>
      <c r="JC28">
        <v>-925</v>
      </c>
      <c r="JD28">
        <v>-171</v>
      </c>
      <c r="JE28">
        <v>0</v>
      </c>
      <c r="JF28">
        <v>0</v>
      </c>
      <c r="JG28">
        <v>2457115</v>
      </c>
      <c r="JH28">
        <v>301</v>
      </c>
      <c r="JI28">
        <v>0</v>
      </c>
      <c r="JJ28">
        <v>0</v>
      </c>
      <c r="JK28">
        <v>-22263</v>
      </c>
      <c r="JL28">
        <v>0</v>
      </c>
      <c r="JM28">
        <v>13424</v>
      </c>
      <c r="JN28">
        <v>127410</v>
      </c>
      <c r="JO28">
        <v>0</v>
      </c>
      <c r="JP28">
        <v>132723</v>
      </c>
      <c r="JQ28">
        <v>-46650</v>
      </c>
      <c r="JR28">
        <v>2662060</v>
      </c>
      <c r="JS28">
        <v>-27845</v>
      </c>
      <c r="JT28">
        <v>-70660</v>
      </c>
      <c r="JU28">
        <v>1699</v>
      </c>
      <c r="JV28">
        <v>14174</v>
      </c>
      <c r="JW28">
        <v>-567541</v>
      </c>
      <c r="JX28">
        <v>0</v>
      </c>
      <c r="JY28">
        <v>-7046</v>
      </c>
      <c r="JZ28">
        <v>0</v>
      </c>
      <c r="KA28">
        <v>0</v>
      </c>
      <c r="KB28">
        <v>0</v>
      </c>
      <c r="KC28">
        <v>2004841</v>
      </c>
      <c r="KD28">
        <v>-221</v>
      </c>
      <c r="KE28">
        <v>-1156588</v>
      </c>
      <c r="KF28">
        <v>848032</v>
      </c>
      <c r="KG28">
        <v>0</v>
      </c>
      <c r="KH28">
        <v>5499</v>
      </c>
      <c r="KI28">
        <v>8329</v>
      </c>
      <c r="KJ28">
        <v>-4255</v>
      </c>
      <c r="KK28">
        <v>-32480</v>
      </c>
      <c r="KL28">
        <v>32325</v>
      </c>
      <c r="KM28">
        <v>0</v>
      </c>
      <c r="KN28">
        <v>0</v>
      </c>
      <c r="KO28">
        <v>-330072</v>
      </c>
      <c r="KP28">
        <v>11421</v>
      </c>
      <c r="KQ28">
        <v>0</v>
      </c>
      <c r="KR28">
        <v>384789</v>
      </c>
      <c r="KS28">
        <v>78446</v>
      </c>
      <c r="KT28">
        <v>3603</v>
      </c>
      <c r="KU28">
        <v>32081</v>
      </c>
      <c r="KV28">
        <v>750399</v>
      </c>
      <c r="KW28">
        <v>197735</v>
      </c>
      <c r="KX28">
        <v>83945</v>
      </c>
      <c r="KY28">
        <v>11932</v>
      </c>
      <c r="KZ28">
        <v>27826</v>
      </c>
      <c r="LA28">
        <v>717919</v>
      </c>
      <c r="LB28">
        <v>230060</v>
      </c>
      <c r="LC28">
        <v>0</v>
      </c>
      <c r="LD28">
        <v>90680</v>
      </c>
      <c r="LE28">
        <v>0</v>
      </c>
      <c r="LF28">
        <v>22518</v>
      </c>
      <c r="LG28">
        <v>0</v>
      </c>
      <c r="LH28">
        <v>110731</v>
      </c>
      <c r="LI28">
        <v>234482</v>
      </c>
      <c r="LJ28">
        <v>36022</v>
      </c>
      <c r="LK28">
        <v>88753</v>
      </c>
      <c r="LL28">
        <v>124775</v>
      </c>
      <c r="LM28">
        <v>41</v>
      </c>
      <c r="LN28">
        <v>0</v>
      </c>
      <c r="LO28">
        <v>0</v>
      </c>
      <c r="LP28">
        <v>282463</v>
      </c>
      <c r="LQ28">
        <v>278390</v>
      </c>
      <c r="LR28">
        <v>4073</v>
      </c>
      <c r="LS28">
        <v>11253</v>
      </c>
      <c r="LT28">
        <v>15326</v>
      </c>
      <c r="LU28">
        <v>794223</v>
      </c>
      <c r="LV28">
        <v>121261</v>
      </c>
      <c r="LW28">
        <v>256815</v>
      </c>
      <c r="LX28">
        <v>331951</v>
      </c>
      <c r="LY28">
        <v>106531</v>
      </c>
      <c r="LZ28">
        <v>65287</v>
      </c>
      <c r="MA28">
        <v>61328</v>
      </c>
      <c r="MB28">
        <v>60517</v>
      </c>
      <c r="MC28">
        <v>15369</v>
      </c>
      <c r="MD28">
        <v>0</v>
      </c>
      <c r="ME28">
        <v>0</v>
      </c>
      <c r="MF28">
        <v>57807</v>
      </c>
      <c r="MG28">
        <v>22771</v>
      </c>
      <c r="MH28">
        <v>1893860</v>
      </c>
      <c r="MI28">
        <v>0</v>
      </c>
      <c r="MJ28">
        <v>0</v>
      </c>
      <c r="MK28">
        <v>0</v>
      </c>
      <c r="ML28">
        <v>0</v>
      </c>
      <c r="MM28">
        <v>0</v>
      </c>
      <c r="MN28">
        <v>0</v>
      </c>
      <c r="MO28">
        <v>0</v>
      </c>
      <c r="MP28">
        <v>0</v>
      </c>
      <c r="MQ28">
        <v>260</v>
      </c>
      <c r="MR28">
        <v>0</v>
      </c>
      <c r="MS28">
        <v>0</v>
      </c>
      <c r="MT28">
        <v>0</v>
      </c>
      <c r="MU28">
        <v>0</v>
      </c>
      <c r="MV28">
        <v>0</v>
      </c>
      <c r="MW28">
        <v>0</v>
      </c>
      <c r="MX28">
        <v>0</v>
      </c>
      <c r="MY28">
        <v>-4075</v>
      </c>
      <c r="MZ28">
        <v>558</v>
      </c>
      <c r="NA28">
        <v>-3409</v>
      </c>
      <c r="NB28">
        <v>925</v>
      </c>
      <c r="NC28">
        <v>-2484</v>
      </c>
      <c r="ND28">
        <v>0</v>
      </c>
      <c r="NE28">
        <v>0</v>
      </c>
      <c r="NF28">
        <v>0</v>
      </c>
      <c r="NG28">
        <v>0</v>
      </c>
      <c r="NH28">
        <v>0</v>
      </c>
      <c r="NI28">
        <v>0</v>
      </c>
      <c r="NJ28">
        <v>0</v>
      </c>
      <c r="NK28">
        <v>0</v>
      </c>
      <c r="NL28">
        <v>0</v>
      </c>
      <c r="NM28">
        <v>0</v>
      </c>
      <c r="NN28">
        <v>101</v>
      </c>
      <c r="NO28">
        <v>0</v>
      </c>
      <c r="NP28">
        <v>1144</v>
      </c>
      <c r="NQ28">
        <v>0</v>
      </c>
      <c r="NR28">
        <v>0</v>
      </c>
      <c r="NS28">
        <v>0</v>
      </c>
      <c r="NT28">
        <v>-133</v>
      </c>
      <c r="NU28">
        <v>0</v>
      </c>
      <c r="NV28">
        <v>0</v>
      </c>
      <c r="NW28">
        <v>-466</v>
      </c>
      <c r="NX28">
        <v>0</v>
      </c>
      <c r="NY28">
        <v>-164</v>
      </c>
      <c r="NZ28">
        <v>436</v>
      </c>
      <c r="OA28">
        <v>171</v>
      </c>
      <c r="OB28">
        <v>607</v>
      </c>
      <c r="OC28">
        <v>925</v>
      </c>
      <c r="OD28">
        <v>0</v>
      </c>
      <c r="OE28">
        <v>0</v>
      </c>
      <c r="OF28">
        <v>0</v>
      </c>
      <c r="OG28">
        <v>0</v>
      </c>
      <c r="OH28">
        <v>925</v>
      </c>
      <c r="OI28">
        <v>0</v>
      </c>
      <c r="OJ28">
        <v>0</v>
      </c>
      <c r="OK28">
        <v>0</v>
      </c>
      <c r="OL28">
        <v>0</v>
      </c>
      <c r="OM28">
        <v>171</v>
      </c>
      <c r="ON28">
        <v>171</v>
      </c>
    </row>
    <row r="29" spans="1:404" hidden="1" x14ac:dyDescent="0.25">
      <c r="A29" t="s">
        <v>149</v>
      </c>
      <c r="B29" t="s">
        <v>150</v>
      </c>
      <c r="C29" t="s">
        <v>148</v>
      </c>
      <c r="E29" t="s">
        <v>61</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128</v>
      </c>
      <c r="AB29">
        <v>0</v>
      </c>
      <c r="AC29">
        <v>0</v>
      </c>
      <c r="AD29">
        <v>0</v>
      </c>
      <c r="AE29">
        <v>0</v>
      </c>
      <c r="AF29">
        <v>0</v>
      </c>
      <c r="AG29">
        <v>15</v>
      </c>
      <c r="AH29">
        <v>0</v>
      </c>
      <c r="AI29">
        <v>143</v>
      </c>
      <c r="AJ29">
        <v>0</v>
      </c>
      <c r="AK29">
        <v>0</v>
      </c>
      <c r="AL29">
        <v>0</v>
      </c>
      <c r="AM29">
        <v>0</v>
      </c>
      <c r="AN29">
        <v>0</v>
      </c>
      <c r="AO29">
        <v>0</v>
      </c>
      <c r="AP29">
        <v>0</v>
      </c>
      <c r="AQ29">
        <v>0</v>
      </c>
      <c r="AR29">
        <v>0</v>
      </c>
      <c r="AS29">
        <v>0</v>
      </c>
      <c r="AT29">
        <v>0</v>
      </c>
      <c r="AU29">
        <v>0</v>
      </c>
      <c r="AV29">
        <v>0</v>
      </c>
      <c r="AW29">
        <v>0</v>
      </c>
      <c r="AX29">
        <v>0</v>
      </c>
      <c r="AY29">
        <v>2</v>
      </c>
      <c r="AZ29">
        <v>0</v>
      </c>
      <c r="BA29">
        <v>0</v>
      </c>
      <c r="BB29">
        <v>0</v>
      </c>
      <c r="BC29">
        <v>102</v>
      </c>
      <c r="BD29">
        <v>104</v>
      </c>
      <c r="BE29">
        <v>0</v>
      </c>
      <c r="BF29">
        <v>0</v>
      </c>
      <c r="BG29">
        <v>0</v>
      </c>
      <c r="BH29">
        <v>0</v>
      </c>
      <c r="BI29">
        <v>0</v>
      </c>
      <c r="BJ29">
        <v>0</v>
      </c>
      <c r="BK29">
        <v>0</v>
      </c>
      <c r="BL29">
        <v>0</v>
      </c>
      <c r="BM29">
        <v>-37</v>
      </c>
      <c r="BN29">
        <v>0</v>
      </c>
      <c r="BO29">
        <v>0</v>
      </c>
      <c r="BP29">
        <v>0</v>
      </c>
      <c r="BQ29">
        <v>0</v>
      </c>
      <c r="BR29">
        <v>0</v>
      </c>
      <c r="BS29">
        <v>0</v>
      </c>
      <c r="BT29">
        <v>0</v>
      </c>
      <c r="BU29">
        <v>0</v>
      </c>
      <c r="BV29">
        <v>0</v>
      </c>
      <c r="BW29">
        <v>-37</v>
      </c>
      <c r="BX29">
        <v>0</v>
      </c>
      <c r="BY29">
        <v>0</v>
      </c>
      <c r="BZ29">
        <v>0</v>
      </c>
      <c r="CA29">
        <v>0</v>
      </c>
      <c r="CB29">
        <v>122</v>
      </c>
      <c r="CC29">
        <v>0</v>
      </c>
      <c r="CD29">
        <v>0</v>
      </c>
      <c r="CE29">
        <v>0</v>
      </c>
      <c r="CF29">
        <v>0</v>
      </c>
      <c r="CG29">
        <v>14</v>
      </c>
      <c r="CH29">
        <v>0</v>
      </c>
      <c r="CI29">
        <v>0</v>
      </c>
      <c r="CJ29">
        <v>0</v>
      </c>
      <c r="CK29">
        <v>0</v>
      </c>
      <c r="CL29">
        <v>0</v>
      </c>
      <c r="CM29">
        <v>0</v>
      </c>
      <c r="CN29">
        <v>0</v>
      </c>
      <c r="CO29">
        <v>0</v>
      </c>
      <c r="CP29">
        <v>0</v>
      </c>
      <c r="CQ29">
        <v>0</v>
      </c>
      <c r="CR29">
        <v>0</v>
      </c>
      <c r="CS29">
        <v>-12</v>
      </c>
      <c r="CT29">
        <v>0</v>
      </c>
      <c r="CU29">
        <v>26</v>
      </c>
      <c r="CV29">
        <v>-10</v>
      </c>
      <c r="CW29">
        <v>0</v>
      </c>
      <c r="CX29">
        <v>0</v>
      </c>
      <c r="CY29">
        <v>0</v>
      </c>
      <c r="CZ29">
        <v>0</v>
      </c>
      <c r="DA29">
        <v>0</v>
      </c>
      <c r="DB29">
        <v>0</v>
      </c>
      <c r="DC29">
        <v>307</v>
      </c>
      <c r="DD29">
        <v>0</v>
      </c>
      <c r="DE29">
        <v>-580</v>
      </c>
      <c r="DF29">
        <v>0</v>
      </c>
      <c r="DG29">
        <v>0</v>
      </c>
      <c r="DH29">
        <v>14</v>
      </c>
      <c r="DI29">
        <v>0</v>
      </c>
      <c r="DJ29">
        <v>361</v>
      </c>
      <c r="DK29">
        <v>0</v>
      </c>
      <c r="DL29">
        <v>0</v>
      </c>
      <c r="DM29">
        <v>405</v>
      </c>
      <c r="DN29">
        <v>15</v>
      </c>
      <c r="DO29">
        <v>50</v>
      </c>
      <c r="DP29">
        <v>845</v>
      </c>
      <c r="DQ29">
        <v>5</v>
      </c>
      <c r="DR29">
        <v>0</v>
      </c>
      <c r="DS29">
        <v>0</v>
      </c>
      <c r="DT29">
        <v>513</v>
      </c>
      <c r="DU29">
        <v>-4</v>
      </c>
      <c r="DV29">
        <v>226</v>
      </c>
      <c r="DW29">
        <v>0</v>
      </c>
      <c r="DX29">
        <v>1312</v>
      </c>
      <c r="DY29">
        <v>0</v>
      </c>
      <c r="DZ29">
        <v>0</v>
      </c>
      <c r="EA29">
        <v>0</v>
      </c>
      <c r="EB29">
        <v>0</v>
      </c>
      <c r="EC29">
        <v>0</v>
      </c>
      <c r="ED29">
        <v>0</v>
      </c>
      <c r="EE29">
        <v>0</v>
      </c>
      <c r="EF29">
        <v>0</v>
      </c>
      <c r="EG29">
        <v>0</v>
      </c>
      <c r="EH29">
        <v>0</v>
      </c>
      <c r="EI29">
        <v>0</v>
      </c>
      <c r="EJ29">
        <v>0</v>
      </c>
      <c r="EK29">
        <v>0</v>
      </c>
      <c r="EL29">
        <v>0</v>
      </c>
      <c r="EM29">
        <v>0</v>
      </c>
      <c r="EN29">
        <v>0</v>
      </c>
      <c r="EO29">
        <v>0</v>
      </c>
      <c r="EP29">
        <v>0</v>
      </c>
      <c r="EQ29">
        <v>0</v>
      </c>
      <c r="ER29">
        <v>0</v>
      </c>
      <c r="ES29">
        <v>0</v>
      </c>
      <c r="ET29">
        <v>0</v>
      </c>
      <c r="EU29">
        <v>0</v>
      </c>
      <c r="EV29">
        <v>32</v>
      </c>
      <c r="EW29">
        <v>0</v>
      </c>
      <c r="EX29">
        <v>0</v>
      </c>
      <c r="EY29">
        <v>0</v>
      </c>
      <c r="EZ29">
        <v>0</v>
      </c>
      <c r="FA29">
        <v>0</v>
      </c>
      <c r="FB29">
        <v>108</v>
      </c>
      <c r="FC29">
        <v>-90</v>
      </c>
      <c r="FD29">
        <v>676</v>
      </c>
      <c r="FE29">
        <v>0</v>
      </c>
      <c r="FF29">
        <v>263</v>
      </c>
      <c r="FG29">
        <v>0</v>
      </c>
      <c r="FH29">
        <v>989</v>
      </c>
      <c r="FI29">
        <v>0</v>
      </c>
      <c r="FJ29">
        <v>0</v>
      </c>
      <c r="FK29">
        <v>0</v>
      </c>
      <c r="FL29">
        <v>60</v>
      </c>
      <c r="FM29">
        <v>220</v>
      </c>
      <c r="FN29">
        <v>133</v>
      </c>
      <c r="FO29">
        <v>26</v>
      </c>
      <c r="FP29">
        <v>0</v>
      </c>
      <c r="FQ29">
        <v>0</v>
      </c>
      <c r="FR29">
        <v>0</v>
      </c>
      <c r="FS29">
        <v>15</v>
      </c>
      <c r="FT29">
        <v>317</v>
      </c>
      <c r="FU29">
        <v>107</v>
      </c>
      <c r="FV29">
        <v>19</v>
      </c>
      <c r="FW29">
        <v>95</v>
      </c>
      <c r="FX29">
        <v>0</v>
      </c>
      <c r="FY29">
        <v>41</v>
      </c>
      <c r="FZ29">
        <v>0</v>
      </c>
      <c r="GA29">
        <v>0</v>
      </c>
      <c r="GB29">
        <v>0</v>
      </c>
      <c r="GC29">
        <v>0</v>
      </c>
      <c r="GD29">
        <v>705</v>
      </c>
      <c r="GE29">
        <v>1364</v>
      </c>
      <c r="GF29">
        <v>0</v>
      </c>
      <c r="GG29">
        <v>328</v>
      </c>
      <c r="GH29">
        <v>69</v>
      </c>
      <c r="GI29">
        <v>0</v>
      </c>
      <c r="GJ29">
        <v>105</v>
      </c>
      <c r="GK29">
        <v>3604</v>
      </c>
      <c r="GL29">
        <v>91</v>
      </c>
      <c r="GM29">
        <v>1228</v>
      </c>
      <c r="GN29">
        <v>3</v>
      </c>
      <c r="GO29">
        <v>837</v>
      </c>
      <c r="GP29">
        <v>0</v>
      </c>
      <c r="GQ29">
        <v>224</v>
      </c>
      <c r="GR29">
        <v>0</v>
      </c>
      <c r="GS29">
        <v>11</v>
      </c>
      <c r="GT29">
        <v>640</v>
      </c>
      <c r="GU29">
        <v>3034</v>
      </c>
      <c r="GV29">
        <v>7627</v>
      </c>
      <c r="GW29">
        <v>0</v>
      </c>
      <c r="GX29">
        <v>0</v>
      </c>
      <c r="GY29">
        <v>0</v>
      </c>
      <c r="GZ29">
        <v>0</v>
      </c>
      <c r="HA29">
        <v>0</v>
      </c>
      <c r="HB29">
        <v>2186</v>
      </c>
      <c r="HC29">
        <v>881</v>
      </c>
      <c r="HD29">
        <v>0</v>
      </c>
      <c r="HE29">
        <v>0</v>
      </c>
      <c r="HF29">
        <v>480</v>
      </c>
      <c r="HG29">
        <v>-138</v>
      </c>
      <c r="HH29">
        <v>0</v>
      </c>
      <c r="HI29">
        <v>0</v>
      </c>
      <c r="HJ29">
        <v>157</v>
      </c>
      <c r="HK29">
        <v>7</v>
      </c>
      <c r="HL29">
        <v>75</v>
      </c>
      <c r="HM29">
        <v>-55</v>
      </c>
      <c r="HN29">
        <v>0</v>
      </c>
      <c r="HO29">
        <v>132</v>
      </c>
      <c r="HP29">
        <v>0</v>
      </c>
      <c r="HQ29">
        <v>0</v>
      </c>
      <c r="HR29">
        <v>24</v>
      </c>
      <c r="HS29">
        <v>12</v>
      </c>
      <c r="HT29">
        <v>0</v>
      </c>
      <c r="HU29">
        <v>-1633</v>
      </c>
      <c r="HV29">
        <v>2128</v>
      </c>
      <c r="HW29">
        <v>2715</v>
      </c>
      <c r="HX29">
        <v>3902</v>
      </c>
      <c r="HY29">
        <v>0</v>
      </c>
      <c r="HZ29">
        <v>0</v>
      </c>
      <c r="IA29">
        <v>50</v>
      </c>
      <c r="IB29">
        <v>0</v>
      </c>
      <c r="IC29">
        <v>0</v>
      </c>
      <c r="ID29">
        <v>143</v>
      </c>
      <c r="IE29">
        <v>104</v>
      </c>
      <c r="IF29">
        <v>-37</v>
      </c>
      <c r="IG29">
        <v>-10</v>
      </c>
      <c r="IH29">
        <v>1312</v>
      </c>
      <c r="II29">
        <v>989</v>
      </c>
      <c r="IJ29">
        <v>3604</v>
      </c>
      <c r="IK29">
        <v>3034</v>
      </c>
      <c r="IL29">
        <v>0</v>
      </c>
      <c r="IM29">
        <v>0</v>
      </c>
      <c r="IN29">
        <v>2128</v>
      </c>
      <c r="IO29">
        <v>0</v>
      </c>
      <c r="IP29">
        <v>11267</v>
      </c>
      <c r="IQ29">
        <v>9129</v>
      </c>
      <c r="IR29">
        <v>181</v>
      </c>
      <c r="IS29">
        <v>0</v>
      </c>
      <c r="IT29">
        <v>0</v>
      </c>
      <c r="IU29">
        <v>0</v>
      </c>
      <c r="IV29">
        <v>3803</v>
      </c>
      <c r="IW29">
        <v>0</v>
      </c>
      <c r="IX29">
        <v>0</v>
      </c>
      <c r="IY29">
        <v>0</v>
      </c>
      <c r="IZ29">
        <v>0</v>
      </c>
      <c r="JA29">
        <v>-97</v>
      </c>
      <c r="JB29">
        <v>0</v>
      </c>
      <c r="JC29">
        <v>-117</v>
      </c>
      <c r="JD29">
        <v>0</v>
      </c>
      <c r="JE29">
        <v>-2</v>
      </c>
      <c r="JF29">
        <v>0</v>
      </c>
      <c r="JG29">
        <v>24164</v>
      </c>
      <c r="JH29">
        <v>0</v>
      </c>
      <c r="JI29">
        <v>434</v>
      </c>
      <c r="JJ29">
        <v>0</v>
      </c>
      <c r="JK29">
        <v>0</v>
      </c>
      <c r="JL29">
        <v>0</v>
      </c>
      <c r="JM29">
        <v>0</v>
      </c>
      <c r="JN29">
        <v>1147</v>
      </c>
      <c r="JO29">
        <v>199</v>
      </c>
      <c r="JP29">
        <v>175</v>
      </c>
      <c r="JQ29">
        <v>0</v>
      </c>
      <c r="JR29">
        <v>26119</v>
      </c>
      <c r="JS29">
        <v>-94</v>
      </c>
      <c r="JT29">
        <v>0</v>
      </c>
      <c r="JU29">
        <v>0</v>
      </c>
      <c r="JV29">
        <v>0</v>
      </c>
      <c r="JW29">
        <v>-9244</v>
      </c>
      <c r="JX29">
        <v>0</v>
      </c>
      <c r="JY29">
        <v>0</v>
      </c>
      <c r="JZ29">
        <v>0</v>
      </c>
      <c r="KA29">
        <v>0</v>
      </c>
      <c r="KB29">
        <v>0</v>
      </c>
      <c r="KC29">
        <v>16781</v>
      </c>
      <c r="KD29">
        <v>0</v>
      </c>
      <c r="KE29">
        <v>-3401</v>
      </c>
      <c r="KF29">
        <v>13380</v>
      </c>
      <c r="KG29">
        <v>0</v>
      </c>
      <c r="KH29">
        <v>0</v>
      </c>
      <c r="KI29">
        <v>0</v>
      </c>
      <c r="KJ29">
        <v>0</v>
      </c>
      <c r="KK29">
        <v>-4513</v>
      </c>
      <c r="KL29">
        <v>-516</v>
      </c>
      <c r="KM29">
        <v>0</v>
      </c>
      <c r="KN29">
        <v>0</v>
      </c>
      <c r="KO29">
        <v>1939</v>
      </c>
      <c r="KP29">
        <v>73</v>
      </c>
      <c r="KQ29">
        <v>0</v>
      </c>
      <c r="KR29">
        <v>9692</v>
      </c>
      <c r="KS29">
        <v>0</v>
      </c>
      <c r="KT29">
        <v>0</v>
      </c>
      <c r="KU29">
        <v>0</v>
      </c>
      <c r="KV29">
        <v>18594</v>
      </c>
      <c r="KW29">
        <v>5215</v>
      </c>
      <c r="KX29">
        <v>0</v>
      </c>
      <c r="KY29">
        <v>0</v>
      </c>
      <c r="KZ29">
        <v>0</v>
      </c>
      <c r="LA29">
        <v>14081</v>
      </c>
      <c r="LB29">
        <v>4699</v>
      </c>
      <c r="LC29">
        <v>0</v>
      </c>
      <c r="LD29">
        <v>1969</v>
      </c>
      <c r="LE29">
        <v>-299</v>
      </c>
      <c r="LF29">
        <v>0</v>
      </c>
      <c r="LG29">
        <v>-988</v>
      </c>
      <c r="LH29">
        <v>977</v>
      </c>
      <c r="LI29">
        <v>1659</v>
      </c>
      <c r="LJ29">
        <v>2259</v>
      </c>
      <c r="LK29">
        <v>1964</v>
      </c>
      <c r="LL29">
        <v>4223</v>
      </c>
      <c r="LM29">
        <v>0</v>
      </c>
      <c r="LN29">
        <v>0</v>
      </c>
      <c r="LO29">
        <v>0</v>
      </c>
      <c r="LP29">
        <v>0</v>
      </c>
      <c r="LQ29">
        <v>0</v>
      </c>
      <c r="LR29">
        <v>0</v>
      </c>
      <c r="LS29">
        <v>0</v>
      </c>
      <c r="LT29">
        <v>0</v>
      </c>
      <c r="LU29">
        <v>0</v>
      </c>
      <c r="LV29">
        <v>143</v>
      </c>
      <c r="LW29">
        <v>104</v>
      </c>
      <c r="LX29">
        <v>-37</v>
      </c>
      <c r="LY29">
        <v>-10</v>
      </c>
      <c r="LZ29">
        <v>1312</v>
      </c>
      <c r="MA29">
        <v>989</v>
      </c>
      <c r="MB29">
        <v>3604</v>
      </c>
      <c r="MC29">
        <v>3034</v>
      </c>
      <c r="MD29">
        <v>0</v>
      </c>
      <c r="ME29">
        <v>0</v>
      </c>
      <c r="MF29">
        <v>2128</v>
      </c>
      <c r="MG29">
        <v>0</v>
      </c>
      <c r="MH29">
        <v>11267</v>
      </c>
      <c r="MI29">
        <v>0</v>
      </c>
      <c r="MJ29">
        <v>0</v>
      </c>
      <c r="MK29">
        <v>0</v>
      </c>
      <c r="ML29">
        <v>0</v>
      </c>
      <c r="MM29">
        <v>0</v>
      </c>
      <c r="MN29">
        <v>0</v>
      </c>
      <c r="MO29">
        <v>0</v>
      </c>
      <c r="MP29">
        <v>0</v>
      </c>
      <c r="MQ29">
        <v>0</v>
      </c>
      <c r="MR29">
        <v>0</v>
      </c>
      <c r="MS29">
        <v>0</v>
      </c>
      <c r="MT29">
        <v>0</v>
      </c>
      <c r="MU29">
        <v>0</v>
      </c>
      <c r="MV29">
        <v>-8</v>
      </c>
      <c r="MW29">
        <v>0</v>
      </c>
      <c r="MX29">
        <v>-206</v>
      </c>
      <c r="MY29">
        <v>0</v>
      </c>
      <c r="MZ29">
        <v>0</v>
      </c>
      <c r="NA29">
        <v>-214</v>
      </c>
      <c r="NB29">
        <v>117</v>
      </c>
      <c r="NC29">
        <v>-97</v>
      </c>
      <c r="ND29">
        <v>0</v>
      </c>
      <c r="NE29">
        <v>0</v>
      </c>
      <c r="NF29">
        <v>0</v>
      </c>
      <c r="NG29">
        <v>0</v>
      </c>
      <c r="NH29">
        <v>0</v>
      </c>
      <c r="NI29">
        <v>0</v>
      </c>
      <c r="NJ29">
        <v>0</v>
      </c>
      <c r="NK29">
        <v>0</v>
      </c>
      <c r="NL29">
        <v>0</v>
      </c>
      <c r="NM29">
        <v>0</v>
      </c>
      <c r="NN29">
        <v>0</v>
      </c>
      <c r="NO29">
        <v>0</v>
      </c>
      <c r="NP29">
        <v>0</v>
      </c>
      <c r="NQ29">
        <v>0</v>
      </c>
      <c r="NR29">
        <v>0</v>
      </c>
      <c r="NS29">
        <v>0</v>
      </c>
      <c r="NT29">
        <v>0</v>
      </c>
      <c r="NU29">
        <v>0</v>
      </c>
      <c r="NV29">
        <v>0</v>
      </c>
      <c r="NW29">
        <v>0</v>
      </c>
      <c r="NX29">
        <v>0</v>
      </c>
      <c r="NY29">
        <v>0</v>
      </c>
      <c r="NZ29">
        <v>0</v>
      </c>
      <c r="OA29">
        <v>0</v>
      </c>
      <c r="OB29">
        <v>0</v>
      </c>
      <c r="OC29">
        <v>117</v>
      </c>
      <c r="OD29">
        <v>0</v>
      </c>
      <c r="OE29">
        <v>0</v>
      </c>
      <c r="OF29">
        <v>0</v>
      </c>
      <c r="OG29">
        <v>0</v>
      </c>
      <c r="OH29">
        <v>117</v>
      </c>
      <c r="OI29">
        <v>0</v>
      </c>
      <c r="OJ29">
        <v>0</v>
      </c>
      <c r="OK29">
        <v>0</v>
      </c>
      <c r="OL29">
        <v>0</v>
      </c>
      <c r="OM29">
        <v>0</v>
      </c>
      <c r="ON29">
        <v>0</v>
      </c>
    </row>
    <row r="30" spans="1:404" hidden="1" x14ac:dyDescent="0.25">
      <c r="A30" t="s">
        <v>152</v>
      </c>
      <c r="B30" t="s">
        <v>153</v>
      </c>
      <c r="C30" t="s">
        <v>151</v>
      </c>
      <c r="E30" t="s">
        <v>125</v>
      </c>
      <c r="F30">
        <v>10527</v>
      </c>
      <c r="G30">
        <v>75959</v>
      </c>
      <c r="H30">
        <v>15104</v>
      </c>
      <c r="I30">
        <v>9614</v>
      </c>
      <c r="J30">
        <v>1017</v>
      </c>
      <c r="K30">
        <v>9768</v>
      </c>
      <c r="L30">
        <v>121989</v>
      </c>
      <c r="M30">
        <v>816</v>
      </c>
      <c r="N30">
        <v>0</v>
      </c>
      <c r="O30">
        <v>-371</v>
      </c>
      <c r="P30">
        <v>0</v>
      </c>
      <c r="Q30">
        <v>20</v>
      </c>
      <c r="R30">
        <v>799</v>
      </c>
      <c r="S30">
        <v>10</v>
      </c>
      <c r="T30">
        <v>488</v>
      </c>
      <c r="U30">
        <v>811</v>
      </c>
      <c r="V30">
        <v>0</v>
      </c>
      <c r="W30">
        <v>-232</v>
      </c>
      <c r="X30">
        <v>182</v>
      </c>
      <c r="Y30">
        <v>1027</v>
      </c>
      <c r="Z30">
        <v>-358</v>
      </c>
      <c r="AA30">
        <v>470</v>
      </c>
      <c r="AB30">
        <v>2123</v>
      </c>
      <c r="AC30">
        <v>37</v>
      </c>
      <c r="AD30">
        <v>0</v>
      </c>
      <c r="AE30">
        <v>0</v>
      </c>
      <c r="AF30">
        <v>0</v>
      </c>
      <c r="AG30">
        <v>277</v>
      </c>
      <c r="AH30">
        <v>0</v>
      </c>
      <c r="AI30">
        <v>6099</v>
      </c>
      <c r="AJ30">
        <v>0</v>
      </c>
      <c r="AK30">
        <v>0</v>
      </c>
      <c r="AL30">
        <v>0</v>
      </c>
      <c r="AM30">
        <v>0</v>
      </c>
      <c r="AN30">
        <v>0</v>
      </c>
      <c r="AO30">
        <v>0</v>
      </c>
      <c r="AP30">
        <v>0</v>
      </c>
      <c r="AQ30">
        <v>511</v>
      </c>
      <c r="AR30">
        <v>0</v>
      </c>
      <c r="AS30">
        <v>0</v>
      </c>
      <c r="AT30">
        <v>0</v>
      </c>
      <c r="AU30">
        <v>0</v>
      </c>
      <c r="AV30">
        <v>2442</v>
      </c>
      <c r="AW30">
        <v>20480</v>
      </c>
      <c r="AX30">
        <v>0</v>
      </c>
      <c r="AY30">
        <v>4058</v>
      </c>
      <c r="AZ30">
        <v>698</v>
      </c>
      <c r="BA30">
        <v>8556</v>
      </c>
      <c r="BB30">
        <v>0</v>
      </c>
      <c r="BC30">
        <v>340</v>
      </c>
      <c r="BD30">
        <v>36574</v>
      </c>
      <c r="BE30">
        <v>3316</v>
      </c>
      <c r="BF30">
        <v>12064</v>
      </c>
      <c r="BG30">
        <v>360</v>
      </c>
      <c r="BH30">
        <v>882</v>
      </c>
      <c r="BI30">
        <v>142</v>
      </c>
      <c r="BJ30">
        <v>1860</v>
      </c>
      <c r="BK30">
        <v>13143</v>
      </c>
      <c r="BL30">
        <v>1787</v>
      </c>
      <c r="BM30">
        <v>4388</v>
      </c>
      <c r="BN30">
        <v>1998</v>
      </c>
      <c r="BO30">
        <v>258</v>
      </c>
      <c r="BP30">
        <v>0</v>
      </c>
      <c r="BQ30">
        <v>2733</v>
      </c>
      <c r="BR30">
        <v>0</v>
      </c>
      <c r="BS30">
        <v>1019</v>
      </c>
      <c r="BT30">
        <v>5352</v>
      </c>
      <c r="BU30">
        <v>398</v>
      </c>
      <c r="BV30">
        <v>6882</v>
      </c>
      <c r="BW30">
        <v>56582</v>
      </c>
      <c r="BX30">
        <v>360</v>
      </c>
      <c r="BY30">
        <v>441</v>
      </c>
      <c r="BZ30">
        <v>360</v>
      </c>
      <c r="CA30">
        <v>121</v>
      </c>
      <c r="CB30">
        <v>231</v>
      </c>
      <c r="CC30">
        <v>82</v>
      </c>
      <c r="CD30">
        <v>357</v>
      </c>
      <c r="CE30">
        <v>324</v>
      </c>
      <c r="CF30">
        <v>36</v>
      </c>
      <c r="CG30">
        <v>1189</v>
      </c>
      <c r="CH30">
        <v>132</v>
      </c>
      <c r="CI30">
        <v>1279</v>
      </c>
      <c r="CJ30">
        <v>622</v>
      </c>
      <c r="CK30">
        <v>173</v>
      </c>
      <c r="CL30">
        <v>760</v>
      </c>
      <c r="CM30">
        <v>622</v>
      </c>
      <c r="CN30">
        <v>221</v>
      </c>
      <c r="CO30">
        <v>25</v>
      </c>
      <c r="CP30">
        <v>1508</v>
      </c>
      <c r="CQ30">
        <v>3015</v>
      </c>
      <c r="CR30">
        <v>676</v>
      </c>
      <c r="CS30">
        <v>0</v>
      </c>
      <c r="CT30">
        <v>753</v>
      </c>
      <c r="CU30">
        <v>3123</v>
      </c>
      <c r="CV30">
        <v>16920</v>
      </c>
      <c r="CW30">
        <v>0</v>
      </c>
      <c r="CX30">
        <v>0</v>
      </c>
      <c r="CY30">
        <v>0</v>
      </c>
      <c r="CZ30">
        <v>0</v>
      </c>
      <c r="DA30">
        <v>0</v>
      </c>
      <c r="DB30">
        <v>0</v>
      </c>
      <c r="DC30">
        <v>298</v>
      </c>
      <c r="DD30">
        <v>0</v>
      </c>
      <c r="DE30">
        <v>0</v>
      </c>
      <c r="DF30">
        <v>83</v>
      </c>
      <c r="DG30">
        <v>0</v>
      </c>
      <c r="DH30">
        <v>0</v>
      </c>
      <c r="DI30">
        <v>0</v>
      </c>
      <c r="DJ30">
        <v>0</v>
      </c>
      <c r="DK30">
        <v>0</v>
      </c>
      <c r="DL30">
        <v>0</v>
      </c>
      <c r="DM30">
        <v>0</v>
      </c>
      <c r="DN30">
        <v>1059</v>
      </c>
      <c r="DO30">
        <v>0</v>
      </c>
      <c r="DP30">
        <v>1059</v>
      </c>
      <c r="DQ30">
        <v>0</v>
      </c>
      <c r="DR30">
        <v>0</v>
      </c>
      <c r="DS30">
        <v>0</v>
      </c>
      <c r="DT30">
        <v>853</v>
      </c>
      <c r="DU30">
        <v>65</v>
      </c>
      <c r="DV30">
        <v>1365</v>
      </c>
      <c r="DW30">
        <v>0</v>
      </c>
      <c r="DX30">
        <v>3723</v>
      </c>
      <c r="DY30">
        <v>0</v>
      </c>
      <c r="DZ30">
        <v>0</v>
      </c>
      <c r="EA30">
        <v>0</v>
      </c>
      <c r="EB30">
        <v>0</v>
      </c>
      <c r="EC30">
        <v>0</v>
      </c>
      <c r="ED30">
        <v>0</v>
      </c>
      <c r="EE30">
        <v>0</v>
      </c>
      <c r="EF30">
        <v>0</v>
      </c>
      <c r="EG30">
        <v>0</v>
      </c>
      <c r="EH30">
        <v>0</v>
      </c>
      <c r="EI30">
        <v>0</v>
      </c>
      <c r="EJ30">
        <v>0</v>
      </c>
      <c r="EK30">
        <v>0</v>
      </c>
      <c r="EL30">
        <v>0</v>
      </c>
      <c r="EM30">
        <v>0</v>
      </c>
      <c r="EN30">
        <v>0</v>
      </c>
      <c r="EO30">
        <v>0</v>
      </c>
      <c r="EP30">
        <v>0</v>
      </c>
      <c r="EQ30">
        <v>0</v>
      </c>
      <c r="ER30">
        <v>0</v>
      </c>
      <c r="ES30">
        <v>0</v>
      </c>
      <c r="ET30">
        <v>0</v>
      </c>
      <c r="EU30">
        <v>11</v>
      </c>
      <c r="EV30">
        <v>103</v>
      </c>
      <c r="EW30">
        <v>0</v>
      </c>
      <c r="EX30">
        <v>480</v>
      </c>
      <c r="EY30">
        <v>468</v>
      </c>
      <c r="EZ30">
        <v>41</v>
      </c>
      <c r="FA30">
        <v>0</v>
      </c>
      <c r="FB30">
        <v>1140</v>
      </c>
      <c r="FC30">
        <v>1443</v>
      </c>
      <c r="FD30">
        <v>1207</v>
      </c>
      <c r="FE30">
        <v>0</v>
      </c>
      <c r="FF30">
        <v>157</v>
      </c>
      <c r="FG30">
        <v>1346</v>
      </c>
      <c r="FH30">
        <v>6396</v>
      </c>
      <c r="FI30">
        <v>-1019</v>
      </c>
      <c r="FJ30">
        <v>206</v>
      </c>
      <c r="FK30">
        <v>0</v>
      </c>
      <c r="FL30">
        <v>203</v>
      </c>
      <c r="FM30">
        <v>576</v>
      </c>
      <c r="FN30">
        <v>236</v>
      </c>
      <c r="FO30">
        <v>0</v>
      </c>
      <c r="FP30">
        <v>0</v>
      </c>
      <c r="FQ30">
        <v>0</v>
      </c>
      <c r="FR30">
        <v>91</v>
      </c>
      <c r="FS30">
        <v>0</v>
      </c>
      <c r="FT30">
        <v>318</v>
      </c>
      <c r="FU30">
        <v>-122</v>
      </c>
      <c r="FV30">
        <v>1978</v>
      </c>
      <c r="FW30">
        <v>0</v>
      </c>
      <c r="FX30">
        <v>-168</v>
      </c>
      <c r="FY30">
        <v>0</v>
      </c>
      <c r="FZ30">
        <v>0</v>
      </c>
      <c r="GA30">
        <v>0</v>
      </c>
      <c r="GB30">
        <v>0</v>
      </c>
      <c r="GC30">
        <v>0</v>
      </c>
      <c r="GD30">
        <v>1567</v>
      </c>
      <c r="GE30">
        <v>1157</v>
      </c>
      <c r="GF30">
        <v>6092</v>
      </c>
      <c r="GG30">
        <v>0</v>
      </c>
      <c r="GH30">
        <v>1229</v>
      </c>
      <c r="GI30">
        <v>0</v>
      </c>
      <c r="GJ30">
        <v>0</v>
      </c>
      <c r="GK30">
        <v>12344</v>
      </c>
      <c r="GL30">
        <v>524</v>
      </c>
      <c r="GM30">
        <v>130</v>
      </c>
      <c r="GN30">
        <v>0</v>
      </c>
      <c r="GO30">
        <v>468</v>
      </c>
      <c r="GP30">
        <v>0</v>
      </c>
      <c r="GQ30">
        <v>2993</v>
      </c>
      <c r="GR30">
        <v>0</v>
      </c>
      <c r="GS30">
        <v>-4770</v>
      </c>
      <c r="GT30">
        <v>404</v>
      </c>
      <c r="GU30">
        <v>-251</v>
      </c>
      <c r="GV30">
        <v>18489</v>
      </c>
      <c r="GW30">
        <v>0</v>
      </c>
      <c r="GX30">
        <v>0</v>
      </c>
      <c r="GY30">
        <v>0</v>
      </c>
      <c r="GZ30">
        <v>0</v>
      </c>
      <c r="HA30">
        <v>0</v>
      </c>
      <c r="HB30">
        <v>4035</v>
      </c>
      <c r="HC30">
        <v>667</v>
      </c>
      <c r="HD30">
        <v>0</v>
      </c>
      <c r="HE30">
        <v>0</v>
      </c>
      <c r="HF30">
        <v>0</v>
      </c>
      <c r="HG30">
        <v>640</v>
      </c>
      <c r="HH30">
        <v>0</v>
      </c>
      <c r="HI30">
        <v>120</v>
      </c>
      <c r="HJ30">
        <v>186</v>
      </c>
      <c r="HK30">
        <v>259</v>
      </c>
      <c r="HL30">
        <v>325</v>
      </c>
      <c r="HM30">
        <v>-110</v>
      </c>
      <c r="HN30">
        <v>0</v>
      </c>
      <c r="HO30">
        <v>0</v>
      </c>
      <c r="HP30">
        <v>283</v>
      </c>
      <c r="HQ30">
        <v>0</v>
      </c>
      <c r="HR30">
        <v>1392</v>
      </c>
      <c r="HS30">
        <v>0</v>
      </c>
      <c r="HT30">
        <v>0</v>
      </c>
      <c r="HU30">
        <v>4938</v>
      </c>
      <c r="HV30">
        <v>12735</v>
      </c>
      <c r="HW30">
        <v>13210</v>
      </c>
      <c r="HX30">
        <v>17559</v>
      </c>
      <c r="HY30">
        <v>0</v>
      </c>
      <c r="HZ30">
        <v>200</v>
      </c>
      <c r="IA30">
        <v>0</v>
      </c>
      <c r="IB30">
        <v>0</v>
      </c>
      <c r="IC30">
        <v>121989</v>
      </c>
      <c r="ID30">
        <v>6099</v>
      </c>
      <c r="IE30">
        <v>36574</v>
      </c>
      <c r="IF30">
        <v>56582</v>
      </c>
      <c r="IG30">
        <v>16920</v>
      </c>
      <c r="IH30">
        <v>3723</v>
      </c>
      <c r="II30">
        <v>6396</v>
      </c>
      <c r="IJ30">
        <v>12344</v>
      </c>
      <c r="IK30">
        <v>-251</v>
      </c>
      <c r="IL30">
        <v>0</v>
      </c>
      <c r="IM30">
        <v>0</v>
      </c>
      <c r="IN30">
        <v>12735</v>
      </c>
      <c r="IO30">
        <v>0</v>
      </c>
      <c r="IP30">
        <v>273111</v>
      </c>
      <c r="IQ30">
        <v>33236</v>
      </c>
      <c r="IR30">
        <v>0</v>
      </c>
      <c r="IS30">
        <v>0</v>
      </c>
      <c r="IT30">
        <v>0</v>
      </c>
      <c r="IU30">
        <v>0</v>
      </c>
      <c r="IV30">
        <v>163</v>
      </c>
      <c r="IW30">
        <v>0</v>
      </c>
      <c r="IX30">
        <v>0</v>
      </c>
      <c r="IY30">
        <v>0</v>
      </c>
      <c r="IZ30">
        <v>0</v>
      </c>
      <c r="JA30">
        <v>0</v>
      </c>
      <c r="JB30">
        <v>-13</v>
      </c>
      <c r="JC30">
        <v>0</v>
      </c>
      <c r="JD30">
        <v>-65</v>
      </c>
      <c r="JE30">
        <v>0</v>
      </c>
      <c r="JF30">
        <v>0</v>
      </c>
      <c r="JG30">
        <v>306432</v>
      </c>
      <c r="JH30">
        <v>67</v>
      </c>
      <c r="JI30">
        <v>2020</v>
      </c>
      <c r="JJ30">
        <v>0</v>
      </c>
      <c r="JK30">
        <v>0</v>
      </c>
      <c r="JL30">
        <v>0</v>
      </c>
      <c r="JM30">
        <v>0</v>
      </c>
      <c r="JN30">
        <v>6217</v>
      </c>
      <c r="JO30">
        <v>0</v>
      </c>
      <c r="JP30">
        <v>11654</v>
      </c>
      <c r="JQ30">
        <v>0</v>
      </c>
      <c r="JR30">
        <v>326390</v>
      </c>
      <c r="JS30">
        <v>-54</v>
      </c>
      <c r="JT30">
        <v>0</v>
      </c>
      <c r="JU30">
        <v>0</v>
      </c>
      <c r="JV30">
        <v>0</v>
      </c>
      <c r="JW30">
        <v>-34539</v>
      </c>
      <c r="JX30">
        <v>0</v>
      </c>
      <c r="JY30">
        <v>0</v>
      </c>
      <c r="JZ30">
        <v>0</v>
      </c>
      <c r="KA30">
        <v>0</v>
      </c>
      <c r="KB30">
        <v>0</v>
      </c>
      <c r="KC30">
        <v>291797</v>
      </c>
      <c r="KD30">
        <v>0</v>
      </c>
      <c r="KE30">
        <v>-174712</v>
      </c>
      <c r="KF30">
        <v>117085</v>
      </c>
      <c r="KG30">
        <v>0</v>
      </c>
      <c r="KH30">
        <v>-922</v>
      </c>
      <c r="KI30">
        <v>648</v>
      </c>
      <c r="KJ30">
        <v>-2</v>
      </c>
      <c r="KK30">
        <v>8716</v>
      </c>
      <c r="KL30">
        <v>-656</v>
      </c>
      <c r="KM30">
        <v>-13597</v>
      </c>
      <c r="KN30">
        <v>0</v>
      </c>
      <c r="KO30">
        <v>-39922</v>
      </c>
      <c r="KP30">
        <v>539</v>
      </c>
      <c r="KQ30">
        <v>0</v>
      </c>
      <c r="KR30">
        <v>57207</v>
      </c>
      <c r="KS30">
        <v>9061</v>
      </c>
      <c r="KT30">
        <v>3599</v>
      </c>
      <c r="KU30">
        <v>1094</v>
      </c>
      <c r="KV30">
        <v>46989</v>
      </c>
      <c r="KW30">
        <v>8373</v>
      </c>
      <c r="KX30">
        <v>8139</v>
      </c>
      <c r="KY30">
        <v>4247</v>
      </c>
      <c r="KZ30">
        <v>1092</v>
      </c>
      <c r="LA30">
        <v>55705</v>
      </c>
      <c r="LB30">
        <v>7717</v>
      </c>
      <c r="LC30">
        <v>0</v>
      </c>
      <c r="LD30">
        <v>15840</v>
      </c>
      <c r="LE30">
        <v>0</v>
      </c>
      <c r="LF30">
        <v>884</v>
      </c>
      <c r="LG30">
        <v>0</v>
      </c>
      <c r="LH30">
        <v>3301</v>
      </c>
      <c r="LI30">
        <v>20059</v>
      </c>
      <c r="LJ30">
        <v>3583</v>
      </c>
      <c r="LK30">
        <v>9141</v>
      </c>
      <c r="LL30">
        <v>12724</v>
      </c>
      <c r="LM30">
        <v>27</v>
      </c>
      <c r="LN30">
        <v>0</v>
      </c>
      <c r="LO30">
        <v>0</v>
      </c>
      <c r="LP30">
        <v>0</v>
      </c>
      <c r="LQ30">
        <v>0</v>
      </c>
      <c r="LR30">
        <v>0</v>
      </c>
      <c r="LS30">
        <v>0</v>
      </c>
      <c r="LT30">
        <v>0</v>
      </c>
      <c r="LU30">
        <v>121989</v>
      </c>
      <c r="LV30">
        <v>6099</v>
      </c>
      <c r="LW30">
        <v>36574</v>
      </c>
      <c r="LX30">
        <v>56582</v>
      </c>
      <c r="LY30">
        <v>16920</v>
      </c>
      <c r="LZ30">
        <v>3723</v>
      </c>
      <c r="MA30">
        <v>6396</v>
      </c>
      <c r="MB30">
        <v>12344</v>
      </c>
      <c r="MC30">
        <v>-251</v>
      </c>
      <c r="MD30">
        <v>0</v>
      </c>
      <c r="ME30">
        <v>0</v>
      </c>
      <c r="MF30">
        <v>12735</v>
      </c>
      <c r="MG30">
        <v>0</v>
      </c>
      <c r="MH30">
        <v>273111</v>
      </c>
      <c r="MI30">
        <v>0</v>
      </c>
      <c r="MJ30">
        <v>0</v>
      </c>
      <c r="MK30">
        <v>0</v>
      </c>
      <c r="ML30">
        <v>0</v>
      </c>
      <c r="MM30">
        <v>0</v>
      </c>
      <c r="MN30">
        <v>0</v>
      </c>
      <c r="MO30">
        <v>0</v>
      </c>
      <c r="MP30">
        <v>0</v>
      </c>
      <c r="MQ30">
        <v>0</v>
      </c>
      <c r="MR30">
        <v>0</v>
      </c>
      <c r="MS30">
        <v>0</v>
      </c>
      <c r="MT30">
        <v>0</v>
      </c>
      <c r="MU30">
        <v>0</v>
      </c>
      <c r="MV30">
        <v>0</v>
      </c>
      <c r="MW30">
        <v>0</v>
      </c>
      <c r="MX30">
        <v>0</v>
      </c>
      <c r="MY30">
        <v>0</v>
      </c>
      <c r="MZ30">
        <v>0</v>
      </c>
      <c r="NA30">
        <v>0</v>
      </c>
      <c r="NB30">
        <v>0</v>
      </c>
      <c r="NC30">
        <v>0</v>
      </c>
      <c r="ND30">
        <v>0</v>
      </c>
      <c r="NE30">
        <v>0</v>
      </c>
      <c r="NF30">
        <v>0</v>
      </c>
      <c r="NG30">
        <v>0</v>
      </c>
      <c r="NH30">
        <v>0</v>
      </c>
      <c r="NI30">
        <v>0</v>
      </c>
      <c r="NJ30">
        <v>0</v>
      </c>
      <c r="NK30">
        <v>0</v>
      </c>
      <c r="NL30">
        <v>0</v>
      </c>
      <c r="NM30">
        <v>0</v>
      </c>
      <c r="NN30">
        <v>124</v>
      </c>
      <c r="NO30">
        <v>116</v>
      </c>
      <c r="NP30">
        <v>0</v>
      </c>
      <c r="NQ30">
        <v>-318</v>
      </c>
      <c r="NR30">
        <v>0</v>
      </c>
      <c r="NS30">
        <v>0</v>
      </c>
      <c r="NT30">
        <v>0</v>
      </c>
      <c r="NU30">
        <v>0</v>
      </c>
      <c r="NV30">
        <v>0</v>
      </c>
      <c r="NW30">
        <v>0</v>
      </c>
      <c r="NX30">
        <v>0</v>
      </c>
      <c r="NY30">
        <v>0</v>
      </c>
      <c r="NZ30">
        <v>-78</v>
      </c>
      <c r="OA30">
        <v>65</v>
      </c>
      <c r="OB30">
        <v>-13</v>
      </c>
      <c r="OC30">
        <v>0</v>
      </c>
      <c r="OD30">
        <v>0</v>
      </c>
      <c r="OE30">
        <v>0</v>
      </c>
      <c r="OF30">
        <v>0</v>
      </c>
      <c r="OG30">
        <v>0</v>
      </c>
      <c r="OH30">
        <v>0</v>
      </c>
      <c r="OI30">
        <v>15</v>
      </c>
      <c r="OJ30">
        <v>0</v>
      </c>
      <c r="OK30">
        <v>50</v>
      </c>
      <c r="OL30">
        <v>0</v>
      </c>
      <c r="OM30">
        <v>0</v>
      </c>
      <c r="ON30">
        <v>65</v>
      </c>
    </row>
    <row r="31" spans="1:404" hidden="1" x14ac:dyDescent="0.25">
      <c r="A31" t="s">
        <v>155</v>
      </c>
      <c r="B31" t="s">
        <v>156</v>
      </c>
      <c r="C31" t="s">
        <v>154</v>
      </c>
      <c r="E31" t="s">
        <v>125</v>
      </c>
      <c r="F31">
        <v>8243</v>
      </c>
      <c r="G31">
        <v>20797</v>
      </c>
      <c r="H31">
        <v>1119</v>
      </c>
      <c r="I31">
        <v>19047</v>
      </c>
      <c r="J31">
        <v>1511</v>
      </c>
      <c r="K31">
        <v>11067</v>
      </c>
      <c r="L31">
        <v>61784</v>
      </c>
      <c r="M31">
        <v>0</v>
      </c>
      <c r="N31">
        <v>781</v>
      </c>
      <c r="O31">
        <v>-16</v>
      </c>
      <c r="P31">
        <v>3252</v>
      </c>
      <c r="Q31">
        <v>0</v>
      </c>
      <c r="R31">
        <v>1176</v>
      </c>
      <c r="S31">
        <v>0</v>
      </c>
      <c r="T31">
        <v>67</v>
      </c>
      <c r="U31">
        <v>6806</v>
      </c>
      <c r="V31">
        <v>0</v>
      </c>
      <c r="W31">
        <v>0</v>
      </c>
      <c r="X31">
        <v>156</v>
      </c>
      <c r="Y31">
        <v>228</v>
      </c>
      <c r="Z31">
        <v>-1299</v>
      </c>
      <c r="AA31">
        <v>-3040</v>
      </c>
      <c r="AB31">
        <v>3520</v>
      </c>
      <c r="AC31">
        <v>745</v>
      </c>
      <c r="AD31">
        <v>17</v>
      </c>
      <c r="AE31">
        <v>0</v>
      </c>
      <c r="AF31">
        <v>0</v>
      </c>
      <c r="AG31">
        <v>-23</v>
      </c>
      <c r="AH31">
        <v>8</v>
      </c>
      <c r="AI31">
        <v>12378</v>
      </c>
      <c r="AJ31">
        <v>0</v>
      </c>
      <c r="AK31">
        <v>0</v>
      </c>
      <c r="AL31">
        <v>0</v>
      </c>
      <c r="AM31">
        <v>0</v>
      </c>
      <c r="AN31">
        <v>0</v>
      </c>
      <c r="AO31">
        <v>0</v>
      </c>
      <c r="AP31">
        <v>0</v>
      </c>
      <c r="AQ31">
        <v>828</v>
      </c>
      <c r="AR31">
        <v>1011</v>
      </c>
      <c r="AS31">
        <v>0</v>
      </c>
      <c r="AT31">
        <v>0</v>
      </c>
      <c r="AU31">
        <v>0</v>
      </c>
      <c r="AV31">
        <v>164</v>
      </c>
      <c r="AW31">
        <v>41261</v>
      </c>
      <c r="AX31">
        <v>0</v>
      </c>
      <c r="AY31">
        <v>5899</v>
      </c>
      <c r="AZ31">
        <v>2320</v>
      </c>
      <c r="BA31">
        <v>13881</v>
      </c>
      <c r="BB31">
        <v>0</v>
      </c>
      <c r="BC31">
        <v>1773</v>
      </c>
      <c r="BD31">
        <v>65298</v>
      </c>
      <c r="BE31">
        <v>4743</v>
      </c>
      <c r="BF31">
        <v>15313</v>
      </c>
      <c r="BG31">
        <v>351</v>
      </c>
      <c r="BH31">
        <v>267</v>
      </c>
      <c r="BI31">
        <v>460</v>
      </c>
      <c r="BJ31">
        <v>4134</v>
      </c>
      <c r="BK31">
        <v>15675</v>
      </c>
      <c r="BL31">
        <v>3599</v>
      </c>
      <c r="BM31">
        <v>4997</v>
      </c>
      <c r="BN31">
        <v>2129</v>
      </c>
      <c r="BO31">
        <v>134</v>
      </c>
      <c r="BP31">
        <v>-11</v>
      </c>
      <c r="BQ31">
        <v>627</v>
      </c>
      <c r="BR31">
        <v>336</v>
      </c>
      <c r="BS31">
        <v>577</v>
      </c>
      <c r="BT31">
        <v>8260</v>
      </c>
      <c r="BU31">
        <v>286</v>
      </c>
      <c r="BV31">
        <v>847</v>
      </c>
      <c r="BW31">
        <v>68476</v>
      </c>
      <c r="BX31">
        <v>889</v>
      </c>
      <c r="BY31">
        <v>932</v>
      </c>
      <c r="BZ31">
        <v>547</v>
      </c>
      <c r="CA31">
        <v>119</v>
      </c>
      <c r="CB31">
        <v>1420</v>
      </c>
      <c r="CC31">
        <v>396</v>
      </c>
      <c r="CD31">
        <v>57</v>
      </c>
      <c r="CE31">
        <v>19</v>
      </c>
      <c r="CF31">
        <v>1126</v>
      </c>
      <c r="CG31">
        <v>35</v>
      </c>
      <c r="CH31">
        <v>228</v>
      </c>
      <c r="CI31">
        <v>1049</v>
      </c>
      <c r="CJ31">
        <v>655</v>
      </c>
      <c r="CK31">
        <v>1155</v>
      </c>
      <c r="CL31">
        <v>760</v>
      </c>
      <c r="CM31">
        <v>0</v>
      </c>
      <c r="CN31">
        <v>455</v>
      </c>
      <c r="CO31">
        <v>-38</v>
      </c>
      <c r="CP31">
        <v>454</v>
      </c>
      <c r="CQ31">
        <v>1156</v>
      </c>
      <c r="CR31">
        <v>1398</v>
      </c>
      <c r="CS31">
        <v>15</v>
      </c>
      <c r="CT31">
        <v>577</v>
      </c>
      <c r="CU31">
        <v>5315</v>
      </c>
      <c r="CV31">
        <v>22197</v>
      </c>
      <c r="CW31">
        <v>425</v>
      </c>
      <c r="CX31">
        <v>0</v>
      </c>
      <c r="CY31">
        <v>0</v>
      </c>
      <c r="CZ31">
        <v>0</v>
      </c>
      <c r="DA31">
        <v>0</v>
      </c>
      <c r="DB31">
        <v>0</v>
      </c>
      <c r="DC31">
        <v>135</v>
      </c>
      <c r="DD31">
        <v>4</v>
      </c>
      <c r="DE31">
        <v>147</v>
      </c>
      <c r="DF31">
        <v>72</v>
      </c>
      <c r="DG31">
        <v>0</v>
      </c>
      <c r="DH31">
        <v>0</v>
      </c>
      <c r="DI31">
        <v>39</v>
      </c>
      <c r="DJ31">
        <v>350</v>
      </c>
      <c r="DK31">
        <v>0</v>
      </c>
      <c r="DL31">
        <v>0</v>
      </c>
      <c r="DM31">
        <v>0</v>
      </c>
      <c r="DN31">
        <v>898</v>
      </c>
      <c r="DO31">
        <v>292</v>
      </c>
      <c r="DP31">
        <v>1579</v>
      </c>
      <c r="DQ31">
        <v>175</v>
      </c>
      <c r="DR31">
        <v>0</v>
      </c>
      <c r="DS31">
        <v>0</v>
      </c>
      <c r="DT31">
        <v>1785</v>
      </c>
      <c r="DU31">
        <v>21</v>
      </c>
      <c r="DV31">
        <v>70</v>
      </c>
      <c r="DW31">
        <v>0</v>
      </c>
      <c r="DX31">
        <v>3988</v>
      </c>
      <c r="DY31">
        <v>17728</v>
      </c>
      <c r="DZ31">
        <v>92</v>
      </c>
      <c r="EA31">
        <v>1971</v>
      </c>
      <c r="EB31">
        <v>171</v>
      </c>
      <c r="EC31">
        <v>0</v>
      </c>
      <c r="ED31">
        <v>17</v>
      </c>
      <c r="EE31">
        <v>0</v>
      </c>
      <c r="EF31">
        <v>0</v>
      </c>
      <c r="EG31">
        <v>0</v>
      </c>
      <c r="EH31">
        <v>4032</v>
      </c>
      <c r="EI31">
        <v>8193</v>
      </c>
      <c r="EJ31">
        <v>0</v>
      </c>
      <c r="EK31">
        <v>177</v>
      </c>
      <c r="EL31">
        <v>331</v>
      </c>
      <c r="EM31">
        <v>0</v>
      </c>
      <c r="EN31">
        <v>8416</v>
      </c>
      <c r="EO31">
        <v>27</v>
      </c>
      <c r="EP31">
        <v>0</v>
      </c>
      <c r="EQ31">
        <v>0</v>
      </c>
      <c r="ER31">
        <v>29</v>
      </c>
      <c r="ES31">
        <v>3032</v>
      </c>
      <c r="ET31">
        <v>1806</v>
      </c>
      <c r="EU31">
        <v>0</v>
      </c>
      <c r="EV31">
        <v>-448</v>
      </c>
      <c r="EW31">
        <v>-1214</v>
      </c>
      <c r="EX31">
        <v>852</v>
      </c>
      <c r="EY31">
        <v>-867</v>
      </c>
      <c r="EZ31">
        <v>0</v>
      </c>
      <c r="FA31">
        <v>256</v>
      </c>
      <c r="FB31">
        <v>136</v>
      </c>
      <c r="FC31">
        <v>3729</v>
      </c>
      <c r="FD31">
        <v>-238</v>
      </c>
      <c r="FE31">
        <v>8</v>
      </c>
      <c r="FF31">
        <v>4352</v>
      </c>
      <c r="FG31">
        <v>-268</v>
      </c>
      <c r="FH31">
        <v>6298</v>
      </c>
      <c r="FI31">
        <v>-855</v>
      </c>
      <c r="FJ31">
        <v>355</v>
      </c>
      <c r="FK31">
        <v>0</v>
      </c>
      <c r="FL31">
        <v>263</v>
      </c>
      <c r="FM31">
        <v>351</v>
      </c>
      <c r="FN31">
        <v>180</v>
      </c>
      <c r="FO31">
        <v>-20</v>
      </c>
      <c r="FP31">
        <v>0</v>
      </c>
      <c r="FQ31">
        <v>0</v>
      </c>
      <c r="FR31">
        <v>2</v>
      </c>
      <c r="FS31">
        <v>586</v>
      </c>
      <c r="FT31">
        <v>192</v>
      </c>
      <c r="FU31">
        <v>-56</v>
      </c>
      <c r="FV31">
        <v>119</v>
      </c>
      <c r="FW31">
        <v>-69</v>
      </c>
      <c r="FX31">
        <v>117</v>
      </c>
      <c r="FY31">
        <v>36</v>
      </c>
      <c r="FZ31">
        <v>16</v>
      </c>
      <c r="GA31">
        <v>0</v>
      </c>
      <c r="GB31">
        <v>328</v>
      </c>
      <c r="GC31">
        <v>0</v>
      </c>
      <c r="GD31">
        <v>3635</v>
      </c>
      <c r="GE31">
        <v>2994</v>
      </c>
      <c r="GF31">
        <v>9112</v>
      </c>
      <c r="GG31">
        <v>-183</v>
      </c>
      <c r="GH31">
        <v>-364</v>
      </c>
      <c r="GI31">
        <v>4</v>
      </c>
      <c r="GJ31">
        <v>-28</v>
      </c>
      <c r="GK31">
        <v>16715</v>
      </c>
      <c r="GL31">
        <v>127</v>
      </c>
      <c r="GM31">
        <v>84</v>
      </c>
      <c r="GN31">
        <v>0</v>
      </c>
      <c r="GO31">
        <v>248</v>
      </c>
      <c r="GP31">
        <v>80</v>
      </c>
      <c r="GQ31">
        <v>490</v>
      </c>
      <c r="GR31">
        <v>0</v>
      </c>
      <c r="GS31">
        <v>-667</v>
      </c>
      <c r="GT31">
        <v>0</v>
      </c>
      <c r="GU31">
        <v>362</v>
      </c>
      <c r="GV31">
        <v>23375</v>
      </c>
      <c r="GW31">
        <v>0</v>
      </c>
      <c r="GX31">
        <v>0</v>
      </c>
      <c r="GY31">
        <v>0</v>
      </c>
      <c r="GZ31">
        <v>0</v>
      </c>
      <c r="HA31">
        <v>0</v>
      </c>
      <c r="HB31">
        <v>3661</v>
      </c>
      <c r="HC31">
        <v>1511</v>
      </c>
      <c r="HD31">
        <v>0</v>
      </c>
      <c r="HE31">
        <v>0</v>
      </c>
      <c r="HF31">
        <v>340</v>
      </c>
      <c r="HG31">
        <v>-126</v>
      </c>
      <c r="HH31">
        <v>-20</v>
      </c>
      <c r="HI31">
        <v>73</v>
      </c>
      <c r="HJ31">
        <v>225</v>
      </c>
      <c r="HK31">
        <v>-2</v>
      </c>
      <c r="HL31">
        <v>0</v>
      </c>
      <c r="HM31">
        <v>-166</v>
      </c>
      <c r="HN31">
        <v>0</v>
      </c>
      <c r="HO31">
        <v>0</v>
      </c>
      <c r="HP31">
        <v>423</v>
      </c>
      <c r="HQ31">
        <v>0</v>
      </c>
      <c r="HR31">
        <v>1310</v>
      </c>
      <c r="HS31">
        <v>0</v>
      </c>
      <c r="HT31">
        <v>0</v>
      </c>
      <c r="HU31">
        <v>-3362</v>
      </c>
      <c r="HV31">
        <v>3867</v>
      </c>
      <c r="HW31">
        <v>4293</v>
      </c>
      <c r="HX31">
        <v>21977</v>
      </c>
      <c r="HY31">
        <v>0</v>
      </c>
      <c r="HZ31">
        <v>0</v>
      </c>
      <c r="IA31">
        <v>0</v>
      </c>
      <c r="IB31">
        <v>0</v>
      </c>
      <c r="IC31">
        <v>61784</v>
      </c>
      <c r="ID31">
        <v>12378</v>
      </c>
      <c r="IE31">
        <v>65298</v>
      </c>
      <c r="IF31">
        <v>68476</v>
      </c>
      <c r="IG31">
        <v>22197</v>
      </c>
      <c r="IH31">
        <v>3988</v>
      </c>
      <c r="II31">
        <v>6298</v>
      </c>
      <c r="IJ31">
        <v>16715</v>
      </c>
      <c r="IK31">
        <v>362</v>
      </c>
      <c r="IL31">
        <v>0</v>
      </c>
      <c r="IM31">
        <v>0</v>
      </c>
      <c r="IN31">
        <v>3867</v>
      </c>
      <c r="IO31">
        <v>0</v>
      </c>
      <c r="IP31">
        <v>261363</v>
      </c>
      <c r="IQ31">
        <v>37200</v>
      </c>
      <c r="IR31">
        <v>173</v>
      </c>
      <c r="IS31">
        <v>10300</v>
      </c>
      <c r="IT31">
        <v>0</v>
      </c>
      <c r="IU31">
        <v>0</v>
      </c>
      <c r="IV31">
        <v>0</v>
      </c>
      <c r="IW31">
        <v>0</v>
      </c>
      <c r="IX31">
        <v>0</v>
      </c>
      <c r="IY31">
        <v>0</v>
      </c>
      <c r="IZ31">
        <v>358</v>
      </c>
      <c r="JA31">
        <v>-2075</v>
      </c>
      <c r="JB31">
        <v>544</v>
      </c>
      <c r="JC31">
        <v>-3452</v>
      </c>
      <c r="JD31">
        <v>0</v>
      </c>
      <c r="JE31">
        <v>0</v>
      </c>
      <c r="JF31">
        <v>0</v>
      </c>
      <c r="JG31">
        <v>304411</v>
      </c>
      <c r="JH31">
        <v>71</v>
      </c>
      <c r="JI31">
        <v>3247</v>
      </c>
      <c r="JJ31">
        <v>0</v>
      </c>
      <c r="JK31">
        <v>0</v>
      </c>
      <c r="JL31">
        <v>0</v>
      </c>
      <c r="JM31">
        <v>0</v>
      </c>
      <c r="JN31">
        <v>3395</v>
      </c>
      <c r="JO31">
        <v>0</v>
      </c>
      <c r="JP31">
        <v>4581</v>
      </c>
      <c r="JQ31">
        <v>0</v>
      </c>
      <c r="JR31">
        <v>315705</v>
      </c>
      <c r="JS31">
        <v>-9163</v>
      </c>
      <c r="JT31">
        <v>0</v>
      </c>
      <c r="JU31">
        <v>175</v>
      </c>
      <c r="JV31">
        <v>0</v>
      </c>
      <c r="JW31">
        <v>-51390</v>
      </c>
      <c r="JX31">
        <v>0</v>
      </c>
      <c r="JY31">
        <v>0</v>
      </c>
      <c r="JZ31">
        <v>0</v>
      </c>
      <c r="KA31">
        <v>0</v>
      </c>
      <c r="KB31">
        <v>806</v>
      </c>
      <c r="KC31">
        <v>256133</v>
      </c>
      <c r="KD31">
        <v>0</v>
      </c>
      <c r="KE31">
        <v>-112672</v>
      </c>
      <c r="KF31">
        <v>143461</v>
      </c>
      <c r="KG31">
        <v>0</v>
      </c>
      <c r="KH31">
        <v>568</v>
      </c>
      <c r="KI31">
        <v>0</v>
      </c>
      <c r="KJ31">
        <v>0</v>
      </c>
      <c r="KK31">
        <v>-1666</v>
      </c>
      <c r="KL31">
        <v>-218</v>
      </c>
      <c r="KM31">
        <v>-15113</v>
      </c>
      <c r="KN31">
        <v>0</v>
      </c>
      <c r="KO31">
        <v>-44359</v>
      </c>
      <c r="KP31">
        <v>-540</v>
      </c>
      <c r="KQ31">
        <v>0</v>
      </c>
      <c r="KR31">
        <v>62618</v>
      </c>
      <c r="KS31">
        <v>3561</v>
      </c>
      <c r="KT31">
        <v>0</v>
      </c>
      <c r="KU31">
        <v>0</v>
      </c>
      <c r="KV31">
        <v>75448</v>
      </c>
      <c r="KW31">
        <v>6293</v>
      </c>
      <c r="KX31">
        <v>4129</v>
      </c>
      <c r="KY31">
        <v>0</v>
      </c>
      <c r="KZ31">
        <v>0</v>
      </c>
      <c r="LA31">
        <v>73782</v>
      </c>
      <c r="LB31">
        <v>6075</v>
      </c>
      <c r="LC31">
        <v>0</v>
      </c>
      <c r="LD31">
        <v>32317</v>
      </c>
      <c r="LE31">
        <v>12581</v>
      </c>
      <c r="LF31">
        <v>0</v>
      </c>
      <c r="LG31">
        <v>-22336</v>
      </c>
      <c r="LH31">
        <v>48</v>
      </c>
      <c r="LI31">
        <v>16788</v>
      </c>
      <c r="LJ31">
        <v>7433</v>
      </c>
      <c r="LK31">
        <v>13072</v>
      </c>
      <c r="LL31">
        <v>20505</v>
      </c>
      <c r="LM31">
        <v>0</v>
      </c>
      <c r="LN31">
        <v>0</v>
      </c>
      <c r="LO31">
        <v>0</v>
      </c>
      <c r="LP31">
        <v>19979</v>
      </c>
      <c r="LQ31">
        <v>21205</v>
      </c>
      <c r="LR31">
        <v>-1226</v>
      </c>
      <c r="LS31">
        <v>3032</v>
      </c>
      <c r="LT31">
        <v>1806</v>
      </c>
      <c r="LU31">
        <v>61784</v>
      </c>
      <c r="LV31">
        <v>12378</v>
      </c>
      <c r="LW31">
        <v>65298</v>
      </c>
      <c r="LX31">
        <v>68476</v>
      </c>
      <c r="LY31">
        <v>22197</v>
      </c>
      <c r="LZ31">
        <v>3988</v>
      </c>
      <c r="MA31">
        <v>6298</v>
      </c>
      <c r="MB31">
        <v>16715</v>
      </c>
      <c r="MC31">
        <v>362</v>
      </c>
      <c r="MD31">
        <v>0</v>
      </c>
      <c r="ME31">
        <v>0</v>
      </c>
      <c r="MF31">
        <v>3867</v>
      </c>
      <c r="MG31">
        <v>0</v>
      </c>
      <c r="MH31">
        <v>261363</v>
      </c>
      <c r="MI31">
        <v>0</v>
      </c>
      <c r="MJ31">
        <v>0</v>
      </c>
      <c r="MK31">
        <v>0</v>
      </c>
      <c r="ML31">
        <v>0</v>
      </c>
      <c r="MM31">
        <v>0</v>
      </c>
      <c r="MN31">
        <v>0</v>
      </c>
      <c r="MO31">
        <v>0</v>
      </c>
      <c r="MP31">
        <v>0</v>
      </c>
      <c r="MQ31">
        <v>0</v>
      </c>
      <c r="MR31">
        <v>0</v>
      </c>
      <c r="MS31">
        <v>0</v>
      </c>
      <c r="MT31">
        <v>0</v>
      </c>
      <c r="MU31">
        <v>0</v>
      </c>
      <c r="MV31">
        <v>0</v>
      </c>
      <c r="MW31">
        <v>0</v>
      </c>
      <c r="MX31">
        <v>0</v>
      </c>
      <c r="MY31">
        <v>-5527</v>
      </c>
      <c r="MZ31">
        <v>0</v>
      </c>
      <c r="NA31">
        <v>-5527</v>
      </c>
      <c r="NB31">
        <v>3452</v>
      </c>
      <c r="NC31">
        <v>-2075</v>
      </c>
      <c r="ND31">
        <v>0</v>
      </c>
      <c r="NE31">
        <v>0</v>
      </c>
      <c r="NF31">
        <v>0</v>
      </c>
      <c r="NG31">
        <v>0</v>
      </c>
      <c r="NH31">
        <v>0</v>
      </c>
      <c r="NI31">
        <v>0</v>
      </c>
      <c r="NJ31">
        <v>0</v>
      </c>
      <c r="NK31">
        <v>0</v>
      </c>
      <c r="NL31">
        <v>0</v>
      </c>
      <c r="NM31">
        <v>0</v>
      </c>
      <c r="NN31">
        <v>102</v>
      </c>
      <c r="NO31">
        <v>0</v>
      </c>
      <c r="NP31">
        <v>0</v>
      </c>
      <c r="NQ31">
        <v>397</v>
      </c>
      <c r="NR31">
        <v>0</v>
      </c>
      <c r="NS31">
        <v>0</v>
      </c>
      <c r="NT31">
        <v>0</v>
      </c>
      <c r="NU31">
        <v>45</v>
      </c>
      <c r="NV31">
        <v>0</v>
      </c>
      <c r="NW31">
        <v>0</v>
      </c>
      <c r="NX31">
        <v>0</v>
      </c>
      <c r="NY31">
        <v>0</v>
      </c>
      <c r="NZ31">
        <v>544</v>
      </c>
      <c r="OA31">
        <v>0</v>
      </c>
      <c r="OB31">
        <v>544</v>
      </c>
      <c r="OC31">
        <v>3452</v>
      </c>
      <c r="OD31">
        <v>0</v>
      </c>
      <c r="OE31">
        <v>0</v>
      </c>
      <c r="OF31">
        <v>0</v>
      </c>
      <c r="OG31">
        <v>0</v>
      </c>
      <c r="OH31">
        <v>3452</v>
      </c>
      <c r="OI31">
        <v>0</v>
      </c>
      <c r="OJ31">
        <v>0</v>
      </c>
      <c r="OK31">
        <v>0</v>
      </c>
      <c r="OL31">
        <v>0</v>
      </c>
      <c r="OM31">
        <v>0</v>
      </c>
      <c r="ON31">
        <v>0</v>
      </c>
    </row>
    <row r="32" spans="1:404" hidden="1" x14ac:dyDescent="0.25">
      <c r="A32" t="s">
        <v>158</v>
      </c>
      <c r="B32" t="s">
        <v>159</v>
      </c>
      <c r="C32" t="s">
        <v>157</v>
      </c>
      <c r="E32" t="s">
        <v>61</v>
      </c>
      <c r="F32">
        <v>0</v>
      </c>
      <c r="G32">
        <v>0</v>
      </c>
      <c r="H32">
        <v>0</v>
      </c>
      <c r="I32">
        <v>0</v>
      </c>
      <c r="J32">
        <v>0</v>
      </c>
      <c r="K32">
        <v>0</v>
      </c>
      <c r="L32">
        <v>0</v>
      </c>
      <c r="M32">
        <v>0</v>
      </c>
      <c r="N32">
        <v>0</v>
      </c>
      <c r="O32">
        <v>0</v>
      </c>
      <c r="P32">
        <v>0</v>
      </c>
      <c r="Q32">
        <v>0</v>
      </c>
      <c r="R32">
        <v>0</v>
      </c>
      <c r="S32">
        <v>0</v>
      </c>
      <c r="T32">
        <v>0</v>
      </c>
      <c r="U32">
        <v>34</v>
      </c>
      <c r="V32">
        <v>0</v>
      </c>
      <c r="W32">
        <v>0</v>
      </c>
      <c r="X32">
        <v>0</v>
      </c>
      <c r="Y32">
        <v>0</v>
      </c>
      <c r="Z32">
        <v>0</v>
      </c>
      <c r="AA32">
        <v>264</v>
      </c>
      <c r="AB32">
        <v>-11</v>
      </c>
      <c r="AC32">
        <v>0</v>
      </c>
      <c r="AD32">
        <v>0</v>
      </c>
      <c r="AE32">
        <v>0</v>
      </c>
      <c r="AF32">
        <v>0</v>
      </c>
      <c r="AG32">
        <v>0</v>
      </c>
      <c r="AH32">
        <v>0</v>
      </c>
      <c r="AI32">
        <v>287</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v>0</v>
      </c>
      <c r="BE32">
        <v>0</v>
      </c>
      <c r="BF32">
        <v>0</v>
      </c>
      <c r="BG32">
        <v>0</v>
      </c>
      <c r="BH32">
        <v>0</v>
      </c>
      <c r="BI32">
        <v>0</v>
      </c>
      <c r="BJ32">
        <v>0</v>
      </c>
      <c r="BK32">
        <v>0</v>
      </c>
      <c r="BL32">
        <v>0</v>
      </c>
      <c r="BM32">
        <v>0</v>
      </c>
      <c r="BN32">
        <v>0</v>
      </c>
      <c r="BO32">
        <v>0</v>
      </c>
      <c r="BP32">
        <v>0</v>
      </c>
      <c r="BQ32">
        <v>0</v>
      </c>
      <c r="BR32">
        <v>0</v>
      </c>
      <c r="BS32">
        <v>0</v>
      </c>
      <c r="BT32">
        <v>0</v>
      </c>
      <c r="BU32">
        <v>0</v>
      </c>
      <c r="BV32">
        <v>0</v>
      </c>
      <c r="BW32">
        <v>0</v>
      </c>
      <c r="BX32">
        <v>0</v>
      </c>
      <c r="BY32">
        <v>0</v>
      </c>
      <c r="BZ32">
        <v>0</v>
      </c>
      <c r="CA32">
        <v>0</v>
      </c>
      <c r="CB32">
        <v>0</v>
      </c>
      <c r="CC32">
        <v>0</v>
      </c>
      <c r="CD32">
        <v>0</v>
      </c>
      <c r="CE32">
        <v>0</v>
      </c>
      <c r="CF32">
        <v>0</v>
      </c>
      <c r="CG32">
        <v>0</v>
      </c>
      <c r="CH32">
        <v>0</v>
      </c>
      <c r="CI32">
        <v>0</v>
      </c>
      <c r="CJ32">
        <v>0</v>
      </c>
      <c r="CK32">
        <v>0</v>
      </c>
      <c r="CL32">
        <v>0</v>
      </c>
      <c r="CM32">
        <v>0</v>
      </c>
      <c r="CN32">
        <v>0</v>
      </c>
      <c r="CO32">
        <v>0</v>
      </c>
      <c r="CP32">
        <v>0</v>
      </c>
      <c r="CQ32">
        <v>0</v>
      </c>
      <c r="CR32">
        <v>0</v>
      </c>
      <c r="CS32">
        <v>0</v>
      </c>
      <c r="CT32">
        <v>0</v>
      </c>
      <c r="CU32">
        <v>0</v>
      </c>
      <c r="CV32">
        <v>0</v>
      </c>
      <c r="CW32">
        <v>0</v>
      </c>
      <c r="CX32">
        <v>0</v>
      </c>
      <c r="CY32">
        <v>0</v>
      </c>
      <c r="CZ32">
        <v>0</v>
      </c>
      <c r="DA32">
        <v>0</v>
      </c>
      <c r="DB32">
        <v>0</v>
      </c>
      <c r="DC32">
        <v>89</v>
      </c>
      <c r="DD32">
        <v>0</v>
      </c>
      <c r="DE32">
        <v>0</v>
      </c>
      <c r="DF32">
        <v>146</v>
      </c>
      <c r="DG32">
        <v>0</v>
      </c>
      <c r="DH32">
        <v>0</v>
      </c>
      <c r="DI32">
        <v>0</v>
      </c>
      <c r="DJ32">
        <v>35</v>
      </c>
      <c r="DK32">
        <v>0</v>
      </c>
      <c r="DL32">
        <v>0</v>
      </c>
      <c r="DM32">
        <v>0</v>
      </c>
      <c r="DN32">
        <v>276</v>
      </c>
      <c r="DO32">
        <v>0</v>
      </c>
      <c r="DP32">
        <v>311</v>
      </c>
      <c r="DQ32">
        <v>65</v>
      </c>
      <c r="DR32">
        <v>41</v>
      </c>
      <c r="DS32">
        <v>0</v>
      </c>
      <c r="DT32">
        <v>583</v>
      </c>
      <c r="DU32">
        <v>0</v>
      </c>
      <c r="DV32">
        <v>0</v>
      </c>
      <c r="DW32">
        <v>0</v>
      </c>
      <c r="DX32">
        <v>1235</v>
      </c>
      <c r="DY32">
        <v>20608</v>
      </c>
      <c r="DZ32">
        <v>100</v>
      </c>
      <c r="EA32">
        <v>1054</v>
      </c>
      <c r="EB32">
        <v>12</v>
      </c>
      <c r="EC32">
        <v>380</v>
      </c>
      <c r="ED32">
        <v>1497</v>
      </c>
      <c r="EE32">
        <v>949</v>
      </c>
      <c r="EF32">
        <v>4776</v>
      </c>
      <c r="EG32">
        <v>-16</v>
      </c>
      <c r="EH32">
        <v>2780</v>
      </c>
      <c r="EI32">
        <v>5509</v>
      </c>
      <c r="EJ32">
        <v>1523</v>
      </c>
      <c r="EK32">
        <v>295</v>
      </c>
      <c r="EL32">
        <v>3228</v>
      </c>
      <c r="EM32">
        <v>4558</v>
      </c>
      <c r="EN32">
        <v>3808</v>
      </c>
      <c r="EO32">
        <v>1503</v>
      </c>
      <c r="EP32">
        <v>0</v>
      </c>
      <c r="EQ32">
        <v>6014</v>
      </c>
      <c r="ER32">
        <v>181</v>
      </c>
      <c r="ES32">
        <v>2116</v>
      </c>
      <c r="ET32">
        <v>2077</v>
      </c>
      <c r="EU32">
        <v>0</v>
      </c>
      <c r="EV32">
        <v>0</v>
      </c>
      <c r="EW32">
        <v>63</v>
      </c>
      <c r="EX32">
        <v>0</v>
      </c>
      <c r="EY32">
        <v>0</v>
      </c>
      <c r="EZ32">
        <v>0</v>
      </c>
      <c r="FA32">
        <v>0</v>
      </c>
      <c r="FB32">
        <v>678</v>
      </c>
      <c r="FC32">
        <v>697</v>
      </c>
      <c r="FD32">
        <v>324</v>
      </c>
      <c r="FE32">
        <v>0</v>
      </c>
      <c r="FF32">
        <v>13</v>
      </c>
      <c r="FG32">
        <v>0</v>
      </c>
      <c r="FH32">
        <v>1775</v>
      </c>
      <c r="FI32">
        <v>9</v>
      </c>
      <c r="FJ32">
        <v>0</v>
      </c>
      <c r="FK32">
        <v>0</v>
      </c>
      <c r="FL32">
        <v>92</v>
      </c>
      <c r="FM32">
        <v>0</v>
      </c>
      <c r="FN32">
        <v>-4</v>
      </c>
      <c r="FO32">
        <v>0</v>
      </c>
      <c r="FP32">
        <v>0</v>
      </c>
      <c r="FQ32">
        <v>0</v>
      </c>
      <c r="FR32">
        <v>87</v>
      </c>
      <c r="FS32">
        <v>0</v>
      </c>
      <c r="FT32">
        <v>652</v>
      </c>
      <c r="FU32">
        <v>62</v>
      </c>
      <c r="FV32">
        <v>213</v>
      </c>
      <c r="FW32">
        <v>318</v>
      </c>
      <c r="FX32">
        <v>1</v>
      </c>
      <c r="FY32">
        <v>0</v>
      </c>
      <c r="FZ32">
        <v>0</v>
      </c>
      <c r="GA32">
        <v>0</v>
      </c>
      <c r="GB32">
        <v>0</v>
      </c>
      <c r="GC32">
        <v>0</v>
      </c>
      <c r="GD32">
        <v>444</v>
      </c>
      <c r="GE32">
        <v>703</v>
      </c>
      <c r="GF32">
        <v>3</v>
      </c>
      <c r="GG32">
        <v>-82</v>
      </c>
      <c r="GH32">
        <v>668</v>
      </c>
      <c r="GI32">
        <v>0</v>
      </c>
      <c r="GJ32">
        <v>0</v>
      </c>
      <c r="GK32">
        <v>3166</v>
      </c>
      <c r="GL32">
        <v>48</v>
      </c>
      <c r="GM32">
        <v>83</v>
      </c>
      <c r="GN32">
        <v>104</v>
      </c>
      <c r="GO32">
        <v>358</v>
      </c>
      <c r="GP32">
        <v>0</v>
      </c>
      <c r="GQ32">
        <v>676</v>
      </c>
      <c r="GR32">
        <v>0</v>
      </c>
      <c r="GS32">
        <v>0</v>
      </c>
      <c r="GT32">
        <v>0</v>
      </c>
      <c r="GU32">
        <v>1269</v>
      </c>
      <c r="GV32">
        <v>6210</v>
      </c>
      <c r="GW32">
        <v>0</v>
      </c>
      <c r="GX32">
        <v>0</v>
      </c>
      <c r="GY32">
        <v>0</v>
      </c>
      <c r="GZ32">
        <v>0</v>
      </c>
      <c r="HA32">
        <v>0</v>
      </c>
      <c r="HB32">
        <v>1440</v>
      </c>
      <c r="HC32">
        <v>500</v>
      </c>
      <c r="HD32">
        <v>0</v>
      </c>
      <c r="HE32">
        <v>0</v>
      </c>
      <c r="HF32">
        <v>357</v>
      </c>
      <c r="HG32">
        <v>88</v>
      </c>
      <c r="HH32">
        <v>0</v>
      </c>
      <c r="HI32">
        <v>0</v>
      </c>
      <c r="HJ32">
        <v>233</v>
      </c>
      <c r="HK32">
        <v>11</v>
      </c>
      <c r="HL32">
        <v>372</v>
      </c>
      <c r="HM32">
        <v>16</v>
      </c>
      <c r="HN32">
        <v>0</v>
      </c>
      <c r="HO32">
        <v>0</v>
      </c>
      <c r="HP32">
        <v>0</v>
      </c>
      <c r="HQ32">
        <v>0</v>
      </c>
      <c r="HR32">
        <v>666</v>
      </c>
      <c r="HS32">
        <v>0</v>
      </c>
      <c r="HT32">
        <v>0</v>
      </c>
      <c r="HU32">
        <v>636</v>
      </c>
      <c r="HV32">
        <v>4319</v>
      </c>
      <c r="HW32">
        <v>15890</v>
      </c>
      <c r="HX32">
        <v>0</v>
      </c>
      <c r="HY32">
        <v>0</v>
      </c>
      <c r="HZ32">
        <v>0</v>
      </c>
      <c r="IA32">
        <v>2123</v>
      </c>
      <c r="IB32">
        <v>-9</v>
      </c>
      <c r="IC32">
        <v>0</v>
      </c>
      <c r="ID32">
        <v>287</v>
      </c>
      <c r="IE32">
        <v>0</v>
      </c>
      <c r="IF32">
        <v>0</v>
      </c>
      <c r="IG32">
        <v>0</v>
      </c>
      <c r="IH32">
        <v>1235</v>
      </c>
      <c r="II32">
        <v>1775</v>
      </c>
      <c r="IJ32">
        <v>3166</v>
      </c>
      <c r="IK32">
        <v>1269</v>
      </c>
      <c r="IL32">
        <v>0</v>
      </c>
      <c r="IM32">
        <v>0</v>
      </c>
      <c r="IN32">
        <v>4319</v>
      </c>
      <c r="IO32">
        <v>-9</v>
      </c>
      <c r="IP32">
        <v>12042</v>
      </c>
      <c r="IQ32">
        <v>6325</v>
      </c>
      <c r="IR32">
        <v>152</v>
      </c>
      <c r="IS32">
        <v>7457</v>
      </c>
      <c r="IT32">
        <v>0</v>
      </c>
      <c r="IU32">
        <v>0</v>
      </c>
      <c r="IV32">
        <v>3294</v>
      </c>
      <c r="IW32">
        <v>0</v>
      </c>
      <c r="IX32">
        <v>0</v>
      </c>
      <c r="IY32">
        <v>0</v>
      </c>
      <c r="IZ32">
        <v>0</v>
      </c>
      <c r="JA32">
        <v>-192</v>
      </c>
      <c r="JB32">
        <v>0</v>
      </c>
      <c r="JC32">
        <v>9</v>
      </c>
      <c r="JD32">
        <v>0</v>
      </c>
      <c r="JE32">
        <v>37</v>
      </c>
      <c r="JF32">
        <v>0</v>
      </c>
      <c r="JG32">
        <v>29124</v>
      </c>
      <c r="JH32">
        <v>0</v>
      </c>
      <c r="JI32">
        <v>1808</v>
      </c>
      <c r="JJ32">
        <v>0</v>
      </c>
      <c r="JK32">
        <v>0</v>
      </c>
      <c r="JL32">
        <v>0</v>
      </c>
      <c r="JM32">
        <v>71</v>
      </c>
      <c r="JN32">
        <v>705</v>
      </c>
      <c r="JO32">
        <v>0</v>
      </c>
      <c r="JP32">
        <v>3530</v>
      </c>
      <c r="JQ32">
        <v>-3229</v>
      </c>
      <c r="JR32">
        <v>32009</v>
      </c>
      <c r="JS32">
        <v>-383</v>
      </c>
      <c r="JT32">
        <v>0</v>
      </c>
      <c r="JU32">
        <v>0</v>
      </c>
      <c r="JV32">
        <v>0</v>
      </c>
      <c r="JW32">
        <v>-13987</v>
      </c>
      <c r="JX32">
        <v>0</v>
      </c>
      <c r="JY32">
        <v>0</v>
      </c>
      <c r="JZ32">
        <v>0</v>
      </c>
      <c r="KA32">
        <v>0</v>
      </c>
      <c r="KB32">
        <v>0</v>
      </c>
      <c r="KC32">
        <v>17639</v>
      </c>
      <c r="KD32">
        <v>0</v>
      </c>
      <c r="KE32">
        <v>-1506</v>
      </c>
      <c r="KF32">
        <v>16133</v>
      </c>
      <c r="KG32">
        <v>0</v>
      </c>
      <c r="KH32">
        <v>0</v>
      </c>
      <c r="KI32">
        <v>0</v>
      </c>
      <c r="KJ32">
        <v>0</v>
      </c>
      <c r="KK32">
        <v>-298</v>
      </c>
      <c r="KL32">
        <v>-81</v>
      </c>
      <c r="KM32">
        <v>-1195</v>
      </c>
      <c r="KN32">
        <v>0</v>
      </c>
      <c r="KO32">
        <v>-4732</v>
      </c>
      <c r="KP32">
        <v>101</v>
      </c>
      <c r="KQ32">
        <v>-3</v>
      </c>
      <c r="KR32">
        <v>7397</v>
      </c>
      <c r="KS32">
        <v>0</v>
      </c>
      <c r="KT32">
        <v>0</v>
      </c>
      <c r="KU32">
        <v>0</v>
      </c>
      <c r="KV32">
        <v>22932</v>
      </c>
      <c r="KW32">
        <v>2182</v>
      </c>
      <c r="KX32">
        <v>0</v>
      </c>
      <c r="KY32">
        <v>0</v>
      </c>
      <c r="KZ32">
        <v>0</v>
      </c>
      <c r="LA32">
        <v>22634</v>
      </c>
      <c r="LB32">
        <v>2101</v>
      </c>
      <c r="LC32">
        <v>0</v>
      </c>
      <c r="LD32">
        <v>1465</v>
      </c>
      <c r="LE32">
        <v>0</v>
      </c>
      <c r="LF32">
        <v>0</v>
      </c>
      <c r="LG32">
        <v>0</v>
      </c>
      <c r="LH32">
        <v>225</v>
      </c>
      <c r="LI32">
        <v>1690</v>
      </c>
      <c r="LJ32">
        <v>2650</v>
      </c>
      <c r="LK32">
        <v>3726</v>
      </c>
      <c r="LL32">
        <v>6376</v>
      </c>
      <c r="LM32">
        <v>0</v>
      </c>
      <c r="LN32">
        <v>0</v>
      </c>
      <c r="LO32">
        <v>0</v>
      </c>
      <c r="LP32">
        <v>29360</v>
      </c>
      <c r="LQ32">
        <v>29399</v>
      </c>
      <c r="LR32">
        <v>-39</v>
      </c>
      <c r="LS32">
        <v>2116</v>
      </c>
      <c r="LT32">
        <v>2077</v>
      </c>
      <c r="LU32">
        <v>0</v>
      </c>
      <c r="LV32">
        <v>287</v>
      </c>
      <c r="LW32">
        <v>0</v>
      </c>
      <c r="LX32">
        <v>0</v>
      </c>
      <c r="LY32">
        <v>0</v>
      </c>
      <c r="LZ32">
        <v>1235</v>
      </c>
      <c r="MA32">
        <v>1775</v>
      </c>
      <c r="MB32">
        <v>3166</v>
      </c>
      <c r="MC32">
        <v>1269</v>
      </c>
      <c r="MD32">
        <v>0</v>
      </c>
      <c r="ME32">
        <v>0</v>
      </c>
      <c r="MF32">
        <v>4319</v>
      </c>
      <c r="MG32">
        <v>-9</v>
      </c>
      <c r="MH32">
        <v>12042</v>
      </c>
      <c r="MI32">
        <v>0</v>
      </c>
      <c r="MJ32">
        <v>0</v>
      </c>
      <c r="MK32">
        <v>0</v>
      </c>
      <c r="ML32">
        <v>0</v>
      </c>
      <c r="MM32">
        <v>0</v>
      </c>
      <c r="MN32">
        <v>0</v>
      </c>
      <c r="MO32">
        <v>0</v>
      </c>
      <c r="MP32">
        <v>0</v>
      </c>
      <c r="MQ32">
        <v>0</v>
      </c>
      <c r="MR32">
        <v>0</v>
      </c>
      <c r="MS32">
        <v>0</v>
      </c>
      <c r="MT32">
        <v>0</v>
      </c>
      <c r="MU32">
        <v>0</v>
      </c>
      <c r="MV32">
        <v>0</v>
      </c>
      <c r="MW32">
        <v>0</v>
      </c>
      <c r="MX32">
        <v>-183</v>
      </c>
      <c r="MY32">
        <v>0</v>
      </c>
      <c r="MZ32">
        <v>0</v>
      </c>
      <c r="NA32">
        <v>-183</v>
      </c>
      <c r="NB32">
        <v>-9</v>
      </c>
      <c r="NC32">
        <v>-192</v>
      </c>
      <c r="ND32">
        <v>0</v>
      </c>
      <c r="NE32">
        <v>0</v>
      </c>
      <c r="NF32">
        <v>0</v>
      </c>
      <c r="NG32">
        <v>0</v>
      </c>
      <c r="NH32">
        <v>0</v>
      </c>
      <c r="NI32">
        <v>0</v>
      </c>
      <c r="NJ32">
        <v>0</v>
      </c>
      <c r="NK32">
        <v>0</v>
      </c>
      <c r="NL32">
        <v>0</v>
      </c>
      <c r="NM32">
        <v>0</v>
      </c>
      <c r="NN32">
        <v>0</v>
      </c>
      <c r="NO32">
        <v>0</v>
      </c>
      <c r="NP32">
        <v>0</v>
      </c>
      <c r="NQ32">
        <v>0</v>
      </c>
      <c r="NR32">
        <v>0</v>
      </c>
      <c r="NS32">
        <v>0</v>
      </c>
      <c r="NT32">
        <v>0</v>
      </c>
      <c r="NU32">
        <v>0</v>
      </c>
      <c r="NV32">
        <v>0</v>
      </c>
      <c r="NW32">
        <v>0</v>
      </c>
      <c r="NX32">
        <v>0</v>
      </c>
      <c r="NY32">
        <v>0</v>
      </c>
      <c r="NZ32">
        <v>0</v>
      </c>
      <c r="OA32">
        <v>0</v>
      </c>
      <c r="OB32">
        <v>0</v>
      </c>
      <c r="OC32">
        <v>-9</v>
      </c>
      <c r="OD32">
        <v>0</v>
      </c>
      <c r="OE32">
        <v>0</v>
      </c>
      <c r="OF32">
        <v>0</v>
      </c>
      <c r="OG32">
        <v>0</v>
      </c>
      <c r="OH32">
        <v>-9</v>
      </c>
      <c r="OI32">
        <v>0</v>
      </c>
      <c r="OJ32">
        <v>0</v>
      </c>
      <c r="OK32">
        <v>0</v>
      </c>
      <c r="OL32">
        <v>0</v>
      </c>
      <c r="OM32">
        <v>0</v>
      </c>
      <c r="ON32">
        <v>0</v>
      </c>
    </row>
    <row r="33" spans="1:404" hidden="1" x14ac:dyDescent="0.25">
      <c r="A33" t="s">
        <v>161</v>
      </c>
      <c r="B33" t="s">
        <v>162</v>
      </c>
      <c r="C33" t="s">
        <v>160</v>
      </c>
      <c r="E33" t="s">
        <v>97</v>
      </c>
      <c r="F33">
        <v>21595</v>
      </c>
      <c r="G33">
        <v>117588</v>
      </c>
      <c r="H33">
        <v>48398</v>
      </c>
      <c r="I33">
        <v>23750</v>
      </c>
      <c r="J33">
        <v>6184</v>
      </c>
      <c r="K33">
        <v>12022</v>
      </c>
      <c r="L33">
        <v>229537</v>
      </c>
      <c r="M33">
        <v>1367</v>
      </c>
      <c r="N33">
        <v>0</v>
      </c>
      <c r="O33">
        <v>568</v>
      </c>
      <c r="P33">
        <v>1398</v>
      </c>
      <c r="Q33">
        <v>-110</v>
      </c>
      <c r="R33">
        <v>220</v>
      </c>
      <c r="S33">
        <v>219</v>
      </c>
      <c r="T33">
        <v>966</v>
      </c>
      <c r="U33">
        <v>2297</v>
      </c>
      <c r="V33">
        <v>0</v>
      </c>
      <c r="W33">
        <v>0</v>
      </c>
      <c r="X33">
        <v>229</v>
      </c>
      <c r="Y33">
        <v>-26</v>
      </c>
      <c r="Z33">
        <v>-234</v>
      </c>
      <c r="AA33">
        <v>-752</v>
      </c>
      <c r="AB33">
        <v>0</v>
      </c>
      <c r="AC33">
        <v>0</v>
      </c>
      <c r="AD33">
        <v>0</v>
      </c>
      <c r="AE33">
        <v>0</v>
      </c>
      <c r="AF33">
        <v>0</v>
      </c>
      <c r="AG33">
        <v>0</v>
      </c>
      <c r="AH33">
        <v>0</v>
      </c>
      <c r="AI33">
        <v>6142</v>
      </c>
      <c r="AJ33">
        <v>0</v>
      </c>
      <c r="AK33">
        <v>0</v>
      </c>
      <c r="AL33">
        <v>0</v>
      </c>
      <c r="AM33">
        <v>0</v>
      </c>
      <c r="AN33">
        <v>0</v>
      </c>
      <c r="AO33">
        <v>0</v>
      </c>
      <c r="AP33">
        <v>0</v>
      </c>
      <c r="AQ33">
        <v>1030</v>
      </c>
      <c r="AR33">
        <v>393</v>
      </c>
      <c r="AS33">
        <v>0</v>
      </c>
      <c r="AT33">
        <v>0</v>
      </c>
      <c r="AU33">
        <v>0</v>
      </c>
      <c r="AV33">
        <v>2617</v>
      </c>
      <c r="AW33">
        <v>28460</v>
      </c>
      <c r="AX33">
        <v>208</v>
      </c>
      <c r="AY33">
        <v>8556</v>
      </c>
      <c r="AZ33">
        <v>699</v>
      </c>
      <c r="BA33">
        <v>8620</v>
      </c>
      <c r="BB33">
        <v>0</v>
      </c>
      <c r="BC33">
        <v>3234</v>
      </c>
      <c r="BD33">
        <v>52394</v>
      </c>
      <c r="BE33">
        <v>6010</v>
      </c>
      <c r="BF33">
        <v>17460</v>
      </c>
      <c r="BG33">
        <v>235</v>
      </c>
      <c r="BH33">
        <v>288</v>
      </c>
      <c r="BI33">
        <v>199</v>
      </c>
      <c r="BJ33">
        <v>4673</v>
      </c>
      <c r="BK33">
        <v>23274</v>
      </c>
      <c r="BL33">
        <v>1840</v>
      </c>
      <c r="BM33">
        <v>6885</v>
      </c>
      <c r="BN33">
        <v>5123</v>
      </c>
      <c r="BO33">
        <v>316</v>
      </c>
      <c r="BP33">
        <v>0</v>
      </c>
      <c r="BQ33">
        <v>3191</v>
      </c>
      <c r="BR33">
        <v>841</v>
      </c>
      <c r="BS33">
        <v>43</v>
      </c>
      <c r="BT33">
        <v>10095</v>
      </c>
      <c r="BU33">
        <v>48</v>
      </c>
      <c r="BV33">
        <v>3072</v>
      </c>
      <c r="BW33">
        <v>90005</v>
      </c>
      <c r="BX33">
        <v>1591</v>
      </c>
      <c r="BY33">
        <v>51</v>
      </c>
      <c r="BZ33">
        <v>295</v>
      </c>
      <c r="CA33">
        <v>180</v>
      </c>
      <c r="CB33">
        <v>199</v>
      </c>
      <c r="CC33">
        <v>5</v>
      </c>
      <c r="CD33">
        <v>45</v>
      </c>
      <c r="CE33">
        <v>170</v>
      </c>
      <c r="CF33">
        <v>0</v>
      </c>
      <c r="CG33">
        <v>210</v>
      </c>
      <c r="CH33">
        <v>52</v>
      </c>
      <c r="CI33">
        <v>2603</v>
      </c>
      <c r="CJ33">
        <v>372</v>
      </c>
      <c r="CK33">
        <v>675</v>
      </c>
      <c r="CL33">
        <v>303</v>
      </c>
      <c r="CM33">
        <v>300</v>
      </c>
      <c r="CN33">
        <v>49</v>
      </c>
      <c r="CO33">
        <v>0</v>
      </c>
      <c r="CP33">
        <v>3569</v>
      </c>
      <c r="CQ33">
        <v>4172</v>
      </c>
      <c r="CR33">
        <v>330</v>
      </c>
      <c r="CS33">
        <v>0</v>
      </c>
      <c r="CT33">
        <v>315</v>
      </c>
      <c r="CU33">
        <v>858</v>
      </c>
      <c r="CV33">
        <v>24905</v>
      </c>
      <c r="CW33">
        <v>0</v>
      </c>
      <c r="CX33">
        <v>0</v>
      </c>
      <c r="CY33">
        <v>0</v>
      </c>
      <c r="CZ33">
        <v>0</v>
      </c>
      <c r="DA33">
        <v>0</v>
      </c>
      <c r="DB33">
        <v>0</v>
      </c>
      <c r="DC33">
        <v>523</v>
      </c>
      <c r="DD33">
        <v>0</v>
      </c>
      <c r="DE33">
        <v>0</v>
      </c>
      <c r="DF33">
        <v>0</v>
      </c>
      <c r="DG33">
        <v>0</v>
      </c>
      <c r="DH33">
        <v>3</v>
      </c>
      <c r="DI33">
        <v>55</v>
      </c>
      <c r="DJ33">
        <v>223</v>
      </c>
      <c r="DK33">
        <v>-497</v>
      </c>
      <c r="DL33">
        <v>46</v>
      </c>
      <c r="DM33">
        <v>36</v>
      </c>
      <c r="DN33">
        <v>2043</v>
      </c>
      <c r="DO33">
        <v>71</v>
      </c>
      <c r="DP33">
        <v>1980</v>
      </c>
      <c r="DQ33">
        <v>698</v>
      </c>
      <c r="DR33">
        <v>0</v>
      </c>
      <c r="DS33">
        <v>0</v>
      </c>
      <c r="DT33">
        <v>1424</v>
      </c>
      <c r="DU33">
        <v>65</v>
      </c>
      <c r="DV33">
        <v>784</v>
      </c>
      <c r="DW33">
        <v>302</v>
      </c>
      <c r="DX33">
        <v>5776</v>
      </c>
      <c r="DY33">
        <v>0</v>
      </c>
      <c r="DZ33">
        <v>0</v>
      </c>
      <c r="EA33">
        <v>0</v>
      </c>
      <c r="EB33">
        <v>0</v>
      </c>
      <c r="EC33">
        <v>0</v>
      </c>
      <c r="ED33">
        <v>0</v>
      </c>
      <c r="EE33">
        <v>0</v>
      </c>
      <c r="EF33">
        <v>0</v>
      </c>
      <c r="EG33">
        <v>0</v>
      </c>
      <c r="EH33">
        <v>0</v>
      </c>
      <c r="EI33">
        <v>0</v>
      </c>
      <c r="EJ33">
        <v>0</v>
      </c>
      <c r="EK33">
        <v>0</v>
      </c>
      <c r="EL33">
        <v>0</v>
      </c>
      <c r="EM33">
        <v>0</v>
      </c>
      <c r="EN33">
        <v>0</v>
      </c>
      <c r="EO33">
        <v>0</v>
      </c>
      <c r="EP33">
        <v>0</v>
      </c>
      <c r="EQ33">
        <v>0</v>
      </c>
      <c r="ER33">
        <v>0</v>
      </c>
      <c r="ES33">
        <v>0</v>
      </c>
      <c r="ET33">
        <v>0</v>
      </c>
      <c r="EU33">
        <v>20</v>
      </c>
      <c r="EV33">
        <v>2</v>
      </c>
      <c r="EW33">
        <v>0</v>
      </c>
      <c r="EX33">
        <v>1386</v>
      </c>
      <c r="EY33">
        <v>125</v>
      </c>
      <c r="EZ33">
        <v>44</v>
      </c>
      <c r="FA33">
        <v>0</v>
      </c>
      <c r="FB33">
        <v>0</v>
      </c>
      <c r="FC33">
        <v>2269</v>
      </c>
      <c r="FD33">
        <v>1962</v>
      </c>
      <c r="FE33">
        <v>18</v>
      </c>
      <c r="FF33">
        <v>0</v>
      </c>
      <c r="FG33">
        <v>3669</v>
      </c>
      <c r="FH33">
        <v>9495</v>
      </c>
      <c r="FI33">
        <v>-322</v>
      </c>
      <c r="FJ33">
        <v>198</v>
      </c>
      <c r="FK33">
        <v>0</v>
      </c>
      <c r="FL33">
        <v>220</v>
      </c>
      <c r="FM33">
        <v>509</v>
      </c>
      <c r="FN33">
        <v>383</v>
      </c>
      <c r="FO33">
        <v>310</v>
      </c>
      <c r="FP33">
        <v>0</v>
      </c>
      <c r="FQ33">
        <v>0</v>
      </c>
      <c r="FR33">
        <v>32</v>
      </c>
      <c r="FS33">
        <v>0</v>
      </c>
      <c r="FT33">
        <v>0</v>
      </c>
      <c r="FU33">
        <v>-105</v>
      </c>
      <c r="FV33">
        <v>1136</v>
      </c>
      <c r="FW33">
        <v>0</v>
      </c>
      <c r="FX33">
        <v>16</v>
      </c>
      <c r="FY33">
        <v>0</v>
      </c>
      <c r="FZ33">
        <v>0</v>
      </c>
      <c r="GA33">
        <v>0</v>
      </c>
      <c r="GB33">
        <v>0</v>
      </c>
      <c r="GC33">
        <v>0</v>
      </c>
      <c r="GD33">
        <v>3988</v>
      </c>
      <c r="GE33">
        <v>9465</v>
      </c>
      <c r="GF33">
        <v>0</v>
      </c>
      <c r="GG33">
        <v>0</v>
      </c>
      <c r="GH33">
        <v>0</v>
      </c>
      <c r="GI33">
        <v>0</v>
      </c>
      <c r="GJ33">
        <v>0</v>
      </c>
      <c r="GK33">
        <v>15830</v>
      </c>
      <c r="GL33">
        <v>100</v>
      </c>
      <c r="GM33">
        <v>449</v>
      </c>
      <c r="GN33">
        <v>0</v>
      </c>
      <c r="GO33">
        <v>551</v>
      </c>
      <c r="GP33">
        <v>0</v>
      </c>
      <c r="GQ33">
        <v>1277</v>
      </c>
      <c r="GR33">
        <v>0</v>
      </c>
      <c r="GS33">
        <v>-463</v>
      </c>
      <c r="GT33">
        <v>891</v>
      </c>
      <c r="GU33">
        <v>2805</v>
      </c>
      <c r="GV33">
        <v>28130</v>
      </c>
      <c r="GW33">
        <v>0</v>
      </c>
      <c r="GX33">
        <v>0</v>
      </c>
      <c r="GY33">
        <v>0</v>
      </c>
      <c r="GZ33">
        <v>0</v>
      </c>
      <c r="HA33">
        <v>0</v>
      </c>
      <c r="HB33">
        <v>4080</v>
      </c>
      <c r="HC33">
        <v>1209</v>
      </c>
      <c r="HD33">
        <v>0</v>
      </c>
      <c r="HE33">
        <v>0</v>
      </c>
      <c r="HF33">
        <v>0</v>
      </c>
      <c r="HG33">
        <v>-72</v>
      </c>
      <c r="HH33">
        <v>0</v>
      </c>
      <c r="HI33">
        <v>27</v>
      </c>
      <c r="HJ33">
        <v>538</v>
      </c>
      <c r="HK33">
        <v>539</v>
      </c>
      <c r="HL33">
        <v>208</v>
      </c>
      <c r="HM33">
        <v>-10</v>
      </c>
      <c r="HN33">
        <v>5502</v>
      </c>
      <c r="HO33">
        <v>210</v>
      </c>
      <c r="HP33">
        <v>429</v>
      </c>
      <c r="HQ33">
        <v>0</v>
      </c>
      <c r="HR33">
        <v>797</v>
      </c>
      <c r="HS33">
        <v>0</v>
      </c>
      <c r="HT33">
        <v>0</v>
      </c>
      <c r="HU33">
        <v>9761</v>
      </c>
      <c r="HV33">
        <v>23218</v>
      </c>
      <c r="HW33">
        <v>7408</v>
      </c>
      <c r="HX33">
        <v>20358</v>
      </c>
      <c r="HY33">
        <v>0</v>
      </c>
      <c r="HZ33">
        <v>143</v>
      </c>
      <c r="IA33">
        <v>951</v>
      </c>
      <c r="IB33">
        <v>4791</v>
      </c>
      <c r="IC33">
        <v>229537</v>
      </c>
      <c r="ID33">
        <v>6142</v>
      </c>
      <c r="IE33">
        <v>52394</v>
      </c>
      <c r="IF33">
        <v>90005</v>
      </c>
      <c r="IG33">
        <v>24905</v>
      </c>
      <c r="IH33">
        <v>5776</v>
      </c>
      <c r="II33">
        <v>9495</v>
      </c>
      <c r="IJ33">
        <v>15830</v>
      </c>
      <c r="IK33">
        <v>2805</v>
      </c>
      <c r="IL33">
        <v>0</v>
      </c>
      <c r="IM33">
        <v>0</v>
      </c>
      <c r="IN33">
        <v>23218</v>
      </c>
      <c r="IO33">
        <v>4791</v>
      </c>
      <c r="IP33">
        <v>464898</v>
      </c>
      <c r="IQ33">
        <v>65736</v>
      </c>
      <c r="IR33">
        <v>2160</v>
      </c>
      <c r="IS33">
        <v>0</v>
      </c>
      <c r="IT33">
        <v>0</v>
      </c>
      <c r="IU33">
        <v>0</v>
      </c>
      <c r="IV33">
        <v>426</v>
      </c>
      <c r="IW33">
        <v>19518</v>
      </c>
      <c r="IX33">
        <v>18740</v>
      </c>
      <c r="IY33">
        <v>0</v>
      </c>
      <c r="IZ33">
        <v>1847</v>
      </c>
      <c r="JA33">
        <v>169</v>
      </c>
      <c r="JB33">
        <v>272</v>
      </c>
      <c r="JC33">
        <v>-47</v>
      </c>
      <c r="JD33">
        <v>-1457</v>
      </c>
      <c r="JE33">
        <v>295</v>
      </c>
      <c r="JF33">
        <v>0</v>
      </c>
      <c r="JG33">
        <v>572557</v>
      </c>
      <c r="JH33">
        <v>147</v>
      </c>
      <c r="JI33">
        <v>5293</v>
      </c>
      <c r="JJ33">
        <v>0</v>
      </c>
      <c r="JK33">
        <v>0</v>
      </c>
      <c r="JL33">
        <v>0</v>
      </c>
      <c r="JM33">
        <v>5208</v>
      </c>
      <c r="JN33">
        <v>9670</v>
      </c>
      <c r="JO33">
        <v>325</v>
      </c>
      <c r="JP33">
        <v>6050</v>
      </c>
      <c r="JQ33">
        <v>0</v>
      </c>
      <c r="JR33">
        <v>599250</v>
      </c>
      <c r="JS33">
        <v>-5674</v>
      </c>
      <c r="JT33">
        <v>0</v>
      </c>
      <c r="JU33">
        <v>303</v>
      </c>
      <c r="JV33">
        <v>0</v>
      </c>
      <c r="JW33">
        <v>-74486</v>
      </c>
      <c r="JX33">
        <v>0</v>
      </c>
      <c r="JY33">
        <v>0</v>
      </c>
      <c r="JZ33">
        <v>0</v>
      </c>
      <c r="KA33">
        <v>0</v>
      </c>
      <c r="KB33">
        <v>1625</v>
      </c>
      <c r="KC33">
        <v>521018</v>
      </c>
      <c r="KD33">
        <v>0</v>
      </c>
      <c r="KE33">
        <v>-285600</v>
      </c>
      <c r="KF33">
        <v>235418</v>
      </c>
      <c r="KG33">
        <v>0</v>
      </c>
      <c r="KH33">
        <v>411</v>
      </c>
      <c r="KI33">
        <v>0</v>
      </c>
      <c r="KJ33">
        <v>0</v>
      </c>
      <c r="KK33">
        <v>-19519</v>
      </c>
      <c r="KL33">
        <v>0</v>
      </c>
      <c r="KM33">
        <v>0</v>
      </c>
      <c r="KN33">
        <v>0</v>
      </c>
      <c r="KO33">
        <v>-79716</v>
      </c>
      <c r="KP33">
        <v>6250</v>
      </c>
      <c r="KQ33">
        <v>0</v>
      </c>
      <c r="KR33">
        <v>120477</v>
      </c>
      <c r="KS33">
        <v>16946</v>
      </c>
      <c r="KT33">
        <v>0</v>
      </c>
      <c r="KU33">
        <v>0</v>
      </c>
      <c r="KV33">
        <v>157042</v>
      </c>
      <c r="KW33">
        <v>10660</v>
      </c>
      <c r="KX33">
        <v>17357</v>
      </c>
      <c r="KY33">
        <v>0</v>
      </c>
      <c r="KZ33">
        <v>0</v>
      </c>
      <c r="LA33">
        <v>137523</v>
      </c>
      <c r="LB33">
        <v>10660</v>
      </c>
      <c r="LC33">
        <v>0</v>
      </c>
      <c r="LD33">
        <v>27654</v>
      </c>
      <c r="LE33">
        <v>0</v>
      </c>
      <c r="LF33">
        <v>10433</v>
      </c>
      <c r="LG33">
        <v>-22927</v>
      </c>
      <c r="LH33">
        <v>6753</v>
      </c>
      <c r="LI33">
        <v>22348</v>
      </c>
      <c r="LJ33">
        <v>8822</v>
      </c>
      <c r="LK33">
        <v>13721</v>
      </c>
      <c r="LL33">
        <v>22543</v>
      </c>
      <c r="LM33">
        <v>0</v>
      </c>
      <c r="LN33">
        <v>0</v>
      </c>
      <c r="LO33">
        <v>0</v>
      </c>
      <c r="LP33">
        <v>0</v>
      </c>
      <c r="LQ33">
        <v>0</v>
      </c>
      <c r="LR33">
        <v>0</v>
      </c>
      <c r="LS33">
        <v>0</v>
      </c>
      <c r="LT33">
        <v>0</v>
      </c>
      <c r="LU33">
        <v>229537</v>
      </c>
      <c r="LV33">
        <v>6142</v>
      </c>
      <c r="LW33">
        <v>52394</v>
      </c>
      <c r="LX33">
        <v>90005</v>
      </c>
      <c r="LY33">
        <v>24905</v>
      </c>
      <c r="LZ33">
        <v>5776</v>
      </c>
      <c r="MA33">
        <v>9495</v>
      </c>
      <c r="MB33">
        <v>15830</v>
      </c>
      <c r="MC33">
        <v>2805</v>
      </c>
      <c r="MD33">
        <v>0</v>
      </c>
      <c r="ME33">
        <v>0</v>
      </c>
      <c r="MF33">
        <v>23218</v>
      </c>
      <c r="MG33">
        <v>4791</v>
      </c>
      <c r="MH33">
        <v>464898</v>
      </c>
      <c r="MI33">
        <v>0</v>
      </c>
      <c r="MJ33">
        <v>0</v>
      </c>
      <c r="MK33">
        <v>0</v>
      </c>
      <c r="ML33">
        <v>0</v>
      </c>
      <c r="MM33">
        <v>0</v>
      </c>
      <c r="MN33">
        <v>0</v>
      </c>
      <c r="MO33">
        <v>0</v>
      </c>
      <c r="MP33">
        <v>0</v>
      </c>
      <c r="MQ33">
        <v>0</v>
      </c>
      <c r="MR33">
        <v>0</v>
      </c>
      <c r="MS33">
        <v>0</v>
      </c>
      <c r="MT33">
        <v>0</v>
      </c>
      <c r="MU33">
        <v>0</v>
      </c>
      <c r="MV33">
        <v>0</v>
      </c>
      <c r="MW33">
        <v>0</v>
      </c>
      <c r="MX33">
        <v>0</v>
      </c>
      <c r="MY33">
        <v>0</v>
      </c>
      <c r="MZ33">
        <v>122</v>
      </c>
      <c r="NA33">
        <v>122</v>
      </c>
      <c r="NB33">
        <v>47</v>
      </c>
      <c r="NC33">
        <v>169</v>
      </c>
      <c r="ND33">
        <v>0</v>
      </c>
      <c r="NE33">
        <v>0</v>
      </c>
      <c r="NF33">
        <v>0</v>
      </c>
      <c r="NG33">
        <v>0</v>
      </c>
      <c r="NH33">
        <v>0</v>
      </c>
      <c r="NI33">
        <v>0</v>
      </c>
      <c r="NJ33">
        <v>0</v>
      </c>
      <c r="NK33">
        <v>0</v>
      </c>
      <c r="NL33">
        <v>0</v>
      </c>
      <c r="NM33">
        <v>0</v>
      </c>
      <c r="NN33">
        <v>2</v>
      </c>
      <c r="NO33">
        <v>0</v>
      </c>
      <c r="NP33">
        <v>0</v>
      </c>
      <c r="NQ33">
        <v>0</v>
      </c>
      <c r="NR33">
        <v>-1427</v>
      </c>
      <c r="NS33">
        <v>0</v>
      </c>
      <c r="NT33">
        <v>394</v>
      </c>
      <c r="NU33">
        <v>-154</v>
      </c>
      <c r="NV33">
        <v>0</v>
      </c>
      <c r="NW33">
        <v>0</v>
      </c>
      <c r="NX33">
        <v>0</v>
      </c>
      <c r="NY33">
        <v>0</v>
      </c>
      <c r="NZ33">
        <v>-1185</v>
      </c>
      <c r="OA33">
        <v>1457</v>
      </c>
      <c r="OB33">
        <v>272</v>
      </c>
      <c r="OC33">
        <v>259</v>
      </c>
      <c r="OD33">
        <v>0</v>
      </c>
      <c r="OE33">
        <v>-212</v>
      </c>
      <c r="OF33">
        <v>0</v>
      </c>
      <c r="OG33">
        <v>0</v>
      </c>
      <c r="OH33">
        <v>47</v>
      </c>
      <c r="OI33">
        <v>1457</v>
      </c>
      <c r="OJ33">
        <v>0</v>
      </c>
      <c r="OK33">
        <v>0</v>
      </c>
      <c r="OL33">
        <v>0</v>
      </c>
      <c r="OM33">
        <v>0</v>
      </c>
      <c r="ON33">
        <v>1457</v>
      </c>
    </row>
    <row r="34" spans="1:404" hidden="1" x14ac:dyDescent="0.25">
      <c r="A34" t="s">
        <v>164</v>
      </c>
      <c r="B34" t="s">
        <v>165</v>
      </c>
      <c r="C34" t="s">
        <v>163</v>
      </c>
      <c r="E34" t="s">
        <v>61</v>
      </c>
      <c r="F34">
        <v>0</v>
      </c>
      <c r="G34">
        <v>0</v>
      </c>
      <c r="H34">
        <v>0</v>
      </c>
      <c r="I34">
        <v>0</v>
      </c>
      <c r="J34">
        <v>0</v>
      </c>
      <c r="K34">
        <v>0</v>
      </c>
      <c r="L34">
        <v>0</v>
      </c>
      <c r="M34">
        <v>0</v>
      </c>
      <c r="N34">
        <v>0</v>
      </c>
      <c r="O34">
        <v>0</v>
      </c>
      <c r="P34">
        <v>0</v>
      </c>
      <c r="Q34">
        <v>0</v>
      </c>
      <c r="R34">
        <v>0</v>
      </c>
      <c r="S34">
        <v>0</v>
      </c>
      <c r="T34">
        <v>0</v>
      </c>
      <c r="U34">
        <v>23</v>
      </c>
      <c r="V34">
        <v>0</v>
      </c>
      <c r="W34">
        <v>0</v>
      </c>
      <c r="X34">
        <v>0</v>
      </c>
      <c r="Y34">
        <v>0</v>
      </c>
      <c r="Z34">
        <v>-84</v>
      </c>
      <c r="AA34">
        <v>-354</v>
      </c>
      <c r="AB34">
        <v>0</v>
      </c>
      <c r="AC34">
        <v>0</v>
      </c>
      <c r="AD34">
        <v>14</v>
      </c>
      <c r="AE34">
        <v>0</v>
      </c>
      <c r="AF34">
        <v>0</v>
      </c>
      <c r="AG34">
        <v>0</v>
      </c>
      <c r="AH34">
        <v>0</v>
      </c>
      <c r="AI34">
        <v>-401</v>
      </c>
      <c r="AJ34">
        <v>0</v>
      </c>
      <c r="AK34">
        <v>0</v>
      </c>
      <c r="AL34">
        <v>0</v>
      </c>
      <c r="AM34">
        <v>0</v>
      </c>
      <c r="AN34">
        <v>0</v>
      </c>
      <c r="AO34">
        <v>0</v>
      </c>
      <c r="AP34">
        <v>0</v>
      </c>
      <c r="AQ34">
        <v>5</v>
      </c>
      <c r="AR34">
        <v>149</v>
      </c>
      <c r="AS34">
        <v>0</v>
      </c>
      <c r="AT34">
        <v>0</v>
      </c>
      <c r="AU34">
        <v>0</v>
      </c>
      <c r="AV34">
        <v>0</v>
      </c>
      <c r="AW34">
        <v>0</v>
      </c>
      <c r="AX34">
        <v>0</v>
      </c>
      <c r="AY34">
        <v>0</v>
      </c>
      <c r="AZ34">
        <v>0</v>
      </c>
      <c r="BA34">
        <v>0</v>
      </c>
      <c r="BB34">
        <v>0</v>
      </c>
      <c r="BC34">
        <v>0</v>
      </c>
      <c r="BD34">
        <v>0</v>
      </c>
      <c r="BE34">
        <v>0</v>
      </c>
      <c r="BF34">
        <v>0</v>
      </c>
      <c r="BG34">
        <v>0</v>
      </c>
      <c r="BH34">
        <v>0</v>
      </c>
      <c r="BI34">
        <v>0</v>
      </c>
      <c r="BJ34">
        <v>0</v>
      </c>
      <c r="BK34">
        <v>0</v>
      </c>
      <c r="BL34">
        <v>0</v>
      </c>
      <c r="BM34">
        <v>0</v>
      </c>
      <c r="BN34">
        <v>0</v>
      </c>
      <c r="BO34">
        <v>0</v>
      </c>
      <c r="BP34">
        <v>0</v>
      </c>
      <c r="BQ34">
        <v>0</v>
      </c>
      <c r="BR34">
        <v>0</v>
      </c>
      <c r="BS34">
        <v>0</v>
      </c>
      <c r="BT34">
        <v>0</v>
      </c>
      <c r="BU34">
        <v>0</v>
      </c>
      <c r="BV34">
        <v>0</v>
      </c>
      <c r="BW34">
        <v>0</v>
      </c>
      <c r="BX34">
        <v>0</v>
      </c>
      <c r="BY34">
        <v>0</v>
      </c>
      <c r="BZ34">
        <v>0</v>
      </c>
      <c r="CA34">
        <v>0</v>
      </c>
      <c r="CB34">
        <v>0</v>
      </c>
      <c r="CC34">
        <v>0</v>
      </c>
      <c r="CD34">
        <v>0</v>
      </c>
      <c r="CE34">
        <v>0</v>
      </c>
      <c r="CF34">
        <v>0</v>
      </c>
      <c r="CG34">
        <v>0</v>
      </c>
      <c r="CH34">
        <v>0</v>
      </c>
      <c r="CI34">
        <v>0</v>
      </c>
      <c r="CJ34">
        <v>0</v>
      </c>
      <c r="CK34">
        <v>0</v>
      </c>
      <c r="CL34">
        <v>0</v>
      </c>
      <c r="CM34">
        <v>0</v>
      </c>
      <c r="CN34">
        <v>0</v>
      </c>
      <c r="CO34">
        <v>0</v>
      </c>
      <c r="CP34">
        <v>0</v>
      </c>
      <c r="CQ34">
        <v>0</v>
      </c>
      <c r="CR34">
        <v>0</v>
      </c>
      <c r="CS34">
        <v>0</v>
      </c>
      <c r="CT34">
        <v>0</v>
      </c>
      <c r="CU34">
        <v>0</v>
      </c>
      <c r="CV34">
        <v>533</v>
      </c>
      <c r="CW34">
        <v>0</v>
      </c>
      <c r="CX34">
        <v>0</v>
      </c>
      <c r="CY34">
        <v>0</v>
      </c>
      <c r="CZ34">
        <v>0</v>
      </c>
      <c r="DA34">
        <v>0</v>
      </c>
      <c r="DB34">
        <v>0</v>
      </c>
      <c r="DC34">
        <v>237</v>
      </c>
      <c r="DD34">
        <v>0</v>
      </c>
      <c r="DE34">
        <v>-8</v>
      </c>
      <c r="DF34">
        <v>38</v>
      </c>
      <c r="DG34">
        <v>0</v>
      </c>
      <c r="DH34">
        <v>0</v>
      </c>
      <c r="DI34">
        <v>8</v>
      </c>
      <c r="DJ34">
        <v>-21</v>
      </c>
      <c r="DK34">
        <v>0</v>
      </c>
      <c r="DL34">
        <v>0</v>
      </c>
      <c r="DM34">
        <v>0</v>
      </c>
      <c r="DN34">
        <v>517</v>
      </c>
      <c r="DO34">
        <v>310</v>
      </c>
      <c r="DP34">
        <v>814</v>
      </c>
      <c r="DQ34">
        <v>0</v>
      </c>
      <c r="DR34">
        <v>0</v>
      </c>
      <c r="DS34">
        <v>0</v>
      </c>
      <c r="DT34">
        <v>151</v>
      </c>
      <c r="DU34">
        <v>12</v>
      </c>
      <c r="DV34">
        <v>0</v>
      </c>
      <c r="DW34">
        <v>0</v>
      </c>
      <c r="DX34">
        <v>1244</v>
      </c>
      <c r="DY34">
        <v>0</v>
      </c>
      <c r="DZ34">
        <v>0</v>
      </c>
      <c r="EA34">
        <v>0</v>
      </c>
      <c r="EB34">
        <v>0</v>
      </c>
      <c r="EC34">
        <v>0</v>
      </c>
      <c r="ED34">
        <v>0</v>
      </c>
      <c r="EE34">
        <v>0</v>
      </c>
      <c r="EF34">
        <v>0</v>
      </c>
      <c r="EG34">
        <v>0</v>
      </c>
      <c r="EH34">
        <v>0</v>
      </c>
      <c r="EI34">
        <v>0</v>
      </c>
      <c r="EJ34">
        <v>0</v>
      </c>
      <c r="EK34">
        <v>0</v>
      </c>
      <c r="EL34">
        <v>0</v>
      </c>
      <c r="EM34">
        <v>0</v>
      </c>
      <c r="EN34">
        <v>0</v>
      </c>
      <c r="EO34">
        <v>0</v>
      </c>
      <c r="EP34">
        <v>0</v>
      </c>
      <c r="EQ34">
        <v>0</v>
      </c>
      <c r="ER34">
        <v>0</v>
      </c>
      <c r="ES34">
        <v>0</v>
      </c>
      <c r="ET34">
        <v>0</v>
      </c>
      <c r="EU34">
        <v>0</v>
      </c>
      <c r="EV34">
        <v>3</v>
      </c>
      <c r="EW34">
        <v>40</v>
      </c>
      <c r="EX34">
        <v>93</v>
      </c>
      <c r="EY34">
        <v>110</v>
      </c>
      <c r="EZ34">
        <v>17</v>
      </c>
      <c r="FA34">
        <v>0</v>
      </c>
      <c r="FB34">
        <v>35</v>
      </c>
      <c r="FC34">
        <v>1086</v>
      </c>
      <c r="FD34">
        <v>318</v>
      </c>
      <c r="FE34">
        <v>-2</v>
      </c>
      <c r="FF34">
        <v>61</v>
      </c>
      <c r="FG34">
        <v>0</v>
      </c>
      <c r="FH34">
        <v>1762</v>
      </c>
      <c r="FI34">
        <v>-280</v>
      </c>
      <c r="FJ34">
        <v>0</v>
      </c>
      <c r="FK34">
        <v>0</v>
      </c>
      <c r="FL34">
        <v>253</v>
      </c>
      <c r="FM34">
        <v>234</v>
      </c>
      <c r="FN34">
        <v>119</v>
      </c>
      <c r="FO34">
        <v>0</v>
      </c>
      <c r="FP34">
        <v>-1</v>
      </c>
      <c r="FQ34">
        <v>0</v>
      </c>
      <c r="FR34">
        <v>0</v>
      </c>
      <c r="FS34">
        <v>141</v>
      </c>
      <c r="FT34">
        <v>28</v>
      </c>
      <c r="FU34">
        <v>44</v>
      </c>
      <c r="FV34">
        <v>0</v>
      </c>
      <c r="FW34">
        <v>161</v>
      </c>
      <c r="FX34">
        <v>229</v>
      </c>
      <c r="FY34">
        <v>0</v>
      </c>
      <c r="FZ34">
        <v>0</v>
      </c>
      <c r="GA34">
        <v>2014</v>
      </c>
      <c r="GB34">
        <v>0</v>
      </c>
      <c r="GC34">
        <v>0</v>
      </c>
      <c r="GD34">
        <v>551</v>
      </c>
      <c r="GE34">
        <v>1055</v>
      </c>
      <c r="GF34">
        <v>0</v>
      </c>
      <c r="GG34">
        <v>-47</v>
      </c>
      <c r="GH34">
        <v>708</v>
      </c>
      <c r="GI34">
        <v>0</v>
      </c>
      <c r="GJ34">
        <v>0</v>
      </c>
      <c r="GK34">
        <v>5208</v>
      </c>
      <c r="GL34">
        <v>221</v>
      </c>
      <c r="GM34">
        <v>-79</v>
      </c>
      <c r="GN34">
        <v>0</v>
      </c>
      <c r="GO34">
        <v>114</v>
      </c>
      <c r="GP34">
        <v>0</v>
      </c>
      <c r="GQ34">
        <v>595</v>
      </c>
      <c r="GR34">
        <v>0</v>
      </c>
      <c r="GS34">
        <v>103</v>
      </c>
      <c r="GT34">
        <v>27</v>
      </c>
      <c r="GU34">
        <v>981</v>
      </c>
      <c r="GV34">
        <v>7951</v>
      </c>
      <c r="GW34">
        <v>0</v>
      </c>
      <c r="GX34">
        <v>0</v>
      </c>
      <c r="GY34">
        <v>0</v>
      </c>
      <c r="GZ34">
        <v>0</v>
      </c>
      <c r="HA34">
        <v>0</v>
      </c>
      <c r="HB34">
        <v>1427</v>
      </c>
      <c r="HC34">
        <v>661</v>
      </c>
      <c r="HD34">
        <v>0</v>
      </c>
      <c r="HE34">
        <v>0</v>
      </c>
      <c r="HF34">
        <v>319</v>
      </c>
      <c r="HG34">
        <v>42</v>
      </c>
      <c r="HH34">
        <v>0</v>
      </c>
      <c r="HI34">
        <v>0</v>
      </c>
      <c r="HJ34">
        <v>94</v>
      </c>
      <c r="HK34">
        <v>64</v>
      </c>
      <c r="HL34">
        <v>16</v>
      </c>
      <c r="HM34">
        <v>115</v>
      </c>
      <c r="HN34">
        <v>0</v>
      </c>
      <c r="HO34">
        <v>119</v>
      </c>
      <c r="HP34">
        <v>0</v>
      </c>
      <c r="HQ34">
        <v>0</v>
      </c>
      <c r="HR34">
        <v>0</v>
      </c>
      <c r="HS34">
        <v>0</v>
      </c>
      <c r="HT34">
        <v>0</v>
      </c>
      <c r="HU34">
        <v>-61</v>
      </c>
      <c r="HV34">
        <v>2796</v>
      </c>
      <c r="HW34">
        <v>2465</v>
      </c>
      <c r="HX34">
        <v>1025</v>
      </c>
      <c r="HY34">
        <v>0</v>
      </c>
      <c r="HZ34">
        <v>651</v>
      </c>
      <c r="IA34">
        <v>472</v>
      </c>
      <c r="IB34">
        <v>-217</v>
      </c>
      <c r="IC34">
        <v>0</v>
      </c>
      <c r="ID34">
        <v>-401</v>
      </c>
      <c r="IE34">
        <v>0</v>
      </c>
      <c r="IF34">
        <v>0</v>
      </c>
      <c r="IG34">
        <v>533</v>
      </c>
      <c r="IH34">
        <v>1244</v>
      </c>
      <c r="II34">
        <v>1762</v>
      </c>
      <c r="IJ34">
        <v>5208</v>
      </c>
      <c r="IK34">
        <v>981</v>
      </c>
      <c r="IL34">
        <v>0</v>
      </c>
      <c r="IM34">
        <v>0</v>
      </c>
      <c r="IN34">
        <v>2796</v>
      </c>
      <c r="IO34">
        <v>-217</v>
      </c>
      <c r="IP34">
        <v>11905</v>
      </c>
      <c r="IQ34">
        <v>12165</v>
      </c>
      <c r="IR34">
        <v>83</v>
      </c>
      <c r="IS34">
        <v>0</v>
      </c>
      <c r="IT34">
        <v>0</v>
      </c>
      <c r="IU34">
        <v>0</v>
      </c>
      <c r="IV34">
        <v>468</v>
      </c>
      <c r="IW34">
        <v>0</v>
      </c>
      <c r="IX34">
        <v>0</v>
      </c>
      <c r="IY34">
        <v>0</v>
      </c>
      <c r="IZ34">
        <v>0</v>
      </c>
      <c r="JA34">
        <v>0</v>
      </c>
      <c r="JB34">
        <v>0</v>
      </c>
      <c r="JC34">
        <v>0</v>
      </c>
      <c r="JD34">
        <v>0</v>
      </c>
      <c r="JE34">
        <v>-13</v>
      </c>
      <c r="JF34">
        <v>0</v>
      </c>
      <c r="JG34">
        <v>24609</v>
      </c>
      <c r="JH34">
        <v>0</v>
      </c>
      <c r="JI34">
        <v>832</v>
      </c>
      <c r="JJ34">
        <v>0</v>
      </c>
      <c r="JK34">
        <v>0</v>
      </c>
      <c r="JL34">
        <v>0</v>
      </c>
      <c r="JM34">
        <v>-190</v>
      </c>
      <c r="JN34">
        <v>0</v>
      </c>
      <c r="JO34">
        <v>0</v>
      </c>
      <c r="JP34">
        <v>494</v>
      </c>
      <c r="JQ34">
        <v>0</v>
      </c>
      <c r="JR34">
        <v>25745</v>
      </c>
      <c r="JS34">
        <v>-968</v>
      </c>
      <c r="JT34">
        <v>0</v>
      </c>
      <c r="JU34">
        <v>0</v>
      </c>
      <c r="JV34">
        <v>0</v>
      </c>
      <c r="JW34">
        <v>-12196</v>
      </c>
      <c r="JX34">
        <v>0</v>
      </c>
      <c r="JY34">
        <v>0</v>
      </c>
      <c r="JZ34">
        <v>0</v>
      </c>
      <c r="KA34">
        <v>0</v>
      </c>
      <c r="KB34">
        <v>0</v>
      </c>
      <c r="KC34">
        <v>12581</v>
      </c>
      <c r="KD34">
        <v>0</v>
      </c>
      <c r="KE34">
        <v>-2830</v>
      </c>
      <c r="KF34">
        <v>9751</v>
      </c>
      <c r="KG34">
        <v>0</v>
      </c>
      <c r="KH34">
        <v>0</v>
      </c>
      <c r="KI34">
        <v>0</v>
      </c>
      <c r="KJ34">
        <v>0</v>
      </c>
      <c r="KK34">
        <v>-1822</v>
      </c>
      <c r="KL34">
        <v>0</v>
      </c>
      <c r="KM34">
        <v>-313</v>
      </c>
      <c r="KN34">
        <v>0</v>
      </c>
      <c r="KO34">
        <v>-1963</v>
      </c>
      <c r="KP34">
        <v>-37</v>
      </c>
      <c r="KQ34">
        <v>0</v>
      </c>
      <c r="KR34">
        <v>5068</v>
      </c>
      <c r="KS34">
        <v>0</v>
      </c>
      <c r="KT34">
        <v>0</v>
      </c>
      <c r="KU34">
        <v>0</v>
      </c>
      <c r="KV34">
        <v>33711</v>
      </c>
      <c r="KW34">
        <v>2000</v>
      </c>
      <c r="KX34">
        <v>0</v>
      </c>
      <c r="KY34">
        <v>0</v>
      </c>
      <c r="KZ34">
        <v>0</v>
      </c>
      <c r="LA34">
        <v>31889</v>
      </c>
      <c r="LB34">
        <v>2000</v>
      </c>
      <c r="LC34">
        <v>0</v>
      </c>
      <c r="LD34">
        <v>2279</v>
      </c>
      <c r="LE34">
        <v>-23</v>
      </c>
      <c r="LF34">
        <v>0</v>
      </c>
      <c r="LG34">
        <v>0</v>
      </c>
      <c r="LH34">
        <v>1624</v>
      </c>
      <c r="LI34">
        <v>928</v>
      </c>
      <c r="LJ34">
        <v>2092</v>
      </c>
      <c r="LK34">
        <v>1637</v>
      </c>
      <c r="LL34">
        <v>3729</v>
      </c>
      <c r="LM34">
        <v>0</v>
      </c>
      <c r="LN34">
        <v>0</v>
      </c>
      <c r="LO34">
        <v>0</v>
      </c>
      <c r="LP34">
        <v>0</v>
      </c>
      <c r="LQ34">
        <v>0</v>
      </c>
      <c r="LR34">
        <v>0</v>
      </c>
      <c r="LS34">
        <v>0</v>
      </c>
      <c r="LT34">
        <v>0</v>
      </c>
      <c r="LU34">
        <v>0</v>
      </c>
      <c r="LV34">
        <v>-401</v>
      </c>
      <c r="LW34">
        <v>0</v>
      </c>
      <c r="LX34">
        <v>0</v>
      </c>
      <c r="LY34">
        <v>533</v>
      </c>
      <c r="LZ34">
        <v>1244</v>
      </c>
      <c r="MA34">
        <v>1762</v>
      </c>
      <c r="MB34">
        <v>5208</v>
      </c>
      <c r="MC34">
        <v>981</v>
      </c>
      <c r="MD34">
        <v>0</v>
      </c>
      <c r="ME34">
        <v>0</v>
      </c>
      <c r="MF34">
        <v>2796</v>
      </c>
      <c r="MG34">
        <v>-217</v>
      </c>
      <c r="MH34">
        <v>11905</v>
      </c>
      <c r="MI34">
        <v>0</v>
      </c>
      <c r="MJ34">
        <v>0</v>
      </c>
      <c r="MK34">
        <v>0</v>
      </c>
      <c r="ML34">
        <v>0</v>
      </c>
      <c r="MM34">
        <v>0</v>
      </c>
      <c r="MN34">
        <v>0</v>
      </c>
      <c r="MO34">
        <v>0</v>
      </c>
      <c r="MP34">
        <v>0</v>
      </c>
      <c r="MQ34">
        <v>0</v>
      </c>
      <c r="MR34">
        <v>0</v>
      </c>
      <c r="MS34">
        <v>0</v>
      </c>
      <c r="MT34">
        <v>0</v>
      </c>
      <c r="MU34">
        <v>0</v>
      </c>
      <c r="MV34">
        <v>0</v>
      </c>
      <c r="MW34">
        <v>0</v>
      </c>
      <c r="MX34">
        <v>0</v>
      </c>
      <c r="MY34">
        <v>0</v>
      </c>
      <c r="MZ34">
        <v>0</v>
      </c>
      <c r="NA34">
        <v>0</v>
      </c>
      <c r="NB34">
        <v>0</v>
      </c>
      <c r="NC34">
        <v>0</v>
      </c>
      <c r="ND34">
        <v>0</v>
      </c>
      <c r="NE34">
        <v>0</v>
      </c>
      <c r="NF34">
        <v>0</v>
      </c>
      <c r="NG34">
        <v>0</v>
      </c>
      <c r="NH34">
        <v>0</v>
      </c>
      <c r="NI34">
        <v>0</v>
      </c>
      <c r="NJ34">
        <v>0</v>
      </c>
      <c r="NK34">
        <v>0</v>
      </c>
      <c r="NL34">
        <v>0</v>
      </c>
      <c r="NM34">
        <v>0</v>
      </c>
      <c r="NN34">
        <v>0</v>
      </c>
      <c r="NO34">
        <v>0</v>
      </c>
      <c r="NP34">
        <v>0</v>
      </c>
      <c r="NQ34">
        <v>0</v>
      </c>
      <c r="NR34">
        <v>0</v>
      </c>
      <c r="NS34">
        <v>0</v>
      </c>
      <c r="NT34">
        <v>0</v>
      </c>
      <c r="NU34">
        <v>0</v>
      </c>
      <c r="NV34">
        <v>0</v>
      </c>
      <c r="NW34">
        <v>0</v>
      </c>
      <c r="NX34">
        <v>0</v>
      </c>
      <c r="NY34">
        <v>0</v>
      </c>
      <c r="NZ34">
        <v>0</v>
      </c>
      <c r="OA34">
        <v>0</v>
      </c>
      <c r="OB34">
        <v>0</v>
      </c>
      <c r="OC34">
        <v>0</v>
      </c>
      <c r="OD34">
        <v>0</v>
      </c>
      <c r="OE34">
        <v>0</v>
      </c>
      <c r="OF34">
        <v>0</v>
      </c>
      <c r="OG34">
        <v>0</v>
      </c>
      <c r="OH34">
        <v>0</v>
      </c>
      <c r="OI34">
        <v>0</v>
      </c>
      <c r="OJ34">
        <v>0</v>
      </c>
      <c r="OK34">
        <v>0</v>
      </c>
      <c r="OL34">
        <v>0</v>
      </c>
      <c r="OM34">
        <v>0</v>
      </c>
      <c r="ON34">
        <v>0</v>
      </c>
    </row>
    <row r="35" spans="1:404" hidden="1" x14ac:dyDescent="0.25">
      <c r="A35" t="s">
        <v>167</v>
      </c>
      <c r="B35" t="s">
        <v>168</v>
      </c>
      <c r="C35" t="s">
        <v>5411</v>
      </c>
      <c r="E35" t="s">
        <v>125</v>
      </c>
      <c r="F35">
        <v>21534</v>
      </c>
      <c r="G35">
        <v>22214</v>
      </c>
      <c r="H35">
        <v>19191</v>
      </c>
      <c r="I35">
        <v>45978</v>
      </c>
      <c r="J35">
        <v>3263</v>
      </c>
      <c r="K35">
        <v>18531</v>
      </c>
      <c r="L35">
        <v>130711</v>
      </c>
      <c r="M35">
        <v>430</v>
      </c>
      <c r="N35">
        <v>307</v>
      </c>
      <c r="O35">
        <v>6</v>
      </c>
      <c r="P35">
        <v>2675</v>
      </c>
      <c r="Q35">
        <v>412</v>
      </c>
      <c r="R35">
        <v>45</v>
      </c>
      <c r="S35">
        <v>2151</v>
      </c>
      <c r="T35">
        <v>187</v>
      </c>
      <c r="U35">
        <v>3201</v>
      </c>
      <c r="V35">
        <v>0</v>
      </c>
      <c r="W35">
        <v>0</v>
      </c>
      <c r="X35">
        <v>1100</v>
      </c>
      <c r="Y35">
        <v>1226</v>
      </c>
      <c r="Z35">
        <v>-3180</v>
      </c>
      <c r="AA35">
        <v>-9965</v>
      </c>
      <c r="AB35">
        <v>7454</v>
      </c>
      <c r="AC35">
        <v>0</v>
      </c>
      <c r="AD35">
        <v>0</v>
      </c>
      <c r="AE35">
        <v>0</v>
      </c>
      <c r="AF35">
        <v>989</v>
      </c>
      <c r="AG35">
        <v>1109</v>
      </c>
      <c r="AH35">
        <v>-250</v>
      </c>
      <c r="AI35">
        <v>7897</v>
      </c>
      <c r="AJ35">
        <v>0</v>
      </c>
      <c r="AK35">
        <v>0</v>
      </c>
      <c r="AL35">
        <v>0</v>
      </c>
      <c r="AM35">
        <v>0</v>
      </c>
      <c r="AN35">
        <v>0</v>
      </c>
      <c r="AO35">
        <v>0</v>
      </c>
      <c r="AP35">
        <v>0</v>
      </c>
      <c r="AQ35">
        <v>1455</v>
      </c>
      <c r="AR35">
        <v>2151</v>
      </c>
      <c r="AS35">
        <v>0</v>
      </c>
      <c r="AT35">
        <v>0</v>
      </c>
      <c r="AU35">
        <v>0</v>
      </c>
      <c r="AV35">
        <v>927</v>
      </c>
      <c r="AW35">
        <v>39234</v>
      </c>
      <c r="AX35">
        <v>0</v>
      </c>
      <c r="AY35">
        <v>8208</v>
      </c>
      <c r="AZ35">
        <v>1922</v>
      </c>
      <c r="BA35">
        <v>26269</v>
      </c>
      <c r="BB35">
        <v>1581</v>
      </c>
      <c r="BC35">
        <v>3978</v>
      </c>
      <c r="BD35">
        <v>82119</v>
      </c>
      <c r="BE35">
        <v>9479</v>
      </c>
      <c r="BF35">
        <v>37866</v>
      </c>
      <c r="BG35">
        <v>75</v>
      </c>
      <c r="BH35">
        <v>220</v>
      </c>
      <c r="BI35">
        <v>1073</v>
      </c>
      <c r="BJ35">
        <v>20755</v>
      </c>
      <c r="BK35">
        <v>40137</v>
      </c>
      <c r="BL35">
        <v>4079</v>
      </c>
      <c r="BM35">
        <v>5213</v>
      </c>
      <c r="BN35">
        <v>3590</v>
      </c>
      <c r="BO35">
        <v>1187</v>
      </c>
      <c r="BP35">
        <v>0</v>
      </c>
      <c r="BQ35">
        <v>0</v>
      </c>
      <c r="BR35">
        <v>-56</v>
      </c>
      <c r="BS35">
        <v>220</v>
      </c>
      <c r="BT35">
        <v>16363</v>
      </c>
      <c r="BU35">
        <v>1383</v>
      </c>
      <c r="BV35">
        <v>3274</v>
      </c>
      <c r="BW35">
        <v>152699</v>
      </c>
      <c r="BX35">
        <v>2267</v>
      </c>
      <c r="BY35">
        <v>648</v>
      </c>
      <c r="BZ35">
        <v>324</v>
      </c>
      <c r="CA35">
        <v>0</v>
      </c>
      <c r="CB35">
        <v>30</v>
      </c>
      <c r="CC35">
        <v>19</v>
      </c>
      <c r="CD35">
        <v>70</v>
      </c>
      <c r="CE35">
        <v>266</v>
      </c>
      <c r="CF35">
        <v>0</v>
      </c>
      <c r="CG35">
        <v>132</v>
      </c>
      <c r="CH35">
        <v>0</v>
      </c>
      <c r="CI35">
        <v>2978</v>
      </c>
      <c r="CJ35">
        <v>1185</v>
      </c>
      <c r="CK35">
        <v>0</v>
      </c>
      <c r="CL35">
        <v>0</v>
      </c>
      <c r="CM35">
        <v>463</v>
      </c>
      <c r="CN35">
        <v>541</v>
      </c>
      <c r="CO35">
        <v>0</v>
      </c>
      <c r="CP35">
        <v>670</v>
      </c>
      <c r="CQ35">
        <v>2803</v>
      </c>
      <c r="CR35">
        <v>6196</v>
      </c>
      <c r="CS35">
        <v>0</v>
      </c>
      <c r="CT35">
        <v>0</v>
      </c>
      <c r="CU35">
        <v>1540</v>
      </c>
      <c r="CV35">
        <v>27089</v>
      </c>
      <c r="CW35">
        <v>0</v>
      </c>
      <c r="CX35">
        <v>0</v>
      </c>
      <c r="CY35">
        <v>0</v>
      </c>
      <c r="CZ35">
        <v>0</v>
      </c>
      <c r="DA35">
        <v>0</v>
      </c>
      <c r="DB35">
        <v>0</v>
      </c>
      <c r="DC35">
        <v>548</v>
      </c>
      <c r="DD35">
        <v>0</v>
      </c>
      <c r="DE35">
        <v>0</v>
      </c>
      <c r="DF35">
        <v>501</v>
      </c>
      <c r="DG35">
        <v>0</v>
      </c>
      <c r="DH35">
        <v>108</v>
      </c>
      <c r="DI35">
        <v>-73</v>
      </c>
      <c r="DJ35">
        <v>1313</v>
      </c>
      <c r="DK35">
        <v>-1456</v>
      </c>
      <c r="DL35">
        <v>0</v>
      </c>
      <c r="DM35">
        <v>0</v>
      </c>
      <c r="DN35">
        <v>3290</v>
      </c>
      <c r="DO35">
        <v>4906</v>
      </c>
      <c r="DP35">
        <v>8088</v>
      </c>
      <c r="DQ35">
        <v>42</v>
      </c>
      <c r="DR35">
        <v>0</v>
      </c>
      <c r="DS35">
        <v>0</v>
      </c>
      <c r="DT35">
        <v>-61</v>
      </c>
      <c r="DU35">
        <v>-2085</v>
      </c>
      <c r="DV35">
        <v>4082</v>
      </c>
      <c r="DW35">
        <v>0</v>
      </c>
      <c r="DX35">
        <v>11115</v>
      </c>
      <c r="DY35">
        <v>43324</v>
      </c>
      <c r="DZ35">
        <v>177</v>
      </c>
      <c r="EA35">
        <v>2797</v>
      </c>
      <c r="EB35">
        <v>1114</v>
      </c>
      <c r="EC35">
        <v>0</v>
      </c>
      <c r="ED35">
        <v>30</v>
      </c>
      <c r="EE35">
        <v>62</v>
      </c>
      <c r="EF35">
        <v>0</v>
      </c>
      <c r="EG35">
        <v>0</v>
      </c>
      <c r="EH35">
        <v>9481</v>
      </c>
      <c r="EI35">
        <v>12204</v>
      </c>
      <c r="EJ35">
        <v>1953</v>
      </c>
      <c r="EK35">
        <v>417</v>
      </c>
      <c r="EL35">
        <v>5285</v>
      </c>
      <c r="EM35">
        <v>11637</v>
      </c>
      <c r="EN35">
        <v>12757</v>
      </c>
      <c r="EO35">
        <v>182</v>
      </c>
      <c r="EP35">
        <v>0</v>
      </c>
      <c r="EQ35">
        <v>0</v>
      </c>
      <c r="ER35">
        <v>108</v>
      </c>
      <c r="ES35">
        <v>17270</v>
      </c>
      <c r="ET35">
        <v>10750</v>
      </c>
      <c r="EU35">
        <v>313</v>
      </c>
      <c r="EV35">
        <v>1088</v>
      </c>
      <c r="EW35">
        <v>1337</v>
      </c>
      <c r="EX35">
        <v>819</v>
      </c>
      <c r="EY35">
        <v>163</v>
      </c>
      <c r="EZ35">
        <v>13</v>
      </c>
      <c r="FA35">
        <v>-3559</v>
      </c>
      <c r="FB35">
        <v>265</v>
      </c>
      <c r="FC35">
        <v>333</v>
      </c>
      <c r="FD35">
        <v>8874</v>
      </c>
      <c r="FE35">
        <v>-32</v>
      </c>
      <c r="FF35">
        <v>2936</v>
      </c>
      <c r="FG35">
        <v>5875</v>
      </c>
      <c r="FH35">
        <v>18425</v>
      </c>
      <c r="FI35">
        <v>-823</v>
      </c>
      <c r="FJ35">
        <v>642</v>
      </c>
      <c r="FK35">
        <v>0</v>
      </c>
      <c r="FL35">
        <v>459</v>
      </c>
      <c r="FM35">
        <v>1095</v>
      </c>
      <c r="FN35">
        <v>26</v>
      </c>
      <c r="FO35">
        <v>117</v>
      </c>
      <c r="FP35">
        <v>59</v>
      </c>
      <c r="FQ35">
        <v>0</v>
      </c>
      <c r="FR35">
        <v>99</v>
      </c>
      <c r="FS35">
        <v>987</v>
      </c>
      <c r="FT35">
        <v>363</v>
      </c>
      <c r="FU35">
        <v>152</v>
      </c>
      <c r="FV35">
        <v>539</v>
      </c>
      <c r="FW35">
        <v>1040</v>
      </c>
      <c r="FX35">
        <v>509</v>
      </c>
      <c r="FY35">
        <v>0</v>
      </c>
      <c r="FZ35">
        <v>183</v>
      </c>
      <c r="GA35">
        <v>0</v>
      </c>
      <c r="GB35">
        <v>704</v>
      </c>
      <c r="GC35">
        <v>0</v>
      </c>
      <c r="GD35">
        <v>5271</v>
      </c>
      <c r="GE35">
        <v>6940</v>
      </c>
      <c r="GF35">
        <v>12221</v>
      </c>
      <c r="GG35">
        <v>-657</v>
      </c>
      <c r="GH35">
        <v>2977</v>
      </c>
      <c r="GI35">
        <v>223</v>
      </c>
      <c r="GJ35">
        <v>113</v>
      </c>
      <c r="GK35">
        <v>33239</v>
      </c>
      <c r="GL35">
        <v>411</v>
      </c>
      <c r="GM35">
        <v>735</v>
      </c>
      <c r="GN35">
        <v>1020</v>
      </c>
      <c r="GO35">
        <v>1107</v>
      </c>
      <c r="GP35">
        <v>344</v>
      </c>
      <c r="GQ35">
        <v>3661</v>
      </c>
      <c r="GR35">
        <v>0</v>
      </c>
      <c r="GS35">
        <v>0</v>
      </c>
      <c r="GT35">
        <v>4508</v>
      </c>
      <c r="GU35">
        <v>11786</v>
      </c>
      <c r="GV35">
        <v>63450</v>
      </c>
      <c r="GW35">
        <v>0</v>
      </c>
      <c r="GX35">
        <v>0</v>
      </c>
      <c r="GY35">
        <v>0</v>
      </c>
      <c r="GZ35">
        <v>0</v>
      </c>
      <c r="HA35">
        <v>0</v>
      </c>
      <c r="HB35">
        <v>14287</v>
      </c>
      <c r="HC35">
        <v>313</v>
      </c>
      <c r="HD35">
        <v>0</v>
      </c>
      <c r="HE35">
        <v>0</v>
      </c>
      <c r="HF35">
        <v>395</v>
      </c>
      <c r="HG35">
        <v>814</v>
      </c>
      <c r="HH35">
        <v>0</v>
      </c>
      <c r="HI35">
        <v>-307</v>
      </c>
      <c r="HJ35">
        <v>598</v>
      </c>
      <c r="HK35">
        <v>0</v>
      </c>
      <c r="HL35">
        <v>305</v>
      </c>
      <c r="HM35">
        <v>-545</v>
      </c>
      <c r="HN35">
        <v>0</v>
      </c>
      <c r="HO35">
        <v>0</v>
      </c>
      <c r="HP35">
        <v>786</v>
      </c>
      <c r="HQ35">
        <v>0</v>
      </c>
      <c r="HR35">
        <v>5244</v>
      </c>
      <c r="HS35">
        <v>0</v>
      </c>
      <c r="HT35">
        <v>0</v>
      </c>
      <c r="HU35">
        <v>0</v>
      </c>
      <c r="HV35">
        <v>21890</v>
      </c>
      <c r="HW35">
        <v>0</v>
      </c>
      <c r="HX35">
        <v>31114</v>
      </c>
      <c r="HY35">
        <v>0</v>
      </c>
      <c r="HZ35">
        <v>0</v>
      </c>
      <c r="IA35">
        <v>3565</v>
      </c>
      <c r="IB35">
        <v>25</v>
      </c>
      <c r="IC35">
        <v>130711</v>
      </c>
      <c r="ID35">
        <v>7897</v>
      </c>
      <c r="IE35">
        <v>82119</v>
      </c>
      <c r="IF35">
        <v>152699</v>
      </c>
      <c r="IG35">
        <v>27089</v>
      </c>
      <c r="IH35">
        <v>11115</v>
      </c>
      <c r="II35">
        <v>18425</v>
      </c>
      <c r="IJ35">
        <v>33239</v>
      </c>
      <c r="IK35">
        <v>11786</v>
      </c>
      <c r="IL35">
        <v>0</v>
      </c>
      <c r="IM35">
        <v>0</v>
      </c>
      <c r="IN35">
        <v>21890</v>
      </c>
      <c r="IO35">
        <v>25</v>
      </c>
      <c r="IP35">
        <v>496995</v>
      </c>
      <c r="IQ35">
        <v>80305</v>
      </c>
      <c r="IR35">
        <v>0</v>
      </c>
      <c r="IS35">
        <v>20545</v>
      </c>
      <c r="IT35">
        <v>0</v>
      </c>
      <c r="IU35">
        <v>0</v>
      </c>
      <c r="IV35">
        <v>986</v>
      </c>
      <c r="IW35">
        <v>0</v>
      </c>
      <c r="IX35">
        <v>0</v>
      </c>
      <c r="IY35">
        <v>0</v>
      </c>
      <c r="IZ35">
        <v>682</v>
      </c>
      <c r="JA35">
        <v>-7218</v>
      </c>
      <c r="JB35">
        <v>116</v>
      </c>
      <c r="JC35">
        <v>0</v>
      </c>
      <c r="JD35">
        <v>0</v>
      </c>
      <c r="JE35">
        <v>0</v>
      </c>
      <c r="JF35">
        <v>0</v>
      </c>
      <c r="JG35">
        <v>592411</v>
      </c>
      <c r="JH35">
        <v>606</v>
      </c>
      <c r="JI35">
        <v>0</v>
      </c>
      <c r="JJ35">
        <v>0</v>
      </c>
      <c r="JK35">
        <v>-3879</v>
      </c>
      <c r="JL35">
        <v>0</v>
      </c>
      <c r="JM35">
        <v>318</v>
      </c>
      <c r="JN35">
        <v>10236</v>
      </c>
      <c r="JO35">
        <v>0</v>
      </c>
      <c r="JP35">
        <v>3705</v>
      </c>
      <c r="JQ35">
        <v>0</v>
      </c>
      <c r="JR35">
        <v>603397</v>
      </c>
      <c r="JS35">
        <v>-2931</v>
      </c>
      <c r="JT35">
        <v>0</v>
      </c>
      <c r="JU35">
        <v>0</v>
      </c>
      <c r="JV35">
        <v>0</v>
      </c>
      <c r="JW35">
        <v>-101916</v>
      </c>
      <c r="JX35">
        <v>0</v>
      </c>
      <c r="JY35">
        <v>-188</v>
      </c>
      <c r="JZ35">
        <v>0</v>
      </c>
      <c r="KA35">
        <v>0</v>
      </c>
      <c r="KB35">
        <v>-12465</v>
      </c>
      <c r="KC35">
        <v>485897</v>
      </c>
      <c r="KD35">
        <v>0</v>
      </c>
      <c r="KE35">
        <v>-189214</v>
      </c>
      <c r="KF35">
        <v>296683</v>
      </c>
      <c r="KG35">
        <v>0</v>
      </c>
      <c r="KH35">
        <v>967</v>
      </c>
      <c r="KI35">
        <v>0</v>
      </c>
      <c r="KJ35">
        <v>0</v>
      </c>
      <c r="KK35">
        <v>-39371</v>
      </c>
      <c r="KL35">
        <v>0</v>
      </c>
      <c r="KM35">
        <v>-3022</v>
      </c>
      <c r="KN35">
        <v>0</v>
      </c>
      <c r="KO35">
        <v>-46303</v>
      </c>
      <c r="KP35">
        <v>42349</v>
      </c>
      <c r="KQ35">
        <v>9466</v>
      </c>
      <c r="KR35">
        <v>215527</v>
      </c>
      <c r="KS35">
        <v>3095</v>
      </c>
      <c r="KT35">
        <v>0</v>
      </c>
      <c r="KU35">
        <v>0</v>
      </c>
      <c r="KV35">
        <v>156711</v>
      </c>
      <c r="KW35">
        <v>15350</v>
      </c>
      <c r="KX35">
        <v>4062</v>
      </c>
      <c r="KY35">
        <v>0</v>
      </c>
      <c r="KZ35">
        <v>0</v>
      </c>
      <c r="LA35">
        <v>117340</v>
      </c>
      <c r="LB35">
        <v>15350</v>
      </c>
      <c r="LC35">
        <v>0</v>
      </c>
      <c r="LD35">
        <v>30213</v>
      </c>
      <c r="LE35">
        <v>0</v>
      </c>
      <c r="LF35">
        <v>10905</v>
      </c>
      <c r="LG35">
        <v>33001</v>
      </c>
      <c r="LH35">
        <v>12372</v>
      </c>
      <c r="LI35">
        <v>88941</v>
      </c>
      <c r="LJ35">
        <v>11869</v>
      </c>
      <c r="LK35">
        <v>14561</v>
      </c>
      <c r="LL35">
        <v>26430</v>
      </c>
      <c r="LM35">
        <v>0</v>
      </c>
      <c r="LN35">
        <v>0</v>
      </c>
      <c r="LO35">
        <v>0</v>
      </c>
      <c r="LP35">
        <v>47504</v>
      </c>
      <c r="LQ35">
        <v>54024</v>
      </c>
      <c r="LR35">
        <v>-6520</v>
      </c>
      <c r="LS35">
        <v>17270</v>
      </c>
      <c r="LT35">
        <v>10750</v>
      </c>
      <c r="LU35">
        <v>130711</v>
      </c>
      <c r="LV35">
        <v>7897</v>
      </c>
      <c r="LW35">
        <v>82119</v>
      </c>
      <c r="LX35">
        <v>152699</v>
      </c>
      <c r="LY35">
        <v>27089</v>
      </c>
      <c r="LZ35">
        <v>11115</v>
      </c>
      <c r="MA35">
        <v>18425</v>
      </c>
      <c r="MB35">
        <v>33239</v>
      </c>
      <c r="MC35">
        <v>11786</v>
      </c>
      <c r="MD35">
        <v>0</v>
      </c>
      <c r="ME35">
        <v>0</v>
      </c>
      <c r="MF35">
        <v>21890</v>
      </c>
      <c r="MG35">
        <v>25</v>
      </c>
      <c r="MH35">
        <v>496995</v>
      </c>
      <c r="MI35">
        <v>0</v>
      </c>
      <c r="MJ35">
        <v>0</v>
      </c>
      <c r="MK35">
        <v>0</v>
      </c>
      <c r="ML35">
        <v>0</v>
      </c>
      <c r="MM35">
        <v>0</v>
      </c>
      <c r="MN35">
        <v>57</v>
      </c>
      <c r="MO35">
        <v>0</v>
      </c>
      <c r="MP35">
        <v>0</v>
      </c>
      <c r="MQ35">
        <v>0</v>
      </c>
      <c r="MR35">
        <v>0</v>
      </c>
      <c r="MS35">
        <v>0</v>
      </c>
      <c r="MT35">
        <v>0</v>
      </c>
      <c r="MU35">
        <v>0</v>
      </c>
      <c r="MV35">
        <v>0</v>
      </c>
      <c r="MW35">
        <v>0</v>
      </c>
      <c r="MX35">
        <v>0</v>
      </c>
      <c r="MY35">
        <v>-5611</v>
      </c>
      <c r="MZ35">
        <v>0</v>
      </c>
      <c r="NA35">
        <v>-7218</v>
      </c>
      <c r="NB35">
        <v>0</v>
      </c>
      <c r="NC35">
        <v>-7218</v>
      </c>
      <c r="ND35">
        <v>0</v>
      </c>
      <c r="NE35">
        <v>0</v>
      </c>
      <c r="NF35">
        <v>0</v>
      </c>
      <c r="NG35">
        <v>0</v>
      </c>
      <c r="NH35">
        <v>0</v>
      </c>
      <c r="NI35">
        <v>0</v>
      </c>
      <c r="NJ35">
        <v>18</v>
      </c>
      <c r="NK35">
        <v>0</v>
      </c>
      <c r="NL35">
        <v>0</v>
      </c>
      <c r="NM35">
        <v>0</v>
      </c>
      <c r="NN35">
        <v>0</v>
      </c>
      <c r="NO35">
        <v>0</v>
      </c>
      <c r="NP35">
        <v>0</v>
      </c>
      <c r="NQ35">
        <v>0</v>
      </c>
      <c r="NR35">
        <v>0</v>
      </c>
      <c r="NS35">
        <v>0</v>
      </c>
      <c r="NT35">
        <v>98</v>
      </c>
      <c r="NU35">
        <v>0</v>
      </c>
      <c r="NV35">
        <v>0</v>
      </c>
      <c r="NW35">
        <v>0</v>
      </c>
      <c r="NX35">
        <v>0</v>
      </c>
      <c r="NY35">
        <v>0</v>
      </c>
      <c r="NZ35">
        <v>116</v>
      </c>
      <c r="OA35">
        <v>0</v>
      </c>
      <c r="OB35">
        <v>116</v>
      </c>
      <c r="OC35">
        <v>0</v>
      </c>
      <c r="OD35">
        <v>0</v>
      </c>
      <c r="OE35">
        <v>0</v>
      </c>
      <c r="OF35">
        <v>0</v>
      </c>
      <c r="OG35">
        <v>0</v>
      </c>
      <c r="OH35">
        <v>0</v>
      </c>
      <c r="OI35">
        <v>0</v>
      </c>
      <c r="OJ35">
        <v>0</v>
      </c>
      <c r="OK35">
        <v>0</v>
      </c>
      <c r="OL35">
        <v>0</v>
      </c>
      <c r="OM35">
        <v>0</v>
      </c>
      <c r="ON35">
        <v>0</v>
      </c>
    </row>
    <row r="36" spans="1:404" hidden="1" x14ac:dyDescent="0.25">
      <c r="A36" t="s">
        <v>173</v>
      </c>
      <c r="B36" t="s">
        <v>174</v>
      </c>
      <c r="C36" t="s">
        <v>172</v>
      </c>
      <c r="E36" t="s">
        <v>125</v>
      </c>
      <c r="F36">
        <v>6116</v>
      </c>
      <c r="G36">
        <v>44321</v>
      </c>
      <c r="H36">
        <v>22672</v>
      </c>
      <c r="I36">
        <v>20594</v>
      </c>
      <c r="J36">
        <v>2322</v>
      </c>
      <c r="K36">
        <v>6105</v>
      </c>
      <c r="L36">
        <v>102130</v>
      </c>
      <c r="M36">
        <v>283</v>
      </c>
      <c r="N36">
        <v>0</v>
      </c>
      <c r="O36">
        <v>-2</v>
      </c>
      <c r="P36">
        <v>23</v>
      </c>
      <c r="Q36">
        <v>164</v>
      </c>
      <c r="R36">
        <v>522</v>
      </c>
      <c r="S36">
        <v>986</v>
      </c>
      <c r="T36">
        <v>875</v>
      </c>
      <c r="U36">
        <v>884</v>
      </c>
      <c r="V36">
        <v>0</v>
      </c>
      <c r="W36">
        <v>0</v>
      </c>
      <c r="X36">
        <v>51</v>
      </c>
      <c r="Y36">
        <v>783</v>
      </c>
      <c r="Z36">
        <v>47</v>
      </c>
      <c r="AA36">
        <v>-1101</v>
      </c>
      <c r="AB36">
        <v>901</v>
      </c>
      <c r="AC36">
        <v>0</v>
      </c>
      <c r="AD36">
        <v>905</v>
      </c>
      <c r="AE36">
        <v>0</v>
      </c>
      <c r="AF36">
        <v>0</v>
      </c>
      <c r="AG36">
        <v>2</v>
      </c>
      <c r="AH36">
        <v>0</v>
      </c>
      <c r="AI36">
        <v>5323</v>
      </c>
      <c r="AJ36">
        <v>0</v>
      </c>
      <c r="AK36">
        <v>0</v>
      </c>
      <c r="AL36">
        <v>0</v>
      </c>
      <c r="AM36">
        <v>0</v>
      </c>
      <c r="AN36">
        <v>0</v>
      </c>
      <c r="AO36">
        <v>0</v>
      </c>
      <c r="AP36">
        <v>0</v>
      </c>
      <c r="AQ36">
        <v>75</v>
      </c>
      <c r="AR36">
        <v>64</v>
      </c>
      <c r="AS36">
        <v>0</v>
      </c>
      <c r="AT36">
        <v>0</v>
      </c>
      <c r="AU36">
        <v>0</v>
      </c>
      <c r="AV36">
        <v>2789</v>
      </c>
      <c r="AW36">
        <v>10313</v>
      </c>
      <c r="AX36">
        <v>119</v>
      </c>
      <c r="AY36">
        <v>1641</v>
      </c>
      <c r="AZ36">
        <v>317</v>
      </c>
      <c r="BA36">
        <v>8486</v>
      </c>
      <c r="BB36">
        <v>305</v>
      </c>
      <c r="BC36">
        <v>400</v>
      </c>
      <c r="BD36">
        <v>24370</v>
      </c>
      <c r="BE36">
        <v>2671</v>
      </c>
      <c r="BF36">
        <v>5000</v>
      </c>
      <c r="BG36">
        <v>106</v>
      </c>
      <c r="BH36">
        <v>91</v>
      </c>
      <c r="BI36">
        <v>295</v>
      </c>
      <c r="BJ36">
        <v>5940</v>
      </c>
      <c r="BK36">
        <v>10682</v>
      </c>
      <c r="BL36">
        <v>1825</v>
      </c>
      <c r="BM36">
        <v>1867</v>
      </c>
      <c r="BN36">
        <v>589</v>
      </c>
      <c r="BO36">
        <v>0</v>
      </c>
      <c r="BP36">
        <v>0</v>
      </c>
      <c r="BQ36">
        <v>82</v>
      </c>
      <c r="BR36">
        <v>918</v>
      </c>
      <c r="BS36">
        <v>37</v>
      </c>
      <c r="BT36">
        <v>6203</v>
      </c>
      <c r="BU36">
        <v>1811</v>
      </c>
      <c r="BV36">
        <v>1004</v>
      </c>
      <c r="BW36">
        <v>40693</v>
      </c>
      <c r="BX36">
        <v>799</v>
      </c>
      <c r="BY36">
        <v>106</v>
      </c>
      <c r="BZ36">
        <v>22</v>
      </c>
      <c r="CA36">
        <v>56</v>
      </c>
      <c r="CB36">
        <v>107</v>
      </c>
      <c r="CC36">
        <v>74</v>
      </c>
      <c r="CD36">
        <v>87</v>
      </c>
      <c r="CE36">
        <v>34</v>
      </c>
      <c r="CF36">
        <v>21</v>
      </c>
      <c r="CG36">
        <v>40</v>
      </c>
      <c r="CH36">
        <v>21</v>
      </c>
      <c r="CI36">
        <v>389</v>
      </c>
      <c r="CJ36">
        <v>317</v>
      </c>
      <c r="CK36">
        <v>352</v>
      </c>
      <c r="CL36">
        <v>317</v>
      </c>
      <c r="CM36">
        <v>34</v>
      </c>
      <c r="CN36">
        <v>164</v>
      </c>
      <c r="CO36">
        <v>47</v>
      </c>
      <c r="CP36">
        <v>263</v>
      </c>
      <c r="CQ36">
        <v>1155</v>
      </c>
      <c r="CR36">
        <v>29</v>
      </c>
      <c r="CS36">
        <v>30</v>
      </c>
      <c r="CT36">
        <v>105</v>
      </c>
      <c r="CU36">
        <v>426</v>
      </c>
      <c r="CV36">
        <v>8390</v>
      </c>
      <c r="CW36">
        <v>0</v>
      </c>
      <c r="CX36">
        <v>0</v>
      </c>
      <c r="CY36">
        <v>0</v>
      </c>
      <c r="CZ36">
        <v>0</v>
      </c>
      <c r="DA36">
        <v>0</v>
      </c>
      <c r="DB36">
        <v>0</v>
      </c>
      <c r="DC36">
        <v>93</v>
      </c>
      <c r="DD36">
        <v>0</v>
      </c>
      <c r="DE36">
        <v>56</v>
      </c>
      <c r="DF36">
        <v>0</v>
      </c>
      <c r="DG36">
        <v>0</v>
      </c>
      <c r="DH36">
        <v>719</v>
      </c>
      <c r="DI36">
        <v>0</v>
      </c>
      <c r="DJ36">
        <v>139</v>
      </c>
      <c r="DK36">
        <v>-21</v>
      </c>
      <c r="DL36">
        <v>0</v>
      </c>
      <c r="DM36">
        <v>94</v>
      </c>
      <c r="DN36">
        <v>640</v>
      </c>
      <c r="DO36">
        <v>32</v>
      </c>
      <c r="DP36">
        <v>1603</v>
      </c>
      <c r="DQ36">
        <v>201</v>
      </c>
      <c r="DR36">
        <v>0</v>
      </c>
      <c r="DS36">
        <v>0</v>
      </c>
      <c r="DT36">
        <v>1330</v>
      </c>
      <c r="DU36">
        <v>37</v>
      </c>
      <c r="DV36">
        <v>501</v>
      </c>
      <c r="DW36">
        <v>992</v>
      </c>
      <c r="DX36">
        <v>4813</v>
      </c>
      <c r="DY36">
        <v>0</v>
      </c>
      <c r="DZ36">
        <v>0</v>
      </c>
      <c r="EA36">
        <v>0</v>
      </c>
      <c r="EB36">
        <v>0</v>
      </c>
      <c r="EC36">
        <v>0</v>
      </c>
      <c r="ED36">
        <v>0</v>
      </c>
      <c r="EE36">
        <v>0</v>
      </c>
      <c r="EF36">
        <v>0</v>
      </c>
      <c r="EG36">
        <v>0</v>
      </c>
      <c r="EH36">
        <v>0</v>
      </c>
      <c r="EI36">
        <v>0</v>
      </c>
      <c r="EJ36">
        <v>0</v>
      </c>
      <c r="EK36">
        <v>0</v>
      </c>
      <c r="EL36">
        <v>0</v>
      </c>
      <c r="EM36">
        <v>0</v>
      </c>
      <c r="EN36">
        <v>0</v>
      </c>
      <c r="EO36">
        <v>0</v>
      </c>
      <c r="EP36">
        <v>0</v>
      </c>
      <c r="EQ36">
        <v>0</v>
      </c>
      <c r="ER36">
        <v>0</v>
      </c>
      <c r="ES36">
        <v>0</v>
      </c>
      <c r="ET36">
        <v>0</v>
      </c>
      <c r="EU36">
        <v>121</v>
      </c>
      <c r="EV36">
        <v>233</v>
      </c>
      <c r="EW36">
        <v>0</v>
      </c>
      <c r="EX36">
        <v>34</v>
      </c>
      <c r="EY36">
        <v>0</v>
      </c>
      <c r="EZ36">
        <v>411</v>
      </c>
      <c r="FA36">
        <v>0</v>
      </c>
      <c r="FB36">
        <v>6</v>
      </c>
      <c r="FC36">
        <v>-420</v>
      </c>
      <c r="FD36">
        <v>2161</v>
      </c>
      <c r="FE36">
        <v>0</v>
      </c>
      <c r="FF36">
        <v>0</v>
      </c>
      <c r="FG36">
        <v>1518</v>
      </c>
      <c r="FH36">
        <v>4064</v>
      </c>
      <c r="FI36">
        <v>-1498</v>
      </c>
      <c r="FJ36">
        <v>368</v>
      </c>
      <c r="FK36">
        <v>0</v>
      </c>
      <c r="FL36">
        <v>229</v>
      </c>
      <c r="FM36">
        <v>356</v>
      </c>
      <c r="FN36">
        <v>128</v>
      </c>
      <c r="FO36">
        <v>92</v>
      </c>
      <c r="FP36">
        <v>0</v>
      </c>
      <c r="FQ36">
        <v>0</v>
      </c>
      <c r="FR36">
        <v>1</v>
      </c>
      <c r="FS36">
        <v>18</v>
      </c>
      <c r="FT36">
        <v>51</v>
      </c>
      <c r="FU36">
        <v>39</v>
      </c>
      <c r="FV36">
        <v>362</v>
      </c>
      <c r="FW36">
        <v>0</v>
      </c>
      <c r="FX36">
        <v>0</v>
      </c>
      <c r="FY36">
        <v>0</v>
      </c>
      <c r="FZ36">
        <v>134</v>
      </c>
      <c r="GA36">
        <v>0</v>
      </c>
      <c r="GB36">
        <v>0</v>
      </c>
      <c r="GC36">
        <v>0</v>
      </c>
      <c r="GD36">
        <v>1094</v>
      </c>
      <c r="GE36">
        <v>1151</v>
      </c>
      <c r="GF36">
        <v>5511</v>
      </c>
      <c r="GG36">
        <v>0</v>
      </c>
      <c r="GH36">
        <v>1261</v>
      </c>
      <c r="GI36">
        <v>0</v>
      </c>
      <c r="GJ36">
        <v>34</v>
      </c>
      <c r="GK36">
        <v>9331</v>
      </c>
      <c r="GL36">
        <v>229</v>
      </c>
      <c r="GM36">
        <v>833</v>
      </c>
      <c r="GN36">
        <v>0</v>
      </c>
      <c r="GO36">
        <v>940</v>
      </c>
      <c r="GP36">
        <v>0</v>
      </c>
      <c r="GQ36">
        <v>1032</v>
      </c>
      <c r="GR36">
        <v>0</v>
      </c>
      <c r="GS36">
        <v>1350</v>
      </c>
      <c r="GT36">
        <v>164</v>
      </c>
      <c r="GU36">
        <v>4548</v>
      </c>
      <c r="GV36">
        <v>17943</v>
      </c>
      <c r="GW36">
        <v>0</v>
      </c>
      <c r="GX36">
        <v>0</v>
      </c>
      <c r="GY36">
        <v>0</v>
      </c>
      <c r="GZ36">
        <v>0</v>
      </c>
      <c r="HA36">
        <v>0</v>
      </c>
      <c r="HB36">
        <v>4552</v>
      </c>
      <c r="HC36">
        <v>1245</v>
      </c>
      <c r="HD36">
        <v>0</v>
      </c>
      <c r="HE36">
        <v>0</v>
      </c>
      <c r="HF36">
        <v>0</v>
      </c>
      <c r="HG36">
        <v>-93</v>
      </c>
      <c r="HH36">
        <v>0</v>
      </c>
      <c r="HI36">
        <v>24</v>
      </c>
      <c r="HJ36">
        <v>313</v>
      </c>
      <c r="HK36">
        <v>73</v>
      </c>
      <c r="HL36">
        <v>83</v>
      </c>
      <c r="HM36">
        <v>-52</v>
      </c>
      <c r="HN36">
        <v>69</v>
      </c>
      <c r="HO36">
        <v>277</v>
      </c>
      <c r="HP36">
        <v>206</v>
      </c>
      <c r="HQ36">
        <v>0</v>
      </c>
      <c r="HR36">
        <v>245</v>
      </c>
      <c r="HS36">
        <v>0</v>
      </c>
      <c r="HT36">
        <v>0</v>
      </c>
      <c r="HU36">
        <v>3856</v>
      </c>
      <c r="HV36">
        <v>10798</v>
      </c>
      <c r="HW36">
        <v>2858</v>
      </c>
      <c r="HX36">
        <v>12152</v>
      </c>
      <c r="HY36">
        <v>0</v>
      </c>
      <c r="HZ36">
        <v>173</v>
      </c>
      <c r="IA36">
        <v>1956</v>
      </c>
      <c r="IB36">
        <v>0</v>
      </c>
      <c r="IC36">
        <v>102130</v>
      </c>
      <c r="ID36">
        <v>5323</v>
      </c>
      <c r="IE36">
        <v>24370</v>
      </c>
      <c r="IF36">
        <v>40693</v>
      </c>
      <c r="IG36">
        <v>8390</v>
      </c>
      <c r="IH36">
        <v>4813</v>
      </c>
      <c r="II36">
        <v>4064</v>
      </c>
      <c r="IJ36">
        <v>9331</v>
      </c>
      <c r="IK36">
        <v>4548</v>
      </c>
      <c r="IL36">
        <v>0</v>
      </c>
      <c r="IM36">
        <v>0</v>
      </c>
      <c r="IN36">
        <v>10798</v>
      </c>
      <c r="IO36">
        <v>0</v>
      </c>
      <c r="IP36">
        <v>214460</v>
      </c>
      <c r="IQ36">
        <v>17940</v>
      </c>
      <c r="IR36">
        <v>1382</v>
      </c>
      <c r="IS36">
        <v>0</v>
      </c>
      <c r="IT36">
        <v>0</v>
      </c>
      <c r="IU36">
        <v>0</v>
      </c>
      <c r="IV36">
        <v>3722</v>
      </c>
      <c r="IW36">
        <v>0</v>
      </c>
      <c r="IX36">
        <v>0</v>
      </c>
      <c r="IY36">
        <v>0</v>
      </c>
      <c r="IZ36">
        <v>4</v>
      </c>
      <c r="JA36">
        <v>603</v>
      </c>
      <c r="JB36">
        <v>0</v>
      </c>
      <c r="JC36">
        <v>-29</v>
      </c>
      <c r="JD36">
        <v>0</v>
      </c>
      <c r="JE36">
        <v>173</v>
      </c>
      <c r="JF36">
        <v>0</v>
      </c>
      <c r="JG36">
        <v>238255</v>
      </c>
      <c r="JH36">
        <v>112</v>
      </c>
      <c r="JI36">
        <v>0</v>
      </c>
      <c r="JJ36">
        <v>0</v>
      </c>
      <c r="JK36">
        <v>0</v>
      </c>
      <c r="JL36">
        <v>0</v>
      </c>
      <c r="JM36">
        <v>-18</v>
      </c>
      <c r="JN36">
        <v>2337</v>
      </c>
      <c r="JO36">
        <v>1640</v>
      </c>
      <c r="JP36">
        <v>1934</v>
      </c>
      <c r="JQ36">
        <v>0</v>
      </c>
      <c r="JR36">
        <v>244260</v>
      </c>
      <c r="JS36">
        <v>-10143</v>
      </c>
      <c r="JT36">
        <v>89</v>
      </c>
      <c r="JU36">
        <v>0</v>
      </c>
      <c r="JV36">
        <v>0</v>
      </c>
      <c r="JW36">
        <v>-22398</v>
      </c>
      <c r="JX36">
        <v>0</v>
      </c>
      <c r="JY36">
        <v>-256</v>
      </c>
      <c r="JZ36">
        <v>0</v>
      </c>
      <c r="KA36">
        <v>0</v>
      </c>
      <c r="KB36">
        <v>-6714</v>
      </c>
      <c r="KC36">
        <v>204838</v>
      </c>
      <c r="KD36">
        <v>0</v>
      </c>
      <c r="KE36">
        <v>-111394</v>
      </c>
      <c r="KF36">
        <v>93444</v>
      </c>
      <c r="KG36">
        <v>0</v>
      </c>
      <c r="KH36">
        <v>765</v>
      </c>
      <c r="KI36">
        <v>0</v>
      </c>
      <c r="KJ36">
        <v>129</v>
      </c>
      <c r="KK36">
        <v>465</v>
      </c>
      <c r="KL36">
        <v>1019</v>
      </c>
      <c r="KM36">
        <v>-1781</v>
      </c>
      <c r="KN36">
        <v>0</v>
      </c>
      <c r="KO36">
        <v>-10297</v>
      </c>
      <c r="KP36">
        <v>-144</v>
      </c>
      <c r="KQ36">
        <v>-2366</v>
      </c>
      <c r="KR36">
        <v>70547</v>
      </c>
      <c r="KS36">
        <v>2141</v>
      </c>
      <c r="KT36">
        <v>0</v>
      </c>
      <c r="KU36">
        <v>2513</v>
      </c>
      <c r="KV36">
        <v>79555</v>
      </c>
      <c r="KW36">
        <v>10327</v>
      </c>
      <c r="KX36">
        <v>2906</v>
      </c>
      <c r="KY36">
        <v>0</v>
      </c>
      <c r="KZ36">
        <v>2642</v>
      </c>
      <c r="LA36">
        <v>80020</v>
      </c>
      <c r="LB36">
        <v>11346</v>
      </c>
      <c r="LC36">
        <v>0</v>
      </c>
      <c r="LD36">
        <v>15013</v>
      </c>
      <c r="LE36">
        <v>0</v>
      </c>
      <c r="LF36">
        <v>2244</v>
      </c>
      <c r="LG36">
        <v>-20009</v>
      </c>
      <c r="LH36">
        <v>1255</v>
      </c>
      <c r="LI36">
        <v>-999</v>
      </c>
      <c r="LJ36">
        <v>2087</v>
      </c>
      <c r="LK36">
        <v>2340</v>
      </c>
      <c r="LL36">
        <v>4427</v>
      </c>
      <c r="LM36">
        <v>0</v>
      </c>
      <c r="LN36">
        <v>0</v>
      </c>
      <c r="LO36">
        <v>0</v>
      </c>
      <c r="LP36">
        <v>0</v>
      </c>
      <c r="LQ36">
        <v>0</v>
      </c>
      <c r="LR36">
        <v>0</v>
      </c>
      <c r="LS36">
        <v>0</v>
      </c>
      <c r="LT36">
        <v>0</v>
      </c>
      <c r="LU36">
        <v>102130</v>
      </c>
      <c r="LV36">
        <v>5323</v>
      </c>
      <c r="LW36">
        <v>24370</v>
      </c>
      <c r="LX36">
        <v>40693</v>
      </c>
      <c r="LY36">
        <v>8390</v>
      </c>
      <c r="LZ36">
        <v>4813</v>
      </c>
      <c r="MA36">
        <v>4064</v>
      </c>
      <c r="MB36">
        <v>9331</v>
      </c>
      <c r="MC36">
        <v>4548</v>
      </c>
      <c r="MD36">
        <v>0</v>
      </c>
      <c r="ME36">
        <v>0</v>
      </c>
      <c r="MF36">
        <v>10798</v>
      </c>
      <c r="MG36">
        <v>0</v>
      </c>
      <c r="MH36">
        <v>214460</v>
      </c>
      <c r="MI36">
        <v>0</v>
      </c>
      <c r="MJ36">
        <v>0</v>
      </c>
      <c r="MK36">
        <v>0</v>
      </c>
      <c r="ML36">
        <v>0</v>
      </c>
      <c r="MM36">
        <v>0</v>
      </c>
      <c r="MN36">
        <v>0</v>
      </c>
      <c r="MO36">
        <v>0</v>
      </c>
      <c r="MP36">
        <v>0</v>
      </c>
      <c r="MQ36">
        <v>0</v>
      </c>
      <c r="MR36">
        <v>0</v>
      </c>
      <c r="MS36">
        <v>0</v>
      </c>
      <c r="MT36">
        <v>0</v>
      </c>
      <c r="MU36">
        <v>0</v>
      </c>
      <c r="MV36">
        <v>0</v>
      </c>
      <c r="MW36">
        <v>0</v>
      </c>
      <c r="MX36">
        <v>0</v>
      </c>
      <c r="MY36">
        <v>0</v>
      </c>
      <c r="MZ36">
        <v>0</v>
      </c>
      <c r="NA36">
        <v>574</v>
      </c>
      <c r="NB36">
        <v>29</v>
      </c>
      <c r="NC36">
        <v>603</v>
      </c>
      <c r="ND36">
        <v>0</v>
      </c>
      <c r="NE36">
        <v>0</v>
      </c>
      <c r="NF36">
        <v>0</v>
      </c>
      <c r="NG36">
        <v>0</v>
      </c>
      <c r="NH36">
        <v>0</v>
      </c>
      <c r="NI36">
        <v>0</v>
      </c>
      <c r="NJ36">
        <v>0</v>
      </c>
      <c r="NK36">
        <v>0</v>
      </c>
      <c r="NL36">
        <v>0</v>
      </c>
      <c r="NM36">
        <v>0</v>
      </c>
      <c r="NN36">
        <v>0</v>
      </c>
      <c r="NO36">
        <v>0</v>
      </c>
      <c r="NP36">
        <v>0</v>
      </c>
      <c r="NQ36">
        <v>0</v>
      </c>
      <c r="NR36">
        <v>0</v>
      </c>
      <c r="NS36">
        <v>0</v>
      </c>
      <c r="NT36">
        <v>0</v>
      </c>
      <c r="NU36">
        <v>0</v>
      </c>
      <c r="NV36">
        <v>0</v>
      </c>
      <c r="NW36">
        <v>0</v>
      </c>
      <c r="NX36">
        <v>0</v>
      </c>
      <c r="NY36">
        <v>0</v>
      </c>
      <c r="NZ36">
        <v>0</v>
      </c>
      <c r="OA36">
        <v>0</v>
      </c>
      <c r="OB36">
        <v>0</v>
      </c>
      <c r="OC36">
        <v>29</v>
      </c>
      <c r="OD36">
        <v>0</v>
      </c>
      <c r="OE36">
        <v>0</v>
      </c>
      <c r="OF36">
        <v>0</v>
      </c>
      <c r="OG36">
        <v>0</v>
      </c>
      <c r="OH36">
        <v>29</v>
      </c>
      <c r="OI36">
        <v>0</v>
      </c>
      <c r="OJ36">
        <v>0</v>
      </c>
      <c r="OK36">
        <v>0</v>
      </c>
      <c r="OL36">
        <v>0</v>
      </c>
      <c r="OM36">
        <v>0</v>
      </c>
      <c r="ON36">
        <v>0</v>
      </c>
    </row>
    <row r="37" spans="1:404" hidden="1" x14ac:dyDescent="0.25">
      <c r="A37" t="s">
        <v>176</v>
      </c>
      <c r="B37" t="s">
        <v>177</v>
      </c>
      <c r="C37" t="s">
        <v>175</v>
      </c>
      <c r="E37" t="s">
        <v>97</v>
      </c>
      <c r="F37">
        <v>32415</v>
      </c>
      <c r="G37">
        <v>159404</v>
      </c>
      <c r="H37">
        <v>75921</v>
      </c>
      <c r="I37">
        <v>39742</v>
      </c>
      <c r="J37">
        <v>3817</v>
      </c>
      <c r="K37">
        <v>29186</v>
      </c>
      <c r="L37">
        <v>340485</v>
      </c>
      <c r="M37">
        <v>0</v>
      </c>
      <c r="N37">
        <v>576</v>
      </c>
      <c r="O37">
        <v>175</v>
      </c>
      <c r="P37">
        <v>1266</v>
      </c>
      <c r="Q37">
        <v>506</v>
      </c>
      <c r="R37">
        <v>0</v>
      </c>
      <c r="S37">
        <v>2031</v>
      </c>
      <c r="T37">
        <v>1854</v>
      </c>
      <c r="U37">
        <v>5939</v>
      </c>
      <c r="V37">
        <v>0</v>
      </c>
      <c r="W37">
        <v>-1595</v>
      </c>
      <c r="X37">
        <v>724</v>
      </c>
      <c r="Y37">
        <v>2979</v>
      </c>
      <c r="Z37">
        <v>-1610</v>
      </c>
      <c r="AA37">
        <v>-245</v>
      </c>
      <c r="AB37">
        <v>0</v>
      </c>
      <c r="AC37">
        <v>0</v>
      </c>
      <c r="AD37">
        <v>0</v>
      </c>
      <c r="AE37">
        <v>0</v>
      </c>
      <c r="AF37">
        <v>0</v>
      </c>
      <c r="AG37">
        <v>0</v>
      </c>
      <c r="AH37">
        <v>0</v>
      </c>
      <c r="AI37">
        <v>12600</v>
      </c>
      <c r="AJ37">
        <v>0</v>
      </c>
      <c r="AK37">
        <v>0</v>
      </c>
      <c r="AL37">
        <v>0</v>
      </c>
      <c r="AM37">
        <v>0</v>
      </c>
      <c r="AN37">
        <v>0</v>
      </c>
      <c r="AO37">
        <v>0</v>
      </c>
      <c r="AP37">
        <v>0</v>
      </c>
      <c r="AQ37">
        <v>1752</v>
      </c>
      <c r="AR37">
        <v>1077</v>
      </c>
      <c r="AS37">
        <v>0</v>
      </c>
      <c r="AT37">
        <v>0</v>
      </c>
      <c r="AU37">
        <v>0</v>
      </c>
      <c r="AV37">
        <v>4539</v>
      </c>
      <c r="AW37">
        <v>82706</v>
      </c>
      <c r="AX37">
        <v>484</v>
      </c>
      <c r="AY37">
        <v>8012</v>
      </c>
      <c r="AZ37">
        <v>2460</v>
      </c>
      <c r="BA37">
        <v>50945</v>
      </c>
      <c r="BB37">
        <v>1388</v>
      </c>
      <c r="BC37">
        <v>4238</v>
      </c>
      <c r="BD37">
        <v>154772</v>
      </c>
      <c r="BE37">
        <v>16112</v>
      </c>
      <c r="BF37">
        <v>39862</v>
      </c>
      <c r="BG37">
        <v>930</v>
      </c>
      <c r="BH37">
        <v>213</v>
      </c>
      <c r="BI37">
        <v>11</v>
      </c>
      <c r="BJ37">
        <v>834</v>
      </c>
      <c r="BK37">
        <v>48360</v>
      </c>
      <c r="BL37">
        <v>7633</v>
      </c>
      <c r="BM37">
        <v>5350</v>
      </c>
      <c r="BN37">
        <v>3424</v>
      </c>
      <c r="BO37">
        <v>0</v>
      </c>
      <c r="BP37">
        <v>2266</v>
      </c>
      <c r="BQ37">
        <v>102</v>
      </c>
      <c r="BR37">
        <v>3133</v>
      </c>
      <c r="BS37">
        <v>2255</v>
      </c>
      <c r="BT37">
        <v>10929</v>
      </c>
      <c r="BU37">
        <v>2546</v>
      </c>
      <c r="BV37">
        <v>3751</v>
      </c>
      <c r="BW37">
        <v>161802</v>
      </c>
      <c r="BX37">
        <v>3210</v>
      </c>
      <c r="BY37">
        <v>1398</v>
      </c>
      <c r="BZ37">
        <v>533</v>
      </c>
      <c r="CA37">
        <v>65</v>
      </c>
      <c r="CB37">
        <v>295</v>
      </c>
      <c r="CC37">
        <v>322</v>
      </c>
      <c r="CD37">
        <v>652</v>
      </c>
      <c r="CE37">
        <v>1478</v>
      </c>
      <c r="CF37">
        <v>1029</v>
      </c>
      <c r="CG37">
        <v>434</v>
      </c>
      <c r="CH37">
        <v>529</v>
      </c>
      <c r="CI37">
        <v>2529</v>
      </c>
      <c r="CJ37">
        <v>1266</v>
      </c>
      <c r="CK37">
        <v>2066</v>
      </c>
      <c r="CL37">
        <v>680</v>
      </c>
      <c r="CM37">
        <v>297</v>
      </c>
      <c r="CN37">
        <v>432</v>
      </c>
      <c r="CO37">
        <v>35</v>
      </c>
      <c r="CP37">
        <v>1440</v>
      </c>
      <c r="CQ37">
        <v>9989</v>
      </c>
      <c r="CR37">
        <v>2306</v>
      </c>
      <c r="CS37">
        <v>0</v>
      </c>
      <c r="CT37">
        <v>4117</v>
      </c>
      <c r="CU37">
        <v>10692</v>
      </c>
      <c r="CV37">
        <v>46883</v>
      </c>
      <c r="CW37">
        <v>0</v>
      </c>
      <c r="CX37">
        <v>0</v>
      </c>
      <c r="CY37">
        <v>0</v>
      </c>
      <c r="CZ37">
        <v>0</v>
      </c>
      <c r="DA37">
        <v>0</v>
      </c>
      <c r="DB37">
        <v>0</v>
      </c>
      <c r="DC37">
        <v>349</v>
      </c>
      <c r="DD37">
        <v>0</v>
      </c>
      <c r="DE37">
        <v>0</v>
      </c>
      <c r="DF37">
        <v>0</v>
      </c>
      <c r="DG37">
        <v>0</v>
      </c>
      <c r="DH37">
        <v>0</v>
      </c>
      <c r="DI37">
        <v>408</v>
      </c>
      <c r="DJ37">
        <v>814</v>
      </c>
      <c r="DK37">
        <v>0</v>
      </c>
      <c r="DL37">
        <v>0</v>
      </c>
      <c r="DM37">
        <v>0</v>
      </c>
      <c r="DN37">
        <v>5357</v>
      </c>
      <c r="DO37">
        <v>0</v>
      </c>
      <c r="DP37">
        <v>6579</v>
      </c>
      <c r="DQ37">
        <v>1554</v>
      </c>
      <c r="DR37">
        <v>0</v>
      </c>
      <c r="DS37">
        <v>0</v>
      </c>
      <c r="DT37">
        <v>2651</v>
      </c>
      <c r="DU37">
        <v>-1275</v>
      </c>
      <c r="DV37">
        <v>3394</v>
      </c>
      <c r="DW37">
        <v>0</v>
      </c>
      <c r="DX37">
        <v>13252</v>
      </c>
      <c r="DY37">
        <v>0</v>
      </c>
      <c r="DZ37">
        <v>0</v>
      </c>
      <c r="EA37">
        <v>0</v>
      </c>
      <c r="EB37">
        <v>0</v>
      </c>
      <c r="EC37">
        <v>0</v>
      </c>
      <c r="ED37">
        <v>0</v>
      </c>
      <c r="EE37">
        <v>0</v>
      </c>
      <c r="EF37">
        <v>0</v>
      </c>
      <c r="EG37">
        <v>0</v>
      </c>
      <c r="EH37">
        <v>0</v>
      </c>
      <c r="EI37">
        <v>0</v>
      </c>
      <c r="EJ37">
        <v>0</v>
      </c>
      <c r="EK37">
        <v>0</v>
      </c>
      <c r="EL37">
        <v>0</v>
      </c>
      <c r="EM37">
        <v>0</v>
      </c>
      <c r="EN37">
        <v>0</v>
      </c>
      <c r="EO37">
        <v>0</v>
      </c>
      <c r="EP37">
        <v>0</v>
      </c>
      <c r="EQ37">
        <v>0</v>
      </c>
      <c r="ER37">
        <v>0</v>
      </c>
      <c r="ES37">
        <v>0</v>
      </c>
      <c r="ET37">
        <v>0</v>
      </c>
      <c r="EU37">
        <v>472</v>
      </c>
      <c r="EV37">
        <v>2325</v>
      </c>
      <c r="EW37">
        <v>0</v>
      </c>
      <c r="EX37">
        <v>3496</v>
      </c>
      <c r="EY37">
        <v>2384</v>
      </c>
      <c r="EZ37">
        <v>385</v>
      </c>
      <c r="FA37">
        <v>0</v>
      </c>
      <c r="FB37">
        <v>-1362</v>
      </c>
      <c r="FC37">
        <v>6714</v>
      </c>
      <c r="FD37">
        <v>6053</v>
      </c>
      <c r="FE37">
        <v>0</v>
      </c>
      <c r="FF37">
        <v>465</v>
      </c>
      <c r="FG37">
        <v>3545</v>
      </c>
      <c r="FH37">
        <v>24477</v>
      </c>
      <c r="FI37">
        <v>-322</v>
      </c>
      <c r="FJ37">
        <v>556</v>
      </c>
      <c r="FK37">
        <v>0</v>
      </c>
      <c r="FL37">
        <v>-26</v>
      </c>
      <c r="FM37">
        <v>1042</v>
      </c>
      <c r="FN37">
        <v>1687</v>
      </c>
      <c r="FO37">
        <v>0</v>
      </c>
      <c r="FP37">
        <v>0</v>
      </c>
      <c r="FQ37">
        <v>0</v>
      </c>
      <c r="FR37">
        <v>0</v>
      </c>
      <c r="FS37">
        <v>21</v>
      </c>
      <c r="FT37">
        <v>302</v>
      </c>
      <c r="FU37">
        <v>66</v>
      </c>
      <c r="FV37">
        <v>1269</v>
      </c>
      <c r="FW37">
        <v>1532</v>
      </c>
      <c r="FX37">
        <v>772</v>
      </c>
      <c r="FY37">
        <v>0</v>
      </c>
      <c r="FZ37">
        <v>444</v>
      </c>
      <c r="GA37">
        <v>0</v>
      </c>
      <c r="GB37">
        <v>0</v>
      </c>
      <c r="GC37">
        <v>0</v>
      </c>
      <c r="GD37">
        <v>5714</v>
      </c>
      <c r="GE37">
        <v>8132</v>
      </c>
      <c r="GF37">
        <v>22995</v>
      </c>
      <c r="GG37">
        <v>-379</v>
      </c>
      <c r="GH37">
        <v>100</v>
      </c>
      <c r="GI37">
        <v>133</v>
      </c>
      <c r="GJ37">
        <v>323</v>
      </c>
      <c r="GK37">
        <v>44361</v>
      </c>
      <c r="GL37">
        <v>75</v>
      </c>
      <c r="GM37">
        <v>566</v>
      </c>
      <c r="GN37">
        <v>1257</v>
      </c>
      <c r="GO37">
        <v>0</v>
      </c>
      <c r="GP37">
        <v>0</v>
      </c>
      <c r="GQ37">
        <v>11433</v>
      </c>
      <c r="GR37">
        <v>432</v>
      </c>
      <c r="GS37">
        <v>1868</v>
      </c>
      <c r="GT37">
        <v>11645</v>
      </c>
      <c r="GU37">
        <v>27276</v>
      </c>
      <c r="GV37">
        <v>96114</v>
      </c>
      <c r="GW37">
        <v>0</v>
      </c>
      <c r="GX37">
        <v>0</v>
      </c>
      <c r="GY37">
        <v>0</v>
      </c>
      <c r="GZ37">
        <v>0</v>
      </c>
      <c r="HA37">
        <v>0</v>
      </c>
      <c r="HB37">
        <v>6012</v>
      </c>
      <c r="HC37">
        <v>3964</v>
      </c>
      <c r="HD37">
        <v>0</v>
      </c>
      <c r="HE37">
        <v>0</v>
      </c>
      <c r="HF37">
        <v>1454</v>
      </c>
      <c r="HG37">
        <v>917</v>
      </c>
      <c r="HH37">
        <v>0</v>
      </c>
      <c r="HI37">
        <v>498</v>
      </c>
      <c r="HJ37">
        <v>618</v>
      </c>
      <c r="HK37">
        <v>618</v>
      </c>
      <c r="HL37">
        <v>865</v>
      </c>
      <c r="HM37">
        <v>-204</v>
      </c>
      <c r="HN37">
        <v>5906</v>
      </c>
      <c r="HO37">
        <v>15819</v>
      </c>
      <c r="HP37">
        <v>315</v>
      </c>
      <c r="HQ37">
        <v>-6</v>
      </c>
      <c r="HR37">
        <v>-698</v>
      </c>
      <c r="HS37">
        <v>0</v>
      </c>
      <c r="HT37">
        <v>0</v>
      </c>
      <c r="HU37">
        <v>-2135</v>
      </c>
      <c r="HV37">
        <v>33943</v>
      </c>
      <c r="HW37">
        <v>0</v>
      </c>
      <c r="HX37">
        <v>52730</v>
      </c>
      <c r="HY37">
        <v>0</v>
      </c>
      <c r="HZ37">
        <v>0</v>
      </c>
      <c r="IA37">
        <v>14466</v>
      </c>
      <c r="IB37">
        <v>0</v>
      </c>
      <c r="IC37">
        <v>340485</v>
      </c>
      <c r="ID37">
        <v>12600</v>
      </c>
      <c r="IE37">
        <v>154772</v>
      </c>
      <c r="IF37">
        <v>161802</v>
      </c>
      <c r="IG37">
        <v>46883</v>
      </c>
      <c r="IH37">
        <v>13252</v>
      </c>
      <c r="II37">
        <v>24477</v>
      </c>
      <c r="IJ37">
        <v>44361</v>
      </c>
      <c r="IK37">
        <v>27276</v>
      </c>
      <c r="IL37">
        <v>0</v>
      </c>
      <c r="IM37">
        <v>0</v>
      </c>
      <c r="IN37">
        <v>33943</v>
      </c>
      <c r="IO37">
        <v>0</v>
      </c>
      <c r="IP37">
        <v>859851</v>
      </c>
      <c r="IQ37">
        <v>110229</v>
      </c>
      <c r="IR37">
        <v>0</v>
      </c>
      <c r="IS37">
        <v>0</v>
      </c>
      <c r="IT37">
        <v>0</v>
      </c>
      <c r="IU37">
        <v>0</v>
      </c>
      <c r="IV37">
        <v>2644</v>
      </c>
      <c r="IW37">
        <v>22921</v>
      </c>
      <c r="IX37">
        <v>0</v>
      </c>
      <c r="IY37">
        <v>0</v>
      </c>
      <c r="IZ37">
        <v>0</v>
      </c>
      <c r="JA37">
        <v>906</v>
      </c>
      <c r="JB37">
        <v>0</v>
      </c>
      <c r="JC37">
        <v>0</v>
      </c>
      <c r="JD37">
        <v>0</v>
      </c>
      <c r="JE37">
        <v>429</v>
      </c>
      <c r="JF37">
        <v>0</v>
      </c>
      <c r="JG37">
        <v>996980</v>
      </c>
      <c r="JH37">
        <v>257</v>
      </c>
      <c r="JI37">
        <v>2942</v>
      </c>
      <c r="JJ37">
        <v>0</v>
      </c>
      <c r="JK37">
        <v>0</v>
      </c>
      <c r="JL37">
        <v>0</v>
      </c>
      <c r="JM37">
        <v>1233</v>
      </c>
      <c r="JN37">
        <v>19885</v>
      </c>
      <c r="JO37">
        <v>8387</v>
      </c>
      <c r="JP37">
        <v>16745</v>
      </c>
      <c r="JQ37">
        <v>0</v>
      </c>
      <c r="JR37">
        <v>1046429</v>
      </c>
      <c r="JS37">
        <v>-601</v>
      </c>
      <c r="JT37">
        <v>12926</v>
      </c>
      <c r="JU37">
        <v>276</v>
      </c>
      <c r="JV37">
        <v>0</v>
      </c>
      <c r="JW37">
        <v>-125554</v>
      </c>
      <c r="JX37">
        <v>0</v>
      </c>
      <c r="JY37">
        <v>-1</v>
      </c>
      <c r="JZ37">
        <v>0</v>
      </c>
      <c r="KA37">
        <v>0</v>
      </c>
      <c r="KB37">
        <v>0</v>
      </c>
      <c r="KC37">
        <v>933475</v>
      </c>
      <c r="KD37">
        <v>-1658</v>
      </c>
      <c r="KE37">
        <v>-489418</v>
      </c>
      <c r="KF37">
        <v>442399</v>
      </c>
      <c r="KG37">
        <v>0</v>
      </c>
      <c r="KH37">
        <v>3710</v>
      </c>
      <c r="KI37">
        <v>0</v>
      </c>
      <c r="KJ37">
        <v>1356</v>
      </c>
      <c r="KK37">
        <v>-34179</v>
      </c>
      <c r="KL37">
        <v>4500</v>
      </c>
      <c r="KM37">
        <v>-34800</v>
      </c>
      <c r="KN37">
        <v>0</v>
      </c>
      <c r="KO37">
        <v>-139679</v>
      </c>
      <c r="KP37">
        <v>3266</v>
      </c>
      <c r="KQ37">
        <v>-3559</v>
      </c>
      <c r="KR37">
        <v>215518</v>
      </c>
      <c r="KS37">
        <v>42863</v>
      </c>
      <c r="KT37">
        <v>0</v>
      </c>
      <c r="KU37">
        <v>2319</v>
      </c>
      <c r="KV37">
        <v>239235</v>
      </c>
      <c r="KW37">
        <v>15000</v>
      </c>
      <c r="KX37">
        <v>46573</v>
      </c>
      <c r="KY37">
        <v>0</v>
      </c>
      <c r="KZ37">
        <v>3675</v>
      </c>
      <c r="LA37">
        <v>205056</v>
      </c>
      <c r="LB37">
        <v>19500</v>
      </c>
      <c r="LC37">
        <v>0</v>
      </c>
      <c r="LD37">
        <v>34799</v>
      </c>
      <c r="LE37">
        <v>122</v>
      </c>
      <c r="LF37">
        <v>23198</v>
      </c>
      <c r="LG37">
        <v>-84849</v>
      </c>
      <c r="LH37">
        <v>27229</v>
      </c>
      <c r="LI37">
        <v>-5215</v>
      </c>
      <c r="LJ37">
        <v>14621</v>
      </c>
      <c r="LK37">
        <v>21138</v>
      </c>
      <c r="LL37">
        <v>35759</v>
      </c>
      <c r="LM37">
        <v>0</v>
      </c>
      <c r="LN37">
        <v>0</v>
      </c>
      <c r="LO37">
        <v>0</v>
      </c>
      <c r="LP37">
        <v>0</v>
      </c>
      <c r="LQ37">
        <v>0</v>
      </c>
      <c r="LR37">
        <v>0</v>
      </c>
      <c r="LS37">
        <v>0</v>
      </c>
      <c r="LT37">
        <v>0</v>
      </c>
      <c r="LU37">
        <v>340485</v>
      </c>
      <c r="LV37">
        <v>12600</v>
      </c>
      <c r="LW37">
        <v>154772</v>
      </c>
      <c r="LX37">
        <v>161802</v>
      </c>
      <c r="LY37">
        <v>46883</v>
      </c>
      <c r="LZ37">
        <v>13252</v>
      </c>
      <c r="MA37">
        <v>24477</v>
      </c>
      <c r="MB37">
        <v>44361</v>
      </c>
      <c r="MC37">
        <v>27276</v>
      </c>
      <c r="MD37">
        <v>0</v>
      </c>
      <c r="ME37">
        <v>0</v>
      </c>
      <c r="MF37">
        <v>33943</v>
      </c>
      <c r="MG37">
        <v>0</v>
      </c>
      <c r="MH37">
        <v>859851</v>
      </c>
      <c r="MI37">
        <v>0</v>
      </c>
      <c r="MJ37">
        <v>0</v>
      </c>
      <c r="MK37">
        <v>0</v>
      </c>
      <c r="ML37">
        <v>0</v>
      </c>
      <c r="MM37">
        <v>0</v>
      </c>
      <c r="MN37">
        <v>0</v>
      </c>
      <c r="MO37">
        <v>0</v>
      </c>
      <c r="MP37">
        <v>0</v>
      </c>
      <c r="MQ37">
        <v>0</v>
      </c>
      <c r="MR37">
        <v>0</v>
      </c>
      <c r="MS37">
        <v>0</v>
      </c>
      <c r="MT37">
        <v>0</v>
      </c>
      <c r="MU37">
        <v>0</v>
      </c>
      <c r="MV37">
        <v>0</v>
      </c>
      <c r="MW37">
        <v>906</v>
      </c>
      <c r="MX37">
        <v>0</v>
      </c>
      <c r="MY37">
        <v>0</v>
      </c>
      <c r="MZ37">
        <v>0</v>
      </c>
      <c r="NA37">
        <v>906</v>
      </c>
      <c r="NB37">
        <v>0</v>
      </c>
      <c r="NC37">
        <v>906</v>
      </c>
      <c r="ND37">
        <v>0</v>
      </c>
      <c r="NE37">
        <v>0</v>
      </c>
      <c r="NF37">
        <v>0</v>
      </c>
      <c r="NG37">
        <v>0</v>
      </c>
      <c r="NH37">
        <v>0</v>
      </c>
      <c r="NI37">
        <v>0</v>
      </c>
      <c r="NJ37">
        <v>0</v>
      </c>
      <c r="NK37">
        <v>0</v>
      </c>
      <c r="NL37">
        <v>0</v>
      </c>
      <c r="NM37">
        <v>0</v>
      </c>
      <c r="NN37">
        <v>0</v>
      </c>
      <c r="NO37">
        <v>0</v>
      </c>
      <c r="NP37">
        <v>0</v>
      </c>
      <c r="NQ37">
        <v>0</v>
      </c>
      <c r="NR37">
        <v>0</v>
      </c>
      <c r="NS37">
        <v>0</v>
      </c>
      <c r="NT37">
        <v>0</v>
      </c>
      <c r="NU37">
        <v>0</v>
      </c>
      <c r="NV37">
        <v>0</v>
      </c>
      <c r="NW37">
        <v>0</v>
      </c>
      <c r="NX37">
        <v>0</v>
      </c>
      <c r="NY37">
        <v>0</v>
      </c>
      <c r="NZ37">
        <v>0</v>
      </c>
      <c r="OA37">
        <v>0</v>
      </c>
      <c r="OB37">
        <v>0</v>
      </c>
      <c r="OC37">
        <v>0</v>
      </c>
      <c r="OD37">
        <v>0</v>
      </c>
      <c r="OE37">
        <v>0</v>
      </c>
      <c r="OF37">
        <v>0</v>
      </c>
      <c r="OG37">
        <v>0</v>
      </c>
      <c r="OH37">
        <v>0</v>
      </c>
      <c r="OI37">
        <v>0</v>
      </c>
      <c r="OJ37">
        <v>0</v>
      </c>
      <c r="OK37">
        <v>0</v>
      </c>
      <c r="OL37">
        <v>0</v>
      </c>
      <c r="OM37">
        <v>0</v>
      </c>
      <c r="ON37">
        <v>0</v>
      </c>
    </row>
    <row r="38" spans="1:404" hidden="1" x14ac:dyDescent="0.25">
      <c r="A38" t="s">
        <v>179</v>
      </c>
      <c r="B38" t="s">
        <v>180</v>
      </c>
      <c r="C38" t="s">
        <v>178</v>
      </c>
      <c r="E38" t="s">
        <v>61</v>
      </c>
      <c r="F38">
        <v>0</v>
      </c>
      <c r="G38">
        <v>0</v>
      </c>
      <c r="H38">
        <v>0</v>
      </c>
      <c r="I38">
        <v>0</v>
      </c>
      <c r="J38">
        <v>0</v>
      </c>
      <c r="K38">
        <v>0</v>
      </c>
      <c r="L38">
        <v>0</v>
      </c>
      <c r="M38">
        <v>4</v>
      </c>
      <c r="N38">
        <v>0</v>
      </c>
      <c r="O38">
        <v>0</v>
      </c>
      <c r="P38">
        <v>0</v>
      </c>
      <c r="Q38">
        <v>0</v>
      </c>
      <c r="R38">
        <v>0</v>
      </c>
      <c r="S38">
        <v>0</v>
      </c>
      <c r="T38">
        <v>0</v>
      </c>
      <c r="U38">
        <v>11</v>
      </c>
      <c r="V38">
        <v>0</v>
      </c>
      <c r="W38">
        <v>0</v>
      </c>
      <c r="X38">
        <v>0</v>
      </c>
      <c r="Y38">
        <v>0</v>
      </c>
      <c r="Z38">
        <v>0</v>
      </c>
      <c r="AA38">
        <v>-351</v>
      </c>
      <c r="AB38">
        <v>0</v>
      </c>
      <c r="AC38">
        <v>0</v>
      </c>
      <c r="AD38">
        <v>147</v>
      </c>
      <c r="AE38">
        <v>0</v>
      </c>
      <c r="AF38">
        <v>0</v>
      </c>
      <c r="AG38">
        <v>0</v>
      </c>
      <c r="AH38">
        <v>0</v>
      </c>
      <c r="AI38">
        <v>-189</v>
      </c>
      <c r="AJ38">
        <v>0</v>
      </c>
      <c r="AK38">
        <v>0</v>
      </c>
      <c r="AL38">
        <v>0</v>
      </c>
      <c r="AM38">
        <v>0</v>
      </c>
      <c r="AN38">
        <v>0</v>
      </c>
      <c r="AO38">
        <v>0</v>
      </c>
      <c r="AP38">
        <v>0</v>
      </c>
      <c r="AQ38">
        <v>0</v>
      </c>
      <c r="AR38">
        <v>0</v>
      </c>
      <c r="AS38">
        <v>0</v>
      </c>
      <c r="AT38">
        <v>0</v>
      </c>
      <c r="AU38">
        <v>0</v>
      </c>
      <c r="AV38">
        <v>0</v>
      </c>
      <c r="AW38">
        <v>0</v>
      </c>
      <c r="AX38">
        <v>0</v>
      </c>
      <c r="AY38">
        <v>0</v>
      </c>
      <c r="AZ38">
        <v>0</v>
      </c>
      <c r="BA38">
        <v>0</v>
      </c>
      <c r="BB38">
        <v>0</v>
      </c>
      <c r="BC38">
        <v>0</v>
      </c>
      <c r="BD38">
        <v>0</v>
      </c>
      <c r="BE38">
        <v>0</v>
      </c>
      <c r="BF38">
        <v>0</v>
      </c>
      <c r="BG38">
        <v>0</v>
      </c>
      <c r="BH38">
        <v>0</v>
      </c>
      <c r="BI38">
        <v>0</v>
      </c>
      <c r="BJ38">
        <v>0</v>
      </c>
      <c r="BK38">
        <v>0</v>
      </c>
      <c r="BL38">
        <v>0</v>
      </c>
      <c r="BM38">
        <v>0</v>
      </c>
      <c r="BN38">
        <v>0</v>
      </c>
      <c r="BO38">
        <v>0</v>
      </c>
      <c r="BP38">
        <v>0</v>
      </c>
      <c r="BQ38">
        <v>0</v>
      </c>
      <c r="BR38">
        <v>0</v>
      </c>
      <c r="BS38">
        <v>0</v>
      </c>
      <c r="BT38">
        <v>0</v>
      </c>
      <c r="BU38">
        <v>0</v>
      </c>
      <c r="BV38">
        <v>0</v>
      </c>
      <c r="BW38">
        <v>0</v>
      </c>
      <c r="BX38">
        <v>0</v>
      </c>
      <c r="BY38">
        <v>0</v>
      </c>
      <c r="BZ38">
        <v>0</v>
      </c>
      <c r="CA38">
        <v>0</v>
      </c>
      <c r="CB38">
        <v>0</v>
      </c>
      <c r="CC38">
        <v>0</v>
      </c>
      <c r="CD38">
        <v>0</v>
      </c>
      <c r="CE38">
        <v>0</v>
      </c>
      <c r="CF38">
        <v>0</v>
      </c>
      <c r="CG38">
        <v>0</v>
      </c>
      <c r="CH38">
        <v>0</v>
      </c>
      <c r="CI38">
        <v>0</v>
      </c>
      <c r="CJ38">
        <v>0</v>
      </c>
      <c r="CK38">
        <v>0</v>
      </c>
      <c r="CL38">
        <v>0</v>
      </c>
      <c r="CM38">
        <v>0</v>
      </c>
      <c r="CN38">
        <v>0</v>
      </c>
      <c r="CO38">
        <v>0</v>
      </c>
      <c r="CP38">
        <v>0</v>
      </c>
      <c r="CQ38">
        <v>0</v>
      </c>
      <c r="CR38">
        <v>0</v>
      </c>
      <c r="CS38">
        <v>0</v>
      </c>
      <c r="CT38">
        <v>0</v>
      </c>
      <c r="CU38">
        <v>0</v>
      </c>
      <c r="CV38">
        <v>220</v>
      </c>
      <c r="CW38">
        <v>0</v>
      </c>
      <c r="CX38">
        <v>0</v>
      </c>
      <c r="CY38">
        <v>0</v>
      </c>
      <c r="CZ38">
        <v>0</v>
      </c>
      <c r="DA38">
        <v>0</v>
      </c>
      <c r="DB38">
        <v>0</v>
      </c>
      <c r="DC38">
        <v>820</v>
      </c>
      <c r="DD38">
        <v>0</v>
      </c>
      <c r="DE38">
        <v>33</v>
      </c>
      <c r="DF38">
        <v>0</v>
      </c>
      <c r="DG38">
        <v>27</v>
      </c>
      <c r="DH38">
        <v>0</v>
      </c>
      <c r="DI38">
        <v>0</v>
      </c>
      <c r="DJ38">
        <v>69</v>
      </c>
      <c r="DK38">
        <v>4</v>
      </c>
      <c r="DL38">
        <v>60</v>
      </c>
      <c r="DM38">
        <v>0</v>
      </c>
      <c r="DN38">
        <v>-34</v>
      </c>
      <c r="DO38">
        <v>479</v>
      </c>
      <c r="DP38">
        <v>605</v>
      </c>
      <c r="DQ38">
        <v>0</v>
      </c>
      <c r="DR38">
        <v>16</v>
      </c>
      <c r="DS38">
        <v>0</v>
      </c>
      <c r="DT38">
        <v>328</v>
      </c>
      <c r="DU38">
        <v>9</v>
      </c>
      <c r="DV38">
        <v>45</v>
      </c>
      <c r="DW38">
        <v>0</v>
      </c>
      <c r="DX38">
        <v>1856</v>
      </c>
      <c r="DY38">
        <v>0</v>
      </c>
      <c r="DZ38">
        <v>0</v>
      </c>
      <c r="EA38">
        <v>0</v>
      </c>
      <c r="EB38">
        <v>0</v>
      </c>
      <c r="EC38">
        <v>0</v>
      </c>
      <c r="ED38">
        <v>0</v>
      </c>
      <c r="EE38">
        <v>0</v>
      </c>
      <c r="EF38">
        <v>0</v>
      </c>
      <c r="EG38">
        <v>0</v>
      </c>
      <c r="EH38">
        <v>0</v>
      </c>
      <c r="EI38">
        <v>0</v>
      </c>
      <c r="EJ38">
        <v>0</v>
      </c>
      <c r="EK38">
        <v>0</v>
      </c>
      <c r="EL38">
        <v>0</v>
      </c>
      <c r="EM38">
        <v>0</v>
      </c>
      <c r="EN38">
        <v>0</v>
      </c>
      <c r="EO38">
        <v>0</v>
      </c>
      <c r="EP38">
        <v>0</v>
      </c>
      <c r="EQ38">
        <v>0</v>
      </c>
      <c r="ER38">
        <v>0</v>
      </c>
      <c r="ES38">
        <v>0</v>
      </c>
      <c r="ET38">
        <v>0</v>
      </c>
      <c r="EU38">
        <v>0</v>
      </c>
      <c r="EV38">
        <v>148</v>
      </c>
      <c r="EW38">
        <v>10</v>
      </c>
      <c r="EX38">
        <v>191</v>
      </c>
      <c r="EY38">
        <v>0</v>
      </c>
      <c r="EZ38">
        <v>15</v>
      </c>
      <c r="FA38">
        <v>0</v>
      </c>
      <c r="FB38">
        <v>0</v>
      </c>
      <c r="FC38">
        <v>591</v>
      </c>
      <c r="FD38">
        <v>1200</v>
      </c>
      <c r="FE38">
        <v>1</v>
      </c>
      <c r="FF38">
        <v>0</v>
      </c>
      <c r="FG38">
        <v>0</v>
      </c>
      <c r="FH38">
        <v>2156</v>
      </c>
      <c r="FI38">
        <v>206</v>
      </c>
      <c r="FJ38">
        <v>0</v>
      </c>
      <c r="FK38">
        <v>0</v>
      </c>
      <c r="FL38">
        <v>232</v>
      </c>
      <c r="FM38">
        <v>599</v>
      </c>
      <c r="FN38">
        <v>63</v>
      </c>
      <c r="FO38">
        <v>0</v>
      </c>
      <c r="FP38">
        <v>0</v>
      </c>
      <c r="FQ38">
        <v>0</v>
      </c>
      <c r="FR38">
        <v>31</v>
      </c>
      <c r="FS38">
        <v>48</v>
      </c>
      <c r="FT38">
        <v>91</v>
      </c>
      <c r="FU38">
        <v>27</v>
      </c>
      <c r="FV38">
        <v>0</v>
      </c>
      <c r="FW38">
        <v>383</v>
      </c>
      <c r="FX38">
        <v>58</v>
      </c>
      <c r="FY38">
        <v>0</v>
      </c>
      <c r="FZ38">
        <v>0</v>
      </c>
      <c r="GA38">
        <v>0</v>
      </c>
      <c r="GB38">
        <v>0</v>
      </c>
      <c r="GC38">
        <v>0</v>
      </c>
      <c r="GD38">
        <v>1727</v>
      </c>
      <c r="GE38">
        <v>1809</v>
      </c>
      <c r="GF38">
        <v>0</v>
      </c>
      <c r="GG38">
        <v>-75</v>
      </c>
      <c r="GH38">
        <v>1638</v>
      </c>
      <c r="GI38">
        <v>0</v>
      </c>
      <c r="GJ38">
        <v>11</v>
      </c>
      <c r="GK38">
        <v>6848</v>
      </c>
      <c r="GL38">
        <v>152</v>
      </c>
      <c r="GM38">
        <v>1121</v>
      </c>
      <c r="GN38">
        <v>0</v>
      </c>
      <c r="GO38">
        <v>614</v>
      </c>
      <c r="GP38">
        <v>27</v>
      </c>
      <c r="GQ38">
        <v>1298</v>
      </c>
      <c r="GR38">
        <v>0</v>
      </c>
      <c r="GS38">
        <v>134</v>
      </c>
      <c r="GT38">
        <v>0</v>
      </c>
      <c r="GU38">
        <v>3346</v>
      </c>
      <c r="GV38">
        <v>12350</v>
      </c>
      <c r="GW38">
        <v>0</v>
      </c>
      <c r="GX38">
        <v>0</v>
      </c>
      <c r="GY38">
        <v>0</v>
      </c>
      <c r="GZ38">
        <v>0</v>
      </c>
      <c r="HA38">
        <v>0</v>
      </c>
      <c r="HB38">
        <v>3478</v>
      </c>
      <c r="HC38">
        <v>583</v>
      </c>
      <c r="HD38">
        <v>0</v>
      </c>
      <c r="HE38">
        <v>0</v>
      </c>
      <c r="HF38">
        <v>370</v>
      </c>
      <c r="HG38">
        <v>-56</v>
      </c>
      <c r="HH38">
        <v>0</v>
      </c>
      <c r="HI38">
        <v>0</v>
      </c>
      <c r="HJ38">
        <v>173</v>
      </c>
      <c r="HK38">
        <v>100</v>
      </c>
      <c r="HL38">
        <v>45</v>
      </c>
      <c r="HM38">
        <v>-38</v>
      </c>
      <c r="HN38">
        <v>0</v>
      </c>
      <c r="HO38">
        <v>259</v>
      </c>
      <c r="HP38">
        <v>0</v>
      </c>
      <c r="HQ38">
        <v>0</v>
      </c>
      <c r="HR38">
        <v>531</v>
      </c>
      <c r="HS38">
        <v>0</v>
      </c>
      <c r="HT38">
        <v>0</v>
      </c>
      <c r="HU38">
        <v>135</v>
      </c>
      <c r="HV38">
        <v>5580</v>
      </c>
      <c r="HW38">
        <v>11455</v>
      </c>
      <c r="HX38">
        <v>0</v>
      </c>
      <c r="HY38">
        <v>0</v>
      </c>
      <c r="HZ38">
        <v>37</v>
      </c>
      <c r="IA38">
        <v>666</v>
      </c>
      <c r="IB38">
        <v>-789</v>
      </c>
      <c r="IC38">
        <v>0</v>
      </c>
      <c r="ID38">
        <v>-189</v>
      </c>
      <c r="IE38">
        <v>0</v>
      </c>
      <c r="IF38">
        <v>0</v>
      </c>
      <c r="IG38">
        <v>220</v>
      </c>
      <c r="IH38">
        <v>1856</v>
      </c>
      <c r="II38">
        <v>2156</v>
      </c>
      <c r="IJ38">
        <v>6848</v>
      </c>
      <c r="IK38">
        <v>3346</v>
      </c>
      <c r="IL38">
        <v>0</v>
      </c>
      <c r="IM38">
        <v>0</v>
      </c>
      <c r="IN38">
        <v>5580</v>
      </c>
      <c r="IO38">
        <v>-789</v>
      </c>
      <c r="IP38">
        <v>19028</v>
      </c>
      <c r="IQ38">
        <v>24958</v>
      </c>
      <c r="IR38">
        <v>0</v>
      </c>
      <c r="IS38">
        <v>0</v>
      </c>
      <c r="IT38">
        <v>0</v>
      </c>
      <c r="IU38">
        <v>0</v>
      </c>
      <c r="IV38">
        <v>2519</v>
      </c>
      <c r="IW38">
        <v>0</v>
      </c>
      <c r="IX38">
        <v>0</v>
      </c>
      <c r="IY38">
        <v>0</v>
      </c>
      <c r="IZ38">
        <v>0</v>
      </c>
      <c r="JA38">
        <v>-2520</v>
      </c>
      <c r="JB38">
        <v>0</v>
      </c>
      <c r="JC38">
        <v>0</v>
      </c>
      <c r="JD38">
        <v>0</v>
      </c>
      <c r="JE38">
        <v>0</v>
      </c>
      <c r="JF38">
        <v>0</v>
      </c>
      <c r="JG38">
        <v>43985</v>
      </c>
      <c r="JH38">
        <v>0</v>
      </c>
      <c r="JI38">
        <v>84</v>
      </c>
      <c r="JJ38">
        <v>0</v>
      </c>
      <c r="JK38">
        <v>0</v>
      </c>
      <c r="JL38">
        <v>0</v>
      </c>
      <c r="JM38">
        <v>-5</v>
      </c>
      <c r="JN38">
        <v>507</v>
      </c>
      <c r="JO38">
        <v>255</v>
      </c>
      <c r="JP38">
        <v>282</v>
      </c>
      <c r="JQ38">
        <v>0</v>
      </c>
      <c r="JR38">
        <v>45108</v>
      </c>
      <c r="JS38">
        <v>-863</v>
      </c>
      <c r="JT38">
        <v>0</v>
      </c>
      <c r="JU38">
        <v>0</v>
      </c>
      <c r="JV38">
        <v>64</v>
      </c>
      <c r="JW38">
        <v>-24578</v>
      </c>
      <c r="JX38">
        <v>0</v>
      </c>
      <c r="JY38">
        <v>0</v>
      </c>
      <c r="JZ38">
        <v>0</v>
      </c>
      <c r="KA38">
        <v>0</v>
      </c>
      <c r="KB38">
        <v>0</v>
      </c>
      <c r="KC38">
        <v>19731</v>
      </c>
      <c r="KD38">
        <v>0</v>
      </c>
      <c r="KE38">
        <v>-4226</v>
      </c>
      <c r="KF38">
        <v>15505</v>
      </c>
      <c r="KG38">
        <v>0</v>
      </c>
      <c r="KH38">
        <v>0</v>
      </c>
      <c r="KI38">
        <v>0</v>
      </c>
      <c r="KJ38">
        <v>0</v>
      </c>
      <c r="KK38">
        <v>-542</v>
      </c>
      <c r="KL38">
        <v>58</v>
      </c>
      <c r="KM38">
        <v>0</v>
      </c>
      <c r="KN38">
        <v>0</v>
      </c>
      <c r="KO38">
        <v>-1350</v>
      </c>
      <c r="KP38">
        <v>-171</v>
      </c>
      <c r="KQ38">
        <v>0</v>
      </c>
      <c r="KR38">
        <v>12440</v>
      </c>
      <c r="KS38">
        <v>0</v>
      </c>
      <c r="KT38">
        <v>0</v>
      </c>
      <c r="KU38">
        <v>0</v>
      </c>
      <c r="KV38">
        <v>30842</v>
      </c>
      <c r="KW38">
        <v>5999</v>
      </c>
      <c r="KX38">
        <v>0</v>
      </c>
      <c r="KY38">
        <v>0</v>
      </c>
      <c r="KZ38">
        <v>0</v>
      </c>
      <c r="LA38">
        <v>30300</v>
      </c>
      <c r="LB38">
        <v>6057</v>
      </c>
      <c r="LC38">
        <v>0</v>
      </c>
      <c r="LD38">
        <v>3408</v>
      </c>
      <c r="LE38">
        <v>7244</v>
      </c>
      <c r="LF38">
        <v>0</v>
      </c>
      <c r="LG38">
        <v>-1132</v>
      </c>
      <c r="LH38">
        <v>3219</v>
      </c>
      <c r="LI38">
        <v>12739</v>
      </c>
      <c r="LJ38">
        <v>3716</v>
      </c>
      <c r="LK38">
        <v>3475</v>
      </c>
      <c r="LL38">
        <v>7191</v>
      </c>
      <c r="LM38">
        <v>0</v>
      </c>
      <c r="LN38">
        <v>0</v>
      </c>
      <c r="LO38">
        <v>0</v>
      </c>
      <c r="LP38">
        <v>0</v>
      </c>
      <c r="LQ38">
        <v>0</v>
      </c>
      <c r="LR38">
        <v>0</v>
      </c>
      <c r="LS38">
        <v>0</v>
      </c>
      <c r="LT38">
        <v>0</v>
      </c>
      <c r="LU38">
        <v>0</v>
      </c>
      <c r="LV38">
        <v>-189</v>
      </c>
      <c r="LW38">
        <v>0</v>
      </c>
      <c r="LX38">
        <v>0</v>
      </c>
      <c r="LY38">
        <v>220</v>
      </c>
      <c r="LZ38">
        <v>1856</v>
      </c>
      <c r="MA38">
        <v>2156</v>
      </c>
      <c r="MB38">
        <v>6848</v>
      </c>
      <c r="MC38">
        <v>3346</v>
      </c>
      <c r="MD38">
        <v>0</v>
      </c>
      <c r="ME38">
        <v>0</v>
      </c>
      <c r="MF38">
        <v>5580</v>
      </c>
      <c r="MG38">
        <v>-789</v>
      </c>
      <c r="MH38">
        <v>19028</v>
      </c>
      <c r="MI38">
        <v>0</v>
      </c>
      <c r="MJ38">
        <v>0</v>
      </c>
      <c r="MK38">
        <v>0</v>
      </c>
      <c r="ML38">
        <v>0</v>
      </c>
      <c r="MM38">
        <v>0</v>
      </c>
      <c r="MN38">
        <v>0</v>
      </c>
      <c r="MO38">
        <v>0</v>
      </c>
      <c r="MP38">
        <v>0</v>
      </c>
      <c r="MQ38">
        <v>0</v>
      </c>
      <c r="MR38">
        <v>0</v>
      </c>
      <c r="MS38">
        <v>0</v>
      </c>
      <c r="MT38">
        <v>0</v>
      </c>
      <c r="MU38">
        <v>0</v>
      </c>
      <c r="MV38">
        <v>0</v>
      </c>
      <c r="MW38">
        <v>0</v>
      </c>
      <c r="MX38">
        <v>-1278</v>
      </c>
      <c r="MY38">
        <v>-1242</v>
      </c>
      <c r="MZ38">
        <v>0</v>
      </c>
      <c r="NA38">
        <v>-2520</v>
      </c>
      <c r="NB38">
        <v>0</v>
      </c>
      <c r="NC38">
        <v>-2520</v>
      </c>
      <c r="ND38">
        <v>0</v>
      </c>
      <c r="NE38">
        <v>0</v>
      </c>
      <c r="NF38">
        <v>0</v>
      </c>
      <c r="NG38">
        <v>0</v>
      </c>
      <c r="NH38">
        <v>0</v>
      </c>
      <c r="NI38">
        <v>0</v>
      </c>
      <c r="NJ38">
        <v>0</v>
      </c>
      <c r="NK38">
        <v>0</v>
      </c>
      <c r="NL38">
        <v>0</v>
      </c>
      <c r="NM38">
        <v>0</v>
      </c>
      <c r="NN38">
        <v>0</v>
      </c>
      <c r="NO38">
        <v>0</v>
      </c>
      <c r="NP38">
        <v>0</v>
      </c>
      <c r="NQ38">
        <v>0</v>
      </c>
      <c r="NR38">
        <v>0</v>
      </c>
      <c r="NS38">
        <v>0</v>
      </c>
      <c r="NT38">
        <v>0</v>
      </c>
      <c r="NU38">
        <v>0</v>
      </c>
      <c r="NV38">
        <v>0</v>
      </c>
      <c r="NW38">
        <v>0</v>
      </c>
      <c r="NX38">
        <v>0</v>
      </c>
      <c r="NY38">
        <v>0</v>
      </c>
      <c r="NZ38">
        <v>0</v>
      </c>
      <c r="OA38">
        <v>0</v>
      </c>
      <c r="OB38">
        <v>0</v>
      </c>
      <c r="OC38">
        <v>0</v>
      </c>
      <c r="OD38">
        <v>0</v>
      </c>
      <c r="OE38">
        <v>0</v>
      </c>
      <c r="OF38">
        <v>0</v>
      </c>
      <c r="OG38">
        <v>0</v>
      </c>
      <c r="OH38">
        <v>0</v>
      </c>
      <c r="OI38">
        <v>0</v>
      </c>
      <c r="OJ38">
        <v>0</v>
      </c>
      <c r="OK38">
        <v>0</v>
      </c>
      <c r="OL38">
        <v>0</v>
      </c>
      <c r="OM38">
        <v>0</v>
      </c>
      <c r="ON38">
        <v>0</v>
      </c>
    </row>
    <row r="39" spans="1:404" hidden="1" x14ac:dyDescent="0.25">
      <c r="A39" t="s">
        <v>182</v>
      </c>
      <c r="B39" t="s">
        <v>183</v>
      </c>
      <c r="C39" t="s">
        <v>181</v>
      </c>
      <c r="E39" t="s">
        <v>61</v>
      </c>
      <c r="F39">
        <v>0</v>
      </c>
      <c r="G39">
        <v>0</v>
      </c>
      <c r="H39">
        <v>0</v>
      </c>
      <c r="I39">
        <v>0</v>
      </c>
      <c r="J39">
        <v>0</v>
      </c>
      <c r="K39">
        <v>0</v>
      </c>
      <c r="L39">
        <v>0</v>
      </c>
      <c r="M39">
        <v>0</v>
      </c>
      <c r="N39">
        <v>0</v>
      </c>
      <c r="O39">
        <v>0</v>
      </c>
      <c r="P39">
        <v>304</v>
      </c>
      <c r="Q39">
        <v>0</v>
      </c>
      <c r="R39">
        <v>0</v>
      </c>
      <c r="S39">
        <v>40</v>
      </c>
      <c r="T39">
        <v>0</v>
      </c>
      <c r="U39">
        <v>48</v>
      </c>
      <c r="V39">
        <v>0</v>
      </c>
      <c r="W39">
        <v>0</v>
      </c>
      <c r="X39">
        <v>0</v>
      </c>
      <c r="Y39">
        <v>0</v>
      </c>
      <c r="Z39">
        <v>0</v>
      </c>
      <c r="AA39">
        <v>264</v>
      </c>
      <c r="AB39">
        <v>0</v>
      </c>
      <c r="AC39">
        <v>26</v>
      </c>
      <c r="AD39">
        <v>0</v>
      </c>
      <c r="AE39">
        <v>0</v>
      </c>
      <c r="AF39">
        <v>0</v>
      </c>
      <c r="AG39">
        <v>0</v>
      </c>
      <c r="AH39">
        <v>0</v>
      </c>
      <c r="AI39">
        <v>681</v>
      </c>
      <c r="AJ39">
        <v>0</v>
      </c>
      <c r="AK39">
        <v>0</v>
      </c>
      <c r="AL39">
        <v>0</v>
      </c>
      <c r="AM39">
        <v>0</v>
      </c>
      <c r="AN39">
        <v>0</v>
      </c>
      <c r="AO39">
        <v>0</v>
      </c>
      <c r="AP39">
        <v>0</v>
      </c>
      <c r="AQ39">
        <v>0</v>
      </c>
      <c r="AR39">
        <v>0</v>
      </c>
      <c r="AS39">
        <v>0</v>
      </c>
      <c r="AT39">
        <v>0</v>
      </c>
      <c r="AU39">
        <v>0</v>
      </c>
      <c r="AV39">
        <v>0</v>
      </c>
      <c r="AW39">
        <v>0</v>
      </c>
      <c r="AX39">
        <v>0</v>
      </c>
      <c r="AY39">
        <v>0</v>
      </c>
      <c r="AZ39">
        <v>0</v>
      </c>
      <c r="BA39">
        <v>0</v>
      </c>
      <c r="BB39">
        <v>0</v>
      </c>
      <c r="BC39">
        <v>0</v>
      </c>
      <c r="BD39">
        <v>0</v>
      </c>
      <c r="BE39">
        <v>0</v>
      </c>
      <c r="BF39">
        <v>0</v>
      </c>
      <c r="BG39">
        <v>0</v>
      </c>
      <c r="BH39">
        <v>0</v>
      </c>
      <c r="BI39">
        <v>0</v>
      </c>
      <c r="BJ39">
        <v>0</v>
      </c>
      <c r="BK39">
        <v>0</v>
      </c>
      <c r="BL39">
        <v>0</v>
      </c>
      <c r="BM39">
        <v>0</v>
      </c>
      <c r="BN39">
        <v>0</v>
      </c>
      <c r="BO39">
        <v>0</v>
      </c>
      <c r="BP39">
        <v>0</v>
      </c>
      <c r="BQ39">
        <v>0</v>
      </c>
      <c r="BR39">
        <v>0</v>
      </c>
      <c r="BS39">
        <v>0</v>
      </c>
      <c r="BT39">
        <v>0</v>
      </c>
      <c r="BU39">
        <v>0</v>
      </c>
      <c r="BV39">
        <v>0</v>
      </c>
      <c r="BW39">
        <v>0</v>
      </c>
      <c r="BX39">
        <v>0</v>
      </c>
      <c r="BY39">
        <v>0</v>
      </c>
      <c r="BZ39">
        <v>0</v>
      </c>
      <c r="CA39">
        <v>0</v>
      </c>
      <c r="CB39">
        <v>0</v>
      </c>
      <c r="CC39">
        <v>0</v>
      </c>
      <c r="CD39">
        <v>0</v>
      </c>
      <c r="CE39">
        <v>0</v>
      </c>
      <c r="CF39">
        <v>0</v>
      </c>
      <c r="CG39">
        <v>0</v>
      </c>
      <c r="CH39">
        <v>0</v>
      </c>
      <c r="CI39">
        <v>0</v>
      </c>
      <c r="CJ39">
        <v>0</v>
      </c>
      <c r="CK39">
        <v>0</v>
      </c>
      <c r="CL39">
        <v>0</v>
      </c>
      <c r="CM39">
        <v>0</v>
      </c>
      <c r="CN39">
        <v>0</v>
      </c>
      <c r="CO39">
        <v>0</v>
      </c>
      <c r="CP39">
        <v>0</v>
      </c>
      <c r="CQ39">
        <v>0</v>
      </c>
      <c r="CR39">
        <v>0</v>
      </c>
      <c r="CS39">
        <v>0</v>
      </c>
      <c r="CT39">
        <v>0</v>
      </c>
      <c r="CU39">
        <v>0</v>
      </c>
      <c r="CV39">
        <v>0</v>
      </c>
      <c r="CW39">
        <v>0</v>
      </c>
      <c r="CX39">
        <v>0</v>
      </c>
      <c r="CY39">
        <v>0</v>
      </c>
      <c r="CZ39">
        <v>0</v>
      </c>
      <c r="DA39">
        <v>0</v>
      </c>
      <c r="DB39">
        <v>0</v>
      </c>
      <c r="DC39">
        <v>432</v>
      </c>
      <c r="DD39">
        <v>0</v>
      </c>
      <c r="DE39">
        <v>112</v>
      </c>
      <c r="DF39">
        <v>0</v>
      </c>
      <c r="DG39">
        <v>0</v>
      </c>
      <c r="DH39">
        <v>0</v>
      </c>
      <c r="DI39">
        <v>19</v>
      </c>
      <c r="DJ39">
        <v>0</v>
      </c>
      <c r="DK39">
        <v>0</v>
      </c>
      <c r="DL39">
        <v>244</v>
      </c>
      <c r="DM39">
        <v>0</v>
      </c>
      <c r="DN39">
        <v>1354</v>
      </c>
      <c r="DO39">
        <v>0</v>
      </c>
      <c r="DP39">
        <v>1617</v>
      </c>
      <c r="DQ39">
        <v>0</v>
      </c>
      <c r="DR39">
        <v>0</v>
      </c>
      <c r="DS39">
        <v>0</v>
      </c>
      <c r="DT39">
        <v>1285</v>
      </c>
      <c r="DU39">
        <v>15</v>
      </c>
      <c r="DV39">
        <v>0</v>
      </c>
      <c r="DW39">
        <v>0</v>
      </c>
      <c r="DX39">
        <v>3462</v>
      </c>
      <c r="DY39">
        <v>0</v>
      </c>
      <c r="DZ39">
        <v>0</v>
      </c>
      <c r="EA39">
        <v>0</v>
      </c>
      <c r="EB39">
        <v>0</v>
      </c>
      <c r="EC39">
        <v>0</v>
      </c>
      <c r="ED39">
        <v>0</v>
      </c>
      <c r="EE39">
        <v>0</v>
      </c>
      <c r="EF39">
        <v>0</v>
      </c>
      <c r="EG39">
        <v>0</v>
      </c>
      <c r="EH39">
        <v>0</v>
      </c>
      <c r="EI39">
        <v>0</v>
      </c>
      <c r="EJ39">
        <v>0</v>
      </c>
      <c r="EK39">
        <v>0</v>
      </c>
      <c r="EL39">
        <v>0</v>
      </c>
      <c r="EM39">
        <v>0</v>
      </c>
      <c r="EN39">
        <v>0</v>
      </c>
      <c r="EO39">
        <v>0</v>
      </c>
      <c r="EP39">
        <v>0</v>
      </c>
      <c r="EQ39">
        <v>0</v>
      </c>
      <c r="ER39">
        <v>0</v>
      </c>
      <c r="ES39">
        <v>0</v>
      </c>
      <c r="ET39">
        <v>0</v>
      </c>
      <c r="EU39">
        <v>0</v>
      </c>
      <c r="EV39">
        <v>60</v>
      </c>
      <c r="EW39">
        <v>0</v>
      </c>
      <c r="EX39">
        <v>0</v>
      </c>
      <c r="EY39">
        <v>0</v>
      </c>
      <c r="EZ39">
        <v>0</v>
      </c>
      <c r="FA39">
        <v>0</v>
      </c>
      <c r="FB39">
        <v>87</v>
      </c>
      <c r="FC39">
        <v>3556</v>
      </c>
      <c r="FD39">
        <v>715</v>
      </c>
      <c r="FE39">
        <v>0</v>
      </c>
      <c r="FF39">
        <v>0</v>
      </c>
      <c r="FG39">
        <v>0</v>
      </c>
      <c r="FH39">
        <v>4417</v>
      </c>
      <c r="FI39">
        <v>0</v>
      </c>
      <c r="FJ39">
        <v>0</v>
      </c>
      <c r="FK39">
        <v>3</v>
      </c>
      <c r="FL39">
        <v>339</v>
      </c>
      <c r="FM39">
        <v>17</v>
      </c>
      <c r="FN39">
        <v>0</v>
      </c>
      <c r="FO39">
        <v>137</v>
      </c>
      <c r="FP39">
        <v>0</v>
      </c>
      <c r="FQ39">
        <v>0</v>
      </c>
      <c r="FR39">
        <v>0</v>
      </c>
      <c r="FS39">
        <v>0</v>
      </c>
      <c r="FT39">
        <v>1055</v>
      </c>
      <c r="FU39">
        <v>80</v>
      </c>
      <c r="FV39">
        <v>0</v>
      </c>
      <c r="FW39">
        <v>169</v>
      </c>
      <c r="FX39">
        <v>210</v>
      </c>
      <c r="FY39">
        <v>5</v>
      </c>
      <c r="FZ39">
        <v>0</v>
      </c>
      <c r="GA39">
        <v>77</v>
      </c>
      <c r="GB39">
        <v>0</v>
      </c>
      <c r="GC39">
        <v>0</v>
      </c>
      <c r="GD39">
        <v>934</v>
      </c>
      <c r="GE39">
        <v>1213</v>
      </c>
      <c r="GF39">
        <v>0</v>
      </c>
      <c r="GG39">
        <v>15</v>
      </c>
      <c r="GH39">
        <v>-186</v>
      </c>
      <c r="GI39">
        <v>0</v>
      </c>
      <c r="GJ39">
        <v>0</v>
      </c>
      <c r="GK39">
        <v>4067</v>
      </c>
      <c r="GL39">
        <v>23</v>
      </c>
      <c r="GM39">
        <v>822</v>
      </c>
      <c r="GN39">
        <v>59</v>
      </c>
      <c r="GO39">
        <v>357</v>
      </c>
      <c r="GP39">
        <v>0</v>
      </c>
      <c r="GQ39">
        <v>4973</v>
      </c>
      <c r="GR39">
        <v>0</v>
      </c>
      <c r="GS39">
        <v>0</v>
      </c>
      <c r="GT39">
        <v>638</v>
      </c>
      <c r="GU39">
        <v>6873</v>
      </c>
      <c r="GV39">
        <v>15357</v>
      </c>
      <c r="GW39">
        <v>0</v>
      </c>
      <c r="GX39">
        <v>0</v>
      </c>
      <c r="GY39">
        <v>0</v>
      </c>
      <c r="GZ39">
        <v>0</v>
      </c>
      <c r="HA39">
        <v>0</v>
      </c>
      <c r="HB39">
        <v>2905</v>
      </c>
      <c r="HC39">
        <v>1689</v>
      </c>
      <c r="HD39">
        <v>0</v>
      </c>
      <c r="HE39">
        <v>0</v>
      </c>
      <c r="HF39">
        <v>0</v>
      </c>
      <c r="HG39">
        <v>-335</v>
      </c>
      <c r="HH39">
        <v>0</v>
      </c>
      <c r="HI39">
        <v>0</v>
      </c>
      <c r="HJ39">
        <v>247</v>
      </c>
      <c r="HK39">
        <v>242</v>
      </c>
      <c r="HL39">
        <v>93</v>
      </c>
      <c r="HM39">
        <v>10</v>
      </c>
      <c r="HN39">
        <v>0</v>
      </c>
      <c r="HO39">
        <v>0</v>
      </c>
      <c r="HP39">
        <v>0</v>
      </c>
      <c r="HQ39">
        <v>0</v>
      </c>
      <c r="HR39">
        <v>1341</v>
      </c>
      <c r="HS39">
        <v>0</v>
      </c>
      <c r="HT39">
        <v>0</v>
      </c>
      <c r="HU39">
        <v>0</v>
      </c>
      <c r="HV39">
        <v>6190</v>
      </c>
      <c r="HW39">
        <v>0</v>
      </c>
      <c r="HX39">
        <v>0</v>
      </c>
      <c r="HY39">
        <v>0</v>
      </c>
      <c r="HZ39">
        <v>0</v>
      </c>
      <c r="IA39">
        <v>0</v>
      </c>
      <c r="IB39">
        <v>497</v>
      </c>
      <c r="IC39">
        <v>0</v>
      </c>
      <c r="ID39">
        <v>681</v>
      </c>
      <c r="IE39">
        <v>0</v>
      </c>
      <c r="IF39">
        <v>0</v>
      </c>
      <c r="IG39">
        <v>0</v>
      </c>
      <c r="IH39">
        <v>3462</v>
      </c>
      <c r="II39">
        <v>4417</v>
      </c>
      <c r="IJ39">
        <v>4067</v>
      </c>
      <c r="IK39">
        <v>6873</v>
      </c>
      <c r="IL39">
        <v>0</v>
      </c>
      <c r="IM39">
        <v>0</v>
      </c>
      <c r="IN39">
        <v>6190</v>
      </c>
      <c r="IO39">
        <v>497</v>
      </c>
      <c r="IP39">
        <v>26187</v>
      </c>
      <c r="IQ39">
        <v>22029</v>
      </c>
      <c r="IR39">
        <v>518</v>
      </c>
      <c r="IS39">
        <v>0</v>
      </c>
      <c r="IT39">
        <v>0</v>
      </c>
      <c r="IU39">
        <v>0</v>
      </c>
      <c r="IV39">
        <v>4320</v>
      </c>
      <c r="IW39">
        <v>0</v>
      </c>
      <c r="IX39">
        <v>0</v>
      </c>
      <c r="IY39">
        <v>0</v>
      </c>
      <c r="IZ39">
        <v>0</v>
      </c>
      <c r="JA39">
        <v>-4393</v>
      </c>
      <c r="JB39">
        <v>-959</v>
      </c>
      <c r="JC39">
        <v>2229</v>
      </c>
      <c r="JD39">
        <v>-157</v>
      </c>
      <c r="JE39">
        <v>8</v>
      </c>
      <c r="JF39">
        <v>0</v>
      </c>
      <c r="JG39">
        <v>49782</v>
      </c>
      <c r="JH39">
        <v>0</v>
      </c>
      <c r="JI39">
        <v>1175</v>
      </c>
      <c r="JJ39">
        <v>0</v>
      </c>
      <c r="JK39">
        <v>0</v>
      </c>
      <c r="JL39">
        <v>0</v>
      </c>
      <c r="JM39">
        <v>0</v>
      </c>
      <c r="JN39">
        <v>0</v>
      </c>
      <c r="JO39">
        <v>0</v>
      </c>
      <c r="JP39">
        <v>0</v>
      </c>
      <c r="JQ39">
        <v>0</v>
      </c>
      <c r="JR39">
        <v>50957</v>
      </c>
      <c r="JS39">
        <v>-696</v>
      </c>
      <c r="JT39">
        <v>0</v>
      </c>
      <c r="JU39">
        <v>0</v>
      </c>
      <c r="JV39">
        <v>0</v>
      </c>
      <c r="JW39">
        <v>-21003</v>
      </c>
      <c r="JX39">
        <v>0</v>
      </c>
      <c r="JY39">
        <v>0</v>
      </c>
      <c r="JZ39">
        <v>0</v>
      </c>
      <c r="KA39">
        <v>0</v>
      </c>
      <c r="KB39">
        <v>0</v>
      </c>
      <c r="KC39">
        <v>29259</v>
      </c>
      <c r="KD39">
        <v>0</v>
      </c>
      <c r="KE39">
        <v>-9594</v>
      </c>
      <c r="KF39">
        <v>19665</v>
      </c>
      <c r="KG39">
        <v>0</v>
      </c>
      <c r="KH39">
        <v>0</v>
      </c>
      <c r="KI39">
        <v>0</v>
      </c>
      <c r="KJ39">
        <v>0</v>
      </c>
      <c r="KK39">
        <v>-3269</v>
      </c>
      <c r="KL39">
        <v>-28</v>
      </c>
      <c r="KM39">
        <v>-660</v>
      </c>
      <c r="KN39">
        <v>0</v>
      </c>
      <c r="KO39">
        <v>-2318</v>
      </c>
      <c r="KP39">
        <v>46</v>
      </c>
      <c r="KQ39">
        <v>0</v>
      </c>
      <c r="KR39">
        <v>8785</v>
      </c>
      <c r="KS39">
        <v>0</v>
      </c>
      <c r="KT39">
        <v>0</v>
      </c>
      <c r="KU39">
        <v>0</v>
      </c>
      <c r="KV39">
        <v>25234</v>
      </c>
      <c r="KW39">
        <v>2849</v>
      </c>
      <c r="KX39">
        <v>0</v>
      </c>
      <c r="KY39">
        <v>0</v>
      </c>
      <c r="KZ39">
        <v>0</v>
      </c>
      <c r="LA39">
        <v>21965</v>
      </c>
      <c r="LB39">
        <v>2821</v>
      </c>
      <c r="LC39">
        <v>0</v>
      </c>
      <c r="LD39">
        <v>1135</v>
      </c>
      <c r="LE39">
        <v>0</v>
      </c>
      <c r="LF39">
        <v>674</v>
      </c>
      <c r="LG39">
        <v>-2993</v>
      </c>
      <c r="LH39">
        <v>0</v>
      </c>
      <c r="LI39">
        <v>-1184</v>
      </c>
      <c r="LJ39">
        <v>4224</v>
      </c>
      <c r="LK39">
        <v>4410</v>
      </c>
      <c r="LL39">
        <v>8634</v>
      </c>
      <c r="LM39">
        <v>0</v>
      </c>
      <c r="LN39">
        <v>0</v>
      </c>
      <c r="LO39">
        <v>0</v>
      </c>
      <c r="LP39">
        <v>0</v>
      </c>
      <c r="LQ39">
        <v>0</v>
      </c>
      <c r="LR39">
        <v>0</v>
      </c>
      <c r="LS39">
        <v>0</v>
      </c>
      <c r="LT39">
        <v>0</v>
      </c>
      <c r="LU39">
        <v>0</v>
      </c>
      <c r="LV39">
        <v>681</v>
      </c>
      <c r="LW39">
        <v>0</v>
      </c>
      <c r="LX39">
        <v>0</v>
      </c>
      <c r="LY39">
        <v>0</v>
      </c>
      <c r="LZ39">
        <v>3462</v>
      </c>
      <c r="MA39">
        <v>4417</v>
      </c>
      <c r="MB39">
        <v>4067</v>
      </c>
      <c r="MC39">
        <v>6873</v>
      </c>
      <c r="MD39">
        <v>0</v>
      </c>
      <c r="ME39">
        <v>0</v>
      </c>
      <c r="MF39">
        <v>6190</v>
      </c>
      <c r="MG39">
        <v>497</v>
      </c>
      <c r="MH39">
        <v>26187</v>
      </c>
      <c r="MI39">
        <v>0</v>
      </c>
      <c r="MJ39">
        <v>0</v>
      </c>
      <c r="MK39">
        <v>0</v>
      </c>
      <c r="ML39">
        <v>0</v>
      </c>
      <c r="MM39">
        <v>0</v>
      </c>
      <c r="MN39">
        <v>0</v>
      </c>
      <c r="MO39">
        <v>0</v>
      </c>
      <c r="MP39">
        <v>0</v>
      </c>
      <c r="MQ39">
        <v>0</v>
      </c>
      <c r="MR39">
        <v>0</v>
      </c>
      <c r="MS39">
        <v>0</v>
      </c>
      <c r="MT39">
        <v>0</v>
      </c>
      <c r="MU39">
        <v>0</v>
      </c>
      <c r="MV39">
        <v>0</v>
      </c>
      <c r="MW39">
        <v>0</v>
      </c>
      <c r="MX39">
        <v>-2105</v>
      </c>
      <c r="MY39">
        <v>-163</v>
      </c>
      <c r="MZ39">
        <v>0</v>
      </c>
      <c r="NA39">
        <v>-2163</v>
      </c>
      <c r="NB39">
        <v>-2229</v>
      </c>
      <c r="NC39">
        <v>-4393</v>
      </c>
      <c r="ND39">
        <v>0</v>
      </c>
      <c r="NE39">
        <v>0</v>
      </c>
      <c r="NF39">
        <v>0</v>
      </c>
      <c r="NG39">
        <v>0</v>
      </c>
      <c r="NH39">
        <v>0</v>
      </c>
      <c r="NI39">
        <v>0</v>
      </c>
      <c r="NJ39">
        <v>0</v>
      </c>
      <c r="NK39">
        <v>0</v>
      </c>
      <c r="NL39">
        <v>0</v>
      </c>
      <c r="NM39">
        <v>0</v>
      </c>
      <c r="NN39">
        <v>0</v>
      </c>
      <c r="NO39">
        <v>0</v>
      </c>
      <c r="NP39">
        <v>0</v>
      </c>
      <c r="NQ39">
        <v>0</v>
      </c>
      <c r="NR39">
        <v>0</v>
      </c>
      <c r="NS39">
        <v>0</v>
      </c>
      <c r="NT39">
        <v>0</v>
      </c>
      <c r="NU39">
        <v>-667</v>
      </c>
      <c r="NV39">
        <v>-175</v>
      </c>
      <c r="NW39">
        <v>-48</v>
      </c>
      <c r="NX39">
        <v>-31</v>
      </c>
      <c r="NY39">
        <v>-44</v>
      </c>
      <c r="NZ39">
        <v>-1116</v>
      </c>
      <c r="OA39">
        <v>157</v>
      </c>
      <c r="OB39">
        <v>-959</v>
      </c>
      <c r="OC39">
        <v>61</v>
      </c>
      <c r="OD39">
        <v>0</v>
      </c>
      <c r="OE39">
        <v>-2290</v>
      </c>
      <c r="OF39">
        <v>0</v>
      </c>
      <c r="OG39">
        <v>0</v>
      </c>
      <c r="OH39">
        <v>-2229</v>
      </c>
      <c r="OI39">
        <v>157</v>
      </c>
      <c r="OJ39">
        <v>0</v>
      </c>
      <c r="OK39">
        <v>0</v>
      </c>
      <c r="OL39">
        <v>0</v>
      </c>
      <c r="OM39">
        <v>0</v>
      </c>
      <c r="ON39">
        <v>157</v>
      </c>
    </row>
    <row r="40" spans="1:404" hidden="1" x14ac:dyDescent="0.25">
      <c r="A40" t="s">
        <v>185</v>
      </c>
      <c r="B40" t="s">
        <v>186</v>
      </c>
      <c r="C40" t="s">
        <v>184</v>
      </c>
      <c r="E40" t="s">
        <v>1940</v>
      </c>
      <c r="F40">
        <v>24341</v>
      </c>
      <c r="G40">
        <v>115601</v>
      </c>
      <c r="H40">
        <v>22844</v>
      </c>
      <c r="I40">
        <v>43120</v>
      </c>
      <c r="J40">
        <v>3808</v>
      </c>
      <c r="K40">
        <v>28346</v>
      </c>
      <c r="L40">
        <v>238060</v>
      </c>
      <c r="M40">
        <v>329</v>
      </c>
      <c r="N40">
        <v>1678</v>
      </c>
      <c r="O40">
        <v>23</v>
      </c>
      <c r="P40">
        <v>1699</v>
      </c>
      <c r="Q40">
        <v>37</v>
      </c>
      <c r="R40">
        <v>1098</v>
      </c>
      <c r="S40">
        <v>800</v>
      </c>
      <c r="T40">
        <v>361</v>
      </c>
      <c r="U40">
        <v>2363</v>
      </c>
      <c r="V40">
        <v>0</v>
      </c>
      <c r="W40">
        <v>-98</v>
      </c>
      <c r="X40">
        <v>412</v>
      </c>
      <c r="Y40">
        <v>68</v>
      </c>
      <c r="Z40">
        <v>-11078</v>
      </c>
      <c r="AA40">
        <v>-380</v>
      </c>
      <c r="AB40">
        <v>14001</v>
      </c>
      <c r="AC40">
        <v>0</v>
      </c>
      <c r="AD40">
        <v>0</v>
      </c>
      <c r="AE40">
        <v>0</v>
      </c>
      <c r="AF40">
        <v>0</v>
      </c>
      <c r="AG40">
        <v>10</v>
      </c>
      <c r="AH40">
        <v>0</v>
      </c>
      <c r="AI40">
        <v>11323</v>
      </c>
      <c r="AJ40">
        <v>0</v>
      </c>
      <c r="AK40">
        <v>0</v>
      </c>
      <c r="AL40">
        <v>0</v>
      </c>
      <c r="AM40">
        <v>0</v>
      </c>
      <c r="AN40">
        <v>0</v>
      </c>
      <c r="AO40">
        <v>0</v>
      </c>
      <c r="AP40">
        <v>0</v>
      </c>
      <c r="AQ40">
        <v>9673</v>
      </c>
      <c r="AR40">
        <v>10066</v>
      </c>
      <c r="AS40">
        <v>0</v>
      </c>
      <c r="AT40">
        <v>0</v>
      </c>
      <c r="AU40">
        <v>0</v>
      </c>
      <c r="AV40">
        <v>3480</v>
      </c>
      <c r="AW40">
        <v>33840</v>
      </c>
      <c r="AX40">
        <v>943</v>
      </c>
      <c r="AY40">
        <v>17752</v>
      </c>
      <c r="AZ40">
        <v>3536</v>
      </c>
      <c r="BA40">
        <v>21108</v>
      </c>
      <c r="BB40">
        <v>425</v>
      </c>
      <c r="BC40">
        <v>2428</v>
      </c>
      <c r="BD40">
        <v>83512</v>
      </c>
      <c r="BE40">
        <v>7322</v>
      </c>
      <c r="BF40">
        <v>27465</v>
      </c>
      <c r="BG40">
        <v>121</v>
      </c>
      <c r="BH40">
        <v>300</v>
      </c>
      <c r="BI40">
        <v>103</v>
      </c>
      <c r="BJ40">
        <v>3243</v>
      </c>
      <c r="BK40">
        <v>19876</v>
      </c>
      <c r="BL40">
        <v>1656</v>
      </c>
      <c r="BM40">
        <v>5139</v>
      </c>
      <c r="BN40">
        <v>1428</v>
      </c>
      <c r="BO40">
        <v>0</v>
      </c>
      <c r="BP40">
        <v>0</v>
      </c>
      <c r="BQ40">
        <v>8</v>
      </c>
      <c r="BR40">
        <v>65</v>
      </c>
      <c r="BS40">
        <v>1722</v>
      </c>
      <c r="BT40">
        <v>15214</v>
      </c>
      <c r="BU40">
        <v>1109</v>
      </c>
      <c r="BV40">
        <v>9313</v>
      </c>
      <c r="BW40">
        <v>94084</v>
      </c>
      <c r="BX40">
        <v>3353</v>
      </c>
      <c r="BY40">
        <v>690</v>
      </c>
      <c r="BZ40">
        <v>510</v>
      </c>
      <c r="CA40">
        <v>50</v>
      </c>
      <c r="CB40">
        <v>987</v>
      </c>
      <c r="CC40">
        <v>107</v>
      </c>
      <c r="CD40">
        <v>450</v>
      </c>
      <c r="CE40">
        <v>141</v>
      </c>
      <c r="CF40">
        <v>-51</v>
      </c>
      <c r="CG40">
        <v>158</v>
      </c>
      <c r="CH40">
        <v>50</v>
      </c>
      <c r="CI40">
        <v>3294</v>
      </c>
      <c r="CJ40">
        <v>1252</v>
      </c>
      <c r="CK40">
        <v>0</v>
      </c>
      <c r="CL40">
        <v>0</v>
      </c>
      <c r="CM40">
        <v>530</v>
      </c>
      <c r="CN40">
        <v>99</v>
      </c>
      <c r="CO40">
        <v>50</v>
      </c>
      <c r="CP40">
        <v>1442</v>
      </c>
      <c r="CQ40">
        <v>3173</v>
      </c>
      <c r="CR40">
        <v>3239</v>
      </c>
      <c r="CS40">
        <v>55</v>
      </c>
      <c r="CT40">
        <v>550</v>
      </c>
      <c r="CU40">
        <v>2744</v>
      </c>
      <c r="CV40">
        <v>24307</v>
      </c>
      <c r="CW40">
        <v>0</v>
      </c>
      <c r="CX40">
        <v>0</v>
      </c>
      <c r="CY40">
        <v>0</v>
      </c>
      <c r="CZ40">
        <v>0</v>
      </c>
      <c r="DA40">
        <v>0</v>
      </c>
      <c r="DB40">
        <v>0</v>
      </c>
      <c r="DC40">
        <v>0</v>
      </c>
      <c r="DD40">
        <v>0</v>
      </c>
      <c r="DE40">
        <v>0</v>
      </c>
      <c r="DF40">
        <v>2492</v>
      </c>
      <c r="DG40">
        <v>1183</v>
      </c>
      <c r="DH40">
        <v>977</v>
      </c>
      <c r="DI40">
        <v>0</v>
      </c>
      <c r="DJ40">
        <v>8002</v>
      </c>
      <c r="DK40">
        <v>2926</v>
      </c>
      <c r="DL40">
        <v>377</v>
      </c>
      <c r="DM40">
        <v>6235</v>
      </c>
      <c r="DN40">
        <v>0</v>
      </c>
      <c r="DO40">
        <v>2940</v>
      </c>
      <c r="DP40">
        <v>22640</v>
      </c>
      <c r="DQ40">
        <v>761</v>
      </c>
      <c r="DR40">
        <v>761</v>
      </c>
      <c r="DS40">
        <v>761</v>
      </c>
      <c r="DT40">
        <v>1847</v>
      </c>
      <c r="DU40">
        <v>0</v>
      </c>
      <c r="DV40">
        <v>0</v>
      </c>
      <c r="DW40">
        <v>0</v>
      </c>
      <c r="DX40">
        <v>29262</v>
      </c>
      <c r="DY40">
        <v>47678</v>
      </c>
      <c r="DZ40">
        <v>331</v>
      </c>
      <c r="EA40">
        <v>6204</v>
      </c>
      <c r="EB40">
        <v>1692</v>
      </c>
      <c r="EC40">
        <v>0</v>
      </c>
      <c r="ED40">
        <v>50</v>
      </c>
      <c r="EE40">
        <v>0</v>
      </c>
      <c r="EF40">
        <v>0</v>
      </c>
      <c r="EG40">
        <v>0</v>
      </c>
      <c r="EH40">
        <v>20373</v>
      </c>
      <c r="EI40">
        <v>10676</v>
      </c>
      <c r="EJ40">
        <v>4884</v>
      </c>
      <c r="EK40">
        <v>2285</v>
      </c>
      <c r="EL40">
        <v>7416</v>
      </c>
      <c r="EM40">
        <v>10647</v>
      </c>
      <c r="EN40">
        <v>0</v>
      </c>
      <c r="EO40">
        <v>0</v>
      </c>
      <c r="EP40">
        <v>0</v>
      </c>
      <c r="EQ40">
        <v>0</v>
      </c>
      <c r="ER40">
        <v>320</v>
      </c>
      <c r="ES40">
        <v>3000</v>
      </c>
      <c r="ET40">
        <v>2354</v>
      </c>
      <c r="EU40">
        <v>0</v>
      </c>
      <c r="EV40">
        <v>0</v>
      </c>
      <c r="EW40">
        <v>666</v>
      </c>
      <c r="EX40">
        <v>0</v>
      </c>
      <c r="EY40">
        <v>-52</v>
      </c>
      <c r="EZ40">
        <v>0</v>
      </c>
      <c r="FA40">
        <v>0</v>
      </c>
      <c r="FB40">
        <v>0</v>
      </c>
      <c r="FC40">
        <v>3990</v>
      </c>
      <c r="FD40">
        <v>2995</v>
      </c>
      <c r="FE40">
        <v>-28</v>
      </c>
      <c r="FF40">
        <v>0</v>
      </c>
      <c r="FG40">
        <v>4543</v>
      </c>
      <c r="FH40">
        <v>12114</v>
      </c>
      <c r="FI40">
        <v>598</v>
      </c>
      <c r="FJ40">
        <v>359</v>
      </c>
      <c r="FK40">
        <v>0</v>
      </c>
      <c r="FL40">
        <v>339</v>
      </c>
      <c r="FM40">
        <v>2039</v>
      </c>
      <c r="FN40">
        <v>0</v>
      </c>
      <c r="FO40">
        <v>170</v>
      </c>
      <c r="FP40">
        <v>0</v>
      </c>
      <c r="FQ40">
        <v>0</v>
      </c>
      <c r="FR40">
        <v>211</v>
      </c>
      <c r="FS40">
        <v>0</v>
      </c>
      <c r="FT40">
        <v>33</v>
      </c>
      <c r="FU40">
        <v>-76</v>
      </c>
      <c r="FV40">
        <v>2414</v>
      </c>
      <c r="FW40">
        <v>869</v>
      </c>
      <c r="FX40">
        <v>696</v>
      </c>
      <c r="FY40">
        <v>0</v>
      </c>
      <c r="FZ40">
        <v>0</v>
      </c>
      <c r="GA40">
        <v>0</v>
      </c>
      <c r="GB40">
        <v>0</v>
      </c>
      <c r="GC40">
        <v>0</v>
      </c>
      <c r="GD40">
        <v>6936</v>
      </c>
      <c r="GE40">
        <v>5093</v>
      </c>
      <c r="GF40">
        <v>10011</v>
      </c>
      <c r="GG40">
        <v>542</v>
      </c>
      <c r="GH40">
        <v>4156</v>
      </c>
      <c r="GI40">
        <v>361</v>
      </c>
      <c r="GJ40">
        <v>0</v>
      </c>
      <c r="GK40">
        <v>34751</v>
      </c>
      <c r="GL40">
        <v>189</v>
      </c>
      <c r="GM40">
        <v>1851</v>
      </c>
      <c r="GN40">
        <v>0</v>
      </c>
      <c r="GO40">
        <v>1813</v>
      </c>
      <c r="GP40">
        <v>0</v>
      </c>
      <c r="GQ40">
        <v>2344</v>
      </c>
      <c r="GR40">
        <v>0</v>
      </c>
      <c r="GS40">
        <v>458</v>
      </c>
      <c r="GT40">
        <v>1921</v>
      </c>
      <c r="GU40">
        <v>8576</v>
      </c>
      <c r="GV40">
        <v>55441</v>
      </c>
      <c r="GW40">
        <v>0</v>
      </c>
      <c r="GX40">
        <v>0</v>
      </c>
      <c r="GY40">
        <v>0</v>
      </c>
      <c r="GZ40">
        <v>0</v>
      </c>
      <c r="HA40">
        <v>0</v>
      </c>
      <c r="HB40">
        <v>2691</v>
      </c>
      <c r="HC40">
        <v>2104</v>
      </c>
      <c r="HD40">
        <v>0</v>
      </c>
      <c r="HE40">
        <v>0</v>
      </c>
      <c r="HF40">
        <v>0</v>
      </c>
      <c r="HG40">
        <v>353</v>
      </c>
      <c r="HH40">
        <v>0</v>
      </c>
      <c r="HI40">
        <v>-47</v>
      </c>
      <c r="HJ40">
        <v>829</v>
      </c>
      <c r="HK40">
        <v>386</v>
      </c>
      <c r="HL40">
        <v>272</v>
      </c>
      <c r="HM40">
        <v>-546</v>
      </c>
      <c r="HN40">
        <v>0</v>
      </c>
      <c r="HO40">
        <v>16025</v>
      </c>
      <c r="HP40">
        <v>0</v>
      </c>
      <c r="HQ40">
        <v>0</v>
      </c>
      <c r="HR40">
        <v>3800</v>
      </c>
      <c r="HS40">
        <v>0</v>
      </c>
      <c r="HT40">
        <v>0</v>
      </c>
      <c r="HU40">
        <v>0</v>
      </c>
      <c r="HV40">
        <v>25867</v>
      </c>
      <c r="HW40">
        <v>0</v>
      </c>
      <c r="HX40">
        <v>0</v>
      </c>
      <c r="HY40">
        <v>0</v>
      </c>
      <c r="HZ40">
        <v>0</v>
      </c>
      <c r="IA40">
        <v>0</v>
      </c>
      <c r="IB40">
        <v>0</v>
      </c>
      <c r="IC40">
        <v>238060</v>
      </c>
      <c r="ID40">
        <v>11323</v>
      </c>
      <c r="IE40">
        <v>83512</v>
      </c>
      <c r="IF40">
        <v>94084</v>
      </c>
      <c r="IG40">
        <v>24307</v>
      </c>
      <c r="IH40">
        <v>29262</v>
      </c>
      <c r="II40">
        <v>12114</v>
      </c>
      <c r="IJ40">
        <v>34751</v>
      </c>
      <c r="IK40">
        <v>8576</v>
      </c>
      <c r="IL40">
        <v>0</v>
      </c>
      <c r="IM40">
        <v>0</v>
      </c>
      <c r="IN40">
        <v>25867</v>
      </c>
      <c r="IO40">
        <v>0</v>
      </c>
      <c r="IP40">
        <v>561856</v>
      </c>
      <c r="IQ40">
        <v>209708</v>
      </c>
      <c r="IR40">
        <v>10685</v>
      </c>
      <c r="IS40">
        <v>20243</v>
      </c>
      <c r="IT40">
        <v>0</v>
      </c>
      <c r="IU40">
        <v>0</v>
      </c>
      <c r="IV40">
        <v>0</v>
      </c>
      <c r="IW40">
        <v>0</v>
      </c>
      <c r="IX40">
        <v>1994</v>
      </c>
      <c r="IY40">
        <v>336</v>
      </c>
      <c r="IZ40">
        <v>418</v>
      </c>
      <c r="JA40">
        <v>0</v>
      </c>
      <c r="JB40">
        <v>0</v>
      </c>
      <c r="JC40">
        <v>0</v>
      </c>
      <c r="JD40">
        <v>0</v>
      </c>
      <c r="JE40">
        <v>230</v>
      </c>
      <c r="JF40">
        <v>0</v>
      </c>
      <c r="JG40">
        <v>805470</v>
      </c>
      <c r="JH40">
        <v>231</v>
      </c>
      <c r="JI40">
        <v>17697</v>
      </c>
      <c r="JJ40">
        <v>0</v>
      </c>
      <c r="JK40">
        <v>0</v>
      </c>
      <c r="JL40">
        <v>0</v>
      </c>
      <c r="JM40">
        <v>-339</v>
      </c>
      <c r="JN40">
        <v>7983</v>
      </c>
      <c r="JO40">
        <v>0</v>
      </c>
      <c r="JP40">
        <v>21469</v>
      </c>
      <c r="JQ40">
        <v>-7416</v>
      </c>
      <c r="JR40">
        <v>845095</v>
      </c>
      <c r="JS40">
        <v>-7055</v>
      </c>
      <c r="JT40">
        <v>0</v>
      </c>
      <c r="JU40">
        <v>749</v>
      </c>
      <c r="JV40">
        <v>0</v>
      </c>
      <c r="JW40">
        <v>-244734</v>
      </c>
      <c r="JX40">
        <v>0</v>
      </c>
      <c r="JY40">
        <v>-50608</v>
      </c>
      <c r="JZ40">
        <v>0</v>
      </c>
      <c r="KA40">
        <v>0</v>
      </c>
      <c r="KB40">
        <v>-4655</v>
      </c>
      <c r="KC40">
        <v>538792</v>
      </c>
      <c r="KD40">
        <v>0</v>
      </c>
      <c r="KE40">
        <v>-319382</v>
      </c>
      <c r="KF40">
        <v>219410</v>
      </c>
      <c r="KG40">
        <v>0</v>
      </c>
      <c r="KH40">
        <v>-900</v>
      </c>
      <c r="KI40">
        <v>0</v>
      </c>
      <c r="KJ40">
        <v>711</v>
      </c>
      <c r="KK40">
        <v>18122</v>
      </c>
      <c r="KL40">
        <v>0</v>
      </c>
      <c r="KM40">
        <v>-25041</v>
      </c>
      <c r="KN40">
        <v>0</v>
      </c>
      <c r="KO40">
        <v>-59211</v>
      </c>
      <c r="KP40">
        <v>11063</v>
      </c>
      <c r="KQ40">
        <v>0</v>
      </c>
      <c r="KR40">
        <v>135690</v>
      </c>
      <c r="KS40">
        <v>17800</v>
      </c>
      <c r="KT40">
        <v>0</v>
      </c>
      <c r="KU40">
        <v>4300</v>
      </c>
      <c r="KV40">
        <v>324307</v>
      </c>
      <c r="KW40">
        <v>15100</v>
      </c>
      <c r="KX40">
        <v>16900</v>
      </c>
      <c r="KY40">
        <v>0</v>
      </c>
      <c r="KZ40">
        <v>5011</v>
      </c>
      <c r="LA40">
        <v>342429</v>
      </c>
      <c r="LB40">
        <v>15100</v>
      </c>
      <c r="LC40">
        <v>0</v>
      </c>
      <c r="LD40">
        <v>22764</v>
      </c>
      <c r="LE40">
        <v>68</v>
      </c>
      <c r="LF40">
        <v>2812</v>
      </c>
      <c r="LG40">
        <v>-44164</v>
      </c>
      <c r="LH40">
        <v>6724</v>
      </c>
      <c r="LI40">
        <v>-11796</v>
      </c>
      <c r="LJ40">
        <v>10991</v>
      </c>
      <c r="LK40">
        <v>17886</v>
      </c>
      <c r="LL40">
        <v>28877</v>
      </c>
      <c r="LM40">
        <v>0</v>
      </c>
      <c r="LN40">
        <v>0</v>
      </c>
      <c r="LO40">
        <v>0</v>
      </c>
      <c r="LP40">
        <v>55955</v>
      </c>
      <c r="LQ40">
        <v>56601</v>
      </c>
      <c r="LR40">
        <v>-646</v>
      </c>
      <c r="LS40">
        <v>3000</v>
      </c>
      <c r="LT40">
        <v>2354</v>
      </c>
      <c r="LU40">
        <v>238060</v>
      </c>
      <c r="LV40">
        <v>11323</v>
      </c>
      <c r="LW40">
        <v>83512</v>
      </c>
      <c r="LX40">
        <v>94084</v>
      </c>
      <c r="LY40">
        <v>24307</v>
      </c>
      <c r="LZ40">
        <v>29262</v>
      </c>
      <c r="MA40">
        <v>12114</v>
      </c>
      <c r="MB40">
        <v>34751</v>
      </c>
      <c r="MC40">
        <v>8576</v>
      </c>
      <c r="MD40">
        <v>0</v>
      </c>
      <c r="ME40">
        <v>0</v>
      </c>
      <c r="MF40">
        <v>25867</v>
      </c>
      <c r="MG40">
        <v>0</v>
      </c>
      <c r="MH40">
        <v>561856</v>
      </c>
      <c r="MI40">
        <v>0</v>
      </c>
      <c r="MJ40">
        <v>0</v>
      </c>
      <c r="MK40">
        <v>0</v>
      </c>
      <c r="ML40">
        <v>0</v>
      </c>
      <c r="MM40">
        <v>0</v>
      </c>
      <c r="MN40">
        <v>0</v>
      </c>
      <c r="MO40">
        <v>0</v>
      </c>
      <c r="MP40">
        <v>0</v>
      </c>
      <c r="MQ40">
        <v>0</v>
      </c>
      <c r="MR40">
        <v>0</v>
      </c>
      <c r="MS40">
        <v>0</v>
      </c>
      <c r="MT40">
        <v>0</v>
      </c>
      <c r="MU40">
        <v>0</v>
      </c>
      <c r="MV40">
        <v>0</v>
      </c>
      <c r="MW40">
        <v>0</v>
      </c>
      <c r="MX40">
        <v>0</v>
      </c>
      <c r="MY40">
        <v>0</v>
      </c>
      <c r="MZ40">
        <v>0</v>
      </c>
      <c r="NA40">
        <v>0</v>
      </c>
      <c r="NB40">
        <v>0</v>
      </c>
      <c r="NC40">
        <v>0</v>
      </c>
      <c r="ND40">
        <v>0</v>
      </c>
      <c r="NE40">
        <v>0</v>
      </c>
      <c r="NF40">
        <v>0</v>
      </c>
      <c r="NG40">
        <v>0</v>
      </c>
      <c r="NH40">
        <v>0</v>
      </c>
      <c r="NI40">
        <v>0</v>
      </c>
      <c r="NJ40">
        <v>0</v>
      </c>
      <c r="NK40">
        <v>0</v>
      </c>
      <c r="NL40">
        <v>0</v>
      </c>
      <c r="NM40">
        <v>0</v>
      </c>
      <c r="NN40">
        <v>0</v>
      </c>
      <c r="NO40">
        <v>0</v>
      </c>
      <c r="NP40">
        <v>0</v>
      </c>
      <c r="NQ40">
        <v>0</v>
      </c>
      <c r="NR40">
        <v>0</v>
      </c>
      <c r="NS40">
        <v>0</v>
      </c>
      <c r="NT40">
        <v>0</v>
      </c>
      <c r="NU40">
        <v>0</v>
      </c>
      <c r="NV40">
        <v>0</v>
      </c>
      <c r="NW40">
        <v>0</v>
      </c>
      <c r="NX40">
        <v>0</v>
      </c>
      <c r="NY40">
        <v>0</v>
      </c>
      <c r="NZ40">
        <v>0</v>
      </c>
      <c r="OA40">
        <v>0</v>
      </c>
      <c r="OB40">
        <v>0</v>
      </c>
      <c r="OC40">
        <v>0</v>
      </c>
      <c r="OD40">
        <v>0</v>
      </c>
      <c r="OE40">
        <v>0</v>
      </c>
      <c r="OF40">
        <v>0</v>
      </c>
      <c r="OG40">
        <v>0</v>
      </c>
      <c r="OH40">
        <v>0</v>
      </c>
      <c r="OI40">
        <v>0</v>
      </c>
      <c r="OJ40">
        <v>0</v>
      </c>
      <c r="OK40">
        <v>0</v>
      </c>
      <c r="OL40">
        <v>0</v>
      </c>
      <c r="OM40">
        <v>0</v>
      </c>
      <c r="ON40">
        <v>0</v>
      </c>
    </row>
    <row r="41" spans="1:404" hidden="1" x14ac:dyDescent="0.25">
      <c r="A41" t="s">
        <v>188</v>
      </c>
      <c r="B41" t="s">
        <v>189</v>
      </c>
      <c r="C41" t="s">
        <v>187</v>
      </c>
      <c r="E41" t="s">
        <v>61</v>
      </c>
      <c r="F41">
        <v>0</v>
      </c>
      <c r="G41">
        <v>0</v>
      </c>
      <c r="H41">
        <v>0</v>
      </c>
      <c r="I41">
        <v>0</v>
      </c>
      <c r="J41">
        <v>0</v>
      </c>
      <c r="K41">
        <v>0</v>
      </c>
      <c r="L41">
        <v>0</v>
      </c>
      <c r="M41">
        <v>0</v>
      </c>
      <c r="N41">
        <v>0</v>
      </c>
      <c r="O41">
        <v>0</v>
      </c>
      <c r="P41">
        <v>0</v>
      </c>
      <c r="Q41">
        <v>0</v>
      </c>
      <c r="R41">
        <v>0</v>
      </c>
      <c r="S41">
        <v>59</v>
      </c>
      <c r="T41">
        <v>0</v>
      </c>
      <c r="U41">
        <v>6</v>
      </c>
      <c r="V41">
        <v>0</v>
      </c>
      <c r="W41">
        <v>0</v>
      </c>
      <c r="X41">
        <v>0</v>
      </c>
      <c r="Y41">
        <v>-16</v>
      </c>
      <c r="Z41">
        <v>0</v>
      </c>
      <c r="AA41">
        <v>-399</v>
      </c>
      <c r="AB41">
        <v>0</v>
      </c>
      <c r="AC41">
        <v>0</v>
      </c>
      <c r="AD41">
        <v>0</v>
      </c>
      <c r="AE41">
        <v>0</v>
      </c>
      <c r="AF41">
        <v>0</v>
      </c>
      <c r="AG41">
        <v>0</v>
      </c>
      <c r="AH41">
        <v>0</v>
      </c>
      <c r="AI41">
        <v>-350</v>
      </c>
      <c r="AJ41">
        <v>0</v>
      </c>
      <c r="AK41">
        <v>0</v>
      </c>
      <c r="AL41">
        <v>0</v>
      </c>
      <c r="AM41">
        <v>0</v>
      </c>
      <c r="AN41">
        <v>0</v>
      </c>
      <c r="AO41">
        <v>0</v>
      </c>
      <c r="AP41">
        <v>0</v>
      </c>
      <c r="AQ41">
        <v>0</v>
      </c>
      <c r="AR41">
        <v>0</v>
      </c>
      <c r="AS41">
        <v>0</v>
      </c>
      <c r="AT41">
        <v>0</v>
      </c>
      <c r="AU41">
        <v>0</v>
      </c>
      <c r="AV41">
        <v>0</v>
      </c>
      <c r="AW41">
        <v>0</v>
      </c>
      <c r="AX41">
        <v>0</v>
      </c>
      <c r="AY41">
        <v>0</v>
      </c>
      <c r="AZ41">
        <v>0</v>
      </c>
      <c r="BA41">
        <v>0</v>
      </c>
      <c r="BB41">
        <v>0</v>
      </c>
      <c r="BC41">
        <v>0</v>
      </c>
      <c r="BD41">
        <v>0</v>
      </c>
      <c r="BE41">
        <v>0</v>
      </c>
      <c r="BF41">
        <v>0</v>
      </c>
      <c r="BG41">
        <v>0</v>
      </c>
      <c r="BH41">
        <v>0</v>
      </c>
      <c r="BI41">
        <v>0</v>
      </c>
      <c r="BJ41">
        <v>0</v>
      </c>
      <c r="BK41">
        <v>0</v>
      </c>
      <c r="BL41">
        <v>0</v>
      </c>
      <c r="BM41">
        <v>0</v>
      </c>
      <c r="BN41">
        <v>0</v>
      </c>
      <c r="BO41">
        <v>0</v>
      </c>
      <c r="BP41">
        <v>0</v>
      </c>
      <c r="BQ41">
        <v>0</v>
      </c>
      <c r="BR41">
        <v>0</v>
      </c>
      <c r="BS41">
        <v>0</v>
      </c>
      <c r="BT41">
        <v>0</v>
      </c>
      <c r="BU41">
        <v>0</v>
      </c>
      <c r="BV41">
        <v>0</v>
      </c>
      <c r="BW41">
        <v>0</v>
      </c>
      <c r="BX41">
        <v>0</v>
      </c>
      <c r="BY41">
        <v>0</v>
      </c>
      <c r="BZ41">
        <v>0</v>
      </c>
      <c r="CA41">
        <v>0</v>
      </c>
      <c r="CB41">
        <v>13</v>
      </c>
      <c r="CC41">
        <v>0</v>
      </c>
      <c r="CD41">
        <v>0</v>
      </c>
      <c r="CE41">
        <v>0</v>
      </c>
      <c r="CF41">
        <v>0</v>
      </c>
      <c r="CG41">
        <v>0</v>
      </c>
      <c r="CH41">
        <v>0</v>
      </c>
      <c r="CI41">
        <v>0</v>
      </c>
      <c r="CJ41">
        <v>0</v>
      </c>
      <c r="CK41">
        <v>0</v>
      </c>
      <c r="CL41">
        <v>0</v>
      </c>
      <c r="CM41">
        <v>0</v>
      </c>
      <c r="CN41">
        <v>0</v>
      </c>
      <c r="CO41">
        <v>0</v>
      </c>
      <c r="CP41">
        <v>0</v>
      </c>
      <c r="CQ41">
        <v>0</v>
      </c>
      <c r="CR41">
        <v>0</v>
      </c>
      <c r="CS41">
        <v>0</v>
      </c>
      <c r="CT41">
        <v>0</v>
      </c>
      <c r="CU41">
        <v>0</v>
      </c>
      <c r="CV41">
        <v>13</v>
      </c>
      <c r="CW41">
        <v>0</v>
      </c>
      <c r="CX41">
        <v>0</v>
      </c>
      <c r="CY41">
        <v>0</v>
      </c>
      <c r="CZ41">
        <v>0</v>
      </c>
      <c r="DA41">
        <v>0</v>
      </c>
      <c r="DB41">
        <v>0</v>
      </c>
      <c r="DC41">
        <v>338</v>
      </c>
      <c r="DD41">
        <v>0</v>
      </c>
      <c r="DE41">
        <v>-379</v>
      </c>
      <c r="DF41">
        <v>0</v>
      </c>
      <c r="DG41">
        <v>0</v>
      </c>
      <c r="DH41">
        <v>3</v>
      </c>
      <c r="DI41">
        <v>7</v>
      </c>
      <c r="DJ41">
        <v>12</v>
      </c>
      <c r="DK41">
        <v>0</v>
      </c>
      <c r="DL41">
        <v>0</v>
      </c>
      <c r="DM41">
        <v>359</v>
      </c>
      <c r="DN41">
        <v>12</v>
      </c>
      <c r="DO41">
        <v>0</v>
      </c>
      <c r="DP41">
        <v>393</v>
      </c>
      <c r="DQ41">
        <v>0</v>
      </c>
      <c r="DR41">
        <v>0</v>
      </c>
      <c r="DS41">
        <v>0</v>
      </c>
      <c r="DT41">
        <v>91</v>
      </c>
      <c r="DU41">
        <v>-32</v>
      </c>
      <c r="DV41">
        <v>0</v>
      </c>
      <c r="DW41">
        <v>70</v>
      </c>
      <c r="DX41">
        <v>480</v>
      </c>
      <c r="DY41">
        <v>12205</v>
      </c>
      <c r="DZ41">
        <v>265</v>
      </c>
      <c r="EA41">
        <v>960</v>
      </c>
      <c r="EB41">
        <v>31</v>
      </c>
      <c r="EC41">
        <v>0</v>
      </c>
      <c r="ED41">
        <v>33</v>
      </c>
      <c r="EE41">
        <v>0</v>
      </c>
      <c r="EF41">
        <v>0</v>
      </c>
      <c r="EG41">
        <v>0</v>
      </c>
      <c r="EH41">
        <v>3063</v>
      </c>
      <c r="EI41">
        <v>2716</v>
      </c>
      <c r="EJ41">
        <v>1163</v>
      </c>
      <c r="EK41">
        <v>170</v>
      </c>
      <c r="EL41">
        <v>3124</v>
      </c>
      <c r="EM41">
        <v>237</v>
      </c>
      <c r="EN41">
        <v>308</v>
      </c>
      <c r="EO41">
        <v>2016</v>
      </c>
      <c r="EP41">
        <v>0</v>
      </c>
      <c r="EQ41">
        <v>100</v>
      </c>
      <c r="ER41">
        <v>156</v>
      </c>
      <c r="ES41">
        <v>9393</v>
      </c>
      <c r="ET41">
        <v>9835</v>
      </c>
      <c r="EU41">
        <v>0</v>
      </c>
      <c r="EV41">
        <v>0</v>
      </c>
      <c r="EW41">
        <v>0</v>
      </c>
      <c r="EX41">
        <v>0</v>
      </c>
      <c r="EY41">
        <v>69</v>
      </c>
      <c r="EZ41">
        <v>257</v>
      </c>
      <c r="FA41">
        <v>0</v>
      </c>
      <c r="FB41">
        <v>0</v>
      </c>
      <c r="FC41">
        <v>698</v>
      </c>
      <c r="FD41">
        <v>420</v>
      </c>
      <c r="FE41">
        <v>0</v>
      </c>
      <c r="FF41">
        <v>30</v>
      </c>
      <c r="FG41">
        <v>0</v>
      </c>
      <c r="FH41">
        <v>1474</v>
      </c>
      <c r="FI41">
        <v>91</v>
      </c>
      <c r="FJ41">
        <v>0</v>
      </c>
      <c r="FK41">
        <v>0</v>
      </c>
      <c r="FL41">
        <v>218</v>
      </c>
      <c r="FM41">
        <v>308</v>
      </c>
      <c r="FN41">
        <v>76</v>
      </c>
      <c r="FO41">
        <v>59</v>
      </c>
      <c r="FP41">
        <v>0</v>
      </c>
      <c r="FQ41">
        <v>0</v>
      </c>
      <c r="FR41">
        <v>0</v>
      </c>
      <c r="FS41">
        <v>48</v>
      </c>
      <c r="FT41">
        <v>160</v>
      </c>
      <c r="FU41">
        <v>138</v>
      </c>
      <c r="FV41">
        <v>89</v>
      </c>
      <c r="FW41">
        <v>0</v>
      </c>
      <c r="FX41">
        <v>304</v>
      </c>
      <c r="FY41">
        <v>0</v>
      </c>
      <c r="FZ41">
        <v>0</v>
      </c>
      <c r="GA41">
        <v>0</v>
      </c>
      <c r="GB41">
        <v>0</v>
      </c>
      <c r="GC41">
        <v>0</v>
      </c>
      <c r="GD41">
        <v>948</v>
      </c>
      <c r="GE41">
        <v>998</v>
      </c>
      <c r="GF41">
        <v>0</v>
      </c>
      <c r="GG41">
        <v>-345</v>
      </c>
      <c r="GH41">
        <v>612</v>
      </c>
      <c r="GI41">
        <v>-3</v>
      </c>
      <c r="GJ41">
        <v>0</v>
      </c>
      <c r="GK41">
        <v>3700</v>
      </c>
      <c r="GL41">
        <v>347</v>
      </c>
      <c r="GM41">
        <v>670</v>
      </c>
      <c r="GN41">
        <v>0</v>
      </c>
      <c r="GO41">
        <v>1029</v>
      </c>
      <c r="GP41">
        <v>99</v>
      </c>
      <c r="GQ41">
        <v>165</v>
      </c>
      <c r="GR41">
        <v>0</v>
      </c>
      <c r="GS41">
        <v>0</v>
      </c>
      <c r="GT41">
        <v>218</v>
      </c>
      <c r="GU41">
        <v>2528</v>
      </c>
      <c r="GV41">
        <v>7702</v>
      </c>
      <c r="GW41">
        <v>0</v>
      </c>
      <c r="GX41">
        <v>0</v>
      </c>
      <c r="GY41">
        <v>0</v>
      </c>
      <c r="GZ41">
        <v>0</v>
      </c>
      <c r="HA41">
        <v>0</v>
      </c>
      <c r="HB41">
        <v>774</v>
      </c>
      <c r="HC41">
        <v>407</v>
      </c>
      <c r="HD41">
        <v>0</v>
      </c>
      <c r="HE41">
        <v>0</v>
      </c>
      <c r="HF41">
        <v>44</v>
      </c>
      <c r="HG41">
        <v>32</v>
      </c>
      <c r="HH41">
        <v>0</v>
      </c>
      <c r="HI41">
        <v>0</v>
      </c>
      <c r="HJ41">
        <v>206</v>
      </c>
      <c r="HK41">
        <v>293</v>
      </c>
      <c r="HL41">
        <v>22</v>
      </c>
      <c r="HM41">
        <v>5</v>
      </c>
      <c r="HN41">
        <v>0</v>
      </c>
      <c r="HO41">
        <v>150</v>
      </c>
      <c r="HP41">
        <v>0</v>
      </c>
      <c r="HQ41">
        <v>0</v>
      </c>
      <c r="HR41">
        <v>0</v>
      </c>
      <c r="HS41">
        <v>0</v>
      </c>
      <c r="HT41">
        <v>-2249</v>
      </c>
      <c r="HU41">
        <v>630</v>
      </c>
      <c r="HV41">
        <v>313</v>
      </c>
      <c r="HW41">
        <v>10642</v>
      </c>
      <c r="HX41">
        <v>0</v>
      </c>
      <c r="HY41">
        <v>0</v>
      </c>
      <c r="HZ41">
        <v>81</v>
      </c>
      <c r="IA41">
        <v>672</v>
      </c>
      <c r="IB41">
        <v>0</v>
      </c>
      <c r="IC41">
        <v>0</v>
      </c>
      <c r="ID41">
        <v>-350</v>
      </c>
      <c r="IE41">
        <v>0</v>
      </c>
      <c r="IF41">
        <v>0</v>
      </c>
      <c r="IG41">
        <v>13</v>
      </c>
      <c r="IH41">
        <v>480</v>
      </c>
      <c r="II41">
        <v>1474</v>
      </c>
      <c r="IJ41">
        <v>3700</v>
      </c>
      <c r="IK41">
        <v>2528</v>
      </c>
      <c r="IL41">
        <v>0</v>
      </c>
      <c r="IM41">
        <v>0</v>
      </c>
      <c r="IN41">
        <v>313</v>
      </c>
      <c r="IO41">
        <v>0</v>
      </c>
      <c r="IP41">
        <v>8158</v>
      </c>
      <c r="IQ41">
        <v>4770</v>
      </c>
      <c r="IR41">
        <v>131</v>
      </c>
      <c r="IS41">
        <v>3886</v>
      </c>
      <c r="IT41">
        <v>0</v>
      </c>
      <c r="IU41">
        <v>0</v>
      </c>
      <c r="IV41">
        <v>604</v>
      </c>
      <c r="IW41">
        <v>0</v>
      </c>
      <c r="IX41">
        <v>0</v>
      </c>
      <c r="IY41">
        <v>0</v>
      </c>
      <c r="IZ41">
        <v>0</v>
      </c>
      <c r="JA41">
        <v>0</v>
      </c>
      <c r="JB41">
        <v>0</v>
      </c>
      <c r="JC41">
        <v>0</v>
      </c>
      <c r="JD41">
        <v>0</v>
      </c>
      <c r="JE41">
        <v>0</v>
      </c>
      <c r="JF41">
        <v>0</v>
      </c>
      <c r="JG41">
        <v>17549</v>
      </c>
      <c r="JH41">
        <v>0</v>
      </c>
      <c r="JI41">
        <v>0</v>
      </c>
      <c r="JJ41">
        <v>0</v>
      </c>
      <c r="JK41">
        <v>0</v>
      </c>
      <c r="JL41">
        <v>0</v>
      </c>
      <c r="JM41">
        <v>-47</v>
      </c>
      <c r="JN41">
        <v>1071</v>
      </c>
      <c r="JO41">
        <v>0</v>
      </c>
      <c r="JP41">
        <v>2388</v>
      </c>
      <c r="JQ41">
        <v>0</v>
      </c>
      <c r="JR41">
        <v>20961</v>
      </c>
      <c r="JS41">
        <v>-2704</v>
      </c>
      <c r="JT41">
        <v>0</v>
      </c>
      <c r="JU41">
        <v>0</v>
      </c>
      <c r="JV41">
        <v>0</v>
      </c>
      <c r="JW41">
        <v>-8703</v>
      </c>
      <c r="JX41">
        <v>0</v>
      </c>
      <c r="JY41">
        <v>0</v>
      </c>
      <c r="JZ41">
        <v>0</v>
      </c>
      <c r="KA41">
        <v>0</v>
      </c>
      <c r="KB41">
        <v>0</v>
      </c>
      <c r="KC41">
        <v>9554</v>
      </c>
      <c r="KD41">
        <v>0</v>
      </c>
      <c r="KE41">
        <v>-1627</v>
      </c>
      <c r="KF41">
        <v>7927</v>
      </c>
      <c r="KG41">
        <v>0</v>
      </c>
      <c r="KH41">
        <v>0</v>
      </c>
      <c r="KI41">
        <v>0</v>
      </c>
      <c r="KJ41">
        <v>0</v>
      </c>
      <c r="KK41">
        <v>1663</v>
      </c>
      <c r="KL41">
        <v>0</v>
      </c>
      <c r="KM41">
        <v>0</v>
      </c>
      <c r="KN41">
        <v>0</v>
      </c>
      <c r="KO41">
        <v>-1634</v>
      </c>
      <c r="KP41">
        <v>3908</v>
      </c>
      <c r="KQ41">
        <v>0</v>
      </c>
      <c r="KR41">
        <v>7042</v>
      </c>
      <c r="KS41">
        <v>0</v>
      </c>
      <c r="KT41">
        <v>0</v>
      </c>
      <c r="KU41">
        <v>0</v>
      </c>
      <c r="KV41">
        <v>10783</v>
      </c>
      <c r="KW41">
        <v>2825</v>
      </c>
      <c r="KX41">
        <v>0</v>
      </c>
      <c r="KY41">
        <v>0</v>
      </c>
      <c r="KZ41">
        <v>0</v>
      </c>
      <c r="LA41">
        <v>12446</v>
      </c>
      <c r="LB41">
        <v>2825</v>
      </c>
      <c r="LC41">
        <v>0</v>
      </c>
      <c r="LD41">
        <v>5426</v>
      </c>
      <c r="LE41">
        <v>4564</v>
      </c>
      <c r="LF41">
        <v>-1270</v>
      </c>
      <c r="LG41">
        <v>0</v>
      </c>
      <c r="LH41">
        <v>0</v>
      </c>
      <c r="LI41">
        <v>8108</v>
      </c>
      <c r="LJ41">
        <v>1536</v>
      </c>
      <c r="LK41">
        <v>2191</v>
      </c>
      <c r="LL41">
        <v>3727</v>
      </c>
      <c r="LM41">
        <v>2191</v>
      </c>
      <c r="LN41">
        <v>0</v>
      </c>
      <c r="LO41">
        <v>0</v>
      </c>
      <c r="LP41">
        <v>13494</v>
      </c>
      <c r="LQ41">
        <v>13053</v>
      </c>
      <c r="LR41">
        <v>442</v>
      </c>
      <c r="LS41">
        <v>9393</v>
      </c>
      <c r="LT41">
        <v>9835</v>
      </c>
      <c r="LU41">
        <v>0</v>
      </c>
      <c r="LV41">
        <v>-350</v>
      </c>
      <c r="LW41">
        <v>0</v>
      </c>
      <c r="LX41">
        <v>0</v>
      </c>
      <c r="LY41">
        <v>13</v>
      </c>
      <c r="LZ41">
        <v>480</v>
      </c>
      <c r="MA41">
        <v>1474</v>
      </c>
      <c r="MB41">
        <v>3700</v>
      </c>
      <c r="MC41">
        <v>2528</v>
      </c>
      <c r="MD41">
        <v>0</v>
      </c>
      <c r="ME41">
        <v>0</v>
      </c>
      <c r="MF41">
        <v>313</v>
      </c>
      <c r="MG41">
        <v>0</v>
      </c>
      <c r="MH41">
        <v>8158</v>
      </c>
      <c r="MI41">
        <v>0</v>
      </c>
      <c r="MJ41">
        <v>0</v>
      </c>
      <c r="MK41">
        <v>0</v>
      </c>
      <c r="ML41">
        <v>0</v>
      </c>
      <c r="MM41">
        <v>0</v>
      </c>
      <c r="MN41">
        <v>0</v>
      </c>
      <c r="MO41">
        <v>0</v>
      </c>
      <c r="MP41">
        <v>0</v>
      </c>
      <c r="MQ41">
        <v>0</v>
      </c>
      <c r="MR41">
        <v>0</v>
      </c>
      <c r="MS41">
        <v>0</v>
      </c>
      <c r="MT41">
        <v>0</v>
      </c>
      <c r="MU41">
        <v>0</v>
      </c>
      <c r="MV41">
        <v>0</v>
      </c>
      <c r="MW41">
        <v>0</v>
      </c>
      <c r="MX41">
        <v>0</v>
      </c>
      <c r="MY41">
        <v>0</v>
      </c>
      <c r="MZ41">
        <v>0</v>
      </c>
      <c r="NA41">
        <v>0</v>
      </c>
      <c r="NB41">
        <v>0</v>
      </c>
      <c r="NC41">
        <v>0</v>
      </c>
      <c r="ND41">
        <v>0</v>
      </c>
      <c r="NE41">
        <v>0</v>
      </c>
      <c r="NF41">
        <v>0</v>
      </c>
      <c r="NG41">
        <v>0</v>
      </c>
      <c r="NH41">
        <v>0</v>
      </c>
      <c r="NI41">
        <v>0</v>
      </c>
      <c r="NJ41">
        <v>0</v>
      </c>
      <c r="NK41">
        <v>0</v>
      </c>
      <c r="NL41">
        <v>0</v>
      </c>
      <c r="NM41">
        <v>0</v>
      </c>
      <c r="NN41">
        <v>0</v>
      </c>
      <c r="NO41">
        <v>0</v>
      </c>
      <c r="NP41">
        <v>0</v>
      </c>
      <c r="NQ41">
        <v>0</v>
      </c>
      <c r="NR41">
        <v>0</v>
      </c>
      <c r="NS41">
        <v>0</v>
      </c>
      <c r="NT41">
        <v>0</v>
      </c>
      <c r="NU41">
        <v>0</v>
      </c>
      <c r="NV41">
        <v>0</v>
      </c>
      <c r="NW41">
        <v>0</v>
      </c>
      <c r="NX41">
        <v>0</v>
      </c>
      <c r="NY41">
        <v>0</v>
      </c>
      <c r="NZ41">
        <v>0</v>
      </c>
      <c r="OA41">
        <v>0</v>
      </c>
      <c r="OB41">
        <v>0</v>
      </c>
      <c r="OC41">
        <v>0</v>
      </c>
      <c r="OD41">
        <v>0</v>
      </c>
      <c r="OE41">
        <v>0</v>
      </c>
      <c r="OF41">
        <v>0</v>
      </c>
      <c r="OG41">
        <v>0</v>
      </c>
      <c r="OH41">
        <v>0</v>
      </c>
      <c r="OI41">
        <v>0</v>
      </c>
      <c r="OJ41">
        <v>0</v>
      </c>
      <c r="OK41">
        <v>0</v>
      </c>
      <c r="OL41">
        <v>0</v>
      </c>
      <c r="OM41">
        <v>0</v>
      </c>
      <c r="ON41">
        <v>0</v>
      </c>
    </row>
    <row r="42" spans="1:404" hidden="1" x14ac:dyDescent="0.25">
      <c r="A42" t="s">
        <v>191</v>
      </c>
      <c r="B42" t="s">
        <v>192</v>
      </c>
      <c r="C42" t="s">
        <v>190</v>
      </c>
      <c r="E42" t="s">
        <v>125</v>
      </c>
      <c r="F42">
        <v>14892</v>
      </c>
      <c r="G42">
        <v>98707</v>
      </c>
      <c r="H42">
        <v>66481</v>
      </c>
      <c r="I42">
        <v>19391</v>
      </c>
      <c r="J42">
        <v>1911</v>
      </c>
      <c r="K42">
        <v>8493</v>
      </c>
      <c r="L42">
        <v>209875</v>
      </c>
      <c r="M42">
        <v>-306</v>
      </c>
      <c r="N42">
        <v>1580</v>
      </c>
      <c r="O42">
        <v>35</v>
      </c>
      <c r="P42">
        <v>199</v>
      </c>
      <c r="Q42">
        <v>85</v>
      </c>
      <c r="R42">
        <v>1232</v>
      </c>
      <c r="S42">
        <v>2874</v>
      </c>
      <c r="T42">
        <v>223</v>
      </c>
      <c r="U42">
        <v>2219</v>
      </c>
      <c r="V42">
        <v>0</v>
      </c>
      <c r="W42">
        <v>0</v>
      </c>
      <c r="X42">
        <v>397</v>
      </c>
      <c r="Y42">
        <v>578</v>
      </c>
      <c r="Z42">
        <v>-24383</v>
      </c>
      <c r="AA42">
        <v>-5427</v>
      </c>
      <c r="AB42">
        <v>10291</v>
      </c>
      <c r="AC42">
        <v>412</v>
      </c>
      <c r="AD42">
        <v>2624</v>
      </c>
      <c r="AE42">
        <v>0</v>
      </c>
      <c r="AF42">
        <v>0</v>
      </c>
      <c r="AG42">
        <v>98</v>
      </c>
      <c r="AH42">
        <v>0</v>
      </c>
      <c r="AI42">
        <v>-7269</v>
      </c>
      <c r="AJ42">
        <v>0</v>
      </c>
      <c r="AK42">
        <v>0</v>
      </c>
      <c r="AL42">
        <v>0</v>
      </c>
      <c r="AM42">
        <v>0</v>
      </c>
      <c r="AN42">
        <v>0</v>
      </c>
      <c r="AO42">
        <v>0</v>
      </c>
      <c r="AP42">
        <v>0</v>
      </c>
      <c r="AQ42">
        <v>11724</v>
      </c>
      <c r="AR42">
        <v>22675</v>
      </c>
      <c r="AS42">
        <v>0</v>
      </c>
      <c r="AT42">
        <v>0</v>
      </c>
      <c r="AU42">
        <v>0</v>
      </c>
      <c r="AV42">
        <v>3855</v>
      </c>
      <c r="AW42">
        <v>33885</v>
      </c>
      <c r="AX42">
        <v>1089</v>
      </c>
      <c r="AY42">
        <v>5376</v>
      </c>
      <c r="AZ42">
        <v>1429</v>
      </c>
      <c r="BA42">
        <v>16599</v>
      </c>
      <c r="BB42">
        <v>422</v>
      </c>
      <c r="BC42">
        <v>1544</v>
      </c>
      <c r="BD42">
        <v>64199</v>
      </c>
      <c r="BE42">
        <v>14164</v>
      </c>
      <c r="BF42">
        <v>17439</v>
      </c>
      <c r="BG42">
        <v>174</v>
      </c>
      <c r="BH42">
        <v>48</v>
      </c>
      <c r="BI42">
        <v>917</v>
      </c>
      <c r="BJ42">
        <v>10442</v>
      </c>
      <c r="BK42">
        <v>36637</v>
      </c>
      <c r="BL42">
        <v>2604</v>
      </c>
      <c r="BM42">
        <v>5455</v>
      </c>
      <c r="BN42">
        <v>2901</v>
      </c>
      <c r="BO42">
        <v>398</v>
      </c>
      <c r="BP42">
        <v>87</v>
      </c>
      <c r="BQ42">
        <v>244</v>
      </c>
      <c r="BR42">
        <v>0</v>
      </c>
      <c r="BS42">
        <v>983</v>
      </c>
      <c r="BT42">
        <v>14250</v>
      </c>
      <c r="BU42">
        <v>1214</v>
      </c>
      <c r="BV42">
        <v>8843</v>
      </c>
      <c r="BW42">
        <v>116800</v>
      </c>
      <c r="BX42">
        <v>2412</v>
      </c>
      <c r="BY42">
        <v>1172</v>
      </c>
      <c r="BZ42">
        <v>963</v>
      </c>
      <c r="CA42">
        <v>158</v>
      </c>
      <c r="CB42">
        <v>76</v>
      </c>
      <c r="CC42">
        <v>68</v>
      </c>
      <c r="CD42">
        <v>196</v>
      </c>
      <c r="CE42">
        <v>517</v>
      </c>
      <c r="CF42">
        <v>0</v>
      </c>
      <c r="CG42">
        <v>243</v>
      </c>
      <c r="CH42">
        <v>213</v>
      </c>
      <c r="CI42">
        <v>4838</v>
      </c>
      <c r="CJ42">
        <v>31</v>
      </c>
      <c r="CK42">
        <v>357</v>
      </c>
      <c r="CL42">
        <v>22</v>
      </c>
      <c r="CM42">
        <v>0</v>
      </c>
      <c r="CN42">
        <v>170</v>
      </c>
      <c r="CO42">
        <v>104</v>
      </c>
      <c r="CP42">
        <v>2390</v>
      </c>
      <c r="CQ42">
        <v>3449</v>
      </c>
      <c r="CR42">
        <v>5</v>
      </c>
      <c r="CS42">
        <v>0</v>
      </c>
      <c r="CT42">
        <v>329</v>
      </c>
      <c r="CU42">
        <v>4745</v>
      </c>
      <c r="CV42">
        <v>26417</v>
      </c>
      <c r="CW42">
        <v>456</v>
      </c>
      <c r="CX42">
        <v>90</v>
      </c>
      <c r="CY42">
        <v>78</v>
      </c>
      <c r="CZ42">
        <v>0</v>
      </c>
      <c r="DA42">
        <v>0</v>
      </c>
      <c r="DB42">
        <v>0</v>
      </c>
      <c r="DC42">
        <v>689</v>
      </c>
      <c r="DD42">
        <v>0</v>
      </c>
      <c r="DE42">
        <v>31</v>
      </c>
      <c r="DF42">
        <v>845</v>
      </c>
      <c r="DG42">
        <v>0</v>
      </c>
      <c r="DH42">
        <v>17164</v>
      </c>
      <c r="DI42">
        <v>1074</v>
      </c>
      <c r="DJ42">
        <v>-1626</v>
      </c>
      <c r="DK42">
        <v>0</v>
      </c>
      <c r="DL42">
        <v>8997</v>
      </c>
      <c r="DM42">
        <v>4278</v>
      </c>
      <c r="DN42">
        <v>0</v>
      </c>
      <c r="DO42">
        <v>622</v>
      </c>
      <c r="DP42">
        <v>30509</v>
      </c>
      <c r="DQ42">
        <v>38</v>
      </c>
      <c r="DR42">
        <v>0</v>
      </c>
      <c r="DS42">
        <v>928</v>
      </c>
      <c r="DT42">
        <v>2978</v>
      </c>
      <c r="DU42">
        <v>366</v>
      </c>
      <c r="DV42">
        <v>1558</v>
      </c>
      <c r="DW42">
        <v>0</v>
      </c>
      <c r="DX42">
        <v>37942</v>
      </c>
      <c r="DY42">
        <v>52716</v>
      </c>
      <c r="DZ42">
        <v>1687</v>
      </c>
      <c r="EA42">
        <v>5954</v>
      </c>
      <c r="EB42">
        <v>9</v>
      </c>
      <c r="EC42">
        <v>0</v>
      </c>
      <c r="ED42">
        <v>12</v>
      </c>
      <c r="EE42">
        <v>124</v>
      </c>
      <c r="EF42">
        <v>0</v>
      </c>
      <c r="EG42">
        <v>5601</v>
      </c>
      <c r="EH42">
        <v>16376</v>
      </c>
      <c r="EI42">
        <v>12610</v>
      </c>
      <c r="EJ42">
        <v>5601</v>
      </c>
      <c r="EK42">
        <v>872</v>
      </c>
      <c r="EL42">
        <v>13878</v>
      </c>
      <c r="EM42">
        <v>15220</v>
      </c>
      <c r="EN42">
        <v>0</v>
      </c>
      <c r="EO42">
        <v>30</v>
      </c>
      <c r="EP42">
        <v>1329</v>
      </c>
      <c r="EQ42">
        <v>0</v>
      </c>
      <c r="ER42">
        <v>154</v>
      </c>
      <c r="ES42">
        <v>13040</v>
      </c>
      <c r="ET42">
        <v>13073</v>
      </c>
      <c r="EU42">
        <v>263</v>
      </c>
      <c r="EV42">
        <v>225</v>
      </c>
      <c r="EW42">
        <v>324</v>
      </c>
      <c r="EX42">
        <v>2373</v>
      </c>
      <c r="EY42">
        <v>2157</v>
      </c>
      <c r="EZ42">
        <v>-8</v>
      </c>
      <c r="FA42">
        <v>-129</v>
      </c>
      <c r="FB42">
        <v>0</v>
      </c>
      <c r="FC42">
        <v>1767</v>
      </c>
      <c r="FD42">
        <v>5546</v>
      </c>
      <c r="FE42">
        <v>0</v>
      </c>
      <c r="FF42">
        <v>1902</v>
      </c>
      <c r="FG42">
        <v>4756</v>
      </c>
      <c r="FH42">
        <v>19176</v>
      </c>
      <c r="FI42">
        <v>-9</v>
      </c>
      <c r="FJ42">
        <v>478</v>
      </c>
      <c r="FK42">
        <v>0</v>
      </c>
      <c r="FL42">
        <v>556</v>
      </c>
      <c r="FM42">
        <v>685</v>
      </c>
      <c r="FN42">
        <v>0</v>
      </c>
      <c r="FO42">
        <v>17</v>
      </c>
      <c r="FP42">
        <v>0</v>
      </c>
      <c r="FQ42">
        <v>0</v>
      </c>
      <c r="FR42">
        <v>53</v>
      </c>
      <c r="FS42">
        <v>995</v>
      </c>
      <c r="FT42">
        <v>193</v>
      </c>
      <c r="FU42">
        <v>-125</v>
      </c>
      <c r="FV42">
        <v>0</v>
      </c>
      <c r="FW42">
        <v>0</v>
      </c>
      <c r="FX42">
        <v>0</v>
      </c>
      <c r="FY42">
        <v>0</v>
      </c>
      <c r="FZ42">
        <v>147</v>
      </c>
      <c r="GA42">
        <v>0</v>
      </c>
      <c r="GB42">
        <v>149</v>
      </c>
      <c r="GC42">
        <v>-16</v>
      </c>
      <c r="GD42">
        <v>5929</v>
      </c>
      <c r="GE42">
        <v>8716</v>
      </c>
      <c r="GF42">
        <v>5878</v>
      </c>
      <c r="GG42">
        <v>68</v>
      </c>
      <c r="GH42">
        <v>3204</v>
      </c>
      <c r="GI42">
        <v>0</v>
      </c>
      <c r="GJ42">
        <v>129</v>
      </c>
      <c r="GK42">
        <v>27047</v>
      </c>
      <c r="GL42">
        <v>-5</v>
      </c>
      <c r="GM42">
        <v>1162</v>
      </c>
      <c r="GN42">
        <v>0</v>
      </c>
      <c r="GO42">
        <v>1373</v>
      </c>
      <c r="GP42">
        <v>0</v>
      </c>
      <c r="GQ42">
        <v>2553</v>
      </c>
      <c r="GR42">
        <v>0</v>
      </c>
      <c r="GS42">
        <v>0</v>
      </c>
      <c r="GT42">
        <v>3390</v>
      </c>
      <c r="GU42">
        <v>8473</v>
      </c>
      <c r="GV42">
        <v>54696</v>
      </c>
      <c r="GW42">
        <v>0</v>
      </c>
      <c r="GX42">
        <v>0</v>
      </c>
      <c r="GY42">
        <v>0</v>
      </c>
      <c r="GZ42">
        <v>0</v>
      </c>
      <c r="HA42">
        <v>0</v>
      </c>
      <c r="HB42">
        <v>16116</v>
      </c>
      <c r="HC42">
        <v>2275</v>
      </c>
      <c r="HD42">
        <v>0</v>
      </c>
      <c r="HE42">
        <v>560</v>
      </c>
      <c r="HF42">
        <v>67</v>
      </c>
      <c r="HG42">
        <v>187</v>
      </c>
      <c r="HH42">
        <v>0</v>
      </c>
      <c r="HI42">
        <v>-145</v>
      </c>
      <c r="HJ42">
        <v>484</v>
      </c>
      <c r="HK42">
        <v>450</v>
      </c>
      <c r="HL42">
        <v>135</v>
      </c>
      <c r="HM42">
        <v>-496</v>
      </c>
      <c r="HN42">
        <v>2398</v>
      </c>
      <c r="HO42">
        <v>0</v>
      </c>
      <c r="HP42">
        <v>614</v>
      </c>
      <c r="HQ42">
        <v>0</v>
      </c>
      <c r="HR42">
        <v>2110</v>
      </c>
      <c r="HS42">
        <v>0</v>
      </c>
      <c r="HT42">
        <v>0</v>
      </c>
      <c r="HU42">
        <v>1509</v>
      </c>
      <c r="HV42">
        <v>26264</v>
      </c>
      <c r="HW42">
        <v>540</v>
      </c>
      <c r="HX42">
        <v>37331</v>
      </c>
      <c r="HY42">
        <v>0</v>
      </c>
      <c r="HZ42">
        <v>3068</v>
      </c>
      <c r="IA42">
        <v>1017</v>
      </c>
      <c r="IB42">
        <v>316</v>
      </c>
      <c r="IC42">
        <v>209875</v>
      </c>
      <c r="ID42">
        <v>-7269</v>
      </c>
      <c r="IE42">
        <v>64199</v>
      </c>
      <c r="IF42">
        <v>116800</v>
      </c>
      <c r="IG42">
        <v>26417</v>
      </c>
      <c r="IH42">
        <v>37942</v>
      </c>
      <c r="II42">
        <v>19176</v>
      </c>
      <c r="IJ42">
        <v>27047</v>
      </c>
      <c r="IK42">
        <v>8473</v>
      </c>
      <c r="IL42">
        <v>0</v>
      </c>
      <c r="IM42">
        <v>0</v>
      </c>
      <c r="IN42">
        <v>26264</v>
      </c>
      <c r="IO42">
        <v>316</v>
      </c>
      <c r="IP42">
        <v>529240</v>
      </c>
      <c r="IQ42">
        <v>75324</v>
      </c>
      <c r="IR42">
        <v>11881</v>
      </c>
      <c r="IS42">
        <v>24302</v>
      </c>
      <c r="IT42">
        <v>0</v>
      </c>
      <c r="IU42">
        <v>0</v>
      </c>
      <c r="IV42">
        <v>51</v>
      </c>
      <c r="IW42">
        <v>0</v>
      </c>
      <c r="IX42">
        <v>0</v>
      </c>
      <c r="IY42">
        <v>0</v>
      </c>
      <c r="IZ42">
        <v>143</v>
      </c>
      <c r="JA42">
        <v>-2966</v>
      </c>
      <c r="JB42">
        <v>0</v>
      </c>
      <c r="JC42">
        <v>-1183</v>
      </c>
      <c r="JD42">
        <v>0</v>
      </c>
      <c r="JE42">
        <v>0</v>
      </c>
      <c r="JF42">
        <v>0</v>
      </c>
      <c r="JG42">
        <v>636792</v>
      </c>
      <c r="JH42">
        <v>73</v>
      </c>
      <c r="JI42">
        <v>183</v>
      </c>
      <c r="JJ42">
        <v>0</v>
      </c>
      <c r="JK42">
        <v>-5151</v>
      </c>
      <c r="JL42">
        <v>0</v>
      </c>
      <c r="JM42">
        <v>-2646</v>
      </c>
      <c r="JN42">
        <v>8721</v>
      </c>
      <c r="JO42">
        <v>0</v>
      </c>
      <c r="JP42">
        <v>10957</v>
      </c>
      <c r="JQ42">
        <v>12</v>
      </c>
      <c r="JR42">
        <v>648941</v>
      </c>
      <c r="JS42">
        <v>-3097</v>
      </c>
      <c r="JT42">
        <v>6800</v>
      </c>
      <c r="JU42">
        <v>-335</v>
      </c>
      <c r="JV42">
        <v>0</v>
      </c>
      <c r="JW42">
        <v>-116572</v>
      </c>
      <c r="JX42">
        <v>0</v>
      </c>
      <c r="JY42">
        <v>-789</v>
      </c>
      <c r="JZ42">
        <v>0</v>
      </c>
      <c r="KA42">
        <v>0</v>
      </c>
      <c r="KB42">
        <v>0</v>
      </c>
      <c r="KC42">
        <v>534948</v>
      </c>
      <c r="KD42">
        <v>0</v>
      </c>
      <c r="KE42">
        <v>-294355</v>
      </c>
      <c r="KF42">
        <v>240593</v>
      </c>
      <c r="KG42">
        <v>0</v>
      </c>
      <c r="KH42">
        <v>1224</v>
      </c>
      <c r="KI42">
        <v>-710</v>
      </c>
      <c r="KJ42">
        <v>0</v>
      </c>
      <c r="KK42">
        <v>4751</v>
      </c>
      <c r="KL42">
        <v>-4579</v>
      </c>
      <c r="KM42">
        <v>-6666</v>
      </c>
      <c r="KN42">
        <v>0</v>
      </c>
      <c r="KO42">
        <v>-51876</v>
      </c>
      <c r="KP42">
        <v>5010</v>
      </c>
      <c r="KQ42">
        <v>0</v>
      </c>
      <c r="KR42">
        <v>155965</v>
      </c>
      <c r="KS42">
        <v>6911</v>
      </c>
      <c r="KT42">
        <v>746</v>
      </c>
      <c r="KU42">
        <v>0</v>
      </c>
      <c r="KV42">
        <v>61122</v>
      </c>
      <c r="KW42">
        <v>19088</v>
      </c>
      <c r="KX42">
        <v>8135</v>
      </c>
      <c r="KY42">
        <v>36</v>
      </c>
      <c r="KZ42">
        <v>0</v>
      </c>
      <c r="LA42">
        <v>65873</v>
      </c>
      <c r="LB42">
        <v>14509</v>
      </c>
      <c r="LC42">
        <v>0</v>
      </c>
      <c r="LD42">
        <v>45702</v>
      </c>
      <c r="LE42">
        <v>-3097</v>
      </c>
      <c r="LF42">
        <v>-2128</v>
      </c>
      <c r="LG42">
        <v>-3266</v>
      </c>
      <c r="LH42">
        <v>5300</v>
      </c>
      <c r="LI42">
        <v>42468</v>
      </c>
      <c r="LJ42">
        <v>8359</v>
      </c>
      <c r="LK42">
        <v>11519</v>
      </c>
      <c r="LL42">
        <v>19878</v>
      </c>
      <c r="LM42">
        <v>2</v>
      </c>
      <c r="LN42">
        <v>0</v>
      </c>
      <c r="LO42">
        <v>0</v>
      </c>
      <c r="LP42">
        <v>66103</v>
      </c>
      <c r="LQ42">
        <v>66070</v>
      </c>
      <c r="LR42">
        <v>33</v>
      </c>
      <c r="LS42">
        <v>13040</v>
      </c>
      <c r="LT42">
        <v>13073</v>
      </c>
      <c r="LU42">
        <v>209875</v>
      </c>
      <c r="LV42">
        <v>-7269</v>
      </c>
      <c r="LW42">
        <v>64199</v>
      </c>
      <c r="LX42">
        <v>116800</v>
      </c>
      <c r="LY42">
        <v>26417</v>
      </c>
      <c r="LZ42">
        <v>37942</v>
      </c>
      <c r="MA42">
        <v>19176</v>
      </c>
      <c r="MB42">
        <v>27047</v>
      </c>
      <c r="MC42">
        <v>8473</v>
      </c>
      <c r="MD42">
        <v>0</v>
      </c>
      <c r="ME42">
        <v>0</v>
      </c>
      <c r="MF42">
        <v>26264</v>
      </c>
      <c r="MG42">
        <v>316</v>
      </c>
      <c r="MH42">
        <v>529240</v>
      </c>
      <c r="MI42">
        <v>0</v>
      </c>
      <c r="MJ42">
        <v>0</v>
      </c>
      <c r="MK42">
        <v>0</v>
      </c>
      <c r="ML42">
        <v>0</v>
      </c>
      <c r="MM42">
        <v>0</v>
      </c>
      <c r="MN42">
        <v>0</v>
      </c>
      <c r="MO42">
        <v>0</v>
      </c>
      <c r="MP42">
        <v>0</v>
      </c>
      <c r="MQ42">
        <v>0</v>
      </c>
      <c r="MR42">
        <v>0</v>
      </c>
      <c r="MS42">
        <v>0</v>
      </c>
      <c r="MT42">
        <v>0</v>
      </c>
      <c r="MU42">
        <v>0</v>
      </c>
      <c r="MV42">
        <v>0</v>
      </c>
      <c r="MW42">
        <v>0</v>
      </c>
      <c r="MX42">
        <v>0</v>
      </c>
      <c r="MY42">
        <v>-3439</v>
      </c>
      <c r="MZ42">
        <v>-710</v>
      </c>
      <c r="NA42">
        <v>-4149</v>
      </c>
      <c r="NB42">
        <v>1183</v>
      </c>
      <c r="NC42">
        <v>-2966</v>
      </c>
      <c r="ND42">
        <v>0</v>
      </c>
      <c r="NE42">
        <v>0</v>
      </c>
      <c r="NF42">
        <v>0</v>
      </c>
      <c r="NG42">
        <v>0</v>
      </c>
      <c r="NH42">
        <v>0</v>
      </c>
      <c r="NI42">
        <v>0</v>
      </c>
      <c r="NJ42">
        <v>0</v>
      </c>
      <c r="NK42">
        <v>0</v>
      </c>
      <c r="NL42">
        <v>0</v>
      </c>
      <c r="NM42">
        <v>0</v>
      </c>
      <c r="NN42">
        <v>0</v>
      </c>
      <c r="NO42">
        <v>0</v>
      </c>
      <c r="NP42">
        <v>0</v>
      </c>
      <c r="NQ42">
        <v>0</v>
      </c>
      <c r="NR42">
        <v>0</v>
      </c>
      <c r="NS42">
        <v>0</v>
      </c>
      <c r="NT42">
        <v>0</v>
      </c>
      <c r="NU42">
        <v>0</v>
      </c>
      <c r="NV42">
        <v>0</v>
      </c>
      <c r="NW42">
        <v>0</v>
      </c>
      <c r="NX42">
        <v>0</v>
      </c>
      <c r="NY42">
        <v>0</v>
      </c>
      <c r="NZ42">
        <v>0</v>
      </c>
      <c r="OA42">
        <v>0</v>
      </c>
      <c r="OB42">
        <v>0</v>
      </c>
      <c r="OC42">
        <v>1183</v>
      </c>
      <c r="OD42">
        <v>0</v>
      </c>
      <c r="OE42">
        <v>0</v>
      </c>
      <c r="OF42">
        <v>0</v>
      </c>
      <c r="OG42">
        <v>0</v>
      </c>
      <c r="OH42">
        <v>1183</v>
      </c>
      <c r="OI42">
        <v>0</v>
      </c>
      <c r="OJ42">
        <v>0</v>
      </c>
      <c r="OK42">
        <v>0</v>
      </c>
      <c r="OL42">
        <v>0</v>
      </c>
      <c r="OM42">
        <v>0</v>
      </c>
      <c r="ON42">
        <v>0</v>
      </c>
    </row>
    <row r="43" spans="1:404" x14ac:dyDescent="0.25">
      <c r="A43" t="s">
        <v>194</v>
      </c>
      <c r="B43" t="s">
        <v>195</v>
      </c>
      <c r="C43" t="s">
        <v>193</v>
      </c>
      <c r="E43" t="s">
        <v>125</v>
      </c>
      <c r="F43">
        <v>35948</v>
      </c>
      <c r="G43">
        <v>87455</v>
      </c>
      <c r="H43">
        <v>59554</v>
      </c>
      <c r="I43">
        <v>26979</v>
      </c>
      <c r="J43">
        <v>12130</v>
      </c>
      <c r="K43">
        <v>21269</v>
      </c>
      <c r="L43">
        <v>243335</v>
      </c>
      <c r="M43">
        <v>-680</v>
      </c>
      <c r="N43">
        <v>3553</v>
      </c>
      <c r="O43">
        <v>1102</v>
      </c>
      <c r="P43">
        <v>753</v>
      </c>
      <c r="Q43">
        <v>253</v>
      </c>
      <c r="R43">
        <v>368</v>
      </c>
      <c r="S43">
        <v>889</v>
      </c>
      <c r="T43">
        <v>439</v>
      </c>
      <c r="U43">
        <v>5464</v>
      </c>
      <c r="V43">
        <v>0</v>
      </c>
      <c r="W43">
        <v>-3819</v>
      </c>
      <c r="X43">
        <v>804</v>
      </c>
      <c r="Y43">
        <v>770</v>
      </c>
      <c r="Z43">
        <v>-5518</v>
      </c>
      <c r="AA43">
        <v>-1847</v>
      </c>
      <c r="AB43">
        <v>29</v>
      </c>
      <c r="AC43">
        <v>0</v>
      </c>
      <c r="AD43">
        <v>203</v>
      </c>
      <c r="AE43">
        <v>24</v>
      </c>
      <c r="AF43">
        <v>0</v>
      </c>
      <c r="AG43">
        <v>7821</v>
      </c>
      <c r="AH43">
        <v>1168</v>
      </c>
      <c r="AI43">
        <v>11776</v>
      </c>
      <c r="AJ43">
        <v>0</v>
      </c>
      <c r="AK43">
        <v>0</v>
      </c>
      <c r="AL43">
        <v>0</v>
      </c>
      <c r="AM43">
        <v>0</v>
      </c>
      <c r="AN43">
        <v>0</v>
      </c>
      <c r="AO43">
        <v>0</v>
      </c>
      <c r="AP43">
        <v>0</v>
      </c>
      <c r="AQ43">
        <v>1809</v>
      </c>
      <c r="AR43">
        <v>8686</v>
      </c>
      <c r="AS43">
        <v>0</v>
      </c>
      <c r="AT43">
        <v>0</v>
      </c>
      <c r="AU43">
        <v>0</v>
      </c>
      <c r="AV43">
        <v>3083</v>
      </c>
      <c r="AW43">
        <v>42222</v>
      </c>
      <c r="AX43">
        <v>0</v>
      </c>
      <c r="AY43">
        <v>9291</v>
      </c>
      <c r="AZ43">
        <v>2503</v>
      </c>
      <c r="BA43">
        <v>28743</v>
      </c>
      <c r="BB43">
        <v>3330</v>
      </c>
      <c r="BC43">
        <v>1723</v>
      </c>
      <c r="BD43">
        <v>90895</v>
      </c>
      <c r="BE43">
        <v>20238</v>
      </c>
      <c r="BF43">
        <v>42438</v>
      </c>
      <c r="BG43">
        <v>1590</v>
      </c>
      <c r="BH43">
        <v>1136</v>
      </c>
      <c r="BI43">
        <v>1702</v>
      </c>
      <c r="BJ43">
        <v>11710</v>
      </c>
      <c r="BK43">
        <v>55801</v>
      </c>
      <c r="BL43">
        <v>8445</v>
      </c>
      <c r="BM43">
        <v>22953</v>
      </c>
      <c r="BN43">
        <v>7180</v>
      </c>
      <c r="BO43">
        <v>1665</v>
      </c>
      <c r="BP43">
        <v>1334</v>
      </c>
      <c r="BQ43">
        <v>2631</v>
      </c>
      <c r="BR43">
        <v>5</v>
      </c>
      <c r="BS43">
        <v>2526</v>
      </c>
      <c r="BT43">
        <v>13500</v>
      </c>
      <c r="BU43">
        <v>493</v>
      </c>
      <c r="BV43">
        <v>-12154</v>
      </c>
      <c r="BW43">
        <v>181460</v>
      </c>
      <c r="BX43">
        <v>3026</v>
      </c>
      <c r="BY43">
        <v>1570</v>
      </c>
      <c r="BZ43">
        <v>382</v>
      </c>
      <c r="CA43">
        <v>41</v>
      </c>
      <c r="CB43">
        <v>1573</v>
      </c>
      <c r="CC43">
        <v>478</v>
      </c>
      <c r="CD43">
        <v>172</v>
      </c>
      <c r="CE43">
        <v>277</v>
      </c>
      <c r="CF43">
        <v>196</v>
      </c>
      <c r="CG43">
        <v>345</v>
      </c>
      <c r="CH43">
        <v>345</v>
      </c>
      <c r="CI43">
        <v>6435</v>
      </c>
      <c r="CJ43">
        <v>2519</v>
      </c>
      <c r="CK43">
        <v>37</v>
      </c>
      <c r="CL43">
        <v>44</v>
      </c>
      <c r="CM43">
        <v>183</v>
      </c>
      <c r="CN43">
        <v>532</v>
      </c>
      <c r="CO43">
        <v>70</v>
      </c>
      <c r="CP43">
        <v>1761</v>
      </c>
      <c r="CQ43">
        <v>8260</v>
      </c>
      <c r="CR43">
        <v>1577</v>
      </c>
      <c r="CS43">
        <v>0</v>
      </c>
      <c r="CT43">
        <v>253</v>
      </c>
      <c r="CU43">
        <v>5824</v>
      </c>
      <c r="CV43">
        <v>52836</v>
      </c>
      <c r="CW43">
        <v>0</v>
      </c>
      <c r="CX43">
        <v>0</v>
      </c>
      <c r="CY43">
        <v>0</v>
      </c>
      <c r="CZ43">
        <v>0</v>
      </c>
      <c r="DA43">
        <v>0</v>
      </c>
      <c r="DB43">
        <v>0</v>
      </c>
      <c r="DC43">
        <v>3764</v>
      </c>
      <c r="DD43">
        <v>0</v>
      </c>
      <c r="DE43">
        <v>1435</v>
      </c>
      <c r="DF43">
        <v>402</v>
      </c>
      <c r="DG43">
        <v>1182</v>
      </c>
      <c r="DH43">
        <v>20</v>
      </c>
      <c r="DI43">
        <v>270</v>
      </c>
      <c r="DJ43">
        <v>295</v>
      </c>
      <c r="DK43">
        <v>0</v>
      </c>
      <c r="DL43">
        <v>0</v>
      </c>
      <c r="DM43">
        <v>0</v>
      </c>
      <c r="DN43">
        <v>358</v>
      </c>
      <c r="DO43">
        <v>7803</v>
      </c>
      <c r="DP43">
        <v>9928</v>
      </c>
      <c r="DQ43">
        <v>2045</v>
      </c>
      <c r="DR43">
        <v>0</v>
      </c>
      <c r="DS43">
        <v>0</v>
      </c>
      <c r="DT43">
        <v>3586</v>
      </c>
      <c r="DU43">
        <v>185</v>
      </c>
      <c r="DV43">
        <v>8460</v>
      </c>
      <c r="DW43">
        <v>42</v>
      </c>
      <c r="DX43">
        <v>29847</v>
      </c>
      <c r="DY43">
        <v>112731</v>
      </c>
      <c r="DZ43">
        <v>849</v>
      </c>
      <c r="EA43">
        <v>9015</v>
      </c>
      <c r="EB43">
        <v>0</v>
      </c>
      <c r="EC43">
        <v>0</v>
      </c>
      <c r="ED43">
        <v>288</v>
      </c>
      <c r="EE43">
        <v>0</v>
      </c>
      <c r="EF43">
        <v>1607</v>
      </c>
      <c r="EG43">
        <v>0</v>
      </c>
      <c r="EH43">
        <v>34939</v>
      </c>
      <c r="EI43">
        <v>29554</v>
      </c>
      <c r="EJ43">
        <v>10985</v>
      </c>
      <c r="EK43">
        <v>671</v>
      </c>
      <c r="EL43">
        <v>11193</v>
      </c>
      <c r="EM43">
        <v>0</v>
      </c>
      <c r="EN43">
        <v>31089</v>
      </c>
      <c r="EO43">
        <v>36</v>
      </c>
      <c r="EP43">
        <v>0</v>
      </c>
      <c r="EQ43">
        <v>0</v>
      </c>
      <c r="ER43">
        <v>627</v>
      </c>
      <c r="ES43">
        <v>109737</v>
      </c>
      <c r="ET43">
        <v>115133</v>
      </c>
      <c r="EU43">
        <v>331</v>
      </c>
      <c r="EV43">
        <v>1071</v>
      </c>
      <c r="EW43">
        <v>3</v>
      </c>
      <c r="EX43">
        <v>7632</v>
      </c>
      <c r="EY43">
        <v>1174</v>
      </c>
      <c r="EZ43">
        <v>139</v>
      </c>
      <c r="FA43">
        <v>88</v>
      </c>
      <c r="FB43">
        <v>225</v>
      </c>
      <c r="FC43">
        <v>4815</v>
      </c>
      <c r="FD43">
        <v>6510</v>
      </c>
      <c r="FE43">
        <v>-133</v>
      </c>
      <c r="FF43">
        <v>0</v>
      </c>
      <c r="FG43">
        <v>7168</v>
      </c>
      <c r="FH43">
        <v>29023</v>
      </c>
      <c r="FI43">
        <v>-1185</v>
      </c>
      <c r="FJ43">
        <v>898</v>
      </c>
      <c r="FK43">
        <v>0</v>
      </c>
      <c r="FL43">
        <v>960</v>
      </c>
      <c r="FM43">
        <v>1414</v>
      </c>
      <c r="FN43">
        <v>0</v>
      </c>
      <c r="FO43">
        <v>219</v>
      </c>
      <c r="FP43">
        <v>213</v>
      </c>
      <c r="FQ43">
        <v>0</v>
      </c>
      <c r="FR43">
        <v>358</v>
      </c>
      <c r="FS43">
        <v>75</v>
      </c>
      <c r="FT43">
        <v>0</v>
      </c>
      <c r="FU43">
        <v>-40</v>
      </c>
      <c r="FV43">
        <v>798</v>
      </c>
      <c r="FW43">
        <v>0</v>
      </c>
      <c r="FX43">
        <v>0</v>
      </c>
      <c r="FY43">
        <v>261</v>
      </c>
      <c r="FZ43">
        <v>0</v>
      </c>
      <c r="GA43">
        <v>0</v>
      </c>
      <c r="GB43">
        <v>0</v>
      </c>
      <c r="GC43">
        <v>0</v>
      </c>
      <c r="GD43">
        <v>6414</v>
      </c>
      <c r="GE43">
        <v>10855</v>
      </c>
      <c r="GF43">
        <v>8926</v>
      </c>
      <c r="GG43">
        <v>2025</v>
      </c>
      <c r="GH43">
        <v>11888</v>
      </c>
      <c r="GI43">
        <v>0</v>
      </c>
      <c r="GJ43">
        <v>1857</v>
      </c>
      <c r="GK43">
        <v>45936</v>
      </c>
      <c r="GL43">
        <v>162</v>
      </c>
      <c r="GM43">
        <v>148</v>
      </c>
      <c r="GN43">
        <v>801</v>
      </c>
      <c r="GO43">
        <v>-469</v>
      </c>
      <c r="GP43">
        <v>2746</v>
      </c>
      <c r="GQ43">
        <v>5166</v>
      </c>
      <c r="GR43">
        <v>189</v>
      </c>
      <c r="GS43">
        <v>245</v>
      </c>
      <c r="GT43">
        <v>4339</v>
      </c>
      <c r="GU43">
        <v>13327</v>
      </c>
      <c r="GV43">
        <v>88286</v>
      </c>
      <c r="GW43">
        <v>0</v>
      </c>
      <c r="GX43">
        <v>0</v>
      </c>
      <c r="GY43">
        <v>0</v>
      </c>
      <c r="GZ43">
        <v>0</v>
      </c>
      <c r="HA43">
        <v>0</v>
      </c>
      <c r="HB43">
        <v>8545</v>
      </c>
      <c r="HC43">
        <v>3354</v>
      </c>
      <c r="HD43">
        <v>0</v>
      </c>
      <c r="HE43">
        <v>0</v>
      </c>
      <c r="HF43">
        <v>0</v>
      </c>
      <c r="HG43">
        <v>771</v>
      </c>
      <c r="HH43">
        <v>0</v>
      </c>
      <c r="HI43">
        <v>-75</v>
      </c>
      <c r="HJ43">
        <v>1028</v>
      </c>
      <c r="HK43">
        <v>730</v>
      </c>
      <c r="HL43">
        <v>434</v>
      </c>
      <c r="HM43">
        <v>-418</v>
      </c>
      <c r="HN43">
        <v>0</v>
      </c>
      <c r="HO43">
        <v>0</v>
      </c>
      <c r="HP43">
        <v>1072</v>
      </c>
      <c r="HQ43">
        <v>0</v>
      </c>
      <c r="HR43">
        <v>2620</v>
      </c>
      <c r="HS43">
        <v>0</v>
      </c>
      <c r="HT43">
        <v>0</v>
      </c>
      <c r="HU43">
        <v>0</v>
      </c>
      <c r="HV43">
        <v>18061</v>
      </c>
      <c r="HW43">
        <v>0</v>
      </c>
      <c r="HX43">
        <v>0</v>
      </c>
      <c r="HY43">
        <v>0</v>
      </c>
      <c r="HZ43">
        <v>0</v>
      </c>
      <c r="IA43">
        <v>0</v>
      </c>
      <c r="IB43">
        <v>20190</v>
      </c>
      <c r="IC43">
        <v>243335</v>
      </c>
      <c r="ID43">
        <v>11776</v>
      </c>
      <c r="IE43">
        <v>90895</v>
      </c>
      <c r="IF43">
        <v>181460</v>
      </c>
      <c r="IG43">
        <v>52836</v>
      </c>
      <c r="IH43">
        <v>29847</v>
      </c>
      <c r="II43">
        <v>29023</v>
      </c>
      <c r="IJ43">
        <v>45936</v>
      </c>
      <c r="IK43">
        <v>13327</v>
      </c>
      <c r="IL43">
        <v>0</v>
      </c>
      <c r="IM43">
        <v>0</v>
      </c>
      <c r="IN43">
        <v>18061</v>
      </c>
      <c r="IO43">
        <v>20190</v>
      </c>
      <c r="IP43">
        <v>736686</v>
      </c>
      <c r="IQ43">
        <v>68980</v>
      </c>
      <c r="IR43">
        <v>10543</v>
      </c>
      <c r="IS43">
        <v>44927</v>
      </c>
      <c r="IT43">
        <v>0</v>
      </c>
      <c r="IU43">
        <v>0</v>
      </c>
      <c r="IV43">
        <v>0</v>
      </c>
      <c r="IW43">
        <v>9571</v>
      </c>
      <c r="IX43">
        <v>0</v>
      </c>
      <c r="IY43">
        <v>0</v>
      </c>
      <c r="IZ43">
        <v>737</v>
      </c>
      <c r="JA43">
        <v>-11629</v>
      </c>
      <c r="JB43">
        <v>0</v>
      </c>
      <c r="JC43">
        <v>0</v>
      </c>
      <c r="JD43">
        <v>0</v>
      </c>
      <c r="JE43">
        <v>0</v>
      </c>
      <c r="JF43">
        <v>0</v>
      </c>
      <c r="JG43">
        <v>859815</v>
      </c>
      <c r="JH43">
        <v>512</v>
      </c>
      <c r="JI43">
        <v>2171</v>
      </c>
      <c r="JJ43">
        <v>0</v>
      </c>
      <c r="JK43">
        <v>0</v>
      </c>
      <c r="JL43">
        <v>0</v>
      </c>
      <c r="JM43">
        <v>2839</v>
      </c>
      <c r="JN43">
        <v>5297</v>
      </c>
      <c r="JO43">
        <v>0</v>
      </c>
      <c r="JP43">
        <v>20263</v>
      </c>
      <c r="JQ43">
        <v>-11193</v>
      </c>
      <c r="JR43">
        <v>879704</v>
      </c>
      <c r="JS43">
        <v>-6304</v>
      </c>
      <c r="JT43">
        <v>0</v>
      </c>
      <c r="JU43">
        <v>177</v>
      </c>
      <c r="JV43">
        <v>0</v>
      </c>
      <c r="JW43">
        <v>-152720</v>
      </c>
      <c r="JX43">
        <v>0</v>
      </c>
      <c r="JY43">
        <v>-1341</v>
      </c>
      <c r="JZ43">
        <v>0</v>
      </c>
      <c r="KA43">
        <v>0</v>
      </c>
      <c r="KB43">
        <v>0</v>
      </c>
      <c r="KC43">
        <v>719516</v>
      </c>
      <c r="KD43">
        <v>0</v>
      </c>
      <c r="KE43">
        <v>-325454</v>
      </c>
      <c r="KF43">
        <v>394062</v>
      </c>
      <c r="KG43">
        <v>0</v>
      </c>
      <c r="KH43">
        <v>-2103</v>
      </c>
      <c r="KI43">
        <v>-14646</v>
      </c>
      <c r="KJ43">
        <v>0</v>
      </c>
      <c r="KK43">
        <v>64541</v>
      </c>
      <c r="KL43">
        <v>4408</v>
      </c>
      <c r="KM43">
        <v>0</v>
      </c>
      <c r="KN43">
        <v>0</v>
      </c>
      <c r="KO43">
        <v>-131132</v>
      </c>
      <c r="KP43">
        <v>5536</v>
      </c>
      <c r="KQ43">
        <v>0</v>
      </c>
      <c r="KR43">
        <v>236198</v>
      </c>
      <c r="KS43">
        <v>7180</v>
      </c>
      <c r="KT43">
        <v>-10004</v>
      </c>
      <c r="KU43">
        <v>3775</v>
      </c>
      <c r="KV43">
        <v>108894</v>
      </c>
      <c r="KW43">
        <v>35666</v>
      </c>
      <c r="KX43">
        <v>5077</v>
      </c>
      <c r="KY43">
        <v>-24650</v>
      </c>
      <c r="KZ43">
        <v>3775</v>
      </c>
      <c r="LA43">
        <v>173435</v>
      </c>
      <c r="LB43">
        <v>40074</v>
      </c>
      <c r="LC43">
        <v>0</v>
      </c>
      <c r="LD43">
        <v>69602</v>
      </c>
      <c r="LE43">
        <v>0</v>
      </c>
      <c r="LF43">
        <v>-58823</v>
      </c>
      <c r="LG43">
        <v>-43957</v>
      </c>
      <c r="LH43">
        <v>5483</v>
      </c>
      <c r="LI43">
        <v>55154</v>
      </c>
      <c r="LJ43">
        <v>12654</v>
      </c>
      <c r="LK43">
        <v>23589</v>
      </c>
      <c r="LL43">
        <v>36243</v>
      </c>
      <c r="LM43">
        <v>0</v>
      </c>
      <c r="LN43">
        <v>0</v>
      </c>
      <c r="LO43">
        <v>0</v>
      </c>
      <c r="LP43">
        <v>124490</v>
      </c>
      <c r="LQ43">
        <v>119094</v>
      </c>
      <c r="LR43">
        <v>5396</v>
      </c>
      <c r="LS43">
        <v>109737</v>
      </c>
      <c r="LT43">
        <v>115133</v>
      </c>
      <c r="LU43">
        <v>243335</v>
      </c>
      <c r="LV43">
        <v>11776</v>
      </c>
      <c r="LW43">
        <v>90895</v>
      </c>
      <c r="LX43">
        <v>181460</v>
      </c>
      <c r="LY43">
        <v>52836</v>
      </c>
      <c r="LZ43">
        <v>29847</v>
      </c>
      <c r="MA43">
        <v>29023</v>
      </c>
      <c r="MB43">
        <v>45936</v>
      </c>
      <c r="MC43">
        <v>13327</v>
      </c>
      <c r="MD43">
        <v>0</v>
      </c>
      <c r="ME43">
        <v>0</v>
      </c>
      <c r="MF43">
        <v>18061</v>
      </c>
      <c r="MG43">
        <v>20190</v>
      </c>
      <c r="MH43">
        <v>736686</v>
      </c>
      <c r="MI43">
        <v>0</v>
      </c>
      <c r="MJ43">
        <v>0</v>
      </c>
      <c r="MK43">
        <v>0</v>
      </c>
      <c r="ML43">
        <v>0</v>
      </c>
      <c r="MM43">
        <v>0</v>
      </c>
      <c r="MN43">
        <v>0</v>
      </c>
      <c r="MO43">
        <v>0</v>
      </c>
      <c r="MP43">
        <v>0</v>
      </c>
      <c r="MQ43">
        <v>0</v>
      </c>
      <c r="MR43">
        <v>0</v>
      </c>
      <c r="MS43">
        <v>0</v>
      </c>
      <c r="MT43">
        <v>0</v>
      </c>
      <c r="MU43">
        <v>0</v>
      </c>
      <c r="MV43">
        <v>0</v>
      </c>
      <c r="MW43">
        <v>-7541</v>
      </c>
      <c r="MX43">
        <v>-4088</v>
      </c>
      <c r="MY43">
        <v>0</v>
      </c>
      <c r="MZ43">
        <v>0</v>
      </c>
      <c r="NA43">
        <v>-11629</v>
      </c>
      <c r="NB43">
        <v>0</v>
      </c>
      <c r="NC43">
        <v>-11629</v>
      </c>
      <c r="ND43">
        <v>0</v>
      </c>
      <c r="NE43">
        <v>0</v>
      </c>
      <c r="NF43">
        <v>0</v>
      </c>
      <c r="NG43">
        <v>0</v>
      </c>
      <c r="NH43">
        <v>0</v>
      </c>
      <c r="NI43">
        <v>0</v>
      </c>
      <c r="NJ43">
        <v>0</v>
      </c>
      <c r="NK43">
        <v>0</v>
      </c>
      <c r="NL43">
        <v>0</v>
      </c>
      <c r="NM43">
        <v>0</v>
      </c>
      <c r="NN43">
        <v>0</v>
      </c>
      <c r="NO43">
        <v>0</v>
      </c>
      <c r="NP43">
        <v>0</v>
      </c>
      <c r="NQ43">
        <v>0</v>
      </c>
      <c r="NR43">
        <v>0</v>
      </c>
      <c r="NS43">
        <v>0</v>
      </c>
      <c r="NT43">
        <v>0</v>
      </c>
      <c r="NU43">
        <v>0</v>
      </c>
      <c r="NV43">
        <v>0</v>
      </c>
      <c r="NW43">
        <v>0</v>
      </c>
      <c r="NX43">
        <v>0</v>
      </c>
      <c r="NY43">
        <v>0</v>
      </c>
      <c r="NZ43">
        <v>0</v>
      </c>
      <c r="OA43">
        <v>0</v>
      </c>
      <c r="OB43">
        <v>0</v>
      </c>
      <c r="OC43">
        <v>0</v>
      </c>
      <c r="OD43">
        <v>0</v>
      </c>
      <c r="OE43">
        <v>0</v>
      </c>
      <c r="OF43">
        <v>0</v>
      </c>
      <c r="OG43">
        <v>0</v>
      </c>
      <c r="OH43">
        <v>0</v>
      </c>
      <c r="OI43">
        <v>0</v>
      </c>
      <c r="OJ43">
        <v>0</v>
      </c>
      <c r="OK43">
        <v>0</v>
      </c>
      <c r="OL43">
        <v>0</v>
      </c>
      <c r="OM43">
        <v>0</v>
      </c>
      <c r="ON43">
        <v>0</v>
      </c>
    </row>
    <row r="44" spans="1:404" x14ac:dyDescent="0.25">
      <c r="A44" t="s">
        <v>197</v>
      </c>
      <c r="B44" t="s">
        <v>198</v>
      </c>
      <c r="C44" t="s">
        <v>196</v>
      </c>
      <c r="E44" t="s">
        <v>61</v>
      </c>
      <c r="F44">
        <v>0</v>
      </c>
      <c r="G44">
        <v>0</v>
      </c>
      <c r="H44">
        <v>0</v>
      </c>
      <c r="I44">
        <v>0</v>
      </c>
      <c r="J44">
        <v>0</v>
      </c>
      <c r="K44">
        <v>0</v>
      </c>
      <c r="L44">
        <v>0</v>
      </c>
      <c r="M44">
        <v>0</v>
      </c>
      <c r="N44">
        <v>0</v>
      </c>
      <c r="O44">
        <v>0</v>
      </c>
      <c r="P44">
        <v>0</v>
      </c>
      <c r="Q44">
        <v>0</v>
      </c>
      <c r="R44">
        <v>0</v>
      </c>
      <c r="S44">
        <v>0</v>
      </c>
      <c r="T44">
        <v>0</v>
      </c>
      <c r="U44">
        <v>39</v>
      </c>
      <c r="V44">
        <v>0</v>
      </c>
      <c r="W44">
        <v>0</v>
      </c>
      <c r="X44">
        <v>0</v>
      </c>
      <c r="Y44">
        <v>0</v>
      </c>
      <c r="Z44">
        <v>0</v>
      </c>
      <c r="AA44">
        <v>28</v>
      </c>
      <c r="AB44">
        <v>0</v>
      </c>
      <c r="AC44">
        <v>0</v>
      </c>
      <c r="AD44">
        <v>0</v>
      </c>
      <c r="AE44">
        <v>0</v>
      </c>
      <c r="AF44">
        <v>0</v>
      </c>
      <c r="AG44">
        <v>0</v>
      </c>
      <c r="AH44">
        <v>0</v>
      </c>
      <c r="AI44">
        <v>67</v>
      </c>
      <c r="AJ44">
        <v>0</v>
      </c>
      <c r="AK44">
        <v>0</v>
      </c>
      <c r="AL44">
        <v>0</v>
      </c>
      <c r="AM44">
        <v>0</v>
      </c>
      <c r="AN44">
        <v>0</v>
      </c>
      <c r="AO44">
        <v>0</v>
      </c>
      <c r="AP44">
        <v>0</v>
      </c>
      <c r="AQ44">
        <v>0</v>
      </c>
      <c r="AR44">
        <v>0</v>
      </c>
      <c r="AS44">
        <v>0</v>
      </c>
      <c r="AT44">
        <v>0</v>
      </c>
      <c r="AU44">
        <v>0</v>
      </c>
      <c r="AV44">
        <v>0</v>
      </c>
      <c r="AW44">
        <v>0</v>
      </c>
      <c r="AX44">
        <v>0</v>
      </c>
      <c r="AY44">
        <v>0</v>
      </c>
      <c r="AZ44">
        <v>0</v>
      </c>
      <c r="BA44">
        <v>0</v>
      </c>
      <c r="BB44">
        <v>0</v>
      </c>
      <c r="BC44">
        <v>0</v>
      </c>
      <c r="BD44">
        <v>0</v>
      </c>
      <c r="BE44">
        <v>0</v>
      </c>
      <c r="BF44">
        <v>0</v>
      </c>
      <c r="BG44">
        <v>0</v>
      </c>
      <c r="BH44">
        <v>0</v>
      </c>
      <c r="BI44">
        <v>0</v>
      </c>
      <c r="BJ44">
        <v>0</v>
      </c>
      <c r="BK44">
        <v>0</v>
      </c>
      <c r="BL44">
        <v>0</v>
      </c>
      <c r="BM44">
        <v>0</v>
      </c>
      <c r="BN44">
        <v>0</v>
      </c>
      <c r="BO44">
        <v>0</v>
      </c>
      <c r="BP44">
        <v>0</v>
      </c>
      <c r="BQ44">
        <v>0</v>
      </c>
      <c r="BR44">
        <v>0</v>
      </c>
      <c r="BS44">
        <v>0</v>
      </c>
      <c r="BT44">
        <v>0</v>
      </c>
      <c r="BU44">
        <v>0</v>
      </c>
      <c r="BV44">
        <v>0</v>
      </c>
      <c r="BW44">
        <v>0</v>
      </c>
      <c r="BX44">
        <v>0</v>
      </c>
      <c r="BY44">
        <v>0</v>
      </c>
      <c r="BZ44">
        <v>0</v>
      </c>
      <c r="CA44">
        <v>0</v>
      </c>
      <c r="CB44">
        <v>0</v>
      </c>
      <c r="CC44">
        <v>0</v>
      </c>
      <c r="CD44">
        <v>0</v>
      </c>
      <c r="CE44">
        <v>0</v>
      </c>
      <c r="CF44">
        <v>0</v>
      </c>
      <c r="CG44">
        <v>0</v>
      </c>
      <c r="CH44">
        <v>0</v>
      </c>
      <c r="CI44">
        <v>0</v>
      </c>
      <c r="CJ44">
        <v>0</v>
      </c>
      <c r="CK44">
        <v>0</v>
      </c>
      <c r="CL44">
        <v>0</v>
      </c>
      <c r="CM44">
        <v>0</v>
      </c>
      <c r="CN44">
        <v>0</v>
      </c>
      <c r="CO44">
        <v>0</v>
      </c>
      <c r="CP44">
        <v>0</v>
      </c>
      <c r="CQ44">
        <v>0</v>
      </c>
      <c r="CR44">
        <v>0</v>
      </c>
      <c r="CS44">
        <v>0</v>
      </c>
      <c r="CT44">
        <v>0</v>
      </c>
      <c r="CU44">
        <v>0</v>
      </c>
      <c r="CV44">
        <v>1083</v>
      </c>
      <c r="CW44">
        <v>0</v>
      </c>
      <c r="CX44">
        <v>0</v>
      </c>
      <c r="CY44">
        <v>0</v>
      </c>
      <c r="CZ44">
        <v>0</v>
      </c>
      <c r="DA44">
        <v>0</v>
      </c>
      <c r="DB44">
        <v>0</v>
      </c>
      <c r="DC44">
        <v>357</v>
      </c>
      <c r="DD44">
        <v>-1</v>
      </c>
      <c r="DE44">
        <v>0</v>
      </c>
      <c r="DF44">
        <v>0</v>
      </c>
      <c r="DG44">
        <v>0</v>
      </c>
      <c r="DH44">
        <v>0</v>
      </c>
      <c r="DI44">
        <v>148</v>
      </c>
      <c r="DJ44">
        <v>39</v>
      </c>
      <c r="DK44">
        <v>0</v>
      </c>
      <c r="DL44">
        <v>0</v>
      </c>
      <c r="DM44">
        <v>0</v>
      </c>
      <c r="DN44">
        <v>48</v>
      </c>
      <c r="DO44">
        <v>32</v>
      </c>
      <c r="DP44">
        <v>267</v>
      </c>
      <c r="DQ44">
        <v>114</v>
      </c>
      <c r="DR44">
        <v>0</v>
      </c>
      <c r="DS44">
        <v>0</v>
      </c>
      <c r="DT44">
        <v>774</v>
      </c>
      <c r="DU44">
        <v>0</v>
      </c>
      <c r="DV44">
        <v>2</v>
      </c>
      <c r="DW44">
        <v>66</v>
      </c>
      <c r="DX44">
        <v>1579</v>
      </c>
      <c r="DY44">
        <v>0</v>
      </c>
      <c r="DZ44">
        <v>0</v>
      </c>
      <c r="EA44">
        <v>0</v>
      </c>
      <c r="EB44">
        <v>0</v>
      </c>
      <c r="EC44">
        <v>0</v>
      </c>
      <c r="ED44">
        <v>0</v>
      </c>
      <c r="EE44">
        <v>0</v>
      </c>
      <c r="EF44">
        <v>0</v>
      </c>
      <c r="EG44">
        <v>0</v>
      </c>
      <c r="EH44">
        <v>0</v>
      </c>
      <c r="EI44">
        <v>0</v>
      </c>
      <c r="EJ44">
        <v>0</v>
      </c>
      <c r="EK44">
        <v>0</v>
      </c>
      <c r="EL44">
        <v>0</v>
      </c>
      <c r="EM44">
        <v>0</v>
      </c>
      <c r="EN44">
        <v>0</v>
      </c>
      <c r="EO44">
        <v>0</v>
      </c>
      <c r="EP44">
        <v>0</v>
      </c>
      <c r="EQ44">
        <v>0</v>
      </c>
      <c r="ER44">
        <v>0</v>
      </c>
      <c r="ES44">
        <v>0</v>
      </c>
      <c r="ET44">
        <v>0</v>
      </c>
      <c r="EU44">
        <v>0</v>
      </c>
      <c r="EV44">
        <v>0</v>
      </c>
      <c r="EW44">
        <v>0</v>
      </c>
      <c r="EX44">
        <v>0</v>
      </c>
      <c r="EY44">
        <v>0</v>
      </c>
      <c r="EZ44">
        <v>0</v>
      </c>
      <c r="FA44">
        <v>0</v>
      </c>
      <c r="FB44">
        <v>0</v>
      </c>
      <c r="FC44">
        <v>0</v>
      </c>
      <c r="FD44">
        <v>-33</v>
      </c>
      <c r="FE44">
        <v>0</v>
      </c>
      <c r="FF44">
        <v>24</v>
      </c>
      <c r="FG44">
        <v>0</v>
      </c>
      <c r="FH44">
        <v>-9</v>
      </c>
      <c r="FI44">
        <v>0</v>
      </c>
      <c r="FJ44">
        <v>0</v>
      </c>
      <c r="FK44">
        <v>0</v>
      </c>
      <c r="FL44">
        <v>154</v>
      </c>
      <c r="FM44">
        <v>332</v>
      </c>
      <c r="FN44">
        <v>0</v>
      </c>
      <c r="FO44">
        <v>0</v>
      </c>
      <c r="FP44">
        <v>0</v>
      </c>
      <c r="FQ44">
        <v>0</v>
      </c>
      <c r="FR44">
        <v>0</v>
      </c>
      <c r="FS44">
        <v>91</v>
      </c>
      <c r="FT44">
        <v>29</v>
      </c>
      <c r="FU44">
        <v>-121</v>
      </c>
      <c r="FV44">
        <v>0</v>
      </c>
      <c r="FW44">
        <v>0</v>
      </c>
      <c r="FX44">
        <v>0</v>
      </c>
      <c r="FY44">
        <v>0</v>
      </c>
      <c r="FZ44">
        <v>0</v>
      </c>
      <c r="GA44">
        <v>256</v>
      </c>
      <c r="GB44">
        <v>0</v>
      </c>
      <c r="GC44">
        <v>0</v>
      </c>
      <c r="GD44">
        <v>499</v>
      </c>
      <c r="GE44">
        <v>4313</v>
      </c>
      <c r="GF44">
        <v>0</v>
      </c>
      <c r="GG44">
        <v>-15</v>
      </c>
      <c r="GH44">
        <v>-2493</v>
      </c>
      <c r="GI44">
        <v>0</v>
      </c>
      <c r="GJ44">
        <v>0</v>
      </c>
      <c r="GK44">
        <v>3045</v>
      </c>
      <c r="GL44">
        <v>-5</v>
      </c>
      <c r="GM44">
        <v>258</v>
      </c>
      <c r="GN44">
        <v>0</v>
      </c>
      <c r="GO44">
        <v>442</v>
      </c>
      <c r="GP44">
        <v>0</v>
      </c>
      <c r="GQ44">
        <v>525</v>
      </c>
      <c r="GR44">
        <v>0</v>
      </c>
      <c r="GS44">
        <v>0</v>
      </c>
      <c r="GT44">
        <v>0</v>
      </c>
      <c r="GU44">
        <v>1220</v>
      </c>
      <c r="GV44">
        <v>4256</v>
      </c>
      <c r="GW44">
        <v>0</v>
      </c>
      <c r="GX44">
        <v>0</v>
      </c>
      <c r="GY44">
        <v>0</v>
      </c>
      <c r="GZ44">
        <v>0</v>
      </c>
      <c r="HA44">
        <v>0</v>
      </c>
      <c r="HB44">
        <v>418</v>
      </c>
      <c r="HC44">
        <v>377</v>
      </c>
      <c r="HD44">
        <v>0</v>
      </c>
      <c r="HE44">
        <v>0</v>
      </c>
      <c r="HF44">
        <v>204</v>
      </c>
      <c r="HG44">
        <v>-26</v>
      </c>
      <c r="HH44">
        <v>0</v>
      </c>
      <c r="HI44">
        <v>0</v>
      </c>
      <c r="HJ44">
        <v>41</v>
      </c>
      <c r="HK44">
        <v>23</v>
      </c>
      <c r="HL44">
        <v>45</v>
      </c>
      <c r="HM44">
        <v>-106</v>
      </c>
      <c r="HN44">
        <v>0</v>
      </c>
      <c r="HO44">
        <v>25</v>
      </c>
      <c r="HP44">
        <v>0</v>
      </c>
      <c r="HQ44">
        <v>0</v>
      </c>
      <c r="HR44">
        <v>780</v>
      </c>
      <c r="HS44">
        <v>0</v>
      </c>
      <c r="HT44">
        <v>0</v>
      </c>
      <c r="HU44">
        <v>4226</v>
      </c>
      <c r="HV44">
        <v>6007</v>
      </c>
      <c r="HW44">
        <v>0</v>
      </c>
      <c r="HX44">
        <v>0</v>
      </c>
      <c r="HY44">
        <v>0</v>
      </c>
      <c r="HZ44">
        <v>0</v>
      </c>
      <c r="IA44">
        <v>0</v>
      </c>
      <c r="IB44">
        <v>0</v>
      </c>
      <c r="IC44">
        <v>0</v>
      </c>
      <c r="ID44">
        <v>67</v>
      </c>
      <c r="IE44">
        <v>0</v>
      </c>
      <c r="IF44">
        <v>0</v>
      </c>
      <c r="IG44">
        <v>1083</v>
      </c>
      <c r="IH44">
        <v>1579</v>
      </c>
      <c r="II44">
        <v>-9</v>
      </c>
      <c r="IJ44">
        <v>3045</v>
      </c>
      <c r="IK44">
        <v>1220</v>
      </c>
      <c r="IL44">
        <v>0</v>
      </c>
      <c r="IM44">
        <v>0</v>
      </c>
      <c r="IN44">
        <v>6007</v>
      </c>
      <c r="IO44">
        <v>0</v>
      </c>
      <c r="IP44">
        <v>12992</v>
      </c>
      <c r="IQ44">
        <v>14436</v>
      </c>
      <c r="IR44">
        <v>169</v>
      </c>
      <c r="IS44">
        <v>0</v>
      </c>
      <c r="IT44">
        <v>0</v>
      </c>
      <c r="IU44">
        <v>0</v>
      </c>
      <c r="IV44">
        <v>3944</v>
      </c>
      <c r="IW44">
        <v>0</v>
      </c>
      <c r="IX44">
        <v>0</v>
      </c>
      <c r="IY44">
        <v>0</v>
      </c>
      <c r="IZ44">
        <v>0</v>
      </c>
      <c r="JA44">
        <v>0</v>
      </c>
      <c r="JB44">
        <v>0</v>
      </c>
      <c r="JC44">
        <v>0</v>
      </c>
      <c r="JD44">
        <v>0</v>
      </c>
      <c r="JE44">
        <v>-35</v>
      </c>
      <c r="JF44">
        <v>0</v>
      </c>
      <c r="JG44">
        <v>31506</v>
      </c>
      <c r="JH44">
        <v>0</v>
      </c>
      <c r="JI44">
        <v>2683</v>
      </c>
      <c r="JJ44">
        <v>0</v>
      </c>
      <c r="JK44">
        <v>0</v>
      </c>
      <c r="JL44">
        <v>0</v>
      </c>
      <c r="JM44">
        <v>0</v>
      </c>
      <c r="JN44">
        <v>0</v>
      </c>
      <c r="JO44">
        <v>0</v>
      </c>
      <c r="JP44">
        <v>4</v>
      </c>
      <c r="JQ44">
        <v>0</v>
      </c>
      <c r="JR44">
        <v>34193</v>
      </c>
      <c r="JS44">
        <v>-375</v>
      </c>
      <c r="JT44">
        <v>0</v>
      </c>
      <c r="JU44">
        <v>0</v>
      </c>
      <c r="JV44">
        <v>0</v>
      </c>
      <c r="JW44">
        <v>-14819</v>
      </c>
      <c r="JX44">
        <v>0</v>
      </c>
      <c r="JY44">
        <v>-417</v>
      </c>
      <c r="JZ44">
        <v>0</v>
      </c>
      <c r="KA44">
        <v>0</v>
      </c>
      <c r="KB44">
        <v>0</v>
      </c>
      <c r="KC44">
        <v>18582</v>
      </c>
      <c r="KD44">
        <v>0</v>
      </c>
      <c r="KE44">
        <v>-4408</v>
      </c>
      <c r="KF44">
        <v>14174</v>
      </c>
      <c r="KG44">
        <v>0</v>
      </c>
      <c r="KH44">
        <v>0</v>
      </c>
      <c r="KI44">
        <v>0</v>
      </c>
      <c r="KJ44">
        <v>0</v>
      </c>
      <c r="KK44">
        <v>3414</v>
      </c>
      <c r="KL44">
        <v>24</v>
      </c>
      <c r="KM44">
        <v>-31</v>
      </c>
      <c r="KN44">
        <v>0</v>
      </c>
      <c r="KO44">
        <v>-3983</v>
      </c>
      <c r="KP44">
        <v>49</v>
      </c>
      <c r="KQ44">
        <v>745</v>
      </c>
      <c r="KR44">
        <v>10175</v>
      </c>
      <c r="KS44">
        <v>0</v>
      </c>
      <c r="KT44">
        <v>0</v>
      </c>
      <c r="KU44">
        <v>0</v>
      </c>
      <c r="KV44">
        <v>20786</v>
      </c>
      <c r="KW44">
        <v>6400</v>
      </c>
      <c r="KX44">
        <v>0</v>
      </c>
      <c r="KY44">
        <v>0</v>
      </c>
      <c r="KZ44">
        <v>0</v>
      </c>
      <c r="LA44">
        <v>24200</v>
      </c>
      <c r="LB44">
        <v>6424</v>
      </c>
      <c r="LC44">
        <v>0</v>
      </c>
      <c r="LD44">
        <v>248</v>
      </c>
      <c r="LE44">
        <v>0</v>
      </c>
      <c r="LF44">
        <v>0</v>
      </c>
      <c r="LG44">
        <v>-3455</v>
      </c>
      <c r="LH44">
        <v>3385</v>
      </c>
      <c r="LI44">
        <v>178</v>
      </c>
      <c r="LJ44">
        <v>3129</v>
      </c>
      <c r="LK44">
        <v>3058</v>
      </c>
      <c r="LL44">
        <v>6187</v>
      </c>
      <c r="LM44">
        <v>0</v>
      </c>
      <c r="LN44">
        <v>0</v>
      </c>
      <c r="LO44">
        <v>0</v>
      </c>
      <c r="LP44">
        <v>0</v>
      </c>
      <c r="LQ44">
        <v>0</v>
      </c>
      <c r="LR44">
        <v>0</v>
      </c>
      <c r="LS44">
        <v>0</v>
      </c>
      <c r="LT44">
        <v>0</v>
      </c>
      <c r="LU44">
        <v>0</v>
      </c>
      <c r="LV44">
        <v>67</v>
      </c>
      <c r="LW44">
        <v>0</v>
      </c>
      <c r="LX44">
        <v>0</v>
      </c>
      <c r="LY44">
        <v>1083</v>
      </c>
      <c r="LZ44">
        <v>1579</v>
      </c>
      <c r="MA44">
        <v>-9</v>
      </c>
      <c r="MB44">
        <v>3045</v>
      </c>
      <c r="MC44">
        <v>1220</v>
      </c>
      <c r="MD44">
        <v>0</v>
      </c>
      <c r="ME44">
        <v>0</v>
      </c>
      <c r="MF44">
        <v>6007</v>
      </c>
      <c r="MG44">
        <v>0</v>
      </c>
      <c r="MH44">
        <v>12992</v>
      </c>
      <c r="MI44">
        <v>0</v>
      </c>
      <c r="MJ44">
        <v>0</v>
      </c>
      <c r="MK44">
        <v>0</v>
      </c>
      <c r="ML44">
        <v>0</v>
      </c>
      <c r="MM44">
        <v>0</v>
      </c>
      <c r="MN44">
        <v>0</v>
      </c>
      <c r="MO44">
        <v>0</v>
      </c>
      <c r="MP44">
        <v>0</v>
      </c>
      <c r="MQ44">
        <v>0</v>
      </c>
      <c r="MR44">
        <v>0</v>
      </c>
      <c r="MS44">
        <v>0</v>
      </c>
      <c r="MT44">
        <v>0</v>
      </c>
      <c r="MU44">
        <v>0</v>
      </c>
      <c r="MV44">
        <v>0</v>
      </c>
      <c r="MW44">
        <v>0</v>
      </c>
      <c r="MX44">
        <v>0</v>
      </c>
      <c r="MY44">
        <v>0</v>
      </c>
      <c r="MZ44">
        <v>0</v>
      </c>
      <c r="NA44">
        <v>0</v>
      </c>
      <c r="NB44">
        <v>0</v>
      </c>
      <c r="NC44">
        <v>0</v>
      </c>
      <c r="ND44">
        <v>0</v>
      </c>
      <c r="NE44">
        <v>0</v>
      </c>
      <c r="NF44">
        <v>0</v>
      </c>
      <c r="NG44">
        <v>0</v>
      </c>
      <c r="NH44">
        <v>0</v>
      </c>
      <c r="NI44">
        <v>0</v>
      </c>
      <c r="NJ44">
        <v>0</v>
      </c>
      <c r="NK44">
        <v>0</v>
      </c>
      <c r="NL44">
        <v>0</v>
      </c>
      <c r="NM44">
        <v>0</v>
      </c>
      <c r="NN44">
        <v>0</v>
      </c>
      <c r="NO44">
        <v>0</v>
      </c>
      <c r="NP44">
        <v>0</v>
      </c>
      <c r="NQ44">
        <v>0</v>
      </c>
      <c r="NR44">
        <v>0</v>
      </c>
      <c r="NS44">
        <v>0</v>
      </c>
      <c r="NT44">
        <v>0</v>
      </c>
      <c r="NU44">
        <v>0</v>
      </c>
      <c r="NV44">
        <v>0</v>
      </c>
      <c r="NW44">
        <v>0</v>
      </c>
      <c r="NX44">
        <v>0</v>
      </c>
      <c r="NY44">
        <v>0</v>
      </c>
      <c r="NZ44">
        <v>0</v>
      </c>
      <c r="OA44">
        <v>0</v>
      </c>
      <c r="OB44">
        <v>0</v>
      </c>
      <c r="OC44">
        <v>0</v>
      </c>
      <c r="OD44">
        <v>0</v>
      </c>
      <c r="OE44">
        <v>0</v>
      </c>
      <c r="OF44">
        <v>0</v>
      </c>
      <c r="OG44">
        <v>0</v>
      </c>
      <c r="OH44">
        <v>0</v>
      </c>
      <c r="OI44">
        <v>0</v>
      </c>
      <c r="OJ44">
        <v>0</v>
      </c>
      <c r="OK44">
        <v>0</v>
      </c>
      <c r="OL44">
        <v>0</v>
      </c>
      <c r="OM44">
        <v>0</v>
      </c>
      <c r="ON44">
        <v>0</v>
      </c>
    </row>
    <row r="45" spans="1:404" x14ac:dyDescent="0.25">
      <c r="A45" t="s">
        <v>200</v>
      </c>
      <c r="B45" t="s">
        <v>201</v>
      </c>
      <c r="C45" t="s">
        <v>199</v>
      </c>
      <c r="E45" t="s">
        <v>1940</v>
      </c>
      <c r="F45">
        <v>23871</v>
      </c>
      <c r="G45">
        <v>15162</v>
      </c>
      <c r="H45">
        <v>11638</v>
      </c>
      <c r="I45">
        <v>35815</v>
      </c>
      <c r="J45">
        <v>6274</v>
      </c>
      <c r="K45">
        <v>15101</v>
      </c>
      <c r="L45">
        <v>107861</v>
      </c>
      <c r="M45">
        <v>300</v>
      </c>
      <c r="N45">
        <v>0</v>
      </c>
      <c r="O45">
        <v>0</v>
      </c>
      <c r="P45">
        <v>-153</v>
      </c>
      <c r="Q45">
        <v>176</v>
      </c>
      <c r="R45">
        <v>389</v>
      </c>
      <c r="S45">
        <v>4692</v>
      </c>
      <c r="T45">
        <v>533</v>
      </c>
      <c r="U45">
        <v>2419</v>
      </c>
      <c r="V45">
        <v>0</v>
      </c>
      <c r="W45">
        <v>-66</v>
      </c>
      <c r="X45">
        <v>0</v>
      </c>
      <c r="Y45">
        <v>305</v>
      </c>
      <c r="Z45">
        <v>-2854</v>
      </c>
      <c r="AA45">
        <v>-1075</v>
      </c>
      <c r="AB45">
        <v>9482</v>
      </c>
      <c r="AC45">
        <v>0</v>
      </c>
      <c r="AD45">
        <v>0</v>
      </c>
      <c r="AE45">
        <v>0</v>
      </c>
      <c r="AF45">
        <v>0</v>
      </c>
      <c r="AG45">
        <v>0</v>
      </c>
      <c r="AH45">
        <v>0</v>
      </c>
      <c r="AI45">
        <v>14148</v>
      </c>
      <c r="AJ45">
        <v>0</v>
      </c>
      <c r="AK45">
        <v>0</v>
      </c>
      <c r="AL45">
        <v>0</v>
      </c>
      <c r="AM45">
        <v>0</v>
      </c>
      <c r="AN45">
        <v>0</v>
      </c>
      <c r="AO45">
        <v>0</v>
      </c>
      <c r="AP45">
        <v>0</v>
      </c>
      <c r="AQ45">
        <v>2999</v>
      </c>
      <c r="AR45">
        <v>3699</v>
      </c>
      <c r="AS45">
        <v>0</v>
      </c>
      <c r="AT45">
        <v>0</v>
      </c>
      <c r="AU45">
        <v>0</v>
      </c>
      <c r="AV45">
        <v>861</v>
      </c>
      <c r="AW45">
        <v>30075</v>
      </c>
      <c r="AX45">
        <v>0</v>
      </c>
      <c r="AY45">
        <v>5588</v>
      </c>
      <c r="AZ45">
        <v>2068</v>
      </c>
      <c r="BA45">
        <v>19997</v>
      </c>
      <c r="BB45">
        <v>875</v>
      </c>
      <c r="BC45">
        <v>958</v>
      </c>
      <c r="BD45">
        <v>60422</v>
      </c>
      <c r="BE45">
        <v>6131</v>
      </c>
      <c r="BF45">
        <v>5914</v>
      </c>
      <c r="BG45">
        <v>79</v>
      </c>
      <c r="BH45">
        <v>42</v>
      </c>
      <c r="BI45">
        <v>1370</v>
      </c>
      <c r="BJ45">
        <v>9036</v>
      </c>
      <c r="BK45">
        <v>36205</v>
      </c>
      <c r="BL45">
        <v>3633</v>
      </c>
      <c r="BM45">
        <v>4858</v>
      </c>
      <c r="BN45">
        <v>1961</v>
      </c>
      <c r="BO45">
        <v>0</v>
      </c>
      <c r="BP45">
        <v>0</v>
      </c>
      <c r="BQ45">
        <v>0</v>
      </c>
      <c r="BR45">
        <v>4</v>
      </c>
      <c r="BS45">
        <v>153</v>
      </c>
      <c r="BT45">
        <v>11548</v>
      </c>
      <c r="BU45">
        <v>271</v>
      </c>
      <c r="BV45">
        <v>3992</v>
      </c>
      <c r="BW45">
        <v>90682</v>
      </c>
      <c r="BX45">
        <v>1318</v>
      </c>
      <c r="BY45">
        <v>761</v>
      </c>
      <c r="BZ45">
        <v>763</v>
      </c>
      <c r="CA45">
        <v>403</v>
      </c>
      <c r="CB45">
        <v>509</v>
      </c>
      <c r="CC45">
        <v>50</v>
      </c>
      <c r="CD45">
        <v>171</v>
      </c>
      <c r="CE45">
        <v>80</v>
      </c>
      <c r="CF45">
        <v>27</v>
      </c>
      <c r="CG45">
        <v>128</v>
      </c>
      <c r="CH45">
        <v>159</v>
      </c>
      <c r="CI45">
        <v>1148</v>
      </c>
      <c r="CJ45">
        <v>537</v>
      </c>
      <c r="CK45">
        <v>38</v>
      </c>
      <c r="CL45">
        <v>38</v>
      </c>
      <c r="CM45">
        <v>192</v>
      </c>
      <c r="CN45">
        <v>66</v>
      </c>
      <c r="CO45">
        <v>18</v>
      </c>
      <c r="CP45">
        <v>104</v>
      </c>
      <c r="CQ45">
        <v>3689</v>
      </c>
      <c r="CR45">
        <v>2835</v>
      </c>
      <c r="CS45">
        <v>9</v>
      </c>
      <c r="CT45">
        <v>474</v>
      </c>
      <c r="CU45">
        <v>1891</v>
      </c>
      <c r="CV45">
        <v>15805</v>
      </c>
      <c r="CW45">
        <v>249</v>
      </c>
      <c r="CX45">
        <v>0</v>
      </c>
      <c r="CY45">
        <v>0</v>
      </c>
      <c r="CZ45">
        <v>0</v>
      </c>
      <c r="DA45">
        <v>0</v>
      </c>
      <c r="DB45">
        <v>0</v>
      </c>
      <c r="DC45">
        <v>123</v>
      </c>
      <c r="DD45">
        <v>-1</v>
      </c>
      <c r="DE45">
        <v>98</v>
      </c>
      <c r="DF45">
        <v>0</v>
      </c>
      <c r="DG45">
        <v>7520</v>
      </c>
      <c r="DH45">
        <v>2057</v>
      </c>
      <c r="DI45">
        <v>0</v>
      </c>
      <c r="DJ45">
        <v>0</v>
      </c>
      <c r="DK45">
        <v>-82</v>
      </c>
      <c r="DL45">
        <v>0</v>
      </c>
      <c r="DM45">
        <v>0</v>
      </c>
      <c r="DN45">
        <v>768</v>
      </c>
      <c r="DO45">
        <v>5652</v>
      </c>
      <c r="DP45">
        <v>15915</v>
      </c>
      <c r="DQ45">
        <v>858</v>
      </c>
      <c r="DR45">
        <v>0</v>
      </c>
      <c r="DS45">
        <v>0</v>
      </c>
      <c r="DT45">
        <v>1711</v>
      </c>
      <c r="DU45">
        <v>188</v>
      </c>
      <c r="DV45">
        <v>3216</v>
      </c>
      <c r="DW45">
        <v>0</v>
      </c>
      <c r="DX45">
        <v>22108</v>
      </c>
      <c r="DY45">
        <v>0</v>
      </c>
      <c r="DZ45">
        <v>0</v>
      </c>
      <c r="EA45">
        <v>0</v>
      </c>
      <c r="EB45">
        <v>0</v>
      </c>
      <c r="EC45">
        <v>0</v>
      </c>
      <c r="ED45">
        <v>0</v>
      </c>
      <c r="EE45">
        <v>0</v>
      </c>
      <c r="EF45">
        <v>0</v>
      </c>
      <c r="EG45">
        <v>0</v>
      </c>
      <c r="EH45">
        <v>0</v>
      </c>
      <c r="EI45">
        <v>0</v>
      </c>
      <c r="EJ45">
        <v>0</v>
      </c>
      <c r="EK45">
        <v>0</v>
      </c>
      <c r="EL45">
        <v>0</v>
      </c>
      <c r="EM45">
        <v>0</v>
      </c>
      <c r="EN45">
        <v>0</v>
      </c>
      <c r="EO45">
        <v>0</v>
      </c>
      <c r="EP45">
        <v>0</v>
      </c>
      <c r="EQ45">
        <v>0</v>
      </c>
      <c r="ER45">
        <v>0</v>
      </c>
      <c r="ES45">
        <v>0</v>
      </c>
      <c r="ET45">
        <v>0</v>
      </c>
      <c r="EU45">
        <v>0</v>
      </c>
      <c r="EV45">
        <v>0</v>
      </c>
      <c r="EW45">
        <v>10</v>
      </c>
      <c r="EX45">
        <v>3</v>
      </c>
      <c r="EY45">
        <v>82</v>
      </c>
      <c r="EZ45">
        <v>6</v>
      </c>
      <c r="FA45">
        <v>0</v>
      </c>
      <c r="FB45">
        <v>215</v>
      </c>
      <c r="FC45">
        <v>-139</v>
      </c>
      <c r="FD45">
        <v>8488</v>
      </c>
      <c r="FE45">
        <v>0</v>
      </c>
      <c r="FF45">
        <v>0</v>
      </c>
      <c r="FG45">
        <v>4908</v>
      </c>
      <c r="FH45">
        <v>13573</v>
      </c>
      <c r="FI45">
        <v>341</v>
      </c>
      <c r="FJ45">
        <v>695</v>
      </c>
      <c r="FK45">
        <v>0</v>
      </c>
      <c r="FL45">
        <v>1278</v>
      </c>
      <c r="FM45">
        <v>502</v>
      </c>
      <c r="FN45">
        <v>0</v>
      </c>
      <c r="FO45">
        <v>0</v>
      </c>
      <c r="FP45">
        <v>0</v>
      </c>
      <c r="FQ45">
        <v>0</v>
      </c>
      <c r="FR45">
        <v>0</v>
      </c>
      <c r="FS45">
        <v>-9</v>
      </c>
      <c r="FT45">
        <v>4</v>
      </c>
      <c r="FU45">
        <v>-393</v>
      </c>
      <c r="FV45">
        <v>0</v>
      </c>
      <c r="FW45">
        <v>731</v>
      </c>
      <c r="FX45">
        <v>677</v>
      </c>
      <c r="FY45">
        <v>0</v>
      </c>
      <c r="FZ45">
        <v>0</v>
      </c>
      <c r="GA45">
        <v>0</v>
      </c>
      <c r="GB45">
        <v>0</v>
      </c>
      <c r="GC45">
        <v>0</v>
      </c>
      <c r="GD45">
        <v>6510</v>
      </c>
      <c r="GE45">
        <v>6541</v>
      </c>
      <c r="GF45">
        <v>5492</v>
      </c>
      <c r="GG45">
        <v>286</v>
      </c>
      <c r="GH45">
        <v>7846</v>
      </c>
      <c r="GI45">
        <v>0</v>
      </c>
      <c r="GJ45">
        <v>0</v>
      </c>
      <c r="GK45">
        <v>30501</v>
      </c>
      <c r="GL45">
        <v>511</v>
      </c>
      <c r="GM45">
        <v>1863</v>
      </c>
      <c r="GN45">
        <v>805</v>
      </c>
      <c r="GO45">
        <v>0</v>
      </c>
      <c r="GP45">
        <v>0</v>
      </c>
      <c r="GQ45">
        <v>882</v>
      </c>
      <c r="GR45">
        <v>0</v>
      </c>
      <c r="GS45">
        <v>10553</v>
      </c>
      <c r="GT45">
        <v>-43</v>
      </c>
      <c r="GU45">
        <v>14571</v>
      </c>
      <c r="GV45">
        <v>58645</v>
      </c>
      <c r="GW45">
        <v>0</v>
      </c>
      <c r="GX45">
        <v>0</v>
      </c>
      <c r="GY45">
        <v>0</v>
      </c>
      <c r="GZ45">
        <v>0</v>
      </c>
      <c r="HA45">
        <v>0</v>
      </c>
      <c r="HB45">
        <v>6024</v>
      </c>
      <c r="HC45">
        <v>1165</v>
      </c>
      <c r="HD45">
        <v>0</v>
      </c>
      <c r="HE45">
        <v>0</v>
      </c>
      <c r="HF45">
        <v>1865</v>
      </c>
      <c r="HG45">
        <v>145</v>
      </c>
      <c r="HH45">
        <v>0</v>
      </c>
      <c r="HI45">
        <v>271</v>
      </c>
      <c r="HJ45">
        <v>444</v>
      </c>
      <c r="HK45">
        <v>693</v>
      </c>
      <c r="HL45">
        <v>236</v>
      </c>
      <c r="HM45">
        <v>18</v>
      </c>
      <c r="HN45">
        <v>0</v>
      </c>
      <c r="HO45">
        <v>0</v>
      </c>
      <c r="HP45">
        <v>380</v>
      </c>
      <c r="HQ45">
        <v>0</v>
      </c>
      <c r="HR45">
        <v>1179</v>
      </c>
      <c r="HS45">
        <v>0</v>
      </c>
      <c r="HT45">
        <v>0</v>
      </c>
      <c r="HU45">
        <v>-238</v>
      </c>
      <c r="HV45">
        <v>12182</v>
      </c>
      <c r="HW45">
        <v>6153</v>
      </c>
      <c r="HX45">
        <v>37425</v>
      </c>
      <c r="HY45">
        <v>0</v>
      </c>
      <c r="HZ45">
        <v>1020</v>
      </c>
      <c r="IA45">
        <v>73</v>
      </c>
      <c r="IB45">
        <v>224</v>
      </c>
      <c r="IC45">
        <v>107861</v>
      </c>
      <c r="ID45">
        <v>14148</v>
      </c>
      <c r="IE45">
        <v>60422</v>
      </c>
      <c r="IF45">
        <v>90682</v>
      </c>
      <c r="IG45">
        <v>15805</v>
      </c>
      <c r="IH45">
        <v>22108</v>
      </c>
      <c r="II45">
        <v>13573</v>
      </c>
      <c r="IJ45">
        <v>30501</v>
      </c>
      <c r="IK45">
        <v>14571</v>
      </c>
      <c r="IL45">
        <v>0</v>
      </c>
      <c r="IM45">
        <v>0</v>
      </c>
      <c r="IN45">
        <v>12182</v>
      </c>
      <c r="IO45">
        <v>224</v>
      </c>
      <c r="IP45">
        <v>382077</v>
      </c>
      <c r="IQ45">
        <v>71996</v>
      </c>
      <c r="IR45">
        <v>10856</v>
      </c>
      <c r="IS45">
        <v>0</v>
      </c>
      <c r="IT45">
        <v>0</v>
      </c>
      <c r="IU45">
        <v>0</v>
      </c>
      <c r="IV45">
        <v>0</v>
      </c>
      <c r="IW45">
        <v>0</v>
      </c>
      <c r="IX45">
        <v>0</v>
      </c>
      <c r="IY45">
        <v>452</v>
      </c>
      <c r="IZ45">
        <v>552</v>
      </c>
      <c r="JA45">
        <v>-7385</v>
      </c>
      <c r="JB45">
        <v>0</v>
      </c>
      <c r="JC45">
        <v>0</v>
      </c>
      <c r="JD45">
        <v>0</v>
      </c>
      <c r="JE45">
        <v>-181</v>
      </c>
      <c r="JF45">
        <v>74</v>
      </c>
      <c r="JG45">
        <v>458441</v>
      </c>
      <c r="JH45">
        <v>259</v>
      </c>
      <c r="JI45">
        <v>46</v>
      </c>
      <c r="JJ45">
        <v>0</v>
      </c>
      <c r="JK45">
        <v>0</v>
      </c>
      <c r="JL45">
        <v>0</v>
      </c>
      <c r="JM45">
        <v>-216</v>
      </c>
      <c r="JN45">
        <v>686</v>
      </c>
      <c r="JO45">
        <v>0</v>
      </c>
      <c r="JP45">
        <v>518</v>
      </c>
      <c r="JQ45">
        <v>0</v>
      </c>
      <c r="JR45">
        <v>459734</v>
      </c>
      <c r="JS45">
        <v>-6158</v>
      </c>
      <c r="JT45">
        <v>0</v>
      </c>
      <c r="JU45">
        <v>0</v>
      </c>
      <c r="JV45">
        <v>0</v>
      </c>
      <c r="JW45">
        <v>-86709</v>
      </c>
      <c r="JX45">
        <v>0</v>
      </c>
      <c r="JY45">
        <v>0</v>
      </c>
      <c r="JZ45">
        <v>0</v>
      </c>
      <c r="KA45">
        <v>0</v>
      </c>
      <c r="KB45">
        <v>0</v>
      </c>
      <c r="KC45">
        <v>366867</v>
      </c>
      <c r="KD45">
        <v>-22</v>
      </c>
      <c r="KE45">
        <v>-155467</v>
      </c>
      <c r="KF45">
        <v>211377</v>
      </c>
      <c r="KG45">
        <v>0</v>
      </c>
      <c r="KH45">
        <v>257</v>
      </c>
      <c r="KI45">
        <v>-6003</v>
      </c>
      <c r="KJ45">
        <v>109</v>
      </c>
      <c r="KK45">
        <v>25677</v>
      </c>
      <c r="KL45">
        <v>0</v>
      </c>
      <c r="KM45">
        <v>0</v>
      </c>
      <c r="KN45">
        <v>0</v>
      </c>
      <c r="KO45">
        <v>-40874</v>
      </c>
      <c r="KP45">
        <v>-5153</v>
      </c>
      <c r="KQ45">
        <v>0</v>
      </c>
      <c r="KR45">
        <v>175312</v>
      </c>
      <c r="KS45">
        <v>2550</v>
      </c>
      <c r="KT45">
        <v>-1139</v>
      </c>
      <c r="KU45">
        <v>1745</v>
      </c>
      <c r="KV45">
        <v>235360</v>
      </c>
      <c r="KW45">
        <v>0</v>
      </c>
      <c r="KX45">
        <v>2807</v>
      </c>
      <c r="KY45">
        <v>-7142</v>
      </c>
      <c r="KZ45">
        <v>1854</v>
      </c>
      <c r="LA45">
        <v>261037</v>
      </c>
      <c r="LB45">
        <v>0</v>
      </c>
      <c r="LC45">
        <v>0</v>
      </c>
      <c r="LD45">
        <v>686</v>
      </c>
      <c r="LE45">
        <v>0</v>
      </c>
      <c r="LF45">
        <v>0</v>
      </c>
      <c r="LG45">
        <v>0</v>
      </c>
      <c r="LH45">
        <v>0</v>
      </c>
      <c r="LI45">
        <v>686</v>
      </c>
      <c r="LJ45">
        <v>6170</v>
      </c>
      <c r="LK45">
        <v>7911</v>
      </c>
      <c r="LL45">
        <v>14081</v>
      </c>
      <c r="LM45">
        <v>0</v>
      </c>
      <c r="LN45">
        <v>0</v>
      </c>
      <c r="LO45">
        <v>0</v>
      </c>
      <c r="LP45">
        <v>0</v>
      </c>
      <c r="LQ45">
        <v>0</v>
      </c>
      <c r="LR45">
        <v>0</v>
      </c>
      <c r="LS45">
        <v>0</v>
      </c>
      <c r="LT45">
        <v>0</v>
      </c>
      <c r="LU45">
        <v>107861</v>
      </c>
      <c r="LV45">
        <v>14148</v>
      </c>
      <c r="LW45">
        <v>60422</v>
      </c>
      <c r="LX45">
        <v>90682</v>
      </c>
      <c r="LY45">
        <v>15805</v>
      </c>
      <c r="LZ45">
        <v>22108</v>
      </c>
      <c r="MA45">
        <v>13573</v>
      </c>
      <c r="MB45">
        <v>30501</v>
      </c>
      <c r="MC45">
        <v>14571</v>
      </c>
      <c r="MD45">
        <v>0</v>
      </c>
      <c r="ME45">
        <v>0</v>
      </c>
      <c r="MF45">
        <v>12182</v>
      </c>
      <c r="MG45">
        <v>224</v>
      </c>
      <c r="MH45">
        <v>382077</v>
      </c>
      <c r="MI45">
        <v>0</v>
      </c>
      <c r="MJ45">
        <v>0</v>
      </c>
      <c r="MK45">
        <v>0</v>
      </c>
      <c r="ML45">
        <v>0</v>
      </c>
      <c r="MM45">
        <v>0</v>
      </c>
      <c r="MN45">
        <v>0</v>
      </c>
      <c r="MO45">
        <v>0</v>
      </c>
      <c r="MP45">
        <v>0</v>
      </c>
      <c r="MQ45">
        <v>0</v>
      </c>
      <c r="MR45">
        <v>0</v>
      </c>
      <c r="MS45">
        <v>0</v>
      </c>
      <c r="MT45">
        <v>0</v>
      </c>
      <c r="MU45">
        <v>0</v>
      </c>
      <c r="MV45">
        <v>0</v>
      </c>
      <c r="MW45">
        <v>0</v>
      </c>
      <c r="MX45">
        <v>0</v>
      </c>
      <c r="MY45">
        <v>-7385</v>
      </c>
      <c r="MZ45">
        <v>0</v>
      </c>
      <c r="NA45">
        <v>-7385</v>
      </c>
      <c r="NB45">
        <v>0</v>
      </c>
      <c r="NC45">
        <v>-7385</v>
      </c>
      <c r="ND45">
        <v>0</v>
      </c>
      <c r="NE45">
        <v>0</v>
      </c>
      <c r="NF45">
        <v>0</v>
      </c>
      <c r="NG45">
        <v>0</v>
      </c>
      <c r="NH45">
        <v>0</v>
      </c>
      <c r="NI45">
        <v>0</v>
      </c>
      <c r="NJ45">
        <v>0</v>
      </c>
      <c r="NK45">
        <v>0</v>
      </c>
      <c r="NL45">
        <v>0</v>
      </c>
      <c r="NM45">
        <v>0</v>
      </c>
      <c r="NN45">
        <v>0</v>
      </c>
      <c r="NO45">
        <v>0</v>
      </c>
      <c r="NP45">
        <v>0</v>
      </c>
      <c r="NQ45">
        <v>0</v>
      </c>
      <c r="NR45">
        <v>0</v>
      </c>
      <c r="NS45">
        <v>0</v>
      </c>
      <c r="NT45">
        <v>0</v>
      </c>
      <c r="NU45">
        <v>0</v>
      </c>
      <c r="NV45">
        <v>0</v>
      </c>
      <c r="NW45">
        <v>0</v>
      </c>
      <c r="NX45">
        <v>0</v>
      </c>
      <c r="NY45">
        <v>0</v>
      </c>
      <c r="NZ45">
        <v>0</v>
      </c>
      <c r="OA45">
        <v>0</v>
      </c>
      <c r="OB45">
        <v>0</v>
      </c>
      <c r="OC45">
        <v>0</v>
      </c>
      <c r="OD45">
        <v>0</v>
      </c>
      <c r="OE45">
        <v>0</v>
      </c>
      <c r="OF45">
        <v>0</v>
      </c>
      <c r="OG45">
        <v>0</v>
      </c>
      <c r="OH45">
        <v>0</v>
      </c>
      <c r="OI45">
        <v>0</v>
      </c>
      <c r="OJ45">
        <v>0</v>
      </c>
      <c r="OK45">
        <v>0</v>
      </c>
      <c r="OL45">
        <v>0</v>
      </c>
      <c r="OM45">
        <v>0</v>
      </c>
      <c r="ON45">
        <v>0</v>
      </c>
    </row>
    <row r="46" spans="1:404" x14ac:dyDescent="0.25">
      <c r="A46" t="s">
        <v>203</v>
      </c>
      <c r="B46" t="s">
        <v>204</v>
      </c>
      <c r="C46" t="s">
        <v>202</v>
      </c>
      <c r="E46" t="s">
        <v>61</v>
      </c>
    </row>
    <row r="47" spans="1:404" x14ac:dyDescent="0.25">
      <c r="A47" t="s">
        <v>206</v>
      </c>
      <c r="B47" t="s">
        <v>207</v>
      </c>
      <c r="C47" t="s">
        <v>205</v>
      </c>
      <c r="E47" t="s">
        <v>61</v>
      </c>
      <c r="F47">
        <v>0</v>
      </c>
      <c r="G47">
        <v>0</v>
      </c>
      <c r="H47">
        <v>0</v>
      </c>
      <c r="I47">
        <v>0</v>
      </c>
      <c r="J47">
        <v>0</v>
      </c>
      <c r="K47">
        <v>0</v>
      </c>
      <c r="L47">
        <v>0</v>
      </c>
      <c r="M47">
        <v>2</v>
      </c>
      <c r="N47">
        <v>0</v>
      </c>
      <c r="O47">
        <v>0</v>
      </c>
      <c r="P47">
        <v>0</v>
      </c>
      <c r="Q47">
        <v>0</v>
      </c>
      <c r="R47">
        <v>0</v>
      </c>
      <c r="S47">
        <v>1976</v>
      </c>
      <c r="T47">
        <v>0</v>
      </c>
      <c r="U47">
        <v>18</v>
      </c>
      <c r="V47">
        <v>0</v>
      </c>
      <c r="W47">
        <v>0</v>
      </c>
      <c r="X47">
        <v>0</v>
      </c>
      <c r="Y47">
        <v>0</v>
      </c>
      <c r="Z47">
        <v>352</v>
      </c>
      <c r="AA47">
        <v>-637</v>
      </c>
      <c r="AB47">
        <v>0</v>
      </c>
      <c r="AC47">
        <v>0</v>
      </c>
      <c r="AD47">
        <v>0</v>
      </c>
      <c r="AE47">
        <v>0</v>
      </c>
      <c r="AF47">
        <v>0</v>
      </c>
      <c r="AG47">
        <v>0</v>
      </c>
      <c r="AH47">
        <v>0</v>
      </c>
      <c r="AI47">
        <v>1711</v>
      </c>
      <c r="AJ47">
        <v>0</v>
      </c>
      <c r="AK47">
        <v>0</v>
      </c>
      <c r="AL47">
        <v>0</v>
      </c>
      <c r="AM47">
        <v>0</v>
      </c>
      <c r="AN47">
        <v>0</v>
      </c>
      <c r="AO47">
        <v>0</v>
      </c>
      <c r="AP47">
        <v>0</v>
      </c>
      <c r="AQ47">
        <v>424</v>
      </c>
      <c r="AR47">
        <v>9</v>
      </c>
      <c r="AS47">
        <v>0</v>
      </c>
      <c r="AT47">
        <v>0</v>
      </c>
      <c r="AU47">
        <v>0</v>
      </c>
      <c r="AV47">
        <v>0</v>
      </c>
      <c r="AW47">
        <v>0</v>
      </c>
      <c r="AX47">
        <v>0</v>
      </c>
      <c r="AY47">
        <v>0</v>
      </c>
      <c r="AZ47">
        <v>0</v>
      </c>
      <c r="BA47">
        <v>0</v>
      </c>
      <c r="BB47">
        <v>0</v>
      </c>
      <c r="BC47">
        <v>0</v>
      </c>
      <c r="BD47">
        <v>0</v>
      </c>
      <c r="BE47">
        <v>0</v>
      </c>
      <c r="BF47">
        <v>0</v>
      </c>
      <c r="BG47">
        <v>0</v>
      </c>
      <c r="BH47">
        <v>0</v>
      </c>
      <c r="BI47">
        <v>0</v>
      </c>
      <c r="BJ47">
        <v>0</v>
      </c>
      <c r="BK47">
        <v>0</v>
      </c>
      <c r="BL47">
        <v>0</v>
      </c>
      <c r="BM47">
        <v>0</v>
      </c>
      <c r="BN47">
        <v>0</v>
      </c>
      <c r="BO47">
        <v>0</v>
      </c>
      <c r="BP47">
        <v>0</v>
      </c>
      <c r="BQ47">
        <v>0</v>
      </c>
      <c r="BR47">
        <v>0</v>
      </c>
      <c r="BS47">
        <v>0</v>
      </c>
      <c r="BT47">
        <v>0</v>
      </c>
      <c r="BU47">
        <v>0</v>
      </c>
      <c r="BV47">
        <v>0</v>
      </c>
      <c r="BW47">
        <v>0</v>
      </c>
      <c r="BX47">
        <v>0</v>
      </c>
      <c r="BY47">
        <v>0</v>
      </c>
      <c r="BZ47">
        <v>0</v>
      </c>
      <c r="CA47">
        <v>0</v>
      </c>
      <c r="CB47">
        <v>0</v>
      </c>
      <c r="CC47">
        <v>0</v>
      </c>
      <c r="CD47">
        <v>0</v>
      </c>
      <c r="CE47">
        <v>0</v>
      </c>
      <c r="CF47">
        <v>0</v>
      </c>
      <c r="CG47">
        <v>0</v>
      </c>
      <c r="CH47">
        <v>0</v>
      </c>
      <c r="CI47">
        <v>0</v>
      </c>
      <c r="CJ47">
        <v>0</v>
      </c>
      <c r="CK47">
        <v>0</v>
      </c>
      <c r="CL47">
        <v>0</v>
      </c>
      <c r="CM47">
        <v>0</v>
      </c>
      <c r="CN47">
        <v>0</v>
      </c>
      <c r="CO47">
        <v>0</v>
      </c>
      <c r="CP47">
        <v>0</v>
      </c>
      <c r="CQ47">
        <v>0</v>
      </c>
      <c r="CR47">
        <v>0</v>
      </c>
      <c r="CS47">
        <v>0</v>
      </c>
      <c r="CT47">
        <v>0</v>
      </c>
      <c r="CU47">
        <v>0</v>
      </c>
      <c r="CV47">
        <v>0</v>
      </c>
      <c r="CW47">
        <v>0</v>
      </c>
      <c r="CX47">
        <v>0</v>
      </c>
      <c r="CY47">
        <v>0</v>
      </c>
      <c r="CZ47">
        <v>0</v>
      </c>
      <c r="DA47">
        <v>0</v>
      </c>
      <c r="DB47">
        <v>0</v>
      </c>
      <c r="DC47">
        <v>661</v>
      </c>
      <c r="DD47">
        <v>0</v>
      </c>
      <c r="DE47">
        <v>0</v>
      </c>
      <c r="DF47">
        <v>0</v>
      </c>
      <c r="DG47">
        <v>-63</v>
      </c>
      <c r="DH47">
        <v>27</v>
      </c>
      <c r="DI47">
        <v>492</v>
      </c>
      <c r="DJ47">
        <v>0</v>
      </c>
      <c r="DK47">
        <v>0</v>
      </c>
      <c r="DL47">
        <v>45</v>
      </c>
      <c r="DM47">
        <v>0</v>
      </c>
      <c r="DN47">
        <v>0</v>
      </c>
      <c r="DO47">
        <v>0</v>
      </c>
      <c r="DP47">
        <v>501</v>
      </c>
      <c r="DQ47">
        <v>327</v>
      </c>
      <c r="DR47">
        <v>0</v>
      </c>
      <c r="DS47">
        <v>329</v>
      </c>
      <c r="DT47">
        <v>431</v>
      </c>
      <c r="DU47">
        <v>0</v>
      </c>
      <c r="DV47">
        <v>0</v>
      </c>
      <c r="DW47">
        <v>0</v>
      </c>
      <c r="DX47">
        <v>2249</v>
      </c>
      <c r="DY47">
        <v>0</v>
      </c>
      <c r="DZ47">
        <v>0</v>
      </c>
      <c r="EA47">
        <v>0</v>
      </c>
      <c r="EB47">
        <v>0</v>
      </c>
      <c r="EC47">
        <v>0</v>
      </c>
      <c r="ED47">
        <v>0</v>
      </c>
      <c r="EE47">
        <v>0</v>
      </c>
      <c r="EF47">
        <v>0</v>
      </c>
      <c r="EG47">
        <v>0</v>
      </c>
      <c r="EH47">
        <v>0</v>
      </c>
      <c r="EI47">
        <v>0</v>
      </c>
      <c r="EJ47">
        <v>0</v>
      </c>
      <c r="EK47">
        <v>0</v>
      </c>
      <c r="EL47">
        <v>0</v>
      </c>
      <c r="EM47">
        <v>0</v>
      </c>
      <c r="EN47">
        <v>0</v>
      </c>
      <c r="EO47">
        <v>0</v>
      </c>
      <c r="EP47">
        <v>0</v>
      </c>
      <c r="EQ47">
        <v>0</v>
      </c>
      <c r="ER47">
        <v>0</v>
      </c>
      <c r="ES47">
        <v>0</v>
      </c>
      <c r="ET47">
        <v>0</v>
      </c>
      <c r="EU47">
        <v>0</v>
      </c>
      <c r="EV47">
        <v>0</v>
      </c>
      <c r="EW47">
        <v>0</v>
      </c>
      <c r="EX47">
        <v>99</v>
      </c>
      <c r="EY47">
        <v>-27</v>
      </c>
      <c r="EZ47">
        <v>-1</v>
      </c>
      <c r="FA47">
        <v>0</v>
      </c>
      <c r="FB47">
        <v>342</v>
      </c>
      <c r="FC47">
        <v>650</v>
      </c>
      <c r="FD47">
        <v>921</v>
      </c>
      <c r="FE47">
        <v>0</v>
      </c>
      <c r="FF47">
        <v>0</v>
      </c>
      <c r="FG47">
        <v>0</v>
      </c>
      <c r="FH47">
        <v>1984</v>
      </c>
      <c r="FI47">
        <v>-117</v>
      </c>
      <c r="FJ47">
        <v>0</v>
      </c>
      <c r="FK47">
        <v>0</v>
      </c>
      <c r="FL47">
        <v>69</v>
      </c>
      <c r="FM47">
        <v>328</v>
      </c>
      <c r="FN47">
        <v>113</v>
      </c>
      <c r="FO47">
        <v>68</v>
      </c>
      <c r="FP47">
        <v>0</v>
      </c>
      <c r="FQ47">
        <v>0</v>
      </c>
      <c r="FR47">
        <v>0</v>
      </c>
      <c r="FS47">
        <v>0</v>
      </c>
      <c r="FT47">
        <v>16</v>
      </c>
      <c r="FU47">
        <v>-62</v>
      </c>
      <c r="FV47">
        <v>155</v>
      </c>
      <c r="FW47">
        <v>0</v>
      </c>
      <c r="FX47">
        <v>0</v>
      </c>
      <c r="FY47">
        <v>0</v>
      </c>
      <c r="FZ47">
        <v>0</v>
      </c>
      <c r="GA47">
        <v>0</v>
      </c>
      <c r="GB47">
        <v>0</v>
      </c>
      <c r="GC47">
        <v>0</v>
      </c>
      <c r="GD47">
        <v>74</v>
      </c>
      <c r="GE47">
        <v>821</v>
      </c>
      <c r="GF47">
        <v>0</v>
      </c>
      <c r="GG47">
        <v>0</v>
      </c>
      <c r="GH47">
        <v>634</v>
      </c>
      <c r="GI47">
        <v>0</v>
      </c>
      <c r="GJ47">
        <v>0</v>
      </c>
      <c r="GK47">
        <v>2099</v>
      </c>
      <c r="GL47">
        <v>82</v>
      </c>
      <c r="GM47">
        <v>416</v>
      </c>
      <c r="GN47">
        <v>0</v>
      </c>
      <c r="GO47">
        <v>321</v>
      </c>
      <c r="GP47">
        <v>51</v>
      </c>
      <c r="GQ47">
        <v>135</v>
      </c>
      <c r="GR47">
        <v>0</v>
      </c>
      <c r="GS47">
        <v>439</v>
      </c>
      <c r="GT47">
        <v>130</v>
      </c>
      <c r="GU47">
        <v>1574</v>
      </c>
      <c r="GV47">
        <v>5657</v>
      </c>
      <c r="GW47">
        <v>0</v>
      </c>
      <c r="GX47">
        <v>0</v>
      </c>
      <c r="GY47">
        <v>0</v>
      </c>
      <c r="GZ47">
        <v>0</v>
      </c>
      <c r="HA47">
        <v>0</v>
      </c>
      <c r="HB47">
        <v>2314</v>
      </c>
      <c r="HC47">
        <v>225</v>
      </c>
      <c r="HD47">
        <v>0</v>
      </c>
      <c r="HE47">
        <v>0</v>
      </c>
      <c r="HF47">
        <v>528</v>
      </c>
      <c r="HG47">
        <v>58</v>
      </c>
      <c r="HH47">
        <v>0</v>
      </c>
      <c r="HI47">
        <v>0</v>
      </c>
      <c r="HJ47">
        <v>127</v>
      </c>
      <c r="HK47">
        <v>97</v>
      </c>
      <c r="HL47">
        <v>3</v>
      </c>
      <c r="HM47">
        <v>27</v>
      </c>
      <c r="HN47">
        <v>0</v>
      </c>
      <c r="HO47">
        <v>88</v>
      </c>
      <c r="HP47">
        <v>0</v>
      </c>
      <c r="HQ47">
        <v>0</v>
      </c>
      <c r="HR47">
        <v>0</v>
      </c>
      <c r="HS47">
        <v>0</v>
      </c>
      <c r="HT47">
        <v>0</v>
      </c>
      <c r="HU47">
        <v>-720</v>
      </c>
      <c r="HV47">
        <v>2747</v>
      </c>
      <c r="HW47">
        <v>2176</v>
      </c>
      <c r="HX47">
        <v>5884</v>
      </c>
      <c r="HY47">
        <v>0</v>
      </c>
      <c r="HZ47">
        <v>1063</v>
      </c>
      <c r="IA47">
        <v>-2228</v>
      </c>
      <c r="IB47">
        <v>0</v>
      </c>
      <c r="IC47">
        <v>0</v>
      </c>
      <c r="ID47">
        <v>1711</v>
      </c>
      <c r="IE47">
        <v>0</v>
      </c>
      <c r="IF47">
        <v>0</v>
      </c>
      <c r="IG47">
        <v>0</v>
      </c>
      <c r="IH47">
        <v>2249</v>
      </c>
      <c r="II47">
        <v>1984</v>
      </c>
      <c r="IJ47">
        <v>2099</v>
      </c>
      <c r="IK47">
        <v>1574</v>
      </c>
      <c r="IL47">
        <v>0</v>
      </c>
      <c r="IM47">
        <v>0</v>
      </c>
      <c r="IN47">
        <v>2747</v>
      </c>
      <c r="IO47">
        <v>0</v>
      </c>
      <c r="IP47">
        <v>12364</v>
      </c>
      <c r="IQ47">
        <v>20760</v>
      </c>
      <c r="IR47">
        <v>1943</v>
      </c>
      <c r="IS47">
        <v>0</v>
      </c>
      <c r="IT47">
        <v>0</v>
      </c>
      <c r="IU47">
        <v>0</v>
      </c>
      <c r="IV47">
        <v>0</v>
      </c>
      <c r="IW47">
        <v>0</v>
      </c>
      <c r="IX47">
        <v>0</v>
      </c>
      <c r="IY47">
        <v>0</v>
      </c>
      <c r="IZ47">
        <v>0</v>
      </c>
      <c r="JA47">
        <v>-6690</v>
      </c>
      <c r="JB47">
        <v>0</v>
      </c>
      <c r="JC47">
        <v>-261</v>
      </c>
      <c r="JD47">
        <v>0</v>
      </c>
      <c r="JE47">
        <v>2</v>
      </c>
      <c r="JF47">
        <v>0</v>
      </c>
      <c r="JG47">
        <v>28118</v>
      </c>
      <c r="JH47">
        <v>0</v>
      </c>
      <c r="JI47">
        <v>3699</v>
      </c>
      <c r="JJ47">
        <v>0</v>
      </c>
      <c r="JK47">
        <v>0</v>
      </c>
      <c r="JL47">
        <v>0</v>
      </c>
      <c r="JM47">
        <v>313</v>
      </c>
      <c r="JN47">
        <v>0</v>
      </c>
      <c r="JO47">
        <v>0</v>
      </c>
      <c r="JP47">
        <v>209</v>
      </c>
      <c r="JQ47">
        <v>0</v>
      </c>
      <c r="JR47">
        <v>32339</v>
      </c>
      <c r="JS47">
        <v>-658</v>
      </c>
      <c r="JT47">
        <v>0</v>
      </c>
      <c r="JU47">
        <v>0</v>
      </c>
      <c r="JV47">
        <v>0</v>
      </c>
      <c r="JW47">
        <v>-23208</v>
      </c>
      <c r="JX47">
        <v>0</v>
      </c>
      <c r="JY47">
        <v>0</v>
      </c>
      <c r="JZ47">
        <v>0</v>
      </c>
      <c r="KA47">
        <v>0</v>
      </c>
      <c r="KB47">
        <v>0</v>
      </c>
      <c r="KC47">
        <v>8473</v>
      </c>
      <c r="KD47">
        <v>0</v>
      </c>
      <c r="KE47">
        <v>-1839</v>
      </c>
      <c r="KF47">
        <v>6634</v>
      </c>
      <c r="KG47">
        <v>0</v>
      </c>
      <c r="KH47">
        <v>0</v>
      </c>
      <c r="KI47">
        <v>0</v>
      </c>
      <c r="KJ47">
        <v>0</v>
      </c>
      <c r="KK47">
        <v>6389</v>
      </c>
      <c r="KL47">
        <v>0</v>
      </c>
      <c r="KM47">
        <v>-55</v>
      </c>
      <c r="KN47">
        <v>0</v>
      </c>
      <c r="KO47">
        <v>-2691</v>
      </c>
      <c r="KP47">
        <v>146</v>
      </c>
      <c r="KQ47">
        <v>0</v>
      </c>
      <c r="KR47">
        <v>4918</v>
      </c>
      <c r="KS47">
        <v>0</v>
      </c>
      <c r="KT47">
        <v>0</v>
      </c>
      <c r="KU47">
        <v>0</v>
      </c>
      <c r="KV47">
        <v>36772</v>
      </c>
      <c r="KW47">
        <v>6181</v>
      </c>
      <c r="KX47">
        <v>0</v>
      </c>
      <c r="KY47">
        <v>0</v>
      </c>
      <c r="KZ47">
        <v>0</v>
      </c>
      <c r="LA47">
        <v>43161</v>
      </c>
      <c r="LB47">
        <v>6181</v>
      </c>
      <c r="LC47">
        <v>0</v>
      </c>
      <c r="LD47">
        <v>3756</v>
      </c>
      <c r="LE47">
        <v>0</v>
      </c>
      <c r="LF47">
        <v>0</v>
      </c>
      <c r="LG47">
        <v>0</v>
      </c>
      <c r="LH47">
        <v>419</v>
      </c>
      <c r="LI47">
        <v>235</v>
      </c>
      <c r="LJ47">
        <v>2817</v>
      </c>
      <c r="LK47">
        <v>3995</v>
      </c>
      <c r="LL47">
        <v>6812</v>
      </c>
      <c r="LM47">
        <v>0</v>
      </c>
      <c r="LN47">
        <v>0</v>
      </c>
      <c r="LO47">
        <v>0</v>
      </c>
      <c r="LP47">
        <v>0</v>
      </c>
      <c r="LQ47">
        <v>0</v>
      </c>
      <c r="LR47">
        <v>0</v>
      </c>
      <c r="LS47">
        <v>0</v>
      </c>
      <c r="LT47">
        <v>0</v>
      </c>
      <c r="LU47">
        <v>0</v>
      </c>
      <c r="LV47">
        <v>1711</v>
      </c>
      <c r="LW47">
        <v>0</v>
      </c>
      <c r="LX47">
        <v>0</v>
      </c>
      <c r="LY47">
        <v>0</v>
      </c>
      <c r="LZ47">
        <v>2249</v>
      </c>
      <c r="MA47">
        <v>1984</v>
      </c>
      <c r="MB47">
        <v>2099</v>
      </c>
      <c r="MC47">
        <v>1574</v>
      </c>
      <c r="MD47">
        <v>0</v>
      </c>
      <c r="ME47">
        <v>0</v>
      </c>
      <c r="MF47">
        <v>2747</v>
      </c>
      <c r="MG47">
        <v>0</v>
      </c>
      <c r="MH47">
        <v>12364</v>
      </c>
      <c r="MI47">
        <v>0</v>
      </c>
      <c r="MJ47">
        <v>0</v>
      </c>
      <c r="MK47">
        <v>0</v>
      </c>
      <c r="ML47">
        <v>0</v>
      </c>
      <c r="MM47">
        <v>0</v>
      </c>
      <c r="MN47">
        <v>0</v>
      </c>
      <c r="MO47">
        <v>449</v>
      </c>
      <c r="MP47">
        <v>0</v>
      </c>
      <c r="MQ47">
        <v>0</v>
      </c>
      <c r="MR47">
        <v>788</v>
      </c>
      <c r="MS47">
        <v>0</v>
      </c>
      <c r="MT47">
        <v>0</v>
      </c>
      <c r="MU47">
        <v>0</v>
      </c>
      <c r="MV47">
        <v>0</v>
      </c>
      <c r="MW47">
        <v>0</v>
      </c>
      <c r="MX47">
        <v>-8188</v>
      </c>
      <c r="MY47">
        <v>0</v>
      </c>
      <c r="MZ47">
        <v>0</v>
      </c>
      <c r="NA47">
        <v>-6951</v>
      </c>
      <c r="NB47">
        <v>261</v>
      </c>
      <c r="NC47">
        <v>-6690</v>
      </c>
      <c r="ND47">
        <v>0</v>
      </c>
      <c r="NE47">
        <v>0</v>
      </c>
      <c r="NF47">
        <v>0</v>
      </c>
      <c r="NG47">
        <v>0</v>
      </c>
      <c r="NH47">
        <v>0</v>
      </c>
      <c r="NI47">
        <v>0</v>
      </c>
      <c r="NJ47">
        <v>0</v>
      </c>
      <c r="NK47">
        <v>0</v>
      </c>
      <c r="NL47">
        <v>0</v>
      </c>
      <c r="NM47">
        <v>0</v>
      </c>
      <c r="NN47">
        <v>0</v>
      </c>
      <c r="NO47">
        <v>0</v>
      </c>
      <c r="NP47">
        <v>0</v>
      </c>
      <c r="NQ47">
        <v>0</v>
      </c>
      <c r="NR47">
        <v>0</v>
      </c>
      <c r="NS47">
        <v>0</v>
      </c>
      <c r="NT47">
        <v>0</v>
      </c>
      <c r="NU47">
        <v>0</v>
      </c>
      <c r="NV47">
        <v>0</v>
      </c>
      <c r="NW47">
        <v>0</v>
      </c>
      <c r="NX47">
        <v>0</v>
      </c>
      <c r="NY47">
        <v>0</v>
      </c>
      <c r="NZ47">
        <v>0</v>
      </c>
      <c r="OA47">
        <v>0</v>
      </c>
      <c r="OB47">
        <v>0</v>
      </c>
      <c r="OC47">
        <v>261</v>
      </c>
      <c r="OD47">
        <v>0</v>
      </c>
      <c r="OE47">
        <v>0</v>
      </c>
      <c r="OF47">
        <v>0</v>
      </c>
      <c r="OG47">
        <v>0</v>
      </c>
      <c r="OH47">
        <v>261</v>
      </c>
      <c r="OI47">
        <v>0</v>
      </c>
      <c r="OJ47">
        <v>0</v>
      </c>
      <c r="OK47">
        <v>0</v>
      </c>
      <c r="OL47">
        <v>0</v>
      </c>
      <c r="OM47">
        <v>0</v>
      </c>
      <c r="ON47">
        <v>0</v>
      </c>
    </row>
    <row r="48" spans="1:404" x14ac:dyDescent="0.25">
      <c r="A48" t="s">
        <v>209</v>
      </c>
      <c r="B48" t="s">
        <v>210</v>
      </c>
      <c r="C48" t="s">
        <v>208</v>
      </c>
      <c r="E48" t="s">
        <v>61</v>
      </c>
      <c r="F48">
        <v>0</v>
      </c>
      <c r="G48">
        <v>0</v>
      </c>
      <c r="H48">
        <v>0</v>
      </c>
      <c r="I48">
        <v>0</v>
      </c>
      <c r="J48">
        <v>0</v>
      </c>
      <c r="K48">
        <v>0</v>
      </c>
      <c r="L48">
        <v>0</v>
      </c>
      <c r="M48">
        <v>0</v>
      </c>
      <c r="N48">
        <v>0</v>
      </c>
      <c r="O48">
        <v>0</v>
      </c>
      <c r="P48">
        <v>0</v>
      </c>
      <c r="Q48">
        <v>0</v>
      </c>
      <c r="R48">
        <v>0</v>
      </c>
      <c r="S48">
        <v>138</v>
      </c>
      <c r="T48">
        <v>0</v>
      </c>
      <c r="U48">
        <v>0</v>
      </c>
      <c r="V48">
        <v>0</v>
      </c>
      <c r="W48">
        <v>0</v>
      </c>
      <c r="X48">
        <v>0</v>
      </c>
      <c r="Y48">
        <v>0</v>
      </c>
      <c r="Z48">
        <v>0</v>
      </c>
      <c r="AA48">
        <v>103</v>
      </c>
      <c r="AB48">
        <v>0</v>
      </c>
      <c r="AC48">
        <v>0</v>
      </c>
      <c r="AD48">
        <v>0</v>
      </c>
      <c r="AE48">
        <v>0</v>
      </c>
      <c r="AF48">
        <v>0</v>
      </c>
      <c r="AG48">
        <v>0</v>
      </c>
      <c r="AH48">
        <v>0</v>
      </c>
      <c r="AI48">
        <v>241</v>
      </c>
      <c r="AJ48">
        <v>0</v>
      </c>
      <c r="AK48">
        <v>0</v>
      </c>
      <c r="AL48">
        <v>0</v>
      </c>
      <c r="AM48">
        <v>0</v>
      </c>
      <c r="AN48">
        <v>0</v>
      </c>
      <c r="AO48">
        <v>0</v>
      </c>
      <c r="AP48">
        <v>0</v>
      </c>
      <c r="AQ48">
        <v>0</v>
      </c>
      <c r="AR48">
        <v>0</v>
      </c>
      <c r="AS48">
        <v>0</v>
      </c>
      <c r="AT48">
        <v>0</v>
      </c>
      <c r="AU48">
        <v>0</v>
      </c>
      <c r="AV48">
        <v>0</v>
      </c>
      <c r="AW48">
        <v>0</v>
      </c>
      <c r="AX48">
        <v>0</v>
      </c>
      <c r="AY48">
        <v>0</v>
      </c>
      <c r="AZ48">
        <v>0</v>
      </c>
      <c r="BA48">
        <v>0</v>
      </c>
      <c r="BB48">
        <v>0</v>
      </c>
      <c r="BC48">
        <v>0</v>
      </c>
      <c r="BD48">
        <v>0</v>
      </c>
      <c r="BE48">
        <v>0</v>
      </c>
      <c r="BF48">
        <v>0</v>
      </c>
      <c r="BG48">
        <v>0</v>
      </c>
      <c r="BH48">
        <v>0</v>
      </c>
      <c r="BI48">
        <v>0</v>
      </c>
      <c r="BJ48">
        <v>0</v>
      </c>
      <c r="BK48">
        <v>0</v>
      </c>
      <c r="BL48">
        <v>0</v>
      </c>
      <c r="BM48">
        <v>0</v>
      </c>
      <c r="BN48">
        <v>0</v>
      </c>
      <c r="BO48">
        <v>0</v>
      </c>
      <c r="BP48">
        <v>0</v>
      </c>
      <c r="BQ48">
        <v>0</v>
      </c>
      <c r="BR48">
        <v>0</v>
      </c>
      <c r="BS48">
        <v>0</v>
      </c>
      <c r="BT48">
        <v>0</v>
      </c>
      <c r="BU48">
        <v>0</v>
      </c>
      <c r="BV48">
        <v>0</v>
      </c>
      <c r="BW48">
        <v>0</v>
      </c>
      <c r="BX48">
        <v>0</v>
      </c>
      <c r="BY48">
        <v>0</v>
      </c>
      <c r="BZ48">
        <v>0</v>
      </c>
      <c r="CA48">
        <v>0</v>
      </c>
      <c r="CB48">
        <v>6</v>
      </c>
      <c r="CC48">
        <v>0</v>
      </c>
      <c r="CD48">
        <v>0</v>
      </c>
      <c r="CE48">
        <v>0</v>
      </c>
      <c r="CF48">
        <v>0</v>
      </c>
      <c r="CG48">
        <v>0</v>
      </c>
      <c r="CH48">
        <v>0</v>
      </c>
      <c r="CI48">
        <v>0</v>
      </c>
      <c r="CJ48">
        <v>0</v>
      </c>
      <c r="CK48">
        <v>0</v>
      </c>
      <c r="CL48">
        <v>0</v>
      </c>
      <c r="CM48">
        <v>0</v>
      </c>
      <c r="CN48">
        <v>0</v>
      </c>
      <c r="CO48">
        <v>0</v>
      </c>
      <c r="CP48">
        <v>0</v>
      </c>
      <c r="CQ48">
        <v>0</v>
      </c>
      <c r="CR48">
        <v>0</v>
      </c>
      <c r="CS48">
        <v>0</v>
      </c>
      <c r="CT48">
        <v>0</v>
      </c>
      <c r="CU48">
        <v>0</v>
      </c>
      <c r="CV48">
        <v>14</v>
      </c>
      <c r="CW48">
        <v>0</v>
      </c>
      <c r="CX48">
        <v>0</v>
      </c>
      <c r="CY48">
        <v>0</v>
      </c>
      <c r="CZ48">
        <v>0</v>
      </c>
      <c r="DA48">
        <v>0</v>
      </c>
      <c r="DB48">
        <v>0</v>
      </c>
      <c r="DC48">
        <v>89</v>
      </c>
      <c r="DD48">
        <v>0</v>
      </c>
      <c r="DE48">
        <v>166</v>
      </c>
      <c r="DF48">
        <v>0</v>
      </c>
      <c r="DG48">
        <v>0</v>
      </c>
      <c r="DH48">
        <v>0</v>
      </c>
      <c r="DI48">
        <v>11</v>
      </c>
      <c r="DJ48">
        <v>0</v>
      </c>
      <c r="DK48">
        <v>0</v>
      </c>
      <c r="DL48">
        <v>0</v>
      </c>
      <c r="DM48">
        <v>0</v>
      </c>
      <c r="DN48">
        <v>618</v>
      </c>
      <c r="DO48">
        <v>0</v>
      </c>
      <c r="DP48">
        <v>629</v>
      </c>
      <c r="DQ48">
        <v>0</v>
      </c>
      <c r="DR48">
        <v>0</v>
      </c>
      <c r="DS48">
        <v>0</v>
      </c>
      <c r="DT48">
        <v>896</v>
      </c>
      <c r="DU48">
        <v>0</v>
      </c>
      <c r="DV48">
        <v>0</v>
      </c>
      <c r="DW48">
        <v>-70</v>
      </c>
      <c r="DX48">
        <v>1710</v>
      </c>
      <c r="DY48">
        <v>15154</v>
      </c>
      <c r="DZ48">
        <v>237</v>
      </c>
      <c r="EA48">
        <v>271</v>
      </c>
      <c r="EB48">
        <v>704</v>
      </c>
      <c r="EC48">
        <v>0</v>
      </c>
      <c r="ED48">
        <v>0</v>
      </c>
      <c r="EE48">
        <v>0</v>
      </c>
      <c r="EF48">
        <v>4348</v>
      </c>
      <c r="EG48">
        <v>0</v>
      </c>
      <c r="EH48">
        <v>3372</v>
      </c>
      <c r="EI48">
        <v>4974</v>
      </c>
      <c r="EJ48">
        <v>0</v>
      </c>
      <c r="EK48">
        <v>190</v>
      </c>
      <c r="EL48">
        <v>2410</v>
      </c>
      <c r="EM48">
        <v>0</v>
      </c>
      <c r="EN48">
        <v>2067</v>
      </c>
      <c r="EO48">
        <v>0</v>
      </c>
      <c r="EP48">
        <v>0</v>
      </c>
      <c r="EQ48">
        <v>8697</v>
      </c>
      <c r="ER48">
        <v>22</v>
      </c>
      <c r="ES48">
        <v>5926</v>
      </c>
      <c r="ET48">
        <v>4908</v>
      </c>
      <c r="EU48">
        <v>0</v>
      </c>
      <c r="EV48">
        <v>0</v>
      </c>
      <c r="EW48">
        <v>0</v>
      </c>
      <c r="EX48">
        <v>0</v>
      </c>
      <c r="EY48">
        <v>0</v>
      </c>
      <c r="EZ48">
        <v>29</v>
      </c>
      <c r="FA48">
        <v>0</v>
      </c>
      <c r="FB48">
        <v>0</v>
      </c>
      <c r="FC48">
        <v>929</v>
      </c>
      <c r="FD48">
        <v>1049</v>
      </c>
      <c r="FE48">
        <v>-5</v>
      </c>
      <c r="FF48">
        <v>0</v>
      </c>
      <c r="FG48">
        <v>0</v>
      </c>
      <c r="FH48">
        <v>2002</v>
      </c>
      <c r="FI48">
        <v>-363</v>
      </c>
      <c r="FJ48">
        <v>0</v>
      </c>
      <c r="FK48">
        <v>0</v>
      </c>
      <c r="FL48">
        <v>346</v>
      </c>
      <c r="FM48">
        <v>268</v>
      </c>
      <c r="FN48">
        <v>0</v>
      </c>
      <c r="FO48">
        <v>66</v>
      </c>
      <c r="FP48">
        <v>0</v>
      </c>
      <c r="FQ48">
        <v>0</v>
      </c>
      <c r="FR48">
        <v>0</v>
      </c>
      <c r="FS48">
        <v>117</v>
      </c>
      <c r="FT48">
        <v>0</v>
      </c>
      <c r="FU48">
        <v>23</v>
      </c>
      <c r="FV48">
        <v>65</v>
      </c>
      <c r="FW48">
        <v>95</v>
      </c>
      <c r="FX48">
        <v>81</v>
      </c>
      <c r="FY48">
        <v>0</v>
      </c>
      <c r="FZ48">
        <v>0</v>
      </c>
      <c r="GA48">
        <v>0</v>
      </c>
      <c r="GB48">
        <v>0</v>
      </c>
      <c r="GC48">
        <v>0</v>
      </c>
      <c r="GD48">
        <v>576</v>
      </c>
      <c r="GE48">
        <v>1327</v>
      </c>
      <c r="GF48">
        <v>0</v>
      </c>
      <c r="GG48">
        <v>0</v>
      </c>
      <c r="GH48">
        <v>96</v>
      </c>
      <c r="GI48">
        <v>0</v>
      </c>
      <c r="GJ48">
        <v>0</v>
      </c>
      <c r="GK48">
        <v>2697</v>
      </c>
      <c r="GL48">
        <v>0</v>
      </c>
      <c r="GM48">
        <v>131</v>
      </c>
      <c r="GN48">
        <v>0</v>
      </c>
      <c r="GO48">
        <v>513</v>
      </c>
      <c r="GP48">
        <v>43</v>
      </c>
      <c r="GQ48">
        <v>568</v>
      </c>
      <c r="GR48">
        <v>0</v>
      </c>
      <c r="GS48">
        <v>0</v>
      </c>
      <c r="GT48">
        <v>322</v>
      </c>
      <c r="GU48">
        <v>1577</v>
      </c>
      <c r="GV48">
        <v>6276</v>
      </c>
      <c r="GW48">
        <v>0</v>
      </c>
      <c r="GX48">
        <v>0</v>
      </c>
      <c r="GY48">
        <v>0</v>
      </c>
      <c r="GZ48">
        <v>0</v>
      </c>
      <c r="HA48">
        <v>0</v>
      </c>
      <c r="HB48">
        <v>1775</v>
      </c>
      <c r="HC48">
        <v>436</v>
      </c>
      <c r="HD48">
        <v>0</v>
      </c>
      <c r="HE48">
        <v>0</v>
      </c>
      <c r="HF48">
        <v>172</v>
      </c>
      <c r="HG48">
        <v>-19</v>
      </c>
      <c r="HH48">
        <v>0</v>
      </c>
      <c r="HI48">
        <v>0</v>
      </c>
      <c r="HJ48">
        <v>193</v>
      </c>
      <c r="HK48">
        <v>9</v>
      </c>
      <c r="HL48">
        <v>0</v>
      </c>
      <c r="HM48">
        <v>33</v>
      </c>
      <c r="HN48">
        <v>0</v>
      </c>
      <c r="HO48">
        <v>224</v>
      </c>
      <c r="HP48">
        <v>0</v>
      </c>
      <c r="HQ48">
        <v>0</v>
      </c>
      <c r="HR48">
        <v>64</v>
      </c>
      <c r="HS48">
        <v>0</v>
      </c>
      <c r="HT48">
        <v>0</v>
      </c>
      <c r="HU48">
        <v>-36</v>
      </c>
      <c r="HV48">
        <v>2851</v>
      </c>
      <c r="HW48">
        <v>1936</v>
      </c>
      <c r="HX48">
        <v>6252</v>
      </c>
      <c r="HY48">
        <v>0</v>
      </c>
      <c r="HZ48">
        <v>1965</v>
      </c>
      <c r="IA48">
        <v>140</v>
      </c>
      <c r="IB48">
        <v>-5</v>
      </c>
      <c r="IC48">
        <v>0</v>
      </c>
      <c r="ID48">
        <v>241</v>
      </c>
      <c r="IE48">
        <v>0</v>
      </c>
      <c r="IF48">
        <v>0</v>
      </c>
      <c r="IG48">
        <v>14</v>
      </c>
      <c r="IH48">
        <v>1710</v>
      </c>
      <c r="II48">
        <v>2002</v>
      </c>
      <c r="IJ48">
        <v>2697</v>
      </c>
      <c r="IK48">
        <v>1577</v>
      </c>
      <c r="IL48">
        <v>0</v>
      </c>
      <c r="IM48">
        <v>0</v>
      </c>
      <c r="IN48">
        <v>2851</v>
      </c>
      <c r="IO48">
        <v>-5</v>
      </c>
      <c r="IP48">
        <v>11087</v>
      </c>
      <c r="IQ48">
        <v>8159</v>
      </c>
      <c r="IR48">
        <v>0</v>
      </c>
      <c r="IS48">
        <v>6233</v>
      </c>
      <c r="IT48">
        <v>0</v>
      </c>
      <c r="IU48">
        <v>0</v>
      </c>
      <c r="IV48">
        <v>913</v>
      </c>
      <c r="IW48">
        <v>0</v>
      </c>
      <c r="IX48">
        <v>0</v>
      </c>
      <c r="IY48">
        <v>0</v>
      </c>
      <c r="IZ48">
        <v>0</v>
      </c>
      <c r="JA48">
        <v>1818</v>
      </c>
      <c r="JB48">
        <v>0</v>
      </c>
      <c r="JC48">
        <v>-2239</v>
      </c>
      <c r="JD48">
        <v>0</v>
      </c>
      <c r="JE48">
        <v>0</v>
      </c>
      <c r="JF48">
        <v>0</v>
      </c>
      <c r="JG48">
        <v>25971</v>
      </c>
      <c r="JH48">
        <v>0</v>
      </c>
      <c r="JI48">
        <v>19</v>
      </c>
      <c r="JJ48">
        <v>0</v>
      </c>
      <c r="JK48">
        <v>0</v>
      </c>
      <c r="JL48">
        <v>0</v>
      </c>
      <c r="JM48">
        <v>0</v>
      </c>
      <c r="JN48">
        <v>1125</v>
      </c>
      <c r="JO48">
        <v>0</v>
      </c>
      <c r="JP48">
        <v>2887</v>
      </c>
      <c r="JQ48">
        <v>-2410</v>
      </c>
      <c r="JR48">
        <v>27592</v>
      </c>
      <c r="JS48">
        <v>-242</v>
      </c>
      <c r="JT48">
        <v>0</v>
      </c>
      <c r="JU48">
        <v>0</v>
      </c>
      <c r="JV48">
        <v>0</v>
      </c>
      <c r="JW48">
        <v>-14695</v>
      </c>
      <c r="JX48">
        <v>0</v>
      </c>
      <c r="JY48">
        <v>0</v>
      </c>
      <c r="JZ48">
        <v>0</v>
      </c>
      <c r="KA48">
        <v>0</v>
      </c>
      <c r="KB48">
        <v>0</v>
      </c>
      <c r="KC48">
        <v>12655</v>
      </c>
      <c r="KD48">
        <v>0</v>
      </c>
      <c r="KE48">
        <v>-1157</v>
      </c>
      <c r="KF48">
        <v>11498</v>
      </c>
      <c r="KG48">
        <v>0</v>
      </c>
      <c r="KH48">
        <v>0</v>
      </c>
      <c r="KI48">
        <v>0</v>
      </c>
      <c r="KJ48">
        <v>0</v>
      </c>
      <c r="KK48">
        <v>-4256</v>
      </c>
      <c r="KL48">
        <v>552</v>
      </c>
      <c r="KM48">
        <v>0</v>
      </c>
      <c r="KN48">
        <v>0</v>
      </c>
      <c r="KO48">
        <v>3527</v>
      </c>
      <c r="KP48">
        <v>109</v>
      </c>
      <c r="KQ48">
        <v>0</v>
      </c>
      <c r="KR48">
        <v>6819</v>
      </c>
      <c r="KS48">
        <v>0</v>
      </c>
      <c r="KT48">
        <v>0</v>
      </c>
      <c r="KU48">
        <v>0</v>
      </c>
      <c r="KV48">
        <v>7839</v>
      </c>
      <c r="KW48">
        <v>6873</v>
      </c>
      <c r="KX48">
        <v>0</v>
      </c>
      <c r="KY48">
        <v>0</v>
      </c>
      <c r="KZ48">
        <v>0</v>
      </c>
      <c r="LA48">
        <v>3583</v>
      </c>
      <c r="LB48">
        <v>7425</v>
      </c>
      <c r="LC48">
        <v>0</v>
      </c>
      <c r="LD48">
        <v>1436</v>
      </c>
      <c r="LE48">
        <v>2173</v>
      </c>
      <c r="LF48">
        <v>0</v>
      </c>
      <c r="LG48">
        <v>0</v>
      </c>
      <c r="LH48">
        <v>950</v>
      </c>
      <c r="LI48">
        <v>4559</v>
      </c>
      <c r="LJ48">
        <v>2953</v>
      </c>
      <c r="LK48">
        <v>4041</v>
      </c>
      <c r="LL48">
        <v>6994</v>
      </c>
      <c r="LM48">
        <v>0</v>
      </c>
      <c r="LN48">
        <v>0</v>
      </c>
      <c r="LO48">
        <v>0</v>
      </c>
      <c r="LP48">
        <v>20714</v>
      </c>
      <c r="LQ48">
        <v>21732</v>
      </c>
      <c r="LR48">
        <v>-1018</v>
      </c>
      <c r="LS48">
        <v>5926</v>
      </c>
      <c r="LT48">
        <v>4908</v>
      </c>
      <c r="LU48">
        <v>0</v>
      </c>
      <c r="LV48">
        <v>241</v>
      </c>
      <c r="LW48">
        <v>0</v>
      </c>
      <c r="LX48">
        <v>0</v>
      </c>
      <c r="LY48">
        <v>14</v>
      </c>
      <c r="LZ48">
        <v>1710</v>
      </c>
      <c r="MA48">
        <v>2002</v>
      </c>
      <c r="MB48">
        <v>2697</v>
      </c>
      <c r="MC48">
        <v>1577</v>
      </c>
      <c r="MD48">
        <v>0</v>
      </c>
      <c r="ME48">
        <v>0</v>
      </c>
      <c r="MF48">
        <v>2851</v>
      </c>
      <c r="MG48">
        <v>-5</v>
      </c>
      <c r="MH48">
        <v>11087</v>
      </c>
      <c r="MI48">
        <v>0</v>
      </c>
      <c r="MJ48">
        <v>0</v>
      </c>
      <c r="MK48">
        <v>0</v>
      </c>
      <c r="ML48">
        <v>0</v>
      </c>
      <c r="MM48">
        <v>0</v>
      </c>
      <c r="MN48">
        <v>0</v>
      </c>
      <c r="MO48">
        <v>0</v>
      </c>
      <c r="MP48">
        <v>0</v>
      </c>
      <c r="MQ48">
        <v>0</v>
      </c>
      <c r="MR48">
        <v>0</v>
      </c>
      <c r="MS48">
        <v>0</v>
      </c>
      <c r="MT48">
        <v>0</v>
      </c>
      <c r="MU48">
        <v>0</v>
      </c>
      <c r="MV48">
        <v>0</v>
      </c>
      <c r="MW48">
        <v>0</v>
      </c>
      <c r="MX48">
        <v>-42</v>
      </c>
      <c r="MY48">
        <v>0</v>
      </c>
      <c r="MZ48">
        <v>0</v>
      </c>
      <c r="NA48">
        <v>-421</v>
      </c>
      <c r="NB48">
        <v>2239</v>
      </c>
      <c r="NC48">
        <v>1818</v>
      </c>
      <c r="ND48">
        <v>0</v>
      </c>
      <c r="NE48">
        <v>0</v>
      </c>
      <c r="NF48">
        <v>0</v>
      </c>
      <c r="NG48">
        <v>0</v>
      </c>
      <c r="NH48">
        <v>0</v>
      </c>
      <c r="NI48">
        <v>0</v>
      </c>
      <c r="NJ48">
        <v>0</v>
      </c>
      <c r="NK48">
        <v>0</v>
      </c>
      <c r="NL48">
        <v>0</v>
      </c>
      <c r="NM48">
        <v>0</v>
      </c>
      <c r="NN48">
        <v>0</v>
      </c>
      <c r="NO48">
        <v>0</v>
      </c>
      <c r="NP48">
        <v>0</v>
      </c>
      <c r="NQ48">
        <v>0</v>
      </c>
      <c r="NR48">
        <v>0</v>
      </c>
      <c r="NS48">
        <v>0</v>
      </c>
      <c r="NT48">
        <v>0</v>
      </c>
      <c r="NU48">
        <v>0</v>
      </c>
      <c r="NV48">
        <v>0</v>
      </c>
      <c r="NW48">
        <v>0</v>
      </c>
      <c r="NX48">
        <v>0</v>
      </c>
      <c r="NY48">
        <v>0</v>
      </c>
      <c r="NZ48">
        <v>0</v>
      </c>
      <c r="OA48">
        <v>0</v>
      </c>
      <c r="OB48">
        <v>0</v>
      </c>
      <c r="OC48">
        <v>192</v>
      </c>
      <c r="OD48">
        <v>2047</v>
      </c>
      <c r="OE48">
        <v>0</v>
      </c>
      <c r="OF48">
        <v>0</v>
      </c>
      <c r="OG48">
        <v>0</v>
      </c>
      <c r="OH48">
        <v>2239</v>
      </c>
      <c r="OI48">
        <v>0</v>
      </c>
      <c r="OJ48">
        <v>0</v>
      </c>
      <c r="OK48">
        <v>0</v>
      </c>
      <c r="OL48">
        <v>0</v>
      </c>
      <c r="OM48">
        <v>0</v>
      </c>
      <c r="ON48">
        <v>0</v>
      </c>
    </row>
    <row r="49" spans="1:404" x14ac:dyDescent="0.25">
      <c r="A49" t="s">
        <v>215</v>
      </c>
      <c r="B49" t="s">
        <v>216</v>
      </c>
      <c r="C49" t="s">
        <v>5412</v>
      </c>
      <c r="E49" t="s">
        <v>5408</v>
      </c>
      <c r="F49">
        <v>0</v>
      </c>
      <c r="G49">
        <v>0</v>
      </c>
      <c r="H49">
        <v>0</v>
      </c>
      <c r="I49">
        <v>0</v>
      </c>
      <c r="J49">
        <v>0</v>
      </c>
      <c r="K49">
        <v>0</v>
      </c>
      <c r="L49">
        <v>0</v>
      </c>
      <c r="M49">
        <v>0</v>
      </c>
      <c r="N49">
        <v>0</v>
      </c>
      <c r="O49">
        <v>0</v>
      </c>
      <c r="P49">
        <v>0</v>
      </c>
      <c r="Q49">
        <v>0</v>
      </c>
      <c r="R49">
        <v>0</v>
      </c>
      <c r="S49">
        <v>0</v>
      </c>
      <c r="T49">
        <v>0</v>
      </c>
      <c r="U49">
        <v>0</v>
      </c>
      <c r="V49">
        <v>0</v>
      </c>
      <c r="W49">
        <v>0</v>
      </c>
      <c r="X49">
        <v>0</v>
      </c>
      <c r="Y49">
        <v>0</v>
      </c>
      <c r="Z49">
        <v>0</v>
      </c>
      <c r="AA49">
        <v>0</v>
      </c>
      <c r="AB49">
        <v>0</v>
      </c>
      <c r="AC49">
        <v>0</v>
      </c>
      <c r="AD49">
        <v>0</v>
      </c>
      <c r="AE49">
        <v>0</v>
      </c>
      <c r="AF49">
        <v>0</v>
      </c>
      <c r="AG49">
        <v>0</v>
      </c>
      <c r="AH49">
        <v>0</v>
      </c>
      <c r="AI49">
        <v>0</v>
      </c>
      <c r="AJ49">
        <v>0</v>
      </c>
      <c r="AK49">
        <v>0</v>
      </c>
      <c r="AL49">
        <v>0</v>
      </c>
      <c r="AM49">
        <v>0</v>
      </c>
      <c r="AN49">
        <v>0</v>
      </c>
      <c r="AO49">
        <v>0</v>
      </c>
      <c r="AP49">
        <v>0</v>
      </c>
      <c r="AQ49">
        <v>0</v>
      </c>
      <c r="AR49">
        <v>0</v>
      </c>
      <c r="AS49">
        <v>0</v>
      </c>
      <c r="AT49">
        <v>0</v>
      </c>
      <c r="AU49">
        <v>0</v>
      </c>
      <c r="AV49">
        <v>0</v>
      </c>
      <c r="AW49">
        <v>0</v>
      </c>
      <c r="AX49">
        <v>0</v>
      </c>
      <c r="AY49">
        <v>0</v>
      </c>
      <c r="AZ49">
        <v>0</v>
      </c>
      <c r="BA49">
        <v>0</v>
      </c>
      <c r="BB49">
        <v>0</v>
      </c>
      <c r="BC49">
        <v>0</v>
      </c>
      <c r="BD49">
        <v>0</v>
      </c>
      <c r="BE49">
        <v>0</v>
      </c>
      <c r="BF49">
        <v>0</v>
      </c>
      <c r="BG49">
        <v>0</v>
      </c>
      <c r="BH49">
        <v>0</v>
      </c>
      <c r="BI49">
        <v>0</v>
      </c>
      <c r="BJ49">
        <v>0</v>
      </c>
      <c r="BK49">
        <v>0</v>
      </c>
      <c r="BL49">
        <v>0</v>
      </c>
      <c r="BM49">
        <v>0</v>
      </c>
      <c r="BN49">
        <v>0</v>
      </c>
      <c r="BO49">
        <v>0</v>
      </c>
      <c r="BP49">
        <v>0</v>
      </c>
      <c r="BQ49">
        <v>0</v>
      </c>
      <c r="BR49">
        <v>0</v>
      </c>
      <c r="BS49">
        <v>0</v>
      </c>
      <c r="BT49">
        <v>0</v>
      </c>
      <c r="BU49">
        <v>0</v>
      </c>
      <c r="BV49">
        <v>0</v>
      </c>
      <c r="BW49">
        <v>0</v>
      </c>
      <c r="BX49">
        <v>0</v>
      </c>
      <c r="BY49">
        <v>0</v>
      </c>
      <c r="BZ49">
        <v>0</v>
      </c>
      <c r="CA49">
        <v>0</v>
      </c>
      <c r="CB49">
        <v>0</v>
      </c>
      <c r="CC49">
        <v>0</v>
      </c>
      <c r="CD49">
        <v>0</v>
      </c>
      <c r="CE49">
        <v>0</v>
      </c>
      <c r="CF49">
        <v>0</v>
      </c>
      <c r="CG49">
        <v>0</v>
      </c>
      <c r="CH49">
        <v>0</v>
      </c>
      <c r="CI49">
        <v>0</v>
      </c>
      <c r="CJ49">
        <v>0</v>
      </c>
      <c r="CK49">
        <v>0</v>
      </c>
      <c r="CL49">
        <v>0</v>
      </c>
      <c r="CM49">
        <v>0</v>
      </c>
      <c r="CN49">
        <v>0</v>
      </c>
      <c r="CO49">
        <v>0</v>
      </c>
      <c r="CP49">
        <v>0</v>
      </c>
      <c r="CQ49">
        <v>0</v>
      </c>
      <c r="CR49">
        <v>0</v>
      </c>
      <c r="CS49">
        <v>0</v>
      </c>
      <c r="CT49">
        <v>0</v>
      </c>
      <c r="CU49">
        <v>0</v>
      </c>
      <c r="CV49">
        <v>0</v>
      </c>
      <c r="CW49">
        <v>0</v>
      </c>
      <c r="CX49">
        <v>0</v>
      </c>
      <c r="CY49">
        <v>0</v>
      </c>
      <c r="CZ49">
        <v>0</v>
      </c>
      <c r="DA49">
        <v>0</v>
      </c>
      <c r="DB49">
        <v>0</v>
      </c>
      <c r="DC49">
        <v>0</v>
      </c>
      <c r="DD49">
        <v>0</v>
      </c>
      <c r="DE49">
        <v>0</v>
      </c>
      <c r="DF49">
        <v>0</v>
      </c>
      <c r="DG49">
        <v>0</v>
      </c>
      <c r="DH49">
        <v>0</v>
      </c>
      <c r="DI49">
        <v>0</v>
      </c>
      <c r="DJ49">
        <v>0</v>
      </c>
      <c r="DK49">
        <v>0</v>
      </c>
      <c r="DL49">
        <v>0</v>
      </c>
      <c r="DM49">
        <v>0</v>
      </c>
      <c r="DN49">
        <v>0</v>
      </c>
      <c r="DO49">
        <v>0</v>
      </c>
      <c r="DP49">
        <v>0</v>
      </c>
      <c r="DQ49">
        <v>0</v>
      </c>
      <c r="DR49">
        <v>0</v>
      </c>
      <c r="DS49">
        <v>0</v>
      </c>
      <c r="DT49">
        <v>0</v>
      </c>
      <c r="DU49">
        <v>0</v>
      </c>
      <c r="DV49">
        <v>0</v>
      </c>
      <c r="DW49">
        <v>0</v>
      </c>
      <c r="DX49">
        <v>0</v>
      </c>
      <c r="DY49">
        <v>0</v>
      </c>
      <c r="DZ49">
        <v>0</v>
      </c>
      <c r="EA49">
        <v>0</v>
      </c>
      <c r="EB49">
        <v>0</v>
      </c>
      <c r="EC49">
        <v>0</v>
      </c>
      <c r="ED49">
        <v>0</v>
      </c>
      <c r="EE49">
        <v>0</v>
      </c>
      <c r="EF49">
        <v>0</v>
      </c>
      <c r="EG49">
        <v>0</v>
      </c>
      <c r="EH49">
        <v>0</v>
      </c>
      <c r="EI49">
        <v>0</v>
      </c>
      <c r="EJ49">
        <v>0</v>
      </c>
      <c r="EK49">
        <v>0</v>
      </c>
      <c r="EL49">
        <v>0</v>
      </c>
      <c r="EM49">
        <v>0</v>
      </c>
      <c r="EN49">
        <v>0</v>
      </c>
      <c r="EO49">
        <v>0</v>
      </c>
      <c r="EP49">
        <v>0</v>
      </c>
      <c r="EQ49">
        <v>0</v>
      </c>
      <c r="ER49">
        <v>0</v>
      </c>
      <c r="ES49">
        <v>0</v>
      </c>
      <c r="ET49">
        <v>0</v>
      </c>
      <c r="EU49">
        <v>0</v>
      </c>
      <c r="EV49">
        <v>0</v>
      </c>
      <c r="EW49">
        <v>0</v>
      </c>
      <c r="EX49">
        <v>0</v>
      </c>
      <c r="EY49">
        <v>0</v>
      </c>
      <c r="EZ49">
        <v>0</v>
      </c>
      <c r="FA49">
        <v>0</v>
      </c>
      <c r="FB49">
        <v>0</v>
      </c>
      <c r="FC49">
        <v>0</v>
      </c>
      <c r="FD49">
        <v>0</v>
      </c>
      <c r="FE49">
        <v>0</v>
      </c>
      <c r="FF49">
        <v>0</v>
      </c>
      <c r="FG49">
        <v>0</v>
      </c>
      <c r="FH49">
        <v>0</v>
      </c>
      <c r="FI49">
        <v>0</v>
      </c>
      <c r="FJ49">
        <v>0</v>
      </c>
      <c r="FK49">
        <v>0</v>
      </c>
      <c r="FL49">
        <v>0</v>
      </c>
      <c r="FM49">
        <v>0</v>
      </c>
      <c r="FN49">
        <v>0</v>
      </c>
      <c r="FO49">
        <v>0</v>
      </c>
      <c r="FP49">
        <v>0</v>
      </c>
      <c r="FQ49">
        <v>0</v>
      </c>
      <c r="FR49">
        <v>0</v>
      </c>
      <c r="FS49">
        <v>0</v>
      </c>
      <c r="FT49">
        <v>0</v>
      </c>
      <c r="FU49">
        <v>0</v>
      </c>
      <c r="FV49">
        <v>0</v>
      </c>
      <c r="FW49">
        <v>0</v>
      </c>
      <c r="FX49">
        <v>0</v>
      </c>
      <c r="FY49">
        <v>0</v>
      </c>
      <c r="FZ49">
        <v>0</v>
      </c>
      <c r="GA49">
        <v>0</v>
      </c>
      <c r="GB49">
        <v>0</v>
      </c>
      <c r="GC49">
        <v>0</v>
      </c>
      <c r="GD49">
        <v>0</v>
      </c>
      <c r="GE49">
        <v>0</v>
      </c>
      <c r="GF49">
        <v>0</v>
      </c>
      <c r="GG49">
        <v>0</v>
      </c>
      <c r="GH49">
        <v>0</v>
      </c>
      <c r="GI49">
        <v>0</v>
      </c>
      <c r="GJ49">
        <v>0</v>
      </c>
      <c r="GK49">
        <v>0</v>
      </c>
      <c r="GL49">
        <v>0</v>
      </c>
      <c r="GM49">
        <v>0</v>
      </c>
      <c r="GN49">
        <v>0</v>
      </c>
      <c r="GO49">
        <v>0</v>
      </c>
      <c r="GP49">
        <v>0</v>
      </c>
      <c r="GQ49">
        <v>0</v>
      </c>
      <c r="GR49">
        <v>0</v>
      </c>
      <c r="GS49">
        <v>0</v>
      </c>
      <c r="GT49">
        <v>0</v>
      </c>
      <c r="GU49">
        <v>0</v>
      </c>
      <c r="GV49">
        <v>0</v>
      </c>
      <c r="GW49">
        <v>0</v>
      </c>
      <c r="GX49">
        <v>1343</v>
      </c>
      <c r="GY49">
        <v>19164</v>
      </c>
      <c r="GZ49">
        <v>0</v>
      </c>
      <c r="HA49">
        <v>20507</v>
      </c>
      <c r="HB49">
        <v>1053</v>
      </c>
      <c r="HC49">
        <v>0</v>
      </c>
      <c r="HD49">
        <v>0</v>
      </c>
      <c r="HE49">
        <v>0</v>
      </c>
      <c r="HF49">
        <v>0</v>
      </c>
      <c r="HG49">
        <v>0</v>
      </c>
      <c r="HH49">
        <v>0</v>
      </c>
      <c r="HI49">
        <v>0</v>
      </c>
      <c r="HJ49">
        <v>0</v>
      </c>
      <c r="HK49">
        <v>0</v>
      </c>
      <c r="HL49">
        <v>0</v>
      </c>
      <c r="HM49">
        <v>0</v>
      </c>
      <c r="HN49">
        <v>0</v>
      </c>
      <c r="HO49">
        <v>0</v>
      </c>
      <c r="HP49">
        <v>0</v>
      </c>
      <c r="HQ49">
        <v>0</v>
      </c>
      <c r="HR49">
        <v>217</v>
      </c>
      <c r="HS49">
        <v>0</v>
      </c>
      <c r="HT49">
        <v>0</v>
      </c>
      <c r="HU49">
        <v>7458</v>
      </c>
      <c r="HV49">
        <v>8728</v>
      </c>
      <c r="HW49">
        <v>0</v>
      </c>
      <c r="HX49">
        <v>0</v>
      </c>
      <c r="HY49">
        <v>0</v>
      </c>
      <c r="HZ49">
        <v>0</v>
      </c>
      <c r="IA49">
        <v>79</v>
      </c>
      <c r="IB49">
        <v>0</v>
      </c>
      <c r="IC49">
        <v>0</v>
      </c>
      <c r="ID49">
        <v>0</v>
      </c>
      <c r="IE49">
        <v>0</v>
      </c>
      <c r="IF49">
        <v>0</v>
      </c>
      <c r="IG49">
        <v>0</v>
      </c>
      <c r="IH49">
        <v>0</v>
      </c>
      <c r="II49">
        <v>0</v>
      </c>
      <c r="IJ49">
        <v>0</v>
      </c>
      <c r="IK49">
        <v>0</v>
      </c>
      <c r="IL49">
        <v>0</v>
      </c>
      <c r="IM49">
        <v>20507</v>
      </c>
      <c r="IN49">
        <v>8728</v>
      </c>
      <c r="IO49">
        <v>0</v>
      </c>
      <c r="IP49">
        <v>29235</v>
      </c>
      <c r="IQ49">
        <v>0</v>
      </c>
      <c r="IR49">
        <v>0</v>
      </c>
      <c r="IS49">
        <v>0</v>
      </c>
      <c r="IT49">
        <v>0</v>
      </c>
      <c r="IU49">
        <v>0</v>
      </c>
      <c r="IV49">
        <v>0</v>
      </c>
      <c r="IW49">
        <v>0</v>
      </c>
      <c r="IX49">
        <v>0</v>
      </c>
      <c r="IY49">
        <v>0</v>
      </c>
      <c r="IZ49">
        <v>0</v>
      </c>
      <c r="JA49">
        <v>0</v>
      </c>
      <c r="JB49">
        <v>0</v>
      </c>
      <c r="JC49">
        <v>0</v>
      </c>
      <c r="JD49">
        <v>0</v>
      </c>
      <c r="JE49">
        <v>0</v>
      </c>
      <c r="JF49">
        <v>0</v>
      </c>
      <c r="JG49">
        <v>29235</v>
      </c>
      <c r="JH49">
        <v>0</v>
      </c>
      <c r="JI49">
        <v>1960</v>
      </c>
      <c r="JJ49">
        <v>0</v>
      </c>
      <c r="JK49">
        <v>0</v>
      </c>
      <c r="JL49">
        <v>0</v>
      </c>
      <c r="JM49">
        <v>0</v>
      </c>
      <c r="JN49">
        <v>47</v>
      </c>
      <c r="JO49">
        <v>0</v>
      </c>
      <c r="JP49">
        <v>311</v>
      </c>
      <c r="JQ49">
        <v>0</v>
      </c>
      <c r="JR49">
        <v>31553</v>
      </c>
      <c r="JS49">
        <v>0</v>
      </c>
      <c r="JT49">
        <v>0</v>
      </c>
      <c r="JU49">
        <v>0</v>
      </c>
      <c r="JV49">
        <v>0</v>
      </c>
      <c r="JW49">
        <v>0</v>
      </c>
      <c r="JX49">
        <v>0</v>
      </c>
      <c r="JY49">
        <v>0</v>
      </c>
      <c r="JZ49">
        <v>0</v>
      </c>
      <c r="KA49">
        <v>0</v>
      </c>
      <c r="KB49">
        <v>0</v>
      </c>
      <c r="KC49">
        <v>31553</v>
      </c>
      <c r="KD49">
        <v>0</v>
      </c>
      <c r="KE49">
        <v>-1318</v>
      </c>
      <c r="KF49">
        <v>30235</v>
      </c>
      <c r="KG49">
        <v>0</v>
      </c>
      <c r="KH49">
        <v>0</v>
      </c>
      <c r="KI49">
        <v>0</v>
      </c>
      <c r="KJ49">
        <v>0</v>
      </c>
      <c r="KK49">
        <v>1122</v>
      </c>
      <c r="KL49">
        <v>0</v>
      </c>
      <c r="KM49">
        <v>-2336</v>
      </c>
      <c r="KN49">
        <v>0</v>
      </c>
      <c r="KO49">
        <v>-5465</v>
      </c>
      <c r="KP49">
        <v>36</v>
      </c>
      <c r="KQ49">
        <v>-1216</v>
      </c>
      <c r="KR49">
        <v>20729</v>
      </c>
      <c r="KS49">
        <v>0</v>
      </c>
      <c r="KT49">
        <v>0</v>
      </c>
      <c r="KU49">
        <v>0</v>
      </c>
      <c r="KV49">
        <v>4688</v>
      </c>
      <c r="KW49">
        <v>1500</v>
      </c>
      <c r="KX49">
        <v>0</v>
      </c>
      <c r="KY49">
        <v>0</v>
      </c>
      <c r="KZ49">
        <v>0</v>
      </c>
      <c r="LA49">
        <v>5810</v>
      </c>
      <c r="LB49">
        <v>1500</v>
      </c>
      <c r="LC49">
        <v>0</v>
      </c>
      <c r="LD49">
        <v>0</v>
      </c>
      <c r="LE49">
        <v>0</v>
      </c>
      <c r="LF49">
        <v>0</v>
      </c>
      <c r="LG49">
        <v>0</v>
      </c>
      <c r="LH49">
        <v>0</v>
      </c>
      <c r="LI49">
        <v>0</v>
      </c>
      <c r="LJ49">
        <v>0</v>
      </c>
      <c r="LK49">
        <v>0</v>
      </c>
      <c r="LL49">
        <v>0</v>
      </c>
      <c r="LM49">
        <v>0</v>
      </c>
      <c r="LN49">
        <v>0</v>
      </c>
      <c r="LO49">
        <v>0</v>
      </c>
      <c r="LP49">
        <v>0</v>
      </c>
      <c r="LQ49">
        <v>0</v>
      </c>
      <c r="LR49">
        <v>0</v>
      </c>
      <c r="LS49">
        <v>0</v>
      </c>
      <c r="LT49">
        <v>0</v>
      </c>
      <c r="LU49">
        <v>0</v>
      </c>
      <c r="LV49">
        <v>0</v>
      </c>
      <c r="LW49">
        <v>0</v>
      </c>
      <c r="LX49">
        <v>0</v>
      </c>
      <c r="LY49">
        <v>0</v>
      </c>
      <c r="LZ49">
        <v>0</v>
      </c>
      <c r="MA49">
        <v>0</v>
      </c>
      <c r="MB49">
        <v>0</v>
      </c>
      <c r="MC49">
        <v>0</v>
      </c>
      <c r="MD49">
        <v>0</v>
      </c>
      <c r="ME49">
        <v>20507</v>
      </c>
      <c r="MF49">
        <v>8728</v>
      </c>
      <c r="MG49">
        <v>0</v>
      </c>
      <c r="MH49">
        <v>29235</v>
      </c>
      <c r="MI49">
        <v>0</v>
      </c>
      <c r="MJ49">
        <v>0</v>
      </c>
      <c r="MK49">
        <v>0</v>
      </c>
      <c r="ML49">
        <v>0</v>
      </c>
      <c r="MM49">
        <v>0</v>
      </c>
      <c r="MN49">
        <v>0</v>
      </c>
      <c r="MO49">
        <v>0</v>
      </c>
      <c r="MP49">
        <v>0</v>
      </c>
      <c r="MQ49">
        <v>0</v>
      </c>
      <c r="MR49">
        <v>0</v>
      </c>
      <c r="MS49">
        <v>0</v>
      </c>
      <c r="MT49">
        <v>0</v>
      </c>
      <c r="MU49">
        <v>0</v>
      </c>
      <c r="MV49">
        <v>0</v>
      </c>
      <c r="MW49">
        <v>0</v>
      </c>
      <c r="MX49">
        <v>0</v>
      </c>
      <c r="MY49">
        <v>0</v>
      </c>
      <c r="MZ49">
        <v>0</v>
      </c>
      <c r="NA49">
        <v>0</v>
      </c>
      <c r="NB49">
        <v>0</v>
      </c>
      <c r="NC49">
        <v>0</v>
      </c>
      <c r="ND49">
        <v>0</v>
      </c>
      <c r="NE49">
        <v>0</v>
      </c>
      <c r="NF49">
        <v>0</v>
      </c>
      <c r="NG49">
        <v>0</v>
      </c>
      <c r="NH49">
        <v>0</v>
      </c>
      <c r="NI49">
        <v>0</v>
      </c>
      <c r="NJ49">
        <v>0</v>
      </c>
      <c r="NK49">
        <v>0</v>
      </c>
      <c r="NL49">
        <v>0</v>
      </c>
      <c r="NM49">
        <v>0</v>
      </c>
      <c r="NN49">
        <v>0</v>
      </c>
      <c r="NO49">
        <v>0</v>
      </c>
      <c r="NP49">
        <v>0</v>
      </c>
      <c r="NQ49">
        <v>0</v>
      </c>
      <c r="NR49">
        <v>0</v>
      </c>
      <c r="NS49">
        <v>0</v>
      </c>
      <c r="NT49">
        <v>0</v>
      </c>
      <c r="NU49">
        <v>0</v>
      </c>
      <c r="NV49">
        <v>0</v>
      </c>
      <c r="NW49">
        <v>0</v>
      </c>
      <c r="NX49">
        <v>0</v>
      </c>
      <c r="NY49">
        <v>0</v>
      </c>
      <c r="NZ49">
        <v>0</v>
      </c>
      <c r="OA49">
        <v>0</v>
      </c>
      <c r="OB49">
        <v>0</v>
      </c>
      <c r="OC49">
        <v>0</v>
      </c>
      <c r="OD49">
        <v>0</v>
      </c>
      <c r="OE49">
        <v>0</v>
      </c>
      <c r="OF49">
        <v>0</v>
      </c>
      <c r="OG49">
        <v>0</v>
      </c>
      <c r="OH49">
        <v>0</v>
      </c>
      <c r="OI49">
        <v>0</v>
      </c>
      <c r="OJ49">
        <v>0</v>
      </c>
      <c r="OK49">
        <v>0</v>
      </c>
      <c r="OL49">
        <v>0</v>
      </c>
      <c r="OM49">
        <v>0</v>
      </c>
      <c r="ON49">
        <v>0</v>
      </c>
    </row>
    <row r="50" spans="1:404" x14ac:dyDescent="0.25">
      <c r="A50" t="s">
        <v>212</v>
      </c>
      <c r="B50" t="s">
        <v>213</v>
      </c>
      <c r="C50" t="s">
        <v>211</v>
      </c>
      <c r="E50" t="s">
        <v>125</v>
      </c>
      <c r="F50">
        <v>36564</v>
      </c>
      <c r="G50">
        <v>205551</v>
      </c>
      <c r="H50">
        <v>61282</v>
      </c>
      <c r="I50">
        <v>62100</v>
      </c>
      <c r="J50">
        <v>11059</v>
      </c>
      <c r="K50">
        <v>41313</v>
      </c>
      <c r="L50">
        <v>417869</v>
      </c>
      <c r="M50">
        <v>3558</v>
      </c>
      <c r="N50">
        <v>186</v>
      </c>
      <c r="O50">
        <v>-2343</v>
      </c>
      <c r="P50">
        <v>0</v>
      </c>
      <c r="Q50">
        <v>0</v>
      </c>
      <c r="R50">
        <v>17443</v>
      </c>
      <c r="S50">
        <v>0</v>
      </c>
      <c r="T50">
        <v>1824</v>
      </c>
      <c r="U50">
        <v>2219</v>
      </c>
      <c r="V50">
        <v>0</v>
      </c>
      <c r="W50">
        <v>0</v>
      </c>
      <c r="X50">
        <v>280</v>
      </c>
      <c r="Y50">
        <v>500</v>
      </c>
      <c r="Z50">
        <v>-30</v>
      </c>
      <c r="AA50">
        <v>-131</v>
      </c>
      <c r="AB50">
        <v>5639</v>
      </c>
      <c r="AC50">
        <v>0</v>
      </c>
      <c r="AD50">
        <v>3603</v>
      </c>
      <c r="AE50">
        <v>0</v>
      </c>
      <c r="AF50">
        <v>0</v>
      </c>
      <c r="AG50">
        <v>0</v>
      </c>
      <c r="AH50">
        <v>0</v>
      </c>
      <c r="AI50">
        <v>32749</v>
      </c>
      <c r="AJ50">
        <v>0</v>
      </c>
      <c r="AK50">
        <v>0</v>
      </c>
      <c r="AL50">
        <v>0</v>
      </c>
      <c r="AM50">
        <v>0</v>
      </c>
      <c r="AN50">
        <v>0</v>
      </c>
      <c r="AO50">
        <v>0</v>
      </c>
      <c r="AP50">
        <v>0</v>
      </c>
      <c r="AQ50">
        <v>503</v>
      </c>
      <c r="AR50">
        <v>864</v>
      </c>
      <c r="AS50">
        <v>0</v>
      </c>
      <c r="AT50">
        <v>0</v>
      </c>
      <c r="AU50">
        <v>0</v>
      </c>
      <c r="AV50">
        <v>0</v>
      </c>
      <c r="AW50">
        <v>49318</v>
      </c>
      <c r="AX50">
        <v>228</v>
      </c>
      <c r="AY50">
        <v>13065</v>
      </c>
      <c r="AZ50">
        <v>645</v>
      </c>
      <c r="BA50">
        <v>29711</v>
      </c>
      <c r="BB50">
        <v>0</v>
      </c>
      <c r="BC50">
        <v>2056</v>
      </c>
      <c r="BD50">
        <v>95023</v>
      </c>
      <c r="BE50">
        <v>14658</v>
      </c>
      <c r="BF50">
        <v>48592</v>
      </c>
      <c r="BG50">
        <v>476</v>
      </c>
      <c r="BH50">
        <v>258</v>
      </c>
      <c r="BI50">
        <v>1919</v>
      </c>
      <c r="BJ50">
        <v>7849</v>
      </c>
      <c r="BK50">
        <v>55147</v>
      </c>
      <c r="BL50">
        <v>4195</v>
      </c>
      <c r="BM50">
        <v>8564</v>
      </c>
      <c r="BN50">
        <v>4781</v>
      </c>
      <c r="BO50">
        <v>0</v>
      </c>
      <c r="BP50">
        <v>0</v>
      </c>
      <c r="BQ50">
        <v>616</v>
      </c>
      <c r="BR50">
        <v>22</v>
      </c>
      <c r="BS50">
        <v>1325</v>
      </c>
      <c r="BT50">
        <v>13227</v>
      </c>
      <c r="BU50">
        <v>1811</v>
      </c>
      <c r="BV50">
        <v>20804</v>
      </c>
      <c r="BW50">
        <v>184253</v>
      </c>
      <c r="BX50">
        <v>3088</v>
      </c>
      <c r="BY50">
        <v>1210</v>
      </c>
      <c r="BZ50">
        <v>45</v>
      </c>
      <c r="CA50">
        <v>375</v>
      </c>
      <c r="CB50">
        <v>99</v>
      </c>
      <c r="CC50">
        <v>38</v>
      </c>
      <c r="CD50">
        <v>116</v>
      </c>
      <c r="CE50">
        <v>334</v>
      </c>
      <c r="CF50">
        <v>138</v>
      </c>
      <c r="CG50">
        <v>252</v>
      </c>
      <c r="CH50">
        <v>81</v>
      </c>
      <c r="CI50">
        <v>1831</v>
      </c>
      <c r="CJ50">
        <v>823</v>
      </c>
      <c r="CK50">
        <v>660</v>
      </c>
      <c r="CL50">
        <v>444</v>
      </c>
      <c r="CM50">
        <v>364</v>
      </c>
      <c r="CN50">
        <v>545</v>
      </c>
      <c r="CO50">
        <v>64</v>
      </c>
      <c r="CP50">
        <v>2106</v>
      </c>
      <c r="CQ50">
        <v>6355</v>
      </c>
      <c r="CR50">
        <v>337</v>
      </c>
      <c r="CS50">
        <v>36</v>
      </c>
      <c r="CT50">
        <v>279</v>
      </c>
      <c r="CU50">
        <v>471</v>
      </c>
      <c r="CV50">
        <v>25021</v>
      </c>
      <c r="CW50">
        <v>0</v>
      </c>
      <c r="CX50">
        <v>0</v>
      </c>
      <c r="CY50">
        <v>0</v>
      </c>
      <c r="CZ50">
        <v>0</v>
      </c>
      <c r="DA50">
        <v>0</v>
      </c>
      <c r="DB50">
        <v>0</v>
      </c>
      <c r="DC50">
        <v>2880</v>
      </c>
      <c r="DD50">
        <v>0</v>
      </c>
      <c r="DE50">
        <v>0</v>
      </c>
      <c r="DF50">
        <v>0</v>
      </c>
      <c r="DG50">
        <v>0</v>
      </c>
      <c r="DH50">
        <v>0</v>
      </c>
      <c r="DI50">
        <v>0</v>
      </c>
      <c r="DJ50">
        <v>0</v>
      </c>
      <c r="DK50">
        <v>0</v>
      </c>
      <c r="DL50">
        <v>6111</v>
      </c>
      <c r="DM50">
        <v>0</v>
      </c>
      <c r="DN50">
        <v>0</v>
      </c>
      <c r="DO50">
        <v>0</v>
      </c>
      <c r="DP50">
        <v>6111</v>
      </c>
      <c r="DQ50">
        <v>875</v>
      </c>
      <c r="DR50">
        <v>0</v>
      </c>
      <c r="DS50">
        <v>0</v>
      </c>
      <c r="DT50">
        <v>2829</v>
      </c>
      <c r="DU50">
        <v>18</v>
      </c>
      <c r="DV50">
        <v>1281</v>
      </c>
      <c r="DW50">
        <v>0</v>
      </c>
      <c r="DX50">
        <v>13994</v>
      </c>
      <c r="DY50">
        <v>0</v>
      </c>
      <c r="DZ50">
        <v>0</v>
      </c>
      <c r="EA50">
        <v>0</v>
      </c>
      <c r="EB50">
        <v>0</v>
      </c>
      <c r="EC50">
        <v>0</v>
      </c>
      <c r="ED50">
        <v>0</v>
      </c>
      <c r="EE50">
        <v>0</v>
      </c>
      <c r="EF50">
        <v>0</v>
      </c>
      <c r="EG50">
        <v>0</v>
      </c>
      <c r="EH50">
        <v>0</v>
      </c>
      <c r="EI50">
        <v>0</v>
      </c>
      <c r="EJ50">
        <v>0</v>
      </c>
      <c r="EK50">
        <v>0</v>
      </c>
      <c r="EL50">
        <v>0</v>
      </c>
      <c r="EM50">
        <v>0</v>
      </c>
      <c r="EN50">
        <v>0</v>
      </c>
      <c r="EO50">
        <v>0</v>
      </c>
      <c r="EP50">
        <v>0</v>
      </c>
      <c r="EQ50">
        <v>0</v>
      </c>
      <c r="ER50">
        <v>0</v>
      </c>
      <c r="ES50">
        <v>0</v>
      </c>
      <c r="ET50">
        <v>0</v>
      </c>
      <c r="EU50">
        <v>314</v>
      </c>
      <c r="EV50">
        <v>0</v>
      </c>
      <c r="EW50">
        <v>0</v>
      </c>
      <c r="EX50">
        <v>586</v>
      </c>
      <c r="EY50">
        <v>0</v>
      </c>
      <c r="EZ50">
        <v>430</v>
      </c>
      <c r="FA50">
        <v>0</v>
      </c>
      <c r="FB50">
        <v>929</v>
      </c>
      <c r="FC50">
        <v>2552</v>
      </c>
      <c r="FD50">
        <v>-668</v>
      </c>
      <c r="FE50">
        <v>0</v>
      </c>
      <c r="FF50">
        <v>38</v>
      </c>
      <c r="FG50">
        <v>4419</v>
      </c>
      <c r="FH50">
        <v>8601</v>
      </c>
      <c r="FI50">
        <v>-114</v>
      </c>
      <c r="FJ50">
        <v>1032</v>
      </c>
      <c r="FK50">
        <v>0</v>
      </c>
      <c r="FL50">
        <v>5</v>
      </c>
      <c r="FM50">
        <v>3464</v>
      </c>
      <c r="FN50">
        <v>4</v>
      </c>
      <c r="FO50">
        <v>0</v>
      </c>
      <c r="FP50">
        <v>0</v>
      </c>
      <c r="FQ50">
        <v>0</v>
      </c>
      <c r="FR50">
        <v>55</v>
      </c>
      <c r="FS50">
        <v>437</v>
      </c>
      <c r="FT50">
        <v>45</v>
      </c>
      <c r="FU50">
        <v>125</v>
      </c>
      <c r="FV50">
        <v>1631</v>
      </c>
      <c r="FW50">
        <v>768</v>
      </c>
      <c r="FX50">
        <v>0</v>
      </c>
      <c r="FY50">
        <v>1094</v>
      </c>
      <c r="FZ50">
        <v>0</v>
      </c>
      <c r="GA50">
        <v>0</v>
      </c>
      <c r="GB50">
        <v>0</v>
      </c>
      <c r="GC50">
        <v>-35</v>
      </c>
      <c r="GD50">
        <v>2009</v>
      </c>
      <c r="GE50">
        <v>21613</v>
      </c>
      <c r="GF50">
        <v>1848</v>
      </c>
      <c r="GG50">
        <v>0</v>
      </c>
      <c r="GH50">
        <v>0</v>
      </c>
      <c r="GI50">
        <v>0</v>
      </c>
      <c r="GJ50">
        <v>0</v>
      </c>
      <c r="GK50">
        <v>33982</v>
      </c>
      <c r="GL50">
        <v>505</v>
      </c>
      <c r="GM50">
        <v>6997</v>
      </c>
      <c r="GN50">
        <v>0</v>
      </c>
      <c r="GO50">
        <v>-148</v>
      </c>
      <c r="GP50">
        <v>1565</v>
      </c>
      <c r="GQ50">
        <v>6575</v>
      </c>
      <c r="GR50">
        <v>0</v>
      </c>
      <c r="GS50">
        <v>6651</v>
      </c>
      <c r="GT50">
        <v>0</v>
      </c>
      <c r="GU50">
        <v>22146</v>
      </c>
      <c r="GV50">
        <v>64728</v>
      </c>
      <c r="GW50">
        <v>0</v>
      </c>
      <c r="GX50">
        <v>0</v>
      </c>
      <c r="GY50">
        <v>0</v>
      </c>
      <c r="GZ50">
        <v>0</v>
      </c>
      <c r="HA50">
        <v>0</v>
      </c>
      <c r="HB50">
        <v>7060</v>
      </c>
      <c r="HC50">
        <v>3817</v>
      </c>
      <c r="HD50">
        <v>0</v>
      </c>
      <c r="HE50">
        <v>0</v>
      </c>
      <c r="HF50">
        <v>0</v>
      </c>
      <c r="HG50">
        <v>0</v>
      </c>
      <c r="HH50">
        <v>-83</v>
      </c>
      <c r="HI50">
        <v>-34</v>
      </c>
      <c r="HJ50">
        <v>735</v>
      </c>
      <c r="HK50">
        <v>559</v>
      </c>
      <c r="HL50">
        <v>535</v>
      </c>
      <c r="HM50">
        <v>-728</v>
      </c>
      <c r="HN50">
        <v>10</v>
      </c>
      <c r="HO50">
        <v>858</v>
      </c>
      <c r="HP50">
        <v>1176</v>
      </c>
      <c r="HQ50">
        <v>0</v>
      </c>
      <c r="HR50">
        <v>4087</v>
      </c>
      <c r="HS50">
        <v>0</v>
      </c>
      <c r="HT50">
        <v>74</v>
      </c>
      <c r="HU50">
        <v>0</v>
      </c>
      <c r="HV50">
        <v>18066</v>
      </c>
      <c r="HW50">
        <v>2155</v>
      </c>
      <c r="HX50">
        <v>77026</v>
      </c>
      <c r="HY50">
        <v>0</v>
      </c>
      <c r="HZ50">
        <v>0</v>
      </c>
      <c r="IA50">
        <v>0</v>
      </c>
      <c r="IB50">
        <v>0</v>
      </c>
      <c r="IC50">
        <v>417869</v>
      </c>
      <c r="ID50">
        <v>32749</v>
      </c>
      <c r="IE50">
        <v>95023</v>
      </c>
      <c r="IF50">
        <v>184253</v>
      </c>
      <c r="IG50">
        <v>25021</v>
      </c>
      <c r="IH50">
        <v>13994</v>
      </c>
      <c r="II50">
        <v>8601</v>
      </c>
      <c r="IJ50">
        <v>33982</v>
      </c>
      <c r="IK50">
        <v>22146</v>
      </c>
      <c r="IL50">
        <v>0</v>
      </c>
      <c r="IM50">
        <v>0</v>
      </c>
      <c r="IN50">
        <v>18066</v>
      </c>
      <c r="IO50">
        <v>0</v>
      </c>
      <c r="IP50">
        <v>851703</v>
      </c>
      <c r="IQ50">
        <v>87132</v>
      </c>
      <c r="IR50">
        <v>0</v>
      </c>
      <c r="IS50">
        <v>0</v>
      </c>
      <c r="IT50">
        <v>0</v>
      </c>
      <c r="IU50">
        <v>0</v>
      </c>
      <c r="IV50">
        <v>15882</v>
      </c>
      <c r="IW50">
        <v>0</v>
      </c>
      <c r="IX50">
        <v>0</v>
      </c>
      <c r="IY50">
        <v>0</v>
      </c>
      <c r="IZ50">
        <v>0</v>
      </c>
      <c r="JA50">
        <v>0</v>
      </c>
      <c r="JB50">
        <v>-163</v>
      </c>
      <c r="JC50">
        <v>0</v>
      </c>
      <c r="JD50">
        <v>0</v>
      </c>
      <c r="JE50">
        <v>490</v>
      </c>
      <c r="JF50">
        <v>0</v>
      </c>
      <c r="JG50">
        <v>955044</v>
      </c>
      <c r="JH50">
        <v>509</v>
      </c>
      <c r="JI50">
        <v>-105</v>
      </c>
      <c r="JJ50">
        <v>0</v>
      </c>
      <c r="JK50">
        <v>0</v>
      </c>
      <c r="JL50">
        <v>0</v>
      </c>
      <c r="JM50">
        <v>0</v>
      </c>
      <c r="JN50">
        <v>12391</v>
      </c>
      <c r="JO50">
        <v>-717</v>
      </c>
      <c r="JP50">
        <v>9841</v>
      </c>
      <c r="JQ50">
        <v>0</v>
      </c>
      <c r="JR50">
        <v>976963</v>
      </c>
      <c r="JS50">
        <v>-25624</v>
      </c>
      <c r="JT50">
        <v>0</v>
      </c>
      <c r="JU50">
        <v>0</v>
      </c>
      <c r="JV50">
        <v>0</v>
      </c>
      <c r="JW50">
        <v>-94549</v>
      </c>
      <c r="JX50">
        <v>0</v>
      </c>
      <c r="JY50">
        <v>0</v>
      </c>
      <c r="JZ50">
        <v>0</v>
      </c>
      <c r="KA50">
        <v>0</v>
      </c>
      <c r="KB50">
        <v>0</v>
      </c>
      <c r="KC50">
        <v>856790</v>
      </c>
      <c r="KD50">
        <v>0</v>
      </c>
      <c r="KE50">
        <v>-439181</v>
      </c>
      <c r="KF50">
        <v>417609</v>
      </c>
      <c r="KG50">
        <v>-505</v>
      </c>
      <c r="KH50">
        <v>1884</v>
      </c>
      <c r="KI50">
        <v>-1771</v>
      </c>
      <c r="KJ50">
        <v>1811</v>
      </c>
      <c r="KK50">
        <v>12367</v>
      </c>
      <c r="KL50">
        <v>0</v>
      </c>
      <c r="KM50">
        <v>0</v>
      </c>
      <c r="KN50">
        <v>0</v>
      </c>
      <c r="KO50">
        <v>-56836</v>
      </c>
      <c r="KP50">
        <v>0</v>
      </c>
      <c r="KQ50">
        <v>0</v>
      </c>
      <c r="KR50">
        <v>374559</v>
      </c>
      <c r="KS50">
        <v>20793</v>
      </c>
      <c r="KT50">
        <v>-1795</v>
      </c>
      <c r="KU50">
        <v>3973</v>
      </c>
      <c r="KV50">
        <v>232431</v>
      </c>
      <c r="KW50">
        <v>49127</v>
      </c>
      <c r="KX50">
        <v>22677</v>
      </c>
      <c r="KY50">
        <v>-3566</v>
      </c>
      <c r="KZ50">
        <v>5784</v>
      </c>
      <c r="LA50">
        <v>244798</v>
      </c>
      <c r="LB50">
        <v>49127</v>
      </c>
      <c r="LC50">
        <v>0</v>
      </c>
      <c r="LD50">
        <v>0</v>
      </c>
      <c r="LE50">
        <v>0</v>
      </c>
      <c r="LF50">
        <v>0</v>
      </c>
      <c r="LG50">
        <v>0</v>
      </c>
      <c r="LH50">
        <v>0</v>
      </c>
      <c r="LI50">
        <v>0</v>
      </c>
      <c r="LJ50">
        <v>18005</v>
      </c>
      <c r="LK50">
        <v>10882</v>
      </c>
      <c r="LL50">
        <v>28887</v>
      </c>
      <c r="LM50">
        <v>0</v>
      </c>
      <c r="LN50">
        <v>0</v>
      </c>
      <c r="LO50">
        <v>0</v>
      </c>
      <c r="LP50">
        <v>0</v>
      </c>
      <c r="LQ50">
        <v>0</v>
      </c>
      <c r="LR50">
        <v>0</v>
      </c>
      <c r="LS50">
        <v>0</v>
      </c>
      <c r="LT50">
        <v>0</v>
      </c>
      <c r="LU50">
        <v>417869</v>
      </c>
      <c r="LV50">
        <v>32749</v>
      </c>
      <c r="LW50">
        <v>95023</v>
      </c>
      <c r="LX50">
        <v>184253</v>
      </c>
      <c r="LY50">
        <v>25021</v>
      </c>
      <c r="LZ50">
        <v>13994</v>
      </c>
      <c r="MA50">
        <v>8601</v>
      </c>
      <c r="MB50">
        <v>33982</v>
      </c>
      <c r="MC50">
        <v>22146</v>
      </c>
      <c r="MD50">
        <v>0</v>
      </c>
      <c r="ME50">
        <v>0</v>
      </c>
      <c r="MF50">
        <v>18066</v>
      </c>
      <c r="MG50">
        <v>0</v>
      </c>
      <c r="MH50">
        <v>851703</v>
      </c>
      <c r="MI50">
        <v>0</v>
      </c>
      <c r="MJ50">
        <v>0</v>
      </c>
      <c r="MK50">
        <v>0</v>
      </c>
      <c r="ML50">
        <v>0</v>
      </c>
      <c r="MM50">
        <v>0</v>
      </c>
      <c r="MN50">
        <v>0</v>
      </c>
      <c r="MO50">
        <v>0</v>
      </c>
      <c r="MP50">
        <v>0</v>
      </c>
      <c r="MQ50">
        <v>0</v>
      </c>
      <c r="MR50">
        <v>0</v>
      </c>
      <c r="MS50">
        <v>0</v>
      </c>
      <c r="MT50">
        <v>0</v>
      </c>
      <c r="MU50">
        <v>0</v>
      </c>
      <c r="MV50">
        <v>0</v>
      </c>
      <c r="MW50">
        <v>0</v>
      </c>
      <c r="MX50">
        <v>0</v>
      </c>
      <c r="MY50">
        <v>0</v>
      </c>
      <c r="MZ50">
        <v>0</v>
      </c>
      <c r="NA50">
        <v>0</v>
      </c>
      <c r="NB50">
        <v>0</v>
      </c>
      <c r="NC50">
        <v>0</v>
      </c>
      <c r="ND50">
        <v>0</v>
      </c>
      <c r="NE50">
        <v>0</v>
      </c>
      <c r="NF50">
        <v>0</v>
      </c>
      <c r="NG50">
        <v>0</v>
      </c>
      <c r="NH50">
        <v>0</v>
      </c>
      <c r="NI50">
        <v>0</v>
      </c>
      <c r="NJ50">
        <v>0</v>
      </c>
      <c r="NK50">
        <v>0</v>
      </c>
      <c r="NL50">
        <v>0</v>
      </c>
      <c r="NM50">
        <v>0</v>
      </c>
      <c r="NN50">
        <v>0</v>
      </c>
      <c r="NO50">
        <v>0</v>
      </c>
      <c r="NP50">
        <v>0</v>
      </c>
      <c r="NQ50">
        <v>0</v>
      </c>
      <c r="NR50">
        <v>-163</v>
      </c>
      <c r="NS50">
        <v>0</v>
      </c>
      <c r="NT50">
        <v>0</v>
      </c>
      <c r="NU50">
        <v>0</v>
      </c>
      <c r="NV50">
        <v>0</v>
      </c>
      <c r="NW50">
        <v>0</v>
      </c>
      <c r="NX50">
        <v>0</v>
      </c>
      <c r="NY50">
        <v>0</v>
      </c>
      <c r="NZ50">
        <v>-163</v>
      </c>
      <c r="OA50">
        <v>0</v>
      </c>
      <c r="OB50">
        <v>-163</v>
      </c>
      <c r="OC50">
        <v>0</v>
      </c>
      <c r="OD50">
        <v>0</v>
      </c>
      <c r="OE50">
        <v>0</v>
      </c>
      <c r="OF50">
        <v>0</v>
      </c>
      <c r="OG50">
        <v>0</v>
      </c>
      <c r="OH50">
        <v>0</v>
      </c>
      <c r="OI50">
        <v>0</v>
      </c>
      <c r="OJ50">
        <v>0</v>
      </c>
      <c r="OK50">
        <v>0</v>
      </c>
      <c r="OL50">
        <v>0</v>
      </c>
      <c r="OM50">
        <v>0</v>
      </c>
      <c r="ON50">
        <v>0</v>
      </c>
    </row>
    <row r="51" spans="1:404" x14ac:dyDescent="0.25">
      <c r="A51" t="s">
        <v>218</v>
      </c>
      <c r="B51" t="s">
        <v>219</v>
      </c>
      <c r="C51" t="s">
        <v>217</v>
      </c>
      <c r="E51" t="s">
        <v>61</v>
      </c>
      <c r="F51">
        <v>0</v>
      </c>
      <c r="G51">
        <v>0</v>
      </c>
      <c r="H51">
        <v>0</v>
      </c>
      <c r="I51">
        <v>0</v>
      </c>
      <c r="J51">
        <v>0</v>
      </c>
      <c r="K51">
        <v>0</v>
      </c>
      <c r="L51">
        <v>0</v>
      </c>
      <c r="M51">
        <v>0</v>
      </c>
      <c r="N51">
        <v>0</v>
      </c>
      <c r="O51">
        <v>0</v>
      </c>
      <c r="P51">
        <v>0</v>
      </c>
      <c r="Q51">
        <v>0</v>
      </c>
      <c r="R51">
        <v>0</v>
      </c>
      <c r="S51">
        <v>73</v>
      </c>
      <c r="T51">
        <v>0</v>
      </c>
      <c r="U51">
        <v>87</v>
      </c>
      <c r="V51">
        <v>0</v>
      </c>
      <c r="W51">
        <v>0</v>
      </c>
      <c r="X51">
        <v>0</v>
      </c>
      <c r="Y51">
        <v>0</v>
      </c>
      <c r="Z51">
        <v>0</v>
      </c>
      <c r="AA51">
        <v>-225</v>
      </c>
      <c r="AB51">
        <v>0</v>
      </c>
      <c r="AC51">
        <v>0</v>
      </c>
      <c r="AD51">
        <v>0</v>
      </c>
      <c r="AE51">
        <v>0</v>
      </c>
      <c r="AF51">
        <v>0</v>
      </c>
      <c r="AG51">
        <v>109</v>
      </c>
      <c r="AH51">
        <v>0</v>
      </c>
      <c r="AI51">
        <v>44</v>
      </c>
      <c r="AJ51">
        <v>0</v>
      </c>
      <c r="AK51">
        <v>0</v>
      </c>
      <c r="AL51">
        <v>0</v>
      </c>
      <c r="AM51">
        <v>0</v>
      </c>
      <c r="AN51">
        <v>0</v>
      </c>
      <c r="AO51">
        <v>0</v>
      </c>
      <c r="AP51">
        <v>0</v>
      </c>
      <c r="AQ51">
        <v>0</v>
      </c>
      <c r="AR51">
        <v>0</v>
      </c>
      <c r="AS51">
        <v>0</v>
      </c>
      <c r="AT51">
        <v>0</v>
      </c>
      <c r="AU51">
        <v>0</v>
      </c>
      <c r="AV51">
        <v>0</v>
      </c>
      <c r="AW51">
        <v>0</v>
      </c>
      <c r="AX51">
        <v>0</v>
      </c>
      <c r="AY51">
        <v>0</v>
      </c>
      <c r="AZ51">
        <v>0</v>
      </c>
      <c r="BA51">
        <v>0</v>
      </c>
      <c r="BB51">
        <v>0</v>
      </c>
      <c r="BC51">
        <v>0</v>
      </c>
      <c r="BD51">
        <v>0</v>
      </c>
      <c r="BE51">
        <v>0</v>
      </c>
      <c r="BF51">
        <v>0</v>
      </c>
      <c r="BG51">
        <v>0</v>
      </c>
      <c r="BH51">
        <v>4</v>
      </c>
      <c r="BI51">
        <v>0</v>
      </c>
      <c r="BJ51">
        <v>0</v>
      </c>
      <c r="BK51">
        <v>0</v>
      </c>
      <c r="BL51">
        <v>0</v>
      </c>
      <c r="BM51">
        <v>0</v>
      </c>
      <c r="BN51">
        <v>0</v>
      </c>
      <c r="BO51">
        <v>0</v>
      </c>
      <c r="BP51">
        <v>0</v>
      </c>
      <c r="BQ51">
        <v>0</v>
      </c>
      <c r="BR51">
        <v>0</v>
      </c>
      <c r="BS51">
        <v>0</v>
      </c>
      <c r="BT51">
        <v>0</v>
      </c>
      <c r="BU51">
        <v>0</v>
      </c>
      <c r="BV51">
        <v>0</v>
      </c>
      <c r="BW51">
        <v>4</v>
      </c>
      <c r="BX51">
        <v>0</v>
      </c>
      <c r="BY51">
        <v>0</v>
      </c>
      <c r="BZ51">
        <v>0</v>
      </c>
      <c r="CA51">
        <v>0</v>
      </c>
      <c r="CB51">
        <v>0</v>
      </c>
      <c r="CC51">
        <v>0</v>
      </c>
      <c r="CD51">
        <v>0</v>
      </c>
      <c r="CE51">
        <v>0</v>
      </c>
      <c r="CF51">
        <v>0</v>
      </c>
      <c r="CG51">
        <v>0</v>
      </c>
      <c r="CH51">
        <v>0</v>
      </c>
      <c r="CI51">
        <v>0</v>
      </c>
      <c r="CJ51">
        <v>0</v>
      </c>
      <c r="CK51">
        <v>0</v>
      </c>
      <c r="CL51">
        <v>0</v>
      </c>
      <c r="CM51">
        <v>0</v>
      </c>
      <c r="CN51">
        <v>0</v>
      </c>
      <c r="CO51">
        <v>0</v>
      </c>
      <c r="CP51">
        <v>0</v>
      </c>
      <c r="CQ51">
        <v>0</v>
      </c>
      <c r="CR51">
        <v>0</v>
      </c>
      <c r="CS51">
        <v>0</v>
      </c>
      <c r="CT51">
        <v>0</v>
      </c>
      <c r="CU51">
        <v>0</v>
      </c>
      <c r="CV51">
        <v>0</v>
      </c>
      <c r="CW51">
        <v>0</v>
      </c>
      <c r="CX51">
        <v>0</v>
      </c>
      <c r="CY51">
        <v>0</v>
      </c>
      <c r="CZ51">
        <v>0</v>
      </c>
      <c r="DA51">
        <v>0</v>
      </c>
      <c r="DB51">
        <v>0</v>
      </c>
      <c r="DC51">
        <v>300</v>
      </c>
      <c r="DD51">
        <v>1</v>
      </c>
      <c r="DE51">
        <v>244</v>
      </c>
      <c r="DF51">
        <v>238</v>
      </c>
      <c r="DG51">
        <v>111</v>
      </c>
      <c r="DH51">
        <v>0</v>
      </c>
      <c r="DI51">
        <v>0</v>
      </c>
      <c r="DJ51">
        <v>0</v>
      </c>
      <c r="DK51">
        <v>0</v>
      </c>
      <c r="DL51">
        <v>0</v>
      </c>
      <c r="DM51">
        <v>0</v>
      </c>
      <c r="DN51">
        <v>0</v>
      </c>
      <c r="DO51">
        <v>100</v>
      </c>
      <c r="DP51">
        <v>211</v>
      </c>
      <c r="DQ51">
        <v>0</v>
      </c>
      <c r="DR51">
        <v>0</v>
      </c>
      <c r="DS51">
        <v>19</v>
      </c>
      <c r="DT51">
        <v>622</v>
      </c>
      <c r="DU51">
        <v>0</v>
      </c>
      <c r="DV51">
        <v>0</v>
      </c>
      <c r="DW51">
        <v>0</v>
      </c>
      <c r="DX51">
        <v>1635</v>
      </c>
      <c r="DY51">
        <v>0</v>
      </c>
      <c r="DZ51">
        <v>0</v>
      </c>
      <c r="EA51">
        <v>0</v>
      </c>
      <c r="EB51">
        <v>0</v>
      </c>
      <c r="EC51">
        <v>0</v>
      </c>
      <c r="ED51">
        <v>0</v>
      </c>
      <c r="EE51">
        <v>0</v>
      </c>
      <c r="EF51">
        <v>0</v>
      </c>
      <c r="EG51">
        <v>0</v>
      </c>
      <c r="EH51">
        <v>0</v>
      </c>
      <c r="EI51">
        <v>0</v>
      </c>
      <c r="EJ51">
        <v>0</v>
      </c>
      <c r="EK51">
        <v>0</v>
      </c>
      <c r="EL51">
        <v>0</v>
      </c>
      <c r="EM51">
        <v>0</v>
      </c>
      <c r="EN51">
        <v>0</v>
      </c>
      <c r="EO51">
        <v>0</v>
      </c>
      <c r="EP51">
        <v>0</v>
      </c>
      <c r="EQ51">
        <v>0</v>
      </c>
      <c r="ER51">
        <v>0</v>
      </c>
      <c r="ES51">
        <v>0</v>
      </c>
      <c r="ET51">
        <v>0</v>
      </c>
      <c r="EU51">
        <v>0</v>
      </c>
      <c r="EV51">
        <v>5</v>
      </c>
      <c r="EW51">
        <v>0</v>
      </c>
      <c r="EX51">
        <v>438</v>
      </c>
      <c r="EY51">
        <v>82</v>
      </c>
      <c r="EZ51">
        <v>33</v>
      </c>
      <c r="FA51">
        <v>0</v>
      </c>
      <c r="FB51">
        <v>0</v>
      </c>
      <c r="FC51">
        <v>1577</v>
      </c>
      <c r="FD51">
        <v>1399</v>
      </c>
      <c r="FE51">
        <v>-12</v>
      </c>
      <c r="FF51">
        <v>0</v>
      </c>
      <c r="FG51">
        <v>0</v>
      </c>
      <c r="FH51">
        <v>3522</v>
      </c>
      <c r="FI51">
        <v>-527</v>
      </c>
      <c r="FJ51">
        <v>0</v>
      </c>
      <c r="FK51">
        <v>0</v>
      </c>
      <c r="FL51">
        <v>181</v>
      </c>
      <c r="FM51">
        <v>285</v>
      </c>
      <c r="FN51">
        <v>29</v>
      </c>
      <c r="FO51">
        <v>44</v>
      </c>
      <c r="FP51">
        <v>0</v>
      </c>
      <c r="FQ51">
        <v>0</v>
      </c>
      <c r="FR51">
        <v>94</v>
      </c>
      <c r="FS51">
        <v>38</v>
      </c>
      <c r="FT51">
        <v>161</v>
      </c>
      <c r="FU51">
        <v>49</v>
      </c>
      <c r="FV51">
        <v>332</v>
      </c>
      <c r="FW51">
        <v>0</v>
      </c>
      <c r="FX51">
        <v>176</v>
      </c>
      <c r="FY51">
        <v>0</v>
      </c>
      <c r="FZ51">
        <v>11</v>
      </c>
      <c r="GA51">
        <v>0</v>
      </c>
      <c r="GB51">
        <v>0</v>
      </c>
      <c r="GC51">
        <v>0</v>
      </c>
      <c r="GD51">
        <v>1297</v>
      </c>
      <c r="GE51">
        <v>1070</v>
      </c>
      <c r="GF51">
        <v>0</v>
      </c>
      <c r="GG51">
        <v>-138</v>
      </c>
      <c r="GH51">
        <v>743</v>
      </c>
      <c r="GI51">
        <v>0</v>
      </c>
      <c r="GJ51">
        <v>0</v>
      </c>
      <c r="GK51">
        <v>3845</v>
      </c>
      <c r="GL51">
        <v>102</v>
      </c>
      <c r="GM51">
        <v>33</v>
      </c>
      <c r="GN51">
        <v>0</v>
      </c>
      <c r="GO51">
        <v>331</v>
      </c>
      <c r="GP51">
        <v>0</v>
      </c>
      <c r="GQ51">
        <v>532</v>
      </c>
      <c r="GR51">
        <v>0</v>
      </c>
      <c r="GS51">
        <v>424</v>
      </c>
      <c r="GT51">
        <v>376</v>
      </c>
      <c r="GU51">
        <v>1798</v>
      </c>
      <c r="GV51">
        <v>9165</v>
      </c>
      <c r="GW51">
        <v>0</v>
      </c>
      <c r="GX51">
        <v>0</v>
      </c>
      <c r="GY51">
        <v>0</v>
      </c>
      <c r="GZ51">
        <v>0</v>
      </c>
      <c r="HA51">
        <v>0</v>
      </c>
      <c r="HB51">
        <v>4254</v>
      </c>
      <c r="HC51">
        <v>332</v>
      </c>
      <c r="HD51">
        <v>0</v>
      </c>
      <c r="HE51">
        <v>0</v>
      </c>
      <c r="HF51">
        <v>285</v>
      </c>
      <c r="HG51">
        <v>-36</v>
      </c>
      <c r="HH51">
        <v>0</v>
      </c>
      <c r="HI51">
        <v>0</v>
      </c>
      <c r="HJ51">
        <v>130</v>
      </c>
      <c r="HK51">
        <v>265</v>
      </c>
      <c r="HL51">
        <v>50</v>
      </c>
      <c r="HM51">
        <v>-28</v>
      </c>
      <c r="HN51">
        <v>0</v>
      </c>
      <c r="HO51">
        <v>27</v>
      </c>
      <c r="HP51">
        <v>0</v>
      </c>
      <c r="HQ51">
        <v>0</v>
      </c>
      <c r="HR51">
        <v>476</v>
      </c>
      <c r="HS51">
        <v>78</v>
      </c>
      <c r="HT51">
        <v>0</v>
      </c>
      <c r="HU51">
        <v>-1594</v>
      </c>
      <c r="HV51">
        <v>4239</v>
      </c>
      <c r="HW51">
        <v>2385</v>
      </c>
      <c r="HX51">
        <v>8908</v>
      </c>
      <c r="HY51">
        <v>0</v>
      </c>
      <c r="HZ51">
        <v>0</v>
      </c>
      <c r="IA51">
        <v>19</v>
      </c>
      <c r="IB51">
        <v>0</v>
      </c>
      <c r="IC51">
        <v>0</v>
      </c>
      <c r="ID51">
        <v>44</v>
      </c>
      <c r="IE51">
        <v>0</v>
      </c>
      <c r="IF51">
        <v>4</v>
      </c>
      <c r="IG51">
        <v>0</v>
      </c>
      <c r="IH51">
        <v>1635</v>
      </c>
      <c r="II51">
        <v>3522</v>
      </c>
      <c r="IJ51">
        <v>3845</v>
      </c>
      <c r="IK51">
        <v>1798</v>
      </c>
      <c r="IL51">
        <v>0</v>
      </c>
      <c r="IM51">
        <v>0</v>
      </c>
      <c r="IN51">
        <v>4239</v>
      </c>
      <c r="IO51">
        <v>0</v>
      </c>
      <c r="IP51">
        <v>15087</v>
      </c>
      <c r="IQ51">
        <v>22532</v>
      </c>
      <c r="IR51">
        <v>90</v>
      </c>
      <c r="IS51">
        <v>0</v>
      </c>
      <c r="IT51">
        <v>0</v>
      </c>
      <c r="IU51">
        <v>0</v>
      </c>
      <c r="IV51">
        <v>169</v>
      </c>
      <c r="IW51">
        <v>0</v>
      </c>
      <c r="IX51">
        <v>0</v>
      </c>
      <c r="IY51">
        <v>0</v>
      </c>
      <c r="IZ51">
        <v>0</v>
      </c>
      <c r="JA51">
        <v>97</v>
      </c>
      <c r="JB51">
        <v>0</v>
      </c>
      <c r="JC51">
        <v>0</v>
      </c>
      <c r="JD51">
        <v>0</v>
      </c>
      <c r="JE51">
        <v>22</v>
      </c>
      <c r="JF51">
        <v>0</v>
      </c>
      <c r="JG51">
        <v>37997</v>
      </c>
      <c r="JH51">
        <v>0</v>
      </c>
      <c r="JI51">
        <v>191</v>
      </c>
      <c r="JJ51">
        <v>0</v>
      </c>
      <c r="JK51">
        <v>0</v>
      </c>
      <c r="JL51">
        <v>0</v>
      </c>
      <c r="JM51">
        <v>-6</v>
      </c>
      <c r="JN51">
        <v>1023</v>
      </c>
      <c r="JO51">
        <v>0</v>
      </c>
      <c r="JP51">
        <v>1156</v>
      </c>
      <c r="JQ51">
        <v>0</v>
      </c>
      <c r="JR51">
        <v>40361</v>
      </c>
      <c r="JS51">
        <v>-2060</v>
      </c>
      <c r="JT51">
        <v>0</v>
      </c>
      <c r="JU51">
        <v>0</v>
      </c>
      <c r="JV51">
        <v>0</v>
      </c>
      <c r="JW51">
        <v>-22491</v>
      </c>
      <c r="JX51">
        <v>0</v>
      </c>
      <c r="JY51">
        <v>0</v>
      </c>
      <c r="JZ51">
        <v>0</v>
      </c>
      <c r="KA51">
        <v>0</v>
      </c>
      <c r="KB51">
        <v>0</v>
      </c>
      <c r="KC51">
        <v>15810</v>
      </c>
      <c r="KD51">
        <v>0</v>
      </c>
      <c r="KE51">
        <v>-2852</v>
      </c>
      <c r="KF51">
        <v>12958</v>
      </c>
      <c r="KG51">
        <v>0</v>
      </c>
      <c r="KH51">
        <v>0</v>
      </c>
      <c r="KI51">
        <v>0</v>
      </c>
      <c r="KJ51">
        <v>0</v>
      </c>
      <c r="KK51">
        <v>1349</v>
      </c>
      <c r="KL51">
        <v>0</v>
      </c>
      <c r="KM51">
        <v>-1649</v>
      </c>
      <c r="KN51">
        <v>0</v>
      </c>
      <c r="KO51">
        <v>-3730</v>
      </c>
      <c r="KP51">
        <v>3748</v>
      </c>
      <c r="KQ51">
        <v>78</v>
      </c>
      <c r="KR51">
        <v>7435</v>
      </c>
      <c r="KS51">
        <v>0</v>
      </c>
      <c r="KT51">
        <v>0</v>
      </c>
      <c r="KU51">
        <v>0</v>
      </c>
      <c r="KV51">
        <v>11079</v>
      </c>
      <c r="KW51">
        <v>1379</v>
      </c>
      <c r="KX51">
        <v>0</v>
      </c>
      <c r="KY51">
        <v>0</v>
      </c>
      <c r="KZ51">
        <v>0</v>
      </c>
      <c r="LA51">
        <v>12428</v>
      </c>
      <c r="LB51">
        <v>1379</v>
      </c>
      <c r="LC51">
        <v>0</v>
      </c>
      <c r="LD51">
        <v>-1549</v>
      </c>
      <c r="LE51">
        <v>0</v>
      </c>
      <c r="LF51">
        <v>0</v>
      </c>
      <c r="LG51">
        <v>3571</v>
      </c>
      <c r="LH51">
        <v>-6434</v>
      </c>
      <c r="LI51">
        <v>-6773</v>
      </c>
      <c r="LJ51">
        <v>3129</v>
      </c>
      <c r="LK51">
        <v>6170</v>
      </c>
      <c r="LL51">
        <v>9299</v>
      </c>
      <c r="LM51">
        <v>0</v>
      </c>
      <c r="LN51">
        <v>0</v>
      </c>
      <c r="LO51">
        <v>0</v>
      </c>
      <c r="LP51">
        <v>0</v>
      </c>
      <c r="LQ51">
        <v>0</v>
      </c>
      <c r="LR51">
        <v>0</v>
      </c>
      <c r="LS51">
        <v>0</v>
      </c>
      <c r="LT51">
        <v>0</v>
      </c>
      <c r="LU51">
        <v>0</v>
      </c>
      <c r="LV51">
        <v>44</v>
      </c>
      <c r="LW51">
        <v>0</v>
      </c>
      <c r="LX51">
        <v>4</v>
      </c>
      <c r="LY51">
        <v>0</v>
      </c>
      <c r="LZ51">
        <v>1635</v>
      </c>
      <c r="MA51">
        <v>3522</v>
      </c>
      <c r="MB51">
        <v>3845</v>
      </c>
      <c r="MC51">
        <v>1798</v>
      </c>
      <c r="MD51">
        <v>0</v>
      </c>
      <c r="ME51">
        <v>0</v>
      </c>
      <c r="MF51">
        <v>4239</v>
      </c>
      <c r="MG51">
        <v>0</v>
      </c>
      <c r="MH51">
        <v>15087</v>
      </c>
      <c r="MI51">
        <v>0</v>
      </c>
      <c r="MJ51">
        <v>0</v>
      </c>
      <c r="MK51">
        <v>0</v>
      </c>
      <c r="ML51">
        <v>0</v>
      </c>
      <c r="MM51">
        <v>0</v>
      </c>
      <c r="MN51">
        <v>0</v>
      </c>
      <c r="MO51">
        <v>0</v>
      </c>
      <c r="MP51">
        <v>0</v>
      </c>
      <c r="MQ51">
        <v>0</v>
      </c>
      <c r="MR51">
        <v>0</v>
      </c>
      <c r="MS51">
        <v>0</v>
      </c>
      <c r="MT51">
        <v>0</v>
      </c>
      <c r="MU51">
        <v>0</v>
      </c>
      <c r="MV51">
        <v>0</v>
      </c>
      <c r="MW51">
        <v>0</v>
      </c>
      <c r="MX51">
        <v>0</v>
      </c>
      <c r="MY51">
        <v>0</v>
      </c>
      <c r="MZ51">
        <v>97</v>
      </c>
      <c r="NA51">
        <v>97</v>
      </c>
      <c r="NB51">
        <v>0</v>
      </c>
      <c r="NC51">
        <v>97</v>
      </c>
      <c r="ND51">
        <v>0</v>
      </c>
      <c r="NE51">
        <v>0</v>
      </c>
      <c r="NF51">
        <v>0</v>
      </c>
      <c r="NG51">
        <v>0</v>
      </c>
      <c r="NH51">
        <v>0</v>
      </c>
      <c r="NI51">
        <v>0</v>
      </c>
      <c r="NJ51">
        <v>0</v>
      </c>
      <c r="NK51">
        <v>0</v>
      </c>
      <c r="NL51">
        <v>0</v>
      </c>
      <c r="NM51">
        <v>0</v>
      </c>
      <c r="NN51">
        <v>0</v>
      </c>
      <c r="NO51">
        <v>0</v>
      </c>
      <c r="NP51">
        <v>0</v>
      </c>
      <c r="NQ51">
        <v>0</v>
      </c>
      <c r="NR51">
        <v>0</v>
      </c>
      <c r="NS51">
        <v>0</v>
      </c>
      <c r="NT51">
        <v>0</v>
      </c>
      <c r="NU51">
        <v>0</v>
      </c>
      <c r="NV51">
        <v>0</v>
      </c>
      <c r="NW51">
        <v>0</v>
      </c>
      <c r="NX51">
        <v>0</v>
      </c>
      <c r="NY51">
        <v>0</v>
      </c>
      <c r="NZ51">
        <v>0</v>
      </c>
      <c r="OA51">
        <v>0</v>
      </c>
      <c r="OB51">
        <v>0</v>
      </c>
      <c r="OC51">
        <v>0</v>
      </c>
      <c r="OD51">
        <v>0</v>
      </c>
      <c r="OE51">
        <v>0</v>
      </c>
      <c r="OF51">
        <v>0</v>
      </c>
      <c r="OG51">
        <v>0</v>
      </c>
      <c r="OH51">
        <v>0</v>
      </c>
      <c r="OI51">
        <v>0</v>
      </c>
      <c r="OJ51">
        <v>0</v>
      </c>
      <c r="OK51">
        <v>0</v>
      </c>
      <c r="OL51">
        <v>0</v>
      </c>
      <c r="OM51">
        <v>0</v>
      </c>
      <c r="ON51">
        <v>0</v>
      </c>
    </row>
    <row r="52" spans="1:404" x14ac:dyDescent="0.25">
      <c r="A52" t="s">
        <v>221</v>
      </c>
      <c r="B52" t="s">
        <v>222</v>
      </c>
      <c r="C52" t="s">
        <v>220</v>
      </c>
      <c r="E52" t="s">
        <v>97</v>
      </c>
      <c r="F52">
        <v>8988</v>
      </c>
      <c r="G52">
        <v>81400</v>
      </c>
      <c r="H52">
        <v>37147</v>
      </c>
      <c r="I52">
        <v>10169</v>
      </c>
      <c r="J52">
        <v>1359</v>
      </c>
      <c r="K52">
        <v>7715</v>
      </c>
      <c r="L52">
        <v>146778</v>
      </c>
      <c r="M52">
        <v>866</v>
      </c>
      <c r="N52">
        <v>0</v>
      </c>
      <c r="O52">
        <v>94</v>
      </c>
      <c r="P52">
        <v>1462</v>
      </c>
      <c r="Q52">
        <v>216</v>
      </c>
      <c r="R52">
        <v>212</v>
      </c>
      <c r="S52">
        <v>840</v>
      </c>
      <c r="T52">
        <v>411</v>
      </c>
      <c r="U52">
        <v>1281</v>
      </c>
      <c r="V52">
        <v>0</v>
      </c>
      <c r="W52">
        <v>0</v>
      </c>
      <c r="X52">
        <v>57</v>
      </c>
      <c r="Y52">
        <v>76</v>
      </c>
      <c r="Z52">
        <v>-127</v>
      </c>
      <c r="AA52">
        <v>-447</v>
      </c>
      <c r="AB52">
        <v>0</v>
      </c>
      <c r="AC52">
        <v>0</v>
      </c>
      <c r="AD52">
        <v>0</v>
      </c>
      <c r="AE52">
        <v>0</v>
      </c>
      <c r="AF52">
        <v>0</v>
      </c>
      <c r="AG52">
        <v>0</v>
      </c>
      <c r="AH52">
        <v>0</v>
      </c>
      <c r="AI52">
        <v>4941</v>
      </c>
      <c r="AJ52">
        <v>0</v>
      </c>
      <c r="AK52">
        <v>0</v>
      </c>
      <c r="AL52">
        <v>0</v>
      </c>
      <c r="AM52">
        <v>0</v>
      </c>
      <c r="AN52">
        <v>0</v>
      </c>
      <c r="AO52">
        <v>0</v>
      </c>
      <c r="AP52">
        <v>0</v>
      </c>
      <c r="AQ52">
        <v>713</v>
      </c>
      <c r="AR52">
        <v>357</v>
      </c>
      <c r="AS52">
        <v>0</v>
      </c>
      <c r="AT52">
        <v>0</v>
      </c>
      <c r="AU52">
        <v>0</v>
      </c>
      <c r="AV52">
        <v>479</v>
      </c>
      <c r="AW52">
        <v>20440</v>
      </c>
      <c r="AX52">
        <v>0</v>
      </c>
      <c r="AY52">
        <v>1268</v>
      </c>
      <c r="AZ52">
        <v>146</v>
      </c>
      <c r="BA52">
        <v>10556</v>
      </c>
      <c r="BB52">
        <v>136</v>
      </c>
      <c r="BC52">
        <v>716</v>
      </c>
      <c r="BD52">
        <v>33741</v>
      </c>
      <c r="BE52">
        <v>5128</v>
      </c>
      <c r="BF52">
        <v>15985</v>
      </c>
      <c r="BG52">
        <v>182</v>
      </c>
      <c r="BH52">
        <v>93</v>
      </c>
      <c r="BI52">
        <v>616</v>
      </c>
      <c r="BJ52">
        <v>2971</v>
      </c>
      <c r="BK52">
        <v>22570</v>
      </c>
      <c r="BL52">
        <v>4122</v>
      </c>
      <c r="BM52">
        <v>5467</v>
      </c>
      <c r="BN52">
        <v>3265</v>
      </c>
      <c r="BO52">
        <v>103</v>
      </c>
      <c r="BP52">
        <v>0</v>
      </c>
      <c r="BQ52">
        <v>992</v>
      </c>
      <c r="BR52">
        <v>359</v>
      </c>
      <c r="BS52">
        <v>361</v>
      </c>
      <c r="BT52">
        <v>6582</v>
      </c>
      <c r="BU52">
        <v>-1629</v>
      </c>
      <c r="BV52">
        <v>-4238</v>
      </c>
      <c r="BW52">
        <v>68028</v>
      </c>
      <c r="BX52">
        <v>911</v>
      </c>
      <c r="BY52">
        <v>772</v>
      </c>
      <c r="BZ52">
        <v>64</v>
      </c>
      <c r="CA52">
        <v>253</v>
      </c>
      <c r="CB52">
        <v>2</v>
      </c>
      <c r="CC52">
        <v>6</v>
      </c>
      <c r="CD52">
        <v>310</v>
      </c>
      <c r="CE52">
        <v>293</v>
      </c>
      <c r="CF52">
        <v>293</v>
      </c>
      <c r="CG52">
        <v>62</v>
      </c>
      <c r="CH52">
        <v>62</v>
      </c>
      <c r="CI52">
        <v>1035</v>
      </c>
      <c r="CJ52">
        <v>298</v>
      </c>
      <c r="CK52">
        <v>259</v>
      </c>
      <c r="CL52">
        <v>65</v>
      </c>
      <c r="CM52">
        <v>92</v>
      </c>
      <c r="CN52">
        <v>0</v>
      </c>
      <c r="CO52">
        <v>0</v>
      </c>
      <c r="CP52">
        <v>1417</v>
      </c>
      <c r="CQ52">
        <v>3424</v>
      </c>
      <c r="CR52">
        <v>0</v>
      </c>
      <c r="CS52">
        <v>48</v>
      </c>
      <c r="CT52">
        <v>32</v>
      </c>
      <c r="CU52">
        <v>196</v>
      </c>
      <c r="CV52">
        <v>11565</v>
      </c>
      <c r="CW52">
        <v>285</v>
      </c>
      <c r="CX52">
        <v>0</v>
      </c>
      <c r="CY52">
        <v>28</v>
      </c>
      <c r="CZ52">
        <v>0</v>
      </c>
      <c r="DA52">
        <v>0</v>
      </c>
      <c r="DB52">
        <v>0</v>
      </c>
      <c r="DC52">
        <v>650</v>
      </c>
      <c r="DD52">
        <v>28</v>
      </c>
      <c r="DE52">
        <v>-19</v>
      </c>
      <c r="DF52">
        <v>532</v>
      </c>
      <c r="DG52">
        <v>0</v>
      </c>
      <c r="DH52">
        <v>120</v>
      </c>
      <c r="DI52">
        <v>0</v>
      </c>
      <c r="DJ52">
        <v>0</v>
      </c>
      <c r="DK52">
        <v>0</v>
      </c>
      <c r="DL52">
        <v>0</v>
      </c>
      <c r="DM52">
        <v>0</v>
      </c>
      <c r="DN52">
        <v>378</v>
      </c>
      <c r="DO52">
        <v>0</v>
      </c>
      <c r="DP52">
        <v>498</v>
      </c>
      <c r="DQ52">
        <v>0</v>
      </c>
      <c r="DR52">
        <v>0</v>
      </c>
      <c r="DS52">
        <v>0</v>
      </c>
      <c r="DT52">
        <v>1339</v>
      </c>
      <c r="DU52">
        <v>-2</v>
      </c>
      <c r="DV52">
        <v>1985</v>
      </c>
      <c r="DW52">
        <v>0</v>
      </c>
      <c r="DX52">
        <v>5011</v>
      </c>
      <c r="DY52">
        <v>30394</v>
      </c>
      <c r="DZ52">
        <v>192</v>
      </c>
      <c r="EA52">
        <v>1019</v>
      </c>
      <c r="EB52">
        <v>250</v>
      </c>
      <c r="EC52">
        <v>0</v>
      </c>
      <c r="ED52">
        <v>0</v>
      </c>
      <c r="EE52">
        <v>17</v>
      </c>
      <c r="EF52">
        <v>0</v>
      </c>
      <c r="EG52">
        <v>0</v>
      </c>
      <c r="EH52">
        <v>6886</v>
      </c>
      <c r="EI52">
        <v>7127</v>
      </c>
      <c r="EJ52">
        <v>1383</v>
      </c>
      <c r="EK52">
        <v>22</v>
      </c>
      <c r="EL52">
        <v>0</v>
      </c>
      <c r="EM52">
        <v>7389</v>
      </c>
      <c r="EN52">
        <v>5107</v>
      </c>
      <c r="EO52">
        <v>41</v>
      </c>
      <c r="EP52">
        <v>4209</v>
      </c>
      <c r="EQ52">
        <v>0</v>
      </c>
      <c r="ER52">
        <v>288</v>
      </c>
      <c r="ES52">
        <v>10422</v>
      </c>
      <c r="ET52">
        <v>9842</v>
      </c>
      <c r="EU52">
        <v>0</v>
      </c>
      <c r="EV52">
        <v>0</v>
      </c>
      <c r="EW52">
        <v>31</v>
      </c>
      <c r="EX52">
        <v>812</v>
      </c>
      <c r="EY52">
        <v>0</v>
      </c>
      <c r="EZ52">
        <v>0</v>
      </c>
      <c r="FA52">
        <v>0</v>
      </c>
      <c r="FB52">
        <v>857</v>
      </c>
      <c r="FC52">
        <v>1282</v>
      </c>
      <c r="FD52">
        <v>2170</v>
      </c>
      <c r="FE52">
        <v>0</v>
      </c>
      <c r="FF52">
        <v>31</v>
      </c>
      <c r="FG52">
        <v>1477</v>
      </c>
      <c r="FH52">
        <v>6660</v>
      </c>
      <c r="FI52">
        <v>-394</v>
      </c>
      <c r="FJ52">
        <v>390</v>
      </c>
      <c r="FK52">
        <v>9</v>
      </c>
      <c r="FL52">
        <v>218</v>
      </c>
      <c r="FM52">
        <v>455</v>
      </c>
      <c r="FN52">
        <v>0</v>
      </c>
      <c r="FO52">
        <v>81</v>
      </c>
      <c r="FP52">
        <v>0</v>
      </c>
      <c r="FQ52">
        <v>0</v>
      </c>
      <c r="FR52">
        <v>-3</v>
      </c>
      <c r="FS52">
        <v>7</v>
      </c>
      <c r="FT52">
        <v>146</v>
      </c>
      <c r="FU52">
        <v>211</v>
      </c>
      <c r="FV52">
        <v>0</v>
      </c>
      <c r="FW52">
        <v>-39</v>
      </c>
      <c r="FX52">
        <v>174</v>
      </c>
      <c r="FY52">
        <v>30</v>
      </c>
      <c r="FZ52">
        <v>36</v>
      </c>
      <c r="GA52">
        <v>0</v>
      </c>
      <c r="GB52">
        <v>0</v>
      </c>
      <c r="GC52">
        <v>0</v>
      </c>
      <c r="GD52">
        <v>1422</v>
      </c>
      <c r="GE52">
        <v>1441</v>
      </c>
      <c r="GF52">
        <v>0</v>
      </c>
      <c r="GG52">
        <v>-563</v>
      </c>
      <c r="GH52">
        <v>3430</v>
      </c>
      <c r="GI52">
        <v>132</v>
      </c>
      <c r="GJ52">
        <v>222</v>
      </c>
      <c r="GK52">
        <v>7405</v>
      </c>
      <c r="GL52">
        <v>217</v>
      </c>
      <c r="GM52">
        <v>339</v>
      </c>
      <c r="GN52">
        <v>0</v>
      </c>
      <c r="GO52">
        <v>443</v>
      </c>
      <c r="GP52">
        <v>6</v>
      </c>
      <c r="GQ52">
        <v>614</v>
      </c>
      <c r="GR52">
        <v>0</v>
      </c>
      <c r="GS52">
        <v>213</v>
      </c>
      <c r="GT52">
        <v>0</v>
      </c>
      <c r="GU52">
        <v>1832</v>
      </c>
      <c r="GV52">
        <v>15897</v>
      </c>
      <c r="GW52">
        <v>0</v>
      </c>
      <c r="GX52">
        <v>0</v>
      </c>
      <c r="GY52">
        <v>0</v>
      </c>
      <c r="GZ52">
        <v>0</v>
      </c>
      <c r="HA52">
        <v>0</v>
      </c>
      <c r="HB52">
        <v>3830</v>
      </c>
      <c r="HC52">
        <v>1129</v>
      </c>
      <c r="HD52">
        <v>0</v>
      </c>
      <c r="HE52">
        <v>104</v>
      </c>
      <c r="HF52">
        <v>305</v>
      </c>
      <c r="HG52">
        <v>399</v>
      </c>
      <c r="HH52">
        <v>0</v>
      </c>
      <c r="HI52">
        <v>15</v>
      </c>
      <c r="HJ52">
        <v>331</v>
      </c>
      <c r="HK52">
        <v>342</v>
      </c>
      <c r="HL52">
        <v>100</v>
      </c>
      <c r="HM52">
        <v>-42</v>
      </c>
      <c r="HN52">
        <v>786</v>
      </c>
      <c r="HO52">
        <v>0</v>
      </c>
      <c r="HP52">
        <v>851</v>
      </c>
      <c r="HQ52">
        <v>10</v>
      </c>
      <c r="HR52">
        <v>1171</v>
      </c>
      <c r="HS52">
        <v>0</v>
      </c>
      <c r="HT52">
        <v>0</v>
      </c>
      <c r="HU52">
        <v>6696</v>
      </c>
      <c r="HV52">
        <v>16027</v>
      </c>
      <c r="HW52">
        <v>14586</v>
      </c>
      <c r="HX52">
        <v>4435</v>
      </c>
      <c r="HY52">
        <v>0</v>
      </c>
      <c r="HZ52">
        <v>444</v>
      </c>
      <c r="IA52">
        <v>2578</v>
      </c>
      <c r="IB52">
        <v>-5</v>
      </c>
      <c r="IC52">
        <v>146778</v>
      </c>
      <c r="ID52">
        <v>4941</v>
      </c>
      <c r="IE52">
        <v>33741</v>
      </c>
      <c r="IF52">
        <v>68028</v>
      </c>
      <c r="IG52">
        <v>11565</v>
      </c>
      <c r="IH52">
        <v>5011</v>
      </c>
      <c r="II52">
        <v>6660</v>
      </c>
      <c r="IJ52">
        <v>7405</v>
      </c>
      <c r="IK52">
        <v>1832</v>
      </c>
      <c r="IL52">
        <v>0</v>
      </c>
      <c r="IM52">
        <v>0</v>
      </c>
      <c r="IN52">
        <v>16027</v>
      </c>
      <c r="IO52">
        <v>-5</v>
      </c>
      <c r="IP52">
        <v>301983</v>
      </c>
      <c r="IQ52">
        <v>21325</v>
      </c>
      <c r="IR52">
        <v>435</v>
      </c>
      <c r="IS52">
        <v>11960</v>
      </c>
      <c r="IT52">
        <v>0</v>
      </c>
      <c r="IU52">
        <v>54</v>
      </c>
      <c r="IV52">
        <v>0</v>
      </c>
      <c r="IW52">
        <v>12964</v>
      </c>
      <c r="IX52">
        <v>13152</v>
      </c>
      <c r="IY52">
        <v>0</v>
      </c>
      <c r="IZ52">
        <v>0</v>
      </c>
      <c r="JA52">
        <v>-4588</v>
      </c>
      <c r="JB52">
        <v>-1415</v>
      </c>
      <c r="JC52">
        <v>0</v>
      </c>
      <c r="JD52">
        <v>0</v>
      </c>
      <c r="JE52">
        <v>1362</v>
      </c>
      <c r="JF52">
        <v>0</v>
      </c>
      <c r="JG52">
        <v>357232</v>
      </c>
      <c r="JH52">
        <v>104</v>
      </c>
      <c r="JI52">
        <v>212</v>
      </c>
      <c r="JJ52">
        <v>0</v>
      </c>
      <c r="JK52">
        <v>0</v>
      </c>
      <c r="JL52">
        <v>0</v>
      </c>
      <c r="JM52">
        <v>1140</v>
      </c>
      <c r="JN52">
        <v>2606</v>
      </c>
      <c r="JO52">
        <v>9</v>
      </c>
      <c r="JP52">
        <v>7679</v>
      </c>
      <c r="JQ52">
        <v>-4190</v>
      </c>
      <c r="JR52">
        <v>364792</v>
      </c>
      <c r="JS52">
        <v>-753</v>
      </c>
      <c r="JT52">
        <v>0</v>
      </c>
      <c r="JU52">
        <v>2</v>
      </c>
      <c r="JV52">
        <v>0</v>
      </c>
      <c r="JW52">
        <v>-33990</v>
      </c>
      <c r="JX52">
        <v>0</v>
      </c>
      <c r="JY52">
        <v>0</v>
      </c>
      <c r="JZ52">
        <v>0</v>
      </c>
      <c r="KA52">
        <v>0</v>
      </c>
      <c r="KB52">
        <v>-66</v>
      </c>
      <c r="KC52">
        <v>329985</v>
      </c>
      <c r="KD52">
        <v>-55</v>
      </c>
      <c r="KE52">
        <v>-167241</v>
      </c>
      <c r="KF52">
        <v>162689</v>
      </c>
      <c r="KG52">
        <v>0</v>
      </c>
      <c r="KH52">
        <v>0</v>
      </c>
      <c r="KI52">
        <v>0</v>
      </c>
      <c r="KJ52">
        <v>0</v>
      </c>
      <c r="KK52">
        <v>-11662</v>
      </c>
      <c r="KL52">
        <v>-7065</v>
      </c>
      <c r="KM52">
        <v>0</v>
      </c>
      <c r="KN52">
        <v>0</v>
      </c>
      <c r="KO52">
        <v>-36814</v>
      </c>
      <c r="KP52">
        <v>464</v>
      </c>
      <c r="KQ52">
        <v>0</v>
      </c>
      <c r="KR52">
        <v>91060</v>
      </c>
      <c r="KS52">
        <v>8846</v>
      </c>
      <c r="KT52">
        <v>0</v>
      </c>
      <c r="KU52">
        <v>394</v>
      </c>
      <c r="KV52">
        <v>108907</v>
      </c>
      <c r="KW52">
        <v>30881</v>
      </c>
      <c r="KX52">
        <v>8846</v>
      </c>
      <c r="KY52">
        <v>0</v>
      </c>
      <c r="KZ52">
        <v>394</v>
      </c>
      <c r="LA52">
        <v>97245</v>
      </c>
      <c r="LB52">
        <v>23816</v>
      </c>
      <c r="LC52">
        <v>0</v>
      </c>
      <c r="LD52">
        <v>8076</v>
      </c>
      <c r="LE52">
        <v>0</v>
      </c>
      <c r="LF52">
        <v>1488</v>
      </c>
      <c r="LG52">
        <v>-21769</v>
      </c>
      <c r="LH52">
        <v>4586</v>
      </c>
      <c r="LI52">
        <v>-7619</v>
      </c>
      <c r="LJ52">
        <v>5112</v>
      </c>
      <c r="LK52">
        <v>7058</v>
      </c>
      <c r="LL52">
        <v>12170</v>
      </c>
      <c r="LM52">
        <v>0</v>
      </c>
      <c r="LN52">
        <v>0</v>
      </c>
      <c r="LO52">
        <v>0</v>
      </c>
      <c r="LP52">
        <v>31872</v>
      </c>
      <c r="LQ52">
        <v>32452</v>
      </c>
      <c r="LR52">
        <v>-580</v>
      </c>
      <c r="LS52">
        <v>10422</v>
      </c>
      <c r="LT52">
        <v>9842</v>
      </c>
      <c r="LU52">
        <v>146778</v>
      </c>
      <c r="LV52">
        <v>4941</v>
      </c>
      <c r="LW52">
        <v>33741</v>
      </c>
      <c r="LX52">
        <v>68028</v>
      </c>
      <c r="LY52">
        <v>11565</v>
      </c>
      <c r="LZ52">
        <v>5011</v>
      </c>
      <c r="MA52">
        <v>6660</v>
      </c>
      <c r="MB52">
        <v>7405</v>
      </c>
      <c r="MC52">
        <v>1832</v>
      </c>
      <c r="MD52">
        <v>0</v>
      </c>
      <c r="ME52">
        <v>0</v>
      </c>
      <c r="MF52">
        <v>16027</v>
      </c>
      <c r="MG52">
        <v>-5</v>
      </c>
      <c r="MH52">
        <v>301983</v>
      </c>
      <c r="MI52">
        <v>0</v>
      </c>
      <c r="MJ52">
        <v>-3773</v>
      </c>
      <c r="MK52">
        <v>0</v>
      </c>
      <c r="ML52">
        <v>0</v>
      </c>
      <c r="MM52">
        <v>0</v>
      </c>
      <c r="MN52">
        <v>0</v>
      </c>
      <c r="MO52">
        <v>0</v>
      </c>
      <c r="MP52">
        <v>648</v>
      </c>
      <c r="MQ52">
        <v>0</v>
      </c>
      <c r="MR52">
        <v>0</v>
      </c>
      <c r="MS52">
        <v>0</v>
      </c>
      <c r="MT52">
        <v>0</v>
      </c>
      <c r="MU52">
        <v>0</v>
      </c>
      <c r="MV52">
        <v>0</v>
      </c>
      <c r="MW52">
        <v>-34</v>
      </c>
      <c r="MX52">
        <v>-484</v>
      </c>
      <c r="MY52">
        <v>-230</v>
      </c>
      <c r="MZ52">
        <v>-715</v>
      </c>
      <c r="NA52">
        <v>-4588</v>
      </c>
      <c r="NB52">
        <v>0</v>
      </c>
      <c r="NC52">
        <v>-4588</v>
      </c>
      <c r="ND52">
        <v>0</v>
      </c>
      <c r="NE52">
        <v>0</v>
      </c>
      <c r="NF52">
        <v>-820</v>
      </c>
      <c r="NG52">
        <v>0</v>
      </c>
      <c r="NH52">
        <v>0</v>
      </c>
      <c r="NI52">
        <v>0</v>
      </c>
      <c r="NJ52">
        <v>0</v>
      </c>
      <c r="NK52">
        <v>0</v>
      </c>
      <c r="NL52">
        <v>0</v>
      </c>
      <c r="NM52">
        <v>365</v>
      </c>
      <c r="NN52">
        <v>89</v>
      </c>
      <c r="NO52">
        <v>0</v>
      </c>
      <c r="NP52">
        <v>0</v>
      </c>
      <c r="NQ52">
        <v>75</v>
      </c>
      <c r="NR52">
        <v>-1078</v>
      </c>
      <c r="NS52">
        <v>0</v>
      </c>
      <c r="NT52">
        <v>407</v>
      </c>
      <c r="NU52">
        <v>-391</v>
      </c>
      <c r="NV52">
        <v>0</v>
      </c>
      <c r="NW52">
        <v>0</v>
      </c>
      <c r="NX52">
        <v>0</v>
      </c>
      <c r="NY52">
        <v>0</v>
      </c>
      <c r="NZ52">
        <v>-1415</v>
      </c>
      <c r="OA52">
        <v>0</v>
      </c>
      <c r="OB52">
        <v>-1415</v>
      </c>
      <c r="OC52">
        <v>0</v>
      </c>
      <c r="OD52">
        <v>0</v>
      </c>
      <c r="OE52">
        <v>0</v>
      </c>
      <c r="OF52">
        <v>0</v>
      </c>
      <c r="OG52">
        <v>0</v>
      </c>
      <c r="OH52">
        <v>0</v>
      </c>
      <c r="OI52">
        <v>0</v>
      </c>
      <c r="OJ52">
        <v>0</v>
      </c>
      <c r="OK52">
        <v>0</v>
      </c>
      <c r="OL52">
        <v>0</v>
      </c>
      <c r="OM52">
        <v>0</v>
      </c>
      <c r="ON52">
        <v>0</v>
      </c>
    </row>
    <row r="53" spans="1:404" x14ac:dyDescent="0.25">
      <c r="A53" t="s">
        <v>224</v>
      </c>
      <c r="B53" t="s">
        <v>225</v>
      </c>
      <c r="C53" t="s">
        <v>223</v>
      </c>
      <c r="E53" t="s">
        <v>97</v>
      </c>
      <c r="F53">
        <v>12378</v>
      </c>
      <c r="G53">
        <v>65821</v>
      </c>
      <c r="H53">
        <v>20411</v>
      </c>
      <c r="I53">
        <v>14528</v>
      </c>
      <c r="J53">
        <v>0</v>
      </c>
      <c r="K53">
        <v>7090</v>
      </c>
      <c r="L53">
        <v>120228</v>
      </c>
      <c r="M53">
        <v>424</v>
      </c>
      <c r="N53">
        <v>0</v>
      </c>
      <c r="O53">
        <v>463</v>
      </c>
      <c r="P53">
        <v>616</v>
      </c>
      <c r="Q53">
        <v>116</v>
      </c>
      <c r="R53">
        <v>645</v>
      </c>
      <c r="S53">
        <v>1178</v>
      </c>
      <c r="T53">
        <v>2028</v>
      </c>
      <c r="U53">
        <v>1543</v>
      </c>
      <c r="V53">
        <v>0</v>
      </c>
      <c r="W53">
        <v>0</v>
      </c>
      <c r="X53">
        <v>308</v>
      </c>
      <c r="Y53">
        <v>146</v>
      </c>
      <c r="Z53">
        <v>-940</v>
      </c>
      <c r="AA53">
        <v>-334</v>
      </c>
      <c r="AB53">
        <v>0</v>
      </c>
      <c r="AC53">
        <v>0</v>
      </c>
      <c r="AD53">
        <v>0</v>
      </c>
      <c r="AE53">
        <v>0</v>
      </c>
      <c r="AF53">
        <v>0</v>
      </c>
      <c r="AG53">
        <v>0</v>
      </c>
      <c r="AH53">
        <v>0</v>
      </c>
      <c r="AI53">
        <v>6193</v>
      </c>
      <c r="AJ53">
        <v>0</v>
      </c>
      <c r="AK53">
        <v>0</v>
      </c>
      <c r="AL53">
        <v>0</v>
      </c>
      <c r="AM53">
        <v>0</v>
      </c>
      <c r="AN53">
        <v>0</v>
      </c>
      <c r="AO53">
        <v>0</v>
      </c>
      <c r="AP53">
        <v>0</v>
      </c>
      <c r="AQ53">
        <v>404</v>
      </c>
      <c r="AR53">
        <v>1482</v>
      </c>
      <c r="AS53">
        <v>0</v>
      </c>
      <c r="AT53">
        <v>0</v>
      </c>
      <c r="AU53">
        <v>0</v>
      </c>
      <c r="AV53">
        <v>6812</v>
      </c>
      <c r="AW53">
        <v>27596</v>
      </c>
      <c r="AX53">
        <v>212</v>
      </c>
      <c r="AY53">
        <v>4912</v>
      </c>
      <c r="AZ53">
        <v>863</v>
      </c>
      <c r="BA53">
        <v>4806</v>
      </c>
      <c r="BB53">
        <v>671</v>
      </c>
      <c r="BC53">
        <v>1575</v>
      </c>
      <c r="BD53">
        <v>47447</v>
      </c>
      <c r="BE53">
        <v>4012</v>
      </c>
      <c r="BF53">
        <v>16942</v>
      </c>
      <c r="BG53">
        <v>330</v>
      </c>
      <c r="BH53">
        <v>69</v>
      </c>
      <c r="BI53">
        <v>48</v>
      </c>
      <c r="BJ53">
        <v>4244</v>
      </c>
      <c r="BK53">
        <v>21457</v>
      </c>
      <c r="BL53">
        <v>2220</v>
      </c>
      <c r="BM53">
        <v>2736</v>
      </c>
      <c r="BN53">
        <v>538</v>
      </c>
      <c r="BO53">
        <v>0</v>
      </c>
      <c r="BP53">
        <v>0</v>
      </c>
      <c r="BQ53">
        <v>102</v>
      </c>
      <c r="BR53">
        <v>156</v>
      </c>
      <c r="BS53">
        <v>724</v>
      </c>
      <c r="BT53">
        <v>4005</v>
      </c>
      <c r="BU53">
        <v>558</v>
      </c>
      <c r="BV53">
        <v>-2605</v>
      </c>
      <c r="BW53">
        <v>60588</v>
      </c>
      <c r="BX53">
        <v>1412</v>
      </c>
      <c r="BY53">
        <v>170</v>
      </c>
      <c r="BZ53">
        <v>118</v>
      </c>
      <c r="CA53">
        <v>143</v>
      </c>
      <c r="CB53">
        <v>186</v>
      </c>
      <c r="CC53">
        <v>31</v>
      </c>
      <c r="CD53">
        <v>117</v>
      </c>
      <c r="CE53">
        <v>227</v>
      </c>
      <c r="CF53">
        <v>142</v>
      </c>
      <c r="CG53">
        <v>391</v>
      </c>
      <c r="CH53">
        <v>117</v>
      </c>
      <c r="CI53">
        <v>2067</v>
      </c>
      <c r="CJ53">
        <v>1030</v>
      </c>
      <c r="CK53">
        <v>37</v>
      </c>
      <c r="CL53">
        <v>115</v>
      </c>
      <c r="CM53">
        <v>370</v>
      </c>
      <c r="CN53">
        <v>508</v>
      </c>
      <c r="CO53">
        <v>0</v>
      </c>
      <c r="CP53">
        <v>387</v>
      </c>
      <c r="CQ53">
        <v>3437</v>
      </c>
      <c r="CR53">
        <v>634</v>
      </c>
      <c r="CS53">
        <v>98</v>
      </c>
      <c r="CT53">
        <v>74</v>
      </c>
      <c r="CU53">
        <v>446</v>
      </c>
      <c r="CV53">
        <v>16840</v>
      </c>
      <c r="CW53">
        <v>65</v>
      </c>
      <c r="CX53">
        <v>0</v>
      </c>
      <c r="CY53">
        <v>144</v>
      </c>
      <c r="CZ53">
        <v>0</v>
      </c>
      <c r="DA53">
        <v>0</v>
      </c>
      <c r="DB53">
        <v>0</v>
      </c>
      <c r="DC53">
        <v>397</v>
      </c>
      <c r="DD53">
        <v>97</v>
      </c>
      <c r="DE53">
        <v>252</v>
      </c>
      <c r="DF53">
        <v>0</v>
      </c>
      <c r="DG53">
        <v>0</v>
      </c>
      <c r="DH53">
        <v>374</v>
      </c>
      <c r="DI53">
        <v>211</v>
      </c>
      <c r="DJ53">
        <v>226</v>
      </c>
      <c r="DK53">
        <v>300</v>
      </c>
      <c r="DL53">
        <v>331</v>
      </c>
      <c r="DM53">
        <v>0</v>
      </c>
      <c r="DN53">
        <v>382</v>
      </c>
      <c r="DO53">
        <v>595</v>
      </c>
      <c r="DP53">
        <v>2419</v>
      </c>
      <c r="DQ53">
        <v>0</v>
      </c>
      <c r="DR53">
        <v>0</v>
      </c>
      <c r="DS53">
        <v>0</v>
      </c>
      <c r="DT53">
        <v>321</v>
      </c>
      <c r="DU53">
        <v>6</v>
      </c>
      <c r="DV53">
        <v>1365</v>
      </c>
      <c r="DW53">
        <v>0</v>
      </c>
      <c r="DX53">
        <v>4857</v>
      </c>
      <c r="DY53">
        <v>0</v>
      </c>
      <c r="DZ53">
        <v>0</v>
      </c>
      <c r="EA53">
        <v>0</v>
      </c>
      <c r="EB53">
        <v>0</v>
      </c>
      <c r="EC53">
        <v>0</v>
      </c>
      <c r="ED53">
        <v>0</v>
      </c>
      <c r="EE53">
        <v>0</v>
      </c>
      <c r="EF53">
        <v>0</v>
      </c>
      <c r="EG53">
        <v>0</v>
      </c>
      <c r="EH53">
        <v>0</v>
      </c>
      <c r="EI53">
        <v>0</v>
      </c>
      <c r="EJ53">
        <v>0</v>
      </c>
      <c r="EK53">
        <v>0</v>
      </c>
      <c r="EL53">
        <v>0</v>
      </c>
      <c r="EM53">
        <v>0</v>
      </c>
      <c r="EN53">
        <v>0</v>
      </c>
      <c r="EO53">
        <v>0</v>
      </c>
      <c r="EP53">
        <v>0</v>
      </c>
      <c r="EQ53">
        <v>0</v>
      </c>
      <c r="ER53">
        <v>0</v>
      </c>
      <c r="ES53">
        <v>0</v>
      </c>
      <c r="ET53">
        <v>0</v>
      </c>
      <c r="EU53">
        <v>143</v>
      </c>
      <c r="EV53">
        <v>153</v>
      </c>
      <c r="EW53">
        <v>0</v>
      </c>
      <c r="EX53">
        <v>569</v>
      </c>
      <c r="EY53">
        <v>467</v>
      </c>
      <c r="EZ53">
        <v>818</v>
      </c>
      <c r="FA53">
        <v>0</v>
      </c>
      <c r="FB53">
        <v>-31</v>
      </c>
      <c r="FC53">
        <v>2791</v>
      </c>
      <c r="FD53">
        <v>3905</v>
      </c>
      <c r="FE53">
        <v>-19</v>
      </c>
      <c r="FF53">
        <v>272</v>
      </c>
      <c r="FG53">
        <v>3179</v>
      </c>
      <c r="FH53">
        <v>12247</v>
      </c>
      <c r="FI53">
        <v>-1015</v>
      </c>
      <c r="FJ53">
        <v>143</v>
      </c>
      <c r="FK53">
        <v>12</v>
      </c>
      <c r="FL53">
        <v>83</v>
      </c>
      <c r="FM53">
        <v>525</v>
      </c>
      <c r="FN53">
        <v>63</v>
      </c>
      <c r="FO53">
        <v>20</v>
      </c>
      <c r="FP53">
        <v>0</v>
      </c>
      <c r="FQ53">
        <v>0</v>
      </c>
      <c r="FR53">
        <v>41</v>
      </c>
      <c r="FS53">
        <v>119</v>
      </c>
      <c r="FT53">
        <v>429</v>
      </c>
      <c r="FU53">
        <v>239</v>
      </c>
      <c r="FV53">
        <v>0</v>
      </c>
      <c r="FW53">
        <v>273</v>
      </c>
      <c r="FX53">
        <v>113</v>
      </c>
      <c r="FY53">
        <v>0</v>
      </c>
      <c r="FZ53">
        <v>1224</v>
      </c>
      <c r="GA53">
        <v>0</v>
      </c>
      <c r="GB53">
        <v>0</v>
      </c>
      <c r="GC53">
        <v>0</v>
      </c>
      <c r="GD53">
        <v>1570</v>
      </c>
      <c r="GE53">
        <v>2176</v>
      </c>
      <c r="GF53">
        <v>7285</v>
      </c>
      <c r="GG53">
        <v>0</v>
      </c>
      <c r="GH53">
        <v>3351</v>
      </c>
      <c r="GI53">
        <v>106</v>
      </c>
      <c r="GJ53">
        <v>0</v>
      </c>
      <c r="GK53">
        <v>16757</v>
      </c>
      <c r="GL53">
        <v>199</v>
      </c>
      <c r="GM53">
        <v>398</v>
      </c>
      <c r="GN53">
        <v>0</v>
      </c>
      <c r="GO53">
        <v>498</v>
      </c>
      <c r="GP53">
        <v>339</v>
      </c>
      <c r="GQ53">
        <v>2066</v>
      </c>
      <c r="GR53">
        <v>0</v>
      </c>
      <c r="GS53">
        <v>403</v>
      </c>
      <c r="GT53">
        <v>1496</v>
      </c>
      <c r="GU53">
        <v>5399</v>
      </c>
      <c r="GV53">
        <v>34403</v>
      </c>
      <c r="GW53">
        <v>0</v>
      </c>
      <c r="GX53">
        <v>0</v>
      </c>
      <c r="GY53">
        <v>0</v>
      </c>
      <c r="GZ53">
        <v>0</v>
      </c>
      <c r="HA53">
        <v>0</v>
      </c>
      <c r="HB53">
        <v>3686</v>
      </c>
      <c r="HC53">
        <v>192</v>
      </c>
      <c r="HD53">
        <v>0</v>
      </c>
      <c r="HE53">
        <v>30</v>
      </c>
      <c r="HF53">
        <v>539</v>
      </c>
      <c r="HG53">
        <v>42</v>
      </c>
      <c r="HH53">
        <v>0</v>
      </c>
      <c r="HI53">
        <v>-38</v>
      </c>
      <c r="HJ53">
        <v>410</v>
      </c>
      <c r="HK53">
        <v>181</v>
      </c>
      <c r="HL53">
        <v>124</v>
      </c>
      <c r="HM53">
        <v>2</v>
      </c>
      <c r="HN53">
        <v>166</v>
      </c>
      <c r="HO53">
        <v>2084</v>
      </c>
      <c r="HP53">
        <v>330</v>
      </c>
      <c r="HQ53">
        <v>16</v>
      </c>
      <c r="HR53">
        <v>1865</v>
      </c>
      <c r="HS53">
        <v>571</v>
      </c>
      <c r="HT53">
        <v>418</v>
      </c>
      <c r="HU53">
        <v>375</v>
      </c>
      <c r="HV53">
        <v>10993</v>
      </c>
      <c r="HW53">
        <v>3531</v>
      </c>
      <c r="HX53">
        <v>32560</v>
      </c>
      <c r="HY53">
        <v>0</v>
      </c>
      <c r="HZ53">
        <v>0</v>
      </c>
      <c r="IA53">
        <v>520</v>
      </c>
      <c r="IB53">
        <v>0</v>
      </c>
      <c r="IC53">
        <v>120228</v>
      </c>
      <c r="ID53">
        <v>6193</v>
      </c>
      <c r="IE53">
        <v>47447</v>
      </c>
      <c r="IF53">
        <v>60588</v>
      </c>
      <c r="IG53">
        <v>16840</v>
      </c>
      <c r="IH53">
        <v>4857</v>
      </c>
      <c r="II53">
        <v>12247</v>
      </c>
      <c r="IJ53">
        <v>16757</v>
      </c>
      <c r="IK53">
        <v>5399</v>
      </c>
      <c r="IL53">
        <v>0</v>
      </c>
      <c r="IM53">
        <v>0</v>
      </c>
      <c r="IN53">
        <v>10993</v>
      </c>
      <c r="IO53">
        <v>0</v>
      </c>
      <c r="IP53">
        <v>301549</v>
      </c>
      <c r="IQ53">
        <v>34689</v>
      </c>
      <c r="IR53">
        <v>2083</v>
      </c>
      <c r="IS53">
        <v>0</v>
      </c>
      <c r="IT53">
        <v>0</v>
      </c>
      <c r="IU53">
        <v>0</v>
      </c>
      <c r="IV53">
        <v>761</v>
      </c>
      <c r="IW53">
        <v>8760</v>
      </c>
      <c r="IX53">
        <v>0</v>
      </c>
      <c r="IY53">
        <v>0</v>
      </c>
      <c r="IZ53">
        <v>527</v>
      </c>
      <c r="JA53">
        <v>-622</v>
      </c>
      <c r="JB53">
        <v>0</v>
      </c>
      <c r="JC53">
        <v>0</v>
      </c>
      <c r="JD53">
        <v>0</v>
      </c>
      <c r="JE53">
        <v>596</v>
      </c>
      <c r="JF53">
        <v>0</v>
      </c>
      <c r="JG53">
        <v>348343</v>
      </c>
      <c r="JH53">
        <v>108</v>
      </c>
      <c r="JI53">
        <v>1692</v>
      </c>
      <c r="JJ53">
        <v>0</v>
      </c>
      <c r="JK53">
        <v>0</v>
      </c>
      <c r="JL53">
        <v>0</v>
      </c>
      <c r="JM53">
        <v>799</v>
      </c>
      <c r="JN53">
        <v>4065</v>
      </c>
      <c r="JO53">
        <v>0</v>
      </c>
      <c r="JP53">
        <v>4409</v>
      </c>
      <c r="JQ53">
        <v>0</v>
      </c>
      <c r="JR53">
        <v>359416</v>
      </c>
      <c r="JS53">
        <v>-368</v>
      </c>
      <c r="JT53">
        <v>-568</v>
      </c>
      <c r="JU53">
        <v>0</v>
      </c>
      <c r="JV53">
        <v>0</v>
      </c>
      <c r="JW53">
        <v>-38453</v>
      </c>
      <c r="JX53">
        <v>0</v>
      </c>
      <c r="JY53">
        <v>0</v>
      </c>
      <c r="JZ53">
        <v>0</v>
      </c>
      <c r="KA53">
        <v>0</v>
      </c>
      <c r="KB53">
        <v>0</v>
      </c>
      <c r="KC53">
        <v>320027</v>
      </c>
      <c r="KD53">
        <v>-202</v>
      </c>
      <c r="KE53">
        <v>-165177</v>
      </c>
      <c r="KF53">
        <v>154648</v>
      </c>
      <c r="KG53">
        <v>0</v>
      </c>
      <c r="KH53">
        <v>557</v>
      </c>
      <c r="KI53">
        <v>-1064</v>
      </c>
      <c r="KJ53">
        <v>474</v>
      </c>
      <c r="KK53">
        <v>9996</v>
      </c>
      <c r="KL53">
        <v>0</v>
      </c>
      <c r="KM53">
        <v>-7342</v>
      </c>
      <c r="KN53">
        <v>0</v>
      </c>
      <c r="KO53">
        <v>-38171</v>
      </c>
      <c r="KP53">
        <v>645</v>
      </c>
      <c r="KQ53">
        <v>0</v>
      </c>
      <c r="KR53">
        <v>100717</v>
      </c>
      <c r="KS53">
        <v>9197</v>
      </c>
      <c r="KT53">
        <v>4440</v>
      </c>
      <c r="KU53">
        <v>2352</v>
      </c>
      <c r="KV53">
        <v>57638</v>
      </c>
      <c r="KW53">
        <v>5782</v>
      </c>
      <c r="KX53">
        <v>9754</v>
      </c>
      <c r="KY53">
        <v>3376</v>
      </c>
      <c r="KZ53">
        <v>2826</v>
      </c>
      <c r="LA53">
        <v>67634</v>
      </c>
      <c r="LB53">
        <v>5782</v>
      </c>
      <c r="LC53">
        <v>0</v>
      </c>
      <c r="LD53">
        <v>20222</v>
      </c>
      <c r="LE53">
        <v>-27808</v>
      </c>
      <c r="LF53">
        <v>-22259</v>
      </c>
      <c r="LG53">
        <v>-23645</v>
      </c>
      <c r="LH53">
        <v>8065</v>
      </c>
      <c r="LI53">
        <v>-45400</v>
      </c>
      <c r="LJ53">
        <v>5519</v>
      </c>
      <c r="LK53">
        <v>8838</v>
      </c>
      <c r="LL53">
        <v>14357</v>
      </c>
      <c r="LM53">
        <v>72</v>
      </c>
      <c r="LN53">
        <v>0</v>
      </c>
      <c r="LO53">
        <v>0</v>
      </c>
      <c r="LP53">
        <v>0</v>
      </c>
      <c r="LQ53">
        <v>0</v>
      </c>
      <c r="LR53">
        <v>0</v>
      </c>
      <c r="LS53">
        <v>0</v>
      </c>
      <c r="LT53">
        <v>0</v>
      </c>
      <c r="LU53">
        <v>120228</v>
      </c>
      <c r="LV53">
        <v>6193</v>
      </c>
      <c r="LW53">
        <v>47447</v>
      </c>
      <c r="LX53">
        <v>60588</v>
      </c>
      <c r="LY53">
        <v>16840</v>
      </c>
      <c r="LZ53">
        <v>4857</v>
      </c>
      <c r="MA53">
        <v>12247</v>
      </c>
      <c r="MB53">
        <v>16757</v>
      </c>
      <c r="MC53">
        <v>5399</v>
      </c>
      <c r="MD53">
        <v>0</v>
      </c>
      <c r="ME53">
        <v>0</v>
      </c>
      <c r="MF53">
        <v>10993</v>
      </c>
      <c r="MG53">
        <v>0</v>
      </c>
      <c r="MH53">
        <v>301549</v>
      </c>
      <c r="MI53">
        <v>0</v>
      </c>
      <c r="MJ53">
        <v>0</v>
      </c>
      <c r="MK53">
        <v>0</v>
      </c>
      <c r="ML53">
        <v>0</v>
      </c>
      <c r="MM53">
        <v>0</v>
      </c>
      <c r="MN53">
        <v>0</v>
      </c>
      <c r="MO53">
        <v>0</v>
      </c>
      <c r="MP53">
        <v>0</v>
      </c>
      <c r="MQ53">
        <v>0</v>
      </c>
      <c r="MR53">
        <v>0</v>
      </c>
      <c r="MS53">
        <v>0</v>
      </c>
      <c r="MT53">
        <v>0</v>
      </c>
      <c r="MU53">
        <v>0</v>
      </c>
      <c r="MV53">
        <v>0</v>
      </c>
      <c r="MW53">
        <v>0</v>
      </c>
      <c r="MX53">
        <v>0</v>
      </c>
      <c r="MY53">
        <v>-622</v>
      </c>
      <c r="MZ53">
        <v>0</v>
      </c>
      <c r="NA53">
        <v>-622</v>
      </c>
      <c r="NB53">
        <v>0</v>
      </c>
      <c r="NC53">
        <v>-622</v>
      </c>
      <c r="ND53">
        <v>0</v>
      </c>
      <c r="NE53">
        <v>0</v>
      </c>
      <c r="NF53">
        <v>0</v>
      </c>
      <c r="NG53">
        <v>0</v>
      </c>
      <c r="NH53">
        <v>0</v>
      </c>
      <c r="NI53">
        <v>0</v>
      </c>
      <c r="NJ53">
        <v>0</v>
      </c>
      <c r="NK53">
        <v>0</v>
      </c>
      <c r="NL53">
        <v>0</v>
      </c>
      <c r="NM53">
        <v>0</v>
      </c>
      <c r="NN53">
        <v>0</v>
      </c>
      <c r="NO53">
        <v>0</v>
      </c>
      <c r="NP53">
        <v>0</v>
      </c>
      <c r="NQ53">
        <v>0</v>
      </c>
      <c r="NR53">
        <v>0</v>
      </c>
      <c r="NS53">
        <v>0</v>
      </c>
      <c r="NT53">
        <v>0</v>
      </c>
      <c r="NU53">
        <v>0</v>
      </c>
      <c r="NV53">
        <v>0</v>
      </c>
      <c r="NW53">
        <v>0</v>
      </c>
      <c r="NX53">
        <v>0</v>
      </c>
      <c r="NY53">
        <v>0</v>
      </c>
      <c r="NZ53">
        <v>0</v>
      </c>
      <c r="OA53">
        <v>0</v>
      </c>
      <c r="OB53">
        <v>0</v>
      </c>
      <c r="OC53">
        <v>0</v>
      </c>
      <c r="OD53">
        <v>0</v>
      </c>
      <c r="OE53">
        <v>0</v>
      </c>
      <c r="OF53">
        <v>0</v>
      </c>
      <c r="OG53">
        <v>0</v>
      </c>
      <c r="OH53">
        <v>0</v>
      </c>
      <c r="OI53">
        <v>0</v>
      </c>
      <c r="OJ53">
        <v>0</v>
      </c>
      <c r="OK53">
        <v>0</v>
      </c>
      <c r="OL53">
        <v>0</v>
      </c>
      <c r="OM53">
        <v>0</v>
      </c>
      <c r="ON53">
        <v>0</v>
      </c>
    </row>
    <row r="54" spans="1:404" x14ac:dyDescent="0.25">
      <c r="A54" t="s">
        <v>227</v>
      </c>
      <c r="B54" t="s">
        <v>228</v>
      </c>
      <c r="C54" t="s">
        <v>226</v>
      </c>
      <c r="E54" t="s">
        <v>61</v>
      </c>
      <c r="F54">
        <v>0</v>
      </c>
      <c r="G54">
        <v>0</v>
      </c>
      <c r="H54">
        <v>0</v>
      </c>
      <c r="I54">
        <v>0</v>
      </c>
      <c r="J54">
        <v>0</v>
      </c>
      <c r="K54">
        <v>0</v>
      </c>
      <c r="L54">
        <v>0</v>
      </c>
      <c r="M54">
        <v>0</v>
      </c>
      <c r="N54">
        <v>0</v>
      </c>
      <c r="O54">
        <v>0</v>
      </c>
      <c r="P54">
        <v>0</v>
      </c>
      <c r="Q54">
        <v>0</v>
      </c>
      <c r="R54">
        <v>0</v>
      </c>
      <c r="S54">
        <v>255</v>
      </c>
      <c r="T54">
        <v>0</v>
      </c>
      <c r="U54">
        <v>0</v>
      </c>
      <c r="V54">
        <v>0</v>
      </c>
      <c r="W54">
        <v>0</v>
      </c>
      <c r="X54">
        <v>0</v>
      </c>
      <c r="Y54">
        <v>0</v>
      </c>
      <c r="Z54">
        <v>0</v>
      </c>
      <c r="AA54">
        <v>-5452</v>
      </c>
      <c r="AB54">
        <v>0</v>
      </c>
      <c r="AC54">
        <v>57</v>
      </c>
      <c r="AD54">
        <v>119</v>
      </c>
      <c r="AE54">
        <v>0</v>
      </c>
      <c r="AF54">
        <v>0</v>
      </c>
      <c r="AG54">
        <v>0</v>
      </c>
      <c r="AH54">
        <v>0</v>
      </c>
      <c r="AI54">
        <v>-5021</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v>0</v>
      </c>
      <c r="BE54">
        <v>0</v>
      </c>
      <c r="BF54">
        <v>0</v>
      </c>
      <c r="BG54">
        <v>0</v>
      </c>
      <c r="BH54">
        <v>0</v>
      </c>
      <c r="BI54">
        <v>0</v>
      </c>
      <c r="BJ54">
        <v>0</v>
      </c>
      <c r="BK54">
        <v>0</v>
      </c>
      <c r="BL54">
        <v>0</v>
      </c>
      <c r="BM54">
        <v>0</v>
      </c>
      <c r="BN54">
        <v>0</v>
      </c>
      <c r="BO54">
        <v>0</v>
      </c>
      <c r="BP54">
        <v>0</v>
      </c>
      <c r="BQ54">
        <v>0</v>
      </c>
      <c r="BR54">
        <v>0</v>
      </c>
      <c r="BS54">
        <v>0</v>
      </c>
      <c r="BT54">
        <v>0</v>
      </c>
      <c r="BU54">
        <v>0</v>
      </c>
      <c r="BV54">
        <v>0</v>
      </c>
      <c r="BW54">
        <v>0</v>
      </c>
      <c r="BX54">
        <v>0</v>
      </c>
      <c r="BY54">
        <v>0</v>
      </c>
      <c r="BZ54">
        <v>0</v>
      </c>
      <c r="CA54">
        <v>0</v>
      </c>
      <c r="CB54">
        <v>0</v>
      </c>
      <c r="CC54">
        <v>0</v>
      </c>
      <c r="CD54">
        <v>0</v>
      </c>
      <c r="CE54">
        <v>0</v>
      </c>
      <c r="CF54">
        <v>0</v>
      </c>
      <c r="CG54">
        <v>0</v>
      </c>
      <c r="CH54">
        <v>0</v>
      </c>
      <c r="CI54">
        <v>0</v>
      </c>
      <c r="CJ54">
        <v>0</v>
      </c>
      <c r="CK54">
        <v>0</v>
      </c>
      <c r="CL54">
        <v>0</v>
      </c>
      <c r="CM54">
        <v>0</v>
      </c>
      <c r="CN54">
        <v>0</v>
      </c>
      <c r="CO54">
        <v>0</v>
      </c>
      <c r="CP54">
        <v>0</v>
      </c>
      <c r="CQ54">
        <v>0</v>
      </c>
      <c r="CR54">
        <v>0</v>
      </c>
      <c r="CS54">
        <v>0</v>
      </c>
      <c r="CT54">
        <v>0</v>
      </c>
      <c r="CU54">
        <v>0</v>
      </c>
      <c r="CV54">
        <v>0</v>
      </c>
      <c r="CW54">
        <v>0</v>
      </c>
      <c r="CX54">
        <v>0</v>
      </c>
      <c r="CY54">
        <v>0</v>
      </c>
      <c r="CZ54">
        <v>0</v>
      </c>
      <c r="DA54">
        <v>0</v>
      </c>
      <c r="DB54">
        <v>0</v>
      </c>
      <c r="DC54">
        <v>287</v>
      </c>
      <c r="DD54">
        <v>0</v>
      </c>
      <c r="DE54">
        <v>33</v>
      </c>
      <c r="DF54">
        <v>0</v>
      </c>
      <c r="DG54">
        <v>0</v>
      </c>
      <c r="DH54">
        <v>63</v>
      </c>
      <c r="DI54">
        <v>146</v>
      </c>
      <c r="DJ54">
        <v>175</v>
      </c>
      <c r="DK54">
        <v>0</v>
      </c>
      <c r="DL54">
        <v>0</v>
      </c>
      <c r="DM54">
        <v>0</v>
      </c>
      <c r="DN54">
        <v>0</v>
      </c>
      <c r="DO54">
        <v>2330</v>
      </c>
      <c r="DP54">
        <v>2714</v>
      </c>
      <c r="DQ54">
        <v>463</v>
      </c>
      <c r="DR54">
        <v>0</v>
      </c>
      <c r="DS54">
        <v>0</v>
      </c>
      <c r="DT54">
        <v>1639</v>
      </c>
      <c r="DU54">
        <v>0</v>
      </c>
      <c r="DV54">
        <v>0</v>
      </c>
      <c r="DW54">
        <v>0</v>
      </c>
      <c r="DX54">
        <v>5136</v>
      </c>
      <c r="DY54">
        <v>38787</v>
      </c>
      <c r="DZ54">
        <v>846</v>
      </c>
      <c r="EA54">
        <v>3441</v>
      </c>
      <c r="EB54">
        <v>139</v>
      </c>
      <c r="EC54">
        <v>0</v>
      </c>
      <c r="ED54">
        <v>0</v>
      </c>
      <c r="EE54">
        <v>5238</v>
      </c>
      <c r="EF54">
        <v>165</v>
      </c>
      <c r="EG54">
        <v>0</v>
      </c>
      <c r="EH54">
        <v>9511</v>
      </c>
      <c r="EI54">
        <v>4238</v>
      </c>
      <c r="EJ54">
        <v>2885</v>
      </c>
      <c r="EK54">
        <v>278</v>
      </c>
      <c r="EL54">
        <v>0</v>
      </c>
      <c r="EM54">
        <v>9099</v>
      </c>
      <c r="EN54">
        <v>8487</v>
      </c>
      <c r="EO54">
        <v>0</v>
      </c>
      <c r="EP54">
        <v>12732</v>
      </c>
      <c r="EQ54">
        <v>0</v>
      </c>
      <c r="ER54">
        <v>132</v>
      </c>
      <c r="ES54">
        <v>35687</v>
      </c>
      <c r="ET54">
        <v>36941</v>
      </c>
      <c r="EU54">
        <v>0</v>
      </c>
      <c r="EV54">
        <v>4</v>
      </c>
      <c r="EW54">
        <v>0</v>
      </c>
      <c r="EX54">
        <v>0</v>
      </c>
      <c r="EY54">
        <v>654</v>
      </c>
      <c r="EZ54">
        <v>1101</v>
      </c>
      <c r="FA54">
        <v>0</v>
      </c>
      <c r="FB54">
        <v>97</v>
      </c>
      <c r="FC54">
        <v>662</v>
      </c>
      <c r="FD54">
        <v>3762</v>
      </c>
      <c r="FE54">
        <v>0</v>
      </c>
      <c r="FF54">
        <v>51</v>
      </c>
      <c r="FG54">
        <v>0</v>
      </c>
      <c r="FH54">
        <v>6331</v>
      </c>
      <c r="FI54">
        <v>-685</v>
      </c>
      <c r="FJ54">
        <v>0</v>
      </c>
      <c r="FK54">
        <v>0</v>
      </c>
      <c r="FL54">
        <v>0</v>
      </c>
      <c r="FM54">
        <v>1018</v>
      </c>
      <c r="FN54">
        <v>432</v>
      </c>
      <c r="FO54">
        <v>165</v>
      </c>
      <c r="FP54">
        <v>0</v>
      </c>
      <c r="FQ54">
        <v>0</v>
      </c>
      <c r="FR54">
        <v>0</v>
      </c>
      <c r="FS54">
        <v>483</v>
      </c>
      <c r="FT54">
        <v>68</v>
      </c>
      <c r="FU54">
        <v>135</v>
      </c>
      <c r="FV54">
        <v>0</v>
      </c>
      <c r="FW54">
        <v>0</v>
      </c>
      <c r="FX54">
        <v>-33</v>
      </c>
      <c r="FY54">
        <v>0</v>
      </c>
      <c r="FZ54">
        <v>0</v>
      </c>
      <c r="GA54">
        <v>0</v>
      </c>
      <c r="GB54">
        <v>0</v>
      </c>
      <c r="GC54">
        <v>0</v>
      </c>
      <c r="GD54">
        <v>2868</v>
      </c>
      <c r="GE54">
        <v>2864</v>
      </c>
      <c r="GF54">
        <v>0</v>
      </c>
      <c r="GG54">
        <v>16</v>
      </c>
      <c r="GH54">
        <v>0</v>
      </c>
      <c r="GI54">
        <v>50</v>
      </c>
      <c r="GJ54">
        <v>0</v>
      </c>
      <c r="GK54">
        <v>7381</v>
      </c>
      <c r="GL54">
        <v>-195</v>
      </c>
      <c r="GM54">
        <v>1809</v>
      </c>
      <c r="GN54">
        <v>396</v>
      </c>
      <c r="GO54">
        <v>621</v>
      </c>
      <c r="GP54">
        <v>1037</v>
      </c>
      <c r="GQ54">
        <v>1248</v>
      </c>
      <c r="GR54">
        <v>0</v>
      </c>
      <c r="GS54">
        <v>0</v>
      </c>
      <c r="GT54">
        <v>1528</v>
      </c>
      <c r="GU54">
        <v>6444</v>
      </c>
      <c r="GV54">
        <v>20156</v>
      </c>
      <c r="GW54">
        <v>0</v>
      </c>
      <c r="GX54">
        <v>0</v>
      </c>
      <c r="GY54">
        <v>0</v>
      </c>
      <c r="GZ54">
        <v>0</v>
      </c>
      <c r="HA54">
        <v>0</v>
      </c>
      <c r="HB54">
        <v>2399</v>
      </c>
      <c r="HC54">
        <v>519</v>
      </c>
      <c r="HD54">
        <v>0</v>
      </c>
      <c r="HE54">
        <v>0</v>
      </c>
      <c r="HF54">
        <v>337</v>
      </c>
      <c r="HG54">
        <v>235</v>
      </c>
      <c r="HH54">
        <v>0</v>
      </c>
      <c r="HI54">
        <v>0</v>
      </c>
      <c r="HJ54">
        <v>193</v>
      </c>
      <c r="HK54">
        <v>174</v>
      </c>
      <c r="HL54">
        <v>58</v>
      </c>
      <c r="HM54">
        <v>215</v>
      </c>
      <c r="HN54">
        <v>0</v>
      </c>
      <c r="HO54">
        <v>182</v>
      </c>
      <c r="HP54">
        <v>0</v>
      </c>
      <c r="HQ54">
        <v>0</v>
      </c>
      <c r="HR54">
        <v>2120</v>
      </c>
      <c r="HS54">
        <v>0</v>
      </c>
      <c r="HT54">
        <v>0</v>
      </c>
      <c r="HU54">
        <v>0</v>
      </c>
      <c r="HV54">
        <v>6432</v>
      </c>
      <c r="HW54">
        <v>0</v>
      </c>
      <c r="HX54">
        <v>0</v>
      </c>
      <c r="HY54">
        <v>0</v>
      </c>
      <c r="HZ54">
        <v>0</v>
      </c>
      <c r="IA54">
        <v>0</v>
      </c>
      <c r="IB54">
        <v>0</v>
      </c>
      <c r="IC54">
        <v>0</v>
      </c>
      <c r="ID54">
        <v>-5021</v>
      </c>
      <c r="IE54">
        <v>0</v>
      </c>
      <c r="IF54">
        <v>0</v>
      </c>
      <c r="IG54">
        <v>0</v>
      </c>
      <c r="IH54">
        <v>5136</v>
      </c>
      <c r="II54">
        <v>6331</v>
      </c>
      <c r="IJ54">
        <v>7381</v>
      </c>
      <c r="IK54">
        <v>6444</v>
      </c>
      <c r="IL54">
        <v>0</v>
      </c>
      <c r="IM54">
        <v>0</v>
      </c>
      <c r="IN54">
        <v>6432</v>
      </c>
      <c r="IO54">
        <v>0</v>
      </c>
      <c r="IP54">
        <v>26703</v>
      </c>
      <c r="IQ54">
        <v>15346</v>
      </c>
      <c r="IR54">
        <v>688</v>
      </c>
      <c r="IS54">
        <v>12472</v>
      </c>
      <c r="IT54">
        <v>0</v>
      </c>
      <c r="IU54">
        <v>355</v>
      </c>
      <c r="IV54">
        <v>0</v>
      </c>
      <c r="IW54">
        <v>0</v>
      </c>
      <c r="IX54">
        <v>0</v>
      </c>
      <c r="IY54">
        <v>0</v>
      </c>
      <c r="IZ54">
        <v>103</v>
      </c>
      <c r="JA54">
        <v>-7439</v>
      </c>
      <c r="JB54">
        <v>0</v>
      </c>
      <c r="JC54">
        <v>-19</v>
      </c>
      <c r="JD54">
        <v>0</v>
      </c>
      <c r="JE54">
        <v>0</v>
      </c>
      <c r="JF54">
        <v>0</v>
      </c>
      <c r="JG54">
        <v>48209</v>
      </c>
      <c r="JH54">
        <v>0</v>
      </c>
      <c r="JI54">
        <v>368</v>
      </c>
      <c r="JJ54">
        <v>0</v>
      </c>
      <c r="JK54">
        <v>0</v>
      </c>
      <c r="JL54">
        <v>0</v>
      </c>
      <c r="JM54">
        <v>-18</v>
      </c>
      <c r="JN54">
        <v>306</v>
      </c>
      <c r="JO54">
        <v>0</v>
      </c>
      <c r="JP54">
        <v>7494</v>
      </c>
      <c r="JQ54">
        <v>-1790</v>
      </c>
      <c r="JR54">
        <v>54569</v>
      </c>
      <c r="JS54">
        <v>-2170</v>
      </c>
      <c r="JT54">
        <v>0</v>
      </c>
      <c r="JU54">
        <v>2469</v>
      </c>
      <c r="JV54">
        <v>0</v>
      </c>
      <c r="JW54">
        <v>-28263</v>
      </c>
      <c r="JX54">
        <v>0</v>
      </c>
      <c r="JY54">
        <v>0</v>
      </c>
      <c r="JZ54">
        <v>0</v>
      </c>
      <c r="KA54">
        <v>0</v>
      </c>
      <c r="KB54">
        <v>0</v>
      </c>
      <c r="KC54">
        <v>26605</v>
      </c>
      <c r="KD54">
        <v>0</v>
      </c>
      <c r="KE54">
        <v>-7426</v>
      </c>
      <c r="KF54">
        <v>19179</v>
      </c>
      <c r="KG54">
        <v>0</v>
      </c>
      <c r="KH54">
        <v>0</v>
      </c>
      <c r="KI54">
        <v>0</v>
      </c>
      <c r="KJ54">
        <v>0</v>
      </c>
      <c r="KK54">
        <v>7763</v>
      </c>
      <c r="KL54">
        <v>0</v>
      </c>
      <c r="KM54">
        <v>0</v>
      </c>
      <c r="KN54">
        <v>0</v>
      </c>
      <c r="KO54">
        <v>-4271</v>
      </c>
      <c r="KP54">
        <v>178</v>
      </c>
      <c r="KQ54">
        <v>0</v>
      </c>
      <c r="KR54">
        <v>9033</v>
      </c>
      <c r="KS54">
        <v>0</v>
      </c>
      <c r="KT54">
        <v>0</v>
      </c>
      <c r="KU54">
        <v>0</v>
      </c>
      <c r="KV54">
        <v>22003</v>
      </c>
      <c r="KW54">
        <v>16594</v>
      </c>
      <c r="KX54">
        <v>0</v>
      </c>
      <c r="KY54">
        <v>0</v>
      </c>
      <c r="KZ54">
        <v>0</v>
      </c>
      <c r="LA54">
        <v>29766</v>
      </c>
      <c r="LB54">
        <v>16594</v>
      </c>
      <c r="LC54">
        <v>0</v>
      </c>
      <c r="LD54">
        <v>5894</v>
      </c>
      <c r="LE54">
        <v>0</v>
      </c>
      <c r="LF54">
        <v>-278</v>
      </c>
      <c r="LG54">
        <v>-8264</v>
      </c>
      <c r="LH54">
        <v>1108</v>
      </c>
      <c r="LI54">
        <v>-1540</v>
      </c>
      <c r="LJ54">
        <v>2191</v>
      </c>
      <c r="LK54">
        <v>5827</v>
      </c>
      <c r="LL54">
        <v>8018</v>
      </c>
      <c r="LM54">
        <v>0</v>
      </c>
      <c r="LN54">
        <v>0</v>
      </c>
      <c r="LO54">
        <v>0</v>
      </c>
      <c r="LP54">
        <v>48616</v>
      </c>
      <c r="LQ54">
        <v>47362</v>
      </c>
      <c r="LR54">
        <v>1254</v>
      </c>
      <c r="LS54">
        <v>35687</v>
      </c>
      <c r="LT54">
        <v>36941</v>
      </c>
      <c r="LU54">
        <v>0</v>
      </c>
      <c r="LV54">
        <v>-5021</v>
      </c>
      <c r="LW54">
        <v>0</v>
      </c>
      <c r="LX54">
        <v>0</v>
      </c>
      <c r="LY54">
        <v>0</v>
      </c>
      <c r="LZ54">
        <v>5136</v>
      </c>
      <c r="MA54">
        <v>6331</v>
      </c>
      <c r="MB54">
        <v>7381</v>
      </c>
      <c r="MC54">
        <v>6444</v>
      </c>
      <c r="MD54">
        <v>0</v>
      </c>
      <c r="ME54">
        <v>0</v>
      </c>
      <c r="MF54">
        <v>6432</v>
      </c>
      <c r="MG54">
        <v>0</v>
      </c>
      <c r="MH54">
        <v>26703</v>
      </c>
      <c r="MI54">
        <v>0</v>
      </c>
      <c r="MJ54">
        <v>0</v>
      </c>
      <c r="MK54">
        <v>0</v>
      </c>
      <c r="ML54">
        <v>0</v>
      </c>
      <c r="MM54">
        <v>0</v>
      </c>
      <c r="MN54">
        <v>0</v>
      </c>
      <c r="MO54">
        <v>0</v>
      </c>
      <c r="MP54">
        <v>0</v>
      </c>
      <c r="MQ54">
        <v>0</v>
      </c>
      <c r="MR54">
        <v>0</v>
      </c>
      <c r="MS54">
        <v>0</v>
      </c>
      <c r="MT54">
        <v>0</v>
      </c>
      <c r="MU54">
        <v>0</v>
      </c>
      <c r="MV54">
        <v>0</v>
      </c>
      <c r="MW54">
        <v>0</v>
      </c>
      <c r="MX54">
        <v>0</v>
      </c>
      <c r="MY54">
        <v>-7976</v>
      </c>
      <c r="MZ54">
        <v>22</v>
      </c>
      <c r="NA54">
        <v>-7458</v>
      </c>
      <c r="NB54">
        <v>19</v>
      </c>
      <c r="NC54">
        <v>-7439</v>
      </c>
      <c r="ND54">
        <v>0</v>
      </c>
      <c r="NE54">
        <v>0</v>
      </c>
      <c r="NF54">
        <v>0</v>
      </c>
      <c r="NG54">
        <v>0</v>
      </c>
      <c r="NH54">
        <v>0</v>
      </c>
      <c r="NI54">
        <v>0</v>
      </c>
      <c r="NJ54">
        <v>0</v>
      </c>
      <c r="NK54">
        <v>0</v>
      </c>
      <c r="NL54">
        <v>0</v>
      </c>
      <c r="NM54">
        <v>0</v>
      </c>
      <c r="NN54">
        <v>0</v>
      </c>
      <c r="NO54">
        <v>0</v>
      </c>
      <c r="NP54">
        <v>0</v>
      </c>
      <c r="NQ54">
        <v>0</v>
      </c>
      <c r="NR54">
        <v>0</v>
      </c>
      <c r="NS54">
        <v>0</v>
      </c>
      <c r="NT54">
        <v>0</v>
      </c>
      <c r="NU54">
        <v>0</v>
      </c>
      <c r="NV54">
        <v>0</v>
      </c>
      <c r="NW54">
        <v>0</v>
      </c>
      <c r="NX54">
        <v>0</v>
      </c>
      <c r="NY54">
        <v>0</v>
      </c>
      <c r="NZ54">
        <v>0</v>
      </c>
      <c r="OA54">
        <v>0</v>
      </c>
      <c r="OB54">
        <v>0</v>
      </c>
      <c r="OC54">
        <v>19</v>
      </c>
      <c r="OD54">
        <v>0</v>
      </c>
      <c r="OE54">
        <v>0</v>
      </c>
      <c r="OF54">
        <v>0</v>
      </c>
      <c r="OG54">
        <v>0</v>
      </c>
      <c r="OH54">
        <v>19</v>
      </c>
      <c r="OI54">
        <v>0</v>
      </c>
      <c r="OJ54">
        <v>0</v>
      </c>
      <c r="OK54">
        <v>0</v>
      </c>
      <c r="OL54">
        <v>0</v>
      </c>
      <c r="OM54">
        <v>0</v>
      </c>
      <c r="ON54">
        <v>0</v>
      </c>
    </row>
    <row r="55" spans="1:404" x14ac:dyDescent="0.25">
      <c r="A55" t="s">
        <v>230</v>
      </c>
      <c r="B55" t="s">
        <v>231</v>
      </c>
      <c r="C55" t="s">
        <v>229</v>
      </c>
      <c r="E55" t="s">
        <v>1942</v>
      </c>
      <c r="F55">
        <v>44176</v>
      </c>
      <c r="G55">
        <v>162364</v>
      </c>
      <c r="H55">
        <v>17813</v>
      </c>
      <c r="I55">
        <v>40233</v>
      </c>
      <c r="J55">
        <v>3102</v>
      </c>
      <c r="K55">
        <v>43294</v>
      </c>
      <c r="L55">
        <v>310983</v>
      </c>
      <c r="M55">
        <v>6464</v>
      </c>
      <c r="N55">
        <v>0</v>
      </c>
      <c r="O55">
        <v>-2</v>
      </c>
      <c r="P55">
        <v>4018</v>
      </c>
      <c r="Q55">
        <v>267</v>
      </c>
      <c r="R55">
        <v>62</v>
      </c>
      <c r="S55">
        <v>626</v>
      </c>
      <c r="T55">
        <v>2456</v>
      </c>
      <c r="U55">
        <v>11275</v>
      </c>
      <c r="V55">
        <v>0</v>
      </c>
      <c r="W55">
        <v>179</v>
      </c>
      <c r="X55">
        <v>303</v>
      </c>
      <c r="Y55">
        <v>220</v>
      </c>
      <c r="Z55">
        <v>-18</v>
      </c>
      <c r="AA55">
        <v>506</v>
      </c>
      <c r="AB55">
        <v>79</v>
      </c>
      <c r="AC55">
        <v>0</v>
      </c>
      <c r="AD55">
        <v>16</v>
      </c>
      <c r="AE55">
        <v>0</v>
      </c>
      <c r="AF55">
        <v>0</v>
      </c>
      <c r="AG55">
        <v>15</v>
      </c>
      <c r="AH55">
        <v>0</v>
      </c>
      <c r="AI55">
        <v>26466</v>
      </c>
      <c r="AJ55">
        <v>0</v>
      </c>
      <c r="AK55">
        <v>0</v>
      </c>
      <c r="AL55">
        <v>0</v>
      </c>
      <c r="AM55">
        <v>0</v>
      </c>
      <c r="AN55">
        <v>0</v>
      </c>
      <c r="AO55">
        <v>0</v>
      </c>
      <c r="AP55">
        <v>0</v>
      </c>
      <c r="AQ55">
        <v>1094</v>
      </c>
      <c r="AR55">
        <v>3237</v>
      </c>
      <c r="AS55">
        <v>0</v>
      </c>
      <c r="AT55">
        <v>0</v>
      </c>
      <c r="AU55">
        <v>0</v>
      </c>
      <c r="AV55">
        <v>8234</v>
      </c>
      <c r="AW55">
        <v>34197</v>
      </c>
      <c r="AX55">
        <v>0</v>
      </c>
      <c r="AY55">
        <v>15722</v>
      </c>
      <c r="AZ55">
        <v>2325</v>
      </c>
      <c r="BA55">
        <v>22596</v>
      </c>
      <c r="BB55">
        <v>1734</v>
      </c>
      <c r="BC55">
        <v>5058</v>
      </c>
      <c r="BD55">
        <v>89866</v>
      </c>
      <c r="BE55">
        <v>10374</v>
      </c>
      <c r="BF55">
        <v>36409</v>
      </c>
      <c r="BG55">
        <v>352</v>
      </c>
      <c r="BH55">
        <v>990</v>
      </c>
      <c r="BI55">
        <v>603</v>
      </c>
      <c r="BJ55">
        <v>6037</v>
      </c>
      <c r="BK55">
        <v>61168</v>
      </c>
      <c r="BL55">
        <v>7456</v>
      </c>
      <c r="BM55">
        <v>3926</v>
      </c>
      <c r="BN55">
        <v>4813</v>
      </c>
      <c r="BO55">
        <v>0</v>
      </c>
      <c r="BP55">
        <v>0</v>
      </c>
      <c r="BQ55">
        <v>5284</v>
      </c>
      <c r="BR55">
        <v>1011</v>
      </c>
      <c r="BS55">
        <v>1942</v>
      </c>
      <c r="BT55">
        <v>22941</v>
      </c>
      <c r="BU55">
        <v>802</v>
      </c>
      <c r="BV55">
        <v>30137</v>
      </c>
      <c r="BW55">
        <v>194246</v>
      </c>
      <c r="BX55">
        <v>3754</v>
      </c>
      <c r="BY55">
        <v>1045</v>
      </c>
      <c r="BZ55">
        <v>411</v>
      </c>
      <c r="CA55">
        <v>245</v>
      </c>
      <c r="CB55">
        <v>47</v>
      </c>
      <c r="CC55">
        <v>90</v>
      </c>
      <c r="CD55">
        <v>141</v>
      </c>
      <c r="CE55">
        <v>1141</v>
      </c>
      <c r="CF55">
        <v>224</v>
      </c>
      <c r="CG55">
        <v>303</v>
      </c>
      <c r="CH55">
        <v>159</v>
      </c>
      <c r="CI55">
        <v>3443</v>
      </c>
      <c r="CJ55">
        <v>804</v>
      </c>
      <c r="CK55">
        <v>897</v>
      </c>
      <c r="CL55">
        <v>375</v>
      </c>
      <c r="CM55">
        <v>406</v>
      </c>
      <c r="CN55">
        <v>857</v>
      </c>
      <c r="CO55">
        <v>29</v>
      </c>
      <c r="CP55">
        <v>1728</v>
      </c>
      <c r="CQ55">
        <v>7672</v>
      </c>
      <c r="CR55">
        <v>0</v>
      </c>
      <c r="CS55">
        <v>20</v>
      </c>
      <c r="CT55">
        <v>692</v>
      </c>
      <c r="CU55">
        <v>2594</v>
      </c>
      <c r="CV55">
        <v>36895</v>
      </c>
      <c r="CW55">
        <v>0</v>
      </c>
      <c r="CX55">
        <v>0</v>
      </c>
      <c r="CY55">
        <v>0</v>
      </c>
      <c r="CZ55">
        <v>0</v>
      </c>
      <c r="DA55">
        <v>0</v>
      </c>
      <c r="DB55">
        <v>5861</v>
      </c>
      <c r="DC55">
        <v>0</v>
      </c>
      <c r="DD55">
        <v>0</v>
      </c>
      <c r="DE55">
        <v>0</v>
      </c>
      <c r="DF55">
        <v>0</v>
      </c>
      <c r="DG55">
        <v>0</v>
      </c>
      <c r="DH55">
        <v>0</v>
      </c>
      <c r="DI55">
        <v>0</v>
      </c>
      <c r="DJ55">
        <v>0</v>
      </c>
      <c r="DK55">
        <v>0</v>
      </c>
      <c r="DL55">
        <v>0</v>
      </c>
      <c r="DM55">
        <v>0</v>
      </c>
      <c r="DN55">
        <v>0</v>
      </c>
      <c r="DO55">
        <v>0</v>
      </c>
      <c r="DP55">
        <v>0</v>
      </c>
      <c r="DQ55">
        <v>0</v>
      </c>
      <c r="DR55">
        <v>0</v>
      </c>
      <c r="DS55">
        <v>0</v>
      </c>
      <c r="DT55">
        <v>0</v>
      </c>
      <c r="DU55">
        <v>0</v>
      </c>
      <c r="DV55">
        <v>0</v>
      </c>
      <c r="DW55">
        <v>0</v>
      </c>
      <c r="DX55">
        <v>0</v>
      </c>
      <c r="DY55">
        <v>0</v>
      </c>
      <c r="DZ55">
        <v>0</v>
      </c>
      <c r="EA55">
        <v>0</v>
      </c>
      <c r="EB55">
        <v>0</v>
      </c>
      <c r="EC55">
        <v>0</v>
      </c>
      <c r="ED55">
        <v>0</v>
      </c>
      <c r="EE55">
        <v>0</v>
      </c>
      <c r="EF55">
        <v>0</v>
      </c>
      <c r="EG55">
        <v>0</v>
      </c>
      <c r="EH55">
        <v>0</v>
      </c>
      <c r="EI55">
        <v>0</v>
      </c>
      <c r="EJ55">
        <v>0</v>
      </c>
      <c r="EK55">
        <v>0</v>
      </c>
      <c r="EL55">
        <v>0</v>
      </c>
      <c r="EM55">
        <v>0</v>
      </c>
      <c r="EN55">
        <v>0</v>
      </c>
      <c r="EO55">
        <v>0</v>
      </c>
      <c r="EP55">
        <v>0</v>
      </c>
      <c r="EQ55">
        <v>0</v>
      </c>
      <c r="ER55">
        <v>0</v>
      </c>
      <c r="ES55">
        <v>0</v>
      </c>
      <c r="ET55">
        <v>0</v>
      </c>
      <c r="EU55">
        <v>392</v>
      </c>
      <c r="EV55">
        <v>5</v>
      </c>
      <c r="EW55">
        <v>297</v>
      </c>
      <c r="EX55">
        <v>0</v>
      </c>
      <c r="EY55">
        <v>0</v>
      </c>
      <c r="EZ55">
        <v>0</v>
      </c>
      <c r="FA55">
        <v>0</v>
      </c>
      <c r="FB55">
        <v>0</v>
      </c>
      <c r="FC55">
        <v>0</v>
      </c>
      <c r="FD55">
        <v>47</v>
      </c>
      <c r="FE55">
        <v>0</v>
      </c>
      <c r="FF55">
        <v>0</v>
      </c>
      <c r="FG55">
        <v>3993</v>
      </c>
      <c r="FH55">
        <v>4734</v>
      </c>
      <c r="FI55">
        <v>0</v>
      </c>
      <c r="FJ55">
        <v>659</v>
      </c>
      <c r="FK55">
        <v>0</v>
      </c>
      <c r="FL55">
        <v>0</v>
      </c>
      <c r="FM55">
        <v>0</v>
      </c>
      <c r="FN55">
        <v>0</v>
      </c>
      <c r="FO55">
        <v>0</v>
      </c>
      <c r="FP55">
        <v>0</v>
      </c>
      <c r="FQ55">
        <v>0</v>
      </c>
      <c r="FR55">
        <v>0</v>
      </c>
      <c r="FS55">
        <v>0</v>
      </c>
      <c r="FT55">
        <v>0</v>
      </c>
      <c r="FU55">
        <v>0</v>
      </c>
      <c r="FV55">
        <v>0</v>
      </c>
      <c r="FW55">
        <v>0</v>
      </c>
      <c r="FX55">
        <v>0</v>
      </c>
      <c r="FY55">
        <v>0</v>
      </c>
      <c r="FZ55">
        <v>0</v>
      </c>
      <c r="GA55">
        <v>0</v>
      </c>
      <c r="GB55">
        <v>0</v>
      </c>
      <c r="GC55">
        <v>-4395</v>
      </c>
      <c r="GD55">
        <v>0</v>
      </c>
      <c r="GE55">
        <v>0</v>
      </c>
      <c r="GF55">
        <v>41782</v>
      </c>
      <c r="GG55">
        <v>0</v>
      </c>
      <c r="GH55">
        <v>0</v>
      </c>
      <c r="GI55">
        <v>0</v>
      </c>
      <c r="GJ55">
        <v>0</v>
      </c>
      <c r="GK55">
        <v>38046</v>
      </c>
      <c r="GL55">
        <v>0</v>
      </c>
      <c r="GM55">
        <v>350</v>
      </c>
      <c r="GN55">
        <v>0</v>
      </c>
      <c r="GO55">
        <v>627</v>
      </c>
      <c r="GP55">
        <v>658</v>
      </c>
      <c r="GQ55">
        <v>0</v>
      </c>
      <c r="GR55">
        <v>0</v>
      </c>
      <c r="GS55">
        <v>0</v>
      </c>
      <c r="GT55">
        <v>0</v>
      </c>
      <c r="GU55">
        <v>1635</v>
      </c>
      <c r="GV55">
        <v>44415</v>
      </c>
      <c r="GW55">
        <v>0</v>
      </c>
      <c r="GX55">
        <v>0</v>
      </c>
      <c r="GY55">
        <v>0</v>
      </c>
      <c r="GZ55">
        <v>0</v>
      </c>
      <c r="HA55">
        <v>0</v>
      </c>
      <c r="HB55">
        <v>8927</v>
      </c>
      <c r="HC55">
        <v>0</v>
      </c>
      <c r="HD55">
        <v>0</v>
      </c>
      <c r="HE55">
        <v>0</v>
      </c>
      <c r="HF55">
        <v>0</v>
      </c>
      <c r="HG55">
        <v>0</v>
      </c>
      <c r="HH55">
        <v>0</v>
      </c>
      <c r="HI55">
        <v>-797</v>
      </c>
      <c r="HJ55">
        <v>0</v>
      </c>
      <c r="HK55">
        <v>172</v>
      </c>
      <c r="HL55">
        <v>109</v>
      </c>
      <c r="HM55">
        <v>0</v>
      </c>
      <c r="HN55">
        <v>0</v>
      </c>
      <c r="HO55">
        <v>0</v>
      </c>
      <c r="HP55">
        <v>2062</v>
      </c>
      <c r="HQ55">
        <v>0</v>
      </c>
      <c r="HR55">
        <v>0</v>
      </c>
      <c r="HS55">
        <v>0</v>
      </c>
      <c r="HT55">
        <v>0</v>
      </c>
      <c r="HU55">
        <v>-7702</v>
      </c>
      <c r="HV55">
        <v>2771</v>
      </c>
      <c r="HW55">
        <v>0</v>
      </c>
      <c r="HX55">
        <v>32198</v>
      </c>
      <c r="HY55">
        <v>0</v>
      </c>
      <c r="HZ55">
        <v>24674</v>
      </c>
      <c r="IA55">
        <v>0</v>
      </c>
      <c r="IB55">
        <v>0</v>
      </c>
      <c r="IC55">
        <v>310983</v>
      </c>
      <c r="ID55">
        <v>26466</v>
      </c>
      <c r="IE55">
        <v>89866</v>
      </c>
      <c r="IF55">
        <v>194246</v>
      </c>
      <c r="IG55">
        <v>36895</v>
      </c>
      <c r="IH55">
        <v>0</v>
      </c>
      <c r="II55">
        <v>4734</v>
      </c>
      <c r="IJ55">
        <v>38046</v>
      </c>
      <c r="IK55">
        <v>1635</v>
      </c>
      <c r="IL55">
        <v>0</v>
      </c>
      <c r="IM55">
        <v>0</v>
      </c>
      <c r="IN55">
        <v>2771</v>
      </c>
      <c r="IO55">
        <v>0</v>
      </c>
      <c r="IP55">
        <v>705642</v>
      </c>
      <c r="IQ55">
        <v>0</v>
      </c>
      <c r="IR55">
        <v>0</v>
      </c>
      <c r="IS55">
        <v>0</v>
      </c>
      <c r="IT55">
        <v>0</v>
      </c>
      <c r="IU55">
        <v>0</v>
      </c>
      <c r="IV55">
        <v>0</v>
      </c>
      <c r="IW55">
        <v>9246</v>
      </c>
      <c r="IX55">
        <v>0</v>
      </c>
      <c r="IY55">
        <v>0</v>
      </c>
      <c r="IZ55">
        <v>0</v>
      </c>
      <c r="JA55">
        <v>0</v>
      </c>
      <c r="JB55">
        <v>73</v>
      </c>
      <c r="JC55">
        <v>0</v>
      </c>
      <c r="JD55">
        <v>0</v>
      </c>
      <c r="JE55">
        <v>0</v>
      </c>
      <c r="JF55">
        <v>-1492</v>
      </c>
      <c r="JG55">
        <v>713469</v>
      </c>
      <c r="JH55">
        <v>423</v>
      </c>
      <c r="JI55">
        <v>8633</v>
      </c>
      <c r="JJ55">
        <v>0</v>
      </c>
      <c r="JK55">
        <v>-1662</v>
      </c>
      <c r="JL55">
        <v>0</v>
      </c>
      <c r="JM55">
        <v>453</v>
      </c>
      <c r="JN55">
        <v>22664</v>
      </c>
      <c r="JO55">
        <v>0</v>
      </c>
      <c r="JP55">
        <v>17354</v>
      </c>
      <c r="JQ55">
        <v>0</v>
      </c>
      <c r="JR55">
        <v>761334</v>
      </c>
      <c r="JS55">
        <v>-17320</v>
      </c>
      <c r="JT55">
        <v>0</v>
      </c>
      <c r="JU55">
        <v>0</v>
      </c>
      <c r="JV55">
        <v>0</v>
      </c>
      <c r="JW55">
        <v>-3</v>
      </c>
      <c r="JX55">
        <v>0</v>
      </c>
      <c r="JY55">
        <v>0</v>
      </c>
      <c r="JZ55">
        <v>0</v>
      </c>
      <c r="KA55">
        <v>0</v>
      </c>
      <c r="KB55">
        <v>-12902</v>
      </c>
      <c r="KC55">
        <v>731109</v>
      </c>
      <c r="KD55">
        <v>-817</v>
      </c>
      <c r="KE55">
        <v>-344544</v>
      </c>
      <c r="KF55">
        <v>385748</v>
      </c>
      <c r="KG55">
        <v>0</v>
      </c>
      <c r="KH55">
        <v>122</v>
      </c>
      <c r="KI55">
        <v>0</v>
      </c>
      <c r="KJ55">
        <v>3879</v>
      </c>
      <c r="KK55">
        <v>7394</v>
      </c>
      <c r="KL55">
        <v>20381</v>
      </c>
      <c r="KM55">
        <v>0</v>
      </c>
      <c r="KN55">
        <v>0</v>
      </c>
      <c r="KO55">
        <v>-73555</v>
      </c>
      <c r="KP55">
        <v>-970</v>
      </c>
      <c r="KQ55">
        <v>0</v>
      </c>
      <c r="KR55">
        <v>323810</v>
      </c>
      <c r="KS55">
        <v>16870</v>
      </c>
      <c r="KT55">
        <v>0</v>
      </c>
      <c r="KU55">
        <v>4624</v>
      </c>
      <c r="KV55">
        <v>120698</v>
      </c>
      <c r="KW55">
        <v>26095</v>
      </c>
      <c r="KX55">
        <v>16992</v>
      </c>
      <c r="KY55">
        <v>0</v>
      </c>
      <c r="KZ55">
        <v>8503</v>
      </c>
      <c r="LA55">
        <v>128092</v>
      </c>
      <c r="LB55">
        <v>46475</v>
      </c>
      <c r="LC55">
        <v>0</v>
      </c>
      <c r="LD55">
        <v>38519</v>
      </c>
      <c r="LE55">
        <v>15995</v>
      </c>
      <c r="LF55">
        <v>-2121</v>
      </c>
      <c r="LG55">
        <v>-90905</v>
      </c>
      <c r="LH55">
        <v>2297</v>
      </c>
      <c r="LI55">
        <v>-38500</v>
      </c>
      <c r="LJ55">
        <v>0</v>
      </c>
      <c r="LK55">
        <v>0</v>
      </c>
      <c r="LL55">
        <v>0</v>
      </c>
      <c r="LM55">
        <v>0</v>
      </c>
      <c r="LN55">
        <v>0</v>
      </c>
      <c r="LO55">
        <v>0</v>
      </c>
      <c r="LP55">
        <v>0</v>
      </c>
      <c r="LQ55">
        <v>0</v>
      </c>
      <c r="LR55">
        <v>0</v>
      </c>
      <c r="LS55">
        <v>0</v>
      </c>
      <c r="LT55">
        <v>0</v>
      </c>
      <c r="LU55">
        <v>310983</v>
      </c>
      <c r="LV55">
        <v>26466</v>
      </c>
      <c r="LW55">
        <v>89866</v>
      </c>
      <c r="LX55">
        <v>194246</v>
      </c>
      <c r="LY55">
        <v>36895</v>
      </c>
      <c r="LZ55">
        <v>0</v>
      </c>
      <c r="MA55">
        <v>4734</v>
      </c>
      <c r="MB55">
        <v>38046</v>
      </c>
      <c r="MC55">
        <v>1635</v>
      </c>
      <c r="MD55">
        <v>0</v>
      </c>
      <c r="ME55">
        <v>0</v>
      </c>
      <c r="MF55">
        <v>2771</v>
      </c>
      <c r="MG55">
        <v>0</v>
      </c>
      <c r="MH55">
        <v>705642</v>
      </c>
      <c r="MI55">
        <v>0</v>
      </c>
      <c r="MJ55">
        <v>0</v>
      </c>
      <c r="MK55">
        <v>0</v>
      </c>
      <c r="ML55">
        <v>0</v>
      </c>
      <c r="MM55">
        <v>0</v>
      </c>
      <c r="MN55">
        <v>0</v>
      </c>
      <c r="MO55">
        <v>0</v>
      </c>
      <c r="MP55">
        <v>0</v>
      </c>
      <c r="MQ55">
        <v>0</v>
      </c>
      <c r="MR55">
        <v>0</v>
      </c>
      <c r="MS55">
        <v>0</v>
      </c>
      <c r="MT55">
        <v>0</v>
      </c>
      <c r="MU55">
        <v>0</v>
      </c>
      <c r="MV55">
        <v>0</v>
      </c>
      <c r="MW55">
        <v>0</v>
      </c>
      <c r="MX55">
        <v>0</v>
      </c>
      <c r="MY55">
        <v>0</v>
      </c>
      <c r="MZ55">
        <v>0</v>
      </c>
      <c r="NA55">
        <v>0</v>
      </c>
      <c r="NB55">
        <v>0</v>
      </c>
      <c r="NC55">
        <v>0</v>
      </c>
      <c r="ND55">
        <v>0</v>
      </c>
      <c r="NE55">
        <v>0</v>
      </c>
      <c r="NF55">
        <v>0</v>
      </c>
      <c r="NG55">
        <v>0</v>
      </c>
      <c r="NH55">
        <v>0</v>
      </c>
      <c r="NI55">
        <v>0</v>
      </c>
      <c r="NJ55">
        <v>0</v>
      </c>
      <c r="NK55">
        <v>0</v>
      </c>
      <c r="NL55">
        <v>0</v>
      </c>
      <c r="NM55">
        <v>0</v>
      </c>
      <c r="NN55">
        <v>0</v>
      </c>
      <c r="NO55">
        <v>0</v>
      </c>
      <c r="NP55">
        <v>0</v>
      </c>
      <c r="NQ55">
        <v>0</v>
      </c>
      <c r="NR55">
        <v>73</v>
      </c>
      <c r="NS55">
        <v>0</v>
      </c>
      <c r="NT55">
        <v>0</v>
      </c>
      <c r="NU55">
        <v>0</v>
      </c>
      <c r="NV55">
        <v>0</v>
      </c>
      <c r="NW55">
        <v>0</v>
      </c>
      <c r="NX55">
        <v>0</v>
      </c>
      <c r="NY55">
        <v>0</v>
      </c>
      <c r="NZ55">
        <v>73</v>
      </c>
      <c r="OA55">
        <v>0</v>
      </c>
      <c r="OB55">
        <v>73</v>
      </c>
      <c r="OC55">
        <v>0</v>
      </c>
      <c r="OD55">
        <v>0</v>
      </c>
      <c r="OE55">
        <v>0</v>
      </c>
      <c r="OF55">
        <v>0</v>
      </c>
      <c r="OG55">
        <v>0</v>
      </c>
      <c r="OH55">
        <v>0</v>
      </c>
      <c r="OI55">
        <v>0</v>
      </c>
      <c r="OJ55">
        <v>0</v>
      </c>
      <c r="OK55">
        <v>0</v>
      </c>
      <c r="OL55">
        <v>0</v>
      </c>
      <c r="OM55">
        <v>0</v>
      </c>
      <c r="ON55">
        <v>0</v>
      </c>
    </row>
    <row r="56" spans="1:404" x14ac:dyDescent="0.25">
      <c r="A56" t="s">
        <v>233</v>
      </c>
      <c r="B56" t="s">
        <v>234</v>
      </c>
      <c r="C56" t="s">
        <v>232</v>
      </c>
      <c r="E56" t="s">
        <v>1390</v>
      </c>
      <c r="F56">
        <v>0</v>
      </c>
      <c r="G56">
        <v>0</v>
      </c>
      <c r="H56">
        <v>0</v>
      </c>
      <c r="I56">
        <v>0</v>
      </c>
      <c r="J56">
        <v>0</v>
      </c>
      <c r="K56">
        <v>15520</v>
      </c>
      <c r="L56">
        <v>15520</v>
      </c>
      <c r="M56">
        <v>906</v>
      </c>
      <c r="N56">
        <v>1877</v>
      </c>
      <c r="O56">
        <v>0</v>
      </c>
      <c r="P56">
        <v>0</v>
      </c>
      <c r="Q56">
        <v>0</v>
      </c>
      <c r="R56">
        <v>0</v>
      </c>
      <c r="S56">
        <v>0</v>
      </c>
      <c r="T56">
        <v>0</v>
      </c>
      <c r="U56">
        <v>0</v>
      </c>
      <c r="V56">
        <v>0</v>
      </c>
      <c r="W56">
        <v>0</v>
      </c>
      <c r="X56">
        <v>585</v>
      </c>
      <c r="Y56">
        <v>0</v>
      </c>
      <c r="Z56">
        <v>0</v>
      </c>
      <c r="AA56">
        <v>0</v>
      </c>
      <c r="AB56">
        <v>8872</v>
      </c>
      <c r="AC56">
        <v>89</v>
      </c>
      <c r="AD56">
        <v>4124</v>
      </c>
      <c r="AE56">
        <v>0</v>
      </c>
      <c r="AF56">
        <v>0</v>
      </c>
      <c r="AG56">
        <v>856</v>
      </c>
      <c r="AH56">
        <v>0</v>
      </c>
      <c r="AI56">
        <v>17309</v>
      </c>
      <c r="AJ56">
        <v>0</v>
      </c>
      <c r="AK56">
        <v>0</v>
      </c>
      <c r="AL56">
        <v>0</v>
      </c>
      <c r="AM56">
        <v>0</v>
      </c>
      <c r="AN56">
        <v>0</v>
      </c>
      <c r="AO56">
        <v>0</v>
      </c>
      <c r="AP56">
        <v>0</v>
      </c>
      <c r="AQ56">
        <v>0</v>
      </c>
      <c r="AR56">
        <v>0</v>
      </c>
      <c r="AS56">
        <v>0</v>
      </c>
      <c r="AT56">
        <v>0</v>
      </c>
      <c r="AU56">
        <v>0</v>
      </c>
      <c r="AV56">
        <v>0</v>
      </c>
      <c r="AW56">
        <v>0</v>
      </c>
      <c r="AX56">
        <v>0</v>
      </c>
      <c r="AY56">
        <v>0</v>
      </c>
      <c r="AZ56">
        <v>0</v>
      </c>
      <c r="BA56">
        <v>0</v>
      </c>
      <c r="BB56">
        <v>0</v>
      </c>
      <c r="BC56">
        <v>0</v>
      </c>
      <c r="BD56">
        <v>0</v>
      </c>
      <c r="BE56">
        <v>0</v>
      </c>
      <c r="BF56">
        <v>0</v>
      </c>
      <c r="BG56">
        <v>0</v>
      </c>
      <c r="BH56">
        <v>0</v>
      </c>
      <c r="BI56">
        <v>0</v>
      </c>
      <c r="BJ56">
        <v>0</v>
      </c>
      <c r="BK56">
        <v>0</v>
      </c>
      <c r="BL56">
        <v>0</v>
      </c>
      <c r="BM56">
        <v>0</v>
      </c>
      <c r="BN56">
        <v>0</v>
      </c>
      <c r="BO56">
        <v>0</v>
      </c>
      <c r="BP56">
        <v>0</v>
      </c>
      <c r="BQ56">
        <v>0</v>
      </c>
      <c r="BR56">
        <v>0</v>
      </c>
      <c r="BS56">
        <v>0</v>
      </c>
      <c r="BT56">
        <v>0</v>
      </c>
      <c r="BU56">
        <v>0</v>
      </c>
      <c r="BV56">
        <v>0</v>
      </c>
      <c r="BW56">
        <v>0</v>
      </c>
      <c r="BX56">
        <v>0</v>
      </c>
      <c r="BY56">
        <v>0</v>
      </c>
      <c r="BZ56">
        <v>0</v>
      </c>
      <c r="CA56">
        <v>0</v>
      </c>
      <c r="CB56">
        <v>0</v>
      </c>
      <c r="CC56">
        <v>0</v>
      </c>
      <c r="CD56">
        <v>0</v>
      </c>
      <c r="CE56">
        <v>0</v>
      </c>
      <c r="CF56">
        <v>0</v>
      </c>
      <c r="CG56">
        <v>0</v>
      </c>
      <c r="CH56">
        <v>0</v>
      </c>
      <c r="CI56">
        <v>0</v>
      </c>
      <c r="CJ56">
        <v>0</v>
      </c>
      <c r="CK56">
        <v>0</v>
      </c>
      <c r="CL56">
        <v>0</v>
      </c>
      <c r="CM56">
        <v>0</v>
      </c>
      <c r="CN56">
        <v>0</v>
      </c>
      <c r="CO56">
        <v>0</v>
      </c>
      <c r="CP56">
        <v>0</v>
      </c>
      <c r="CQ56">
        <v>0</v>
      </c>
      <c r="CR56">
        <v>0</v>
      </c>
      <c r="CS56">
        <v>0</v>
      </c>
      <c r="CT56">
        <v>0</v>
      </c>
      <c r="CU56">
        <v>0</v>
      </c>
      <c r="CV56">
        <v>0</v>
      </c>
      <c r="CW56">
        <v>0</v>
      </c>
      <c r="CX56">
        <v>0</v>
      </c>
      <c r="CY56">
        <v>0</v>
      </c>
      <c r="CZ56">
        <v>0</v>
      </c>
      <c r="DA56">
        <v>0</v>
      </c>
      <c r="DB56">
        <v>0</v>
      </c>
      <c r="DC56">
        <v>587</v>
      </c>
      <c r="DD56">
        <v>0</v>
      </c>
      <c r="DE56">
        <v>72</v>
      </c>
      <c r="DF56">
        <v>0</v>
      </c>
      <c r="DG56">
        <v>0</v>
      </c>
      <c r="DH56">
        <v>0</v>
      </c>
      <c r="DI56">
        <v>0</v>
      </c>
      <c r="DJ56">
        <v>0</v>
      </c>
      <c r="DK56">
        <v>0</v>
      </c>
      <c r="DL56">
        <v>0</v>
      </c>
      <c r="DM56">
        <v>0</v>
      </c>
      <c r="DN56">
        <v>0</v>
      </c>
      <c r="DO56">
        <v>0</v>
      </c>
      <c r="DP56">
        <v>0</v>
      </c>
      <c r="DQ56">
        <v>0</v>
      </c>
      <c r="DR56">
        <v>0</v>
      </c>
      <c r="DS56">
        <v>0</v>
      </c>
      <c r="DT56">
        <v>0</v>
      </c>
      <c r="DU56">
        <v>0</v>
      </c>
      <c r="DV56">
        <v>0</v>
      </c>
      <c r="DW56">
        <v>0</v>
      </c>
      <c r="DX56">
        <v>659</v>
      </c>
      <c r="DY56">
        <v>0</v>
      </c>
      <c r="DZ56">
        <v>0</v>
      </c>
      <c r="EA56">
        <v>0</v>
      </c>
      <c r="EB56">
        <v>0</v>
      </c>
      <c r="EC56">
        <v>0</v>
      </c>
      <c r="ED56">
        <v>0</v>
      </c>
      <c r="EE56">
        <v>0</v>
      </c>
      <c r="EF56">
        <v>0</v>
      </c>
      <c r="EG56">
        <v>0</v>
      </c>
      <c r="EH56">
        <v>0</v>
      </c>
      <c r="EI56">
        <v>0</v>
      </c>
      <c r="EJ56">
        <v>0</v>
      </c>
      <c r="EK56">
        <v>0</v>
      </c>
      <c r="EL56">
        <v>0</v>
      </c>
      <c r="EM56">
        <v>0</v>
      </c>
      <c r="EN56">
        <v>0</v>
      </c>
      <c r="EO56">
        <v>0</v>
      </c>
      <c r="EP56">
        <v>0</v>
      </c>
      <c r="EQ56">
        <v>0</v>
      </c>
      <c r="ER56">
        <v>0</v>
      </c>
      <c r="ES56">
        <v>0</v>
      </c>
      <c r="ET56">
        <v>0</v>
      </c>
      <c r="EU56">
        <v>0</v>
      </c>
      <c r="EV56">
        <v>0</v>
      </c>
      <c r="EW56">
        <v>0</v>
      </c>
      <c r="EX56">
        <v>0</v>
      </c>
      <c r="EY56">
        <v>0</v>
      </c>
      <c r="EZ56">
        <v>0</v>
      </c>
      <c r="FA56">
        <v>0</v>
      </c>
      <c r="FB56">
        <v>0</v>
      </c>
      <c r="FC56">
        <v>0</v>
      </c>
      <c r="FD56">
        <v>0</v>
      </c>
      <c r="FE56">
        <v>0</v>
      </c>
      <c r="FF56">
        <v>0</v>
      </c>
      <c r="FG56">
        <v>0</v>
      </c>
      <c r="FH56">
        <v>0</v>
      </c>
      <c r="FI56">
        <v>0</v>
      </c>
      <c r="FJ56">
        <v>0</v>
      </c>
      <c r="FK56">
        <v>0</v>
      </c>
      <c r="FL56">
        <v>0</v>
      </c>
      <c r="FM56">
        <v>0</v>
      </c>
      <c r="FN56">
        <v>0</v>
      </c>
      <c r="FO56">
        <v>0</v>
      </c>
      <c r="FP56">
        <v>0</v>
      </c>
      <c r="FQ56">
        <v>0</v>
      </c>
      <c r="FR56">
        <v>0</v>
      </c>
      <c r="FS56">
        <v>0</v>
      </c>
      <c r="FT56">
        <v>0</v>
      </c>
      <c r="FU56">
        <v>0</v>
      </c>
      <c r="FV56">
        <v>0</v>
      </c>
      <c r="FW56">
        <v>0</v>
      </c>
      <c r="FX56">
        <v>0</v>
      </c>
      <c r="FY56">
        <v>0</v>
      </c>
      <c r="FZ56">
        <v>0</v>
      </c>
      <c r="GA56">
        <v>0</v>
      </c>
      <c r="GB56">
        <v>0</v>
      </c>
      <c r="GC56">
        <v>0</v>
      </c>
      <c r="GD56">
        <v>0</v>
      </c>
      <c r="GE56">
        <v>0</v>
      </c>
      <c r="GF56">
        <v>0</v>
      </c>
      <c r="GG56">
        <v>0</v>
      </c>
      <c r="GH56">
        <v>0</v>
      </c>
      <c r="GI56">
        <v>0</v>
      </c>
      <c r="GJ56">
        <v>96</v>
      </c>
      <c r="GK56">
        <v>96</v>
      </c>
      <c r="GL56">
        <v>0</v>
      </c>
      <c r="GM56">
        <v>0</v>
      </c>
      <c r="GN56">
        <v>0</v>
      </c>
      <c r="GO56">
        <v>31</v>
      </c>
      <c r="GP56">
        <v>890</v>
      </c>
      <c r="GQ56">
        <v>2787</v>
      </c>
      <c r="GR56">
        <v>196</v>
      </c>
      <c r="GS56">
        <v>1241</v>
      </c>
      <c r="GT56">
        <v>0</v>
      </c>
      <c r="GU56">
        <v>5145</v>
      </c>
      <c r="GV56">
        <v>5241</v>
      </c>
      <c r="GW56">
        <v>0</v>
      </c>
      <c r="GX56">
        <v>0</v>
      </c>
      <c r="GY56">
        <v>0</v>
      </c>
      <c r="GZ56">
        <v>0</v>
      </c>
      <c r="HA56">
        <v>0</v>
      </c>
      <c r="HB56">
        <v>1384</v>
      </c>
      <c r="HC56">
        <v>0</v>
      </c>
      <c r="HD56">
        <v>0</v>
      </c>
      <c r="HE56">
        <v>0</v>
      </c>
      <c r="HF56">
        <v>0</v>
      </c>
      <c r="HG56">
        <v>0</v>
      </c>
      <c r="HH56">
        <v>0</v>
      </c>
      <c r="HI56">
        <v>0</v>
      </c>
      <c r="HJ56">
        <v>0</v>
      </c>
      <c r="HK56">
        <v>1012</v>
      </c>
      <c r="HL56">
        <v>0</v>
      </c>
      <c r="HM56">
        <v>0</v>
      </c>
      <c r="HN56">
        <v>0</v>
      </c>
      <c r="HO56">
        <v>0</v>
      </c>
      <c r="HP56">
        <v>0</v>
      </c>
      <c r="HQ56">
        <v>0</v>
      </c>
      <c r="HR56">
        <v>0</v>
      </c>
      <c r="HS56">
        <v>0</v>
      </c>
      <c r="HT56">
        <v>0</v>
      </c>
      <c r="HU56">
        <v>-155</v>
      </c>
      <c r="HV56">
        <v>2241</v>
      </c>
      <c r="HW56">
        <v>47</v>
      </c>
      <c r="HX56">
        <v>1863</v>
      </c>
      <c r="HY56">
        <v>0</v>
      </c>
      <c r="HZ56">
        <v>0</v>
      </c>
      <c r="IA56">
        <v>528</v>
      </c>
      <c r="IB56">
        <v>0</v>
      </c>
      <c r="IC56">
        <v>15520</v>
      </c>
      <c r="ID56">
        <v>17309</v>
      </c>
      <c r="IE56">
        <v>0</v>
      </c>
      <c r="IF56">
        <v>0</v>
      </c>
      <c r="IG56">
        <v>0</v>
      </c>
      <c r="IH56">
        <v>659</v>
      </c>
      <c r="II56">
        <v>0</v>
      </c>
      <c r="IJ56">
        <v>96</v>
      </c>
      <c r="IK56">
        <v>5145</v>
      </c>
      <c r="IL56">
        <v>0</v>
      </c>
      <c r="IM56">
        <v>0</v>
      </c>
      <c r="IN56">
        <v>2241</v>
      </c>
      <c r="IO56">
        <v>0</v>
      </c>
      <c r="IP56">
        <v>40970</v>
      </c>
      <c r="IQ56">
        <v>0</v>
      </c>
      <c r="IR56">
        <v>0</v>
      </c>
      <c r="IS56">
        <v>0</v>
      </c>
      <c r="IT56">
        <v>0</v>
      </c>
      <c r="IU56">
        <v>0</v>
      </c>
      <c r="IV56">
        <v>0</v>
      </c>
      <c r="IW56">
        <v>-13040</v>
      </c>
      <c r="IX56">
        <v>0</v>
      </c>
      <c r="IY56">
        <v>0</v>
      </c>
      <c r="IZ56">
        <v>0</v>
      </c>
      <c r="JA56">
        <v>0</v>
      </c>
      <c r="JB56">
        <v>0</v>
      </c>
      <c r="JC56">
        <v>0</v>
      </c>
      <c r="JD56">
        <v>0</v>
      </c>
      <c r="JE56">
        <v>56</v>
      </c>
      <c r="JF56">
        <v>0</v>
      </c>
      <c r="JG56">
        <v>27986</v>
      </c>
      <c r="JH56">
        <v>0</v>
      </c>
      <c r="JI56">
        <v>0</v>
      </c>
      <c r="JJ56">
        <v>0</v>
      </c>
      <c r="JK56">
        <v>0</v>
      </c>
      <c r="JL56">
        <v>0</v>
      </c>
      <c r="JM56">
        <v>0</v>
      </c>
      <c r="JN56">
        <v>0</v>
      </c>
      <c r="JO56">
        <v>0</v>
      </c>
      <c r="JP56">
        <v>0</v>
      </c>
      <c r="JQ56">
        <v>0</v>
      </c>
      <c r="JR56">
        <v>27986</v>
      </c>
      <c r="JS56">
        <v>-1855</v>
      </c>
      <c r="JT56">
        <v>0</v>
      </c>
      <c r="JU56">
        <v>91</v>
      </c>
      <c r="JV56">
        <v>0</v>
      </c>
      <c r="JW56">
        <v>-13504</v>
      </c>
      <c r="JX56">
        <v>0</v>
      </c>
      <c r="JY56">
        <v>0</v>
      </c>
      <c r="JZ56">
        <v>0</v>
      </c>
      <c r="KA56">
        <v>0</v>
      </c>
      <c r="KB56">
        <v>0</v>
      </c>
      <c r="KC56">
        <v>12718</v>
      </c>
      <c r="KD56">
        <v>0</v>
      </c>
      <c r="KE56">
        <v>-16080</v>
      </c>
      <c r="KF56">
        <v>-3362</v>
      </c>
      <c r="KG56">
        <v>0</v>
      </c>
      <c r="KH56">
        <v>0</v>
      </c>
      <c r="KI56">
        <v>0</v>
      </c>
      <c r="KJ56">
        <v>0</v>
      </c>
      <c r="KK56">
        <v>1548</v>
      </c>
      <c r="KL56">
        <v>1814</v>
      </c>
      <c r="KM56">
        <v>0</v>
      </c>
      <c r="KN56">
        <v>0</v>
      </c>
      <c r="KO56">
        <v>0</v>
      </c>
      <c r="KP56">
        <v>0</v>
      </c>
      <c r="KQ56">
        <v>0</v>
      </c>
      <c r="KR56">
        <v>0</v>
      </c>
      <c r="KS56">
        <v>0</v>
      </c>
      <c r="KT56">
        <v>0</v>
      </c>
      <c r="KU56">
        <v>0</v>
      </c>
      <c r="KV56">
        <v>6448</v>
      </c>
      <c r="KW56">
        <v>7802</v>
      </c>
      <c r="KX56">
        <v>0</v>
      </c>
      <c r="KY56">
        <v>0</v>
      </c>
      <c r="KZ56">
        <v>0</v>
      </c>
      <c r="LA56">
        <v>7996</v>
      </c>
      <c r="LB56">
        <v>9616</v>
      </c>
      <c r="LC56">
        <v>0</v>
      </c>
      <c r="LD56">
        <v>38</v>
      </c>
      <c r="LE56">
        <v>0</v>
      </c>
      <c r="LF56">
        <v>0</v>
      </c>
      <c r="LG56">
        <v>-58637</v>
      </c>
      <c r="LH56">
        <v>88702</v>
      </c>
      <c r="LI56">
        <v>30103</v>
      </c>
      <c r="LJ56">
        <v>0</v>
      </c>
      <c r="LK56">
        <v>0</v>
      </c>
      <c r="LL56">
        <v>0</v>
      </c>
      <c r="LM56">
        <v>0</v>
      </c>
      <c r="LN56">
        <v>0</v>
      </c>
      <c r="LO56">
        <v>0</v>
      </c>
      <c r="LP56">
        <v>0</v>
      </c>
      <c r="LQ56">
        <v>0</v>
      </c>
      <c r="LR56">
        <v>0</v>
      </c>
      <c r="LS56">
        <v>0</v>
      </c>
      <c r="LT56">
        <v>0</v>
      </c>
      <c r="LU56">
        <v>15520</v>
      </c>
      <c r="LV56">
        <v>17309</v>
      </c>
      <c r="LW56">
        <v>0</v>
      </c>
      <c r="LX56">
        <v>0</v>
      </c>
      <c r="LY56">
        <v>0</v>
      </c>
      <c r="LZ56">
        <v>659</v>
      </c>
      <c r="MA56">
        <v>0</v>
      </c>
      <c r="MB56">
        <v>96</v>
      </c>
      <c r="MC56">
        <v>5145</v>
      </c>
      <c r="MD56">
        <v>0</v>
      </c>
      <c r="ME56">
        <v>0</v>
      </c>
      <c r="MF56">
        <v>2241</v>
      </c>
      <c r="MG56">
        <v>0</v>
      </c>
      <c r="MH56">
        <v>40970</v>
      </c>
      <c r="MI56">
        <v>0</v>
      </c>
      <c r="MJ56">
        <v>0</v>
      </c>
      <c r="MK56">
        <v>0</v>
      </c>
      <c r="ML56">
        <v>0</v>
      </c>
      <c r="MM56">
        <v>0</v>
      </c>
      <c r="MN56">
        <v>0</v>
      </c>
      <c r="MO56">
        <v>0</v>
      </c>
      <c r="MP56">
        <v>0</v>
      </c>
      <c r="MQ56">
        <v>0</v>
      </c>
      <c r="MR56">
        <v>0</v>
      </c>
      <c r="MS56">
        <v>0</v>
      </c>
      <c r="MT56">
        <v>0</v>
      </c>
      <c r="MU56">
        <v>0</v>
      </c>
      <c r="MV56">
        <v>0</v>
      </c>
      <c r="MW56">
        <v>0</v>
      </c>
      <c r="MX56">
        <v>0</v>
      </c>
      <c r="MY56">
        <v>0</v>
      </c>
      <c r="MZ56">
        <v>0</v>
      </c>
      <c r="NA56">
        <v>0</v>
      </c>
      <c r="NB56">
        <v>0</v>
      </c>
      <c r="NC56">
        <v>0</v>
      </c>
      <c r="ND56">
        <v>0</v>
      </c>
      <c r="NE56">
        <v>0</v>
      </c>
      <c r="NF56">
        <v>0</v>
      </c>
      <c r="NG56">
        <v>0</v>
      </c>
      <c r="NH56">
        <v>0</v>
      </c>
      <c r="NI56">
        <v>0</v>
      </c>
      <c r="NJ56">
        <v>0</v>
      </c>
      <c r="NK56">
        <v>0</v>
      </c>
      <c r="NL56">
        <v>0</v>
      </c>
      <c r="NM56">
        <v>0</v>
      </c>
      <c r="NN56">
        <v>0</v>
      </c>
      <c r="NO56">
        <v>0</v>
      </c>
      <c r="NP56">
        <v>0</v>
      </c>
      <c r="NQ56">
        <v>0</v>
      </c>
      <c r="NR56">
        <v>0</v>
      </c>
      <c r="NS56">
        <v>0</v>
      </c>
      <c r="NT56">
        <v>0</v>
      </c>
      <c r="NU56">
        <v>0</v>
      </c>
      <c r="NV56">
        <v>0</v>
      </c>
      <c r="NW56">
        <v>0</v>
      </c>
      <c r="NX56">
        <v>0</v>
      </c>
      <c r="NY56">
        <v>0</v>
      </c>
      <c r="NZ56">
        <v>0</v>
      </c>
      <c r="OA56">
        <v>0</v>
      </c>
      <c r="OB56">
        <v>0</v>
      </c>
      <c r="OC56">
        <v>0</v>
      </c>
      <c r="OD56">
        <v>0</v>
      </c>
      <c r="OE56">
        <v>0</v>
      </c>
      <c r="OF56">
        <v>0</v>
      </c>
      <c r="OG56">
        <v>0</v>
      </c>
      <c r="OH56">
        <v>0</v>
      </c>
      <c r="OI56">
        <v>0</v>
      </c>
      <c r="OJ56">
        <v>0</v>
      </c>
      <c r="OK56">
        <v>0</v>
      </c>
      <c r="OL56">
        <v>0</v>
      </c>
      <c r="OM56">
        <v>0</v>
      </c>
      <c r="ON56">
        <v>0</v>
      </c>
    </row>
    <row r="57" spans="1:404" x14ac:dyDescent="0.25">
      <c r="A57" t="s">
        <v>237</v>
      </c>
      <c r="B57" t="s">
        <v>238</v>
      </c>
      <c r="C57" t="s">
        <v>5413</v>
      </c>
      <c r="E57" t="s">
        <v>5408</v>
      </c>
      <c r="F57">
        <v>0</v>
      </c>
      <c r="G57">
        <v>0</v>
      </c>
      <c r="H57">
        <v>0</v>
      </c>
      <c r="I57">
        <v>0</v>
      </c>
      <c r="J57">
        <v>0</v>
      </c>
      <c r="K57">
        <v>0</v>
      </c>
      <c r="L57">
        <v>0</v>
      </c>
      <c r="M57">
        <v>0</v>
      </c>
      <c r="N57">
        <v>0</v>
      </c>
      <c r="O57">
        <v>0</v>
      </c>
      <c r="P57">
        <v>0</v>
      </c>
      <c r="Q57">
        <v>0</v>
      </c>
      <c r="R57">
        <v>0</v>
      </c>
      <c r="S57">
        <v>0</v>
      </c>
      <c r="T57">
        <v>0</v>
      </c>
      <c r="U57">
        <v>0</v>
      </c>
      <c r="V57">
        <v>0</v>
      </c>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v>0</v>
      </c>
      <c r="BE57">
        <v>0</v>
      </c>
      <c r="BF57">
        <v>0</v>
      </c>
      <c r="BG57">
        <v>0</v>
      </c>
      <c r="BH57">
        <v>0</v>
      </c>
      <c r="BI57">
        <v>0</v>
      </c>
      <c r="BJ57">
        <v>0</v>
      </c>
      <c r="BK57">
        <v>0</v>
      </c>
      <c r="BL57">
        <v>0</v>
      </c>
      <c r="BM57">
        <v>0</v>
      </c>
      <c r="BN57">
        <v>0</v>
      </c>
      <c r="BO57">
        <v>0</v>
      </c>
      <c r="BP57">
        <v>0</v>
      </c>
      <c r="BQ57">
        <v>0</v>
      </c>
      <c r="BR57">
        <v>0</v>
      </c>
      <c r="BS57">
        <v>0</v>
      </c>
      <c r="BT57">
        <v>0</v>
      </c>
      <c r="BU57">
        <v>0</v>
      </c>
      <c r="BV57">
        <v>0</v>
      </c>
      <c r="BW57">
        <v>0</v>
      </c>
      <c r="BX57">
        <v>0</v>
      </c>
      <c r="BY57">
        <v>0</v>
      </c>
      <c r="BZ57">
        <v>0</v>
      </c>
      <c r="CA57">
        <v>0</v>
      </c>
      <c r="CB57">
        <v>0</v>
      </c>
      <c r="CC57">
        <v>0</v>
      </c>
      <c r="CD57">
        <v>0</v>
      </c>
      <c r="CE57">
        <v>0</v>
      </c>
      <c r="CF57">
        <v>0</v>
      </c>
      <c r="CG57">
        <v>0</v>
      </c>
      <c r="CH57">
        <v>0</v>
      </c>
      <c r="CI57">
        <v>0</v>
      </c>
      <c r="CJ57">
        <v>0</v>
      </c>
      <c r="CK57">
        <v>0</v>
      </c>
      <c r="CL57">
        <v>0</v>
      </c>
      <c r="CM57">
        <v>0</v>
      </c>
      <c r="CN57">
        <v>0</v>
      </c>
      <c r="CO57">
        <v>0</v>
      </c>
      <c r="CP57">
        <v>0</v>
      </c>
      <c r="CQ57">
        <v>0</v>
      </c>
      <c r="CR57">
        <v>0</v>
      </c>
      <c r="CS57">
        <v>0</v>
      </c>
      <c r="CT57">
        <v>0</v>
      </c>
      <c r="CU57">
        <v>0</v>
      </c>
      <c r="CV57">
        <v>0</v>
      </c>
      <c r="CW57">
        <v>0</v>
      </c>
      <c r="CX57">
        <v>0</v>
      </c>
      <c r="CY57">
        <v>0</v>
      </c>
      <c r="CZ57">
        <v>0</v>
      </c>
      <c r="DA57">
        <v>0</v>
      </c>
      <c r="DB57">
        <v>0</v>
      </c>
      <c r="DC57">
        <v>0</v>
      </c>
      <c r="DD57">
        <v>0</v>
      </c>
      <c r="DE57">
        <v>0</v>
      </c>
      <c r="DF57">
        <v>0</v>
      </c>
      <c r="DG57">
        <v>0</v>
      </c>
      <c r="DH57">
        <v>0</v>
      </c>
      <c r="DI57">
        <v>0</v>
      </c>
      <c r="DJ57">
        <v>0</v>
      </c>
      <c r="DK57">
        <v>0</v>
      </c>
      <c r="DL57">
        <v>0</v>
      </c>
      <c r="DM57">
        <v>0</v>
      </c>
      <c r="DN57">
        <v>0</v>
      </c>
      <c r="DO57">
        <v>0</v>
      </c>
      <c r="DP57">
        <v>0</v>
      </c>
      <c r="DQ57">
        <v>0</v>
      </c>
      <c r="DR57">
        <v>0</v>
      </c>
      <c r="DS57">
        <v>0</v>
      </c>
      <c r="DT57">
        <v>0</v>
      </c>
      <c r="DU57">
        <v>0</v>
      </c>
      <c r="DV57">
        <v>0</v>
      </c>
      <c r="DW57">
        <v>0</v>
      </c>
      <c r="DX57">
        <v>0</v>
      </c>
      <c r="DY57">
        <v>0</v>
      </c>
      <c r="DZ57">
        <v>0</v>
      </c>
      <c r="EA57">
        <v>0</v>
      </c>
      <c r="EB57">
        <v>0</v>
      </c>
      <c r="EC57">
        <v>0</v>
      </c>
      <c r="ED57">
        <v>0</v>
      </c>
      <c r="EE57">
        <v>0</v>
      </c>
      <c r="EF57">
        <v>0</v>
      </c>
      <c r="EG57">
        <v>0</v>
      </c>
      <c r="EH57">
        <v>0</v>
      </c>
      <c r="EI57">
        <v>0</v>
      </c>
      <c r="EJ57">
        <v>0</v>
      </c>
      <c r="EK57">
        <v>0</v>
      </c>
      <c r="EL57">
        <v>0</v>
      </c>
      <c r="EM57">
        <v>0</v>
      </c>
      <c r="EN57">
        <v>0</v>
      </c>
      <c r="EO57">
        <v>0</v>
      </c>
      <c r="EP57">
        <v>0</v>
      </c>
      <c r="EQ57">
        <v>0</v>
      </c>
      <c r="ER57">
        <v>0</v>
      </c>
      <c r="ES57">
        <v>0</v>
      </c>
      <c r="ET57">
        <v>0</v>
      </c>
      <c r="EU57">
        <v>0</v>
      </c>
      <c r="EV57">
        <v>0</v>
      </c>
      <c r="EW57">
        <v>0</v>
      </c>
      <c r="EX57">
        <v>0</v>
      </c>
      <c r="EY57">
        <v>0</v>
      </c>
      <c r="EZ57">
        <v>0</v>
      </c>
      <c r="FA57">
        <v>0</v>
      </c>
      <c r="FB57">
        <v>0</v>
      </c>
      <c r="FC57">
        <v>0</v>
      </c>
      <c r="FD57">
        <v>0</v>
      </c>
      <c r="FE57">
        <v>0</v>
      </c>
      <c r="FF57">
        <v>0</v>
      </c>
      <c r="FG57">
        <v>0</v>
      </c>
      <c r="FH57">
        <v>0</v>
      </c>
      <c r="FI57">
        <v>0</v>
      </c>
      <c r="FJ57">
        <v>0</v>
      </c>
      <c r="FK57">
        <v>0</v>
      </c>
      <c r="FL57">
        <v>0</v>
      </c>
      <c r="FM57">
        <v>0</v>
      </c>
      <c r="FN57">
        <v>0</v>
      </c>
      <c r="FO57">
        <v>0</v>
      </c>
      <c r="FP57">
        <v>0</v>
      </c>
      <c r="FQ57">
        <v>0</v>
      </c>
      <c r="FR57">
        <v>0</v>
      </c>
      <c r="FS57">
        <v>0</v>
      </c>
      <c r="FT57">
        <v>0</v>
      </c>
      <c r="FU57">
        <v>0</v>
      </c>
      <c r="FV57">
        <v>0</v>
      </c>
      <c r="FW57">
        <v>0</v>
      </c>
      <c r="FX57">
        <v>0</v>
      </c>
      <c r="FY57">
        <v>0</v>
      </c>
      <c r="FZ57">
        <v>0</v>
      </c>
      <c r="GA57">
        <v>0</v>
      </c>
      <c r="GB57">
        <v>0</v>
      </c>
      <c r="GC57">
        <v>0</v>
      </c>
      <c r="GD57">
        <v>0</v>
      </c>
      <c r="GE57">
        <v>0</v>
      </c>
      <c r="GF57">
        <v>0</v>
      </c>
      <c r="GG57">
        <v>0</v>
      </c>
      <c r="GH57">
        <v>0</v>
      </c>
      <c r="GI57">
        <v>0</v>
      </c>
      <c r="GJ57">
        <v>0</v>
      </c>
      <c r="GK57">
        <v>0</v>
      </c>
      <c r="GL57">
        <v>0</v>
      </c>
      <c r="GM57">
        <v>0</v>
      </c>
      <c r="GN57">
        <v>0</v>
      </c>
      <c r="GO57">
        <v>0</v>
      </c>
      <c r="GP57">
        <v>0</v>
      </c>
      <c r="GQ57">
        <v>0</v>
      </c>
      <c r="GR57">
        <v>0</v>
      </c>
      <c r="GS57">
        <v>0</v>
      </c>
      <c r="GT57">
        <v>0</v>
      </c>
      <c r="GU57">
        <v>0</v>
      </c>
      <c r="GV57">
        <v>0</v>
      </c>
      <c r="GW57">
        <v>0</v>
      </c>
      <c r="GX57">
        <v>396</v>
      </c>
      <c r="GY57">
        <v>28983</v>
      </c>
      <c r="GZ57">
        <v>129</v>
      </c>
      <c r="HA57">
        <v>29508</v>
      </c>
      <c r="HB57">
        <v>735</v>
      </c>
      <c r="HC57">
        <v>0</v>
      </c>
      <c r="HD57">
        <v>0</v>
      </c>
      <c r="HE57">
        <v>0</v>
      </c>
      <c r="HF57">
        <v>0</v>
      </c>
      <c r="HG57">
        <v>0</v>
      </c>
      <c r="HH57">
        <v>0</v>
      </c>
      <c r="HI57">
        <v>0</v>
      </c>
      <c r="HJ57">
        <v>0</v>
      </c>
      <c r="HK57">
        <v>0</v>
      </c>
      <c r="HL57">
        <v>0</v>
      </c>
      <c r="HM57">
        <v>0</v>
      </c>
      <c r="HN57">
        <v>0</v>
      </c>
      <c r="HO57">
        <v>0</v>
      </c>
      <c r="HP57">
        <v>0</v>
      </c>
      <c r="HQ57">
        <v>0</v>
      </c>
      <c r="HR57">
        <v>0</v>
      </c>
      <c r="HS57">
        <v>0</v>
      </c>
      <c r="HT57">
        <v>0</v>
      </c>
      <c r="HU57">
        <v>0</v>
      </c>
      <c r="HV57">
        <v>735</v>
      </c>
      <c r="HW57">
        <v>0</v>
      </c>
      <c r="HX57">
        <v>0</v>
      </c>
      <c r="HY57">
        <v>0</v>
      </c>
      <c r="HZ57">
        <v>0</v>
      </c>
      <c r="IA57">
        <v>0</v>
      </c>
      <c r="IB57">
        <v>0</v>
      </c>
      <c r="IC57">
        <v>0</v>
      </c>
      <c r="ID57">
        <v>0</v>
      </c>
      <c r="IE57">
        <v>0</v>
      </c>
      <c r="IF57">
        <v>0</v>
      </c>
      <c r="IG57">
        <v>0</v>
      </c>
      <c r="IH57">
        <v>0</v>
      </c>
      <c r="II57">
        <v>0</v>
      </c>
      <c r="IJ57">
        <v>0</v>
      </c>
      <c r="IK57">
        <v>0</v>
      </c>
      <c r="IL57">
        <v>0</v>
      </c>
      <c r="IM57">
        <v>29508</v>
      </c>
      <c r="IN57">
        <v>735</v>
      </c>
      <c r="IO57">
        <v>0</v>
      </c>
      <c r="IP57">
        <v>30243</v>
      </c>
      <c r="IQ57">
        <v>0</v>
      </c>
      <c r="IR57">
        <v>0</v>
      </c>
      <c r="IS57">
        <v>0</v>
      </c>
      <c r="IT57">
        <v>0</v>
      </c>
      <c r="IU57">
        <v>0</v>
      </c>
      <c r="IV57">
        <v>0</v>
      </c>
      <c r="IW57">
        <v>0</v>
      </c>
      <c r="IX57">
        <v>0</v>
      </c>
      <c r="IY57">
        <v>0</v>
      </c>
      <c r="IZ57">
        <v>0</v>
      </c>
      <c r="JA57">
        <v>0</v>
      </c>
      <c r="JB57">
        <v>0</v>
      </c>
      <c r="JC57">
        <v>0</v>
      </c>
      <c r="JD57">
        <v>0</v>
      </c>
      <c r="JE57">
        <v>-86</v>
      </c>
      <c r="JF57">
        <v>0</v>
      </c>
      <c r="JG57">
        <v>30157</v>
      </c>
      <c r="JH57">
        <v>0</v>
      </c>
      <c r="JI57">
        <v>668</v>
      </c>
      <c r="JJ57">
        <v>0</v>
      </c>
      <c r="JK57">
        <v>0</v>
      </c>
      <c r="JL57">
        <v>0</v>
      </c>
      <c r="JM57">
        <v>0</v>
      </c>
      <c r="JN57">
        <v>114</v>
      </c>
      <c r="JO57">
        <v>0</v>
      </c>
      <c r="JP57">
        <v>164</v>
      </c>
      <c r="JQ57">
        <v>0</v>
      </c>
      <c r="JR57">
        <v>31103</v>
      </c>
      <c r="JS57">
        <v>-20</v>
      </c>
      <c r="JT57">
        <v>0</v>
      </c>
      <c r="JU57">
        <v>0</v>
      </c>
      <c r="JV57">
        <v>0</v>
      </c>
      <c r="JW57">
        <v>0</v>
      </c>
      <c r="JX57">
        <v>0</v>
      </c>
      <c r="JY57">
        <v>0</v>
      </c>
      <c r="JZ57">
        <v>0</v>
      </c>
      <c r="KA57">
        <v>0</v>
      </c>
      <c r="KB57">
        <v>0</v>
      </c>
      <c r="KC57">
        <v>31083</v>
      </c>
      <c r="KD57">
        <v>0</v>
      </c>
      <c r="KE57">
        <v>-170</v>
      </c>
      <c r="KF57">
        <v>30913</v>
      </c>
      <c r="KG57">
        <v>0</v>
      </c>
      <c r="KH57">
        <v>0</v>
      </c>
      <c r="KI57">
        <v>0</v>
      </c>
      <c r="KJ57">
        <v>0</v>
      </c>
      <c r="KK57">
        <v>1453</v>
      </c>
      <c r="KL57">
        <v>37</v>
      </c>
      <c r="KM57">
        <v>-2811</v>
      </c>
      <c r="KN57">
        <v>0</v>
      </c>
      <c r="KO57">
        <v>-6471</v>
      </c>
      <c r="KP57">
        <v>325</v>
      </c>
      <c r="KQ57">
        <v>-1521</v>
      </c>
      <c r="KR57">
        <v>21401</v>
      </c>
      <c r="KS57">
        <v>0</v>
      </c>
      <c r="KT57">
        <v>0</v>
      </c>
      <c r="KU57">
        <v>0</v>
      </c>
      <c r="KV57">
        <v>7007</v>
      </c>
      <c r="KW57">
        <v>2096</v>
      </c>
      <c r="KX57">
        <v>0</v>
      </c>
      <c r="KY57">
        <v>0</v>
      </c>
      <c r="KZ57">
        <v>0</v>
      </c>
      <c r="LA57">
        <v>8460</v>
      </c>
      <c r="LB57">
        <v>2133</v>
      </c>
      <c r="LC57">
        <v>0</v>
      </c>
      <c r="LD57">
        <v>2368</v>
      </c>
      <c r="LE57">
        <v>-661</v>
      </c>
      <c r="LF57">
        <v>-3368</v>
      </c>
      <c r="LG57">
        <v>0</v>
      </c>
      <c r="LH57">
        <v>0</v>
      </c>
      <c r="LI57">
        <v>-1661</v>
      </c>
      <c r="LJ57">
        <v>0</v>
      </c>
      <c r="LK57">
        <v>0</v>
      </c>
      <c r="LL57">
        <v>0</v>
      </c>
      <c r="LM57">
        <v>0</v>
      </c>
      <c r="LN57">
        <v>0</v>
      </c>
      <c r="LO57">
        <v>0</v>
      </c>
      <c r="LP57">
        <v>0</v>
      </c>
      <c r="LQ57">
        <v>0</v>
      </c>
      <c r="LR57">
        <v>0</v>
      </c>
      <c r="LS57">
        <v>0</v>
      </c>
      <c r="LT57">
        <v>0</v>
      </c>
      <c r="LU57">
        <v>0</v>
      </c>
      <c r="LV57">
        <v>0</v>
      </c>
      <c r="LW57">
        <v>0</v>
      </c>
      <c r="LX57">
        <v>0</v>
      </c>
      <c r="LY57">
        <v>0</v>
      </c>
      <c r="LZ57">
        <v>0</v>
      </c>
      <c r="MA57">
        <v>0</v>
      </c>
      <c r="MB57">
        <v>0</v>
      </c>
      <c r="MC57">
        <v>0</v>
      </c>
      <c r="MD57">
        <v>0</v>
      </c>
      <c r="ME57">
        <v>29508</v>
      </c>
      <c r="MF57">
        <v>735</v>
      </c>
      <c r="MG57">
        <v>0</v>
      </c>
      <c r="MH57">
        <v>30243</v>
      </c>
      <c r="MI57">
        <v>0</v>
      </c>
      <c r="MJ57">
        <v>0</v>
      </c>
      <c r="MK57">
        <v>0</v>
      </c>
      <c r="ML57">
        <v>0</v>
      </c>
      <c r="MM57">
        <v>0</v>
      </c>
      <c r="MN57">
        <v>0</v>
      </c>
      <c r="MO57">
        <v>0</v>
      </c>
      <c r="MP57">
        <v>0</v>
      </c>
      <c r="MQ57">
        <v>0</v>
      </c>
      <c r="MR57">
        <v>0</v>
      </c>
      <c r="MS57">
        <v>0</v>
      </c>
      <c r="MT57">
        <v>0</v>
      </c>
      <c r="MU57">
        <v>0</v>
      </c>
      <c r="MV57">
        <v>0</v>
      </c>
      <c r="MW57">
        <v>0</v>
      </c>
      <c r="MX57">
        <v>0</v>
      </c>
      <c r="MY57">
        <v>0</v>
      </c>
      <c r="MZ57">
        <v>0</v>
      </c>
      <c r="NA57">
        <v>0</v>
      </c>
      <c r="NB57">
        <v>0</v>
      </c>
      <c r="NC57">
        <v>0</v>
      </c>
      <c r="ND57">
        <v>0</v>
      </c>
      <c r="NE57">
        <v>0</v>
      </c>
      <c r="NF57">
        <v>0</v>
      </c>
      <c r="NG57">
        <v>0</v>
      </c>
      <c r="NH57">
        <v>0</v>
      </c>
      <c r="NI57">
        <v>0</v>
      </c>
      <c r="NJ57">
        <v>0</v>
      </c>
      <c r="NK57">
        <v>0</v>
      </c>
      <c r="NL57">
        <v>0</v>
      </c>
      <c r="NM57">
        <v>0</v>
      </c>
      <c r="NN57">
        <v>0</v>
      </c>
      <c r="NO57">
        <v>0</v>
      </c>
      <c r="NP57">
        <v>0</v>
      </c>
      <c r="NQ57">
        <v>0</v>
      </c>
      <c r="NR57">
        <v>0</v>
      </c>
      <c r="NS57">
        <v>0</v>
      </c>
      <c r="NT57">
        <v>0</v>
      </c>
      <c r="NU57">
        <v>0</v>
      </c>
      <c r="NV57">
        <v>0</v>
      </c>
      <c r="NW57">
        <v>0</v>
      </c>
      <c r="NX57">
        <v>0</v>
      </c>
      <c r="NY57">
        <v>0</v>
      </c>
      <c r="NZ57">
        <v>0</v>
      </c>
      <c r="OA57">
        <v>0</v>
      </c>
      <c r="OB57">
        <v>0</v>
      </c>
      <c r="OC57">
        <v>0</v>
      </c>
      <c r="OD57">
        <v>0</v>
      </c>
      <c r="OE57">
        <v>0</v>
      </c>
      <c r="OF57">
        <v>0</v>
      </c>
      <c r="OG57">
        <v>0</v>
      </c>
      <c r="OH57">
        <v>0</v>
      </c>
      <c r="OI57">
        <v>0</v>
      </c>
      <c r="OJ57">
        <v>0</v>
      </c>
      <c r="OK57">
        <v>0</v>
      </c>
      <c r="OL57">
        <v>0</v>
      </c>
      <c r="OM57">
        <v>0</v>
      </c>
      <c r="ON57">
        <v>0</v>
      </c>
    </row>
    <row r="58" spans="1:404" x14ac:dyDescent="0.25">
      <c r="A58" t="s">
        <v>240</v>
      </c>
      <c r="B58" t="s">
        <v>241</v>
      </c>
      <c r="C58" t="s">
        <v>239</v>
      </c>
      <c r="E58" t="s">
        <v>71</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c r="AN58">
        <v>0</v>
      </c>
      <c r="AO58">
        <v>0</v>
      </c>
      <c r="AP58">
        <v>0</v>
      </c>
      <c r="AQ58">
        <v>0</v>
      </c>
      <c r="AR58">
        <v>0</v>
      </c>
      <c r="AS58">
        <v>0</v>
      </c>
      <c r="AT58">
        <v>0</v>
      </c>
      <c r="AU58">
        <v>0</v>
      </c>
      <c r="AV58">
        <v>0</v>
      </c>
      <c r="AW58">
        <v>0</v>
      </c>
      <c r="AX58">
        <v>0</v>
      </c>
      <c r="AY58">
        <v>0</v>
      </c>
      <c r="AZ58">
        <v>0</v>
      </c>
      <c r="BA58">
        <v>0</v>
      </c>
      <c r="BB58">
        <v>0</v>
      </c>
      <c r="BC58">
        <v>0</v>
      </c>
      <c r="BD58">
        <v>0</v>
      </c>
      <c r="BE58">
        <v>0</v>
      </c>
      <c r="BF58">
        <v>0</v>
      </c>
      <c r="BG58">
        <v>0</v>
      </c>
      <c r="BH58">
        <v>0</v>
      </c>
      <c r="BI58">
        <v>0</v>
      </c>
      <c r="BJ58">
        <v>0</v>
      </c>
      <c r="BK58">
        <v>0</v>
      </c>
      <c r="BL58">
        <v>0</v>
      </c>
      <c r="BM58">
        <v>0</v>
      </c>
      <c r="BN58">
        <v>0</v>
      </c>
      <c r="BO58">
        <v>0</v>
      </c>
      <c r="BP58">
        <v>0</v>
      </c>
      <c r="BQ58">
        <v>0</v>
      </c>
      <c r="BR58">
        <v>0</v>
      </c>
      <c r="BS58">
        <v>0</v>
      </c>
      <c r="BT58">
        <v>0</v>
      </c>
      <c r="BU58">
        <v>0</v>
      </c>
      <c r="BV58">
        <v>0</v>
      </c>
      <c r="BW58">
        <v>0</v>
      </c>
      <c r="BX58">
        <v>0</v>
      </c>
      <c r="BY58">
        <v>0</v>
      </c>
      <c r="BZ58">
        <v>0</v>
      </c>
      <c r="CA58">
        <v>0</v>
      </c>
      <c r="CB58">
        <v>0</v>
      </c>
      <c r="CC58">
        <v>0</v>
      </c>
      <c r="CD58">
        <v>0</v>
      </c>
      <c r="CE58">
        <v>0</v>
      </c>
      <c r="CF58">
        <v>0</v>
      </c>
      <c r="CG58">
        <v>0</v>
      </c>
      <c r="CH58">
        <v>0</v>
      </c>
      <c r="CI58">
        <v>0</v>
      </c>
      <c r="CJ58">
        <v>0</v>
      </c>
      <c r="CK58">
        <v>0</v>
      </c>
      <c r="CL58">
        <v>0</v>
      </c>
      <c r="CM58">
        <v>0</v>
      </c>
      <c r="CN58">
        <v>0</v>
      </c>
      <c r="CO58">
        <v>0</v>
      </c>
      <c r="CP58">
        <v>0</v>
      </c>
      <c r="CQ58">
        <v>0</v>
      </c>
      <c r="CR58">
        <v>0</v>
      </c>
      <c r="CS58">
        <v>0</v>
      </c>
      <c r="CT58">
        <v>0</v>
      </c>
      <c r="CU58">
        <v>0</v>
      </c>
      <c r="CV58">
        <v>0</v>
      </c>
      <c r="CW58">
        <v>0</v>
      </c>
      <c r="CX58">
        <v>0</v>
      </c>
      <c r="CY58">
        <v>0</v>
      </c>
      <c r="CZ58">
        <v>0</v>
      </c>
      <c r="DA58">
        <v>0</v>
      </c>
      <c r="DB58">
        <v>0</v>
      </c>
      <c r="DC58">
        <v>0</v>
      </c>
      <c r="DD58">
        <v>0</v>
      </c>
      <c r="DE58">
        <v>0</v>
      </c>
      <c r="DF58">
        <v>0</v>
      </c>
      <c r="DG58">
        <v>0</v>
      </c>
      <c r="DH58">
        <v>0</v>
      </c>
      <c r="DI58">
        <v>0</v>
      </c>
      <c r="DJ58">
        <v>0</v>
      </c>
      <c r="DK58">
        <v>0</v>
      </c>
      <c r="DL58">
        <v>0</v>
      </c>
      <c r="DM58">
        <v>0</v>
      </c>
      <c r="DN58">
        <v>0</v>
      </c>
      <c r="DO58">
        <v>0</v>
      </c>
      <c r="DP58">
        <v>0</v>
      </c>
      <c r="DQ58">
        <v>0</v>
      </c>
      <c r="DR58">
        <v>0</v>
      </c>
      <c r="DS58">
        <v>0</v>
      </c>
      <c r="DT58">
        <v>0</v>
      </c>
      <c r="DU58">
        <v>0</v>
      </c>
      <c r="DV58">
        <v>0</v>
      </c>
      <c r="DW58">
        <v>0</v>
      </c>
      <c r="DX58">
        <v>0</v>
      </c>
      <c r="DY58">
        <v>0</v>
      </c>
      <c r="DZ58">
        <v>0</v>
      </c>
      <c r="EA58">
        <v>0</v>
      </c>
      <c r="EB58">
        <v>0</v>
      </c>
      <c r="EC58">
        <v>0</v>
      </c>
      <c r="ED58">
        <v>0</v>
      </c>
      <c r="EE58">
        <v>0</v>
      </c>
      <c r="EF58">
        <v>0</v>
      </c>
      <c r="EG58">
        <v>0</v>
      </c>
      <c r="EH58">
        <v>0</v>
      </c>
      <c r="EI58">
        <v>0</v>
      </c>
      <c r="EJ58">
        <v>0</v>
      </c>
      <c r="EK58">
        <v>0</v>
      </c>
      <c r="EL58">
        <v>0</v>
      </c>
      <c r="EM58">
        <v>0</v>
      </c>
      <c r="EN58">
        <v>0</v>
      </c>
      <c r="EO58">
        <v>0</v>
      </c>
      <c r="EP58">
        <v>0</v>
      </c>
      <c r="EQ58">
        <v>0</v>
      </c>
      <c r="ER58">
        <v>0</v>
      </c>
      <c r="ES58">
        <v>0</v>
      </c>
      <c r="ET58">
        <v>0</v>
      </c>
      <c r="EU58">
        <v>0</v>
      </c>
      <c r="EV58">
        <v>0</v>
      </c>
      <c r="EW58">
        <v>0</v>
      </c>
      <c r="EX58">
        <v>0</v>
      </c>
      <c r="EY58">
        <v>0</v>
      </c>
      <c r="EZ58">
        <v>0</v>
      </c>
      <c r="FA58">
        <v>0</v>
      </c>
      <c r="FB58">
        <v>0</v>
      </c>
      <c r="FC58">
        <v>0</v>
      </c>
      <c r="FD58">
        <v>0</v>
      </c>
      <c r="FE58">
        <v>0</v>
      </c>
      <c r="FF58">
        <v>0</v>
      </c>
      <c r="FG58">
        <v>0</v>
      </c>
      <c r="FH58">
        <v>0</v>
      </c>
      <c r="FI58">
        <v>0</v>
      </c>
      <c r="FJ58">
        <v>0</v>
      </c>
      <c r="FK58">
        <v>0</v>
      </c>
      <c r="FL58">
        <v>0</v>
      </c>
      <c r="FM58">
        <v>0</v>
      </c>
      <c r="FN58">
        <v>0</v>
      </c>
      <c r="FO58">
        <v>0</v>
      </c>
      <c r="FP58">
        <v>0</v>
      </c>
      <c r="FQ58">
        <v>0</v>
      </c>
      <c r="FR58">
        <v>0</v>
      </c>
      <c r="FS58">
        <v>0</v>
      </c>
      <c r="FT58">
        <v>0</v>
      </c>
      <c r="FU58">
        <v>0</v>
      </c>
      <c r="FV58">
        <v>0</v>
      </c>
      <c r="FW58">
        <v>0</v>
      </c>
      <c r="FX58">
        <v>0</v>
      </c>
      <c r="FY58">
        <v>0</v>
      </c>
      <c r="FZ58">
        <v>0</v>
      </c>
      <c r="GA58">
        <v>0</v>
      </c>
      <c r="GB58">
        <v>0</v>
      </c>
      <c r="GC58">
        <v>0</v>
      </c>
      <c r="GD58">
        <v>0</v>
      </c>
      <c r="GE58">
        <v>0</v>
      </c>
      <c r="GF58">
        <v>0</v>
      </c>
      <c r="GG58">
        <v>0</v>
      </c>
      <c r="GH58">
        <v>0</v>
      </c>
      <c r="GI58">
        <v>0</v>
      </c>
      <c r="GJ58">
        <v>0</v>
      </c>
      <c r="GK58">
        <v>0</v>
      </c>
      <c r="GL58">
        <v>0</v>
      </c>
      <c r="GM58">
        <v>0</v>
      </c>
      <c r="GN58">
        <v>0</v>
      </c>
      <c r="GO58">
        <v>0</v>
      </c>
      <c r="GP58">
        <v>0</v>
      </c>
      <c r="GQ58">
        <v>0</v>
      </c>
      <c r="GR58">
        <v>0</v>
      </c>
      <c r="GS58">
        <v>0</v>
      </c>
      <c r="GT58">
        <v>0</v>
      </c>
      <c r="GU58">
        <v>0</v>
      </c>
      <c r="GV58">
        <v>0</v>
      </c>
      <c r="GW58">
        <v>146462</v>
      </c>
      <c r="GX58">
        <v>0</v>
      </c>
      <c r="GY58">
        <v>0</v>
      </c>
      <c r="GZ58">
        <v>0</v>
      </c>
      <c r="HA58">
        <v>0</v>
      </c>
      <c r="HB58">
        <v>7310</v>
      </c>
      <c r="HC58">
        <v>0</v>
      </c>
      <c r="HD58">
        <v>0</v>
      </c>
      <c r="HE58">
        <v>0</v>
      </c>
      <c r="HF58">
        <v>0</v>
      </c>
      <c r="HG58">
        <v>0</v>
      </c>
      <c r="HH58">
        <v>0</v>
      </c>
      <c r="HI58">
        <v>0</v>
      </c>
      <c r="HJ58">
        <v>0</v>
      </c>
      <c r="HK58">
        <v>0</v>
      </c>
      <c r="HL58">
        <v>0</v>
      </c>
      <c r="HM58">
        <v>0</v>
      </c>
      <c r="HN58">
        <v>0</v>
      </c>
      <c r="HO58">
        <v>0</v>
      </c>
      <c r="HP58">
        <v>0</v>
      </c>
      <c r="HQ58">
        <v>0</v>
      </c>
      <c r="HR58">
        <v>0</v>
      </c>
      <c r="HS58">
        <v>0</v>
      </c>
      <c r="HT58">
        <v>0</v>
      </c>
      <c r="HU58">
        <v>0</v>
      </c>
      <c r="HV58">
        <v>7310</v>
      </c>
      <c r="HW58">
        <v>0</v>
      </c>
      <c r="HX58">
        <v>0</v>
      </c>
      <c r="HY58">
        <v>0</v>
      </c>
      <c r="HZ58">
        <v>0</v>
      </c>
      <c r="IA58">
        <v>0</v>
      </c>
      <c r="IB58">
        <v>0</v>
      </c>
      <c r="IC58">
        <v>0</v>
      </c>
      <c r="ID58">
        <v>0</v>
      </c>
      <c r="IE58">
        <v>0</v>
      </c>
      <c r="IF58">
        <v>0</v>
      </c>
      <c r="IG58">
        <v>0</v>
      </c>
      <c r="IH58">
        <v>0</v>
      </c>
      <c r="II58">
        <v>0</v>
      </c>
      <c r="IJ58">
        <v>0</v>
      </c>
      <c r="IK58">
        <v>0</v>
      </c>
      <c r="IL58">
        <v>146462</v>
      </c>
      <c r="IM58">
        <v>0</v>
      </c>
      <c r="IN58">
        <v>7310</v>
      </c>
      <c r="IO58">
        <v>0</v>
      </c>
      <c r="IP58">
        <v>153772</v>
      </c>
      <c r="IQ58">
        <v>0</v>
      </c>
      <c r="IR58">
        <v>0</v>
      </c>
      <c r="IS58">
        <v>0</v>
      </c>
      <c r="IT58">
        <v>0</v>
      </c>
      <c r="IU58">
        <v>0</v>
      </c>
      <c r="IV58">
        <v>0</v>
      </c>
      <c r="IW58">
        <v>0</v>
      </c>
      <c r="IX58">
        <v>0</v>
      </c>
      <c r="IY58">
        <v>0</v>
      </c>
      <c r="IZ58">
        <v>0</v>
      </c>
      <c r="JA58">
        <v>-13</v>
      </c>
      <c r="JB58">
        <v>0</v>
      </c>
      <c r="JC58">
        <v>0</v>
      </c>
      <c r="JD58">
        <v>0</v>
      </c>
      <c r="JE58">
        <v>0</v>
      </c>
      <c r="JF58">
        <v>0</v>
      </c>
      <c r="JG58">
        <v>153759</v>
      </c>
      <c r="JH58">
        <v>0</v>
      </c>
      <c r="JI58">
        <v>4307</v>
      </c>
      <c r="JJ58">
        <v>0</v>
      </c>
      <c r="JK58">
        <v>0</v>
      </c>
      <c r="JL58">
        <v>0</v>
      </c>
      <c r="JM58">
        <v>0</v>
      </c>
      <c r="JN58">
        <v>980</v>
      </c>
      <c r="JO58">
        <v>0</v>
      </c>
      <c r="JP58">
        <v>579</v>
      </c>
      <c r="JQ58">
        <v>-33</v>
      </c>
      <c r="JR58">
        <v>159592</v>
      </c>
      <c r="JS58">
        <v>0</v>
      </c>
      <c r="JT58">
        <v>0</v>
      </c>
      <c r="JU58">
        <v>0</v>
      </c>
      <c r="JV58">
        <v>0</v>
      </c>
      <c r="JW58">
        <v>0</v>
      </c>
      <c r="JX58">
        <v>0</v>
      </c>
      <c r="JY58">
        <v>0</v>
      </c>
      <c r="JZ58">
        <v>0</v>
      </c>
      <c r="KA58">
        <v>0</v>
      </c>
      <c r="KB58">
        <v>0</v>
      </c>
      <c r="KC58">
        <v>159592</v>
      </c>
      <c r="KD58">
        <v>0</v>
      </c>
      <c r="KE58">
        <v>0</v>
      </c>
      <c r="KF58">
        <v>159592</v>
      </c>
      <c r="KG58">
        <v>0</v>
      </c>
      <c r="KH58">
        <v>0</v>
      </c>
      <c r="KI58">
        <v>0</v>
      </c>
      <c r="KJ58">
        <v>0</v>
      </c>
      <c r="KK58">
        <v>2754</v>
      </c>
      <c r="KL58">
        <v>1069</v>
      </c>
      <c r="KM58">
        <v>0</v>
      </c>
      <c r="KN58">
        <v>-90387</v>
      </c>
      <c r="KO58">
        <v>0</v>
      </c>
      <c r="KP58">
        <v>0</v>
      </c>
      <c r="KQ58">
        <v>27</v>
      </c>
      <c r="KR58">
        <v>72060</v>
      </c>
      <c r="KS58">
        <v>0</v>
      </c>
      <c r="KT58">
        <v>0</v>
      </c>
      <c r="KU58">
        <v>0</v>
      </c>
      <c r="KV58">
        <v>8737</v>
      </c>
      <c r="KW58">
        <v>7492</v>
      </c>
      <c r="KX58">
        <v>0</v>
      </c>
      <c r="KY58">
        <v>0</v>
      </c>
      <c r="KZ58">
        <v>0</v>
      </c>
      <c r="LA58">
        <v>11491</v>
      </c>
      <c r="LB58">
        <v>8561</v>
      </c>
      <c r="LC58">
        <v>0</v>
      </c>
      <c r="LD58">
        <v>4676</v>
      </c>
      <c r="LE58">
        <v>0</v>
      </c>
      <c r="LF58">
        <v>0</v>
      </c>
      <c r="LG58">
        <v>0</v>
      </c>
      <c r="LH58">
        <v>0</v>
      </c>
      <c r="LI58">
        <v>4676</v>
      </c>
      <c r="LJ58">
        <v>0</v>
      </c>
      <c r="LK58">
        <v>0</v>
      </c>
      <c r="LL58">
        <v>0</v>
      </c>
      <c r="LM58">
        <v>0</v>
      </c>
      <c r="LN58">
        <v>0</v>
      </c>
      <c r="LO58">
        <v>0</v>
      </c>
      <c r="LP58">
        <v>0</v>
      </c>
      <c r="LQ58">
        <v>0</v>
      </c>
      <c r="LR58">
        <v>0</v>
      </c>
      <c r="LS58">
        <v>0</v>
      </c>
      <c r="LT58">
        <v>0</v>
      </c>
      <c r="LU58">
        <v>0</v>
      </c>
      <c r="LV58">
        <v>0</v>
      </c>
      <c r="LW58">
        <v>0</v>
      </c>
      <c r="LX58">
        <v>0</v>
      </c>
      <c r="LY58">
        <v>0</v>
      </c>
      <c r="LZ58">
        <v>0</v>
      </c>
      <c r="MA58">
        <v>0</v>
      </c>
      <c r="MB58">
        <v>0</v>
      </c>
      <c r="MC58">
        <v>0</v>
      </c>
      <c r="MD58">
        <v>146462</v>
      </c>
      <c r="ME58">
        <v>0</v>
      </c>
      <c r="MF58">
        <v>7310</v>
      </c>
      <c r="MG58">
        <v>0</v>
      </c>
      <c r="MH58">
        <v>153772</v>
      </c>
      <c r="MI58">
        <v>0</v>
      </c>
      <c r="MJ58">
        <v>0</v>
      </c>
      <c r="MK58">
        <v>0</v>
      </c>
      <c r="ML58">
        <v>0</v>
      </c>
      <c r="MM58">
        <v>0</v>
      </c>
      <c r="MN58">
        <v>0</v>
      </c>
      <c r="MO58">
        <v>0</v>
      </c>
      <c r="MP58">
        <v>0</v>
      </c>
      <c r="MQ58">
        <v>0</v>
      </c>
      <c r="MR58">
        <v>0</v>
      </c>
      <c r="MS58">
        <v>0</v>
      </c>
      <c r="MT58">
        <v>0</v>
      </c>
      <c r="MU58">
        <v>0</v>
      </c>
      <c r="MV58">
        <v>0</v>
      </c>
      <c r="MW58">
        <v>0</v>
      </c>
      <c r="MX58">
        <v>0</v>
      </c>
      <c r="MY58">
        <v>-13</v>
      </c>
      <c r="MZ58">
        <v>0</v>
      </c>
      <c r="NA58">
        <v>-13</v>
      </c>
      <c r="NB58">
        <v>0</v>
      </c>
      <c r="NC58">
        <v>-13</v>
      </c>
      <c r="ND58">
        <v>0</v>
      </c>
      <c r="NE58">
        <v>0</v>
      </c>
      <c r="NF58">
        <v>0</v>
      </c>
      <c r="NG58">
        <v>0</v>
      </c>
      <c r="NH58">
        <v>0</v>
      </c>
      <c r="NI58">
        <v>0</v>
      </c>
      <c r="NJ58">
        <v>0</v>
      </c>
      <c r="NK58">
        <v>0</v>
      </c>
      <c r="NL58">
        <v>0</v>
      </c>
      <c r="NM58">
        <v>0</v>
      </c>
      <c r="NN58">
        <v>0</v>
      </c>
      <c r="NO58">
        <v>0</v>
      </c>
      <c r="NP58">
        <v>0</v>
      </c>
      <c r="NQ58">
        <v>0</v>
      </c>
      <c r="NR58">
        <v>0</v>
      </c>
      <c r="NS58">
        <v>0</v>
      </c>
      <c r="NT58">
        <v>0</v>
      </c>
      <c r="NU58">
        <v>0</v>
      </c>
      <c r="NV58">
        <v>0</v>
      </c>
      <c r="NW58">
        <v>0</v>
      </c>
      <c r="NX58">
        <v>0</v>
      </c>
      <c r="NY58">
        <v>0</v>
      </c>
      <c r="NZ58">
        <v>0</v>
      </c>
      <c r="OA58">
        <v>0</v>
      </c>
      <c r="OB58">
        <v>0</v>
      </c>
      <c r="OC58">
        <v>0</v>
      </c>
      <c r="OD58">
        <v>0</v>
      </c>
      <c r="OE58">
        <v>0</v>
      </c>
      <c r="OF58">
        <v>0</v>
      </c>
      <c r="OG58">
        <v>0</v>
      </c>
      <c r="OH58">
        <v>0</v>
      </c>
      <c r="OI58">
        <v>0</v>
      </c>
      <c r="OJ58">
        <v>0</v>
      </c>
      <c r="OK58">
        <v>0</v>
      </c>
      <c r="OL58">
        <v>0</v>
      </c>
      <c r="OM58">
        <v>0</v>
      </c>
      <c r="ON58">
        <v>0</v>
      </c>
    </row>
    <row r="59" spans="1:404" x14ac:dyDescent="0.25">
      <c r="A59" t="s">
        <v>243</v>
      </c>
      <c r="B59" t="s">
        <v>244</v>
      </c>
      <c r="C59" t="s">
        <v>242</v>
      </c>
      <c r="E59" t="s">
        <v>1940</v>
      </c>
      <c r="F59">
        <v>29681</v>
      </c>
      <c r="G59">
        <v>76100</v>
      </c>
      <c r="H59">
        <v>84877</v>
      </c>
      <c r="I59">
        <v>10364</v>
      </c>
      <c r="J59">
        <v>0</v>
      </c>
      <c r="K59">
        <v>34071</v>
      </c>
      <c r="L59">
        <v>235093</v>
      </c>
      <c r="M59">
        <v>453</v>
      </c>
      <c r="N59">
        <v>637</v>
      </c>
      <c r="O59">
        <v>1635</v>
      </c>
      <c r="P59">
        <v>0</v>
      </c>
      <c r="Q59">
        <v>0</v>
      </c>
      <c r="R59">
        <v>977</v>
      </c>
      <c r="S59">
        <v>0</v>
      </c>
      <c r="T59">
        <v>0</v>
      </c>
      <c r="U59">
        <v>188</v>
      </c>
      <c r="V59">
        <v>0</v>
      </c>
      <c r="W59">
        <v>0</v>
      </c>
      <c r="X59">
        <v>73</v>
      </c>
      <c r="Y59">
        <v>-128</v>
      </c>
      <c r="Z59">
        <v>-32318</v>
      </c>
      <c r="AA59">
        <v>-134</v>
      </c>
      <c r="AB59">
        <v>11040</v>
      </c>
      <c r="AC59">
        <v>0</v>
      </c>
      <c r="AD59">
        <v>0</v>
      </c>
      <c r="AE59">
        <v>0</v>
      </c>
      <c r="AF59">
        <v>1872</v>
      </c>
      <c r="AG59">
        <v>0</v>
      </c>
      <c r="AH59">
        <v>0</v>
      </c>
      <c r="AI59">
        <v>-15705</v>
      </c>
      <c r="AJ59">
        <v>0</v>
      </c>
      <c r="AK59">
        <v>0</v>
      </c>
      <c r="AL59">
        <v>0</v>
      </c>
      <c r="AM59">
        <v>0</v>
      </c>
      <c r="AN59">
        <v>0</v>
      </c>
      <c r="AO59">
        <v>0</v>
      </c>
      <c r="AP59">
        <v>0</v>
      </c>
      <c r="AQ59">
        <v>9744</v>
      </c>
      <c r="AR59">
        <v>37153</v>
      </c>
      <c r="AS59">
        <v>0</v>
      </c>
      <c r="AT59">
        <v>0</v>
      </c>
      <c r="AU59">
        <v>0</v>
      </c>
      <c r="AV59">
        <v>0</v>
      </c>
      <c r="AW59">
        <v>17598</v>
      </c>
      <c r="AX59">
        <v>4093</v>
      </c>
      <c r="AY59">
        <v>17775</v>
      </c>
      <c r="AZ59">
        <v>2710</v>
      </c>
      <c r="BA59">
        <v>6712</v>
      </c>
      <c r="BB59">
        <v>3230</v>
      </c>
      <c r="BC59">
        <v>6320</v>
      </c>
      <c r="BD59">
        <v>58438</v>
      </c>
      <c r="BE59">
        <v>7760</v>
      </c>
      <c r="BF59">
        <v>32622</v>
      </c>
      <c r="BG59">
        <v>223</v>
      </c>
      <c r="BH59">
        <v>1888</v>
      </c>
      <c r="BI59">
        <v>75</v>
      </c>
      <c r="BJ59">
        <v>687</v>
      </c>
      <c r="BK59">
        <v>20419</v>
      </c>
      <c r="BL59">
        <v>1734</v>
      </c>
      <c r="BM59">
        <v>10183</v>
      </c>
      <c r="BN59">
        <v>2477</v>
      </c>
      <c r="BO59">
        <v>0</v>
      </c>
      <c r="BP59">
        <v>0</v>
      </c>
      <c r="BQ59">
        <v>0</v>
      </c>
      <c r="BR59">
        <v>1006</v>
      </c>
      <c r="BS59">
        <v>1549</v>
      </c>
      <c r="BT59">
        <v>13899</v>
      </c>
      <c r="BU59">
        <v>333</v>
      </c>
      <c r="BV59">
        <v>-7271</v>
      </c>
      <c r="BW59">
        <v>87584</v>
      </c>
      <c r="BX59">
        <v>3273</v>
      </c>
      <c r="BY59">
        <v>780</v>
      </c>
      <c r="BZ59">
        <v>510</v>
      </c>
      <c r="CA59">
        <v>283</v>
      </c>
      <c r="CB59">
        <v>1132</v>
      </c>
      <c r="CC59">
        <v>74</v>
      </c>
      <c r="CD59">
        <v>74</v>
      </c>
      <c r="CE59">
        <v>163</v>
      </c>
      <c r="CF59">
        <v>636</v>
      </c>
      <c r="CG59">
        <v>737</v>
      </c>
      <c r="CH59">
        <v>473</v>
      </c>
      <c r="CI59">
        <v>5893</v>
      </c>
      <c r="CJ59">
        <v>1499</v>
      </c>
      <c r="CK59">
        <v>0</v>
      </c>
      <c r="CL59">
        <v>0</v>
      </c>
      <c r="CM59">
        <v>836</v>
      </c>
      <c r="CN59">
        <v>681</v>
      </c>
      <c r="CO59">
        <v>74</v>
      </c>
      <c r="CP59">
        <v>1447</v>
      </c>
      <c r="CQ59">
        <v>6471</v>
      </c>
      <c r="CR59">
        <v>0</v>
      </c>
      <c r="CS59">
        <v>74</v>
      </c>
      <c r="CT59">
        <v>2392</v>
      </c>
      <c r="CU59">
        <v>3582</v>
      </c>
      <c r="CV59">
        <v>32054</v>
      </c>
      <c r="CW59">
        <v>0</v>
      </c>
      <c r="CX59">
        <v>0</v>
      </c>
      <c r="CY59">
        <v>0</v>
      </c>
      <c r="CZ59">
        <v>0</v>
      </c>
      <c r="DA59">
        <v>0</v>
      </c>
      <c r="DB59">
        <v>0</v>
      </c>
      <c r="DC59">
        <v>161</v>
      </c>
      <c r="DD59">
        <v>0</v>
      </c>
      <c r="DE59">
        <v>145</v>
      </c>
      <c r="DF59">
        <v>1205</v>
      </c>
      <c r="DG59">
        <v>5584</v>
      </c>
      <c r="DH59">
        <v>469</v>
      </c>
      <c r="DI59">
        <v>3557</v>
      </c>
      <c r="DJ59">
        <v>643</v>
      </c>
      <c r="DK59">
        <v>0</v>
      </c>
      <c r="DL59">
        <v>0</v>
      </c>
      <c r="DM59">
        <v>0</v>
      </c>
      <c r="DN59">
        <v>0</v>
      </c>
      <c r="DO59">
        <v>6371</v>
      </c>
      <c r="DP59">
        <v>16624</v>
      </c>
      <c r="DQ59">
        <v>0</v>
      </c>
      <c r="DR59">
        <v>0</v>
      </c>
      <c r="DS59">
        <v>0</v>
      </c>
      <c r="DT59">
        <v>2265</v>
      </c>
      <c r="DU59">
        <v>0</v>
      </c>
      <c r="DV59">
        <v>10017</v>
      </c>
      <c r="DW59">
        <v>0</v>
      </c>
      <c r="DX59">
        <v>30417</v>
      </c>
      <c r="DY59">
        <v>134139</v>
      </c>
      <c r="DZ59">
        <v>12572</v>
      </c>
      <c r="EA59">
        <v>41489</v>
      </c>
      <c r="EB59">
        <v>0</v>
      </c>
      <c r="EC59">
        <v>292</v>
      </c>
      <c r="ED59">
        <v>0</v>
      </c>
      <c r="EE59">
        <v>0</v>
      </c>
      <c r="EF59">
        <v>0</v>
      </c>
      <c r="EG59">
        <v>0</v>
      </c>
      <c r="EH59">
        <v>65210</v>
      </c>
      <c r="EI59">
        <v>29363</v>
      </c>
      <c r="EJ59">
        <v>33448</v>
      </c>
      <c r="EK59">
        <v>8317</v>
      </c>
      <c r="EL59">
        <v>14038</v>
      </c>
      <c r="EM59">
        <v>37925</v>
      </c>
      <c r="EN59">
        <v>3031</v>
      </c>
      <c r="EO59">
        <v>118</v>
      </c>
      <c r="EP59">
        <v>0</v>
      </c>
      <c r="EQ59">
        <v>0</v>
      </c>
      <c r="ER59">
        <v>1471</v>
      </c>
      <c r="ES59">
        <v>24138</v>
      </c>
      <c r="ET59">
        <v>19709</v>
      </c>
      <c r="EU59">
        <v>14</v>
      </c>
      <c r="EV59">
        <v>207</v>
      </c>
      <c r="EW59">
        <v>0</v>
      </c>
      <c r="EX59">
        <v>0</v>
      </c>
      <c r="EY59">
        <v>219</v>
      </c>
      <c r="EZ59">
        <v>0</v>
      </c>
      <c r="FA59">
        <v>0</v>
      </c>
      <c r="FB59">
        <v>713</v>
      </c>
      <c r="FC59">
        <v>-408</v>
      </c>
      <c r="FD59">
        <v>2363</v>
      </c>
      <c r="FE59">
        <v>0</v>
      </c>
      <c r="FF59">
        <v>0</v>
      </c>
      <c r="FG59">
        <v>4843</v>
      </c>
      <c r="FH59">
        <v>7951</v>
      </c>
      <c r="FI59">
        <v>-124</v>
      </c>
      <c r="FJ59">
        <v>1134</v>
      </c>
      <c r="FK59">
        <v>0</v>
      </c>
      <c r="FL59">
        <v>911</v>
      </c>
      <c r="FM59">
        <v>1892</v>
      </c>
      <c r="FN59">
        <v>244</v>
      </c>
      <c r="FO59">
        <v>0</v>
      </c>
      <c r="FP59">
        <v>0</v>
      </c>
      <c r="FQ59">
        <v>0</v>
      </c>
      <c r="FR59">
        <v>-66</v>
      </c>
      <c r="FS59">
        <v>29</v>
      </c>
      <c r="FT59">
        <v>99</v>
      </c>
      <c r="FU59">
        <v>1075</v>
      </c>
      <c r="FV59">
        <v>356</v>
      </c>
      <c r="FW59">
        <v>5380</v>
      </c>
      <c r="FX59">
        <v>0</v>
      </c>
      <c r="FY59">
        <v>0</v>
      </c>
      <c r="FZ59">
        <v>0</v>
      </c>
      <c r="GA59">
        <v>0</v>
      </c>
      <c r="GB59">
        <v>0</v>
      </c>
      <c r="GC59">
        <v>0</v>
      </c>
      <c r="GD59">
        <v>9315</v>
      </c>
      <c r="GE59">
        <v>4871</v>
      </c>
      <c r="GF59">
        <v>0</v>
      </c>
      <c r="GG59">
        <v>-153</v>
      </c>
      <c r="GH59">
        <v>0</v>
      </c>
      <c r="GI59">
        <v>0</v>
      </c>
      <c r="GJ59">
        <v>0</v>
      </c>
      <c r="GK59">
        <v>24963</v>
      </c>
      <c r="GL59">
        <v>353</v>
      </c>
      <c r="GM59">
        <v>1317</v>
      </c>
      <c r="GN59">
        <v>0</v>
      </c>
      <c r="GO59">
        <v>829</v>
      </c>
      <c r="GP59">
        <v>35</v>
      </c>
      <c r="GQ59">
        <v>3273</v>
      </c>
      <c r="GR59">
        <v>0</v>
      </c>
      <c r="GS59">
        <v>2</v>
      </c>
      <c r="GT59">
        <v>2482</v>
      </c>
      <c r="GU59">
        <v>8291</v>
      </c>
      <c r="GV59">
        <v>41205</v>
      </c>
      <c r="GW59">
        <v>0</v>
      </c>
      <c r="GX59">
        <v>0</v>
      </c>
      <c r="GY59">
        <v>0</v>
      </c>
      <c r="GZ59">
        <v>0</v>
      </c>
      <c r="HA59">
        <v>0</v>
      </c>
      <c r="HB59">
        <v>6389</v>
      </c>
      <c r="HC59">
        <v>2682</v>
      </c>
      <c r="HD59">
        <v>0</v>
      </c>
      <c r="HE59">
        <v>0</v>
      </c>
      <c r="HF59">
        <v>971</v>
      </c>
      <c r="HG59">
        <v>473</v>
      </c>
      <c r="HH59">
        <v>0</v>
      </c>
      <c r="HI59">
        <v>142</v>
      </c>
      <c r="HJ59">
        <v>6</v>
      </c>
      <c r="HK59">
        <v>1107</v>
      </c>
      <c r="HL59">
        <v>602</v>
      </c>
      <c r="HM59">
        <v>-430</v>
      </c>
      <c r="HN59">
        <v>4035</v>
      </c>
      <c r="HO59">
        <v>0</v>
      </c>
      <c r="HP59">
        <v>436</v>
      </c>
      <c r="HQ59">
        <v>0</v>
      </c>
      <c r="HR59">
        <v>2970</v>
      </c>
      <c r="HS59">
        <v>0</v>
      </c>
      <c r="HT59">
        <v>0</v>
      </c>
      <c r="HU59">
        <v>26679</v>
      </c>
      <c r="HV59">
        <v>46062</v>
      </c>
      <c r="HW59">
        <v>11836</v>
      </c>
      <c r="HX59">
        <v>62615</v>
      </c>
      <c r="HY59">
        <v>0</v>
      </c>
      <c r="HZ59">
        <v>0</v>
      </c>
      <c r="IA59">
        <v>5318</v>
      </c>
      <c r="IB59">
        <v>0</v>
      </c>
      <c r="IC59">
        <v>235093</v>
      </c>
      <c r="ID59">
        <v>-15705</v>
      </c>
      <c r="IE59">
        <v>58438</v>
      </c>
      <c r="IF59">
        <v>87584</v>
      </c>
      <c r="IG59">
        <v>32054</v>
      </c>
      <c r="IH59">
        <v>30417</v>
      </c>
      <c r="II59">
        <v>7951</v>
      </c>
      <c r="IJ59">
        <v>24963</v>
      </c>
      <c r="IK59">
        <v>8291</v>
      </c>
      <c r="IL59">
        <v>0</v>
      </c>
      <c r="IM59">
        <v>0</v>
      </c>
      <c r="IN59">
        <v>46062</v>
      </c>
      <c r="IO59">
        <v>0</v>
      </c>
      <c r="IP59">
        <v>515148</v>
      </c>
      <c r="IQ59">
        <v>69650</v>
      </c>
      <c r="IR59">
        <v>5019</v>
      </c>
      <c r="IS59">
        <v>68791</v>
      </c>
      <c r="IT59">
        <v>0</v>
      </c>
      <c r="IU59">
        <v>0</v>
      </c>
      <c r="IV59">
        <v>0</v>
      </c>
      <c r="IW59">
        <v>0</v>
      </c>
      <c r="IX59">
        <v>5305</v>
      </c>
      <c r="IY59">
        <v>1273</v>
      </c>
      <c r="IZ59">
        <v>239</v>
      </c>
      <c r="JA59">
        <v>-4083</v>
      </c>
      <c r="JB59">
        <v>514</v>
      </c>
      <c r="JC59">
        <v>0</v>
      </c>
      <c r="JD59">
        <v>0</v>
      </c>
      <c r="JE59">
        <v>0</v>
      </c>
      <c r="JF59">
        <v>0</v>
      </c>
      <c r="JG59">
        <v>661856</v>
      </c>
      <c r="JH59">
        <v>207</v>
      </c>
      <c r="JI59">
        <v>12992</v>
      </c>
      <c r="JJ59">
        <v>0</v>
      </c>
      <c r="JK59">
        <v>0</v>
      </c>
      <c r="JL59">
        <v>0</v>
      </c>
      <c r="JM59">
        <v>2240</v>
      </c>
      <c r="JN59">
        <v>-1322</v>
      </c>
      <c r="JO59">
        <v>0</v>
      </c>
      <c r="JP59">
        <v>2834</v>
      </c>
      <c r="JQ59">
        <v>0</v>
      </c>
      <c r="JR59">
        <v>678807</v>
      </c>
      <c r="JS59">
        <v>-627</v>
      </c>
      <c r="JT59">
        <v>0</v>
      </c>
      <c r="JU59">
        <v>0</v>
      </c>
      <c r="JV59">
        <v>0</v>
      </c>
      <c r="JW59">
        <v>-155971</v>
      </c>
      <c r="JX59">
        <v>0</v>
      </c>
      <c r="JY59">
        <v>-85</v>
      </c>
      <c r="JZ59">
        <v>0</v>
      </c>
      <c r="KA59">
        <v>0</v>
      </c>
      <c r="KB59">
        <v>0</v>
      </c>
      <c r="KC59">
        <v>522124</v>
      </c>
      <c r="KD59">
        <v>0</v>
      </c>
      <c r="KE59">
        <v>-246809</v>
      </c>
      <c r="KF59">
        <v>275315</v>
      </c>
      <c r="KG59">
        <v>0</v>
      </c>
      <c r="KH59">
        <v>1718</v>
      </c>
      <c r="KI59">
        <v>4464</v>
      </c>
      <c r="KJ59">
        <v>811</v>
      </c>
      <c r="KK59">
        <v>29</v>
      </c>
      <c r="KL59">
        <v>50</v>
      </c>
      <c r="KM59">
        <v>-22807</v>
      </c>
      <c r="KN59">
        <v>0</v>
      </c>
      <c r="KO59">
        <v>-100366</v>
      </c>
      <c r="KP59">
        <v>4922</v>
      </c>
      <c r="KQ59">
        <v>-27042</v>
      </c>
      <c r="KR59">
        <v>119507</v>
      </c>
      <c r="KS59">
        <v>15753</v>
      </c>
      <c r="KT59">
        <v>8739</v>
      </c>
      <c r="KU59">
        <v>2001</v>
      </c>
      <c r="KV59">
        <v>160831</v>
      </c>
      <c r="KW59">
        <v>14808</v>
      </c>
      <c r="KX59">
        <v>17471</v>
      </c>
      <c r="KY59">
        <v>13203</v>
      </c>
      <c r="KZ59">
        <v>2812</v>
      </c>
      <c r="LA59">
        <v>160860</v>
      </c>
      <c r="LB59">
        <v>14858</v>
      </c>
      <c r="LC59">
        <v>0</v>
      </c>
      <c r="LD59">
        <v>23030</v>
      </c>
      <c r="LE59">
        <v>0</v>
      </c>
      <c r="LF59">
        <v>0</v>
      </c>
      <c r="LG59">
        <v>0</v>
      </c>
      <c r="LH59">
        <v>2006</v>
      </c>
      <c r="LI59">
        <v>25036</v>
      </c>
      <c r="LJ59">
        <v>9425</v>
      </c>
      <c r="LK59">
        <v>19881</v>
      </c>
      <c r="LL59">
        <v>29306</v>
      </c>
      <c r="LM59">
        <v>0</v>
      </c>
      <c r="LN59">
        <v>0</v>
      </c>
      <c r="LO59">
        <v>0</v>
      </c>
      <c r="LP59">
        <v>188492</v>
      </c>
      <c r="LQ59">
        <v>192921</v>
      </c>
      <c r="LR59">
        <v>-4429</v>
      </c>
      <c r="LS59">
        <v>24138</v>
      </c>
      <c r="LT59">
        <v>19709</v>
      </c>
      <c r="LU59">
        <v>235093</v>
      </c>
      <c r="LV59">
        <v>-15705</v>
      </c>
      <c r="LW59">
        <v>58438</v>
      </c>
      <c r="LX59">
        <v>87584</v>
      </c>
      <c r="LY59">
        <v>32054</v>
      </c>
      <c r="LZ59">
        <v>30417</v>
      </c>
      <c r="MA59">
        <v>7951</v>
      </c>
      <c r="MB59">
        <v>24963</v>
      </c>
      <c r="MC59">
        <v>8291</v>
      </c>
      <c r="MD59">
        <v>0</v>
      </c>
      <c r="ME59">
        <v>0</v>
      </c>
      <c r="MF59">
        <v>46062</v>
      </c>
      <c r="MG59">
        <v>0</v>
      </c>
      <c r="MH59">
        <v>515148</v>
      </c>
      <c r="MI59">
        <v>0</v>
      </c>
      <c r="MJ59">
        <v>0</v>
      </c>
      <c r="MK59">
        <v>0</v>
      </c>
      <c r="ML59">
        <v>0</v>
      </c>
      <c r="MM59">
        <v>0</v>
      </c>
      <c r="MN59">
        <v>0</v>
      </c>
      <c r="MO59">
        <v>0</v>
      </c>
      <c r="MP59">
        <v>0</v>
      </c>
      <c r="MQ59">
        <v>0</v>
      </c>
      <c r="MR59">
        <v>0</v>
      </c>
      <c r="MS59">
        <v>0</v>
      </c>
      <c r="MT59">
        <v>0</v>
      </c>
      <c r="MU59">
        <v>0</v>
      </c>
      <c r="MV59">
        <v>0</v>
      </c>
      <c r="MW59">
        <v>-2249</v>
      </c>
      <c r="MX59">
        <v>-2010</v>
      </c>
      <c r="MY59">
        <v>0</v>
      </c>
      <c r="MZ59">
        <v>0</v>
      </c>
      <c r="NA59">
        <v>-4083</v>
      </c>
      <c r="NB59">
        <v>0</v>
      </c>
      <c r="NC59">
        <v>-4083</v>
      </c>
      <c r="ND59">
        <v>0</v>
      </c>
      <c r="NE59">
        <v>0</v>
      </c>
      <c r="NF59">
        <v>280</v>
      </c>
      <c r="NG59">
        <v>0</v>
      </c>
      <c r="NH59">
        <v>0</v>
      </c>
      <c r="NI59">
        <v>0</v>
      </c>
      <c r="NJ59">
        <v>0</v>
      </c>
      <c r="NK59">
        <v>0</v>
      </c>
      <c r="NL59">
        <v>0</v>
      </c>
      <c r="NM59">
        <v>0</v>
      </c>
      <c r="NN59">
        <v>0</v>
      </c>
      <c r="NO59">
        <v>0</v>
      </c>
      <c r="NP59">
        <v>0</v>
      </c>
      <c r="NQ59">
        <v>-999</v>
      </c>
      <c r="NR59">
        <v>1233</v>
      </c>
      <c r="NS59">
        <v>0</v>
      </c>
      <c r="NT59">
        <v>0</v>
      </c>
      <c r="NU59">
        <v>0</v>
      </c>
      <c r="NV59">
        <v>0</v>
      </c>
      <c r="NW59">
        <v>0</v>
      </c>
      <c r="NX59">
        <v>0</v>
      </c>
      <c r="NY59">
        <v>0</v>
      </c>
      <c r="NZ59">
        <v>514</v>
      </c>
      <c r="OA59">
        <v>0</v>
      </c>
      <c r="OB59">
        <v>514</v>
      </c>
      <c r="OC59">
        <v>0</v>
      </c>
      <c r="OD59">
        <v>0</v>
      </c>
      <c r="OE59">
        <v>0</v>
      </c>
      <c r="OF59">
        <v>0</v>
      </c>
      <c r="OG59">
        <v>0</v>
      </c>
      <c r="OH59">
        <v>0</v>
      </c>
      <c r="OI59">
        <v>0</v>
      </c>
      <c r="OJ59">
        <v>0</v>
      </c>
      <c r="OK59">
        <v>0</v>
      </c>
      <c r="OL59">
        <v>0</v>
      </c>
      <c r="OM59">
        <v>0</v>
      </c>
      <c r="ON59">
        <v>0</v>
      </c>
    </row>
    <row r="60" spans="1:404" x14ac:dyDescent="0.25">
      <c r="A60" t="s">
        <v>246</v>
      </c>
      <c r="B60" t="s">
        <v>247</v>
      </c>
      <c r="C60" t="s">
        <v>245</v>
      </c>
      <c r="E60" t="s">
        <v>61</v>
      </c>
    </row>
    <row r="61" spans="1:404" x14ac:dyDescent="0.25">
      <c r="A61" t="s">
        <v>249</v>
      </c>
      <c r="B61" t="s">
        <v>250</v>
      </c>
      <c r="C61" t="s">
        <v>248</v>
      </c>
      <c r="E61" t="s">
        <v>61</v>
      </c>
      <c r="F61">
        <v>0</v>
      </c>
      <c r="G61">
        <v>0</v>
      </c>
      <c r="H61">
        <v>0</v>
      </c>
      <c r="I61">
        <v>0</v>
      </c>
      <c r="J61">
        <v>0</v>
      </c>
      <c r="K61">
        <v>0</v>
      </c>
      <c r="L61">
        <v>0</v>
      </c>
      <c r="M61">
        <v>0</v>
      </c>
      <c r="N61">
        <v>0</v>
      </c>
      <c r="O61">
        <v>0</v>
      </c>
      <c r="P61">
        <v>0</v>
      </c>
      <c r="Q61">
        <v>0</v>
      </c>
      <c r="R61">
        <v>0</v>
      </c>
      <c r="S61">
        <v>39</v>
      </c>
      <c r="T61">
        <v>0</v>
      </c>
      <c r="U61">
        <v>7</v>
      </c>
      <c r="V61">
        <v>0</v>
      </c>
      <c r="W61">
        <v>0</v>
      </c>
      <c r="X61">
        <v>0</v>
      </c>
      <c r="Y61">
        <v>-51</v>
      </c>
      <c r="Z61">
        <v>-90</v>
      </c>
      <c r="AA61">
        <v>-5305</v>
      </c>
      <c r="AB61">
        <v>0</v>
      </c>
      <c r="AC61">
        <v>0</v>
      </c>
      <c r="AD61">
        <v>0</v>
      </c>
      <c r="AE61">
        <v>0</v>
      </c>
      <c r="AF61">
        <v>0</v>
      </c>
      <c r="AG61">
        <v>10</v>
      </c>
      <c r="AH61">
        <v>-355</v>
      </c>
      <c r="AI61">
        <v>-5745</v>
      </c>
      <c r="AJ61">
        <v>0</v>
      </c>
      <c r="AK61">
        <v>0</v>
      </c>
      <c r="AL61">
        <v>0</v>
      </c>
      <c r="AM61">
        <v>0</v>
      </c>
      <c r="AN61">
        <v>0</v>
      </c>
      <c r="AO61">
        <v>0</v>
      </c>
      <c r="AP61">
        <v>0</v>
      </c>
      <c r="AQ61">
        <v>687</v>
      </c>
      <c r="AR61">
        <v>719</v>
      </c>
      <c r="AS61">
        <v>0</v>
      </c>
      <c r="AT61">
        <v>0</v>
      </c>
      <c r="AU61">
        <v>0</v>
      </c>
      <c r="AV61">
        <v>0</v>
      </c>
      <c r="AW61">
        <v>0</v>
      </c>
      <c r="AX61">
        <v>0</v>
      </c>
      <c r="AY61">
        <v>0</v>
      </c>
      <c r="AZ61">
        <v>0</v>
      </c>
      <c r="BA61">
        <v>0</v>
      </c>
      <c r="BB61">
        <v>0</v>
      </c>
      <c r="BC61">
        <v>0</v>
      </c>
      <c r="BD61">
        <v>0</v>
      </c>
      <c r="BE61">
        <v>0</v>
      </c>
      <c r="BF61">
        <v>0</v>
      </c>
      <c r="BG61">
        <v>0</v>
      </c>
      <c r="BH61">
        <v>0</v>
      </c>
      <c r="BI61">
        <v>0</v>
      </c>
      <c r="BJ61">
        <v>0</v>
      </c>
      <c r="BK61">
        <v>0</v>
      </c>
      <c r="BL61">
        <v>0</v>
      </c>
      <c r="BM61">
        <v>0</v>
      </c>
      <c r="BN61">
        <v>0</v>
      </c>
      <c r="BO61">
        <v>0</v>
      </c>
      <c r="BP61">
        <v>0</v>
      </c>
      <c r="BQ61">
        <v>0</v>
      </c>
      <c r="BR61">
        <v>0</v>
      </c>
      <c r="BS61">
        <v>0</v>
      </c>
      <c r="BT61">
        <v>0</v>
      </c>
      <c r="BU61">
        <v>0</v>
      </c>
      <c r="BV61">
        <v>0</v>
      </c>
      <c r="BW61">
        <v>0</v>
      </c>
      <c r="BX61">
        <v>0</v>
      </c>
      <c r="BY61">
        <v>0</v>
      </c>
      <c r="BZ61">
        <v>0</v>
      </c>
      <c r="CA61">
        <v>0</v>
      </c>
      <c r="CB61">
        <v>0</v>
      </c>
      <c r="CC61">
        <v>0</v>
      </c>
      <c r="CD61">
        <v>0</v>
      </c>
      <c r="CE61">
        <v>0</v>
      </c>
      <c r="CF61">
        <v>0</v>
      </c>
      <c r="CG61">
        <v>0</v>
      </c>
      <c r="CH61">
        <v>0</v>
      </c>
      <c r="CI61">
        <v>0</v>
      </c>
      <c r="CJ61">
        <v>0</v>
      </c>
      <c r="CK61">
        <v>0</v>
      </c>
      <c r="CL61">
        <v>0</v>
      </c>
      <c r="CM61">
        <v>0</v>
      </c>
      <c r="CN61">
        <v>0</v>
      </c>
      <c r="CO61">
        <v>0</v>
      </c>
      <c r="CP61">
        <v>0</v>
      </c>
      <c r="CQ61">
        <v>0</v>
      </c>
      <c r="CR61">
        <v>0</v>
      </c>
      <c r="CS61">
        <v>0</v>
      </c>
      <c r="CT61">
        <v>0</v>
      </c>
      <c r="CU61">
        <v>0</v>
      </c>
      <c r="CV61">
        <v>0</v>
      </c>
      <c r="CW61">
        <v>0</v>
      </c>
      <c r="CX61">
        <v>0</v>
      </c>
      <c r="CY61">
        <v>0</v>
      </c>
      <c r="CZ61">
        <v>0</v>
      </c>
      <c r="DA61">
        <v>0</v>
      </c>
      <c r="DB61">
        <v>0</v>
      </c>
      <c r="DC61">
        <v>17</v>
      </c>
      <c r="DD61">
        <v>0</v>
      </c>
      <c r="DE61">
        <v>-82</v>
      </c>
      <c r="DF61">
        <v>0</v>
      </c>
      <c r="DG61">
        <v>0</v>
      </c>
      <c r="DH61">
        <v>0</v>
      </c>
      <c r="DI61">
        <v>0</v>
      </c>
      <c r="DJ61">
        <v>2669</v>
      </c>
      <c r="DK61">
        <v>0</v>
      </c>
      <c r="DL61">
        <v>0</v>
      </c>
      <c r="DM61">
        <v>0</v>
      </c>
      <c r="DN61">
        <v>-665</v>
      </c>
      <c r="DO61">
        <v>0</v>
      </c>
      <c r="DP61">
        <v>2004</v>
      </c>
      <c r="DQ61">
        <v>0</v>
      </c>
      <c r="DR61">
        <v>0</v>
      </c>
      <c r="DS61">
        <v>0</v>
      </c>
      <c r="DT61">
        <v>626</v>
      </c>
      <c r="DU61">
        <v>0</v>
      </c>
      <c r="DV61">
        <v>-454</v>
      </c>
      <c r="DW61">
        <v>0</v>
      </c>
      <c r="DX61">
        <v>2111</v>
      </c>
      <c r="DY61">
        <v>23562</v>
      </c>
      <c r="DZ61">
        <v>529</v>
      </c>
      <c r="EA61">
        <v>1744</v>
      </c>
      <c r="EB61">
        <v>409</v>
      </c>
      <c r="EC61">
        <v>0</v>
      </c>
      <c r="ED61">
        <v>1</v>
      </c>
      <c r="EE61">
        <v>0</v>
      </c>
      <c r="EF61">
        <v>1282</v>
      </c>
      <c r="EG61">
        <v>0</v>
      </c>
      <c r="EH61">
        <v>7658</v>
      </c>
      <c r="EI61">
        <v>6145</v>
      </c>
      <c r="EJ61">
        <v>2115</v>
      </c>
      <c r="EK61">
        <v>371</v>
      </c>
      <c r="EL61">
        <v>2136</v>
      </c>
      <c r="EM61">
        <v>4176</v>
      </c>
      <c r="EN61">
        <v>0</v>
      </c>
      <c r="EO61">
        <v>22</v>
      </c>
      <c r="EP61">
        <v>0</v>
      </c>
      <c r="EQ61">
        <v>6531</v>
      </c>
      <c r="ER61">
        <v>97</v>
      </c>
      <c r="ES61">
        <v>3329</v>
      </c>
      <c r="ET61">
        <v>1605</v>
      </c>
      <c r="EU61">
        <v>50</v>
      </c>
      <c r="EV61">
        <v>11</v>
      </c>
      <c r="EW61">
        <v>12</v>
      </c>
      <c r="EX61">
        <v>800</v>
      </c>
      <c r="EY61">
        <v>100</v>
      </c>
      <c r="EZ61">
        <v>188</v>
      </c>
      <c r="FA61">
        <v>58</v>
      </c>
      <c r="FB61">
        <v>0</v>
      </c>
      <c r="FC61">
        <v>162</v>
      </c>
      <c r="FD61">
        <v>1277</v>
      </c>
      <c r="FE61">
        <v>-4</v>
      </c>
      <c r="FF61">
        <v>6</v>
      </c>
      <c r="FG61">
        <v>0</v>
      </c>
      <c r="FH61">
        <v>2660</v>
      </c>
      <c r="FI61">
        <v>165</v>
      </c>
      <c r="FJ61">
        <v>0</v>
      </c>
      <c r="FK61">
        <v>0</v>
      </c>
      <c r="FL61">
        <v>2</v>
      </c>
      <c r="FM61">
        <v>-8</v>
      </c>
      <c r="FN61">
        <v>0</v>
      </c>
      <c r="FO61">
        <v>2</v>
      </c>
      <c r="FP61">
        <v>0</v>
      </c>
      <c r="FQ61">
        <v>0</v>
      </c>
      <c r="FR61">
        <v>0</v>
      </c>
      <c r="FS61">
        <v>543</v>
      </c>
      <c r="FT61">
        <v>83</v>
      </c>
      <c r="FU61">
        <v>-148</v>
      </c>
      <c r="FV61">
        <v>0</v>
      </c>
      <c r="FW61">
        <v>145</v>
      </c>
      <c r="FX61">
        <v>613</v>
      </c>
      <c r="FY61">
        <v>11</v>
      </c>
      <c r="FZ61">
        <v>0</v>
      </c>
      <c r="GA61">
        <v>138</v>
      </c>
      <c r="GB61">
        <v>151</v>
      </c>
      <c r="GC61">
        <v>0</v>
      </c>
      <c r="GD61">
        <v>1961</v>
      </c>
      <c r="GE61">
        <v>2136</v>
      </c>
      <c r="GF61">
        <v>0</v>
      </c>
      <c r="GG61">
        <v>2</v>
      </c>
      <c r="GH61">
        <v>345</v>
      </c>
      <c r="GI61">
        <v>0</v>
      </c>
      <c r="GJ61">
        <v>0</v>
      </c>
      <c r="GK61">
        <v>6141</v>
      </c>
      <c r="GL61">
        <v>77</v>
      </c>
      <c r="GM61">
        <v>159</v>
      </c>
      <c r="GN61">
        <v>177</v>
      </c>
      <c r="GO61">
        <v>350</v>
      </c>
      <c r="GP61">
        <v>0</v>
      </c>
      <c r="GQ61">
        <v>28</v>
      </c>
      <c r="GR61">
        <v>0</v>
      </c>
      <c r="GS61">
        <v>235</v>
      </c>
      <c r="GT61">
        <v>839</v>
      </c>
      <c r="GU61">
        <v>1865</v>
      </c>
      <c r="GV61">
        <v>10666</v>
      </c>
      <c r="GW61">
        <v>0</v>
      </c>
      <c r="GX61">
        <v>0</v>
      </c>
      <c r="GY61">
        <v>0</v>
      </c>
      <c r="GZ61">
        <v>0</v>
      </c>
      <c r="HA61">
        <v>0</v>
      </c>
      <c r="HB61">
        <v>448</v>
      </c>
      <c r="HC61">
        <v>488</v>
      </c>
      <c r="HD61">
        <v>0</v>
      </c>
      <c r="HE61">
        <v>0</v>
      </c>
      <c r="HF61">
        <v>586</v>
      </c>
      <c r="HG61">
        <v>-141</v>
      </c>
      <c r="HH61">
        <v>0</v>
      </c>
      <c r="HI61">
        <v>0</v>
      </c>
      <c r="HJ61">
        <v>241</v>
      </c>
      <c r="HK61">
        <v>0</v>
      </c>
      <c r="HL61">
        <v>46</v>
      </c>
      <c r="HM61">
        <v>-2</v>
      </c>
      <c r="HN61">
        <v>-205</v>
      </c>
      <c r="HO61">
        <v>5</v>
      </c>
      <c r="HP61">
        <v>0</v>
      </c>
      <c r="HQ61">
        <v>0</v>
      </c>
      <c r="HR61">
        <v>1971</v>
      </c>
      <c r="HS61">
        <v>0</v>
      </c>
      <c r="HT61">
        <v>0</v>
      </c>
      <c r="HU61">
        <v>13414</v>
      </c>
      <c r="HV61">
        <v>16851</v>
      </c>
      <c r="HW61">
        <v>2835</v>
      </c>
      <c r="HX61">
        <v>0</v>
      </c>
      <c r="HY61">
        <v>0</v>
      </c>
      <c r="HZ61">
        <v>0</v>
      </c>
      <c r="IA61">
        <v>0</v>
      </c>
      <c r="IB61">
        <v>0</v>
      </c>
      <c r="IC61">
        <v>0</v>
      </c>
      <c r="ID61">
        <v>-5745</v>
      </c>
      <c r="IE61">
        <v>0</v>
      </c>
      <c r="IF61">
        <v>0</v>
      </c>
      <c r="IG61">
        <v>0</v>
      </c>
      <c r="IH61">
        <v>2111</v>
      </c>
      <c r="II61">
        <v>2660</v>
      </c>
      <c r="IJ61">
        <v>6141</v>
      </c>
      <c r="IK61">
        <v>1865</v>
      </c>
      <c r="IL61">
        <v>0</v>
      </c>
      <c r="IM61">
        <v>0</v>
      </c>
      <c r="IN61">
        <v>16851</v>
      </c>
      <c r="IO61">
        <v>0</v>
      </c>
      <c r="IP61">
        <v>23883</v>
      </c>
      <c r="IQ61">
        <v>20245</v>
      </c>
      <c r="IR61">
        <v>0</v>
      </c>
      <c r="IS61">
        <v>10795</v>
      </c>
      <c r="IT61">
        <v>0</v>
      </c>
      <c r="IU61">
        <v>0</v>
      </c>
      <c r="IV61">
        <v>842</v>
      </c>
      <c r="IW61">
        <v>0</v>
      </c>
      <c r="IX61">
        <v>0</v>
      </c>
      <c r="IY61">
        <v>0</v>
      </c>
      <c r="IZ61">
        <v>0</v>
      </c>
      <c r="JA61">
        <v>-7196</v>
      </c>
      <c r="JB61">
        <v>0</v>
      </c>
      <c r="JC61">
        <v>-1531</v>
      </c>
      <c r="JD61">
        <v>0</v>
      </c>
      <c r="JE61">
        <v>122</v>
      </c>
      <c r="JF61">
        <v>0</v>
      </c>
      <c r="JG61">
        <v>47160</v>
      </c>
      <c r="JH61">
        <v>0</v>
      </c>
      <c r="JI61">
        <v>10</v>
      </c>
      <c r="JJ61">
        <v>0</v>
      </c>
      <c r="JK61">
        <v>0</v>
      </c>
      <c r="JL61">
        <v>0</v>
      </c>
      <c r="JM61">
        <v>-99</v>
      </c>
      <c r="JN61">
        <v>7188</v>
      </c>
      <c r="JO61">
        <v>0</v>
      </c>
      <c r="JP61">
        <v>3395</v>
      </c>
      <c r="JQ61">
        <v>-258</v>
      </c>
      <c r="JR61">
        <v>57396</v>
      </c>
      <c r="JS61">
        <v>-199</v>
      </c>
      <c r="JT61">
        <v>0</v>
      </c>
      <c r="JU61">
        <v>0</v>
      </c>
      <c r="JV61">
        <v>0</v>
      </c>
      <c r="JW61">
        <v>-30899</v>
      </c>
      <c r="JX61">
        <v>0</v>
      </c>
      <c r="JY61">
        <v>-60</v>
      </c>
      <c r="JZ61">
        <v>0</v>
      </c>
      <c r="KA61">
        <v>0</v>
      </c>
      <c r="KB61">
        <v>0</v>
      </c>
      <c r="KC61">
        <v>26238</v>
      </c>
      <c r="KD61">
        <v>0</v>
      </c>
      <c r="KE61">
        <v>-3847</v>
      </c>
      <c r="KF61">
        <v>22391</v>
      </c>
      <c r="KG61">
        <v>0</v>
      </c>
      <c r="KH61">
        <v>0</v>
      </c>
      <c r="KI61">
        <v>0</v>
      </c>
      <c r="KJ61">
        <v>0</v>
      </c>
      <c r="KK61">
        <v>-4350</v>
      </c>
      <c r="KL61">
        <v>239</v>
      </c>
      <c r="KM61">
        <v>0</v>
      </c>
      <c r="KN61">
        <v>0</v>
      </c>
      <c r="KO61">
        <v>-4936</v>
      </c>
      <c r="KP61">
        <v>33</v>
      </c>
      <c r="KQ61">
        <v>0</v>
      </c>
      <c r="KR61">
        <v>11820</v>
      </c>
      <c r="KS61">
        <v>0</v>
      </c>
      <c r="KT61">
        <v>0</v>
      </c>
      <c r="KU61">
        <v>0</v>
      </c>
      <c r="KV61">
        <v>38323</v>
      </c>
      <c r="KW61">
        <v>2000</v>
      </c>
      <c r="KX61">
        <v>0</v>
      </c>
      <c r="KY61">
        <v>0</v>
      </c>
      <c r="KZ61">
        <v>0</v>
      </c>
      <c r="LA61">
        <v>33973</v>
      </c>
      <c r="LB61">
        <v>2239</v>
      </c>
      <c r="LC61">
        <v>0</v>
      </c>
      <c r="LD61">
        <v>4179</v>
      </c>
      <c r="LE61">
        <v>0</v>
      </c>
      <c r="LF61">
        <v>2098</v>
      </c>
      <c r="LG61">
        <v>-1212</v>
      </c>
      <c r="LH61">
        <v>603</v>
      </c>
      <c r="LI61">
        <v>5668</v>
      </c>
      <c r="LJ61">
        <v>4463</v>
      </c>
      <c r="LK61">
        <v>6345</v>
      </c>
      <c r="LL61">
        <v>10808</v>
      </c>
      <c r="LM61">
        <v>0</v>
      </c>
      <c r="LN61">
        <v>0</v>
      </c>
      <c r="LO61">
        <v>0</v>
      </c>
      <c r="LP61">
        <v>27527</v>
      </c>
      <c r="LQ61">
        <v>29251</v>
      </c>
      <c r="LR61">
        <v>-1724</v>
      </c>
      <c r="LS61">
        <v>3329</v>
      </c>
      <c r="LT61">
        <v>1605</v>
      </c>
      <c r="LU61">
        <v>0</v>
      </c>
      <c r="LV61">
        <v>-5745</v>
      </c>
      <c r="LW61">
        <v>0</v>
      </c>
      <c r="LX61">
        <v>0</v>
      </c>
      <c r="LY61">
        <v>0</v>
      </c>
      <c r="LZ61">
        <v>2111</v>
      </c>
      <c r="MA61">
        <v>2660</v>
      </c>
      <c r="MB61">
        <v>6141</v>
      </c>
      <c r="MC61">
        <v>1865</v>
      </c>
      <c r="MD61">
        <v>0</v>
      </c>
      <c r="ME61">
        <v>0</v>
      </c>
      <c r="MF61">
        <v>16851</v>
      </c>
      <c r="MG61">
        <v>0</v>
      </c>
      <c r="MH61">
        <v>23883</v>
      </c>
      <c r="MI61">
        <v>0</v>
      </c>
      <c r="MJ61">
        <v>0</v>
      </c>
      <c r="MK61">
        <v>0</v>
      </c>
      <c r="ML61">
        <v>0</v>
      </c>
      <c r="MM61">
        <v>0</v>
      </c>
      <c r="MN61">
        <v>0</v>
      </c>
      <c r="MO61">
        <v>0</v>
      </c>
      <c r="MP61">
        <v>0</v>
      </c>
      <c r="MQ61">
        <v>0</v>
      </c>
      <c r="MR61">
        <v>0</v>
      </c>
      <c r="MS61">
        <v>0</v>
      </c>
      <c r="MT61">
        <v>0</v>
      </c>
      <c r="MU61">
        <v>0</v>
      </c>
      <c r="MV61">
        <v>0</v>
      </c>
      <c r="MW61">
        <v>-7660</v>
      </c>
      <c r="MX61">
        <v>-881</v>
      </c>
      <c r="MY61">
        <v>-250</v>
      </c>
      <c r="MZ61">
        <v>41</v>
      </c>
      <c r="NA61">
        <v>-8727</v>
      </c>
      <c r="NB61">
        <v>1531</v>
      </c>
      <c r="NC61">
        <v>-7196</v>
      </c>
      <c r="ND61">
        <v>0</v>
      </c>
      <c r="NE61">
        <v>0</v>
      </c>
      <c r="NF61">
        <v>0</v>
      </c>
      <c r="NG61">
        <v>0</v>
      </c>
      <c r="NH61">
        <v>0</v>
      </c>
      <c r="NI61">
        <v>0</v>
      </c>
      <c r="NJ61">
        <v>0</v>
      </c>
      <c r="NK61">
        <v>0</v>
      </c>
      <c r="NL61">
        <v>0</v>
      </c>
      <c r="NM61">
        <v>0</v>
      </c>
      <c r="NN61">
        <v>0</v>
      </c>
      <c r="NO61">
        <v>0</v>
      </c>
      <c r="NP61">
        <v>0</v>
      </c>
      <c r="NQ61">
        <v>0</v>
      </c>
      <c r="NR61">
        <v>0</v>
      </c>
      <c r="NS61">
        <v>0</v>
      </c>
      <c r="NT61">
        <v>0</v>
      </c>
      <c r="NU61">
        <v>0</v>
      </c>
      <c r="NV61">
        <v>0</v>
      </c>
      <c r="NW61">
        <v>0</v>
      </c>
      <c r="NX61">
        <v>0</v>
      </c>
      <c r="NY61">
        <v>0</v>
      </c>
      <c r="NZ61">
        <v>0</v>
      </c>
      <c r="OA61">
        <v>0</v>
      </c>
      <c r="OB61">
        <v>0</v>
      </c>
      <c r="OC61">
        <v>1531</v>
      </c>
      <c r="OD61">
        <v>0</v>
      </c>
      <c r="OE61">
        <v>0</v>
      </c>
      <c r="OF61">
        <v>0</v>
      </c>
      <c r="OG61">
        <v>0</v>
      </c>
      <c r="OH61">
        <v>1531</v>
      </c>
      <c r="OI61">
        <v>0</v>
      </c>
      <c r="OJ61">
        <v>0</v>
      </c>
      <c r="OK61">
        <v>0</v>
      </c>
      <c r="OL61">
        <v>0</v>
      </c>
      <c r="OM61">
        <v>0</v>
      </c>
      <c r="ON61">
        <v>0</v>
      </c>
    </row>
    <row r="62" spans="1:404" x14ac:dyDescent="0.25">
      <c r="A62" t="s">
        <v>252</v>
      </c>
      <c r="B62" t="s">
        <v>253</v>
      </c>
      <c r="C62" t="s">
        <v>251</v>
      </c>
      <c r="E62" t="s">
        <v>61</v>
      </c>
      <c r="F62">
        <v>0</v>
      </c>
      <c r="G62">
        <v>0</v>
      </c>
      <c r="H62">
        <v>0</v>
      </c>
      <c r="I62">
        <v>0</v>
      </c>
      <c r="J62">
        <v>0</v>
      </c>
      <c r="K62">
        <v>0</v>
      </c>
      <c r="L62">
        <v>0</v>
      </c>
      <c r="M62">
        <v>0</v>
      </c>
      <c r="N62">
        <v>0</v>
      </c>
      <c r="O62">
        <v>0</v>
      </c>
      <c r="P62">
        <v>0</v>
      </c>
      <c r="Q62">
        <v>0</v>
      </c>
      <c r="R62">
        <v>0</v>
      </c>
      <c r="S62">
        <v>126</v>
      </c>
      <c r="T62">
        <v>0</v>
      </c>
      <c r="U62">
        <v>123</v>
      </c>
      <c r="V62">
        <v>0</v>
      </c>
      <c r="W62">
        <v>0</v>
      </c>
      <c r="X62">
        <v>0</v>
      </c>
      <c r="Y62">
        <v>26</v>
      </c>
      <c r="Z62">
        <v>0</v>
      </c>
      <c r="AA62">
        <v>40</v>
      </c>
      <c r="AB62">
        <v>0</v>
      </c>
      <c r="AC62">
        <v>0</v>
      </c>
      <c r="AD62">
        <v>0</v>
      </c>
      <c r="AE62">
        <v>0</v>
      </c>
      <c r="AF62">
        <v>0</v>
      </c>
      <c r="AG62">
        <v>24</v>
      </c>
      <c r="AH62">
        <v>0</v>
      </c>
      <c r="AI62">
        <v>339</v>
      </c>
      <c r="AJ62">
        <v>0</v>
      </c>
      <c r="AK62">
        <v>0</v>
      </c>
      <c r="AL62">
        <v>0</v>
      </c>
      <c r="AM62">
        <v>21</v>
      </c>
      <c r="AN62">
        <v>0</v>
      </c>
      <c r="AO62">
        <v>0</v>
      </c>
      <c r="AP62">
        <v>5</v>
      </c>
      <c r="AQ62">
        <v>0</v>
      </c>
      <c r="AR62">
        <v>0</v>
      </c>
      <c r="AS62">
        <v>0</v>
      </c>
      <c r="AT62">
        <v>0</v>
      </c>
      <c r="AU62">
        <v>0</v>
      </c>
      <c r="AV62">
        <v>0</v>
      </c>
      <c r="AW62">
        <v>0</v>
      </c>
      <c r="AX62">
        <v>0</v>
      </c>
      <c r="AY62">
        <v>0</v>
      </c>
      <c r="AZ62">
        <v>0</v>
      </c>
      <c r="BA62">
        <v>0</v>
      </c>
      <c r="BB62">
        <v>0</v>
      </c>
      <c r="BC62">
        <v>0</v>
      </c>
      <c r="BD62">
        <v>0</v>
      </c>
      <c r="BE62">
        <v>0</v>
      </c>
      <c r="BF62">
        <v>0</v>
      </c>
      <c r="BG62">
        <v>0</v>
      </c>
      <c r="BH62">
        <v>0</v>
      </c>
      <c r="BI62">
        <v>0</v>
      </c>
      <c r="BJ62">
        <v>0</v>
      </c>
      <c r="BK62">
        <v>0</v>
      </c>
      <c r="BL62">
        <v>0</v>
      </c>
      <c r="BM62">
        <v>0</v>
      </c>
      <c r="BN62">
        <v>0</v>
      </c>
      <c r="BO62">
        <v>0</v>
      </c>
      <c r="BP62">
        <v>0</v>
      </c>
      <c r="BQ62">
        <v>0</v>
      </c>
      <c r="BR62">
        <v>0</v>
      </c>
      <c r="BS62">
        <v>0</v>
      </c>
      <c r="BT62">
        <v>0</v>
      </c>
      <c r="BU62">
        <v>0</v>
      </c>
      <c r="BV62">
        <v>0</v>
      </c>
      <c r="BW62">
        <v>0</v>
      </c>
      <c r="BX62">
        <v>0</v>
      </c>
      <c r="BY62">
        <v>0</v>
      </c>
      <c r="BZ62">
        <v>0</v>
      </c>
      <c r="CA62">
        <v>0</v>
      </c>
      <c r="CB62">
        <v>0</v>
      </c>
      <c r="CC62">
        <v>0</v>
      </c>
      <c r="CD62">
        <v>0</v>
      </c>
      <c r="CE62">
        <v>0</v>
      </c>
      <c r="CF62">
        <v>0</v>
      </c>
      <c r="CG62">
        <v>0</v>
      </c>
      <c r="CH62">
        <v>0</v>
      </c>
      <c r="CI62">
        <v>0</v>
      </c>
      <c r="CJ62">
        <v>0</v>
      </c>
      <c r="CK62">
        <v>0</v>
      </c>
      <c r="CL62">
        <v>0</v>
      </c>
      <c r="CM62">
        <v>0</v>
      </c>
      <c r="CN62">
        <v>0</v>
      </c>
      <c r="CO62">
        <v>0</v>
      </c>
      <c r="CP62">
        <v>0</v>
      </c>
      <c r="CQ62">
        <v>0</v>
      </c>
      <c r="CR62">
        <v>0</v>
      </c>
      <c r="CS62">
        <v>0</v>
      </c>
      <c r="CT62">
        <v>0</v>
      </c>
      <c r="CU62">
        <v>0</v>
      </c>
      <c r="CV62">
        <v>0</v>
      </c>
      <c r="CW62">
        <v>0</v>
      </c>
      <c r="CX62">
        <v>0</v>
      </c>
      <c r="CY62">
        <v>0</v>
      </c>
      <c r="CZ62">
        <v>0</v>
      </c>
      <c r="DA62">
        <v>0</v>
      </c>
      <c r="DB62">
        <v>0</v>
      </c>
      <c r="DC62">
        <v>74</v>
      </c>
      <c r="DD62">
        <v>0</v>
      </c>
      <c r="DE62">
        <v>-17</v>
      </c>
      <c r="DF62">
        <v>333</v>
      </c>
      <c r="DG62">
        <v>0</v>
      </c>
      <c r="DH62">
        <v>0</v>
      </c>
      <c r="DI62">
        <v>493</v>
      </c>
      <c r="DJ62">
        <v>0</v>
      </c>
      <c r="DK62">
        <v>109</v>
      </c>
      <c r="DL62">
        <v>0</v>
      </c>
      <c r="DM62">
        <v>29</v>
      </c>
      <c r="DN62">
        <v>425</v>
      </c>
      <c r="DO62">
        <v>675</v>
      </c>
      <c r="DP62">
        <v>1731</v>
      </c>
      <c r="DQ62">
        <v>0</v>
      </c>
      <c r="DR62">
        <v>85</v>
      </c>
      <c r="DS62">
        <v>0</v>
      </c>
      <c r="DT62">
        <v>1065</v>
      </c>
      <c r="DU62">
        <v>0</v>
      </c>
      <c r="DV62">
        <v>79</v>
      </c>
      <c r="DW62">
        <v>0</v>
      </c>
      <c r="DX62">
        <v>3350</v>
      </c>
      <c r="DY62">
        <v>0</v>
      </c>
      <c r="DZ62">
        <v>0</v>
      </c>
      <c r="EA62">
        <v>0</v>
      </c>
      <c r="EB62">
        <v>0</v>
      </c>
      <c r="EC62">
        <v>0</v>
      </c>
      <c r="ED62">
        <v>0</v>
      </c>
      <c r="EE62">
        <v>0</v>
      </c>
      <c r="EF62">
        <v>0</v>
      </c>
      <c r="EG62">
        <v>0</v>
      </c>
      <c r="EH62">
        <v>0</v>
      </c>
      <c r="EI62">
        <v>0</v>
      </c>
      <c r="EJ62">
        <v>0</v>
      </c>
      <c r="EK62">
        <v>0</v>
      </c>
      <c r="EL62">
        <v>0</v>
      </c>
      <c r="EM62">
        <v>0</v>
      </c>
      <c r="EN62">
        <v>0</v>
      </c>
      <c r="EO62">
        <v>0</v>
      </c>
      <c r="EP62">
        <v>0</v>
      </c>
      <c r="EQ62">
        <v>0</v>
      </c>
      <c r="ER62">
        <v>0</v>
      </c>
      <c r="ES62">
        <v>0</v>
      </c>
      <c r="ET62">
        <v>0</v>
      </c>
      <c r="EU62">
        <v>0</v>
      </c>
      <c r="EV62">
        <v>0</v>
      </c>
      <c r="EW62">
        <v>12</v>
      </c>
      <c r="EX62">
        <v>1111</v>
      </c>
      <c r="EY62">
        <v>221</v>
      </c>
      <c r="EZ62">
        <v>460</v>
      </c>
      <c r="FA62">
        <v>0</v>
      </c>
      <c r="FB62">
        <v>30</v>
      </c>
      <c r="FC62">
        <v>973</v>
      </c>
      <c r="FD62">
        <v>1495</v>
      </c>
      <c r="FE62">
        <v>52</v>
      </c>
      <c r="FF62">
        <v>293</v>
      </c>
      <c r="FG62">
        <v>0</v>
      </c>
      <c r="FH62">
        <v>4647</v>
      </c>
      <c r="FI62">
        <v>-548</v>
      </c>
      <c r="FJ62">
        <v>0</v>
      </c>
      <c r="FK62">
        <v>51</v>
      </c>
      <c r="FL62">
        <v>140</v>
      </c>
      <c r="FM62">
        <v>342</v>
      </c>
      <c r="FN62">
        <v>130</v>
      </c>
      <c r="FO62">
        <v>46</v>
      </c>
      <c r="FP62">
        <v>0</v>
      </c>
      <c r="FQ62">
        <v>0</v>
      </c>
      <c r="FR62">
        <v>50</v>
      </c>
      <c r="FS62">
        <v>124</v>
      </c>
      <c r="FT62">
        <v>179</v>
      </c>
      <c r="FU62">
        <v>81</v>
      </c>
      <c r="FV62">
        <v>4</v>
      </c>
      <c r="FW62">
        <v>3</v>
      </c>
      <c r="FX62">
        <v>0</v>
      </c>
      <c r="FY62">
        <v>0</v>
      </c>
      <c r="FZ62">
        <v>18</v>
      </c>
      <c r="GA62">
        <v>0</v>
      </c>
      <c r="GB62">
        <v>0</v>
      </c>
      <c r="GC62">
        <v>0</v>
      </c>
      <c r="GD62">
        <v>1148</v>
      </c>
      <c r="GE62">
        <v>1651</v>
      </c>
      <c r="GF62">
        <v>0</v>
      </c>
      <c r="GG62">
        <v>0</v>
      </c>
      <c r="GH62">
        <v>115</v>
      </c>
      <c r="GI62">
        <v>0</v>
      </c>
      <c r="GJ62">
        <v>0</v>
      </c>
      <c r="GK62">
        <v>3534</v>
      </c>
      <c r="GL62">
        <v>123</v>
      </c>
      <c r="GM62">
        <v>17</v>
      </c>
      <c r="GN62">
        <v>67</v>
      </c>
      <c r="GO62">
        <v>53</v>
      </c>
      <c r="GP62">
        <v>0</v>
      </c>
      <c r="GQ62">
        <v>1327</v>
      </c>
      <c r="GR62">
        <v>0</v>
      </c>
      <c r="GS62">
        <v>7</v>
      </c>
      <c r="GT62">
        <v>495</v>
      </c>
      <c r="GU62">
        <v>2089</v>
      </c>
      <c r="GV62">
        <v>10270</v>
      </c>
      <c r="GW62">
        <v>0</v>
      </c>
      <c r="GX62">
        <v>0</v>
      </c>
      <c r="GY62">
        <v>0</v>
      </c>
      <c r="GZ62">
        <v>0</v>
      </c>
      <c r="HA62">
        <v>0</v>
      </c>
      <c r="HB62">
        <v>2429</v>
      </c>
      <c r="HC62">
        <v>1178</v>
      </c>
      <c r="HD62">
        <v>0</v>
      </c>
      <c r="HE62">
        <v>0</v>
      </c>
      <c r="HF62">
        <v>504</v>
      </c>
      <c r="HG62">
        <v>390</v>
      </c>
      <c r="HH62">
        <v>0</v>
      </c>
      <c r="HI62">
        <v>0</v>
      </c>
      <c r="HJ62">
        <v>278</v>
      </c>
      <c r="HK62">
        <v>101</v>
      </c>
      <c r="HL62">
        <v>135</v>
      </c>
      <c r="HM62">
        <v>-115</v>
      </c>
      <c r="HN62">
        <v>0</v>
      </c>
      <c r="HO62">
        <v>0</v>
      </c>
      <c r="HP62">
        <v>0</v>
      </c>
      <c r="HQ62">
        <v>0</v>
      </c>
      <c r="HR62">
        <v>281</v>
      </c>
      <c r="HS62">
        <v>0</v>
      </c>
      <c r="HT62">
        <v>0</v>
      </c>
      <c r="HU62">
        <v>-2007</v>
      </c>
      <c r="HV62">
        <v>3174</v>
      </c>
      <c r="HW62">
        <v>13285</v>
      </c>
      <c r="HX62">
        <v>35</v>
      </c>
      <c r="HY62">
        <v>0</v>
      </c>
      <c r="HZ62">
        <v>42</v>
      </c>
      <c r="IA62">
        <v>566</v>
      </c>
      <c r="IB62">
        <v>1815</v>
      </c>
      <c r="IC62">
        <v>0</v>
      </c>
      <c r="ID62">
        <v>339</v>
      </c>
      <c r="IE62">
        <v>0</v>
      </c>
      <c r="IF62">
        <v>0</v>
      </c>
      <c r="IG62">
        <v>0</v>
      </c>
      <c r="IH62">
        <v>3350</v>
      </c>
      <c r="II62">
        <v>4647</v>
      </c>
      <c r="IJ62">
        <v>3534</v>
      </c>
      <c r="IK62">
        <v>2089</v>
      </c>
      <c r="IL62">
        <v>0</v>
      </c>
      <c r="IM62">
        <v>0</v>
      </c>
      <c r="IN62">
        <v>3174</v>
      </c>
      <c r="IO62">
        <v>1815</v>
      </c>
      <c r="IP62">
        <v>18948</v>
      </c>
      <c r="IQ62">
        <v>18783</v>
      </c>
      <c r="IR62">
        <v>0</v>
      </c>
      <c r="IS62">
        <v>0</v>
      </c>
      <c r="IT62">
        <v>0</v>
      </c>
      <c r="IU62">
        <v>0</v>
      </c>
      <c r="IV62">
        <v>708</v>
      </c>
      <c r="IW62">
        <v>0</v>
      </c>
      <c r="IX62">
        <v>0</v>
      </c>
      <c r="IY62">
        <v>0</v>
      </c>
      <c r="IZ62">
        <v>0</v>
      </c>
      <c r="JA62">
        <v>-3226</v>
      </c>
      <c r="JB62">
        <v>48</v>
      </c>
      <c r="JC62">
        <v>-234</v>
      </c>
      <c r="JD62">
        <v>-27</v>
      </c>
      <c r="JE62">
        <v>49</v>
      </c>
      <c r="JF62">
        <v>-15</v>
      </c>
      <c r="JG62">
        <v>35034</v>
      </c>
      <c r="JH62">
        <v>0</v>
      </c>
      <c r="JI62">
        <v>2222</v>
      </c>
      <c r="JJ62">
        <v>0</v>
      </c>
      <c r="JK62">
        <v>0</v>
      </c>
      <c r="JL62">
        <v>0</v>
      </c>
      <c r="JM62">
        <v>39</v>
      </c>
      <c r="JN62">
        <v>0</v>
      </c>
      <c r="JO62">
        <v>0</v>
      </c>
      <c r="JP62">
        <v>216</v>
      </c>
      <c r="JQ62">
        <v>0</v>
      </c>
      <c r="JR62">
        <v>37511</v>
      </c>
      <c r="JS62">
        <v>-186</v>
      </c>
      <c r="JT62">
        <v>0</v>
      </c>
      <c r="JU62">
        <v>0</v>
      </c>
      <c r="JV62">
        <v>0</v>
      </c>
      <c r="JW62">
        <v>-18756</v>
      </c>
      <c r="JX62">
        <v>0</v>
      </c>
      <c r="JY62">
        <v>0</v>
      </c>
      <c r="JZ62">
        <v>0</v>
      </c>
      <c r="KA62">
        <v>0</v>
      </c>
      <c r="KB62">
        <v>0</v>
      </c>
      <c r="KC62">
        <v>18569</v>
      </c>
      <c r="KD62">
        <v>0</v>
      </c>
      <c r="KE62">
        <v>-3061</v>
      </c>
      <c r="KF62">
        <v>15508</v>
      </c>
      <c r="KG62">
        <v>0</v>
      </c>
      <c r="KH62">
        <v>0</v>
      </c>
      <c r="KI62">
        <v>0</v>
      </c>
      <c r="KJ62">
        <v>0</v>
      </c>
      <c r="KK62">
        <v>3238</v>
      </c>
      <c r="KL62">
        <v>1365</v>
      </c>
      <c r="KM62">
        <v>0</v>
      </c>
      <c r="KN62">
        <v>0</v>
      </c>
      <c r="KO62">
        <v>-6582</v>
      </c>
      <c r="KP62">
        <v>-9</v>
      </c>
      <c r="KQ62">
        <v>0</v>
      </c>
      <c r="KR62">
        <v>8411</v>
      </c>
      <c r="KS62">
        <v>0</v>
      </c>
      <c r="KT62">
        <v>0</v>
      </c>
      <c r="KU62">
        <v>0</v>
      </c>
      <c r="KV62">
        <v>10021</v>
      </c>
      <c r="KW62">
        <v>5436</v>
      </c>
      <c r="KX62">
        <v>0</v>
      </c>
      <c r="KY62">
        <v>0</v>
      </c>
      <c r="KZ62">
        <v>0</v>
      </c>
      <c r="LA62">
        <v>13259</v>
      </c>
      <c r="LB62">
        <v>6801</v>
      </c>
      <c r="LC62">
        <v>0</v>
      </c>
      <c r="LD62">
        <v>3494</v>
      </c>
      <c r="LE62">
        <v>804</v>
      </c>
      <c r="LF62">
        <v>0</v>
      </c>
      <c r="LG62">
        <v>-1869</v>
      </c>
      <c r="LH62">
        <v>35</v>
      </c>
      <c r="LI62">
        <v>2464</v>
      </c>
      <c r="LJ62">
        <v>2862</v>
      </c>
      <c r="LK62">
        <v>4948</v>
      </c>
      <c r="LL62">
        <v>7810</v>
      </c>
      <c r="LM62">
        <v>0</v>
      </c>
      <c r="LN62">
        <v>0</v>
      </c>
      <c r="LO62">
        <v>0</v>
      </c>
      <c r="LP62">
        <v>0</v>
      </c>
      <c r="LQ62">
        <v>0</v>
      </c>
      <c r="LR62">
        <v>0</v>
      </c>
      <c r="LS62">
        <v>0</v>
      </c>
      <c r="LT62">
        <v>0</v>
      </c>
      <c r="LU62">
        <v>0</v>
      </c>
      <c r="LV62">
        <v>339</v>
      </c>
      <c r="LW62">
        <v>0</v>
      </c>
      <c r="LX62">
        <v>0</v>
      </c>
      <c r="LY62">
        <v>0</v>
      </c>
      <c r="LZ62">
        <v>3350</v>
      </c>
      <c r="MA62">
        <v>4647</v>
      </c>
      <c r="MB62">
        <v>3534</v>
      </c>
      <c r="MC62">
        <v>2089</v>
      </c>
      <c r="MD62">
        <v>0</v>
      </c>
      <c r="ME62">
        <v>0</v>
      </c>
      <c r="MF62">
        <v>3174</v>
      </c>
      <c r="MG62">
        <v>1815</v>
      </c>
      <c r="MH62">
        <v>18948</v>
      </c>
      <c r="MI62">
        <v>2</v>
      </c>
      <c r="MJ62">
        <v>0</v>
      </c>
      <c r="MK62">
        <v>0</v>
      </c>
      <c r="ML62">
        <v>0</v>
      </c>
      <c r="MM62">
        <v>0</v>
      </c>
      <c r="MN62">
        <v>0</v>
      </c>
      <c r="MO62">
        <v>0</v>
      </c>
      <c r="MP62">
        <v>0</v>
      </c>
      <c r="MQ62">
        <v>0</v>
      </c>
      <c r="MR62">
        <v>0</v>
      </c>
      <c r="MS62">
        <v>0</v>
      </c>
      <c r="MT62">
        <v>0</v>
      </c>
      <c r="MU62">
        <v>0</v>
      </c>
      <c r="MV62">
        <v>0</v>
      </c>
      <c r="MW62">
        <v>-247</v>
      </c>
      <c r="MX62">
        <v>-2783</v>
      </c>
      <c r="MY62">
        <v>-415</v>
      </c>
      <c r="MZ62">
        <v>-17</v>
      </c>
      <c r="NA62">
        <v>-3460</v>
      </c>
      <c r="NB62">
        <v>234</v>
      </c>
      <c r="NC62">
        <v>-3226</v>
      </c>
      <c r="ND62">
        <v>0</v>
      </c>
      <c r="NE62">
        <v>0</v>
      </c>
      <c r="NF62">
        <v>0</v>
      </c>
      <c r="NG62">
        <v>0</v>
      </c>
      <c r="NH62">
        <v>0</v>
      </c>
      <c r="NI62">
        <v>0</v>
      </c>
      <c r="NJ62">
        <v>0</v>
      </c>
      <c r="NK62">
        <v>0</v>
      </c>
      <c r="NL62">
        <v>0</v>
      </c>
      <c r="NM62">
        <v>0</v>
      </c>
      <c r="NN62">
        <v>-26</v>
      </c>
      <c r="NO62">
        <v>10</v>
      </c>
      <c r="NP62">
        <v>-109</v>
      </c>
      <c r="NQ62">
        <v>146</v>
      </c>
      <c r="NR62">
        <v>0</v>
      </c>
      <c r="NS62">
        <v>0</v>
      </c>
      <c r="NT62">
        <v>0</v>
      </c>
      <c r="NU62">
        <v>0</v>
      </c>
      <c r="NV62">
        <v>0</v>
      </c>
      <c r="NW62">
        <v>0</v>
      </c>
      <c r="NX62">
        <v>0</v>
      </c>
      <c r="NY62">
        <v>0</v>
      </c>
      <c r="NZ62">
        <v>21</v>
      </c>
      <c r="OA62">
        <v>27</v>
      </c>
      <c r="OB62">
        <v>48</v>
      </c>
      <c r="OC62">
        <v>11</v>
      </c>
      <c r="OD62">
        <v>223</v>
      </c>
      <c r="OE62">
        <v>0</v>
      </c>
      <c r="OF62">
        <v>0</v>
      </c>
      <c r="OG62">
        <v>0</v>
      </c>
      <c r="OH62">
        <v>234</v>
      </c>
      <c r="OI62">
        <v>27</v>
      </c>
      <c r="OJ62">
        <v>0</v>
      </c>
      <c r="OK62">
        <v>0</v>
      </c>
      <c r="OL62">
        <v>0</v>
      </c>
      <c r="OM62">
        <v>0</v>
      </c>
      <c r="ON62">
        <v>27</v>
      </c>
    </row>
    <row r="63" spans="1:404" x14ac:dyDescent="0.25">
      <c r="A63" t="s">
        <v>255</v>
      </c>
      <c r="B63" t="s">
        <v>256</v>
      </c>
      <c r="C63" t="s">
        <v>254</v>
      </c>
      <c r="E63" t="s">
        <v>61</v>
      </c>
      <c r="F63">
        <v>0</v>
      </c>
      <c r="G63">
        <v>0</v>
      </c>
      <c r="H63">
        <v>0</v>
      </c>
      <c r="I63">
        <v>0</v>
      </c>
      <c r="J63">
        <v>0</v>
      </c>
      <c r="K63">
        <v>0</v>
      </c>
      <c r="L63">
        <v>0</v>
      </c>
      <c r="M63">
        <v>0</v>
      </c>
      <c r="N63">
        <v>0</v>
      </c>
      <c r="O63">
        <v>0</v>
      </c>
      <c r="P63">
        <v>0</v>
      </c>
      <c r="Q63">
        <v>0</v>
      </c>
      <c r="R63">
        <v>0</v>
      </c>
      <c r="S63">
        <v>1051</v>
      </c>
      <c r="T63">
        <v>0</v>
      </c>
      <c r="U63">
        <v>0</v>
      </c>
      <c r="V63">
        <v>0</v>
      </c>
      <c r="W63">
        <v>0</v>
      </c>
      <c r="X63">
        <v>0</v>
      </c>
      <c r="Y63">
        <v>0</v>
      </c>
      <c r="Z63">
        <v>0</v>
      </c>
      <c r="AA63">
        <v>-415</v>
      </c>
      <c r="AB63">
        <v>0</v>
      </c>
      <c r="AC63">
        <v>0</v>
      </c>
      <c r="AD63">
        <v>18</v>
      </c>
      <c r="AE63">
        <v>0</v>
      </c>
      <c r="AF63">
        <v>0</v>
      </c>
      <c r="AG63">
        <v>0</v>
      </c>
      <c r="AH63">
        <v>0</v>
      </c>
      <c r="AI63">
        <v>654</v>
      </c>
      <c r="AJ63">
        <v>0</v>
      </c>
      <c r="AK63">
        <v>0</v>
      </c>
      <c r="AL63">
        <v>0</v>
      </c>
      <c r="AM63">
        <v>0</v>
      </c>
      <c r="AN63">
        <v>0</v>
      </c>
      <c r="AO63">
        <v>0</v>
      </c>
      <c r="AP63">
        <v>0</v>
      </c>
      <c r="AQ63">
        <v>0</v>
      </c>
      <c r="AR63">
        <v>0</v>
      </c>
      <c r="AS63">
        <v>0</v>
      </c>
      <c r="AT63">
        <v>0</v>
      </c>
      <c r="AU63">
        <v>0</v>
      </c>
      <c r="AV63">
        <v>0</v>
      </c>
      <c r="AW63">
        <v>0</v>
      </c>
      <c r="AX63">
        <v>0</v>
      </c>
      <c r="AY63">
        <v>0</v>
      </c>
      <c r="AZ63">
        <v>0</v>
      </c>
      <c r="BA63">
        <v>0</v>
      </c>
      <c r="BB63">
        <v>0</v>
      </c>
      <c r="BC63">
        <v>0</v>
      </c>
      <c r="BD63">
        <v>0</v>
      </c>
      <c r="BE63">
        <v>0</v>
      </c>
      <c r="BF63">
        <v>0</v>
      </c>
      <c r="BG63">
        <v>0</v>
      </c>
      <c r="BH63">
        <v>0</v>
      </c>
      <c r="BI63">
        <v>0</v>
      </c>
      <c r="BJ63">
        <v>0</v>
      </c>
      <c r="BK63">
        <v>0</v>
      </c>
      <c r="BL63">
        <v>0</v>
      </c>
      <c r="BM63">
        <v>0</v>
      </c>
      <c r="BN63">
        <v>0</v>
      </c>
      <c r="BO63">
        <v>0</v>
      </c>
      <c r="BP63">
        <v>0</v>
      </c>
      <c r="BQ63">
        <v>0</v>
      </c>
      <c r="BR63">
        <v>0</v>
      </c>
      <c r="BS63">
        <v>0</v>
      </c>
      <c r="BT63">
        <v>0</v>
      </c>
      <c r="BU63">
        <v>0</v>
      </c>
      <c r="BV63">
        <v>0</v>
      </c>
      <c r="BW63">
        <v>0</v>
      </c>
      <c r="BX63">
        <v>0</v>
      </c>
      <c r="BY63">
        <v>0</v>
      </c>
      <c r="BZ63">
        <v>0</v>
      </c>
      <c r="CA63">
        <v>0</v>
      </c>
      <c r="CB63">
        <v>0</v>
      </c>
      <c r="CC63">
        <v>0</v>
      </c>
      <c r="CD63">
        <v>0</v>
      </c>
      <c r="CE63">
        <v>0</v>
      </c>
      <c r="CF63">
        <v>0</v>
      </c>
      <c r="CG63">
        <v>0</v>
      </c>
      <c r="CH63">
        <v>0</v>
      </c>
      <c r="CI63">
        <v>0</v>
      </c>
      <c r="CJ63">
        <v>0</v>
      </c>
      <c r="CK63">
        <v>0</v>
      </c>
      <c r="CL63">
        <v>0</v>
      </c>
      <c r="CM63">
        <v>0</v>
      </c>
      <c r="CN63">
        <v>0</v>
      </c>
      <c r="CO63">
        <v>0</v>
      </c>
      <c r="CP63">
        <v>0</v>
      </c>
      <c r="CQ63">
        <v>0</v>
      </c>
      <c r="CR63">
        <v>0</v>
      </c>
      <c r="CS63">
        <v>0</v>
      </c>
      <c r="CT63">
        <v>0</v>
      </c>
      <c r="CU63">
        <v>0</v>
      </c>
      <c r="CV63">
        <v>0</v>
      </c>
      <c r="CW63">
        <v>0</v>
      </c>
      <c r="CX63">
        <v>0</v>
      </c>
      <c r="CY63">
        <v>0</v>
      </c>
      <c r="CZ63">
        <v>0</v>
      </c>
      <c r="DA63">
        <v>0</v>
      </c>
      <c r="DB63">
        <v>0</v>
      </c>
      <c r="DC63">
        <v>63</v>
      </c>
      <c r="DD63">
        <v>0</v>
      </c>
      <c r="DE63">
        <v>0</v>
      </c>
      <c r="DF63">
        <v>0</v>
      </c>
      <c r="DG63">
        <v>0</v>
      </c>
      <c r="DH63">
        <v>-18</v>
      </c>
      <c r="DI63">
        <v>0</v>
      </c>
      <c r="DJ63">
        <v>319</v>
      </c>
      <c r="DK63">
        <v>115</v>
      </c>
      <c r="DL63">
        <v>0</v>
      </c>
      <c r="DM63">
        <v>0</v>
      </c>
      <c r="DN63">
        <v>612</v>
      </c>
      <c r="DO63">
        <v>61</v>
      </c>
      <c r="DP63">
        <v>1089</v>
      </c>
      <c r="DQ63">
        <v>0</v>
      </c>
      <c r="DR63">
        <v>0</v>
      </c>
      <c r="DS63">
        <v>0</v>
      </c>
      <c r="DT63">
        <v>723</v>
      </c>
      <c r="DU63">
        <v>0</v>
      </c>
      <c r="DV63">
        <v>0</v>
      </c>
      <c r="DW63">
        <v>0</v>
      </c>
      <c r="DX63">
        <v>1875</v>
      </c>
      <c r="DY63">
        <v>7055</v>
      </c>
      <c r="DZ63">
        <v>97</v>
      </c>
      <c r="EA63">
        <v>608</v>
      </c>
      <c r="EB63">
        <v>0</v>
      </c>
      <c r="EC63">
        <v>0</v>
      </c>
      <c r="ED63">
        <v>0</v>
      </c>
      <c r="EE63">
        <v>21</v>
      </c>
      <c r="EF63">
        <v>0</v>
      </c>
      <c r="EG63">
        <v>-9</v>
      </c>
      <c r="EH63">
        <v>1553</v>
      </c>
      <c r="EI63">
        <v>2896</v>
      </c>
      <c r="EJ63">
        <v>0</v>
      </c>
      <c r="EK63">
        <v>235</v>
      </c>
      <c r="EL63">
        <v>953</v>
      </c>
      <c r="EM63">
        <v>1870</v>
      </c>
      <c r="EN63">
        <v>7000</v>
      </c>
      <c r="EO63">
        <v>0</v>
      </c>
      <c r="EP63">
        <v>0</v>
      </c>
      <c r="EQ63">
        <v>47</v>
      </c>
      <c r="ER63">
        <v>0</v>
      </c>
      <c r="ES63">
        <v>9872</v>
      </c>
      <c r="ET63">
        <v>3090</v>
      </c>
      <c r="EU63">
        <v>0</v>
      </c>
      <c r="EV63">
        <v>0</v>
      </c>
      <c r="EW63">
        <v>0</v>
      </c>
      <c r="EX63">
        <v>0</v>
      </c>
      <c r="EY63">
        <v>0</v>
      </c>
      <c r="EZ63">
        <v>318</v>
      </c>
      <c r="FA63">
        <v>5</v>
      </c>
      <c r="FB63">
        <v>2</v>
      </c>
      <c r="FC63">
        <v>849</v>
      </c>
      <c r="FD63">
        <v>666</v>
      </c>
      <c r="FE63">
        <v>0</v>
      </c>
      <c r="FF63">
        <v>0</v>
      </c>
      <c r="FG63">
        <v>0</v>
      </c>
      <c r="FH63">
        <v>1840</v>
      </c>
      <c r="FI63">
        <v>190</v>
      </c>
      <c r="FJ63">
        <v>0</v>
      </c>
      <c r="FK63">
        <v>0</v>
      </c>
      <c r="FL63">
        <v>96</v>
      </c>
      <c r="FM63">
        <v>110</v>
      </c>
      <c r="FN63">
        <v>161</v>
      </c>
      <c r="FO63">
        <v>38</v>
      </c>
      <c r="FP63">
        <v>0</v>
      </c>
      <c r="FQ63">
        <v>0</v>
      </c>
      <c r="FR63">
        <v>32</v>
      </c>
      <c r="FS63">
        <v>136</v>
      </c>
      <c r="FT63">
        <v>228</v>
      </c>
      <c r="FU63">
        <v>-76</v>
      </c>
      <c r="FV63">
        <v>83</v>
      </c>
      <c r="FW63">
        <v>0</v>
      </c>
      <c r="FX63">
        <v>0</v>
      </c>
      <c r="FY63">
        <v>0</v>
      </c>
      <c r="FZ63">
        <v>0</v>
      </c>
      <c r="GA63">
        <v>0</v>
      </c>
      <c r="GB63">
        <v>0</v>
      </c>
      <c r="GC63">
        <v>0</v>
      </c>
      <c r="GD63">
        <v>563</v>
      </c>
      <c r="GE63">
        <v>642</v>
      </c>
      <c r="GF63">
        <v>0</v>
      </c>
      <c r="GG63">
        <v>-15</v>
      </c>
      <c r="GH63">
        <v>465</v>
      </c>
      <c r="GI63">
        <v>0</v>
      </c>
      <c r="GJ63">
        <v>0</v>
      </c>
      <c r="GK63">
        <v>2653</v>
      </c>
      <c r="GL63">
        <v>87</v>
      </c>
      <c r="GM63">
        <v>225</v>
      </c>
      <c r="GN63">
        <v>0</v>
      </c>
      <c r="GO63">
        <v>555</v>
      </c>
      <c r="GP63">
        <v>0</v>
      </c>
      <c r="GQ63">
        <v>162</v>
      </c>
      <c r="GR63">
        <v>0</v>
      </c>
      <c r="GS63">
        <v>0</v>
      </c>
      <c r="GT63">
        <v>-1005</v>
      </c>
      <c r="GU63">
        <v>24</v>
      </c>
      <c r="GV63">
        <v>4517</v>
      </c>
      <c r="GW63">
        <v>0</v>
      </c>
      <c r="GX63">
        <v>0</v>
      </c>
      <c r="GY63">
        <v>0</v>
      </c>
      <c r="GZ63">
        <v>0</v>
      </c>
      <c r="HA63">
        <v>0</v>
      </c>
      <c r="HB63">
        <v>1184</v>
      </c>
      <c r="HC63">
        <v>663</v>
      </c>
      <c r="HD63">
        <v>0</v>
      </c>
      <c r="HE63">
        <v>0</v>
      </c>
      <c r="HF63">
        <v>253</v>
      </c>
      <c r="HG63">
        <v>52</v>
      </c>
      <c r="HH63">
        <v>0</v>
      </c>
      <c r="HI63">
        <v>0</v>
      </c>
      <c r="HJ63">
        <v>111</v>
      </c>
      <c r="HK63">
        <v>265</v>
      </c>
      <c r="HL63">
        <v>20</v>
      </c>
      <c r="HM63">
        <v>8</v>
      </c>
      <c r="HN63">
        <v>0</v>
      </c>
      <c r="HO63">
        <v>244</v>
      </c>
      <c r="HP63">
        <v>0</v>
      </c>
      <c r="HQ63">
        <v>0</v>
      </c>
      <c r="HR63">
        <v>126</v>
      </c>
      <c r="HS63">
        <v>37</v>
      </c>
      <c r="HT63">
        <v>0</v>
      </c>
      <c r="HU63">
        <v>-586</v>
      </c>
      <c r="HV63">
        <v>2377</v>
      </c>
      <c r="HW63">
        <v>637</v>
      </c>
      <c r="HX63">
        <v>5339</v>
      </c>
      <c r="HY63">
        <v>0</v>
      </c>
      <c r="HZ63">
        <v>423</v>
      </c>
      <c r="IA63">
        <v>2006</v>
      </c>
      <c r="IB63">
        <v>-462</v>
      </c>
      <c r="IC63">
        <v>0</v>
      </c>
      <c r="ID63">
        <v>654</v>
      </c>
      <c r="IE63">
        <v>0</v>
      </c>
      <c r="IF63">
        <v>0</v>
      </c>
      <c r="IG63">
        <v>0</v>
      </c>
      <c r="IH63">
        <v>1875</v>
      </c>
      <c r="II63">
        <v>1840</v>
      </c>
      <c r="IJ63">
        <v>2653</v>
      </c>
      <c r="IK63">
        <v>24</v>
      </c>
      <c r="IL63">
        <v>0</v>
      </c>
      <c r="IM63">
        <v>0</v>
      </c>
      <c r="IN63">
        <v>2377</v>
      </c>
      <c r="IO63">
        <v>-462</v>
      </c>
      <c r="IP63">
        <v>8961</v>
      </c>
      <c r="IQ63">
        <v>9572</v>
      </c>
      <c r="IR63">
        <v>831</v>
      </c>
      <c r="IS63">
        <v>4591</v>
      </c>
      <c r="IT63">
        <v>0</v>
      </c>
      <c r="IU63">
        <v>-41</v>
      </c>
      <c r="IV63">
        <v>252</v>
      </c>
      <c r="IW63">
        <v>0</v>
      </c>
      <c r="IX63">
        <v>0</v>
      </c>
      <c r="IY63">
        <v>0</v>
      </c>
      <c r="IZ63">
        <v>0</v>
      </c>
      <c r="JA63">
        <v>0</v>
      </c>
      <c r="JB63">
        <v>0</v>
      </c>
      <c r="JC63">
        <v>0</v>
      </c>
      <c r="JD63">
        <v>0</v>
      </c>
      <c r="JE63">
        <v>258</v>
      </c>
      <c r="JF63">
        <v>0</v>
      </c>
      <c r="JG63">
        <v>24424</v>
      </c>
      <c r="JH63">
        <v>0</v>
      </c>
      <c r="JI63">
        <v>612</v>
      </c>
      <c r="JJ63">
        <v>0</v>
      </c>
      <c r="JK63">
        <v>0</v>
      </c>
      <c r="JL63">
        <v>0</v>
      </c>
      <c r="JM63">
        <v>154</v>
      </c>
      <c r="JN63">
        <v>822</v>
      </c>
      <c r="JO63">
        <v>0</v>
      </c>
      <c r="JP63">
        <v>207</v>
      </c>
      <c r="JQ63">
        <v>21</v>
      </c>
      <c r="JR63">
        <v>26240</v>
      </c>
      <c r="JS63">
        <v>-110</v>
      </c>
      <c r="JT63">
        <v>0</v>
      </c>
      <c r="JU63">
        <v>0</v>
      </c>
      <c r="JV63">
        <v>0</v>
      </c>
      <c r="JW63">
        <v>-18826</v>
      </c>
      <c r="JX63">
        <v>0</v>
      </c>
      <c r="JY63">
        <v>0</v>
      </c>
      <c r="JZ63">
        <v>0</v>
      </c>
      <c r="KA63">
        <v>0</v>
      </c>
      <c r="KB63">
        <v>0</v>
      </c>
      <c r="KC63">
        <v>7304</v>
      </c>
      <c r="KD63">
        <v>0</v>
      </c>
      <c r="KE63">
        <v>-1019</v>
      </c>
      <c r="KF63">
        <v>6285</v>
      </c>
      <c r="KG63">
        <v>0</v>
      </c>
      <c r="KH63">
        <v>0</v>
      </c>
      <c r="KI63">
        <v>0</v>
      </c>
      <c r="KJ63">
        <v>0</v>
      </c>
      <c r="KK63">
        <v>238</v>
      </c>
      <c r="KL63">
        <v>0</v>
      </c>
      <c r="KM63">
        <v>0</v>
      </c>
      <c r="KN63">
        <v>0</v>
      </c>
      <c r="KO63">
        <v>-681</v>
      </c>
      <c r="KP63">
        <v>-2</v>
      </c>
      <c r="KQ63">
        <v>3453</v>
      </c>
      <c r="KR63">
        <v>8562</v>
      </c>
      <c r="KS63">
        <v>0</v>
      </c>
      <c r="KT63">
        <v>0</v>
      </c>
      <c r="KU63">
        <v>0</v>
      </c>
      <c r="KV63">
        <v>11694</v>
      </c>
      <c r="KW63">
        <v>5596</v>
      </c>
      <c r="KX63">
        <v>0</v>
      </c>
      <c r="KY63">
        <v>0</v>
      </c>
      <c r="KZ63">
        <v>0</v>
      </c>
      <c r="LA63">
        <v>11932</v>
      </c>
      <c r="LB63">
        <v>5596</v>
      </c>
      <c r="LC63">
        <v>0</v>
      </c>
      <c r="LD63">
        <v>2789</v>
      </c>
      <c r="LE63">
        <v>0</v>
      </c>
      <c r="LF63">
        <v>0</v>
      </c>
      <c r="LG63">
        <v>-2547</v>
      </c>
      <c r="LH63">
        <v>2147</v>
      </c>
      <c r="LI63">
        <v>2389</v>
      </c>
      <c r="LJ63">
        <v>3011</v>
      </c>
      <c r="LK63">
        <v>1574</v>
      </c>
      <c r="LL63">
        <v>4585</v>
      </c>
      <c r="LM63">
        <v>0</v>
      </c>
      <c r="LN63">
        <v>0</v>
      </c>
      <c r="LO63">
        <v>0</v>
      </c>
      <c r="LP63">
        <v>7772</v>
      </c>
      <c r="LQ63">
        <v>14554</v>
      </c>
      <c r="LR63">
        <v>-6782</v>
      </c>
      <c r="LS63">
        <v>9872</v>
      </c>
      <c r="LT63">
        <v>3090</v>
      </c>
      <c r="LU63">
        <v>0</v>
      </c>
      <c r="LV63">
        <v>654</v>
      </c>
      <c r="LW63">
        <v>0</v>
      </c>
      <c r="LX63">
        <v>0</v>
      </c>
      <c r="LY63">
        <v>0</v>
      </c>
      <c r="LZ63">
        <v>1875</v>
      </c>
      <c r="MA63">
        <v>1840</v>
      </c>
      <c r="MB63">
        <v>2653</v>
      </c>
      <c r="MC63">
        <v>24</v>
      </c>
      <c r="MD63">
        <v>0</v>
      </c>
      <c r="ME63">
        <v>0</v>
      </c>
      <c r="MF63">
        <v>2377</v>
      </c>
      <c r="MG63">
        <v>-462</v>
      </c>
      <c r="MH63">
        <v>8961</v>
      </c>
      <c r="MI63">
        <v>0</v>
      </c>
      <c r="MJ63">
        <v>0</v>
      </c>
      <c r="MK63">
        <v>0</v>
      </c>
      <c r="ML63">
        <v>0</v>
      </c>
      <c r="MM63">
        <v>0</v>
      </c>
      <c r="MN63">
        <v>0</v>
      </c>
      <c r="MO63">
        <v>0</v>
      </c>
      <c r="MP63">
        <v>0</v>
      </c>
      <c r="MQ63">
        <v>0</v>
      </c>
      <c r="MR63">
        <v>0</v>
      </c>
      <c r="MS63">
        <v>0</v>
      </c>
      <c r="MT63">
        <v>0</v>
      </c>
      <c r="MU63">
        <v>0</v>
      </c>
      <c r="MV63">
        <v>0</v>
      </c>
      <c r="MW63">
        <v>0</v>
      </c>
      <c r="MX63">
        <v>0</v>
      </c>
      <c r="MY63">
        <v>0</v>
      </c>
      <c r="MZ63">
        <v>0</v>
      </c>
      <c r="NA63">
        <v>0</v>
      </c>
      <c r="NB63">
        <v>0</v>
      </c>
      <c r="NC63">
        <v>0</v>
      </c>
      <c r="ND63">
        <v>0</v>
      </c>
      <c r="NE63">
        <v>0</v>
      </c>
      <c r="NF63">
        <v>0</v>
      </c>
      <c r="NG63">
        <v>0</v>
      </c>
      <c r="NH63">
        <v>0</v>
      </c>
      <c r="NI63">
        <v>0</v>
      </c>
      <c r="NJ63">
        <v>0</v>
      </c>
      <c r="NK63">
        <v>0</v>
      </c>
      <c r="NL63">
        <v>0</v>
      </c>
      <c r="NM63">
        <v>0</v>
      </c>
      <c r="NN63">
        <v>0</v>
      </c>
      <c r="NO63">
        <v>0</v>
      </c>
      <c r="NP63">
        <v>0</v>
      </c>
      <c r="NQ63">
        <v>0</v>
      </c>
      <c r="NR63">
        <v>0</v>
      </c>
      <c r="NS63">
        <v>0</v>
      </c>
      <c r="NT63">
        <v>0</v>
      </c>
      <c r="NU63">
        <v>0</v>
      </c>
      <c r="NV63">
        <v>0</v>
      </c>
      <c r="NW63">
        <v>0</v>
      </c>
      <c r="NX63">
        <v>0</v>
      </c>
      <c r="NY63">
        <v>0</v>
      </c>
      <c r="NZ63">
        <v>0</v>
      </c>
      <c r="OA63">
        <v>0</v>
      </c>
      <c r="OB63">
        <v>0</v>
      </c>
      <c r="OC63">
        <v>0</v>
      </c>
      <c r="OD63">
        <v>0</v>
      </c>
      <c r="OE63">
        <v>0</v>
      </c>
      <c r="OF63">
        <v>0</v>
      </c>
      <c r="OG63">
        <v>0</v>
      </c>
      <c r="OH63">
        <v>0</v>
      </c>
      <c r="OI63">
        <v>0</v>
      </c>
      <c r="OJ63">
        <v>0</v>
      </c>
      <c r="OK63">
        <v>0</v>
      </c>
      <c r="OL63">
        <v>0</v>
      </c>
      <c r="OM63">
        <v>0</v>
      </c>
      <c r="ON63">
        <v>0</v>
      </c>
    </row>
    <row r="64" spans="1:404" x14ac:dyDescent="0.25">
      <c r="A64" t="s">
        <v>258</v>
      </c>
      <c r="B64" t="s">
        <v>259</v>
      </c>
      <c r="C64" t="s">
        <v>257</v>
      </c>
      <c r="E64" t="s">
        <v>125</v>
      </c>
      <c r="F64">
        <v>6357</v>
      </c>
      <c r="G64">
        <v>81363</v>
      </c>
      <c r="H64">
        <v>19692</v>
      </c>
      <c r="I64">
        <v>18872</v>
      </c>
      <c r="J64">
        <v>4662</v>
      </c>
      <c r="K64">
        <v>36226</v>
      </c>
      <c r="L64">
        <v>167172</v>
      </c>
      <c r="M64">
        <v>906</v>
      </c>
      <c r="N64">
        <v>231</v>
      </c>
      <c r="O64">
        <v>0</v>
      </c>
      <c r="P64">
        <v>0</v>
      </c>
      <c r="Q64">
        <v>0</v>
      </c>
      <c r="R64">
        <v>0</v>
      </c>
      <c r="S64">
        <v>3289</v>
      </c>
      <c r="T64">
        <v>720</v>
      </c>
      <c r="U64">
        <v>1527</v>
      </c>
      <c r="V64">
        <v>0</v>
      </c>
      <c r="W64">
        <v>0</v>
      </c>
      <c r="X64">
        <v>6</v>
      </c>
      <c r="Y64">
        <v>203</v>
      </c>
      <c r="Z64">
        <v>-46</v>
      </c>
      <c r="AA64">
        <v>-196</v>
      </c>
      <c r="AB64">
        <v>1811</v>
      </c>
      <c r="AC64">
        <v>0</v>
      </c>
      <c r="AD64">
        <v>2001</v>
      </c>
      <c r="AE64">
        <v>0</v>
      </c>
      <c r="AF64">
        <v>0</v>
      </c>
      <c r="AG64">
        <v>358</v>
      </c>
      <c r="AH64">
        <v>0</v>
      </c>
      <c r="AI64">
        <v>10810</v>
      </c>
      <c r="AJ64">
        <v>0</v>
      </c>
      <c r="AK64">
        <v>0</v>
      </c>
      <c r="AL64">
        <v>0</v>
      </c>
      <c r="AM64">
        <v>0</v>
      </c>
      <c r="AN64">
        <v>0</v>
      </c>
      <c r="AO64">
        <v>0</v>
      </c>
      <c r="AP64">
        <v>0</v>
      </c>
      <c r="AQ64">
        <v>0</v>
      </c>
      <c r="AR64">
        <v>46</v>
      </c>
      <c r="AS64">
        <v>0</v>
      </c>
      <c r="AT64">
        <v>0</v>
      </c>
      <c r="AU64">
        <v>0</v>
      </c>
      <c r="AV64">
        <v>0</v>
      </c>
      <c r="AW64">
        <v>11608</v>
      </c>
      <c r="AX64">
        <v>5183</v>
      </c>
      <c r="AY64">
        <v>12781</v>
      </c>
      <c r="AZ64">
        <v>2818</v>
      </c>
      <c r="BA64">
        <v>6456</v>
      </c>
      <c r="BB64">
        <v>2487</v>
      </c>
      <c r="BC64">
        <v>6270</v>
      </c>
      <c r="BD64">
        <v>47603</v>
      </c>
      <c r="BE64">
        <v>6313</v>
      </c>
      <c r="BF64">
        <v>24943</v>
      </c>
      <c r="BG64">
        <v>62</v>
      </c>
      <c r="BH64">
        <v>0</v>
      </c>
      <c r="BI64">
        <v>0</v>
      </c>
      <c r="BJ64">
        <v>0</v>
      </c>
      <c r="BK64">
        <v>33454</v>
      </c>
      <c r="BL64">
        <v>0</v>
      </c>
      <c r="BM64">
        <v>3399</v>
      </c>
      <c r="BN64">
        <v>0</v>
      </c>
      <c r="BO64">
        <v>0</v>
      </c>
      <c r="BP64">
        <v>0</v>
      </c>
      <c r="BQ64">
        <v>0</v>
      </c>
      <c r="BR64">
        <v>3198</v>
      </c>
      <c r="BS64">
        <v>652</v>
      </c>
      <c r="BT64">
        <v>13530</v>
      </c>
      <c r="BU64">
        <v>819</v>
      </c>
      <c r="BV64">
        <v>8970</v>
      </c>
      <c r="BW64">
        <v>95340</v>
      </c>
      <c r="BX64">
        <v>979</v>
      </c>
      <c r="BY64">
        <v>796</v>
      </c>
      <c r="BZ64">
        <v>336</v>
      </c>
      <c r="CA64">
        <v>203</v>
      </c>
      <c r="CB64">
        <v>2</v>
      </c>
      <c r="CC64">
        <v>48</v>
      </c>
      <c r="CD64">
        <v>201</v>
      </c>
      <c r="CE64">
        <v>99</v>
      </c>
      <c r="CF64">
        <v>241</v>
      </c>
      <c r="CG64">
        <v>108</v>
      </c>
      <c r="CH64">
        <v>2</v>
      </c>
      <c r="CI64">
        <v>2097</v>
      </c>
      <c r="CJ64">
        <v>377</v>
      </c>
      <c r="CK64">
        <v>114</v>
      </c>
      <c r="CL64">
        <v>114</v>
      </c>
      <c r="CM64">
        <v>110</v>
      </c>
      <c r="CN64">
        <v>370</v>
      </c>
      <c r="CO64">
        <v>2</v>
      </c>
      <c r="CP64">
        <v>926</v>
      </c>
      <c r="CQ64">
        <v>3525</v>
      </c>
      <c r="CR64">
        <v>220</v>
      </c>
      <c r="CS64">
        <v>8</v>
      </c>
      <c r="CT64">
        <v>100</v>
      </c>
      <c r="CU64">
        <v>624</v>
      </c>
      <c r="CV64">
        <v>13595</v>
      </c>
      <c r="CW64">
        <v>5</v>
      </c>
      <c r="CX64">
        <v>81</v>
      </c>
      <c r="CY64">
        <v>78</v>
      </c>
      <c r="CZ64">
        <v>0</v>
      </c>
      <c r="DA64">
        <v>0</v>
      </c>
      <c r="DB64">
        <v>0</v>
      </c>
      <c r="DC64">
        <v>1895</v>
      </c>
      <c r="DD64">
        <v>0</v>
      </c>
      <c r="DE64">
        <v>0</v>
      </c>
      <c r="DF64">
        <v>0</v>
      </c>
      <c r="DG64">
        <v>0</v>
      </c>
      <c r="DH64">
        <v>0</v>
      </c>
      <c r="DI64">
        <v>0</v>
      </c>
      <c r="DJ64">
        <v>0</v>
      </c>
      <c r="DK64">
        <v>0</v>
      </c>
      <c r="DL64">
        <v>-25</v>
      </c>
      <c r="DM64">
        <v>0</v>
      </c>
      <c r="DN64">
        <v>3163</v>
      </c>
      <c r="DO64">
        <v>0</v>
      </c>
      <c r="DP64">
        <v>3138</v>
      </c>
      <c r="DQ64">
        <v>0</v>
      </c>
      <c r="DR64">
        <v>0</v>
      </c>
      <c r="DS64">
        <v>0</v>
      </c>
      <c r="DT64">
        <v>2610</v>
      </c>
      <c r="DU64">
        <v>-140</v>
      </c>
      <c r="DV64">
        <v>0</v>
      </c>
      <c r="DW64">
        <v>0</v>
      </c>
      <c r="DX64">
        <v>7503</v>
      </c>
      <c r="DY64">
        <v>28394</v>
      </c>
      <c r="DZ64">
        <v>525</v>
      </c>
      <c r="EA64">
        <v>1847</v>
      </c>
      <c r="EB64">
        <v>1960</v>
      </c>
      <c r="EC64">
        <v>0</v>
      </c>
      <c r="ED64">
        <v>15</v>
      </c>
      <c r="EE64">
        <v>0</v>
      </c>
      <c r="EF64">
        <v>0</v>
      </c>
      <c r="EG64">
        <v>0</v>
      </c>
      <c r="EH64">
        <v>6789</v>
      </c>
      <c r="EI64">
        <v>14370</v>
      </c>
      <c r="EJ64">
        <v>0</v>
      </c>
      <c r="EK64">
        <v>639</v>
      </c>
      <c r="EL64">
        <v>4640</v>
      </c>
      <c r="EM64">
        <v>0</v>
      </c>
      <c r="EN64">
        <v>12077</v>
      </c>
      <c r="EO64">
        <v>120</v>
      </c>
      <c r="EP64">
        <v>0</v>
      </c>
      <c r="EQ64">
        <v>5808</v>
      </c>
      <c r="ER64">
        <v>234</v>
      </c>
      <c r="ES64">
        <v>30833</v>
      </c>
      <c r="ET64">
        <v>18897</v>
      </c>
      <c r="EU64">
        <v>181</v>
      </c>
      <c r="EV64">
        <v>0</v>
      </c>
      <c r="EW64">
        <v>0</v>
      </c>
      <c r="EX64">
        <v>0</v>
      </c>
      <c r="EY64">
        <v>124</v>
      </c>
      <c r="EZ64">
        <v>0</v>
      </c>
      <c r="FA64">
        <v>0</v>
      </c>
      <c r="FB64">
        <v>0</v>
      </c>
      <c r="FC64">
        <v>792</v>
      </c>
      <c r="FD64">
        <v>1017</v>
      </c>
      <c r="FE64">
        <v>0</v>
      </c>
      <c r="FF64">
        <v>0</v>
      </c>
      <c r="FG64">
        <v>1199</v>
      </c>
      <c r="FH64">
        <v>3313</v>
      </c>
      <c r="FI64">
        <v>0</v>
      </c>
      <c r="FJ64">
        <v>1</v>
      </c>
      <c r="FK64">
        <v>0</v>
      </c>
      <c r="FL64">
        <v>0</v>
      </c>
      <c r="FM64">
        <v>5</v>
      </c>
      <c r="FN64">
        <v>0</v>
      </c>
      <c r="FO64">
        <v>0</v>
      </c>
      <c r="FP64">
        <v>0</v>
      </c>
      <c r="FQ64">
        <v>0</v>
      </c>
      <c r="FR64">
        <v>109</v>
      </c>
      <c r="FS64">
        <v>0</v>
      </c>
      <c r="FT64">
        <v>0</v>
      </c>
      <c r="FU64">
        <v>-383</v>
      </c>
      <c r="FV64">
        <v>171</v>
      </c>
      <c r="FW64">
        <v>321</v>
      </c>
      <c r="FX64">
        <v>459</v>
      </c>
      <c r="FY64">
        <v>0</v>
      </c>
      <c r="FZ64">
        <v>0</v>
      </c>
      <c r="GA64">
        <v>611</v>
      </c>
      <c r="GB64">
        <v>0</v>
      </c>
      <c r="GC64">
        <v>-526</v>
      </c>
      <c r="GD64">
        <v>2305</v>
      </c>
      <c r="GE64">
        <v>9540</v>
      </c>
      <c r="GF64">
        <v>7443</v>
      </c>
      <c r="GG64">
        <v>0</v>
      </c>
      <c r="GH64">
        <v>1755</v>
      </c>
      <c r="GI64">
        <v>0</v>
      </c>
      <c r="GJ64">
        <v>0</v>
      </c>
      <c r="GK64">
        <v>21811</v>
      </c>
      <c r="GL64">
        <v>553</v>
      </c>
      <c r="GM64">
        <v>1777</v>
      </c>
      <c r="GN64">
        <v>0</v>
      </c>
      <c r="GO64">
        <v>1192</v>
      </c>
      <c r="GP64">
        <v>0</v>
      </c>
      <c r="GQ64">
        <v>-317</v>
      </c>
      <c r="GR64">
        <v>0</v>
      </c>
      <c r="GS64">
        <v>0</v>
      </c>
      <c r="GT64">
        <v>0</v>
      </c>
      <c r="GU64">
        <v>3205</v>
      </c>
      <c r="GV64">
        <v>28329</v>
      </c>
      <c r="GW64">
        <v>0</v>
      </c>
      <c r="GX64">
        <v>0</v>
      </c>
      <c r="GY64">
        <v>0</v>
      </c>
      <c r="GZ64">
        <v>0</v>
      </c>
      <c r="HA64">
        <v>0</v>
      </c>
      <c r="HB64">
        <v>2808</v>
      </c>
      <c r="HC64">
        <v>886</v>
      </c>
      <c r="HD64">
        <v>0</v>
      </c>
      <c r="HE64">
        <v>0</v>
      </c>
      <c r="HF64">
        <v>0</v>
      </c>
      <c r="HG64">
        <v>182</v>
      </c>
      <c r="HH64">
        <v>0</v>
      </c>
      <c r="HI64">
        <v>28</v>
      </c>
      <c r="HJ64">
        <v>284</v>
      </c>
      <c r="HK64">
        <v>29</v>
      </c>
      <c r="HL64">
        <v>2174</v>
      </c>
      <c r="HM64">
        <v>-221</v>
      </c>
      <c r="HN64">
        <v>0</v>
      </c>
      <c r="HO64">
        <v>0</v>
      </c>
      <c r="HP64">
        <v>1249</v>
      </c>
      <c r="HQ64">
        <v>0</v>
      </c>
      <c r="HR64">
        <v>2934</v>
      </c>
      <c r="HS64">
        <v>0</v>
      </c>
      <c r="HT64">
        <v>0</v>
      </c>
      <c r="HU64">
        <v>0</v>
      </c>
      <c r="HV64">
        <v>10353</v>
      </c>
      <c r="HW64">
        <v>0</v>
      </c>
      <c r="HX64">
        <v>0</v>
      </c>
      <c r="HY64">
        <v>0</v>
      </c>
      <c r="HZ64">
        <v>0</v>
      </c>
      <c r="IA64">
        <v>0</v>
      </c>
      <c r="IB64">
        <v>0</v>
      </c>
      <c r="IC64">
        <v>167172</v>
      </c>
      <c r="ID64">
        <v>10810</v>
      </c>
      <c r="IE64">
        <v>47603</v>
      </c>
      <c r="IF64">
        <v>95340</v>
      </c>
      <c r="IG64">
        <v>13595</v>
      </c>
      <c r="IH64">
        <v>7503</v>
      </c>
      <c r="II64">
        <v>3313</v>
      </c>
      <c r="IJ64">
        <v>21811</v>
      </c>
      <c r="IK64">
        <v>3205</v>
      </c>
      <c r="IL64">
        <v>0</v>
      </c>
      <c r="IM64">
        <v>0</v>
      </c>
      <c r="IN64">
        <v>10353</v>
      </c>
      <c r="IO64">
        <v>0</v>
      </c>
      <c r="IP64">
        <v>380705</v>
      </c>
      <c r="IQ64">
        <v>29112</v>
      </c>
      <c r="IR64">
        <v>68</v>
      </c>
      <c r="IS64">
        <v>11887</v>
      </c>
      <c r="IT64">
        <v>0</v>
      </c>
      <c r="IU64">
        <v>0</v>
      </c>
      <c r="IV64">
        <v>13491</v>
      </c>
      <c r="IW64">
        <v>0</v>
      </c>
      <c r="IX64">
        <v>0</v>
      </c>
      <c r="IY64">
        <v>0</v>
      </c>
      <c r="IZ64">
        <v>0</v>
      </c>
      <c r="JA64">
        <v>0</v>
      </c>
      <c r="JB64">
        <v>0</v>
      </c>
      <c r="JC64">
        <v>0</v>
      </c>
      <c r="JD64">
        <v>0</v>
      </c>
      <c r="JE64">
        <v>800</v>
      </c>
      <c r="JF64">
        <v>7919</v>
      </c>
      <c r="JG64">
        <v>443982</v>
      </c>
      <c r="JH64">
        <v>190</v>
      </c>
      <c r="JI64">
        <v>982</v>
      </c>
      <c r="JJ64">
        <v>0</v>
      </c>
      <c r="JK64">
        <v>0</v>
      </c>
      <c r="JL64">
        <v>0</v>
      </c>
      <c r="JM64">
        <v>4180</v>
      </c>
      <c r="JN64">
        <v>8080</v>
      </c>
      <c r="JO64">
        <v>0</v>
      </c>
      <c r="JP64">
        <v>10433</v>
      </c>
      <c r="JQ64">
        <v>-4640</v>
      </c>
      <c r="JR64">
        <v>463207</v>
      </c>
      <c r="JS64">
        <v>-236</v>
      </c>
      <c r="JT64">
        <v>1503</v>
      </c>
      <c r="JU64">
        <v>0</v>
      </c>
      <c r="JV64">
        <v>0</v>
      </c>
      <c r="JW64">
        <v>-43062</v>
      </c>
      <c r="JX64">
        <v>0</v>
      </c>
      <c r="JY64">
        <v>0</v>
      </c>
      <c r="JZ64">
        <v>0</v>
      </c>
      <c r="KA64">
        <v>0</v>
      </c>
      <c r="KB64">
        <v>-4392</v>
      </c>
      <c r="KC64">
        <v>417020</v>
      </c>
      <c r="KD64">
        <v>0</v>
      </c>
      <c r="KE64">
        <v>-198478</v>
      </c>
      <c r="KF64">
        <v>218542</v>
      </c>
      <c r="KG64">
        <v>0</v>
      </c>
      <c r="KH64">
        <v>-1</v>
      </c>
      <c r="KI64">
        <v>-1029</v>
      </c>
      <c r="KJ64">
        <v>-833</v>
      </c>
      <c r="KK64">
        <v>33134</v>
      </c>
      <c r="KL64">
        <v>40</v>
      </c>
      <c r="KM64">
        <v>0</v>
      </c>
      <c r="KN64">
        <v>0</v>
      </c>
      <c r="KO64">
        <v>-50231</v>
      </c>
      <c r="KP64">
        <v>1908</v>
      </c>
      <c r="KQ64">
        <v>0</v>
      </c>
      <c r="KR64">
        <v>188167</v>
      </c>
      <c r="KS64">
        <v>8009</v>
      </c>
      <c r="KT64">
        <v>1029</v>
      </c>
      <c r="KU64">
        <v>4164</v>
      </c>
      <c r="KV64">
        <v>73708</v>
      </c>
      <c r="KW64">
        <v>26343</v>
      </c>
      <c r="KX64">
        <v>8008</v>
      </c>
      <c r="KY64">
        <v>0</v>
      </c>
      <c r="KZ64">
        <v>3331</v>
      </c>
      <c r="LA64">
        <v>106842</v>
      </c>
      <c r="LB64">
        <v>26383</v>
      </c>
      <c r="LC64">
        <v>0</v>
      </c>
      <c r="LD64">
        <v>36281</v>
      </c>
      <c r="LE64">
        <v>67</v>
      </c>
      <c r="LF64">
        <v>-17026</v>
      </c>
      <c r="LG64">
        <v>-50945</v>
      </c>
      <c r="LH64">
        <v>41319</v>
      </c>
      <c r="LI64">
        <v>9696</v>
      </c>
      <c r="LJ64">
        <v>6347</v>
      </c>
      <c r="LK64">
        <v>9427</v>
      </c>
      <c r="LL64">
        <v>15774</v>
      </c>
      <c r="LM64">
        <v>0</v>
      </c>
      <c r="LN64">
        <v>0</v>
      </c>
      <c r="LO64">
        <v>0</v>
      </c>
      <c r="LP64">
        <v>32741</v>
      </c>
      <c r="LQ64">
        <v>44677</v>
      </c>
      <c r="LR64">
        <v>-11936</v>
      </c>
      <c r="LS64">
        <v>30833</v>
      </c>
      <c r="LT64">
        <v>18897</v>
      </c>
      <c r="LU64">
        <v>167172</v>
      </c>
      <c r="LV64">
        <v>10810</v>
      </c>
      <c r="LW64">
        <v>47603</v>
      </c>
      <c r="LX64">
        <v>95340</v>
      </c>
      <c r="LY64">
        <v>13595</v>
      </c>
      <c r="LZ64">
        <v>7503</v>
      </c>
      <c r="MA64">
        <v>3313</v>
      </c>
      <c r="MB64">
        <v>21811</v>
      </c>
      <c r="MC64">
        <v>3205</v>
      </c>
      <c r="MD64">
        <v>0</v>
      </c>
      <c r="ME64">
        <v>0</v>
      </c>
      <c r="MF64">
        <v>10353</v>
      </c>
      <c r="MG64">
        <v>0</v>
      </c>
      <c r="MH64">
        <v>380705</v>
      </c>
      <c r="MI64">
        <v>0</v>
      </c>
      <c r="MJ64">
        <v>0</v>
      </c>
      <c r="MK64">
        <v>0</v>
      </c>
      <c r="ML64">
        <v>0</v>
      </c>
      <c r="MM64">
        <v>0</v>
      </c>
      <c r="MN64">
        <v>0</v>
      </c>
      <c r="MO64">
        <v>0</v>
      </c>
      <c r="MP64">
        <v>0</v>
      </c>
      <c r="MQ64">
        <v>0</v>
      </c>
      <c r="MR64">
        <v>0</v>
      </c>
      <c r="MS64">
        <v>0</v>
      </c>
      <c r="MT64">
        <v>0</v>
      </c>
      <c r="MU64">
        <v>0</v>
      </c>
      <c r="MV64">
        <v>0</v>
      </c>
      <c r="MW64">
        <v>0</v>
      </c>
      <c r="MX64">
        <v>0</v>
      </c>
      <c r="MY64">
        <v>0</v>
      </c>
      <c r="MZ64">
        <v>0</v>
      </c>
      <c r="NA64">
        <v>0</v>
      </c>
      <c r="NB64">
        <v>0</v>
      </c>
      <c r="NC64">
        <v>0</v>
      </c>
      <c r="ND64">
        <v>0</v>
      </c>
      <c r="NE64">
        <v>0</v>
      </c>
      <c r="NF64">
        <v>0</v>
      </c>
      <c r="NG64">
        <v>0</v>
      </c>
      <c r="NH64">
        <v>0</v>
      </c>
      <c r="NI64">
        <v>0</v>
      </c>
      <c r="NJ64">
        <v>0</v>
      </c>
      <c r="NK64">
        <v>0</v>
      </c>
      <c r="NL64">
        <v>0</v>
      </c>
      <c r="NM64">
        <v>0</v>
      </c>
      <c r="NN64">
        <v>0</v>
      </c>
      <c r="NO64">
        <v>0</v>
      </c>
      <c r="NP64">
        <v>0</v>
      </c>
      <c r="NQ64">
        <v>0</v>
      </c>
      <c r="NR64">
        <v>0</v>
      </c>
      <c r="NS64">
        <v>0</v>
      </c>
      <c r="NT64">
        <v>0</v>
      </c>
      <c r="NU64">
        <v>0</v>
      </c>
      <c r="NV64">
        <v>0</v>
      </c>
      <c r="NW64">
        <v>0</v>
      </c>
      <c r="NX64">
        <v>0</v>
      </c>
      <c r="NY64">
        <v>0</v>
      </c>
      <c r="NZ64">
        <v>0</v>
      </c>
      <c r="OA64">
        <v>0</v>
      </c>
      <c r="OB64">
        <v>0</v>
      </c>
      <c r="OC64">
        <v>0</v>
      </c>
      <c r="OD64">
        <v>0</v>
      </c>
      <c r="OE64">
        <v>0</v>
      </c>
      <c r="OF64">
        <v>0</v>
      </c>
      <c r="OG64">
        <v>0</v>
      </c>
      <c r="OH64">
        <v>0</v>
      </c>
      <c r="OI64">
        <v>0</v>
      </c>
      <c r="OJ64">
        <v>0</v>
      </c>
      <c r="OK64">
        <v>0</v>
      </c>
      <c r="OL64">
        <v>0</v>
      </c>
      <c r="OM64">
        <v>0</v>
      </c>
      <c r="ON64">
        <v>0</v>
      </c>
    </row>
    <row r="65" spans="1:404" x14ac:dyDescent="0.25">
      <c r="A65" t="s">
        <v>261</v>
      </c>
      <c r="B65" t="s">
        <v>262</v>
      </c>
      <c r="C65" t="s">
        <v>260</v>
      </c>
      <c r="E65" t="s">
        <v>61</v>
      </c>
      <c r="F65">
        <v>0</v>
      </c>
      <c r="G65">
        <v>0</v>
      </c>
      <c r="H65">
        <v>0</v>
      </c>
      <c r="I65">
        <v>0</v>
      </c>
      <c r="J65">
        <v>0</v>
      </c>
      <c r="K65">
        <v>0</v>
      </c>
      <c r="L65">
        <v>0</v>
      </c>
      <c r="M65">
        <v>0</v>
      </c>
      <c r="N65">
        <v>0</v>
      </c>
      <c r="O65">
        <v>0</v>
      </c>
      <c r="P65">
        <v>0</v>
      </c>
      <c r="Q65">
        <v>0</v>
      </c>
      <c r="R65">
        <v>0</v>
      </c>
      <c r="S65">
        <v>0</v>
      </c>
      <c r="T65">
        <v>0</v>
      </c>
      <c r="U65">
        <v>55</v>
      </c>
      <c r="V65">
        <v>0</v>
      </c>
      <c r="W65">
        <v>0</v>
      </c>
      <c r="X65">
        <v>0</v>
      </c>
      <c r="Y65">
        <v>0</v>
      </c>
      <c r="Z65">
        <v>0</v>
      </c>
      <c r="AA65">
        <v>82</v>
      </c>
      <c r="AB65">
        <v>0</v>
      </c>
      <c r="AC65">
        <v>0</v>
      </c>
      <c r="AD65">
        <v>0</v>
      </c>
      <c r="AE65">
        <v>0</v>
      </c>
      <c r="AF65">
        <v>0</v>
      </c>
      <c r="AG65">
        <v>71</v>
      </c>
      <c r="AH65">
        <v>0</v>
      </c>
      <c r="AI65">
        <v>208</v>
      </c>
      <c r="AJ65">
        <v>0</v>
      </c>
      <c r="AK65">
        <v>0</v>
      </c>
      <c r="AL65">
        <v>0</v>
      </c>
      <c r="AM65">
        <v>0</v>
      </c>
      <c r="AN65">
        <v>0</v>
      </c>
      <c r="AO65">
        <v>0</v>
      </c>
      <c r="AP65">
        <v>0</v>
      </c>
      <c r="AQ65">
        <v>0</v>
      </c>
      <c r="AR65">
        <v>0</v>
      </c>
      <c r="AS65">
        <v>0</v>
      </c>
      <c r="AT65">
        <v>0</v>
      </c>
      <c r="AU65">
        <v>0</v>
      </c>
      <c r="AV65">
        <v>0</v>
      </c>
      <c r="AW65">
        <v>0</v>
      </c>
      <c r="AX65">
        <v>110</v>
      </c>
      <c r="AY65">
        <v>0</v>
      </c>
      <c r="AZ65">
        <v>0</v>
      </c>
      <c r="BA65">
        <v>0</v>
      </c>
      <c r="BB65">
        <v>0</v>
      </c>
      <c r="BC65">
        <v>0</v>
      </c>
      <c r="BD65">
        <v>110</v>
      </c>
      <c r="BE65">
        <v>0</v>
      </c>
      <c r="BF65">
        <v>0</v>
      </c>
      <c r="BG65">
        <v>0</v>
      </c>
      <c r="BH65">
        <v>0</v>
      </c>
      <c r="BI65">
        <v>0</v>
      </c>
      <c r="BJ65">
        <v>0</v>
      </c>
      <c r="BK65">
        <v>0</v>
      </c>
      <c r="BL65">
        <v>0</v>
      </c>
      <c r="BM65">
        <v>0</v>
      </c>
      <c r="BN65">
        <v>0</v>
      </c>
      <c r="BO65">
        <v>0</v>
      </c>
      <c r="BP65">
        <v>0</v>
      </c>
      <c r="BQ65">
        <v>0</v>
      </c>
      <c r="BR65">
        <v>0</v>
      </c>
      <c r="BS65">
        <v>0</v>
      </c>
      <c r="BT65">
        <v>0</v>
      </c>
      <c r="BU65">
        <v>0</v>
      </c>
      <c r="BV65">
        <v>0</v>
      </c>
      <c r="BW65">
        <v>0</v>
      </c>
      <c r="BX65">
        <v>0</v>
      </c>
      <c r="BY65">
        <v>0</v>
      </c>
      <c r="BZ65">
        <v>0</v>
      </c>
      <c r="CA65">
        <v>0</v>
      </c>
      <c r="CB65">
        <v>0</v>
      </c>
      <c r="CC65">
        <v>0</v>
      </c>
      <c r="CD65">
        <v>0</v>
      </c>
      <c r="CE65">
        <v>0</v>
      </c>
      <c r="CF65">
        <v>0</v>
      </c>
      <c r="CG65">
        <v>0</v>
      </c>
      <c r="CH65">
        <v>0</v>
      </c>
      <c r="CI65">
        <v>0</v>
      </c>
      <c r="CJ65">
        <v>0</v>
      </c>
      <c r="CK65">
        <v>0</v>
      </c>
      <c r="CL65">
        <v>0</v>
      </c>
      <c r="CM65">
        <v>0</v>
      </c>
      <c r="CN65">
        <v>0</v>
      </c>
      <c r="CO65">
        <v>0</v>
      </c>
      <c r="CP65">
        <v>0</v>
      </c>
      <c r="CQ65">
        <v>0</v>
      </c>
      <c r="CR65">
        <v>0</v>
      </c>
      <c r="CS65">
        <v>0</v>
      </c>
      <c r="CT65">
        <v>0</v>
      </c>
      <c r="CU65">
        <v>0</v>
      </c>
      <c r="CV65">
        <v>0</v>
      </c>
      <c r="CW65">
        <v>0</v>
      </c>
      <c r="CX65">
        <v>0</v>
      </c>
      <c r="CY65">
        <v>0</v>
      </c>
      <c r="CZ65">
        <v>0</v>
      </c>
      <c r="DA65">
        <v>0</v>
      </c>
      <c r="DB65">
        <v>0</v>
      </c>
      <c r="DC65">
        <v>200</v>
      </c>
      <c r="DD65">
        <v>0</v>
      </c>
      <c r="DE65">
        <v>31</v>
      </c>
      <c r="DF65">
        <v>90</v>
      </c>
      <c r="DG65">
        <v>0</v>
      </c>
      <c r="DH65">
        <v>-45</v>
      </c>
      <c r="DI65">
        <v>0</v>
      </c>
      <c r="DJ65">
        <v>265</v>
      </c>
      <c r="DK65">
        <v>0</v>
      </c>
      <c r="DL65">
        <v>0</v>
      </c>
      <c r="DM65">
        <v>0</v>
      </c>
      <c r="DN65">
        <v>901</v>
      </c>
      <c r="DO65">
        <v>4</v>
      </c>
      <c r="DP65">
        <v>1125</v>
      </c>
      <c r="DQ65">
        <v>0</v>
      </c>
      <c r="DR65">
        <v>0</v>
      </c>
      <c r="DS65">
        <v>0</v>
      </c>
      <c r="DT65">
        <v>840</v>
      </c>
      <c r="DU65">
        <v>0</v>
      </c>
      <c r="DV65">
        <v>0</v>
      </c>
      <c r="DW65">
        <v>0</v>
      </c>
      <c r="DX65">
        <v>2286</v>
      </c>
      <c r="DY65">
        <v>20637</v>
      </c>
      <c r="DZ65">
        <v>348</v>
      </c>
      <c r="EA65">
        <v>714</v>
      </c>
      <c r="EB65">
        <v>62</v>
      </c>
      <c r="EC65">
        <v>0</v>
      </c>
      <c r="ED65">
        <v>0</v>
      </c>
      <c r="EE65">
        <v>136</v>
      </c>
      <c r="EF65">
        <v>0</v>
      </c>
      <c r="EG65">
        <v>-16</v>
      </c>
      <c r="EH65">
        <v>5630</v>
      </c>
      <c r="EI65">
        <v>5359</v>
      </c>
      <c r="EJ65">
        <v>714</v>
      </c>
      <c r="EK65">
        <v>749</v>
      </c>
      <c r="EL65">
        <v>2700</v>
      </c>
      <c r="EM65">
        <v>3680</v>
      </c>
      <c r="EN65">
        <v>0</v>
      </c>
      <c r="EO65">
        <v>10</v>
      </c>
      <c r="EP65">
        <v>0</v>
      </c>
      <c r="EQ65">
        <v>0</v>
      </c>
      <c r="ER65">
        <v>97</v>
      </c>
      <c r="ES65">
        <v>12240</v>
      </c>
      <c r="ET65">
        <v>15182</v>
      </c>
      <c r="EU65">
        <v>0</v>
      </c>
      <c r="EV65">
        <v>162</v>
      </c>
      <c r="EW65">
        <v>20</v>
      </c>
      <c r="EX65">
        <v>234</v>
      </c>
      <c r="EY65">
        <v>426</v>
      </c>
      <c r="EZ65">
        <v>0</v>
      </c>
      <c r="FA65">
        <v>0</v>
      </c>
      <c r="FB65">
        <v>272</v>
      </c>
      <c r="FC65">
        <v>354</v>
      </c>
      <c r="FD65">
        <v>1387</v>
      </c>
      <c r="FE65">
        <v>0</v>
      </c>
      <c r="FF65">
        <v>107</v>
      </c>
      <c r="FG65">
        <v>0</v>
      </c>
      <c r="FH65">
        <v>2962</v>
      </c>
      <c r="FI65">
        <v>-71</v>
      </c>
      <c r="FJ65">
        <v>0</v>
      </c>
      <c r="FK65">
        <v>0</v>
      </c>
      <c r="FL65">
        <v>278</v>
      </c>
      <c r="FM65">
        <v>336</v>
      </c>
      <c r="FN65">
        <v>354</v>
      </c>
      <c r="FO65">
        <v>66</v>
      </c>
      <c r="FP65">
        <v>0</v>
      </c>
      <c r="FQ65">
        <v>0</v>
      </c>
      <c r="FR65">
        <v>143</v>
      </c>
      <c r="FS65">
        <v>109</v>
      </c>
      <c r="FT65">
        <v>98</v>
      </c>
      <c r="FU65">
        <v>106</v>
      </c>
      <c r="FV65">
        <v>0</v>
      </c>
      <c r="FW65">
        <v>385</v>
      </c>
      <c r="FX65">
        <v>295</v>
      </c>
      <c r="FY65">
        <v>106</v>
      </c>
      <c r="FZ65">
        <v>0</v>
      </c>
      <c r="GA65">
        <v>0</v>
      </c>
      <c r="GB65">
        <v>0</v>
      </c>
      <c r="GC65">
        <v>0</v>
      </c>
      <c r="GD65">
        <v>1077</v>
      </c>
      <c r="GE65">
        <v>2197</v>
      </c>
      <c r="GF65">
        <v>0</v>
      </c>
      <c r="GG65">
        <v>0</v>
      </c>
      <c r="GH65">
        <v>1175</v>
      </c>
      <c r="GI65">
        <v>0</v>
      </c>
      <c r="GJ65">
        <v>0</v>
      </c>
      <c r="GK65">
        <v>6654</v>
      </c>
      <c r="GL65">
        <v>-308</v>
      </c>
      <c r="GM65">
        <v>491</v>
      </c>
      <c r="GN65">
        <v>292</v>
      </c>
      <c r="GO65">
        <v>851</v>
      </c>
      <c r="GP65">
        <v>93</v>
      </c>
      <c r="GQ65">
        <v>-2165</v>
      </c>
      <c r="GR65">
        <v>0</v>
      </c>
      <c r="GS65">
        <v>0</v>
      </c>
      <c r="GT65">
        <v>0</v>
      </c>
      <c r="GU65">
        <v>-746</v>
      </c>
      <c r="GV65">
        <v>8870</v>
      </c>
      <c r="GW65">
        <v>0</v>
      </c>
      <c r="GX65">
        <v>0</v>
      </c>
      <c r="GY65">
        <v>0</v>
      </c>
      <c r="GZ65">
        <v>0</v>
      </c>
      <c r="HA65">
        <v>0</v>
      </c>
      <c r="HB65">
        <v>1706</v>
      </c>
      <c r="HC65">
        <v>966</v>
      </c>
      <c r="HD65">
        <v>0</v>
      </c>
      <c r="HE65">
        <v>0</v>
      </c>
      <c r="HF65">
        <v>634</v>
      </c>
      <c r="HG65">
        <v>-77</v>
      </c>
      <c r="HH65">
        <v>0</v>
      </c>
      <c r="HI65">
        <v>0</v>
      </c>
      <c r="HJ65">
        <v>-1</v>
      </c>
      <c r="HK65">
        <v>155</v>
      </c>
      <c r="HL65">
        <v>-5</v>
      </c>
      <c r="HM65">
        <v>17</v>
      </c>
      <c r="HN65">
        <v>0</v>
      </c>
      <c r="HO65">
        <v>399</v>
      </c>
      <c r="HP65">
        <v>0</v>
      </c>
      <c r="HQ65">
        <v>0</v>
      </c>
      <c r="HR65">
        <v>261</v>
      </c>
      <c r="HS65">
        <v>0</v>
      </c>
      <c r="HT65">
        <v>0</v>
      </c>
      <c r="HU65">
        <v>840</v>
      </c>
      <c r="HV65">
        <v>4895</v>
      </c>
      <c r="HW65">
        <v>12600</v>
      </c>
      <c r="HX65">
        <v>0</v>
      </c>
      <c r="HY65">
        <v>0</v>
      </c>
      <c r="HZ65">
        <v>0</v>
      </c>
      <c r="IA65">
        <v>0</v>
      </c>
      <c r="IB65">
        <v>0</v>
      </c>
      <c r="IC65">
        <v>0</v>
      </c>
      <c r="ID65">
        <v>208</v>
      </c>
      <c r="IE65">
        <v>110</v>
      </c>
      <c r="IF65">
        <v>0</v>
      </c>
      <c r="IG65">
        <v>0</v>
      </c>
      <c r="IH65">
        <v>2286</v>
      </c>
      <c r="II65">
        <v>2962</v>
      </c>
      <c r="IJ65">
        <v>6654</v>
      </c>
      <c r="IK65">
        <v>-746</v>
      </c>
      <c r="IL65">
        <v>0</v>
      </c>
      <c r="IM65">
        <v>0</v>
      </c>
      <c r="IN65">
        <v>4895</v>
      </c>
      <c r="IO65">
        <v>0</v>
      </c>
      <c r="IP65">
        <v>16369</v>
      </c>
      <c r="IQ65">
        <v>14912</v>
      </c>
      <c r="IR65">
        <v>80</v>
      </c>
      <c r="IS65">
        <v>7484</v>
      </c>
      <c r="IT65">
        <v>0</v>
      </c>
      <c r="IU65">
        <v>91</v>
      </c>
      <c r="IV65">
        <v>4052</v>
      </c>
      <c r="IW65">
        <v>0</v>
      </c>
      <c r="IX65">
        <v>0</v>
      </c>
      <c r="IY65">
        <v>0</v>
      </c>
      <c r="IZ65">
        <v>0</v>
      </c>
      <c r="JA65">
        <v>43</v>
      </c>
      <c r="JB65">
        <v>0</v>
      </c>
      <c r="JC65">
        <v>0</v>
      </c>
      <c r="JD65">
        <v>0</v>
      </c>
      <c r="JE65">
        <v>41</v>
      </c>
      <c r="JF65">
        <v>0</v>
      </c>
      <c r="JG65">
        <v>43072</v>
      </c>
      <c r="JH65">
        <v>0</v>
      </c>
      <c r="JI65">
        <v>644</v>
      </c>
      <c r="JJ65">
        <v>0</v>
      </c>
      <c r="JK65">
        <v>0</v>
      </c>
      <c r="JL65">
        <v>0</v>
      </c>
      <c r="JM65">
        <v>-15</v>
      </c>
      <c r="JN65">
        <v>583</v>
      </c>
      <c r="JO65">
        <v>0</v>
      </c>
      <c r="JP65">
        <v>2926</v>
      </c>
      <c r="JQ65">
        <v>0</v>
      </c>
      <c r="JR65">
        <v>47210</v>
      </c>
      <c r="JS65">
        <v>-282</v>
      </c>
      <c r="JT65">
        <v>0</v>
      </c>
      <c r="JU65">
        <v>0</v>
      </c>
      <c r="JV65">
        <v>0</v>
      </c>
      <c r="JW65">
        <v>-21866</v>
      </c>
      <c r="JX65">
        <v>0</v>
      </c>
      <c r="JY65">
        <v>0</v>
      </c>
      <c r="JZ65">
        <v>0</v>
      </c>
      <c r="KA65">
        <v>0</v>
      </c>
      <c r="KB65">
        <v>0</v>
      </c>
      <c r="KC65">
        <v>25062</v>
      </c>
      <c r="KD65">
        <v>0</v>
      </c>
      <c r="KE65">
        <v>-4814</v>
      </c>
      <c r="KF65">
        <v>20248</v>
      </c>
      <c r="KG65">
        <v>0</v>
      </c>
      <c r="KH65">
        <v>0</v>
      </c>
      <c r="KI65">
        <v>0</v>
      </c>
      <c r="KJ65">
        <v>0</v>
      </c>
      <c r="KK65">
        <v>-2391</v>
      </c>
      <c r="KL65">
        <v>751</v>
      </c>
      <c r="KM65">
        <v>-168</v>
      </c>
      <c r="KN65">
        <v>0</v>
      </c>
      <c r="KO65">
        <v>-4379</v>
      </c>
      <c r="KP65">
        <v>-2</v>
      </c>
      <c r="KQ65">
        <v>4699</v>
      </c>
      <c r="KR65">
        <v>13003</v>
      </c>
      <c r="KS65">
        <v>0</v>
      </c>
      <c r="KT65">
        <v>0</v>
      </c>
      <c r="KU65">
        <v>0</v>
      </c>
      <c r="KV65">
        <v>7569</v>
      </c>
      <c r="KW65">
        <v>5816</v>
      </c>
      <c r="KX65">
        <v>0</v>
      </c>
      <c r="KY65">
        <v>0</v>
      </c>
      <c r="KZ65">
        <v>0</v>
      </c>
      <c r="LA65">
        <v>5178</v>
      </c>
      <c r="LB65">
        <v>6567</v>
      </c>
      <c r="LC65">
        <v>0</v>
      </c>
      <c r="LD65">
        <v>-1692</v>
      </c>
      <c r="LE65">
        <v>0</v>
      </c>
      <c r="LF65">
        <v>-1195</v>
      </c>
      <c r="LG65">
        <v>0</v>
      </c>
      <c r="LH65">
        <v>171</v>
      </c>
      <c r="LI65">
        <v>-2716</v>
      </c>
      <c r="LJ65">
        <v>3765</v>
      </c>
      <c r="LK65">
        <v>4559</v>
      </c>
      <c r="LL65">
        <v>8324</v>
      </c>
      <c r="LM65">
        <v>0</v>
      </c>
      <c r="LN65">
        <v>0</v>
      </c>
      <c r="LO65">
        <v>0</v>
      </c>
      <c r="LP65">
        <v>21881</v>
      </c>
      <c r="LQ65">
        <v>18939</v>
      </c>
      <c r="LR65">
        <v>2942</v>
      </c>
      <c r="LS65">
        <v>12240</v>
      </c>
      <c r="LT65">
        <v>15182</v>
      </c>
      <c r="LU65">
        <v>0</v>
      </c>
      <c r="LV65">
        <v>208</v>
      </c>
      <c r="LW65">
        <v>110</v>
      </c>
      <c r="LX65">
        <v>0</v>
      </c>
      <c r="LY65">
        <v>0</v>
      </c>
      <c r="LZ65">
        <v>2286</v>
      </c>
      <c r="MA65">
        <v>2962</v>
      </c>
      <c r="MB65">
        <v>6654</v>
      </c>
      <c r="MC65">
        <v>-746</v>
      </c>
      <c r="MD65">
        <v>0</v>
      </c>
      <c r="ME65">
        <v>0</v>
      </c>
      <c r="MF65">
        <v>4895</v>
      </c>
      <c r="MG65">
        <v>0</v>
      </c>
      <c r="MH65">
        <v>16369</v>
      </c>
      <c r="MI65">
        <v>0</v>
      </c>
      <c r="MJ65">
        <v>0</v>
      </c>
      <c r="MK65">
        <v>0</v>
      </c>
      <c r="ML65">
        <v>0</v>
      </c>
      <c r="MM65">
        <v>0</v>
      </c>
      <c r="MN65">
        <v>0</v>
      </c>
      <c r="MO65">
        <v>0</v>
      </c>
      <c r="MP65">
        <v>0</v>
      </c>
      <c r="MQ65">
        <v>0</v>
      </c>
      <c r="MR65">
        <v>0</v>
      </c>
      <c r="MS65">
        <v>0</v>
      </c>
      <c r="MT65">
        <v>0</v>
      </c>
      <c r="MU65">
        <v>0</v>
      </c>
      <c r="MV65">
        <v>0</v>
      </c>
      <c r="MW65">
        <v>0</v>
      </c>
      <c r="MX65">
        <v>0</v>
      </c>
      <c r="MY65">
        <v>0</v>
      </c>
      <c r="MZ65">
        <v>92</v>
      </c>
      <c r="NA65">
        <v>43</v>
      </c>
      <c r="NB65">
        <v>0</v>
      </c>
      <c r="NC65">
        <v>43</v>
      </c>
      <c r="ND65">
        <v>0</v>
      </c>
      <c r="NE65">
        <v>0</v>
      </c>
      <c r="NF65">
        <v>0</v>
      </c>
      <c r="NG65">
        <v>0</v>
      </c>
      <c r="NH65">
        <v>0</v>
      </c>
      <c r="NI65">
        <v>0</v>
      </c>
      <c r="NJ65">
        <v>0</v>
      </c>
      <c r="NK65">
        <v>0</v>
      </c>
      <c r="NL65">
        <v>0</v>
      </c>
      <c r="NM65">
        <v>0</v>
      </c>
      <c r="NN65">
        <v>0</v>
      </c>
      <c r="NO65">
        <v>0</v>
      </c>
      <c r="NP65">
        <v>0</v>
      </c>
      <c r="NQ65">
        <v>0</v>
      </c>
      <c r="NR65">
        <v>0</v>
      </c>
      <c r="NS65">
        <v>0</v>
      </c>
      <c r="NT65">
        <v>0</v>
      </c>
      <c r="NU65">
        <v>0</v>
      </c>
      <c r="NV65">
        <v>0</v>
      </c>
      <c r="NW65">
        <v>0</v>
      </c>
      <c r="NX65">
        <v>0</v>
      </c>
      <c r="NY65">
        <v>0</v>
      </c>
      <c r="NZ65">
        <v>0</v>
      </c>
      <c r="OA65">
        <v>0</v>
      </c>
      <c r="OB65">
        <v>0</v>
      </c>
      <c r="OC65">
        <v>0</v>
      </c>
      <c r="OD65">
        <v>0</v>
      </c>
      <c r="OE65">
        <v>0</v>
      </c>
      <c r="OF65">
        <v>0</v>
      </c>
      <c r="OG65">
        <v>0</v>
      </c>
      <c r="OH65">
        <v>0</v>
      </c>
      <c r="OI65">
        <v>0</v>
      </c>
      <c r="OJ65">
        <v>0</v>
      </c>
      <c r="OK65">
        <v>0</v>
      </c>
      <c r="OL65">
        <v>0</v>
      </c>
      <c r="OM65">
        <v>0</v>
      </c>
      <c r="ON65">
        <v>0</v>
      </c>
    </row>
    <row r="66" spans="1:404" x14ac:dyDescent="0.25">
      <c r="A66" t="s">
        <v>264</v>
      </c>
      <c r="B66" t="s">
        <v>265</v>
      </c>
      <c r="C66" t="s">
        <v>263</v>
      </c>
      <c r="E66" t="s">
        <v>61</v>
      </c>
      <c r="F66">
        <v>0</v>
      </c>
      <c r="G66">
        <v>0</v>
      </c>
      <c r="H66">
        <v>0</v>
      </c>
      <c r="I66">
        <v>0</v>
      </c>
      <c r="J66">
        <v>0</v>
      </c>
      <c r="K66">
        <v>0</v>
      </c>
      <c r="L66">
        <v>0</v>
      </c>
      <c r="M66">
        <v>0</v>
      </c>
      <c r="N66">
        <v>0</v>
      </c>
      <c r="O66">
        <v>0</v>
      </c>
      <c r="P66">
        <v>0</v>
      </c>
      <c r="Q66">
        <v>0</v>
      </c>
      <c r="R66">
        <v>252</v>
      </c>
      <c r="S66">
        <v>-7</v>
      </c>
      <c r="T66">
        <v>0</v>
      </c>
      <c r="U66">
        <v>57</v>
      </c>
      <c r="V66">
        <v>0</v>
      </c>
      <c r="W66">
        <v>0</v>
      </c>
      <c r="X66">
        <v>0</v>
      </c>
      <c r="Y66">
        <v>9</v>
      </c>
      <c r="Z66">
        <v>1</v>
      </c>
      <c r="AA66">
        <v>-2595</v>
      </c>
      <c r="AB66">
        <v>0</v>
      </c>
      <c r="AC66">
        <v>0</v>
      </c>
      <c r="AD66">
        <v>0</v>
      </c>
      <c r="AE66">
        <v>0</v>
      </c>
      <c r="AF66">
        <v>0</v>
      </c>
      <c r="AG66">
        <v>4</v>
      </c>
      <c r="AH66">
        <v>0</v>
      </c>
      <c r="AI66">
        <v>-2279</v>
      </c>
      <c r="AJ66">
        <v>0</v>
      </c>
      <c r="AK66">
        <v>0</v>
      </c>
      <c r="AL66">
        <v>0</v>
      </c>
      <c r="AM66">
        <v>0</v>
      </c>
      <c r="AN66">
        <v>0</v>
      </c>
      <c r="AO66">
        <v>0</v>
      </c>
      <c r="AP66">
        <v>0</v>
      </c>
      <c r="AQ66">
        <v>0</v>
      </c>
      <c r="AR66">
        <v>0</v>
      </c>
      <c r="AS66">
        <v>0</v>
      </c>
      <c r="AT66">
        <v>0</v>
      </c>
      <c r="AU66">
        <v>0</v>
      </c>
      <c r="AV66">
        <v>0</v>
      </c>
      <c r="AW66">
        <v>0</v>
      </c>
      <c r="AX66">
        <v>0</v>
      </c>
      <c r="AY66">
        <v>0</v>
      </c>
      <c r="AZ66">
        <v>0</v>
      </c>
      <c r="BA66">
        <v>0</v>
      </c>
      <c r="BB66">
        <v>0</v>
      </c>
      <c r="BC66">
        <v>0</v>
      </c>
      <c r="BD66">
        <v>0</v>
      </c>
      <c r="BE66">
        <v>0</v>
      </c>
      <c r="BF66">
        <v>0</v>
      </c>
      <c r="BG66">
        <v>0</v>
      </c>
      <c r="BH66">
        <v>0</v>
      </c>
      <c r="BI66">
        <v>0</v>
      </c>
      <c r="BJ66">
        <v>0</v>
      </c>
      <c r="BK66">
        <v>0</v>
      </c>
      <c r="BL66">
        <v>0</v>
      </c>
      <c r="BM66">
        <v>0</v>
      </c>
      <c r="BN66">
        <v>0</v>
      </c>
      <c r="BO66">
        <v>0</v>
      </c>
      <c r="BP66">
        <v>0</v>
      </c>
      <c r="BQ66">
        <v>0</v>
      </c>
      <c r="BR66">
        <v>0</v>
      </c>
      <c r="BS66">
        <v>0</v>
      </c>
      <c r="BT66">
        <v>0</v>
      </c>
      <c r="BU66">
        <v>0</v>
      </c>
      <c r="BV66">
        <v>0</v>
      </c>
      <c r="BW66">
        <v>0</v>
      </c>
      <c r="BX66">
        <v>0</v>
      </c>
      <c r="BY66">
        <v>0</v>
      </c>
      <c r="BZ66">
        <v>0</v>
      </c>
      <c r="CA66">
        <v>0</v>
      </c>
      <c r="CB66">
        <v>0</v>
      </c>
      <c r="CC66">
        <v>0</v>
      </c>
      <c r="CD66">
        <v>0</v>
      </c>
      <c r="CE66">
        <v>0</v>
      </c>
      <c r="CF66">
        <v>0</v>
      </c>
      <c r="CG66">
        <v>0</v>
      </c>
      <c r="CH66">
        <v>0</v>
      </c>
      <c r="CI66">
        <v>0</v>
      </c>
      <c r="CJ66">
        <v>0</v>
      </c>
      <c r="CK66">
        <v>0</v>
      </c>
      <c r="CL66">
        <v>0</v>
      </c>
      <c r="CM66">
        <v>0</v>
      </c>
      <c r="CN66">
        <v>0</v>
      </c>
      <c r="CO66">
        <v>0</v>
      </c>
      <c r="CP66">
        <v>0</v>
      </c>
      <c r="CQ66">
        <v>0</v>
      </c>
      <c r="CR66">
        <v>0</v>
      </c>
      <c r="CS66">
        <v>0</v>
      </c>
      <c r="CT66">
        <v>0</v>
      </c>
      <c r="CU66">
        <v>0</v>
      </c>
      <c r="CV66">
        <v>0</v>
      </c>
      <c r="CW66">
        <v>0</v>
      </c>
      <c r="CX66">
        <v>0</v>
      </c>
      <c r="CY66">
        <v>0</v>
      </c>
      <c r="CZ66">
        <v>0</v>
      </c>
      <c r="DA66">
        <v>0</v>
      </c>
      <c r="DB66">
        <v>0</v>
      </c>
      <c r="DC66">
        <v>793</v>
      </c>
      <c r="DD66">
        <v>0</v>
      </c>
      <c r="DE66">
        <v>408</v>
      </c>
      <c r="DF66">
        <v>0</v>
      </c>
      <c r="DG66">
        <v>-9</v>
      </c>
      <c r="DH66">
        <v>705</v>
      </c>
      <c r="DI66">
        <v>76</v>
      </c>
      <c r="DJ66">
        <v>156</v>
      </c>
      <c r="DK66">
        <v>-31</v>
      </c>
      <c r="DL66">
        <v>133</v>
      </c>
      <c r="DM66">
        <v>3</v>
      </c>
      <c r="DN66">
        <v>570</v>
      </c>
      <c r="DO66">
        <v>0</v>
      </c>
      <c r="DP66">
        <v>1602</v>
      </c>
      <c r="DQ66">
        <v>0</v>
      </c>
      <c r="DR66">
        <v>312</v>
      </c>
      <c r="DS66">
        <v>0</v>
      </c>
      <c r="DT66">
        <v>1096</v>
      </c>
      <c r="DU66">
        <v>11</v>
      </c>
      <c r="DV66">
        <v>1897</v>
      </c>
      <c r="DW66">
        <v>0</v>
      </c>
      <c r="DX66">
        <v>6118</v>
      </c>
      <c r="DY66">
        <v>0</v>
      </c>
      <c r="DZ66">
        <v>0</v>
      </c>
      <c r="EA66">
        <v>0</v>
      </c>
      <c r="EB66">
        <v>0</v>
      </c>
      <c r="EC66">
        <v>0</v>
      </c>
      <c r="ED66">
        <v>0</v>
      </c>
      <c r="EE66">
        <v>0</v>
      </c>
      <c r="EF66">
        <v>0</v>
      </c>
      <c r="EG66">
        <v>0</v>
      </c>
      <c r="EH66">
        <v>0</v>
      </c>
      <c r="EI66">
        <v>0</v>
      </c>
      <c r="EJ66">
        <v>0</v>
      </c>
      <c r="EK66">
        <v>0</v>
      </c>
      <c r="EL66">
        <v>0</v>
      </c>
      <c r="EM66">
        <v>0</v>
      </c>
      <c r="EN66">
        <v>0</v>
      </c>
      <c r="EO66">
        <v>0</v>
      </c>
      <c r="EP66">
        <v>0</v>
      </c>
      <c r="EQ66">
        <v>0</v>
      </c>
      <c r="ER66">
        <v>0</v>
      </c>
      <c r="ES66">
        <v>0</v>
      </c>
      <c r="ET66">
        <v>0</v>
      </c>
      <c r="EU66">
        <v>0</v>
      </c>
      <c r="EV66">
        <v>218</v>
      </c>
      <c r="EW66">
        <v>74</v>
      </c>
      <c r="EX66">
        <v>1136</v>
      </c>
      <c r="EY66">
        <v>1165</v>
      </c>
      <c r="EZ66">
        <v>0</v>
      </c>
      <c r="FA66">
        <v>0</v>
      </c>
      <c r="FB66">
        <v>267</v>
      </c>
      <c r="FC66">
        <v>3558</v>
      </c>
      <c r="FD66">
        <v>2048</v>
      </c>
      <c r="FE66">
        <v>52</v>
      </c>
      <c r="FF66">
        <v>0</v>
      </c>
      <c r="FG66">
        <v>0</v>
      </c>
      <c r="FH66">
        <v>8518</v>
      </c>
      <c r="FI66">
        <v>-1054</v>
      </c>
      <c r="FJ66">
        <v>0</v>
      </c>
      <c r="FK66">
        <v>-1</v>
      </c>
      <c r="FL66">
        <v>189</v>
      </c>
      <c r="FM66">
        <v>440</v>
      </c>
      <c r="FN66">
        <v>0</v>
      </c>
      <c r="FO66">
        <v>0</v>
      </c>
      <c r="FP66">
        <v>0</v>
      </c>
      <c r="FQ66">
        <v>0</v>
      </c>
      <c r="FR66">
        <v>68</v>
      </c>
      <c r="FS66">
        <v>179</v>
      </c>
      <c r="FT66">
        <v>213</v>
      </c>
      <c r="FU66">
        <v>-69</v>
      </c>
      <c r="FV66">
        <v>495</v>
      </c>
      <c r="FW66">
        <v>0</v>
      </c>
      <c r="FX66">
        <v>449</v>
      </c>
      <c r="FY66">
        <v>0</v>
      </c>
      <c r="FZ66">
        <v>1</v>
      </c>
      <c r="GA66">
        <v>0</v>
      </c>
      <c r="GB66">
        <v>0</v>
      </c>
      <c r="GC66">
        <v>0</v>
      </c>
      <c r="GD66">
        <v>2038</v>
      </c>
      <c r="GE66">
        <v>2642</v>
      </c>
      <c r="GF66">
        <v>0</v>
      </c>
      <c r="GG66">
        <v>-140</v>
      </c>
      <c r="GH66">
        <v>1708</v>
      </c>
      <c r="GI66">
        <v>199</v>
      </c>
      <c r="GJ66">
        <v>0</v>
      </c>
      <c r="GK66">
        <v>7360</v>
      </c>
      <c r="GL66">
        <v>326</v>
      </c>
      <c r="GM66">
        <v>1803</v>
      </c>
      <c r="GN66">
        <v>0</v>
      </c>
      <c r="GO66">
        <v>1025</v>
      </c>
      <c r="GP66">
        <v>8</v>
      </c>
      <c r="GQ66">
        <v>759</v>
      </c>
      <c r="GR66">
        <v>0</v>
      </c>
      <c r="GS66">
        <v>2138</v>
      </c>
      <c r="GT66">
        <v>-5</v>
      </c>
      <c r="GU66">
        <v>6054</v>
      </c>
      <c r="GV66">
        <v>21931</v>
      </c>
      <c r="GW66">
        <v>0</v>
      </c>
      <c r="GX66">
        <v>0</v>
      </c>
      <c r="GY66">
        <v>0</v>
      </c>
      <c r="GZ66">
        <v>0</v>
      </c>
      <c r="HA66">
        <v>0</v>
      </c>
      <c r="HB66">
        <v>4085</v>
      </c>
      <c r="HC66">
        <v>640</v>
      </c>
      <c r="HD66">
        <v>0</v>
      </c>
      <c r="HE66">
        <v>0</v>
      </c>
      <c r="HF66">
        <v>365</v>
      </c>
      <c r="HG66">
        <v>164</v>
      </c>
      <c r="HH66">
        <v>0</v>
      </c>
      <c r="HI66">
        <v>0</v>
      </c>
      <c r="HJ66">
        <v>292</v>
      </c>
      <c r="HK66">
        <v>158</v>
      </c>
      <c r="HL66">
        <v>0</v>
      </c>
      <c r="HM66">
        <v>-64</v>
      </c>
      <c r="HN66">
        <v>0</v>
      </c>
      <c r="HO66">
        <v>305</v>
      </c>
      <c r="HP66">
        <v>0</v>
      </c>
      <c r="HQ66">
        <v>0</v>
      </c>
      <c r="HR66">
        <v>478</v>
      </c>
      <c r="HS66">
        <v>0</v>
      </c>
      <c r="HT66">
        <v>0</v>
      </c>
      <c r="HU66">
        <v>-328</v>
      </c>
      <c r="HV66">
        <v>6094</v>
      </c>
      <c r="HW66">
        <v>3668</v>
      </c>
      <c r="HX66">
        <v>10355</v>
      </c>
      <c r="HY66">
        <v>0</v>
      </c>
      <c r="HZ66">
        <v>0</v>
      </c>
      <c r="IA66">
        <v>261</v>
      </c>
      <c r="IB66">
        <v>0</v>
      </c>
      <c r="IC66">
        <v>0</v>
      </c>
      <c r="ID66">
        <v>-2279</v>
      </c>
      <c r="IE66">
        <v>0</v>
      </c>
      <c r="IF66">
        <v>0</v>
      </c>
      <c r="IG66">
        <v>0</v>
      </c>
      <c r="IH66">
        <v>6118</v>
      </c>
      <c r="II66">
        <v>8518</v>
      </c>
      <c r="IJ66">
        <v>7360</v>
      </c>
      <c r="IK66">
        <v>6054</v>
      </c>
      <c r="IL66">
        <v>0</v>
      </c>
      <c r="IM66">
        <v>0</v>
      </c>
      <c r="IN66">
        <v>6094</v>
      </c>
      <c r="IO66">
        <v>0</v>
      </c>
      <c r="IP66">
        <v>31864</v>
      </c>
      <c r="IQ66">
        <v>29485</v>
      </c>
      <c r="IR66">
        <v>1432</v>
      </c>
      <c r="IS66">
        <v>0</v>
      </c>
      <c r="IT66">
        <v>0</v>
      </c>
      <c r="IU66">
        <v>0</v>
      </c>
      <c r="IV66">
        <v>2738</v>
      </c>
      <c r="IW66">
        <v>0</v>
      </c>
      <c r="IX66">
        <v>0</v>
      </c>
      <c r="IY66">
        <v>0</v>
      </c>
      <c r="IZ66">
        <v>0</v>
      </c>
      <c r="JA66">
        <v>-3073</v>
      </c>
      <c r="JB66">
        <v>268</v>
      </c>
      <c r="JC66">
        <v>-37</v>
      </c>
      <c r="JD66">
        <v>-208</v>
      </c>
      <c r="JE66">
        <v>17</v>
      </c>
      <c r="JF66">
        <v>0</v>
      </c>
      <c r="JG66">
        <v>62487</v>
      </c>
      <c r="JH66">
        <v>0</v>
      </c>
      <c r="JI66">
        <v>1988</v>
      </c>
      <c r="JJ66">
        <v>0</v>
      </c>
      <c r="JK66">
        <v>0</v>
      </c>
      <c r="JL66">
        <v>0</v>
      </c>
      <c r="JM66">
        <v>21</v>
      </c>
      <c r="JN66">
        <v>333</v>
      </c>
      <c r="JO66">
        <v>0</v>
      </c>
      <c r="JP66">
        <v>20</v>
      </c>
      <c r="JQ66">
        <v>0</v>
      </c>
      <c r="JR66">
        <v>64848</v>
      </c>
      <c r="JS66">
        <v>-616</v>
      </c>
      <c r="JT66">
        <v>0</v>
      </c>
      <c r="JU66">
        <v>0</v>
      </c>
      <c r="JV66">
        <v>0</v>
      </c>
      <c r="JW66">
        <v>-31438</v>
      </c>
      <c r="JX66">
        <v>0</v>
      </c>
      <c r="JY66">
        <v>-120</v>
      </c>
      <c r="JZ66">
        <v>0</v>
      </c>
      <c r="KA66">
        <v>0</v>
      </c>
      <c r="KB66">
        <v>0</v>
      </c>
      <c r="KC66">
        <v>32673</v>
      </c>
      <c r="KD66">
        <v>0</v>
      </c>
      <c r="KE66">
        <v>-9568</v>
      </c>
      <c r="KF66">
        <v>23106</v>
      </c>
      <c r="KG66">
        <v>0</v>
      </c>
      <c r="KH66">
        <v>0</v>
      </c>
      <c r="KI66">
        <v>0</v>
      </c>
      <c r="KJ66">
        <v>0</v>
      </c>
      <c r="KK66">
        <v>-8939</v>
      </c>
      <c r="KL66">
        <v>-1679</v>
      </c>
      <c r="KM66">
        <v>0</v>
      </c>
      <c r="KN66">
        <v>0</v>
      </c>
      <c r="KO66">
        <v>7005</v>
      </c>
      <c r="KP66">
        <v>53</v>
      </c>
      <c r="KQ66">
        <v>-5</v>
      </c>
      <c r="KR66">
        <v>16725</v>
      </c>
      <c r="KS66">
        <v>0</v>
      </c>
      <c r="KT66">
        <v>0</v>
      </c>
      <c r="KU66">
        <v>0</v>
      </c>
      <c r="KV66">
        <v>21865</v>
      </c>
      <c r="KW66">
        <v>16817</v>
      </c>
      <c r="KX66">
        <v>0</v>
      </c>
      <c r="KY66">
        <v>0</v>
      </c>
      <c r="KZ66">
        <v>0</v>
      </c>
      <c r="LA66">
        <v>12926</v>
      </c>
      <c r="LB66">
        <v>15138</v>
      </c>
      <c r="LC66">
        <v>0</v>
      </c>
      <c r="LD66">
        <v>6900</v>
      </c>
      <c r="LE66">
        <v>4732</v>
      </c>
      <c r="LF66">
        <v>-5312</v>
      </c>
      <c r="LG66">
        <v>0</v>
      </c>
      <c r="LH66">
        <v>1567</v>
      </c>
      <c r="LI66">
        <v>7887</v>
      </c>
      <c r="LJ66">
        <v>3315</v>
      </c>
      <c r="LK66">
        <v>3664</v>
      </c>
      <c r="LL66">
        <v>6979</v>
      </c>
      <c r="LM66">
        <v>0</v>
      </c>
      <c r="LN66">
        <v>0</v>
      </c>
      <c r="LO66">
        <v>0</v>
      </c>
      <c r="LP66">
        <v>0</v>
      </c>
      <c r="LQ66">
        <v>0</v>
      </c>
      <c r="LR66">
        <v>0</v>
      </c>
      <c r="LS66">
        <v>0</v>
      </c>
      <c r="LT66">
        <v>0</v>
      </c>
      <c r="LU66">
        <v>0</v>
      </c>
      <c r="LV66">
        <v>-2279</v>
      </c>
      <c r="LW66">
        <v>0</v>
      </c>
      <c r="LX66">
        <v>0</v>
      </c>
      <c r="LY66">
        <v>0</v>
      </c>
      <c r="LZ66">
        <v>6118</v>
      </c>
      <c r="MA66">
        <v>8518</v>
      </c>
      <c r="MB66">
        <v>7360</v>
      </c>
      <c r="MC66">
        <v>6054</v>
      </c>
      <c r="MD66">
        <v>0</v>
      </c>
      <c r="ME66">
        <v>0</v>
      </c>
      <c r="MF66">
        <v>6094</v>
      </c>
      <c r="MG66">
        <v>0</v>
      </c>
      <c r="MH66">
        <v>31864</v>
      </c>
      <c r="MI66">
        <v>0</v>
      </c>
      <c r="MJ66">
        <v>0</v>
      </c>
      <c r="MK66">
        <v>0</v>
      </c>
      <c r="ML66">
        <v>0</v>
      </c>
      <c r="MM66">
        <v>0</v>
      </c>
      <c r="MN66">
        <v>0</v>
      </c>
      <c r="MO66">
        <v>0</v>
      </c>
      <c r="MP66">
        <v>0</v>
      </c>
      <c r="MQ66">
        <v>0</v>
      </c>
      <c r="MR66">
        <v>0</v>
      </c>
      <c r="MS66">
        <v>0</v>
      </c>
      <c r="MT66">
        <v>0</v>
      </c>
      <c r="MU66">
        <v>0</v>
      </c>
      <c r="MV66">
        <v>0</v>
      </c>
      <c r="MW66">
        <v>-3162</v>
      </c>
      <c r="MX66">
        <v>0</v>
      </c>
      <c r="MY66">
        <v>0</v>
      </c>
      <c r="MZ66">
        <v>52</v>
      </c>
      <c r="NA66">
        <v>-3110</v>
      </c>
      <c r="NB66">
        <v>37</v>
      </c>
      <c r="NC66">
        <v>-3073</v>
      </c>
      <c r="ND66">
        <v>0</v>
      </c>
      <c r="NE66">
        <v>0</v>
      </c>
      <c r="NF66">
        <v>0</v>
      </c>
      <c r="NG66">
        <v>0</v>
      </c>
      <c r="NH66">
        <v>0</v>
      </c>
      <c r="NI66">
        <v>0</v>
      </c>
      <c r="NJ66">
        <v>0</v>
      </c>
      <c r="NK66">
        <v>0</v>
      </c>
      <c r="NL66">
        <v>0</v>
      </c>
      <c r="NM66">
        <v>0</v>
      </c>
      <c r="NN66">
        <v>0</v>
      </c>
      <c r="NO66">
        <v>0</v>
      </c>
      <c r="NP66">
        <v>64</v>
      </c>
      <c r="NQ66">
        <v>-3</v>
      </c>
      <c r="NR66">
        <v>0</v>
      </c>
      <c r="NS66">
        <v>0</v>
      </c>
      <c r="NT66">
        <v>0</v>
      </c>
      <c r="NU66">
        <v>0</v>
      </c>
      <c r="NV66">
        <v>0</v>
      </c>
      <c r="NW66">
        <v>0</v>
      </c>
      <c r="NX66">
        <v>0</v>
      </c>
      <c r="NY66">
        <v>0</v>
      </c>
      <c r="NZ66">
        <v>61</v>
      </c>
      <c r="OA66">
        <v>208</v>
      </c>
      <c r="OB66">
        <v>268</v>
      </c>
      <c r="OC66">
        <v>61</v>
      </c>
      <c r="OD66">
        <v>36</v>
      </c>
      <c r="OE66">
        <v>-60</v>
      </c>
      <c r="OF66">
        <v>0</v>
      </c>
      <c r="OG66">
        <v>0</v>
      </c>
      <c r="OH66">
        <v>37</v>
      </c>
      <c r="OI66">
        <v>208</v>
      </c>
      <c r="OJ66">
        <v>0</v>
      </c>
      <c r="OK66">
        <v>0</v>
      </c>
      <c r="OL66">
        <v>0</v>
      </c>
      <c r="OM66">
        <v>0</v>
      </c>
      <c r="ON66">
        <v>208</v>
      </c>
    </row>
    <row r="67" spans="1:404" x14ac:dyDescent="0.25">
      <c r="A67" t="s">
        <v>267</v>
      </c>
      <c r="B67" t="s">
        <v>268</v>
      </c>
      <c r="C67" t="s">
        <v>266</v>
      </c>
      <c r="E67" t="s">
        <v>61</v>
      </c>
      <c r="F67">
        <v>0</v>
      </c>
      <c r="G67">
        <v>0</v>
      </c>
      <c r="H67">
        <v>0</v>
      </c>
      <c r="I67">
        <v>0</v>
      </c>
      <c r="J67">
        <v>0</v>
      </c>
      <c r="K67">
        <v>0</v>
      </c>
      <c r="L67">
        <v>0</v>
      </c>
      <c r="M67">
        <v>0</v>
      </c>
      <c r="N67">
        <v>0</v>
      </c>
      <c r="O67">
        <v>0</v>
      </c>
      <c r="P67">
        <v>0</v>
      </c>
      <c r="Q67">
        <v>0</v>
      </c>
      <c r="R67">
        <v>0</v>
      </c>
      <c r="S67">
        <v>45</v>
      </c>
      <c r="T67">
        <v>0</v>
      </c>
      <c r="U67">
        <v>0</v>
      </c>
      <c r="V67">
        <v>0</v>
      </c>
      <c r="W67">
        <v>0</v>
      </c>
      <c r="X67">
        <v>0</v>
      </c>
      <c r="Y67">
        <v>0</v>
      </c>
      <c r="Z67">
        <v>0</v>
      </c>
      <c r="AA67">
        <v>-2064</v>
      </c>
      <c r="AB67">
        <v>0</v>
      </c>
      <c r="AC67">
        <v>0</v>
      </c>
      <c r="AD67">
        <v>0</v>
      </c>
      <c r="AE67">
        <v>0</v>
      </c>
      <c r="AF67">
        <v>0</v>
      </c>
      <c r="AG67">
        <v>15</v>
      </c>
      <c r="AH67">
        <v>-10</v>
      </c>
      <c r="AI67">
        <v>-2014</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0</v>
      </c>
      <c r="BF67">
        <v>0</v>
      </c>
      <c r="BG67">
        <v>0</v>
      </c>
      <c r="BH67">
        <v>0</v>
      </c>
      <c r="BI67">
        <v>0</v>
      </c>
      <c r="BJ67">
        <v>0</v>
      </c>
      <c r="BK67">
        <v>0</v>
      </c>
      <c r="BL67">
        <v>0</v>
      </c>
      <c r="BM67">
        <v>0</v>
      </c>
      <c r="BN67">
        <v>0</v>
      </c>
      <c r="BO67">
        <v>0</v>
      </c>
      <c r="BP67">
        <v>0</v>
      </c>
      <c r="BQ67">
        <v>0</v>
      </c>
      <c r="BR67">
        <v>0</v>
      </c>
      <c r="BS67">
        <v>0</v>
      </c>
      <c r="BT67">
        <v>0</v>
      </c>
      <c r="BU67">
        <v>0</v>
      </c>
      <c r="BV67">
        <v>0</v>
      </c>
      <c r="BW67">
        <v>0</v>
      </c>
      <c r="BX67">
        <v>0</v>
      </c>
      <c r="BY67">
        <v>0</v>
      </c>
      <c r="BZ67">
        <v>0</v>
      </c>
      <c r="CA67">
        <v>0</v>
      </c>
      <c r="CB67">
        <v>0</v>
      </c>
      <c r="CC67">
        <v>0</v>
      </c>
      <c r="CD67">
        <v>0</v>
      </c>
      <c r="CE67">
        <v>0</v>
      </c>
      <c r="CF67">
        <v>0</v>
      </c>
      <c r="CG67">
        <v>0</v>
      </c>
      <c r="CH67">
        <v>0</v>
      </c>
      <c r="CI67">
        <v>0</v>
      </c>
      <c r="CJ67">
        <v>0</v>
      </c>
      <c r="CK67">
        <v>0</v>
      </c>
      <c r="CL67">
        <v>0</v>
      </c>
      <c r="CM67">
        <v>0</v>
      </c>
      <c r="CN67">
        <v>0</v>
      </c>
      <c r="CO67">
        <v>0</v>
      </c>
      <c r="CP67">
        <v>0</v>
      </c>
      <c r="CQ67">
        <v>0</v>
      </c>
      <c r="CR67">
        <v>0</v>
      </c>
      <c r="CS67">
        <v>0</v>
      </c>
      <c r="CT67">
        <v>0</v>
      </c>
      <c r="CU67">
        <v>0</v>
      </c>
      <c r="CV67">
        <v>0</v>
      </c>
      <c r="CW67">
        <v>0</v>
      </c>
      <c r="CX67">
        <v>0</v>
      </c>
      <c r="CY67">
        <v>0</v>
      </c>
      <c r="CZ67">
        <v>0</v>
      </c>
      <c r="DA67">
        <v>0</v>
      </c>
      <c r="DB67">
        <v>0</v>
      </c>
      <c r="DC67">
        <v>-32</v>
      </c>
      <c r="DD67">
        <v>0</v>
      </c>
      <c r="DE67">
        <v>0</v>
      </c>
      <c r="DF67">
        <v>0</v>
      </c>
      <c r="DG67">
        <v>0</v>
      </c>
      <c r="DH67">
        <v>0</v>
      </c>
      <c r="DI67">
        <v>0</v>
      </c>
      <c r="DJ67">
        <v>0</v>
      </c>
      <c r="DK67">
        <v>0</v>
      </c>
      <c r="DL67">
        <v>0</v>
      </c>
      <c r="DM67">
        <v>0</v>
      </c>
      <c r="DN67">
        <v>695</v>
      </c>
      <c r="DO67">
        <v>0</v>
      </c>
      <c r="DP67">
        <v>695</v>
      </c>
      <c r="DQ67">
        <v>0</v>
      </c>
      <c r="DR67">
        <v>0</v>
      </c>
      <c r="DS67">
        <v>0</v>
      </c>
      <c r="DT67">
        <v>443</v>
      </c>
      <c r="DU67">
        <v>0</v>
      </c>
      <c r="DV67">
        <v>0</v>
      </c>
      <c r="DW67">
        <v>0</v>
      </c>
      <c r="DX67">
        <v>1106</v>
      </c>
      <c r="DY67">
        <v>19496</v>
      </c>
      <c r="DZ67">
        <v>491</v>
      </c>
      <c r="EA67">
        <v>858</v>
      </c>
      <c r="EB67">
        <v>250</v>
      </c>
      <c r="EC67">
        <v>0</v>
      </c>
      <c r="ED67">
        <v>25</v>
      </c>
      <c r="EE67">
        <v>0</v>
      </c>
      <c r="EF67">
        <v>0</v>
      </c>
      <c r="EG67">
        <v>0</v>
      </c>
      <c r="EH67">
        <v>4700</v>
      </c>
      <c r="EI67">
        <v>8000</v>
      </c>
      <c r="EJ67">
        <v>0</v>
      </c>
      <c r="EK67">
        <v>120</v>
      </c>
      <c r="EL67">
        <v>1864</v>
      </c>
      <c r="EM67">
        <v>5369</v>
      </c>
      <c r="EN67">
        <v>2</v>
      </c>
      <c r="EO67">
        <v>87</v>
      </c>
      <c r="EP67">
        <v>0</v>
      </c>
      <c r="EQ67">
        <v>-5</v>
      </c>
      <c r="ER67">
        <v>160</v>
      </c>
      <c r="ES67">
        <v>1500</v>
      </c>
      <c r="ET67">
        <v>2323</v>
      </c>
      <c r="EU67">
        <v>0</v>
      </c>
      <c r="EV67">
        <v>0</v>
      </c>
      <c r="EW67">
        <v>806</v>
      </c>
      <c r="EX67">
        <v>481</v>
      </c>
      <c r="EY67">
        <v>185</v>
      </c>
      <c r="EZ67">
        <v>0</v>
      </c>
      <c r="FA67">
        <v>0</v>
      </c>
      <c r="FB67">
        <v>0</v>
      </c>
      <c r="FC67">
        <v>545</v>
      </c>
      <c r="FD67">
        <v>1453</v>
      </c>
      <c r="FE67">
        <v>10</v>
      </c>
      <c r="FF67">
        <v>184</v>
      </c>
      <c r="FG67">
        <v>0</v>
      </c>
      <c r="FH67">
        <v>3664</v>
      </c>
      <c r="FI67">
        <v>-883</v>
      </c>
      <c r="FJ67">
        <v>0</v>
      </c>
      <c r="FK67">
        <v>0</v>
      </c>
      <c r="FL67">
        <v>-2</v>
      </c>
      <c r="FM67">
        <v>189</v>
      </c>
      <c r="FN67">
        <v>252</v>
      </c>
      <c r="FO67">
        <v>0</v>
      </c>
      <c r="FP67">
        <v>0</v>
      </c>
      <c r="FQ67">
        <v>0</v>
      </c>
      <c r="FR67">
        <v>63</v>
      </c>
      <c r="FS67">
        <v>157</v>
      </c>
      <c r="FT67">
        <v>0</v>
      </c>
      <c r="FU67">
        <v>-147</v>
      </c>
      <c r="FV67">
        <v>23</v>
      </c>
      <c r="FW67">
        <v>-67</v>
      </c>
      <c r="FX67">
        <v>30</v>
      </c>
      <c r="FY67">
        <v>77</v>
      </c>
      <c r="FZ67">
        <v>0</v>
      </c>
      <c r="GA67">
        <v>0</v>
      </c>
      <c r="GB67">
        <v>0</v>
      </c>
      <c r="GC67">
        <v>0</v>
      </c>
      <c r="GD67">
        <v>932</v>
      </c>
      <c r="GE67">
        <v>867</v>
      </c>
      <c r="GF67">
        <v>0</v>
      </c>
      <c r="GG67">
        <v>26</v>
      </c>
      <c r="GH67">
        <v>1954</v>
      </c>
      <c r="GI67">
        <v>0</v>
      </c>
      <c r="GJ67">
        <v>119</v>
      </c>
      <c r="GK67">
        <v>3590</v>
      </c>
      <c r="GL67">
        <v>-135</v>
      </c>
      <c r="GM67">
        <v>516</v>
      </c>
      <c r="GN67">
        <v>0</v>
      </c>
      <c r="GO67">
        <v>870</v>
      </c>
      <c r="GP67">
        <v>0</v>
      </c>
      <c r="GQ67">
        <v>-58</v>
      </c>
      <c r="GR67">
        <v>0</v>
      </c>
      <c r="GS67">
        <v>0</v>
      </c>
      <c r="GT67">
        <v>102</v>
      </c>
      <c r="GU67">
        <v>1295</v>
      </c>
      <c r="GV67">
        <v>8549</v>
      </c>
      <c r="GW67">
        <v>0</v>
      </c>
      <c r="GX67">
        <v>0</v>
      </c>
      <c r="GY67">
        <v>0</v>
      </c>
      <c r="GZ67">
        <v>0</v>
      </c>
      <c r="HA67">
        <v>0</v>
      </c>
      <c r="HB67">
        <v>4322</v>
      </c>
      <c r="HC67">
        <v>472</v>
      </c>
      <c r="HD67">
        <v>0</v>
      </c>
      <c r="HE67">
        <v>0</v>
      </c>
      <c r="HF67">
        <v>-48</v>
      </c>
      <c r="HG67">
        <v>-114</v>
      </c>
      <c r="HH67">
        <v>0</v>
      </c>
      <c r="HI67">
        <v>0</v>
      </c>
      <c r="HJ67">
        <v>126</v>
      </c>
      <c r="HK67">
        <v>182</v>
      </c>
      <c r="HL67">
        <v>24</v>
      </c>
      <c r="HM67">
        <v>-118</v>
      </c>
      <c r="HN67">
        <v>0</v>
      </c>
      <c r="HO67">
        <v>0</v>
      </c>
      <c r="HP67">
        <v>0</v>
      </c>
      <c r="HQ67">
        <v>0</v>
      </c>
      <c r="HR67">
        <v>3193</v>
      </c>
      <c r="HS67">
        <v>-48</v>
      </c>
      <c r="HT67">
        <v>0</v>
      </c>
      <c r="HU67">
        <v>6434</v>
      </c>
      <c r="HV67">
        <v>14425</v>
      </c>
      <c r="HW67">
        <v>0</v>
      </c>
      <c r="HX67">
        <v>6</v>
      </c>
      <c r="HY67">
        <v>0</v>
      </c>
      <c r="HZ67">
        <v>706</v>
      </c>
      <c r="IA67">
        <v>562</v>
      </c>
      <c r="IB67">
        <v>0</v>
      </c>
      <c r="IC67">
        <v>0</v>
      </c>
      <c r="ID67">
        <v>-2014</v>
      </c>
      <c r="IE67">
        <v>0</v>
      </c>
      <c r="IF67">
        <v>0</v>
      </c>
      <c r="IG67">
        <v>0</v>
      </c>
      <c r="IH67">
        <v>1106</v>
      </c>
      <c r="II67">
        <v>3664</v>
      </c>
      <c r="IJ67">
        <v>3590</v>
      </c>
      <c r="IK67">
        <v>1295</v>
      </c>
      <c r="IL67">
        <v>0</v>
      </c>
      <c r="IM67">
        <v>0</v>
      </c>
      <c r="IN67">
        <v>14425</v>
      </c>
      <c r="IO67">
        <v>0</v>
      </c>
      <c r="IP67">
        <v>22066</v>
      </c>
      <c r="IQ67">
        <v>14499</v>
      </c>
      <c r="IR67">
        <v>0</v>
      </c>
      <c r="IS67">
        <v>6493</v>
      </c>
      <c r="IT67">
        <v>0</v>
      </c>
      <c r="IU67">
        <v>0</v>
      </c>
      <c r="IV67">
        <v>337</v>
      </c>
      <c r="IW67">
        <v>0</v>
      </c>
      <c r="IX67">
        <v>0</v>
      </c>
      <c r="IY67">
        <v>0</v>
      </c>
      <c r="IZ67">
        <v>0</v>
      </c>
      <c r="JA67">
        <v>0</v>
      </c>
      <c r="JB67">
        <v>0</v>
      </c>
      <c r="JC67">
        <v>0</v>
      </c>
      <c r="JD67">
        <v>0</v>
      </c>
      <c r="JE67">
        <v>0</v>
      </c>
      <c r="JF67">
        <v>0</v>
      </c>
      <c r="JG67">
        <v>43395</v>
      </c>
      <c r="JH67">
        <v>0</v>
      </c>
      <c r="JI67">
        <v>0</v>
      </c>
      <c r="JJ67">
        <v>0</v>
      </c>
      <c r="JK67">
        <v>0</v>
      </c>
      <c r="JL67">
        <v>0</v>
      </c>
      <c r="JM67">
        <v>28</v>
      </c>
      <c r="JN67">
        <v>904</v>
      </c>
      <c r="JO67">
        <v>0</v>
      </c>
      <c r="JP67">
        <v>3892</v>
      </c>
      <c r="JQ67">
        <v>-1862</v>
      </c>
      <c r="JR67">
        <v>46357</v>
      </c>
      <c r="JS67">
        <v>0</v>
      </c>
      <c r="JT67">
        <v>0</v>
      </c>
      <c r="JU67">
        <v>146</v>
      </c>
      <c r="JV67">
        <v>0</v>
      </c>
      <c r="JW67">
        <v>-20990</v>
      </c>
      <c r="JX67">
        <v>0</v>
      </c>
      <c r="JY67">
        <v>-1618</v>
      </c>
      <c r="JZ67">
        <v>0</v>
      </c>
      <c r="KA67">
        <v>0</v>
      </c>
      <c r="KB67">
        <v>0</v>
      </c>
      <c r="KC67">
        <v>23895</v>
      </c>
      <c r="KD67">
        <v>0</v>
      </c>
      <c r="KE67">
        <v>-2353</v>
      </c>
      <c r="KF67">
        <v>21542</v>
      </c>
      <c r="KG67">
        <v>0</v>
      </c>
      <c r="KH67">
        <v>0</v>
      </c>
      <c r="KI67">
        <v>0</v>
      </c>
      <c r="KJ67">
        <v>0</v>
      </c>
      <c r="KK67">
        <v>-8841</v>
      </c>
      <c r="KL67">
        <v>319</v>
      </c>
      <c r="KM67">
        <v>0</v>
      </c>
      <c r="KN67">
        <v>0</v>
      </c>
      <c r="KO67">
        <v>5030</v>
      </c>
      <c r="KP67">
        <v>-42</v>
      </c>
      <c r="KQ67">
        <v>0</v>
      </c>
      <c r="KR67">
        <v>9751</v>
      </c>
      <c r="KS67">
        <v>0</v>
      </c>
      <c r="KT67">
        <v>0</v>
      </c>
      <c r="KU67">
        <v>0</v>
      </c>
      <c r="KV67">
        <v>19475</v>
      </c>
      <c r="KW67">
        <v>1213</v>
      </c>
      <c r="KX67">
        <v>0</v>
      </c>
      <c r="KY67">
        <v>0</v>
      </c>
      <c r="KZ67">
        <v>0</v>
      </c>
      <c r="LA67">
        <v>10505</v>
      </c>
      <c r="LB67">
        <v>1532</v>
      </c>
      <c r="LC67">
        <v>-14907</v>
      </c>
      <c r="LD67">
        <v>4280</v>
      </c>
      <c r="LE67">
        <v>115</v>
      </c>
      <c r="LF67">
        <v>-13149</v>
      </c>
      <c r="LG67">
        <v>-6127</v>
      </c>
      <c r="LH67">
        <v>626</v>
      </c>
      <c r="LI67">
        <v>-14759</v>
      </c>
      <c r="LJ67">
        <v>2305</v>
      </c>
      <c r="LK67">
        <v>4506</v>
      </c>
      <c r="LL67">
        <v>6811</v>
      </c>
      <c r="LM67">
        <v>0</v>
      </c>
      <c r="LN67">
        <v>0</v>
      </c>
      <c r="LO67">
        <v>0</v>
      </c>
      <c r="LP67">
        <v>21120</v>
      </c>
      <c r="LQ67">
        <v>20297</v>
      </c>
      <c r="LR67">
        <v>823</v>
      </c>
      <c r="LS67">
        <v>1500</v>
      </c>
      <c r="LT67">
        <v>2323</v>
      </c>
      <c r="LU67">
        <v>0</v>
      </c>
      <c r="LV67">
        <v>-2014</v>
      </c>
      <c r="LW67">
        <v>0</v>
      </c>
      <c r="LX67">
        <v>0</v>
      </c>
      <c r="LY67">
        <v>0</v>
      </c>
      <c r="LZ67">
        <v>1106</v>
      </c>
      <c r="MA67">
        <v>3664</v>
      </c>
      <c r="MB67">
        <v>3590</v>
      </c>
      <c r="MC67">
        <v>1295</v>
      </c>
      <c r="MD67">
        <v>0</v>
      </c>
      <c r="ME67">
        <v>0</v>
      </c>
      <c r="MF67">
        <v>14425</v>
      </c>
      <c r="MG67">
        <v>0</v>
      </c>
      <c r="MH67">
        <v>22066</v>
      </c>
      <c r="MI67">
        <v>0</v>
      </c>
      <c r="MJ67">
        <v>0</v>
      </c>
      <c r="MK67">
        <v>0</v>
      </c>
      <c r="ML67">
        <v>0</v>
      </c>
      <c r="MM67">
        <v>0</v>
      </c>
      <c r="MN67">
        <v>0</v>
      </c>
      <c r="MO67">
        <v>0</v>
      </c>
      <c r="MP67">
        <v>0</v>
      </c>
      <c r="MQ67">
        <v>0</v>
      </c>
      <c r="MR67">
        <v>0</v>
      </c>
      <c r="MS67">
        <v>0</v>
      </c>
      <c r="MT67">
        <v>0</v>
      </c>
      <c r="MU67">
        <v>0</v>
      </c>
      <c r="MV67">
        <v>0</v>
      </c>
      <c r="MW67">
        <v>0</v>
      </c>
      <c r="MX67">
        <v>0</v>
      </c>
      <c r="MY67">
        <v>0</v>
      </c>
      <c r="MZ67">
        <v>0</v>
      </c>
      <c r="NA67">
        <v>0</v>
      </c>
      <c r="NB67">
        <v>0</v>
      </c>
      <c r="NC67">
        <v>0</v>
      </c>
      <c r="ND67">
        <v>0</v>
      </c>
      <c r="NE67">
        <v>0</v>
      </c>
      <c r="NF67">
        <v>0</v>
      </c>
      <c r="NG67">
        <v>0</v>
      </c>
      <c r="NH67">
        <v>0</v>
      </c>
      <c r="NI67">
        <v>0</v>
      </c>
      <c r="NJ67">
        <v>0</v>
      </c>
      <c r="NK67">
        <v>0</v>
      </c>
      <c r="NL67">
        <v>0</v>
      </c>
      <c r="NM67">
        <v>0</v>
      </c>
      <c r="NN67">
        <v>0</v>
      </c>
      <c r="NO67">
        <v>0</v>
      </c>
      <c r="NP67">
        <v>0</v>
      </c>
      <c r="NQ67">
        <v>0</v>
      </c>
      <c r="NR67">
        <v>0</v>
      </c>
      <c r="NS67">
        <v>0</v>
      </c>
      <c r="NT67">
        <v>0</v>
      </c>
      <c r="NU67">
        <v>0</v>
      </c>
      <c r="NV67">
        <v>0</v>
      </c>
      <c r="NW67">
        <v>0</v>
      </c>
      <c r="NX67">
        <v>0</v>
      </c>
      <c r="NY67">
        <v>0</v>
      </c>
      <c r="NZ67">
        <v>0</v>
      </c>
      <c r="OA67">
        <v>0</v>
      </c>
      <c r="OB67">
        <v>0</v>
      </c>
      <c r="OC67">
        <v>0</v>
      </c>
      <c r="OD67">
        <v>0</v>
      </c>
      <c r="OE67">
        <v>0</v>
      </c>
      <c r="OF67">
        <v>0</v>
      </c>
      <c r="OG67">
        <v>0</v>
      </c>
      <c r="OH67">
        <v>0</v>
      </c>
      <c r="OI67">
        <v>0</v>
      </c>
      <c r="OJ67">
        <v>0</v>
      </c>
      <c r="OK67">
        <v>0</v>
      </c>
      <c r="OL67">
        <v>0</v>
      </c>
      <c r="OM67">
        <v>0</v>
      </c>
      <c r="ON67">
        <v>0</v>
      </c>
    </row>
    <row r="68" spans="1:404" x14ac:dyDescent="0.25">
      <c r="A68" t="s">
        <v>270</v>
      </c>
      <c r="B68" t="s">
        <v>271</v>
      </c>
      <c r="C68" t="s">
        <v>269</v>
      </c>
      <c r="E68" t="s">
        <v>61</v>
      </c>
      <c r="F68">
        <v>0</v>
      </c>
      <c r="G68">
        <v>0</v>
      </c>
      <c r="H68">
        <v>0</v>
      </c>
      <c r="I68">
        <v>0</v>
      </c>
      <c r="J68">
        <v>0</v>
      </c>
      <c r="K68">
        <v>0</v>
      </c>
      <c r="L68">
        <v>0</v>
      </c>
      <c r="M68">
        <v>0</v>
      </c>
      <c r="N68">
        <v>29</v>
      </c>
      <c r="O68">
        <v>0</v>
      </c>
      <c r="P68">
        <v>0</v>
      </c>
      <c r="Q68">
        <v>0</v>
      </c>
      <c r="R68">
        <v>6</v>
      </c>
      <c r="S68">
        <v>0</v>
      </c>
      <c r="T68">
        <v>0</v>
      </c>
      <c r="U68">
        <v>0</v>
      </c>
      <c r="V68">
        <v>0</v>
      </c>
      <c r="W68">
        <v>0</v>
      </c>
      <c r="X68">
        <v>0</v>
      </c>
      <c r="Y68">
        <v>0</v>
      </c>
      <c r="Z68">
        <v>0</v>
      </c>
      <c r="AA68">
        <v>0</v>
      </c>
      <c r="AB68">
        <v>0</v>
      </c>
      <c r="AC68">
        <v>0</v>
      </c>
      <c r="AD68">
        <v>0</v>
      </c>
      <c r="AE68">
        <v>0</v>
      </c>
      <c r="AF68">
        <v>0</v>
      </c>
      <c r="AG68">
        <v>4</v>
      </c>
      <c r="AH68">
        <v>0</v>
      </c>
      <c r="AI68">
        <v>39</v>
      </c>
      <c r="AJ68">
        <v>0</v>
      </c>
      <c r="AK68">
        <v>0</v>
      </c>
      <c r="AL68">
        <v>0</v>
      </c>
      <c r="AM68">
        <v>0</v>
      </c>
      <c r="AN68">
        <v>0</v>
      </c>
      <c r="AO68">
        <v>0</v>
      </c>
      <c r="AP68">
        <v>0</v>
      </c>
      <c r="AQ68">
        <v>0</v>
      </c>
      <c r="AR68">
        <v>0</v>
      </c>
      <c r="AS68">
        <v>0</v>
      </c>
      <c r="AT68">
        <v>0</v>
      </c>
      <c r="AU68">
        <v>0</v>
      </c>
      <c r="AV68">
        <v>0</v>
      </c>
      <c r="AW68">
        <v>0</v>
      </c>
      <c r="AX68">
        <v>0</v>
      </c>
      <c r="AY68">
        <v>0</v>
      </c>
      <c r="AZ68">
        <v>0</v>
      </c>
      <c r="BA68">
        <v>0</v>
      </c>
      <c r="BB68">
        <v>0</v>
      </c>
      <c r="BC68">
        <v>0</v>
      </c>
      <c r="BD68">
        <v>0</v>
      </c>
      <c r="BE68">
        <v>0</v>
      </c>
      <c r="BF68">
        <v>0</v>
      </c>
      <c r="BG68">
        <v>0</v>
      </c>
      <c r="BH68">
        <v>0</v>
      </c>
      <c r="BI68">
        <v>0</v>
      </c>
      <c r="BJ68">
        <v>0</v>
      </c>
      <c r="BK68">
        <v>0</v>
      </c>
      <c r="BL68">
        <v>0</v>
      </c>
      <c r="BM68">
        <v>0</v>
      </c>
      <c r="BN68">
        <v>0</v>
      </c>
      <c r="BO68">
        <v>0</v>
      </c>
      <c r="BP68">
        <v>0</v>
      </c>
      <c r="BQ68">
        <v>0</v>
      </c>
      <c r="BR68">
        <v>0</v>
      </c>
      <c r="BS68">
        <v>0</v>
      </c>
      <c r="BT68">
        <v>0</v>
      </c>
      <c r="BU68">
        <v>0</v>
      </c>
      <c r="BV68">
        <v>0</v>
      </c>
      <c r="BW68">
        <v>0</v>
      </c>
      <c r="BX68">
        <v>0</v>
      </c>
      <c r="BY68">
        <v>0</v>
      </c>
      <c r="BZ68">
        <v>0</v>
      </c>
      <c r="CA68">
        <v>0</v>
      </c>
      <c r="CB68">
        <v>0</v>
      </c>
      <c r="CC68">
        <v>0</v>
      </c>
      <c r="CD68">
        <v>0</v>
      </c>
      <c r="CE68">
        <v>0</v>
      </c>
      <c r="CF68">
        <v>0</v>
      </c>
      <c r="CG68">
        <v>0</v>
      </c>
      <c r="CH68">
        <v>0</v>
      </c>
      <c r="CI68">
        <v>0</v>
      </c>
      <c r="CJ68">
        <v>0</v>
      </c>
      <c r="CK68">
        <v>0</v>
      </c>
      <c r="CL68">
        <v>0</v>
      </c>
      <c r="CM68">
        <v>0</v>
      </c>
      <c r="CN68">
        <v>0</v>
      </c>
      <c r="CO68">
        <v>0</v>
      </c>
      <c r="CP68">
        <v>0</v>
      </c>
      <c r="CQ68">
        <v>0</v>
      </c>
      <c r="CR68">
        <v>0</v>
      </c>
      <c r="CS68">
        <v>0</v>
      </c>
      <c r="CT68">
        <v>0</v>
      </c>
      <c r="CU68">
        <v>0</v>
      </c>
      <c r="CV68">
        <v>4892</v>
      </c>
      <c r="CW68">
        <v>0</v>
      </c>
      <c r="CX68">
        <v>0</v>
      </c>
      <c r="CY68">
        <v>0</v>
      </c>
      <c r="CZ68">
        <v>0</v>
      </c>
      <c r="DA68">
        <v>0</v>
      </c>
      <c r="DB68">
        <v>0</v>
      </c>
      <c r="DC68">
        <v>4112</v>
      </c>
      <c r="DD68">
        <v>0</v>
      </c>
      <c r="DE68">
        <v>0</v>
      </c>
      <c r="DF68">
        <v>2106</v>
      </c>
      <c r="DG68">
        <v>0</v>
      </c>
      <c r="DH68">
        <v>105</v>
      </c>
      <c r="DI68">
        <v>114</v>
      </c>
      <c r="DJ68">
        <v>-11</v>
      </c>
      <c r="DK68">
        <v>0</v>
      </c>
      <c r="DL68">
        <v>0</v>
      </c>
      <c r="DM68">
        <v>131</v>
      </c>
      <c r="DN68">
        <v>397</v>
      </c>
      <c r="DO68">
        <v>78</v>
      </c>
      <c r="DP68">
        <v>814</v>
      </c>
      <c r="DQ68">
        <v>0</v>
      </c>
      <c r="DR68">
        <v>0</v>
      </c>
      <c r="DS68">
        <v>0</v>
      </c>
      <c r="DT68">
        <v>762</v>
      </c>
      <c r="DU68">
        <v>539</v>
      </c>
      <c r="DV68">
        <v>295</v>
      </c>
      <c r="DW68">
        <v>0</v>
      </c>
      <c r="DX68">
        <v>8628</v>
      </c>
      <c r="DY68">
        <v>0</v>
      </c>
      <c r="DZ68">
        <v>0</v>
      </c>
      <c r="EA68">
        <v>0</v>
      </c>
      <c r="EB68">
        <v>0</v>
      </c>
      <c r="EC68">
        <v>0</v>
      </c>
      <c r="ED68">
        <v>0</v>
      </c>
      <c r="EE68">
        <v>0</v>
      </c>
      <c r="EF68">
        <v>0</v>
      </c>
      <c r="EG68">
        <v>0</v>
      </c>
      <c r="EH68">
        <v>0</v>
      </c>
      <c r="EI68">
        <v>0</v>
      </c>
      <c r="EJ68">
        <v>0</v>
      </c>
      <c r="EK68">
        <v>0</v>
      </c>
      <c r="EL68">
        <v>0</v>
      </c>
      <c r="EM68">
        <v>0</v>
      </c>
      <c r="EN68">
        <v>0</v>
      </c>
      <c r="EO68">
        <v>0</v>
      </c>
      <c r="EP68">
        <v>0</v>
      </c>
      <c r="EQ68">
        <v>0</v>
      </c>
      <c r="ER68">
        <v>0</v>
      </c>
      <c r="ES68">
        <v>0</v>
      </c>
      <c r="ET68">
        <v>0</v>
      </c>
      <c r="EU68">
        <v>0</v>
      </c>
      <c r="EV68">
        <v>225</v>
      </c>
      <c r="EW68">
        <v>0</v>
      </c>
      <c r="EX68">
        <v>458</v>
      </c>
      <c r="EY68">
        <v>0</v>
      </c>
      <c r="EZ68">
        <v>39</v>
      </c>
      <c r="FA68">
        <v>0</v>
      </c>
      <c r="FB68">
        <v>793</v>
      </c>
      <c r="FC68">
        <v>777</v>
      </c>
      <c r="FD68">
        <v>549</v>
      </c>
      <c r="FE68">
        <v>0</v>
      </c>
      <c r="FF68">
        <v>129</v>
      </c>
      <c r="FG68">
        <v>0</v>
      </c>
      <c r="FH68">
        <v>2970</v>
      </c>
      <c r="FI68">
        <v>8</v>
      </c>
      <c r="FJ68">
        <v>0</v>
      </c>
      <c r="FK68">
        <v>0</v>
      </c>
      <c r="FL68">
        <v>252</v>
      </c>
      <c r="FM68">
        <v>615</v>
      </c>
      <c r="FN68">
        <v>204</v>
      </c>
      <c r="FO68">
        <v>100</v>
      </c>
      <c r="FP68">
        <v>0</v>
      </c>
      <c r="FQ68">
        <v>0</v>
      </c>
      <c r="FR68">
        <v>10</v>
      </c>
      <c r="FS68">
        <v>142</v>
      </c>
      <c r="FT68">
        <v>-7</v>
      </c>
      <c r="FU68">
        <v>-41</v>
      </c>
      <c r="FV68">
        <v>0</v>
      </c>
      <c r="FW68">
        <v>571</v>
      </c>
      <c r="FX68">
        <v>129</v>
      </c>
      <c r="FY68">
        <v>3</v>
      </c>
      <c r="FZ68">
        <v>3</v>
      </c>
      <c r="GA68">
        <v>0</v>
      </c>
      <c r="GB68">
        <v>0</v>
      </c>
      <c r="GC68">
        <v>0</v>
      </c>
      <c r="GD68">
        <v>1305</v>
      </c>
      <c r="GE68">
        <v>2389</v>
      </c>
      <c r="GF68">
        <v>151</v>
      </c>
      <c r="GG68">
        <v>-47</v>
      </c>
      <c r="GH68">
        <v>2290</v>
      </c>
      <c r="GI68">
        <v>58</v>
      </c>
      <c r="GJ68">
        <v>173</v>
      </c>
      <c r="GK68">
        <v>8308</v>
      </c>
      <c r="GL68">
        <v>88</v>
      </c>
      <c r="GM68">
        <v>674</v>
      </c>
      <c r="GN68">
        <v>169</v>
      </c>
      <c r="GO68">
        <v>1071</v>
      </c>
      <c r="GP68">
        <v>31</v>
      </c>
      <c r="GQ68">
        <v>5985</v>
      </c>
      <c r="GR68">
        <v>0</v>
      </c>
      <c r="GS68">
        <v>40</v>
      </c>
      <c r="GT68">
        <v>1315</v>
      </c>
      <c r="GU68">
        <v>9373</v>
      </c>
      <c r="GV68">
        <v>20651</v>
      </c>
      <c r="GW68">
        <v>0</v>
      </c>
      <c r="GX68">
        <v>0</v>
      </c>
      <c r="GY68">
        <v>0</v>
      </c>
      <c r="GZ68">
        <v>0</v>
      </c>
      <c r="HA68">
        <v>0</v>
      </c>
      <c r="HB68">
        <v>2278</v>
      </c>
      <c r="HC68">
        <v>487</v>
      </c>
      <c r="HD68">
        <v>0</v>
      </c>
      <c r="HE68">
        <v>0</v>
      </c>
      <c r="HF68">
        <v>759</v>
      </c>
      <c r="HG68">
        <v>250</v>
      </c>
      <c r="HH68">
        <v>3</v>
      </c>
      <c r="HI68">
        <v>0</v>
      </c>
      <c r="HJ68">
        <v>115</v>
      </c>
      <c r="HK68">
        <v>211</v>
      </c>
      <c r="HL68">
        <v>103</v>
      </c>
      <c r="HM68">
        <v>25</v>
      </c>
      <c r="HN68">
        <v>89</v>
      </c>
      <c r="HO68">
        <v>271</v>
      </c>
      <c r="HP68">
        <v>0</v>
      </c>
      <c r="HQ68">
        <v>0</v>
      </c>
      <c r="HR68">
        <v>254</v>
      </c>
      <c r="HS68">
        <v>0</v>
      </c>
      <c r="HT68">
        <v>0</v>
      </c>
      <c r="HU68">
        <v>0</v>
      </c>
      <c r="HV68">
        <v>4845</v>
      </c>
      <c r="HW68">
        <v>578</v>
      </c>
      <c r="HX68">
        <v>4321</v>
      </c>
      <c r="HY68">
        <v>0</v>
      </c>
      <c r="HZ68">
        <v>459</v>
      </c>
      <c r="IA68">
        <v>0</v>
      </c>
      <c r="IB68">
        <v>0</v>
      </c>
      <c r="IC68">
        <v>0</v>
      </c>
      <c r="ID68">
        <v>39</v>
      </c>
      <c r="IE68">
        <v>0</v>
      </c>
      <c r="IF68">
        <v>0</v>
      </c>
      <c r="IG68">
        <v>4892</v>
      </c>
      <c r="IH68">
        <v>8628</v>
      </c>
      <c r="II68">
        <v>2970</v>
      </c>
      <c r="IJ68">
        <v>8308</v>
      </c>
      <c r="IK68">
        <v>9373</v>
      </c>
      <c r="IL68">
        <v>0</v>
      </c>
      <c r="IM68">
        <v>0</v>
      </c>
      <c r="IN68">
        <v>4845</v>
      </c>
      <c r="IO68">
        <v>0</v>
      </c>
      <c r="IP68">
        <v>39055</v>
      </c>
      <c r="IQ68">
        <v>21762</v>
      </c>
      <c r="IR68">
        <v>701</v>
      </c>
      <c r="IS68">
        <v>0</v>
      </c>
      <c r="IT68">
        <v>0</v>
      </c>
      <c r="IU68">
        <v>0</v>
      </c>
      <c r="IV68">
        <v>5451</v>
      </c>
      <c r="IW68">
        <v>0</v>
      </c>
      <c r="IX68">
        <v>0</v>
      </c>
      <c r="IY68">
        <v>0</v>
      </c>
      <c r="IZ68">
        <v>83</v>
      </c>
      <c r="JA68">
        <v>-4866</v>
      </c>
      <c r="JB68">
        <v>0</v>
      </c>
      <c r="JC68">
        <v>0</v>
      </c>
      <c r="JD68">
        <v>0</v>
      </c>
      <c r="JE68">
        <v>0</v>
      </c>
      <c r="JF68">
        <v>0</v>
      </c>
      <c r="JG68">
        <v>62186</v>
      </c>
      <c r="JH68">
        <v>0</v>
      </c>
      <c r="JI68">
        <v>3000</v>
      </c>
      <c r="JJ68">
        <v>0</v>
      </c>
      <c r="JK68">
        <v>0</v>
      </c>
      <c r="JL68">
        <v>-9390</v>
      </c>
      <c r="JM68">
        <v>443</v>
      </c>
      <c r="JN68">
        <v>1600</v>
      </c>
      <c r="JO68">
        <v>0</v>
      </c>
      <c r="JP68">
        <v>2228</v>
      </c>
      <c r="JQ68">
        <v>0</v>
      </c>
      <c r="JR68">
        <v>60067</v>
      </c>
      <c r="JS68">
        <v>-4395</v>
      </c>
      <c r="JT68">
        <v>0</v>
      </c>
      <c r="JU68">
        <v>0</v>
      </c>
      <c r="JV68">
        <v>0</v>
      </c>
      <c r="JW68">
        <v>-22710</v>
      </c>
      <c r="JX68">
        <v>0</v>
      </c>
      <c r="JY68">
        <v>0</v>
      </c>
      <c r="JZ68">
        <v>0</v>
      </c>
      <c r="KA68">
        <v>0</v>
      </c>
      <c r="KB68">
        <v>0</v>
      </c>
      <c r="KC68">
        <v>32962</v>
      </c>
      <c r="KD68">
        <v>0</v>
      </c>
      <c r="KE68">
        <v>-9287</v>
      </c>
      <c r="KF68">
        <v>23675</v>
      </c>
      <c r="KG68">
        <v>0</v>
      </c>
      <c r="KH68">
        <v>0</v>
      </c>
      <c r="KI68">
        <v>0</v>
      </c>
      <c r="KJ68">
        <v>0</v>
      </c>
      <c r="KK68">
        <v>-12978</v>
      </c>
      <c r="KL68">
        <v>431</v>
      </c>
      <c r="KM68">
        <v>-117</v>
      </c>
      <c r="KN68">
        <v>0</v>
      </c>
      <c r="KO68">
        <v>12578</v>
      </c>
      <c r="KP68">
        <v>-12</v>
      </c>
      <c r="KQ68">
        <v>0</v>
      </c>
      <c r="KR68">
        <v>13154</v>
      </c>
      <c r="KS68">
        <v>0</v>
      </c>
      <c r="KT68">
        <v>0</v>
      </c>
      <c r="KU68">
        <v>0</v>
      </c>
      <c r="KV68">
        <v>52884</v>
      </c>
      <c r="KW68">
        <v>5519</v>
      </c>
      <c r="KX68">
        <v>0</v>
      </c>
      <c r="KY68">
        <v>0</v>
      </c>
      <c r="KZ68">
        <v>0</v>
      </c>
      <c r="LA68">
        <v>39906</v>
      </c>
      <c r="LB68">
        <v>5950</v>
      </c>
      <c r="LC68">
        <v>0</v>
      </c>
      <c r="LD68">
        <v>3879</v>
      </c>
      <c r="LE68">
        <v>0</v>
      </c>
      <c r="LF68">
        <v>20718</v>
      </c>
      <c r="LG68">
        <v>-18954</v>
      </c>
      <c r="LH68">
        <v>9390</v>
      </c>
      <c r="LI68">
        <v>32815</v>
      </c>
      <c r="LJ68">
        <v>2880</v>
      </c>
      <c r="LK68">
        <v>4903</v>
      </c>
      <c r="LL68">
        <v>7783</v>
      </c>
      <c r="LM68">
        <v>0</v>
      </c>
      <c r="LN68">
        <v>0</v>
      </c>
      <c r="LO68">
        <v>0</v>
      </c>
      <c r="LP68">
        <v>0</v>
      </c>
      <c r="LQ68">
        <v>0</v>
      </c>
      <c r="LR68">
        <v>0</v>
      </c>
      <c r="LS68">
        <v>0</v>
      </c>
      <c r="LT68">
        <v>0</v>
      </c>
      <c r="LU68">
        <v>0</v>
      </c>
      <c r="LV68">
        <v>39</v>
      </c>
      <c r="LW68">
        <v>0</v>
      </c>
      <c r="LX68">
        <v>0</v>
      </c>
      <c r="LY68">
        <v>4892</v>
      </c>
      <c r="LZ68">
        <v>8628</v>
      </c>
      <c r="MA68">
        <v>2970</v>
      </c>
      <c r="MB68">
        <v>8308</v>
      </c>
      <c r="MC68">
        <v>9373</v>
      </c>
      <c r="MD68">
        <v>0</v>
      </c>
      <c r="ME68">
        <v>0</v>
      </c>
      <c r="MF68">
        <v>4845</v>
      </c>
      <c r="MG68">
        <v>0</v>
      </c>
      <c r="MH68">
        <v>39055</v>
      </c>
      <c r="MI68">
        <v>-401</v>
      </c>
      <c r="MJ68">
        <v>0</v>
      </c>
      <c r="MK68">
        <v>0</v>
      </c>
      <c r="ML68">
        <v>0</v>
      </c>
      <c r="MM68">
        <v>0</v>
      </c>
      <c r="MN68">
        <v>0</v>
      </c>
      <c r="MO68">
        <v>0</v>
      </c>
      <c r="MP68">
        <v>0</v>
      </c>
      <c r="MQ68">
        <v>0</v>
      </c>
      <c r="MR68">
        <v>0</v>
      </c>
      <c r="MS68">
        <v>0</v>
      </c>
      <c r="MT68">
        <v>0</v>
      </c>
      <c r="MU68">
        <v>0</v>
      </c>
      <c r="MV68">
        <v>0</v>
      </c>
      <c r="MW68">
        <v>0</v>
      </c>
      <c r="MX68">
        <v>0</v>
      </c>
      <c r="MY68">
        <v>-3174</v>
      </c>
      <c r="MZ68">
        <v>0</v>
      </c>
      <c r="NA68">
        <v>-4866</v>
      </c>
      <c r="NB68">
        <v>0</v>
      </c>
      <c r="NC68">
        <v>-4866</v>
      </c>
      <c r="ND68">
        <v>0</v>
      </c>
      <c r="NE68">
        <v>0</v>
      </c>
      <c r="NF68">
        <v>0</v>
      </c>
      <c r="NG68">
        <v>0</v>
      </c>
      <c r="NH68">
        <v>0</v>
      </c>
      <c r="NI68">
        <v>0</v>
      </c>
      <c r="NJ68">
        <v>0</v>
      </c>
      <c r="NK68">
        <v>0</v>
      </c>
      <c r="NL68">
        <v>0</v>
      </c>
      <c r="NM68">
        <v>0</v>
      </c>
      <c r="NN68">
        <v>0</v>
      </c>
      <c r="NO68">
        <v>0</v>
      </c>
      <c r="NP68">
        <v>0</v>
      </c>
      <c r="NQ68">
        <v>0</v>
      </c>
      <c r="NR68">
        <v>0</v>
      </c>
      <c r="NS68">
        <v>0</v>
      </c>
      <c r="NT68">
        <v>0</v>
      </c>
      <c r="NU68">
        <v>0</v>
      </c>
      <c r="NV68">
        <v>0</v>
      </c>
      <c r="NW68">
        <v>0</v>
      </c>
      <c r="NX68">
        <v>0</v>
      </c>
      <c r="NY68">
        <v>0</v>
      </c>
      <c r="NZ68">
        <v>0</v>
      </c>
      <c r="OA68">
        <v>0</v>
      </c>
      <c r="OB68">
        <v>0</v>
      </c>
      <c r="OC68">
        <v>0</v>
      </c>
      <c r="OD68">
        <v>0</v>
      </c>
      <c r="OE68">
        <v>0</v>
      </c>
      <c r="OF68">
        <v>0</v>
      </c>
      <c r="OG68">
        <v>0</v>
      </c>
      <c r="OH68">
        <v>0</v>
      </c>
      <c r="OI68">
        <v>0</v>
      </c>
      <c r="OJ68">
        <v>0</v>
      </c>
      <c r="OK68">
        <v>0</v>
      </c>
      <c r="OL68">
        <v>0</v>
      </c>
      <c r="OM68">
        <v>0</v>
      </c>
      <c r="ON68">
        <v>0</v>
      </c>
    </row>
    <row r="69" spans="1:404" x14ac:dyDescent="0.25">
      <c r="A69" t="s">
        <v>273</v>
      </c>
      <c r="B69" t="s">
        <v>274</v>
      </c>
      <c r="C69" t="s">
        <v>5414</v>
      </c>
      <c r="E69" t="s">
        <v>5408</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v>0</v>
      </c>
      <c r="BE69">
        <v>0</v>
      </c>
      <c r="BF69">
        <v>0</v>
      </c>
      <c r="BG69">
        <v>0</v>
      </c>
      <c r="BH69">
        <v>0</v>
      </c>
      <c r="BI69">
        <v>0</v>
      </c>
      <c r="BJ69">
        <v>0</v>
      </c>
      <c r="BK69">
        <v>0</v>
      </c>
      <c r="BL69">
        <v>0</v>
      </c>
      <c r="BM69">
        <v>0</v>
      </c>
      <c r="BN69">
        <v>0</v>
      </c>
      <c r="BO69">
        <v>0</v>
      </c>
      <c r="BP69">
        <v>0</v>
      </c>
      <c r="BQ69">
        <v>0</v>
      </c>
      <c r="BR69">
        <v>0</v>
      </c>
      <c r="BS69">
        <v>0</v>
      </c>
      <c r="BT69">
        <v>0</v>
      </c>
      <c r="BU69">
        <v>0</v>
      </c>
      <c r="BV69">
        <v>0</v>
      </c>
      <c r="BW69">
        <v>0</v>
      </c>
      <c r="BX69">
        <v>0</v>
      </c>
      <c r="BY69">
        <v>0</v>
      </c>
      <c r="BZ69">
        <v>0</v>
      </c>
      <c r="CA69">
        <v>0</v>
      </c>
      <c r="CB69">
        <v>0</v>
      </c>
      <c r="CC69">
        <v>0</v>
      </c>
      <c r="CD69">
        <v>0</v>
      </c>
      <c r="CE69">
        <v>0</v>
      </c>
      <c r="CF69">
        <v>0</v>
      </c>
      <c r="CG69">
        <v>0</v>
      </c>
      <c r="CH69">
        <v>0</v>
      </c>
      <c r="CI69">
        <v>0</v>
      </c>
      <c r="CJ69">
        <v>0</v>
      </c>
      <c r="CK69">
        <v>0</v>
      </c>
      <c r="CL69">
        <v>0</v>
      </c>
      <c r="CM69">
        <v>0</v>
      </c>
      <c r="CN69">
        <v>0</v>
      </c>
      <c r="CO69">
        <v>0</v>
      </c>
      <c r="CP69">
        <v>0</v>
      </c>
      <c r="CQ69">
        <v>0</v>
      </c>
      <c r="CR69">
        <v>0</v>
      </c>
      <c r="CS69">
        <v>0</v>
      </c>
      <c r="CT69">
        <v>0</v>
      </c>
      <c r="CU69">
        <v>0</v>
      </c>
      <c r="CV69">
        <v>0</v>
      </c>
      <c r="CW69">
        <v>0</v>
      </c>
      <c r="CX69">
        <v>0</v>
      </c>
      <c r="CY69">
        <v>0</v>
      </c>
      <c r="CZ69">
        <v>0</v>
      </c>
      <c r="DA69">
        <v>0</v>
      </c>
      <c r="DB69">
        <v>0</v>
      </c>
      <c r="DC69">
        <v>0</v>
      </c>
      <c r="DD69">
        <v>0</v>
      </c>
      <c r="DE69">
        <v>0</v>
      </c>
      <c r="DF69">
        <v>0</v>
      </c>
      <c r="DG69">
        <v>0</v>
      </c>
      <c r="DH69">
        <v>0</v>
      </c>
      <c r="DI69">
        <v>0</v>
      </c>
      <c r="DJ69">
        <v>0</v>
      </c>
      <c r="DK69">
        <v>0</v>
      </c>
      <c r="DL69">
        <v>0</v>
      </c>
      <c r="DM69">
        <v>0</v>
      </c>
      <c r="DN69">
        <v>0</v>
      </c>
      <c r="DO69">
        <v>0</v>
      </c>
      <c r="DP69">
        <v>0</v>
      </c>
      <c r="DQ69">
        <v>0</v>
      </c>
      <c r="DR69">
        <v>0</v>
      </c>
      <c r="DS69">
        <v>0</v>
      </c>
      <c r="DT69">
        <v>0</v>
      </c>
      <c r="DU69">
        <v>0</v>
      </c>
      <c r="DV69">
        <v>0</v>
      </c>
      <c r="DW69">
        <v>0</v>
      </c>
      <c r="DX69">
        <v>0</v>
      </c>
      <c r="DY69">
        <v>0</v>
      </c>
      <c r="DZ69">
        <v>0</v>
      </c>
      <c r="EA69">
        <v>0</v>
      </c>
      <c r="EB69">
        <v>0</v>
      </c>
      <c r="EC69">
        <v>0</v>
      </c>
      <c r="ED69">
        <v>0</v>
      </c>
      <c r="EE69">
        <v>0</v>
      </c>
      <c r="EF69">
        <v>0</v>
      </c>
      <c r="EG69">
        <v>0</v>
      </c>
      <c r="EH69">
        <v>0</v>
      </c>
      <c r="EI69">
        <v>0</v>
      </c>
      <c r="EJ69">
        <v>0</v>
      </c>
      <c r="EK69">
        <v>0</v>
      </c>
      <c r="EL69">
        <v>0</v>
      </c>
      <c r="EM69">
        <v>0</v>
      </c>
      <c r="EN69">
        <v>0</v>
      </c>
      <c r="EO69">
        <v>0</v>
      </c>
      <c r="EP69">
        <v>0</v>
      </c>
      <c r="EQ69">
        <v>0</v>
      </c>
      <c r="ER69">
        <v>0</v>
      </c>
      <c r="ES69">
        <v>0</v>
      </c>
      <c r="ET69">
        <v>0</v>
      </c>
      <c r="EU69">
        <v>0</v>
      </c>
      <c r="EV69">
        <v>0</v>
      </c>
      <c r="EW69">
        <v>0</v>
      </c>
      <c r="EX69">
        <v>0</v>
      </c>
      <c r="EY69">
        <v>0</v>
      </c>
      <c r="EZ69">
        <v>0</v>
      </c>
      <c r="FA69">
        <v>0</v>
      </c>
      <c r="FB69">
        <v>0</v>
      </c>
      <c r="FC69">
        <v>0</v>
      </c>
      <c r="FD69">
        <v>0</v>
      </c>
      <c r="FE69">
        <v>0</v>
      </c>
      <c r="FF69">
        <v>0</v>
      </c>
      <c r="FG69">
        <v>0</v>
      </c>
      <c r="FH69">
        <v>0</v>
      </c>
      <c r="FI69">
        <v>0</v>
      </c>
      <c r="FJ69">
        <v>0</v>
      </c>
      <c r="FK69">
        <v>0</v>
      </c>
      <c r="FL69">
        <v>0</v>
      </c>
      <c r="FM69">
        <v>0</v>
      </c>
      <c r="FN69">
        <v>0</v>
      </c>
      <c r="FO69">
        <v>0</v>
      </c>
      <c r="FP69">
        <v>0</v>
      </c>
      <c r="FQ69">
        <v>0</v>
      </c>
      <c r="FR69">
        <v>0</v>
      </c>
      <c r="FS69">
        <v>0</v>
      </c>
      <c r="FT69">
        <v>0</v>
      </c>
      <c r="FU69">
        <v>0</v>
      </c>
      <c r="FV69">
        <v>0</v>
      </c>
      <c r="FW69">
        <v>0</v>
      </c>
      <c r="FX69">
        <v>0</v>
      </c>
      <c r="FY69">
        <v>0</v>
      </c>
      <c r="FZ69">
        <v>0</v>
      </c>
      <c r="GA69">
        <v>0</v>
      </c>
      <c r="GB69">
        <v>0</v>
      </c>
      <c r="GC69">
        <v>0</v>
      </c>
      <c r="GD69">
        <v>0</v>
      </c>
      <c r="GE69">
        <v>0</v>
      </c>
      <c r="GF69">
        <v>0</v>
      </c>
      <c r="GG69">
        <v>0</v>
      </c>
      <c r="GH69">
        <v>0</v>
      </c>
      <c r="GI69">
        <v>0</v>
      </c>
      <c r="GJ69">
        <v>0</v>
      </c>
      <c r="GK69">
        <v>0</v>
      </c>
      <c r="GL69">
        <v>0</v>
      </c>
      <c r="GM69">
        <v>0</v>
      </c>
      <c r="GN69">
        <v>0</v>
      </c>
      <c r="GO69">
        <v>0</v>
      </c>
      <c r="GP69">
        <v>0</v>
      </c>
      <c r="GQ69">
        <v>0</v>
      </c>
      <c r="GR69">
        <v>0</v>
      </c>
      <c r="GS69">
        <v>0</v>
      </c>
      <c r="GT69">
        <v>0</v>
      </c>
      <c r="GU69">
        <v>0</v>
      </c>
      <c r="GV69">
        <v>0</v>
      </c>
      <c r="GW69">
        <v>0</v>
      </c>
      <c r="GX69">
        <v>13760</v>
      </c>
      <c r="GY69">
        <v>29492</v>
      </c>
      <c r="GZ69">
        <v>0</v>
      </c>
      <c r="HA69">
        <v>43252</v>
      </c>
      <c r="HB69">
        <v>974</v>
      </c>
      <c r="HC69">
        <v>0</v>
      </c>
      <c r="HD69">
        <v>0</v>
      </c>
      <c r="HE69">
        <v>0</v>
      </c>
      <c r="HF69">
        <v>0</v>
      </c>
      <c r="HG69">
        <v>0</v>
      </c>
      <c r="HH69">
        <v>0</v>
      </c>
      <c r="HI69">
        <v>0</v>
      </c>
      <c r="HJ69">
        <v>0</v>
      </c>
      <c r="HK69">
        <v>0</v>
      </c>
      <c r="HL69">
        <v>0</v>
      </c>
      <c r="HM69">
        <v>0</v>
      </c>
      <c r="HN69">
        <v>0</v>
      </c>
      <c r="HO69">
        <v>0</v>
      </c>
      <c r="HP69">
        <v>0</v>
      </c>
      <c r="HQ69">
        <v>0</v>
      </c>
      <c r="HR69">
        <v>0</v>
      </c>
      <c r="HS69">
        <v>0</v>
      </c>
      <c r="HT69">
        <v>0</v>
      </c>
      <c r="HU69">
        <v>0</v>
      </c>
      <c r="HV69">
        <v>974</v>
      </c>
      <c r="HW69">
        <v>0</v>
      </c>
      <c r="HX69">
        <v>0</v>
      </c>
      <c r="HY69">
        <v>0</v>
      </c>
      <c r="HZ69">
        <v>0</v>
      </c>
      <c r="IA69">
        <v>0</v>
      </c>
      <c r="IB69">
        <v>0</v>
      </c>
      <c r="IC69">
        <v>0</v>
      </c>
      <c r="ID69">
        <v>0</v>
      </c>
      <c r="IE69">
        <v>0</v>
      </c>
      <c r="IF69">
        <v>0</v>
      </c>
      <c r="IG69">
        <v>0</v>
      </c>
      <c r="IH69">
        <v>0</v>
      </c>
      <c r="II69">
        <v>0</v>
      </c>
      <c r="IJ69">
        <v>0</v>
      </c>
      <c r="IK69">
        <v>0</v>
      </c>
      <c r="IL69">
        <v>0</v>
      </c>
      <c r="IM69">
        <v>43252</v>
      </c>
      <c r="IN69">
        <v>974</v>
      </c>
      <c r="IO69">
        <v>0</v>
      </c>
      <c r="IP69">
        <v>44226</v>
      </c>
      <c r="IQ69">
        <v>0</v>
      </c>
      <c r="IR69">
        <v>0</v>
      </c>
      <c r="IS69">
        <v>0</v>
      </c>
      <c r="IT69">
        <v>0</v>
      </c>
      <c r="IU69">
        <v>0</v>
      </c>
      <c r="IV69">
        <v>0</v>
      </c>
      <c r="IW69">
        <v>0</v>
      </c>
      <c r="IX69">
        <v>0</v>
      </c>
      <c r="IY69">
        <v>0</v>
      </c>
      <c r="IZ69">
        <v>104</v>
      </c>
      <c r="JA69">
        <v>0</v>
      </c>
      <c r="JB69">
        <v>0</v>
      </c>
      <c r="JC69">
        <v>0</v>
      </c>
      <c r="JD69">
        <v>0</v>
      </c>
      <c r="JE69">
        <v>-4</v>
      </c>
      <c r="JF69">
        <v>0</v>
      </c>
      <c r="JG69">
        <v>44326</v>
      </c>
      <c r="JH69">
        <v>0</v>
      </c>
      <c r="JI69">
        <v>454</v>
      </c>
      <c r="JJ69">
        <v>0</v>
      </c>
      <c r="JK69">
        <v>0</v>
      </c>
      <c r="JL69">
        <v>0</v>
      </c>
      <c r="JM69">
        <v>0</v>
      </c>
      <c r="JN69">
        <v>668</v>
      </c>
      <c r="JO69">
        <v>0</v>
      </c>
      <c r="JP69">
        <v>192</v>
      </c>
      <c r="JQ69">
        <v>0</v>
      </c>
      <c r="JR69">
        <v>45640</v>
      </c>
      <c r="JS69">
        <v>-41</v>
      </c>
      <c r="JT69">
        <v>0</v>
      </c>
      <c r="JU69">
        <v>0</v>
      </c>
      <c r="JV69">
        <v>0</v>
      </c>
      <c r="JW69">
        <v>0</v>
      </c>
      <c r="JX69">
        <v>0</v>
      </c>
      <c r="JY69">
        <v>0</v>
      </c>
      <c r="JZ69">
        <v>0</v>
      </c>
      <c r="KA69">
        <v>0</v>
      </c>
      <c r="KB69">
        <v>0</v>
      </c>
      <c r="KC69">
        <v>45599</v>
      </c>
      <c r="KD69">
        <v>0</v>
      </c>
      <c r="KE69">
        <v>-2601</v>
      </c>
      <c r="KF69">
        <v>42998</v>
      </c>
      <c r="KG69">
        <v>0</v>
      </c>
      <c r="KH69">
        <v>0</v>
      </c>
      <c r="KI69">
        <v>0</v>
      </c>
      <c r="KJ69">
        <v>0</v>
      </c>
      <c r="KK69">
        <v>1538</v>
      </c>
      <c r="KL69">
        <v>0</v>
      </c>
      <c r="KM69">
        <v>-4013</v>
      </c>
      <c r="KN69">
        <v>0</v>
      </c>
      <c r="KO69">
        <v>-8197</v>
      </c>
      <c r="KP69">
        <v>83</v>
      </c>
      <c r="KQ69">
        <v>0</v>
      </c>
      <c r="KR69">
        <v>30790</v>
      </c>
      <c r="KS69">
        <v>0</v>
      </c>
      <c r="KT69">
        <v>0</v>
      </c>
      <c r="KU69">
        <v>0</v>
      </c>
      <c r="KV69">
        <v>20186</v>
      </c>
      <c r="KW69">
        <v>2210</v>
      </c>
      <c r="KX69">
        <v>0</v>
      </c>
      <c r="KY69">
        <v>0</v>
      </c>
      <c r="KZ69">
        <v>0</v>
      </c>
      <c r="LA69">
        <v>21724</v>
      </c>
      <c r="LB69">
        <v>2210</v>
      </c>
      <c r="LC69">
        <v>0</v>
      </c>
      <c r="LD69">
        <v>4291</v>
      </c>
      <c r="LE69">
        <v>0</v>
      </c>
      <c r="LF69">
        <v>-570</v>
      </c>
      <c r="LG69">
        <v>0</v>
      </c>
      <c r="LH69">
        <v>0</v>
      </c>
      <c r="LI69">
        <v>3721</v>
      </c>
      <c r="LJ69">
        <v>0</v>
      </c>
      <c r="LK69">
        <v>0</v>
      </c>
      <c r="LL69">
        <v>0</v>
      </c>
      <c r="LM69">
        <v>0</v>
      </c>
      <c r="LN69">
        <v>0</v>
      </c>
      <c r="LO69">
        <v>0</v>
      </c>
      <c r="LP69">
        <v>0</v>
      </c>
      <c r="LQ69">
        <v>0</v>
      </c>
      <c r="LR69">
        <v>0</v>
      </c>
      <c r="LS69">
        <v>0</v>
      </c>
      <c r="LT69">
        <v>0</v>
      </c>
      <c r="LU69">
        <v>0</v>
      </c>
      <c r="LV69">
        <v>0</v>
      </c>
      <c r="LW69">
        <v>0</v>
      </c>
      <c r="LX69">
        <v>0</v>
      </c>
      <c r="LY69">
        <v>0</v>
      </c>
      <c r="LZ69">
        <v>0</v>
      </c>
      <c r="MA69">
        <v>0</v>
      </c>
      <c r="MB69">
        <v>0</v>
      </c>
      <c r="MC69">
        <v>0</v>
      </c>
      <c r="MD69">
        <v>0</v>
      </c>
      <c r="ME69">
        <v>43252</v>
      </c>
      <c r="MF69">
        <v>974</v>
      </c>
      <c r="MG69">
        <v>0</v>
      </c>
      <c r="MH69">
        <v>44226</v>
      </c>
      <c r="MI69">
        <v>0</v>
      </c>
      <c r="MJ69">
        <v>0</v>
      </c>
      <c r="MK69">
        <v>0</v>
      </c>
      <c r="ML69">
        <v>0</v>
      </c>
      <c r="MM69">
        <v>0</v>
      </c>
      <c r="MN69">
        <v>0</v>
      </c>
      <c r="MO69">
        <v>0</v>
      </c>
      <c r="MP69">
        <v>0</v>
      </c>
      <c r="MQ69">
        <v>0</v>
      </c>
      <c r="MR69">
        <v>0</v>
      </c>
      <c r="MS69">
        <v>0</v>
      </c>
      <c r="MT69">
        <v>0</v>
      </c>
      <c r="MU69">
        <v>0</v>
      </c>
      <c r="MV69">
        <v>0</v>
      </c>
      <c r="MW69">
        <v>0</v>
      </c>
      <c r="MX69">
        <v>0</v>
      </c>
      <c r="MY69">
        <v>0</v>
      </c>
      <c r="MZ69">
        <v>0</v>
      </c>
      <c r="NA69">
        <v>0</v>
      </c>
      <c r="NB69">
        <v>0</v>
      </c>
      <c r="NC69">
        <v>0</v>
      </c>
      <c r="ND69">
        <v>0</v>
      </c>
      <c r="NE69">
        <v>0</v>
      </c>
      <c r="NF69">
        <v>0</v>
      </c>
      <c r="NG69">
        <v>0</v>
      </c>
      <c r="NH69">
        <v>0</v>
      </c>
      <c r="NI69">
        <v>0</v>
      </c>
      <c r="NJ69">
        <v>0</v>
      </c>
      <c r="NK69">
        <v>0</v>
      </c>
      <c r="NL69">
        <v>0</v>
      </c>
      <c r="NM69">
        <v>0</v>
      </c>
      <c r="NN69">
        <v>0</v>
      </c>
      <c r="NO69">
        <v>0</v>
      </c>
      <c r="NP69">
        <v>0</v>
      </c>
      <c r="NQ69">
        <v>0</v>
      </c>
      <c r="NR69">
        <v>0</v>
      </c>
      <c r="NS69">
        <v>0</v>
      </c>
      <c r="NT69">
        <v>0</v>
      </c>
      <c r="NU69">
        <v>0</v>
      </c>
      <c r="NV69">
        <v>0</v>
      </c>
      <c r="NW69">
        <v>0</v>
      </c>
      <c r="NX69">
        <v>0</v>
      </c>
      <c r="NY69">
        <v>0</v>
      </c>
      <c r="NZ69">
        <v>0</v>
      </c>
      <c r="OA69">
        <v>0</v>
      </c>
      <c r="OB69">
        <v>0</v>
      </c>
      <c r="OC69">
        <v>0</v>
      </c>
      <c r="OD69">
        <v>0</v>
      </c>
      <c r="OE69">
        <v>0</v>
      </c>
      <c r="OF69">
        <v>0</v>
      </c>
      <c r="OG69">
        <v>0</v>
      </c>
      <c r="OH69">
        <v>0</v>
      </c>
      <c r="OI69">
        <v>0</v>
      </c>
      <c r="OJ69">
        <v>0</v>
      </c>
      <c r="OK69">
        <v>0</v>
      </c>
      <c r="OL69">
        <v>0</v>
      </c>
      <c r="OM69">
        <v>0</v>
      </c>
      <c r="ON69">
        <v>0</v>
      </c>
    </row>
    <row r="70" spans="1:404" x14ac:dyDescent="0.25">
      <c r="A70" t="s">
        <v>276</v>
      </c>
      <c r="B70" t="s">
        <v>277</v>
      </c>
      <c r="C70" t="s">
        <v>275</v>
      </c>
      <c r="E70" t="s">
        <v>125</v>
      </c>
      <c r="F70">
        <v>23594</v>
      </c>
      <c r="G70">
        <v>85805</v>
      </c>
      <c r="H70">
        <v>40113</v>
      </c>
      <c r="I70">
        <v>12625</v>
      </c>
      <c r="J70">
        <v>4945</v>
      </c>
      <c r="K70">
        <v>20684</v>
      </c>
      <c r="L70">
        <v>187766</v>
      </c>
      <c r="M70">
        <v>2266</v>
      </c>
      <c r="N70">
        <v>133</v>
      </c>
      <c r="O70">
        <v>0</v>
      </c>
      <c r="P70">
        <v>0</v>
      </c>
      <c r="Q70">
        <v>256</v>
      </c>
      <c r="R70">
        <v>7445</v>
      </c>
      <c r="S70">
        <v>141</v>
      </c>
      <c r="T70">
        <v>1883</v>
      </c>
      <c r="U70">
        <v>1083</v>
      </c>
      <c r="V70">
        <v>0</v>
      </c>
      <c r="W70">
        <v>0</v>
      </c>
      <c r="X70">
        <v>230</v>
      </c>
      <c r="Y70">
        <v>509</v>
      </c>
      <c r="Z70">
        <v>166</v>
      </c>
      <c r="AA70">
        <v>-591</v>
      </c>
      <c r="AB70">
        <v>2683</v>
      </c>
      <c r="AC70">
        <v>29</v>
      </c>
      <c r="AD70">
        <v>0</v>
      </c>
      <c r="AE70">
        <v>0</v>
      </c>
      <c r="AF70">
        <v>0</v>
      </c>
      <c r="AG70">
        <v>2537</v>
      </c>
      <c r="AH70">
        <v>0</v>
      </c>
      <c r="AI70">
        <v>18770</v>
      </c>
      <c r="AJ70">
        <v>0</v>
      </c>
      <c r="AK70">
        <v>0</v>
      </c>
      <c r="AL70">
        <v>0</v>
      </c>
      <c r="AM70">
        <v>0</v>
      </c>
      <c r="AN70">
        <v>0</v>
      </c>
      <c r="AO70">
        <v>0</v>
      </c>
      <c r="AP70">
        <v>0</v>
      </c>
      <c r="AQ70">
        <v>491</v>
      </c>
      <c r="AR70">
        <v>62</v>
      </c>
      <c r="AS70">
        <v>0</v>
      </c>
      <c r="AT70">
        <v>0</v>
      </c>
      <c r="AU70">
        <v>0</v>
      </c>
      <c r="AV70">
        <v>3294</v>
      </c>
      <c r="AW70">
        <v>39065</v>
      </c>
      <c r="AX70">
        <v>2208</v>
      </c>
      <c r="AY70">
        <v>11965</v>
      </c>
      <c r="AZ70">
        <v>573</v>
      </c>
      <c r="BA70">
        <v>12402</v>
      </c>
      <c r="BB70">
        <v>142</v>
      </c>
      <c r="BC70">
        <v>1773</v>
      </c>
      <c r="BD70">
        <v>71422</v>
      </c>
      <c r="BE70">
        <v>6932</v>
      </c>
      <c r="BF70">
        <v>26315</v>
      </c>
      <c r="BG70">
        <v>993</v>
      </c>
      <c r="BH70">
        <v>535</v>
      </c>
      <c r="BI70">
        <v>1503</v>
      </c>
      <c r="BJ70">
        <v>14298</v>
      </c>
      <c r="BK70">
        <v>48968</v>
      </c>
      <c r="BL70">
        <v>4166</v>
      </c>
      <c r="BM70">
        <v>6148</v>
      </c>
      <c r="BN70">
        <v>4375</v>
      </c>
      <c r="BO70">
        <v>113</v>
      </c>
      <c r="BP70">
        <v>296</v>
      </c>
      <c r="BQ70">
        <v>507</v>
      </c>
      <c r="BR70">
        <v>755</v>
      </c>
      <c r="BS70">
        <v>1168</v>
      </c>
      <c r="BT70">
        <v>17552</v>
      </c>
      <c r="BU70">
        <v>942</v>
      </c>
      <c r="BV70">
        <v>3665</v>
      </c>
      <c r="BW70">
        <v>154922</v>
      </c>
      <c r="BX70">
        <v>1228</v>
      </c>
      <c r="BY70">
        <v>1086</v>
      </c>
      <c r="BZ70">
        <v>238</v>
      </c>
      <c r="CA70">
        <v>154</v>
      </c>
      <c r="CB70">
        <v>358</v>
      </c>
      <c r="CC70">
        <v>30</v>
      </c>
      <c r="CD70">
        <v>337</v>
      </c>
      <c r="CE70">
        <v>227</v>
      </c>
      <c r="CF70">
        <v>5</v>
      </c>
      <c r="CG70">
        <v>372</v>
      </c>
      <c r="CH70">
        <v>55</v>
      </c>
      <c r="CI70">
        <v>1732</v>
      </c>
      <c r="CJ70">
        <v>941</v>
      </c>
      <c r="CK70">
        <v>150</v>
      </c>
      <c r="CL70">
        <v>77</v>
      </c>
      <c r="CM70">
        <v>242</v>
      </c>
      <c r="CN70">
        <v>44</v>
      </c>
      <c r="CO70">
        <v>37</v>
      </c>
      <c r="CP70">
        <v>1141</v>
      </c>
      <c r="CQ70">
        <v>4270</v>
      </c>
      <c r="CR70">
        <v>60</v>
      </c>
      <c r="CS70">
        <v>31</v>
      </c>
      <c r="CT70">
        <v>1199</v>
      </c>
      <c r="CU70">
        <v>2455</v>
      </c>
      <c r="CV70">
        <v>22772</v>
      </c>
      <c r="CW70">
        <v>102</v>
      </c>
      <c r="CX70">
        <v>58</v>
      </c>
      <c r="CY70">
        <v>32</v>
      </c>
      <c r="CZ70">
        <v>0</v>
      </c>
      <c r="DA70">
        <v>0</v>
      </c>
      <c r="DB70">
        <v>0</v>
      </c>
      <c r="DC70">
        <v>610</v>
      </c>
      <c r="DD70">
        <v>0</v>
      </c>
      <c r="DE70">
        <v>-602</v>
      </c>
      <c r="DF70">
        <v>933</v>
      </c>
      <c r="DG70">
        <v>0</v>
      </c>
      <c r="DH70">
        <v>15</v>
      </c>
      <c r="DI70">
        <v>68</v>
      </c>
      <c r="DJ70">
        <v>192</v>
      </c>
      <c r="DK70">
        <v>0</v>
      </c>
      <c r="DL70">
        <v>0</v>
      </c>
      <c r="DM70">
        <v>-18</v>
      </c>
      <c r="DN70">
        <v>2071</v>
      </c>
      <c r="DO70">
        <v>48</v>
      </c>
      <c r="DP70">
        <v>2376</v>
      </c>
      <c r="DQ70">
        <v>0</v>
      </c>
      <c r="DR70">
        <v>492</v>
      </c>
      <c r="DS70">
        <v>0</v>
      </c>
      <c r="DT70">
        <v>3328</v>
      </c>
      <c r="DU70">
        <v>206</v>
      </c>
      <c r="DV70">
        <v>1326</v>
      </c>
      <c r="DW70">
        <v>0</v>
      </c>
      <c r="DX70">
        <v>8669</v>
      </c>
      <c r="DY70">
        <v>0</v>
      </c>
      <c r="DZ70">
        <v>0</v>
      </c>
      <c r="EA70">
        <v>0</v>
      </c>
      <c r="EB70">
        <v>0</v>
      </c>
      <c r="EC70">
        <v>0</v>
      </c>
      <c r="ED70">
        <v>0</v>
      </c>
      <c r="EE70">
        <v>0</v>
      </c>
      <c r="EF70">
        <v>0</v>
      </c>
      <c r="EG70">
        <v>0</v>
      </c>
      <c r="EH70">
        <v>0</v>
      </c>
      <c r="EI70">
        <v>0</v>
      </c>
      <c r="EJ70">
        <v>0</v>
      </c>
      <c r="EK70">
        <v>0</v>
      </c>
      <c r="EL70">
        <v>0</v>
      </c>
      <c r="EM70">
        <v>0</v>
      </c>
      <c r="EN70">
        <v>0</v>
      </c>
      <c r="EO70">
        <v>0</v>
      </c>
      <c r="EP70">
        <v>0</v>
      </c>
      <c r="EQ70">
        <v>0</v>
      </c>
      <c r="ER70">
        <v>0</v>
      </c>
      <c r="ES70">
        <v>0</v>
      </c>
      <c r="ET70">
        <v>0</v>
      </c>
      <c r="EU70">
        <v>214</v>
      </c>
      <c r="EV70">
        <v>567</v>
      </c>
      <c r="EW70">
        <v>37</v>
      </c>
      <c r="EX70">
        <v>11</v>
      </c>
      <c r="EY70">
        <v>343</v>
      </c>
      <c r="EZ70">
        <v>126</v>
      </c>
      <c r="FA70">
        <v>0</v>
      </c>
      <c r="FB70">
        <v>2</v>
      </c>
      <c r="FC70">
        <v>4828</v>
      </c>
      <c r="FD70">
        <v>7340</v>
      </c>
      <c r="FE70">
        <v>0</v>
      </c>
      <c r="FF70">
        <v>337</v>
      </c>
      <c r="FG70">
        <v>5143</v>
      </c>
      <c r="FH70">
        <v>18948</v>
      </c>
      <c r="FI70">
        <v>-2089</v>
      </c>
      <c r="FJ70">
        <v>808</v>
      </c>
      <c r="FK70">
        <v>0</v>
      </c>
      <c r="FL70">
        <v>684</v>
      </c>
      <c r="FM70">
        <v>807</v>
      </c>
      <c r="FN70">
        <v>29</v>
      </c>
      <c r="FO70">
        <v>0</v>
      </c>
      <c r="FP70">
        <v>0</v>
      </c>
      <c r="FQ70">
        <v>0</v>
      </c>
      <c r="FR70">
        <v>54</v>
      </c>
      <c r="FS70">
        <v>124</v>
      </c>
      <c r="FT70">
        <v>483</v>
      </c>
      <c r="FU70">
        <v>23</v>
      </c>
      <c r="FV70">
        <v>580</v>
      </c>
      <c r="FW70">
        <v>222</v>
      </c>
      <c r="FX70">
        <v>671</v>
      </c>
      <c r="FY70">
        <v>0</v>
      </c>
      <c r="FZ70">
        <v>280</v>
      </c>
      <c r="GA70">
        <v>0</v>
      </c>
      <c r="GB70">
        <v>0</v>
      </c>
      <c r="GC70">
        <v>-521</v>
      </c>
      <c r="GD70">
        <v>2813</v>
      </c>
      <c r="GE70">
        <v>11804</v>
      </c>
      <c r="GF70">
        <v>13361</v>
      </c>
      <c r="GG70">
        <v>0</v>
      </c>
      <c r="GH70">
        <v>3543</v>
      </c>
      <c r="GI70">
        <v>254</v>
      </c>
      <c r="GJ70">
        <v>342</v>
      </c>
      <c r="GK70">
        <v>34272</v>
      </c>
      <c r="GL70">
        <v>178</v>
      </c>
      <c r="GM70">
        <v>862</v>
      </c>
      <c r="GN70">
        <v>332</v>
      </c>
      <c r="GO70">
        <v>2120</v>
      </c>
      <c r="GP70">
        <v>93</v>
      </c>
      <c r="GQ70">
        <v>3154</v>
      </c>
      <c r="GR70">
        <v>15</v>
      </c>
      <c r="GS70">
        <v>6990</v>
      </c>
      <c r="GT70">
        <v>1935</v>
      </c>
      <c r="GU70">
        <v>15679</v>
      </c>
      <c r="GV70">
        <v>68899</v>
      </c>
      <c r="GW70">
        <v>0</v>
      </c>
      <c r="GX70">
        <v>0</v>
      </c>
      <c r="GY70">
        <v>0</v>
      </c>
      <c r="GZ70">
        <v>0</v>
      </c>
      <c r="HA70">
        <v>0</v>
      </c>
      <c r="HB70">
        <v>4755</v>
      </c>
      <c r="HC70">
        <v>2307</v>
      </c>
      <c r="HD70">
        <v>0</v>
      </c>
      <c r="HE70">
        <v>0</v>
      </c>
      <c r="HF70">
        <v>231</v>
      </c>
      <c r="HG70">
        <v>214</v>
      </c>
      <c r="HH70">
        <v>0</v>
      </c>
      <c r="HI70">
        <v>-564</v>
      </c>
      <c r="HJ70">
        <v>1058</v>
      </c>
      <c r="HK70">
        <v>159</v>
      </c>
      <c r="HL70">
        <v>156</v>
      </c>
      <c r="HM70">
        <v>-634</v>
      </c>
      <c r="HN70">
        <v>112</v>
      </c>
      <c r="HO70">
        <v>0</v>
      </c>
      <c r="HP70">
        <v>616</v>
      </c>
      <c r="HQ70">
        <v>0</v>
      </c>
      <c r="HR70">
        <v>-3963</v>
      </c>
      <c r="HS70">
        <v>0</v>
      </c>
      <c r="HT70">
        <v>209</v>
      </c>
      <c r="HU70">
        <v>0</v>
      </c>
      <c r="HV70">
        <v>4656</v>
      </c>
      <c r="HW70">
        <v>5075</v>
      </c>
      <c r="HX70">
        <v>35179</v>
      </c>
      <c r="HY70">
        <v>0</v>
      </c>
      <c r="HZ70">
        <v>0</v>
      </c>
      <c r="IA70">
        <v>0</v>
      </c>
      <c r="IB70">
        <v>982</v>
      </c>
      <c r="IC70">
        <v>187766</v>
      </c>
      <c r="ID70">
        <v>18770</v>
      </c>
      <c r="IE70">
        <v>71422</v>
      </c>
      <c r="IF70">
        <v>154922</v>
      </c>
      <c r="IG70">
        <v>22772</v>
      </c>
      <c r="IH70">
        <v>8669</v>
      </c>
      <c r="II70">
        <v>18948</v>
      </c>
      <c r="IJ70">
        <v>34272</v>
      </c>
      <c r="IK70">
        <v>15679</v>
      </c>
      <c r="IL70">
        <v>0</v>
      </c>
      <c r="IM70">
        <v>0</v>
      </c>
      <c r="IN70">
        <v>4656</v>
      </c>
      <c r="IO70">
        <v>982</v>
      </c>
      <c r="IP70">
        <v>538858</v>
      </c>
      <c r="IQ70">
        <v>53218</v>
      </c>
      <c r="IR70">
        <v>151</v>
      </c>
      <c r="IS70">
        <v>0</v>
      </c>
      <c r="IT70">
        <v>0</v>
      </c>
      <c r="IU70">
        <v>0</v>
      </c>
      <c r="IV70">
        <v>9091</v>
      </c>
      <c r="IW70">
        <v>0</v>
      </c>
      <c r="IX70">
        <v>0</v>
      </c>
      <c r="IY70">
        <v>0</v>
      </c>
      <c r="IZ70">
        <v>0</v>
      </c>
      <c r="JA70">
        <v>0</v>
      </c>
      <c r="JB70">
        <v>0</v>
      </c>
      <c r="JC70">
        <v>0</v>
      </c>
      <c r="JD70">
        <v>0</v>
      </c>
      <c r="JE70">
        <v>-405</v>
      </c>
      <c r="JF70">
        <v>0</v>
      </c>
      <c r="JG70">
        <v>600913</v>
      </c>
      <c r="JH70">
        <v>297</v>
      </c>
      <c r="JI70">
        <v>0</v>
      </c>
      <c r="JJ70">
        <v>0</v>
      </c>
      <c r="JK70">
        <v>0</v>
      </c>
      <c r="JL70">
        <v>0</v>
      </c>
      <c r="JM70">
        <v>-35</v>
      </c>
      <c r="JN70">
        <v>12796</v>
      </c>
      <c r="JO70">
        <v>0</v>
      </c>
      <c r="JP70">
        <v>3898</v>
      </c>
      <c r="JQ70">
        <v>0</v>
      </c>
      <c r="JR70">
        <v>617869</v>
      </c>
      <c r="JS70">
        <v>-1747</v>
      </c>
      <c r="JT70">
        <v>0</v>
      </c>
      <c r="JU70">
        <v>-84</v>
      </c>
      <c r="JV70">
        <v>0</v>
      </c>
      <c r="JW70">
        <v>-59997</v>
      </c>
      <c r="JX70">
        <v>0</v>
      </c>
      <c r="JY70">
        <v>-1557</v>
      </c>
      <c r="JZ70">
        <v>0</v>
      </c>
      <c r="KA70">
        <v>0</v>
      </c>
      <c r="KB70">
        <v>-15663</v>
      </c>
      <c r="KC70">
        <v>538821</v>
      </c>
      <c r="KD70">
        <v>-257</v>
      </c>
      <c r="KE70">
        <v>-232974</v>
      </c>
      <c r="KF70">
        <v>305590</v>
      </c>
      <c r="KG70">
        <v>0</v>
      </c>
      <c r="KH70">
        <v>-911</v>
      </c>
      <c r="KI70">
        <v>0</v>
      </c>
      <c r="KJ70">
        <v>1102</v>
      </c>
      <c r="KK70">
        <v>-11611</v>
      </c>
      <c r="KL70">
        <v>1070</v>
      </c>
      <c r="KM70">
        <v>0</v>
      </c>
      <c r="KN70">
        <v>0</v>
      </c>
      <c r="KO70">
        <v>-18621</v>
      </c>
      <c r="KP70">
        <v>484</v>
      </c>
      <c r="KQ70">
        <v>0</v>
      </c>
      <c r="KR70">
        <v>251939</v>
      </c>
      <c r="KS70">
        <v>7758</v>
      </c>
      <c r="KT70">
        <v>0</v>
      </c>
      <c r="KU70">
        <v>2118</v>
      </c>
      <c r="KV70">
        <v>89319</v>
      </c>
      <c r="KW70">
        <v>11516</v>
      </c>
      <c r="KX70">
        <v>6847</v>
      </c>
      <c r="KY70">
        <v>0</v>
      </c>
      <c r="KZ70">
        <v>3220</v>
      </c>
      <c r="LA70">
        <v>77708</v>
      </c>
      <c r="LB70">
        <v>12586</v>
      </c>
      <c r="LC70">
        <v>0</v>
      </c>
      <c r="LD70">
        <v>45977</v>
      </c>
      <c r="LE70">
        <v>0</v>
      </c>
      <c r="LF70">
        <v>1478</v>
      </c>
      <c r="LG70">
        <v>-44852</v>
      </c>
      <c r="LH70">
        <v>9724</v>
      </c>
      <c r="LI70">
        <v>11906</v>
      </c>
      <c r="LJ70">
        <v>7767</v>
      </c>
      <c r="LK70">
        <v>12079</v>
      </c>
      <c r="LL70">
        <v>19846</v>
      </c>
      <c r="LM70">
        <v>0</v>
      </c>
      <c r="LN70">
        <v>0</v>
      </c>
      <c r="LO70">
        <v>0</v>
      </c>
      <c r="LP70">
        <v>0</v>
      </c>
      <c r="LQ70">
        <v>0</v>
      </c>
      <c r="LR70">
        <v>0</v>
      </c>
      <c r="LS70">
        <v>0</v>
      </c>
      <c r="LT70">
        <v>0</v>
      </c>
      <c r="LU70">
        <v>187766</v>
      </c>
      <c r="LV70">
        <v>18770</v>
      </c>
      <c r="LW70">
        <v>71422</v>
      </c>
      <c r="LX70">
        <v>154922</v>
      </c>
      <c r="LY70">
        <v>22772</v>
      </c>
      <c r="LZ70">
        <v>8669</v>
      </c>
      <c r="MA70">
        <v>18948</v>
      </c>
      <c r="MB70">
        <v>34272</v>
      </c>
      <c r="MC70">
        <v>15679</v>
      </c>
      <c r="MD70">
        <v>0</v>
      </c>
      <c r="ME70">
        <v>0</v>
      </c>
      <c r="MF70">
        <v>4656</v>
      </c>
      <c r="MG70">
        <v>982</v>
      </c>
      <c r="MH70">
        <v>538858</v>
      </c>
      <c r="MI70">
        <v>0</v>
      </c>
      <c r="MJ70">
        <v>0</v>
      </c>
      <c r="MK70">
        <v>0</v>
      </c>
      <c r="ML70">
        <v>0</v>
      </c>
      <c r="MM70">
        <v>0</v>
      </c>
      <c r="MN70">
        <v>0</v>
      </c>
      <c r="MO70">
        <v>0</v>
      </c>
      <c r="MP70">
        <v>0</v>
      </c>
      <c r="MQ70">
        <v>0</v>
      </c>
      <c r="MR70">
        <v>0</v>
      </c>
      <c r="MS70">
        <v>0</v>
      </c>
      <c r="MT70">
        <v>0</v>
      </c>
      <c r="MU70">
        <v>0</v>
      </c>
      <c r="MV70">
        <v>0</v>
      </c>
      <c r="MW70">
        <v>0</v>
      </c>
      <c r="MX70">
        <v>0</v>
      </c>
      <c r="MY70">
        <v>0</v>
      </c>
      <c r="MZ70">
        <v>0</v>
      </c>
      <c r="NA70">
        <v>0</v>
      </c>
      <c r="NB70">
        <v>0</v>
      </c>
      <c r="NC70">
        <v>0</v>
      </c>
      <c r="ND70">
        <v>0</v>
      </c>
      <c r="NE70">
        <v>0</v>
      </c>
      <c r="NF70">
        <v>0</v>
      </c>
      <c r="NG70">
        <v>0</v>
      </c>
      <c r="NH70">
        <v>0</v>
      </c>
      <c r="NI70">
        <v>0</v>
      </c>
      <c r="NJ70">
        <v>0</v>
      </c>
      <c r="NK70">
        <v>0</v>
      </c>
      <c r="NL70">
        <v>0</v>
      </c>
      <c r="NM70">
        <v>0</v>
      </c>
      <c r="NN70">
        <v>0</v>
      </c>
      <c r="NO70">
        <v>0</v>
      </c>
      <c r="NP70">
        <v>0</v>
      </c>
      <c r="NQ70">
        <v>0</v>
      </c>
      <c r="NR70">
        <v>0</v>
      </c>
      <c r="NS70">
        <v>0</v>
      </c>
      <c r="NT70">
        <v>0</v>
      </c>
      <c r="NU70">
        <v>0</v>
      </c>
      <c r="NV70">
        <v>0</v>
      </c>
      <c r="NW70">
        <v>0</v>
      </c>
      <c r="NX70">
        <v>0</v>
      </c>
      <c r="NY70">
        <v>0</v>
      </c>
      <c r="NZ70">
        <v>0</v>
      </c>
      <c r="OA70">
        <v>0</v>
      </c>
      <c r="OB70">
        <v>0</v>
      </c>
      <c r="OC70">
        <v>0</v>
      </c>
      <c r="OD70">
        <v>0</v>
      </c>
      <c r="OE70">
        <v>0</v>
      </c>
      <c r="OF70">
        <v>0</v>
      </c>
      <c r="OG70">
        <v>0</v>
      </c>
      <c r="OH70">
        <v>0</v>
      </c>
      <c r="OI70">
        <v>0</v>
      </c>
      <c r="OJ70">
        <v>0</v>
      </c>
      <c r="OK70">
        <v>0</v>
      </c>
      <c r="OL70">
        <v>0</v>
      </c>
      <c r="OM70">
        <v>0</v>
      </c>
      <c r="ON70">
        <v>0</v>
      </c>
    </row>
    <row r="71" spans="1:404" x14ac:dyDescent="0.25">
      <c r="A71" t="s">
        <v>279</v>
      </c>
      <c r="B71" t="s">
        <v>280</v>
      </c>
      <c r="C71" t="s">
        <v>278</v>
      </c>
      <c r="E71" t="s">
        <v>71</v>
      </c>
      <c r="F71">
        <v>0</v>
      </c>
      <c r="G71">
        <v>0</v>
      </c>
      <c r="H71">
        <v>0</v>
      </c>
      <c r="I71">
        <v>0</v>
      </c>
      <c r="J71">
        <v>0</v>
      </c>
      <c r="K71">
        <v>0</v>
      </c>
      <c r="L71">
        <v>0</v>
      </c>
      <c r="M71">
        <v>0</v>
      </c>
      <c r="N71">
        <v>0</v>
      </c>
      <c r="O71">
        <v>0</v>
      </c>
      <c r="P71">
        <v>0</v>
      </c>
      <c r="Q71">
        <v>0</v>
      </c>
      <c r="R71">
        <v>0</v>
      </c>
      <c r="S71">
        <v>0</v>
      </c>
      <c r="T71">
        <v>0</v>
      </c>
      <c r="U71">
        <v>0</v>
      </c>
      <c r="V71">
        <v>0</v>
      </c>
      <c r="W71">
        <v>0</v>
      </c>
      <c r="X71">
        <v>0</v>
      </c>
      <c r="Y71">
        <v>0</v>
      </c>
      <c r="Z71">
        <v>0</v>
      </c>
      <c r="AA71">
        <v>0</v>
      </c>
      <c r="AB71">
        <v>0</v>
      </c>
      <c r="AC71">
        <v>0</v>
      </c>
      <c r="AD71">
        <v>0</v>
      </c>
      <c r="AE71">
        <v>0</v>
      </c>
      <c r="AF71">
        <v>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v>0</v>
      </c>
      <c r="BD71">
        <v>0</v>
      </c>
      <c r="BE71">
        <v>0</v>
      </c>
      <c r="BF71">
        <v>0</v>
      </c>
      <c r="BG71">
        <v>0</v>
      </c>
      <c r="BH71">
        <v>0</v>
      </c>
      <c r="BI71">
        <v>0</v>
      </c>
      <c r="BJ71">
        <v>0</v>
      </c>
      <c r="BK71">
        <v>0</v>
      </c>
      <c r="BL71">
        <v>0</v>
      </c>
      <c r="BM71">
        <v>0</v>
      </c>
      <c r="BN71">
        <v>0</v>
      </c>
      <c r="BO71">
        <v>0</v>
      </c>
      <c r="BP71">
        <v>0</v>
      </c>
      <c r="BQ71">
        <v>0</v>
      </c>
      <c r="BR71">
        <v>0</v>
      </c>
      <c r="BS71">
        <v>0</v>
      </c>
      <c r="BT71">
        <v>0</v>
      </c>
      <c r="BU71">
        <v>0</v>
      </c>
      <c r="BV71">
        <v>0</v>
      </c>
      <c r="BW71">
        <v>0</v>
      </c>
      <c r="BX71">
        <v>0</v>
      </c>
      <c r="BY71">
        <v>0</v>
      </c>
      <c r="BZ71">
        <v>0</v>
      </c>
      <c r="CA71">
        <v>0</v>
      </c>
      <c r="CB71">
        <v>0</v>
      </c>
      <c r="CC71">
        <v>0</v>
      </c>
      <c r="CD71">
        <v>0</v>
      </c>
      <c r="CE71">
        <v>0</v>
      </c>
      <c r="CF71">
        <v>0</v>
      </c>
      <c r="CG71">
        <v>0</v>
      </c>
      <c r="CH71">
        <v>0</v>
      </c>
      <c r="CI71">
        <v>0</v>
      </c>
      <c r="CJ71">
        <v>0</v>
      </c>
      <c r="CK71">
        <v>0</v>
      </c>
      <c r="CL71">
        <v>0</v>
      </c>
      <c r="CM71">
        <v>0</v>
      </c>
      <c r="CN71">
        <v>0</v>
      </c>
      <c r="CO71">
        <v>0</v>
      </c>
      <c r="CP71">
        <v>0</v>
      </c>
      <c r="CQ71">
        <v>0</v>
      </c>
      <c r="CR71">
        <v>0</v>
      </c>
      <c r="CS71">
        <v>0</v>
      </c>
      <c r="CT71">
        <v>0</v>
      </c>
      <c r="CU71">
        <v>0</v>
      </c>
      <c r="CV71">
        <v>0</v>
      </c>
      <c r="CW71">
        <v>0</v>
      </c>
      <c r="CX71">
        <v>0</v>
      </c>
      <c r="CY71">
        <v>0</v>
      </c>
      <c r="CZ71">
        <v>0</v>
      </c>
      <c r="DA71">
        <v>0</v>
      </c>
      <c r="DB71">
        <v>0</v>
      </c>
      <c r="DC71">
        <v>0</v>
      </c>
      <c r="DD71">
        <v>0</v>
      </c>
      <c r="DE71">
        <v>0</v>
      </c>
      <c r="DF71">
        <v>0</v>
      </c>
      <c r="DG71">
        <v>0</v>
      </c>
      <c r="DH71">
        <v>0</v>
      </c>
      <c r="DI71">
        <v>0</v>
      </c>
      <c r="DJ71">
        <v>0</v>
      </c>
      <c r="DK71">
        <v>0</v>
      </c>
      <c r="DL71">
        <v>0</v>
      </c>
      <c r="DM71">
        <v>0</v>
      </c>
      <c r="DN71">
        <v>0</v>
      </c>
      <c r="DO71">
        <v>0</v>
      </c>
      <c r="DP71">
        <v>0</v>
      </c>
      <c r="DQ71">
        <v>0</v>
      </c>
      <c r="DR71">
        <v>0</v>
      </c>
      <c r="DS71">
        <v>0</v>
      </c>
      <c r="DT71">
        <v>0</v>
      </c>
      <c r="DU71">
        <v>0</v>
      </c>
      <c r="DV71">
        <v>0</v>
      </c>
      <c r="DW71">
        <v>0</v>
      </c>
      <c r="DX71">
        <v>0</v>
      </c>
      <c r="DY71">
        <v>0</v>
      </c>
      <c r="DZ71">
        <v>0</v>
      </c>
      <c r="EA71">
        <v>0</v>
      </c>
      <c r="EB71">
        <v>0</v>
      </c>
      <c r="EC71">
        <v>0</v>
      </c>
      <c r="ED71">
        <v>0</v>
      </c>
      <c r="EE71">
        <v>0</v>
      </c>
      <c r="EF71">
        <v>0</v>
      </c>
      <c r="EG71">
        <v>0</v>
      </c>
      <c r="EH71">
        <v>0</v>
      </c>
      <c r="EI71">
        <v>0</v>
      </c>
      <c r="EJ71">
        <v>0</v>
      </c>
      <c r="EK71">
        <v>0</v>
      </c>
      <c r="EL71">
        <v>0</v>
      </c>
      <c r="EM71">
        <v>0</v>
      </c>
      <c r="EN71">
        <v>0</v>
      </c>
      <c r="EO71">
        <v>0</v>
      </c>
      <c r="EP71">
        <v>0</v>
      </c>
      <c r="EQ71">
        <v>0</v>
      </c>
      <c r="ER71">
        <v>0</v>
      </c>
      <c r="ES71">
        <v>0</v>
      </c>
      <c r="ET71">
        <v>0</v>
      </c>
      <c r="EU71">
        <v>0</v>
      </c>
      <c r="EV71">
        <v>0</v>
      </c>
      <c r="EW71">
        <v>0</v>
      </c>
      <c r="EX71">
        <v>0</v>
      </c>
      <c r="EY71">
        <v>0</v>
      </c>
      <c r="EZ71">
        <v>0</v>
      </c>
      <c r="FA71">
        <v>0</v>
      </c>
      <c r="FB71">
        <v>0</v>
      </c>
      <c r="FC71">
        <v>0</v>
      </c>
      <c r="FD71">
        <v>0</v>
      </c>
      <c r="FE71">
        <v>0</v>
      </c>
      <c r="FF71">
        <v>0</v>
      </c>
      <c r="FG71">
        <v>0</v>
      </c>
      <c r="FH71">
        <v>0</v>
      </c>
      <c r="FI71">
        <v>0</v>
      </c>
      <c r="FJ71">
        <v>0</v>
      </c>
      <c r="FK71">
        <v>0</v>
      </c>
      <c r="FL71">
        <v>0</v>
      </c>
      <c r="FM71">
        <v>0</v>
      </c>
      <c r="FN71">
        <v>0</v>
      </c>
      <c r="FO71">
        <v>0</v>
      </c>
      <c r="FP71">
        <v>0</v>
      </c>
      <c r="FQ71">
        <v>0</v>
      </c>
      <c r="FR71">
        <v>0</v>
      </c>
      <c r="FS71">
        <v>0</v>
      </c>
      <c r="FT71">
        <v>0</v>
      </c>
      <c r="FU71">
        <v>0</v>
      </c>
      <c r="FV71">
        <v>0</v>
      </c>
      <c r="FW71">
        <v>0</v>
      </c>
      <c r="FX71">
        <v>0</v>
      </c>
      <c r="FY71">
        <v>0</v>
      </c>
      <c r="FZ71">
        <v>0</v>
      </c>
      <c r="GA71">
        <v>0</v>
      </c>
      <c r="GB71">
        <v>0</v>
      </c>
      <c r="GC71">
        <v>0</v>
      </c>
      <c r="GD71">
        <v>0</v>
      </c>
      <c r="GE71">
        <v>0</v>
      </c>
      <c r="GF71">
        <v>0</v>
      </c>
      <c r="GG71">
        <v>0</v>
      </c>
      <c r="GH71">
        <v>0</v>
      </c>
      <c r="GI71">
        <v>0</v>
      </c>
      <c r="GJ71">
        <v>0</v>
      </c>
      <c r="GK71">
        <v>0</v>
      </c>
      <c r="GL71">
        <v>0</v>
      </c>
      <c r="GM71">
        <v>0</v>
      </c>
      <c r="GN71">
        <v>0</v>
      </c>
      <c r="GO71">
        <v>0</v>
      </c>
      <c r="GP71">
        <v>0</v>
      </c>
      <c r="GQ71">
        <v>0</v>
      </c>
      <c r="GR71">
        <v>0</v>
      </c>
      <c r="GS71">
        <v>0</v>
      </c>
      <c r="GT71">
        <v>0</v>
      </c>
      <c r="GU71">
        <v>0</v>
      </c>
      <c r="GV71">
        <v>0</v>
      </c>
      <c r="GW71">
        <v>218534</v>
      </c>
      <c r="GX71">
        <v>0</v>
      </c>
      <c r="GY71">
        <v>0</v>
      </c>
      <c r="GZ71">
        <v>0</v>
      </c>
      <c r="HA71">
        <v>0</v>
      </c>
      <c r="HB71">
        <v>1314</v>
      </c>
      <c r="HC71">
        <v>0</v>
      </c>
      <c r="HD71">
        <v>0</v>
      </c>
      <c r="HE71">
        <v>0</v>
      </c>
      <c r="HF71">
        <v>0</v>
      </c>
      <c r="HG71">
        <v>0</v>
      </c>
      <c r="HH71">
        <v>0</v>
      </c>
      <c r="HI71">
        <v>0</v>
      </c>
      <c r="HJ71">
        <v>0</v>
      </c>
      <c r="HK71">
        <v>0</v>
      </c>
      <c r="HL71">
        <v>0</v>
      </c>
      <c r="HM71">
        <v>0</v>
      </c>
      <c r="HN71">
        <v>0</v>
      </c>
      <c r="HO71">
        <v>0</v>
      </c>
      <c r="HP71">
        <v>0</v>
      </c>
      <c r="HQ71">
        <v>0</v>
      </c>
      <c r="HR71">
        <v>0</v>
      </c>
      <c r="HS71">
        <v>0</v>
      </c>
      <c r="HT71">
        <v>0</v>
      </c>
      <c r="HU71">
        <v>0</v>
      </c>
      <c r="HV71">
        <v>1314</v>
      </c>
      <c r="HW71">
        <v>0</v>
      </c>
      <c r="HX71">
        <v>0</v>
      </c>
      <c r="HY71">
        <v>0</v>
      </c>
      <c r="HZ71">
        <v>0</v>
      </c>
      <c r="IA71">
        <v>0</v>
      </c>
      <c r="IB71">
        <v>0</v>
      </c>
      <c r="IC71">
        <v>0</v>
      </c>
      <c r="ID71">
        <v>0</v>
      </c>
      <c r="IE71">
        <v>0</v>
      </c>
      <c r="IF71">
        <v>0</v>
      </c>
      <c r="IG71">
        <v>0</v>
      </c>
      <c r="IH71">
        <v>0</v>
      </c>
      <c r="II71">
        <v>0</v>
      </c>
      <c r="IJ71">
        <v>0</v>
      </c>
      <c r="IK71">
        <v>0</v>
      </c>
      <c r="IL71">
        <v>218534</v>
      </c>
      <c r="IM71">
        <v>0</v>
      </c>
      <c r="IN71">
        <v>1314</v>
      </c>
      <c r="IO71">
        <v>0</v>
      </c>
      <c r="IP71">
        <v>219848</v>
      </c>
      <c r="IQ71">
        <v>0</v>
      </c>
      <c r="IR71">
        <v>0</v>
      </c>
      <c r="IS71">
        <v>0</v>
      </c>
      <c r="IT71">
        <v>0</v>
      </c>
      <c r="IU71">
        <v>0</v>
      </c>
      <c r="IV71">
        <v>0</v>
      </c>
      <c r="IW71">
        <v>0</v>
      </c>
      <c r="IX71">
        <v>0</v>
      </c>
      <c r="IY71">
        <v>0</v>
      </c>
      <c r="IZ71">
        <v>700</v>
      </c>
      <c r="JA71">
        <v>0</v>
      </c>
      <c r="JB71">
        <v>0</v>
      </c>
      <c r="JC71">
        <v>0</v>
      </c>
      <c r="JD71">
        <v>0</v>
      </c>
      <c r="JE71">
        <v>-1085</v>
      </c>
      <c r="JF71">
        <v>0</v>
      </c>
      <c r="JG71">
        <v>219463</v>
      </c>
      <c r="JH71">
        <v>0</v>
      </c>
      <c r="JI71">
        <v>3518</v>
      </c>
      <c r="JJ71">
        <v>0</v>
      </c>
      <c r="JK71">
        <v>0</v>
      </c>
      <c r="JL71">
        <v>0</v>
      </c>
      <c r="JM71">
        <v>0</v>
      </c>
      <c r="JN71">
        <v>2592</v>
      </c>
      <c r="JO71">
        <v>0</v>
      </c>
      <c r="JP71">
        <v>991</v>
      </c>
      <c r="JQ71">
        <v>0</v>
      </c>
      <c r="JR71">
        <v>226564</v>
      </c>
      <c r="JS71">
        <v>-60</v>
      </c>
      <c r="JT71">
        <v>1924</v>
      </c>
      <c r="JU71">
        <v>0</v>
      </c>
      <c r="JV71">
        <v>0</v>
      </c>
      <c r="JW71">
        <v>0</v>
      </c>
      <c r="JX71">
        <v>0</v>
      </c>
      <c r="JY71">
        <v>0</v>
      </c>
      <c r="JZ71">
        <v>0</v>
      </c>
      <c r="KA71">
        <v>0</v>
      </c>
      <c r="KB71">
        <v>0</v>
      </c>
      <c r="KC71">
        <v>228428</v>
      </c>
      <c r="KD71">
        <v>0</v>
      </c>
      <c r="KE71">
        <v>-17695</v>
      </c>
      <c r="KF71">
        <v>210733</v>
      </c>
      <c r="KG71">
        <v>0</v>
      </c>
      <c r="KH71">
        <v>0</v>
      </c>
      <c r="KI71">
        <v>0</v>
      </c>
      <c r="KJ71">
        <v>0</v>
      </c>
      <c r="KK71">
        <v>6687</v>
      </c>
      <c r="KL71">
        <v>0</v>
      </c>
      <c r="KM71">
        <v>0</v>
      </c>
      <c r="KN71">
        <v>-130471</v>
      </c>
      <c r="KO71">
        <v>0</v>
      </c>
      <c r="KP71">
        <v>223</v>
      </c>
      <c r="KQ71">
        <v>0</v>
      </c>
      <c r="KR71">
        <v>85832</v>
      </c>
      <c r="KS71">
        <v>0</v>
      </c>
      <c r="KT71">
        <v>0</v>
      </c>
      <c r="KU71">
        <v>0</v>
      </c>
      <c r="KV71">
        <v>15762</v>
      </c>
      <c r="KW71">
        <v>5773</v>
      </c>
      <c r="KX71">
        <v>0</v>
      </c>
      <c r="KY71">
        <v>0</v>
      </c>
      <c r="KZ71">
        <v>0</v>
      </c>
      <c r="LA71">
        <v>22449</v>
      </c>
      <c r="LB71">
        <v>5773</v>
      </c>
      <c r="LC71">
        <v>0</v>
      </c>
      <c r="LD71">
        <v>9990</v>
      </c>
      <c r="LE71">
        <v>0</v>
      </c>
      <c r="LF71">
        <v>0</v>
      </c>
      <c r="LG71">
        <v>0</v>
      </c>
      <c r="LH71">
        <v>0</v>
      </c>
      <c r="LI71">
        <v>9990</v>
      </c>
      <c r="LJ71">
        <v>0</v>
      </c>
      <c r="LK71">
        <v>0</v>
      </c>
      <c r="LL71">
        <v>0</v>
      </c>
      <c r="LM71">
        <v>0</v>
      </c>
      <c r="LN71">
        <v>0</v>
      </c>
      <c r="LO71">
        <v>0</v>
      </c>
      <c r="LP71">
        <v>0</v>
      </c>
      <c r="LQ71">
        <v>0</v>
      </c>
      <c r="LR71">
        <v>0</v>
      </c>
      <c r="LS71">
        <v>0</v>
      </c>
      <c r="LT71">
        <v>0</v>
      </c>
      <c r="LU71">
        <v>0</v>
      </c>
      <c r="LV71">
        <v>0</v>
      </c>
      <c r="LW71">
        <v>0</v>
      </c>
      <c r="LX71">
        <v>0</v>
      </c>
      <c r="LY71">
        <v>0</v>
      </c>
      <c r="LZ71">
        <v>0</v>
      </c>
      <c r="MA71">
        <v>0</v>
      </c>
      <c r="MB71">
        <v>0</v>
      </c>
      <c r="MC71">
        <v>0</v>
      </c>
      <c r="MD71">
        <v>218534</v>
      </c>
      <c r="ME71">
        <v>0</v>
      </c>
      <c r="MF71">
        <v>1314</v>
      </c>
      <c r="MG71">
        <v>0</v>
      </c>
      <c r="MH71">
        <v>219848</v>
      </c>
      <c r="MI71">
        <v>0</v>
      </c>
      <c r="MJ71">
        <v>0</v>
      </c>
      <c r="MK71">
        <v>0</v>
      </c>
      <c r="ML71">
        <v>0</v>
      </c>
      <c r="MM71">
        <v>0</v>
      </c>
      <c r="MN71">
        <v>0</v>
      </c>
      <c r="MO71">
        <v>0</v>
      </c>
      <c r="MP71">
        <v>0</v>
      </c>
      <c r="MQ71">
        <v>0</v>
      </c>
      <c r="MR71">
        <v>0</v>
      </c>
      <c r="MS71">
        <v>0</v>
      </c>
      <c r="MT71">
        <v>0</v>
      </c>
      <c r="MU71">
        <v>0</v>
      </c>
      <c r="MV71">
        <v>0</v>
      </c>
      <c r="MW71">
        <v>0</v>
      </c>
      <c r="MX71">
        <v>0</v>
      </c>
      <c r="MY71">
        <v>0</v>
      </c>
      <c r="MZ71">
        <v>0</v>
      </c>
      <c r="NA71">
        <v>0</v>
      </c>
      <c r="NB71">
        <v>0</v>
      </c>
      <c r="NC71">
        <v>0</v>
      </c>
      <c r="ND71">
        <v>0</v>
      </c>
      <c r="NE71">
        <v>0</v>
      </c>
      <c r="NF71">
        <v>0</v>
      </c>
      <c r="NG71">
        <v>0</v>
      </c>
      <c r="NH71">
        <v>0</v>
      </c>
      <c r="NI71">
        <v>0</v>
      </c>
      <c r="NJ71">
        <v>0</v>
      </c>
      <c r="NK71">
        <v>0</v>
      </c>
      <c r="NL71">
        <v>0</v>
      </c>
      <c r="NM71">
        <v>0</v>
      </c>
      <c r="NN71">
        <v>0</v>
      </c>
      <c r="NO71">
        <v>0</v>
      </c>
      <c r="NP71">
        <v>0</v>
      </c>
      <c r="NQ71">
        <v>0</v>
      </c>
      <c r="NR71">
        <v>0</v>
      </c>
      <c r="NS71">
        <v>0</v>
      </c>
      <c r="NT71">
        <v>0</v>
      </c>
      <c r="NU71">
        <v>0</v>
      </c>
      <c r="NV71">
        <v>0</v>
      </c>
      <c r="NW71">
        <v>0</v>
      </c>
      <c r="NX71">
        <v>0</v>
      </c>
      <c r="NY71">
        <v>0</v>
      </c>
      <c r="NZ71">
        <v>0</v>
      </c>
      <c r="OA71">
        <v>0</v>
      </c>
      <c r="OB71">
        <v>0</v>
      </c>
      <c r="OC71">
        <v>0</v>
      </c>
      <c r="OD71">
        <v>0</v>
      </c>
      <c r="OE71">
        <v>0</v>
      </c>
      <c r="OF71">
        <v>0</v>
      </c>
      <c r="OG71">
        <v>0</v>
      </c>
      <c r="OH71">
        <v>0</v>
      </c>
      <c r="OI71">
        <v>0</v>
      </c>
      <c r="OJ71">
        <v>0</v>
      </c>
      <c r="OK71">
        <v>0</v>
      </c>
      <c r="OL71">
        <v>0</v>
      </c>
      <c r="OM71">
        <v>0</v>
      </c>
      <c r="ON71">
        <v>0</v>
      </c>
    </row>
    <row r="72" spans="1:404" x14ac:dyDescent="0.25">
      <c r="A72" t="s">
        <v>282</v>
      </c>
      <c r="B72" t="s">
        <v>283</v>
      </c>
      <c r="C72" t="s">
        <v>5415</v>
      </c>
      <c r="E72" t="s">
        <v>125</v>
      </c>
      <c r="F72">
        <v>22033</v>
      </c>
      <c r="G72">
        <v>120098</v>
      </c>
      <c r="H72">
        <v>69064</v>
      </c>
      <c r="I72">
        <v>31511</v>
      </c>
      <c r="J72">
        <v>1979</v>
      </c>
      <c r="K72">
        <v>17598</v>
      </c>
      <c r="L72">
        <v>262283</v>
      </c>
      <c r="M72">
        <v>-530</v>
      </c>
      <c r="N72">
        <v>365</v>
      </c>
      <c r="O72">
        <v>-34</v>
      </c>
      <c r="P72">
        <v>-1</v>
      </c>
      <c r="Q72">
        <v>0</v>
      </c>
      <c r="R72">
        <v>2425</v>
      </c>
      <c r="S72">
        <v>2947</v>
      </c>
      <c r="T72">
        <v>1228</v>
      </c>
      <c r="U72">
        <v>3383</v>
      </c>
      <c r="V72">
        <v>0</v>
      </c>
      <c r="W72">
        <v>0</v>
      </c>
      <c r="X72">
        <v>736</v>
      </c>
      <c r="Y72">
        <v>0</v>
      </c>
      <c r="Z72">
        <v>-62</v>
      </c>
      <c r="AA72">
        <v>-596</v>
      </c>
      <c r="AB72">
        <v>2929</v>
      </c>
      <c r="AC72">
        <v>0</v>
      </c>
      <c r="AD72">
        <v>3496</v>
      </c>
      <c r="AE72">
        <v>0</v>
      </c>
      <c r="AF72">
        <v>0</v>
      </c>
      <c r="AG72">
        <v>924</v>
      </c>
      <c r="AH72">
        <v>0</v>
      </c>
      <c r="AI72">
        <v>17210</v>
      </c>
      <c r="AJ72">
        <v>0</v>
      </c>
      <c r="AK72">
        <v>0</v>
      </c>
      <c r="AL72">
        <v>0</v>
      </c>
      <c r="AM72">
        <v>0</v>
      </c>
      <c r="AN72">
        <v>0</v>
      </c>
      <c r="AO72">
        <v>0</v>
      </c>
      <c r="AP72">
        <v>0</v>
      </c>
      <c r="AQ72">
        <v>0</v>
      </c>
      <c r="AR72">
        <v>88</v>
      </c>
      <c r="AS72">
        <v>0</v>
      </c>
      <c r="AT72">
        <v>0</v>
      </c>
      <c r="AU72">
        <v>0</v>
      </c>
      <c r="AV72">
        <v>1262</v>
      </c>
      <c r="AW72">
        <v>34253</v>
      </c>
      <c r="AX72">
        <v>774</v>
      </c>
      <c r="AY72">
        <v>9344</v>
      </c>
      <c r="AZ72">
        <v>553</v>
      </c>
      <c r="BA72">
        <v>14444</v>
      </c>
      <c r="BB72">
        <v>0</v>
      </c>
      <c r="BC72">
        <v>632</v>
      </c>
      <c r="BD72">
        <v>61262</v>
      </c>
      <c r="BE72">
        <v>6308</v>
      </c>
      <c r="BF72">
        <v>21334</v>
      </c>
      <c r="BG72">
        <v>275</v>
      </c>
      <c r="BH72">
        <v>388</v>
      </c>
      <c r="BI72">
        <v>878</v>
      </c>
      <c r="BJ72">
        <v>11187</v>
      </c>
      <c r="BK72">
        <v>50561</v>
      </c>
      <c r="BL72">
        <v>5698</v>
      </c>
      <c r="BM72">
        <v>4662</v>
      </c>
      <c r="BN72">
        <v>4190</v>
      </c>
      <c r="BO72">
        <v>110</v>
      </c>
      <c r="BP72">
        <v>0</v>
      </c>
      <c r="BQ72">
        <v>1034</v>
      </c>
      <c r="BR72">
        <v>791</v>
      </c>
      <c r="BS72">
        <v>482</v>
      </c>
      <c r="BT72">
        <v>12105</v>
      </c>
      <c r="BU72">
        <v>2559</v>
      </c>
      <c r="BV72">
        <v>11285</v>
      </c>
      <c r="BW72">
        <v>133875</v>
      </c>
      <c r="BX72">
        <v>1587</v>
      </c>
      <c r="BY72">
        <v>1638</v>
      </c>
      <c r="BZ72">
        <v>111</v>
      </c>
      <c r="CA72">
        <v>116</v>
      </c>
      <c r="CB72">
        <v>170</v>
      </c>
      <c r="CC72">
        <v>58</v>
      </c>
      <c r="CD72">
        <v>222</v>
      </c>
      <c r="CE72">
        <v>63</v>
      </c>
      <c r="CF72">
        <v>0</v>
      </c>
      <c r="CG72">
        <v>254</v>
      </c>
      <c r="CH72">
        <v>39</v>
      </c>
      <c r="CI72">
        <v>2069</v>
      </c>
      <c r="CJ72">
        <v>762</v>
      </c>
      <c r="CK72">
        <v>0</v>
      </c>
      <c r="CL72">
        <v>0</v>
      </c>
      <c r="CM72">
        <v>0</v>
      </c>
      <c r="CN72">
        <v>360</v>
      </c>
      <c r="CO72">
        <v>0</v>
      </c>
      <c r="CP72">
        <v>1158</v>
      </c>
      <c r="CQ72">
        <v>3476</v>
      </c>
      <c r="CR72">
        <v>349</v>
      </c>
      <c r="CS72">
        <v>0</v>
      </c>
      <c r="CT72">
        <v>268</v>
      </c>
      <c r="CU72">
        <v>462</v>
      </c>
      <c r="CV72">
        <v>20012</v>
      </c>
      <c r="CW72">
        <v>0</v>
      </c>
      <c r="CX72">
        <v>0</v>
      </c>
      <c r="CY72">
        <v>0</v>
      </c>
      <c r="CZ72">
        <v>0</v>
      </c>
      <c r="DA72">
        <v>0</v>
      </c>
      <c r="DB72">
        <v>0</v>
      </c>
      <c r="DC72">
        <v>766</v>
      </c>
      <c r="DD72">
        <v>0</v>
      </c>
      <c r="DE72">
        <v>0</v>
      </c>
      <c r="DF72">
        <v>-73</v>
      </c>
      <c r="DG72">
        <v>0</v>
      </c>
      <c r="DH72">
        <v>0</v>
      </c>
      <c r="DI72">
        <v>0</v>
      </c>
      <c r="DJ72">
        <v>1837</v>
      </c>
      <c r="DK72">
        <v>47</v>
      </c>
      <c r="DL72">
        <v>0</v>
      </c>
      <c r="DM72">
        <v>0</v>
      </c>
      <c r="DN72">
        <v>2102</v>
      </c>
      <c r="DO72">
        <v>4288</v>
      </c>
      <c r="DP72">
        <v>8274</v>
      </c>
      <c r="DQ72">
        <v>460</v>
      </c>
      <c r="DR72">
        <v>0</v>
      </c>
      <c r="DS72">
        <v>76</v>
      </c>
      <c r="DT72">
        <v>1798</v>
      </c>
      <c r="DU72">
        <v>1</v>
      </c>
      <c r="DV72">
        <v>611</v>
      </c>
      <c r="DW72">
        <v>475</v>
      </c>
      <c r="DX72">
        <v>12388</v>
      </c>
      <c r="DY72">
        <v>22636</v>
      </c>
      <c r="DZ72">
        <v>419</v>
      </c>
      <c r="EA72">
        <v>91</v>
      </c>
      <c r="EB72">
        <v>115</v>
      </c>
      <c r="EC72">
        <v>0</v>
      </c>
      <c r="ED72">
        <v>25</v>
      </c>
      <c r="EE72">
        <v>0</v>
      </c>
      <c r="EF72">
        <v>0</v>
      </c>
      <c r="EG72">
        <v>0</v>
      </c>
      <c r="EH72">
        <v>5028</v>
      </c>
      <c r="EI72">
        <v>4417</v>
      </c>
      <c r="EJ72">
        <v>96</v>
      </c>
      <c r="EK72">
        <v>0</v>
      </c>
      <c r="EL72">
        <v>3</v>
      </c>
      <c r="EM72">
        <v>2193</v>
      </c>
      <c r="EN72">
        <v>0</v>
      </c>
      <c r="EO72">
        <v>0</v>
      </c>
      <c r="EP72">
        <v>0</v>
      </c>
      <c r="EQ72">
        <v>11229</v>
      </c>
      <c r="ER72">
        <v>313</v>
      </c>
      <c r="ES72">
        <v>663</v>
      </c>
      <c r="ET72">
        <v>670</v>
      </c>
      <c r="EU72">
        <v>333</v>
      </c>
      <c r="EV72">
        <v>365</v>
      </c>
      <c r="EW72">
        <v>623</v>
      </c>
      <c r="EX72">
        <v>1571</v>
      </c>
      <c r="EY72">
        <v>1347</v>
      </c>
      <c r="EZ72">
        <v>188</v>
      </c>
      <c r="FA72">
        <v>0</v>
      </c>
      <c r="FB72">
        <v>0</v>
      </c>
      <c r="FC72">
        <v>4260</v>
      </c>
      <c r="FD72">
        <v>1819</v>
      </c>
      <c r="FE72">
        <v>13</v>
      </c>
      <c r="FF72">
        <v>8</v>
      </c>
      <c r="FG72">
        <v>5401</v>
      </c>
      <c r="FH72">
        <v>15928</v>
      </c>
      <c r="FI72">
        <v>-436</v>
      </c>
      <c r="FJ72">
        <v>1991</v>
      </c>
      <c r="FK72">
        <v>38</v>
      </c>
      <c r="FL72">
        <v>507</v>
      </c>
      <c r="FM72">
        <v>668</v>
      </c>
      <c r="FN72">
        <v>219</v>
      </c>
      <c r="FO72">
        <v>310</v>
      </c>
      <c r="FP72">
        <v>237</v>
      </c>
      <c r="FQ72">
        <v>0</v>
      </c>
      <c r="FR72">
        <v>139</v>
      </c>
      <c r="FS72">
        <v>271</v>
      </c>
      <c r="FT72">
        <v>526</v>
      </c>
      <c r="FU72">
        <v>93</v>
      </c>
      <c r="FV72">
        <v>219</v>
      </c>
      <c r="FW72">
        <v>477</v>
      </c>
      <c r="FX72">
        <v>641</v>
      </c>
      <c r="FY72">
        <v>402</v>
      </c>
      <c r="FZ72">
        <v>0</v>
      </c>
      <c r="GA72">
        <v>0</v>
      </c>
      <c r="GB72">
        <v>0</v>
      </c>
      <c r="GC72">
        <v>0</v>
      </c>
      <c r="GD72">
        <v>6350</v>
      </c>
      <c r="GE72">
        <v>16176</v>
      </c>
      <c r="GF72">
        <v>7688</v>
      </c>
      <c r="GG72">
        <v>0</v>
      </c>
      <c r="GH72">
        <v>2555</v>
      </c>
      <c r="GI72">
        <v>0</v>
      </c>
      <c r="GJ72">
        <v>1391</v>
      </c>
      <c r="GK72">
        <v>40462</v>
      </c>
      <c r="GL72">
        <v>142</v>
      </c>
      <c r="GM72">
        <v>3700</v>
      </c>
      <c r="GN72">
        <v>546</v>
      </c>
      <c r="GO72">
        <v>14740</v>
      </c>
      <c r="GP72">
        <v>3</v>
      </c>
      <c r="GQ72">
        <v>5507</v>
      </c>
      <c r="GR72">
        <v>0</v>
      </c>
      <c r="GS72">
        <v>9159</v>
      </c>
      <c r="GT72">
        <v>2393</v>
      </c>
      <c r="GU72">
        <v>36190</v>
      </c>
      <c r="GV72">
        <v>92580</v>
      </c>
      <c r="GW72">
        <v>0</v>
      </c>
      <c r="GX72">
        <v>0</v>
      </c>
      <c r="GY72">
        <v>0</v>
      </c>
      <c r="GZ72">
        <v>0</v>
      </c>
      <c r="HA72">
        <v>0</v>
      </c>
      <c r="HB72">
        <v>5869</v>
      </c>
      <c r="HC72">
        <v>534</v>
      </c>
      <c r="HD72">
        <v>0</v>
      </c>
      <c r="HE72">
        <v>168</v>
      </c>
      <c r="HF72">
        <v>521</v>
      </c>
      <c r="HG72">
        <v>-457</v>
      </c>
      <c r="HH72">
        <v>0</v>
      </c>
      <c r="HI72">
        <v>-139</v>
      </c>
      <c r="HJ72">
        <v>659</v>
      </c>
      <c r="HK72">
        <v>76</v>
      </c>
      <c r="HL72">
        <v>189</v>
      </c>
      <c r="HM72">
        <v>25</v>
      </c>
      <c r="HN72">
        <v>861</v>
      </c>
      <c r="HO72">
        <v>5958</v>
      </c>
      <c r="HP72">
        <v>682</v>
      </c>
      <c r="HQ72">
        <v>0</v>
      </c>
      <c r="HR72">
        <v>35</v>
      </c>
      <c r="HS72">
        <v>0</v>
      </c>
      <c r="HT72">
        <v>343</v>
      </c>
      <c r="HU72">
        <v>0</v>
      </c>
      <c r="HV72">
        <v>15324</v>
      </c>
      <c r="HW72">
        <v>0</v>
      </c>
      <c r="HX72">
        <v>0</v>
      </c>
      <c r="HY72">
        <v>0</v>
      </c>
      <c r="HZ72">
        <v>0</v>
      </c>
      <c r="IA72">
        <v>0</v>
      </c>
      <c r="IB72">
        <v>180</v>
      </c>
      <c r="IC72">
        <v>262283</v>
      </c>
      <c r="ID72">
        <v>17210</v>
      </c>
      <c r="IE72">
        <v>61262</v>
      </c>
      <c r="IF72">
        <v>133875</v>
      </c>
      <c r="IG72">
        <v>20012</v>
      </c>
      <c r="IH72">
        <v>12388</v>
      </c>
      <c r="II72">
        <v>15928</v>
      </c>
      <c r="IJ72">
        <v>40462</v>
      </c>
      <c r="IK72">
        <v>36190</v>
      </c>
      <c r="IL72">
        <v>0</v>
      </c>
      <c r="IM72">
        <v>0</v>
      </c>
      <c r="IN72">
        <v>15324</v>
      </c>
      <c r="IO72">
        <v>180</v>
      </c>
      <c r="IP72">
        <v>615114</v>
      </c>
      <c r="IQ72">
        <v>53897</v>
      </c>
      <c r="IR72">
        <v>1606</v>
      </c>
      <c r="IS72">
        <v>5147</v>
      </c>
      <c r="IT72">
        <v>0</v>
      </c>
      <c r="IU72">
        <v>0</v>
      </c>
      <c r="IV72">
        <v>3988</v>
      </c>
      <c r="IW72">
        <v>0</v>
      </c>
      <c r="IX72">
        <v>0</v>
      </c>
      <c r="IY72">
        <v>0</v>
      </c>
      <c r="IZ72">
        <v>0</v>
      </c>
      <c r="JA72">
        <v>-5726</v>
      </c>
      <c r="JB72">
        <v>161</v>
      </c>
      <c r="JC72">
        <v>-176</v>
      </c>
      <c r="JD72">
        <v>-61</v>
      </c>
      <c r="JE72">
        <v>84</v>
      </c>
      <c r="JF72">
        <v>0</v>
      </c>
      <c r="JG72">
        <v>674034</v>
      </c>
      <c r="JH72">
        <v>721</v>
      </c>
      <c r="JI72">
        <v>1582</v>
      </c>
      <c r="JJ72">
        <v>0</v>
      </c>
      <c r="JK72">
        <v>0</v>
      </c>
      <c r="JL72">
        <v>0</v>
      </c>
      <c r="JM72">
        <v>965</v>
      </c>
      <c r="JN72">
        <v>35322</v>
      </c>
      <c r="JO72">
        <v>66</v>
      </c>
      <c r="JP72">
        <v>9209</v>
      </c>
      <c r="JQ72">
        <v>0</v>
      </c>
      <c r="JR72">
        <v>721899</v>
      </c>
      <c r="JS72">
        <v>-1457</v>
      </c>
      <c r="JT72">
        <v>0</v>
      </c>
      <c r="JU72">
        <v>147</v>
      </c>
      <c r="JV72">
        <v>0</v>
      </c>
      <c r="JW72">
        <v>-71122</v>
      </c>
      <c r="JX72">
        <v>0</v>
      </c>
      <c r="JY72">
        <v>-3158</v>
      </c>
      <c r="JZ72">
        <v>0</v>
      </c>
      <c r="KA72">
        <v>0</v>
      </c>
      <c r="KB72">
        <v>0</v>
      </c>
      <c r="KC72">
        <v>646309</v>
      </c>
      <c r="KD72">
        <v>-530</v>
      </c>
      <c r="KE72">
        <v>-300451</v>
      </c>
      <c r="KF72">
        <v>345328</v>
      </c>
      <c r="KG72">
        <v>0</v>
      </c>
      <c r="KH72">
        <v>-662</v>
      </c>
      <c r="KI72">
        <v>0</v>
      </c>
      <c r="KJ72">
        <v>1407</v>
      </c>
      <c r="KK72">
        <v>-36479</v>
      </c>
      <c r="KL72">
        <v>1107</v>
      </c>
      <c r="KM72">
        <v>-3358</v>
      </c>
      <c r="KN72">
        <v>0</v>
      </c>
      <c r="KO72">
        <v>-68025</v>
      </c>
      <c r="KP72">
        <v>511</v>
      </c>
      <c r="KQ72">
        <v>0</v>
      </c>
      <c r="KR72">
        <v>207662</v>
      </c>
      <c r="KS72">
        <v>15505</v>
      </c>
      <c r="KT72">
        <v>0</v>
      </c>
      <c r="KU72">
        <v>1569</v>
      </c>
      <c r="KV72">
        <v>181882</v>
      </c>
      <c r="KW72">
        <v>24726</v>
      </c>
      <c r="KX72">
        <v>14843</v>
      </c>
      <c r="KY72">
        <v>0</v>
      </c>
      <c r="KZ72">
        <v>2976</v>
      </c>
      <c r="LA72">
        <v>145403</v>
      </c>
      <c r="LB72">
        <v>25833</v>
      </c>
      <c r="LC72">
        <v>0</v>
      </c>
      <c r="LD72">
        <v>43099</v>
      </c>
      <c r="LE72">
        <v>-8372</v>
      </c>
      <c r="LF72">
        <v>0</v>
      </c>
      <c r="LG72">
        <v>0</v>
      </c>
      <c r="LH72">
        <v>5315</v>
      </c>
      <c r="LI72">
        <v>40042</v>
      </c>
      <c r="LJ72">
        <v>8232</v>
      </c>
      <c r="LK72">
        <v>12300</v>
      </c>
      <c r="LL72">
        <v>20532</v>
      </c>
      <c r="LM72">
        <v>0</v>
      </c>
      <c r="LN72">
        <v>0</v>
      </c>
      <c r="LO72">
        <v>0</v>
      </c>
      <c r="LP72">
        <v>23286</v>
      </c>
      <c r="LQ72">
        <v>23279</v>
      </c>
      <c r="LR72">
        <v>7</v>
      </c>
      <c r="LS72">
        <v>663</v>
      </c>
      <c r="LT72">
        <v>670</v>
      </c>
      <c r="LU72">
        <v>262283</v>
      </c>
      <c r="LV72">
        <v>17210</v>
      </c>
      <c r="LW72">
        <v>61262</v>
      </c>
      <c r="LX72">
        <v>133875</v>
      </c>
      <c r="LY72">
        <v>20012</v>
      </c>
      <c r="LZ72">
        <v>12388</v>
      </c>
      <c r="MA72">
        <v>15928</v>
      </c>
      <c r="MB72">
        <v>40462</v>
      </c>
      <c r="MC72">
        <v>36190</v>
      </c>
      <c r="MD72">
        <v>0</v>
      </c>
      <c r="ME72">
        <v>0</v>
      </c>
      <c r="MF72">
        <v>15324</v>
      </c>
      <c r="MG72">
        <v>180</v>
      </c>
      <c r="MH72">
        <v>615114</v>
      </c>
      <c r="MI72">
        <v>0</v>
      </c>
      <c r="MJ72">
        <v>0</v>
      </c>
      <c r="MK72">
        <v>0</v>
      </c>
      <c r="ML72">
        <v>0</v>
      </c>
      <c r="MM72">
        <v>0</v>
      </c>
      <c r="MN72">
        <v>0</v>
      </c>
      <c r="MO72">
        <v>0</v>
      </c>
      <c r="MP72">
        <v>0</v>
      </c>
      <c r="MQ72">
        <v>0</v>
      </c>
      <c r="MR72">
        <v>0</v>
      </c>
      <c r="MS72">
        <v>0</v>
      </c>
      <c r="MT72">
        <v>0</v>
      </c>
      <c r="MU72">
        <v>0</v>
      </c>
      <c r="MV72">
        <v>0</v>
      </c>
      <c r="MW72">
        <v>0</v>
      </c>
      <c r="MX72">
        <v>-5902</v>
      </c>
      <c r="MY72">
        <v>0</v>
      </c>
      <c r="MZ72">
        <v>0</v>
      </c>
      <c r="NA72">
        <v>-5902</v>
      </c>
      <c r="NB72">
        <v>176</v>
      </c>
      <c r="NC72">
        <v>-5726</v>
      </c>
      <c r="ND72">
        <v>0</v>
      </c>
      <c r="NE72">
        <v>0</v>
      </c>
      <c r="NF72">
        <v>0</v>
      </c>
      <c r="NG72">
        <v>0</v>
      </c>
      <c r="NH72">
        <v>0</v>
      </c>
      <c r="NI72">
        <v>0</v>
      </c>
      <c r="NJ72">
        <v>0</v>
      </c>
      <c r="NK72">
        <v>0</v>
      </c>
      <c r="NL72">
        <v>0</v>
      </c>
      <c r="NM72">
        <v>0</v>
      </c>
      <c r="NN72">
        <v>0</v>
      </c>
      <c r="NO72">
        <v>0</v>
      </c>
      <c r="NP72">
        <v>-1</v>
      </c>
      <c r="NQ72">
        <v>0</v>
      </c>
      <c r="NR72">
        <v>101</v>
      </c>
      <c r="NS72">
        <v>0</v>
      </c>
      <c r="NT72">
        <v>0</v>
      </c>
      <c r="NU72">
        <v>0</v>
      </c>
      <c r="NV72">
        <v>0</v>
      </c>
      <c r="NW72">
        <v>0</v>
      </c>
      <c r="NX72">
        <v>0</v>
      </c>
      <c r="NY72">
        <v>0</v>
      </c>
      <c r="NZ72">
        <v>100</v>
      </c>
      <c r="OA72">
        <v>61</v>
      </c>
      <c r="OB72">
        <v>161</v>
      </c>
      <c r="OC72">
        <v>-72</v>
      </c>
      <c r="OD72">
        <v>0</v>
      </c>
      <c r="OE72">
        <v>248</v>
      </c>
      <c r="OF72">
        <v>0</v>
      </c>
      <c r="OG72">
        <v>0</v>
      </c>
      <c r="OH72">
        <v>176</v>
      </c>
      <c r="OI72">
        <v>61</v>
      </c>
      <c r="OJ72">
        <v>0</v>
      </c>
      <c r="OK72">
        <v>0</v>
      </c>
      <c r="OL72">
        <v>0</v>
      </c>
      <c r="OM72">
        <v>0</v>
      </c>
      <c r="ON72">
        <v>61</v>
      </c>
    </row>
    <row r="73" spans="1:404" x14ac:dyDescent="0.25">
      <c r="A73" t="s">
        <v>285</v>
      </c>
      <c r="B73" t="s">
        <v>286</v>
      </c>
      <c r="C73" t="s">
        <v>284</v>
      </c>
      <c r="E73" t="s">
        <v>61</v>
      </c>
      <c r="F73">
        <v>0</v>
      </c>
      <c r="G73">
        <v>0</v>
      </c>
      <c r="H73">
        <v>0</v>
      </c>
      <c r="I73">
        <v>0</v>
      </c>
      <c r="J73">
        <v>0</v>
      </c>
      <c r="K73">
        <v>0</v>
      </c>
      <c r="L73">
        <v>0</v>
      </c>
      <c r="M73">
        <v>0</v>
      </c>
      <c r="N73">
        <v>0</v>
      </c>
      <c r="O73">
        <v>0</v>
      </c>
      <c r="P73">
        <v>2</v>
      </c>
      <c r="Q73">
        <v>0</v>
      </c>
      <c r="R73">
        <v>142</v>
      </c>
      <c r="S73">
        <v>0</v>
      </c>
      <c r="T73">
        <v>0</v>
      </c>
      <c r="U73">
        <v>100</v>
      </c>
      <c r="V73">
        <v>0</v>
      </c>
      <c r="W73">
        <v>0</v>
      </c>
      <c r="X73">
        <v>0</v>
      </c>
      <c r="Y73">
        <v>0</v>
      </c>
      <c r="Z73">
        <v>0</v>
      </c>
      <c r="AA73">
        <v>-501</v>
      </c>
      <c r="AB73">
        <v>-8</v>
      </c>
      <c r="AC73">
        <v>0</v>
      </c>
      <c r="AD73">
        <v>0</v>
      </c>
      <c r="AE73">
        <v>0</v>
      </c>
      <c r="AF73">
        <v>0</v>
      </c>
      <c r="AG73">
        <v>184</v>
      </c>
      <c r="AH73">
        <v>0</v>
      </c>
      <c r="AI73">
        <v>-81</v>
      </c>
      <c r="AJ73">
        <v>0</v>
      </c>
      <c r="AK73">
        <v>0</v>
      </c>
      <c r="AL73">
        <v>0</v>
      </c>
      <c r="AM73">
        <v>0</v>
      </c>
      <c r="AN73">
        <v>0</v>
      </c>
      <c r="AO73">
        <v>0</v>
      </c>
      <c r="AP73">
        <v>0</v>
      </c>
      <c r="AQ73">
        <v>0</v>
      </c>
      <c r="AR73">
        <v>0</v>
      </c>
      <c r="AS73">
        <v>0</v>
      </c>
      <c r="AT73">
        <v>0</v>
      </c>
      <c r="AU73">
        <v>0</v>
      </c>
      <c r="AV73">
        <v>0</v>
      </c>
      <c r="AW73">
        <v>0</v>
      </c>
      <c r="AX73">
        <v>0</v>
      </c>
      <c r="AY73">
        <v>0</v>
      </c>
      <c r="AZ73">
        <v>0</v>
      </c>
      <c r="BA73">
        <v>0</v>
      </c>
      <c r="BB73">
        <v>0</v>
      </c>
      <c r="BC73">
        <v>0</v>
      </c>
      <c r="BD73">
        <v>0</v>
      </c>
      <c r="BE73">
        <v>0</v>
      </c>
      <c r="BF73">
        <v>0</v>
      </c>
      <c r="BG73">
        <v>0</v>
      </c>
      <c r="BH73">
        <v>0</v>
      </c>
      <c r="BI73">
        <v>0</v>
      </c>
      <c r="BJ73">
        <v>0</v>
      </c>
      <c r="BK73">
        <v>0</v>
      </c>
      <c r="BL73">
        <v>0</v>
      </c>
      <c r="BM73">
        <v>0</v>
      </c>
      <c r="BN73">
        <v>0</v>
      </c>
      <c r="BO73">
        <v>0</v>
      </c>
      <c r="BP73">
        <v>0</v>
      </c>
      <c r="BQ73">
        <v>0</v>
      </c>
      <c r="BR73">
        <v>0</v>
      </c>
      <c r="BS73">
        <v>0</v>
      </c>
      <c r="BT73">
        <v>0</v>
      </c>
      <c r="BU73">
        <v>0</v>
      </c>
      <c r="BV73">
        <v>0</v>
      </c>
      <c r="BW73">
        <v>0</v>
      </c>
      <c r="BX73">
        <v>0</v>
      </c>
      <c r="BY73">
        <v>0</v>
      </c>
      <c r="BZ73">
        <v>0</v>
      </c>
      <c r="CA73">
        <v>0</v>
      </c>
      <c r="CB73">
        <v>0</v>
      </c>
      <c r="CC73">
        <v>0</v>
      </c>
      <c r="CD73">
        <v>0</v>
      </c>
      <c r="CE73">
        <v>0</v>
      </c>
      <c r="CF73">
        <v>0</v>
      </c>
      <c r="CG73">
        <v>0</v>
      </c>
      <c r="CH73">
        <v>0</v>
      </c>
      <c r="CI73">
        <v>0</v>
      </c>
      <c r="CJ73">
        <v>0</v>
      </c>
      <c r="CK73">
        <v>0</v>
      </c>
      <c r="CL73">
        <v>0</v>
      </c>
      <c r="CM73">
        <v>0</v>
      </c>
      <c r="CN73">
        <v>0</v>
      </c>
      <c r="CO73">
        <v>0</v>
      </c>
      <c r="CP73">
        <v>0</v>
      </c>
      <c r="CQ73">
        <v>0</v>
      </c>
      <c r="CR73">
        <v>0</v>
      </c>
      <c r="CS73">
        <v>0</v>
      </c>
      <c r="CT73">
        <v>0</v>
      </c>
      <c r="CU73">
        <v>0</v>
      </c>
      <c r="CV73">
        <v>4</v>
      </c>
      <c r="CW73">
        <v>0</v>
      </c>
      <c r="CX73">
        <v>0</v>
      </c>
      <c r="CY73">
        <v>0</v>
      </c>
      <c r="CZ73">
        <v>0</v>
      </c>
      <c r="DA73">
        <v>0</v>
      </c>
      <c r="DB73">
        <v>0</v>
      </c>
      <c r="DC73">
        <v>0</v>
      </c>
      <c r="DD73">
        <v>3</v>
      </c>
      <c r="DE73">
        <v>103</v>
      </c>
      <c r="DF73">
        <v>0</v>
      </c>
      <c r="DG73">
        <v>0</v>
      </c>
      <c r="DH73">
        <v>0</v>
      </c>
      <c r="DI73">
        <v>0</v>
      </c>
      <c r="DJ73">
        <v>144</v>
      </c>
      <c r="DK73">
        <v>0</v>
      </c>
      <c r="DL73">
        <v>0</v>
      </c>
      <c r="DM73">
        <v>0</v>
      </c>
      <c r="DN73">
        <v>1125</v>
      </c>
      <c r="DO73">
        <v>76</v>
      </c>
      <c r="DP73">
        <v>1345</v>
      </c>
      <c r="DQ73">
        <v>0</v>
      </c>
      <c r="DR73">
        <v>0</v>
      </c>
      <c r="DS73">
        <v>14</v>
      </c>
      <c r="DT73">
        <v>579</v>
      </c>
      <c r="DU73">
        <v>5</v>
      </c>
      <c r="DV73">
        <v>0</v>
      </c>
      <c r="DW73">
        <v>0</v>
      </c>
      <c r="DX73">
        <v>2049</v>
      </c>
      <c r="DY73">
        <v>35681</v>
      </c>
      <c r="DZ73">
        <v>815</v>
      </c>
      <c r="EA73">
        <v>436</v>
      </c>
      <c r="EB73">
        <v>543</v>
      </c>
      <c r="EC73">
        <v>0</v>
      </c>
      <c r="ED73">
        <v>2</v>
      </c>
      <c r="EE73">
        <v>0</v>
      </c>
      <c r="EF73">
        <v>0</v>
      </c>
      <c r="EG73">
        <v>-4</v>
      </c>
      <c r="EH73">
        <v>10552</v>
      </c>
      <c r="EI73">
        <v>6629</v>
      </c>
      <c r="EJ73">
        <v>2504</v>
      </c>
      <c r="EK73">
        <v>391</v>
      </c>
      <c r="EL73">
        <v>4536</v>
      </c>
      <c r="EM73">
        <v>14032</v>
      </c>
      <c r="EN73">
        <v>5511</v>
      </c>
      <c r="EO73">
        <v>51</v>
      </c>
      <c r="EP73">
        <v>0</v>
      </c>
      <c r="EQ73">
        <v>0</v>
      </c>
      <c r="ER73">
        <v>155</v>
      </c>
      <c r="ES73">
        <v>20461</v>
      </c>
      <c r="ET73">
        <v>13573</v>
      </c>
      <c r="EU73">
        <v>0</v>
      </c>
      <c r="EV73">
        <v>9</v>
      </c>
      <c r="EW73">
        <v>0</v>
      </c>
      <c r="EX73">
        <v>241</v>
      </c>
      <c r="EY73">
        <v>31</v>
      </c>
      <c r="EZ73">
        <v>127</v>
      </c>
      <c r="FA73">
        <v>0</v>
      </c>
      <c r="FB73">
        <v>94</v>
      </c>
      <c r="FC73">
        <v>1508</v>
      </c>
      <c r="FD73">
        <v>1695</v>
      </c>
      <c r="FE73">
        <v>9</v>
      </c>
      <c r="FF73">
        <v>333</v>
      </c>
      <c r="FG73">
        <v>0</v>
      </c>
      <c r="FH73">
        <v>4047</v>
      </c>
      <c r="FI73">
        <v>-189</v>
      </c>
      <c r="FJ73">
        <v>0</v>
      </c>
      <c r="FK73">
        <v>0</v>
      </c>
      <c r="FL73">
        <v>205</v>
      </c>
      <c r="FM73">
        <v>357</v>
      </c>
      <c r="FN73">
        <v>0</v>
      </c>
      <c r="FO73">
        <v>37</v>
      </c>
      <c r="FP73">
        <v>0</v>
      </c>
      <c r="FQ73">
        <v>0</v>
      </c>
      <c r="FR73">
        <v>0</v>
      </c>
      <c r="FS73">
        <v>125</v>
      </c>
      <c r="FT73">
        <v>122</v>
      </c>
      <c r="FU73">
        <v>58</v>
      </c>
      <c r="FV73">
        <v>203</v>
      </c>
      <c r="FW73">
        <v>0</v>
      </c>
      <c r="FX73">
        <v>0</v>
      </c>
      <c r="FY73">
        <v>51</v>
      </c>
      <c r="FZ73">
        <v>0</v>
      </c>
      <c r="GA73">
        <v>0</v>
      </c>
      <c r="GB73">
        <v>0</v>
      </c>
      <c r="GC73">
        <v>0</v>
      </c>
      <c r="GD73">
        <v>1007</v>
      </c>
      <c r="GE73">
        <v>1947</v>
      </c>
      <c r="GF73">
        <v>0</v>
      </c>
      <c r="GG73">
        <v>-42</v>
      </c>
      <c r="GH73">
        <v>895</v>
      </c>
      <c r="GI73">
        <v>0</v>
      </c>
      <c r="GJ73">
        <v>0</v>
      </c>
      <c r="GK73">
        <v>4776</v>
      </c>
      <c r="GL73">
        <v>41</v>
      </c>
      <c r="GM73">
        <v>294</v>
      </c>
      <c r="GN73">
        <v>0</v>
      </c>
      <c r="GO73">
        <v>345</v>
      </c>
      <c r="GP73">
        <v>80</v>
      </c>
      <c r="GQ73">
        <v>718</v>
      </c>
      <c r="GR73">
        <v>0</v>
      </c>
      <c r="GS73">
        <v>-331</v>
      </c>
      <c r="GT73">
        <v>0</v>
      </c>
      <c r="GU73">
        <v>1147</v>
      </c>
      <c r="GV73">
        <v>9970</v>
      </c>
      <c r="GW73">
        <v>0</v>
      </c>
      <c r="GX73">
        <v>0</v>
      </c>
      <c r="GY73">
        <v>0</v>
      </c>
      <c r="GZ73">
        <v>0</v>
      </c>
      <c r="HA73">
        <v>0</v>
      </c>
      <c r="HB73">
        <v>2018</v>
      </c>
      <c r="HC73">
        <v>989</v>
      </c>
      <c r="HD73">
        <v>0</v>
      </c>
      <c r="HE73">
        <v>0</v>
      </c>
      <c r="HF73">
        <v>482</v>
      </c>
      <c r="HG73">
        <v>334</v>
      </c>
      <c r="HH73">
        <v>0</v>
      </c>
      <c r="HI73">
        <v>0</v>
      </c>
      <c r="HJ73">
        <v>228</v>
      </c>
      <c r="HK73">
        <v>0</v>
      </c>
      <c r="HL73">
        <v>23</v>
      </c>
      <c r="HM73">
        <v>71</v>
      </c>
      <c r="HN73">
        <v>0</v>
      </c>
      <c r="HO73">
        <v>187</v>
      </c>
      <c r="HP73">
        <v>0</v>
      </c>
      <c r="HQ73">
        <v>0</v>
      </c>
      <c r="HR73">
        <v>105</v>
      </c>
      <c r="HS73">
        <v>0</v>
      </c>
      <c r="HT73">
        <v>46</v>
      </c>
      <c r="HU73">
        <v>-1066</v>
      </c>
      <c r="HV73">
        <v>3417</v>
      </c>
      <c r="HW73">
        <v>2052</v>
      </c>
      <c r="HX73">
        <v>5675</v>
      </c>
      <c r="HY73">
        <v>0</v>
      </c>
      <c r="HZ73">
        <v>4001</v>
      </c>
      <c r="IA73">
        <v>417</v>
      </c>
      <c r="IB73">
        <v>0</v>
      </c>
      <c r="IC73">
        <v>0</v>
      </c>
      <c r="ID73">
        <v>-81</v>
      </c>
      <c r="IE73">
        <v>0</v>
      </c>
      <c r="IF73">
        <v>0</v>
      </c>
      <c r="IG73">
        <v>4</v>
      </c>
      <c r="IH73">
        <v>2049</v>
      </c>
      <c r="II73">
        <v>4047</v>
      </c>
      <c r="IJ73">
        <v>4776</v>
      </c>
      <c r="IK73">
        <v>1147</v>
      </c>
      <c r="IL73">
        <v>0</v>
      </c>
      <c r="IM73">
        <v>0</v>
      </c>
      <c r="IN73">
        <v>3417</v>
      </c>
      <c r="IO73">
        <v>0</v>
      </c>
      <c r="IP73">
        <v>15359</v>
      </c>
      <c r="IQ73">
        <v>10846</v>
      </c>
      <c r="IR73">
        <v>44</v>
      </c>
      <c r="IS73">
        <v>12600</v>
      </c>
      <c r="IT73">
        <v>0</v>
      </c>
      <c r="IU73">
        <v>228</v>
      </c>
      <c r="IV73">
        <v>474</v>
      </c>
      <c r="IW73">
        <v>0</v>
      </c>
      <c r="IX73">
        <v>0</v>
      </c>
      <c r="IY73">
        <v>0</v>
      </c>
      <c r="IZ73">
        <v>0</v>
      </c>
      <c r="JA73">
        <v>17537</v>
      </c>
      <c r="JB73">
        <v>-761</v>
      </c>
      <c r="JC73">
        <v>-19231</v>
      </c>
      <c r="JD73">
        <v>-94</v>
      </c>
      <c r="JE73">
        <v>0</v>
      </c>
      <c r="JF73">
        <v>0</v>
      </c>
      <c r="JG73">
        <v>37002</v>
      </c>
      <c r="JH73">
        <v>0</v>
      </c>
      <c r="JI73">
        <v>67</v>
      </c>
      <c r="JJ73">
        <v>0</v>
      </c>
      <c r="JK73">
        <v>0</v>
      </c>
      <c r="JL73">
        <v>0</v>
      </c>
      <c r="JM73">
        <v>27</v>
      </c>
      <c r="JN73">
        <v>339</v>
      </c>
      <c r="JO73">
        <v>249</v>
      </c>
      <c r="JP73">
        <v>4685</v>
      </c>
      <c r="JQ73">
        <v>-4534</v>
      </c>
      <c r="JR73">
        <v>37835</v>
      </c>
      <c r="JS73">
        <v>-56</v>
      </c>
      <c r="JT73">
        <v>0</v>
      </c>
      <c r="JU73">
        <v>8</v>
      </c>
      <c r="JV73">
        <v>0</v>
      </c>
      <c r="JW73">
        <v>-23204</v>
      </c>
      <c r="JX73">
        <v>0</v>
      </c>
      <c r="JY73">
        <v>-72</v>
      </c>
      <c r="JZ73">
        <v>0</v>
      </c>
      <c r="KA73">
        <v>0</v>
      </c>
      <c r="KB73">
        <v>0</v>
      </c>
      <c r="KC73">
        <v>14511</v>
      </c>
      <c r="KD73">
        <v>0</v>
      </c>
      <c r="KE73">
        <v>-2211</v>
      </c>
      <c r="KF73">
        <v>12300</v>
      </c>
      <c r="KG73">
        <v>0</v>
      </c>
      <c r="KH73">
        <v>0</v>
      </c>
      <c r="KI73">
        <v>0</v>
      </c>
      <c r="KJ73">
        <v>0</v>
      </c>
      <c r="KK73">
        <v>-2600</v>
      </c>
      <c r="KL73">
        <v>0</v>
      </c>
      <c r="KM73">
        <v>-444</v>
      </c>
      <c r="KN73">
        <v>0</v>
      </c>
      <c r="KO73">
        <v>1399</v>
      </c>
      <c r="KP73">
        <v>26</v>
      </c>
      <c r="KQ73">
        <v>380</v>
      </c>
      <c r="KR73">
        <v>5593</v>
      </c>
      <c r="KS73">
        <v>0</v>
      </c>
      <c r="KT73">
        <v>0</v>
      </c>
      <c r="KU73">
        <v>0</v>
      </c>
      <c r="KV73">
        <v>18770</v>
      </c>
      <c r="KW73">
        <v>1500</v>
      </c>
      <c r="KX73">
        <v>0</v>
      </c>
      <c r="KY73">
        <v>0</v>
      </c>
      <c r="KZ73">
        <v>0</v>
      </c>
      <c r="LA73">
        <v>16170</v>
      </c>
      <c r="LB73">
        <v>1500</v>
      </c>
      <c r="LC73">
        <v>0</v>
      </c>
      <c r="LD73">
        <v>2628</v>
      </c>
      <c r="LE73">
        <v>0</v>
      </c>
      <c r="LF73">
        <v>113</v>
      </c>
      <c r="LG73">
        <v>-1457</v>
      </c>
      <c r="LH73">
        <v>4452</v>
      </c>
      <c r="LI73">
        <v>5736</v>
      </c>
      <c r="LJ73">
        <v>3293</v>
      </c>
      <c r="LK73">
        <v>5362</v>
      </c>
      <c r="LL73">
        <v>8655</v>
      </c>
      <c r="LM73">
        <v>13</v>
      </c>
      <c r="LN73">
        <v>0</v>
      </c>
      <c r="LO73">
        <v>0</v>
      </c>
      <c r="LP73">
        <v>37473</v>
      </c>
      <c r="LQ73">
        <v>44361</v>
      </c>
      <c r="LR73">
        <v>-6888</v>
      </c>
      <c r="LS73">
        <v>20461</v>
      </c>
      <c r="LT73">
        <v>13573</v>
      </c>
      <c r="LU73">
        <v>0</v>
      </c>
      <c r="LV73">
        <v>-81</v>
      </c>
      <c r="LW73">
        <v>0</v>
      </c>
      <c r="LX73">
        <v>0</v>
      </c>
      <c r="LY73">
        <v>4</v>
      </c>
      <c r="LZ73">
        <v>2049</v>
      </c>
      <c r="MA73">
        <v>4047</v>
      </c>
      <c r="MB73">
        <v>4776</v>
      </c>
      <c r="MC73">
        <v>1147</v>
      </c>
      <c r="MD73">
        <v>0</v>
      </c>
      <c r="ME73">
        <v>0</v>
      </c>
      <c r="MF73">
        <v>3417</v>
      </c>
      <c r="MG73">
        <v>0</v>
      </c>
      <c r="MH73">
        <v>15359</v>
      </c>
      <c r="MI73">
        <v>0</v>
      </c>
      <c r="MJ73">
        <v>0</v>
      </c>
      <c r="MK73">
        <v>0</v>
      </c>
      <c r="ML73">
        <v>0</v>
      </c>
      <c r="MM73">
        <v>0</v>
      </c>
      <c r="MN73">
        <v>0</v>
      </c>
      <c r="MO73">
        <v>626</v>
      </c>
      <c r="MP73">
        <v>0</v>
      </c>
      <c r="MQ73">
        <v>0</v>
      </c>
      <c r="MR73">
        <v>0</v>
      </c>
      <c r="MS73">
        <v>0</v>
      </c>
      <c r="MT73">
        <v>0</v>
      </c>
      <c r="MU73">
        <v>0</v>
      </c>
      <c r="MV73">
        <v>0</v>
      </c>
      <c r="MW73">
        <v>59</v>
      </c>
      <c r="MX73">
        <v>-1708</v>
      </c>
      <c r="MY73">
        <v>-884</v>
      </c>
      <c r="MZ73">
        <v>213</v>
      </c>
      <c r="NA73">
        <v>-1694</v>
      </c>
      <c r="NB73">
        <v>19231</v>
      </c>
      <c r="NC73">
        <v>17537</v>
      </c>
      <c r="ND73">
        <v>0</v>
      </c>
      <c r="NE73">
        <v>0</v>
      </c>
      <c r="NF73">
        <v>0</v>
      </c>
      <c r="NG73">
        <v>0</v>
      </c>
      <c r="NH73">
        <v>0</v>
      </c>
      <c r="NI73">
        <v>0</v>
      </c>
      <c r="NJ73">
        <v>0</v>
      </c>
      <c r="NK73">
        <v>0</v>
      </c>
      <c r="NL73">
        <v>0</v>
      </c>
      <c r="NM73">
        <v>0</v>
      </c>
      <c r="NN73">
        <v>-74</v>
      </c>
      <c r="NO73">
        <v>0</v>
      </c>
      <c r="NP73">
        <v>-816</v>
      </c>
      <c r="NQ73">
        <v>0</v>
      </c>
      <c r="NR73">
        <v>0</v>
      </c>
      <c r="NS73">
        <v>0</v>
      </c>
      <c r="NT73">
        <v>0</v>
      </c>
      <c r="NU73">
        <v>0</v>
      </c>
      <c r="NV73">
        <v>0</v>
      </c>
      <c r="NW73">
        <v>0</v>
      </c>
      <c r="NX73">
        <v>0</v>
      </c>
      <c r="NY73">
        <v>0</v>
      </c>
      <c r="NZ73">
        <v>-855</v>
      </c>
      <c r="OA73">
        <v>94</v>
      </c>
      <c r="OB73">
        <v>-761</v>
      </c>
      <c r="OC73">
        <v>550</v>
      </c>
      <c r="OD73">
        <v>0</v>
      </c>
      <c r="OE73">
        <v>18681</v>
      </c>
      <c r="OF73">
        <v>0</v>
      </c>
      <c r="OG73">
        <v>0</v>
      </c>
      <c r="OH73">
        <v>19231</v>
      </c>
      <c r="OI73">
        <v>94</v>
      </c>
      <c r="OJ73">
        <v>0</v>
      </c>
      <c r="OK73">
        <v>0</v>
      </c>
      <c r="OL73">
        <v>0</v>
      </c>
      <c r="OM73">
        <v>0</v>
      </c>
      <c r="ON73">
        <v>94</v>
      </c>
    </row>
    <row r="74" spans="1:404" x14ac:dyDescent="0.25">
      <c r="A74" t="s">
        <v>288</v>
      </c>
      <c r="B74" t="s">
        <v>289</v>
      </c>
      <c r="C74" t="s">
        <v>287</v>
      </c>
      <c r="E74" t="s">
        <v>61</v>
      </c>
      <c r="F74">
        <v>0</v>
      </c>
      <c r="G74">
        <v>0</v>
      </c>
      <c r="H74">
        <v>0</v>
      </c>
      <c r="I74">
        <v>0</v>
      </c>
      <c r="J74">
        <v>0</v>
      </c>
      <c r="K74">
        <v>0</v>
      </c>
      <c r="L74">
        <v>0</v>
      </c>
      <c r="M74">
        <v>32</v>
      </c>
      <c r="N74">
        <v>12</v>
      </c>
      <c r="O74">
        <v>0</v>
      </c>
      <c r="P74">
        <v>0</v>
      </c>
      <c r="Q74">
        <v>0</v>
      </c>
      <c r="R74">
        <v>0</v>
      </c>
      <c r="S74">
        <v>0</v>
      </c>
      <c r="T74">
        <v>0</v>
      </c>
      <c r="U74">
        <v>0</v>
      </c>
      <c r="V74">
        <v>0</v>
      </c>
      <c r="W74">
        <v>0</v>
      </c>
      <c r="X74">
        <v>0</v>
      </c>
      <c r="Y74">
        <v>40</v>
      </c>
      <c r="Z74">
        <v>42</v>
      </c>
      <c r="AA74">
        <v>-3450</v>
      </c>
      <c r="AB74">
        <v>0</v>
      </c>
      <c r="AC74">
        <v>0</v>
      </c>
      <c r="AD74">
        <v>0</v>
      </c>
      <c r="AE74">
        <v>0</v>
      </c>
      <c r="AF74">
        <v>0</v>
      </c>
      <c r="AG74">
        <v>0</v>
      </c>
      <c r="AH74">
        <v>0</v>
      </c>
      <c r="AI74">
        <v>-3324</v>
      </c>
      <c r="AJ74">
        <v>0</v>
      </c>
      <c r="AK74">
        <v>0</v>
      </c>
      <c r="AL74">
        <v>0</v>
      </c>
      <c r="AM74">
        <v>0</v>
      </c>
      <c r="AN74">
        <v>0</v>
      </c>
      <c r="AO74">
        <v>0</v>
      </c>
      <c r="AP74">
        <v>0</v>
      </c>
      <c r="AQ74">
        <v>100</v>
      </c>
      <c r="AR74">
        <v>245</v>
      </c>
      <c r="AS74">
        <v>0</v>
      </c>
      <c r="AT74">
        <v>0</v>
      </c>
      <c r="AU74">
        <v>0</v>
      </c>
      <c r="AV74">
        <v>0</v>
      </c>
      <c r="AW74">
        <v>0</v>
      </c>
      <c r="AX74">
        <v>0</v>
      </c>
      <c r="AY74">
        <v>0</v>
      </c>
      <c r="AZ74">
        <v>0</v>
      </c>
      <c r="BA74">
        <v>0</v>
      </c>
      <c r="BB74">
        <v>0</v>
      </c>
      <c r="BC74">
        <v>0</v>
      </c>
      <c r="BD74">
        <v>0</v>
      </c>
      <c r="BE74">
        <v>0</v>
      </c>
      <c r="BF74">
        <v>0</v>
      </c>
      <c r="BG74">
        <v>0</v>
      </c>
      <c r="BH74">
        <v>0</v>
      </c>
      <c r="BI74">
        <v>0</v>
      </c>
      <c r="BJ74">
        <v>0</v>
      </c>
      <c r="BK74">
        <v>0</v>
      </c>
      <c r="BL74">
        <v>0</v>
      </c>
      <c r="BM74">
        <v>0</v>
      </c>
      <c r="BN74">
        <v>0</v>
      </c>
      <c r="BO74">
        <v>0</v>
      </c>
      <c r="BP74">
        <v>0</v>
      </c>
      <c r="BQ74">
        <v>0</v>
      </c>
      <c r="BR74">
        <v>0</v>
      </c>
      <c r="BS74">
        <v>0</v>
      </c>
      <c r="BT74">
        <v>0</v>
      </c>
      <c r="BU74">
        <v>0</v>
      </c>
      <c r="BV74">
        <v>0</v>
      </c>
      <c r="BW74">
        <v>0</v>
      </c>
      <c r="BX74">
        <v>0</v>
      </c>
      <c r="BY74">
        <v>0</v>
      </c>
      <c r="BZ74">
        <v>0</v>
      </c>
      <c r="CA74">
        <v>0</v>
      </c>
      <c r="CB74">
        <v>134</v>
      </c>
      <c r="CC74">
        <v>0</v>
      </c>
      <c r="CD74">
        <v>0</v>
      </c>
      <c r="CE74">
        <v>0</v>
      </c>
      <c r="CF74">
        <v>0</v>
      </c>
      <c r="CG74">
        <v>0</v>
      </c>
      <c r="CH74">
        <v>0</v>
      </c>
      <c r="CI74">
        <v>0</v>
      </c>
      <c r="CJ74">
        <v>0</v>
      </c>
      <c r="CK74">
        <v>0</v>
      </c>
      <c r="CL74">
        <v>0</v>
      </c>
      <c r="CM74">
        <v>0</v>
      </c>
      <c r="CN74">
        <v>0</v>
      </c>
      <c r="CO74">
        <v>0</v>
      </c>
      <c r="CP74">
        <v>0</v>
      </c>
      <c r="CQ74">
        <v>0</v>
      </c>
      <c r="CR74">
        <v>0</v>
      </c>
      <c r="CS74">
        <v>0</v>
      </c>
      <c r="CT74">
        <v>0</v>
      </c>
      <c r="CU74">
        <v>78</v>
      </c>
      <c r="CV74">
        <v>212</v>
      </c>
      <c r="CW74">
        <v>0</v>
      </c>
      <c r="CX74">
        <v>0</v>
      </c>
      <c r="CY74">
        <v>0</v>
      </c>
      <c r="CZ74">
        <v>0</v>
      </c>
      <c r="DA74">
        <v>0</v>
      </c>
      <c r="DB74">
        <v>0</v>
      </c>
      <c r="DC74">
        <v>465</v>
      </c>
      <c r="DD74">
        <v>0</v>
      </c>
      <c r="DE74">
        <v>356</v>
      </c>
      <c r="DF74">
        <v>72</v>
      </c>
      <c r="DG74">
        <v>0</v>
      </c>
      <c r="DH74">
        <v>0</v>
      </c>
      <c r="DI74">
        <v>0</v>
      </c>
      <c r="DJ74">
        <v>0</v>
      </c>
      <c r="DK74">
        <v>0</v>
      </c>
      <c r="DL74">
        <v>123</v>
      </c>
      <c r="DM74">
        <v>79</v>
      </c>
      <c r="DN74">
        <v>843</v>
      </c>
      <c r="DO74">
        <v>365</v>
      </c>
      <c r="DP74">
        <v>1410</v>
      </c>
      <c r="DQ74">
        <v>0</v>
      </c>
      <c r="DR74">
        <v>0</v>
      </c>
      <c r="DS74">
        <v>0</v>
      </c>
      <c r="DT74">
        <v>789</v>
      </c>
      <c r="DU74">
        <v>-7</v>
      </c>
      <c r="DV74">
        <v>50</v>
      </c>
      <c r="DW74">
        <v>28</v>
      </c>
      <c r="DX74">
        <v>3163</v>
      </c>
      <c r="DY74">
        <v>0</v>
      </c>
      <c r="DZ74">
        <v>0</v>
      </c>
      <c r="EA74">
        <v>0</v>
      </c>
      <c r="EB74">
        <v>0</v>
      </c>
      <c r="EC74">
        <v>0</v>
      </c>
      <c r="ED74">
        <v>0</v>
      </c>
      <c r="EE74">
        <v>0</v>
      </c>
      <c r="EF74">
        <v>0</v>
      </c>
      <c r="EG74">
        <v>0</v>
      </c>
      <c r="EH74">
        <v>0</v>
      </c>
      <c r="EI74">
        <v>0</v>
      </c>
      <c r="EJ74">
        <v>0</v>
      </c>
      <c r="EK74">
        <v>0</v>
      </c>
      <c r="EL74">
        <v>0</v>
      </c>
      <c r="EM74">
        <v>0</v>
      </c>
      <c r="EN74">
        <v>0</v>
      </c>
      <c r="EO74">
        <v>0</v>
      </c>
      <c r="EP74">
        <v>0</v>
      </c>
      <c r="EQ74">
        <v>0</v>
      </c>
      <c r="ER74">
        <v>0</v>
      </c>
      <c r="ES74">
        <v>0</v>
      </c>
      <c r="ET74">
        <v>0</v>
      </c>
      <c r="EU74">
        <v>0</v>
      </c>
      <c r="EV74">
        <v>0</v>
      </c>
      <c r="EW74">
        <v>6</v>
      </c>
      <c r="EX74">
        <v>915</v>
      </c>
      <c r="EY74">
        <v>0</v>
      </c>
      <c r="EZ74">
        <v>0</v>
      </c>
      <c r="FA74">
        <v>134</v>
      </c>
      <c r="FB74">
        <v>29</v>
      </c>
      <c r="FC74">
        <v>377</v>
      </c>
      <c r="FD74">
        <v>647</v>
      </c>
      <c r="FE74">
        <v>0</v>
      </c>
      <c r="FF74">
        <v>212</v>
      </c>
      <c r="FG74">
        <v>0</v>
      </c>
      <c r="FH74">
        <v>2320</v>
      </c>
      <c r="FI74">
        <v>96</v>
      </c>
      <c r="FJ74">
        <v>0</v>
      </c>
      <c r="FK74">
        <v>43</v>
      </c>
      <c r="FL74">
        <v>361</v>
      </c>
      <c r="FM74">
        <v>427</v>
      </c>
      <c r="FN74">
        <v>79</v>
      </c>
      <c r="FO74">
        <v>57</v>
      </c>
      <c r="FP74">
        <v>0</v>
      </c>
      <c r="FQ74">
        <v>0</v>
      </c>
      <c r="FR74">
        <v>7</v>
      </c>
      <c r="FS74">
        <v>356</v>
      </c>
      <c r="FT74">
        <v>286</v>
      </c>
      <c r="FU74">
        <v>55</v>
      </c>
      <c r="FV74">
        <v>113</v>
      </c>
      <c r="FW74">
        <v>208</v>
      </c>
      <c r="FX74">
        <v>84</v>
      </c>
      <c r="FY74">
        <v>41</v>
      </c>
      <c r="FZ74">
        <v>0</v>
      </c>
      <c r="GA74">
        <v>1</v>
      </c>
      <c r="GB74">
        <v>345</v>
      </c>
      <c r="GC74">
        <v>0</v>
      </c>
      <c r="GD74">
        <v>1210</v>
      </c>
      <c r="GE74">
        <v>3020</v>
      </c>
      <c r="GF74">
        <v>0</v>
      </c>
      <c r="GG74">
        <v>4</v>
      </c>
      <c r="GH74">
        <v>-14</v>
      </c>
      <c r="GI74">
        <v>0</v>
      </c>
      <c r="GJ74">
        <v>0</v>
      </c>
      <c r="GK74">
        <v>6779</v>
      </c>
      <c r="GL74">
        <v>139</v>
      </c>
      <c r="GM74">
        <v>1719</v>
      </c>
      <c r="GN74">
        <v>0</v>
      </c>
      <c r="GO74">
        <v>1336</v>
      </c>
      <c r="GP74">
        <v>213</v>
      </c>
      <c r="GQ74">
        <v>2008</v>
      </c>
      <c r="GR74">
        <v>0</v>
      </c>
      <c r="GS74">
        <v>-1048</v>
      </c>
      <c r="GT74">
        <v>446</v>
      </c>
      <c r="GU74">
        <v>4813</v>
      </c>
      <c r="GV74">
        <v>13912</v>
      </c>
      <c r="GW74">
        <v>0</v>
      </c>
      <c r="GX74">
        <v>0</v>
      </c>
      <c r="GY74">
        <v>0</v>
      </c>
      <c r="GZ74">
        <v>0</v>
      </c>
      <c r="HA74">
        <v>0</v>
      </c>
      <c r="HB74">
        <v>1580</v>
      </c>
      <c r="HC74">
        <v>419</v>
      </c>
      <c r="HD74">
        <v>0</v>
      </c>
      <c r="HE74">
        <v>0</v>
      </c>
      <c r="HF74">
        <v>597</v>
      </c>
      <c r="HG74">
        <v>286</v>
      </c>
      <c r="HH74">
        <v>10</v>
      </c>
      <c r="HI74">
        <v>0</v>
      </c>
      <c r="HJ74">
        <v>123</v>
      </c>
      <c r="HK74">
        <v>213</v>
      </c>
      <c r="HL74">
        <v>53</v>
      </c>
      <c r="HM74">
        <v>-82</v>
      </c>
      <c r="HN74">
        <v>0</v>
      </c>
      <c r="HO74">
        <v>1</v>
      </c>
      <c r="HP74">
        <v>0</v>
      </c>
      <c r="HQ74">
        <v>0</v>
      </c>
      <c r="HR74">
        <v>0</v>
      </c>
      <c r="HS74">
        <v>31</v>
      </c>
      <c r="HT74">
        <v>124</v>
      </c>
      <c r="HU74">
        <v>193</v>
      </c>
      <c r="HV74">
        <v>3548</v>
      </c>
      <c r="HW74">
        <v>2113</v>
      </c>
      <c r="HX74">
        <v>8378</v>
      </c>
      <c r="HY74">
        <v>0</v>
      </c>
      <c r="HZ74">
        <v>113</v>
      </c>
      <c r="IA74">
        <v>0</v>
      </c>
      <c r="IB74">
        <v>0</v>
      </c>
      <c r="IC74">
        <v>0</v>
      </c>
      <c r="ID74">
        <v>-3324</v>
      </c>
      <c r="IE74">
        <v>0</v>
      </c>
      <c r="IF74">
        <v>0</v>
      </c>
      <c r="IG74">
        <v>212</v>
      </c>
      <c r="IH74">
        <v>3163</v>
      </c>
      <c r="II74">
        <v>2320</v>
      </c>
      <c r="IJ74">
        <v>6779</v>
      </c>
      <c r="IK74">
        <v>4813</v>
      </c>
      <c r="IL74">
        <v>0</v>
      </c>
      <c r="IM74">
        <v>0</v>
      </c>
      <c r="IN74">
        <v>3548</v>
      </c>
      <c r="IO74">
        <v>0</v>
      </c>
      <c r="IP74">
        <v>17511</v>
      </c>
      <c r="IQ74">
        <v>23296</v>
      </c>
      <c r="IR74">
        <v>460</v>
      </c>
      <c r="IS74">
        <v>0</v>
      </c>
      <c r="IT74">
        <v>0</v>
      </c>
      <c r="IU74">
        <v>0</v>
      </c>
      <c r="IV74">
        <v>3735</v>
      </c>
      <c r="IW74">
        <v>0</v>
      </c>
      <c r="IX74">
        <v>0</v>
      </c>
      <c r="IY74">
        <v>0</v>
      </c>
      <c r="IZ74">
        <v>0</v>
      </c>
      <c r="JA74">
        <v>0</v>
      </c>
      <c r="JB74">
        <v>0</v>
      </c>
      <c r="JC74">
        <v>0</v>
      </c>
      <c r="JD74">
        <v>0</v>
      </c>
      <c r="JE74">
        <v>0</v>
      </c>
      <c r="JF74">
        <v>0</v>
      </c>
      <c r="JG74">
        <v>45002</v>
      </c>
      <c r="JH74">
        <v>0</v>
      </c>
      <c r="JI74">
        <v>3958</v>
      </c>
      <c r="JJ74">
        <v>0</v>
      </c>
      <c r="JK74">
        <v>0</v>
      </c>
      <c r="JL74">
        <v>0</v>
      </c>
      <c r="JM74">
        <v>297</v>
      </c>
      <c r="JN74">
        <v>13</v>
      </c>
      <c r="JO74">
        <v>0</v>
      </c>
      <c r="JP74">
        <v>11</v>
      </c>
      <c r="JQ74">
        <v>0</v>
      </c>
      <c r="JR74">
        <v>49281</v>
      </c>
      <c r="JS74">
        <v>-1688</v>
      </c>
      <c r="JT74">
        <v>0</v>
      </c>
      <c r="JU74">
        <v>0</v>
      </c>
      <c r="JV74">
        <v>0</v>
      </c>
      <c r="JW74">
        <v>-23785</v>
      </c>
      <c r="JX74">
        <v>0</v>
      </c>
      <c r="JY74">
        <v>-87</v>
      </c>
      <c r="JZ74">
        <v>0</v>
      </c>
      <c r="KA74">
        <v>0</v>
      </c>
      <c r="KB74">
        <v>0</v>
      </c>
      <c r="KC74">
        <v>23721</v>
      </c>
      <c r="KD74">
        <v>0</v>
      </c>
      <c r="KE74">
        <v>-6633</v>
      </c>
      <c r="KF74">
        <v>17088</v>
      </c>
      <c r="KG74">
        <v>0</v>
      </c>
      <c r="KH74">
        <v>0</v>
      </c>
      <c r="KI74">
        <v>0</v>
      </c>
      <c r="KJ74">
        <v>0</v>
      </c>
      <c r="KK74">
        <v>1306</v>
      </c>
      <c r="KL74">
        <v>-7601</v>
      </c>
      <c r="KM74">
        <v>0</v>
      </c>
      <c r="KN74">
        <v>0</v>
      </c>
      <c r="KO74">
        <v>3252</v>
      </c>
      <c r="KP74">
        <v>141</v>
      </c>
      <c r="KQ74">
        <v>0</v>
      </c>
      <c r="KR74">
        <v>12956</v>
      </c>
      <c r="KS74">
        <v>0</v>
      </c>
      <c r="KT74">
        <v>0</v>
      </c>
      <c r="KU74">
        <v>0</v>
      </c>
      <c r="KV74">
        <v>47468</v>
      </c>
      <c r="KW74">
        <v>16519</v>
      </c>
      <c r="KX74">
        <v>0</v>
      </c>
      <c r="KY74">
        <v>0</v>
      </c>
      <c r="KZ74">
        <v>0</v>
      </c>
      <c r="LA74">
        <v>48774</v>
      </c>
      <c r="LB74">
        <v>8918</v>
      </c>
      <c r="LC74">
        <v>0</v>
      </c>
      <c r="LD74">
        <v>0</v>
      </c>
      <c r="LE74">
        <v>0</v>
      </c>
      <c r="LF74">
        <v>0</v>
      </c>
      <c r="LG74">
        <v>0</v>
      </c>
      <c r="LH74">
        <v>0</v>
      </c>
      <c r="LI74">
        <v>0</v>
      </c>
      <c r="LJ74">
        <v>3567</v>
      </c>
      <c r="LK74">
        <v>4255</v>
      </c>
      <c r="LL74">
        <v>7822</v>
      </c>
      <c r="LM74">
        <v>0</v>
      </c>
      <c r="LN74">
        <v>0</v>
      </c>
      <c r="LO74">
        <v>0</v>
      </c>
      <c r="LP74">
        <v>0</v>
      </c>
      <c r="LQ74">
        <v>0</v>
      </c>
      <c r="LR74">
        <v>0</v>
      </c>
      <c r="LS74">
        <v>0</v>
      </c>
      <c r="LT74">
        <v>0</v>
      </c>
      <c r="LU74">
        <v>0</v>
      </c>
      <c r="LV74">
        <v>-3324</v>
      </c>
      <c r="LW74">
        <v>0</v>
      </c>
      <c r="LX74">
        <v>0</v>
      </c>
      <c r="LY74">
        <v>212</v>
      </c>
      <c r="LZ74">
        <v>3163</v>
      </c>
      <c r="MA74">
        <v>2320</v>
      </c>
      <c r="MB74">
        <v>6779</v>
      </c>
      <c r="MC74">
        <v>4813</v>
      </c>
      <c r="MD74">
        <v>0</v>
      </c>
      <c r="ME74">
        <v>0</v>
      </c>
      <c r="MF74">
        <v>3548</v>
      </c>
      <c r="MG74">
        <v>0</v>
      </c>
      <c r="MH74">
        <v>17511</v>
      </c>
      <c r="MI74">
        <v>0</v>
      </c>
      <c r="MJ74">
        <v>0</v>
      </c>
      <c r="MK74">
        <v>0</v>
      </c>
      <c r="ML74">
        <v>0</v>
      </c>
      <c r="MM74">
        <v>0</v>
      </c>
      <c r="MN74">
        <v>0</v>
      </c>
      <c r="MO74">
        <v>0</v>
      </c>
      <c r="MP74">
        <v>0</v>
      </c>
      <c r="MQ74">
        <v>0</v>
      </c>
      <c r="MR74">
        <v>0</v>
      </c>
      <c r="MS74">
        <v>0</v>
      </c>
      <c r="MT74">
        <v>0</v>
      </c>
      <c r="MU74">
        <v>0</v>
      </c>
      <c r="MV74">
        <v>0</v>
      </c>
      <c r="MW74">
        <v>0</v>
      </c>
      <c r="MX74">
        <v>0</v>
      </c>
      <c r="MY74">
        <v>0</v>
      </c>
      <c r="MZ74">
        <v>0</v>
      </c>
      <c r="NA74">
        <v>0</v>
      </c>
      <c r="NB74">
        <v>0</v>
      </c>
      <c r="NC74">
        <v>0</v>
      </c>
      <c r="ND74">
        <v>0</v>
      </c>
      <c r="NE74">
        <v>0</v>
      </c>
      <c r="NF74">
        <v>0</v>
      </c>
      <c r="NG74">
        <v>0</v>
      </c>
      <c r="NH74">
        <v>0</v>
      </c>
      <c r="NI74">
        <v>0</v>
      </c>
      <c r="NJ74">
        <v>0</v>
      </c>
      <c r="NK74">
        <v>0</v>
      </c>
      <c r="NL74">
        <v>0</v>
      </c>
      <c r="NM74">
        <v>0</v>
      </c>
      <c r="NN74">
        <v>0</v>
      </c>
      <c r="NO74">
        <v>0</v>
      </c>
      <c r="NP74">
        <v>0</v>
      </c>
      <c r="NQ74">
        <v>0</v>
      </c>
      <c r="NR74">
        <v>0</v>
      </c>
      <c r="NS74">
        <v>0</v>
      </c>
      <c r="NT74">
        <v>0</v>
      </c>
      <c r="NU74">
        <v>0</v>
      </c>
      <c r="NV74">
        <v>0</v>
      </c>
      <c r="NW74">
        <v>0</v>
      </c>
      <c r="NX74">
        <v>0</v>
      </c>
      <c r="NY74">
        <v>0</v>
      </c>
      <c r="NZ74">
        <v>0</v>
      </c>
      <c r="OA74">
        <v>0</v>
      </c>
      <c r="OB74">
        <v>0</v>
      </c>
      <c r="OC74">
        <v>0</v>
      </c>
      <c r="OD74">
        <v>0</v>
      </c>
      <c r="OE74">
        <v>0</v>
      </c>
      <c r="OF74">
        <v>0</v>
      </c>
      <c r="OG74">
        <v>0</v>
      </c>
      <c r="OH74">
        <v>0</v>
      </c>
      <c r="OI74">
        <v>0</v>
      </c>
      <c r="OJ74">
        <v>0</v>
      </c>
      <c r="OK74">
        <v>0</v>
      </c>
      <c r="OL74">
        <v>0</v>
      </c>
      <c r="OM74">
        <v>0</v>
      </c>
      <c r="ON74">
        <v>0</v>
      </c>
    </row>
    <row r="75" spans="1:404" x14ac:dyDescent="0.25">
      <c r="A75" t="s">
        <v>291</v>
      </c>
      <c r="B75" t="s">
        <v>292</v>
      </c>
      <c r="C75" t="s">
        <v>290</v>
      </c>
      <c r="E75" t="s">
        <v>61</v>
      </c>
      <c r="F75">
        <v>0</v>
      </c>
      <c r="G75">
        <v>0</v>
      </c>
      <c r="H75">
        <v>0</v>
      </c>
      <c r="I75">
        <v>0</v>
      </c>
      <c r="J75">
        <v>0</v>
      </c>
      <c r="K75">
        <v>0</v>
      </c>
      <c r="L75">
        <v>0</v>
      </c>
      <c r="M75">
        <v>0</v>
      </c>
      <c r="N75">
        <v>0</v>
      </c>
      <c r="O75">
        <v>0</v>
      </c>
      <c r="P75">
        <v>0</v>
      </c>
      <c r="Q75">
        <v>0</v>
      </c>
      <c r="R75">
        <v>0</v>
      </c>
      <c r="S75">
        <v>0</v>
      </c>
      <c r="T75">
        <v>0</v>
      </c>
      <c r="U75">
        <v>70</v>
      </c>
      <c r="V75">
        <v>0</v>
      </c>
      <c r="W75">
        <v>0</v>
      </c>
      <c r="X75">
        <v>0</v>
      </c>
      <c r="Y75">
        <v>0</v>
      </c>
      <c r="Z75">
        <v>0</v>
      </c>
      <c r="AA75">
        <v>-21</v>
      </c>
      <c r="AB75">
        <v>0</v>
      </c>
      <c r="AC75">
        <v>0</v>
      </c>
      <c r="AD75">
        <v>72</v>
      </c>
      <c r="AE75">
        <v>0</v>
      </c>
      <c r="AF75">
        <v>0</v>
      </c>
      <c r="AG75">
        <v>13</v>
      </c>
      <c r="AH75">
        <v>0</v>
      </c>
      <c r="AI75">
        <v>134</v>
      </c>
      <c r="AJ75">
        <v>0</v>
      </c>
      <c r="AK75">
        <v>0</v>
      </c>
      <c r="AL75">
        <v>0</v>
      </c>
      <c r="AM75">
        <v>0</v>
      </c>
      <c r="AN75">
        <v>0</v>
      </c>
      <c r="AO75">
        <v>0</v>
      </c>
      <c r="AP75">
        <v>0</v>
      </c>
      <c r="AQ75">
        <v>0</v>
      </c>
      <c r="AR75">
        <v>0</v>
      </c>
      <c r="AS75">
        <v>0</v>
      </c>
      <c r="AT75">
        <v>0</v>
      </c>
      <c r="AU75">
        <v>0</v>
      </c>
      <c r="AV75">
        <v>0</v>
      </c>
      <c r="AW75">
        <v>0</v>
      </c>
      <c r="AX75">
        <v>0</v>
      </c>
      <c r="AY75">
        <v>0</v>
      </c>
      <c r="AZ75">
        <v>0</v>
      </c>
      <c r="BA75">
        <v>0</v>
      </c>
      <c r="BB75">
        <v>0</v>
      </c>
      <c r="BC75">
        <v>0</v>
      </c>
      <c r="BD75">
        <v>0</v>
      </c>
      <c r="BE75">
        <v>0</v>
      </c>
      <c r="BF75">
        <v>0</v>
      </c>
      <c r="BG75">
        <v>0</v>
      </c>
      <c r="BH75">
        <v>0</v>
      </c>
      <c r="BI75">
        <v>0</v>
      </c>
      <c r="BJ75">
        <v>0</v>
      </c>
      <c r="BK75">
        <v>0</v>
      </c>
      <c r="BL75">
        <v>0</v>
      </c>
      <c r="BM75">
        <v>0</v>
      </c>
      <c r="BN75">
        <v>0</v>
      </c>
      <c r="BO75">
        <v>0</v>
      </c>
      <c r="BP75">
        <v>0</v>
      </c>
      <c r="BQ75">
        <v>0</v>
      </c>
      <c r="BR75">
        <v>0</v>
      </c>
      <c r="BS75">
        <v>0</v>
      </c>
      <c r="BT75">
        <v>0</v>
      </c>
      <c r="BU75">
        <v>0</v>
      </c>
      <c r="BV75">
        <v>0</v>
      </c>
      <c r="BW75">
        <v>0</v>
      </c>
      <c r="BX75">
        <v>0</v>
      </c>
      <c r="BY75">
        <v>0</v>
      </c>
      <c r="BZ75">
        <v>0</v>
      </c>
      <c r="CA75">
        <v>0</v>
      </c>
      <c r="CB75">
        <v>0</v>
      </c>
      <c r="CC75">
        <v>0</v>
      </c>
      <c r="CD75">
        <v>0</v>
      </c>
      <c r="CE75">
        <v>0</v>
      </c>
      <c r="CF75">
        <v>0</v>
      </c>
      <c r="CG75">
        <v>0</v>
      </c>
      <c r="CH75">
        <v>0</v>
      </c>
      <c r="CI75">
        <v>0</v>
      </c>
      <c r="CJ75">
        <v>0</v>
      </c>
      <c r="CK75">
        <v>0</v>
      </c>
      <c r="CL75">
        <v>0</v>
      </c>
      <c r="CM75">
        <v>0</v>
      </c>
      <c r="CN75">
        <v>0</v>
      </c>
      <c r="CO75">
        <v>0</v>
      </c>
      <c r="CP75">
        <v>0</v>
      </c>
      <c r="CQ75">
        <v>0</v>
      </c>
      <c r="CR75">
        <v>0</v>
      </c>
      <c r="CS75">
        <v>0</v>
      </c>
      <c r="CT75">
        <v>0</v>
      </c>
      <c r="CU75">
        <v>0</v>
      </c>
      <c r="CV75">
        <v>0</v>
      </c>
      <c r="CW75">
        <v>0</v>
      </c>
      <c r="CX75">
        <v>0</v>
      </c>
      <c r="CY75">
        <v>0</v>
      </c>
      <c r="CZ75">
        <v>0</v>
      </c>
      <c r="DA75">
        <v>0</v>
      </c>
      <c r="DB75">
        <v>0</v>
      </c>
      <c r="DC75">
        <v>44</v>
      </c>
      <c r="DD75">
        <v>0</v>
      </c>
      <c r="DE75">
        <v>114</v>
      </c>
      <c r="DF75">
        <v>0</v>
      </c>
      <c r="DG75">
        <v>0</v>
      </c>
      <c r="DH75">
        <v>0</v>
      </c>
      <c r="DI75">
        <v>0</v>
      </c>
      <c r="DJ75">
        <v>92</v>
      </c>
      <c r="DK75">
        <v>75</v>
      </c>
      <c r="DL75">
        <v>0</v>
      </c>
      <c r="DM75">
        <v>0</v>
      </c>
      <c r="DN75">
        <v>449</v>
      </c>
      <c r="DO75">
        <v>0</v>
      </c>
      <c r="DP75">
        <v>616</v>
      </c>
      <c r="DQ75">
        <v>0</v>
      </c>
      <c r="DR75">
        <v>0</v>
      </c>
      <c r="DS75">
        <v>0</v>
      </c>
      <c r="DT75">
        <v>401</v>
      </c>
      <c r="DU75">
        <v>0</v>
      </c>
      <c r="DV75">
        <v>0</v>
      </c>
      <c r="DW75">
        <v>0</v>
      </c>
      <c r="DX75">
        <v>1175</v>
      </c>
      <c r="DY75">
        <v>0</v>
      </c>
      <c r="DZ75">
        <v>0</v>
      </c>
      <c r="EA75">
        <v>0</v>
      </c>
      <c r="EB75">
        <v>0</v>
      </c>
      <c r="EC75">
        <v>0</v>
      </c>
      <c r="ED75">
        <v>0</v>
      </c>
      <c r="EE75">
        <v>0</v>
      </c>
      <c r="EF75">
        <v>0</v>
      </c>
      <c r="EG75">
        <v>0</v>
      </c>
      <c r="EH75">
        <v>0</v>
      </c>
      <c r="EI75">
        <v>0</v>
      </c>
      <c r="EJ75">
        <v>0</v>
      </c>
      <c r="EK75">
        <v>0</v>
      </c>
      <c r="EL75">
        <v>0</v>
      </c>
      <c r="EM75">
        <v>0</v>
      </c>
      <c r="EN75">
        <v>0</v>
      </c>
      <c r="EO75">
        <v>0</v>
      </c>
      <c r="EP75">
        <v>0</v>
      </c>
      <c r="EQ75">
        <v>0</v>
      </c>
      <c r="ER75">
        <v>0</v>
      </c>
      <c r="ES75">
        <v>0</v>
      </c>
      <c r="ET75">
        <v>0</v>
      </c>
      <c r="EU75">
        <v>0</v>
      </c>
      <c r="EV75">
        <v>8</v>
      </c>
      <c r="EW75">
        <v>0</v>
      </c>
      <c r="EX75">
        <v>529</v>
      </c>
      <c r="EY75">
        <v>172</v>
      </c>
      <c r="EZ75">
        <v>638</v>
      </c>
      <c r="FA75">
        <v>0</v>
      </c>
      <c r="FB75">
        <v>456</v>
      </c>
      <c r="FC75">
        <v>780</v>
      </c>
      <c r="FD75">
        <v>2113</v>
      </c>
      <c r="FE75">
        <v>0</v>
      </c>
      <c r="FF75">
        <v>0</v>
      </c>
      <c r="FG75">
        <v>0</v>
      </c>
      <c r="FH75">
        <v>4696</v>
      </c>
      <c r="FI75">
        <v>171</v>
      </c>
      <c r="FJ75">
        <v>0</v>
      </c>
      <c r="FK75">
        <v>0</v>
      </c>
      <c r="FL75">
        <v>165</v>
      </c>
      <c r="FM75">
        <v>365</v>
      </c>
      <c r="FN75">
        <v>73</v>
      </c>
      <c r="FO75">
        <v>125</v>
      </c>
      <c r="FP75">
        <v>0</v>
      </c>
      <c r="FQ75">
        <v>0</v>
      </c>
      <c r="FR75">
        <v>14</v>
      </c>
      <c r="FS75">
        <v>18</v>
      </c>
      <c r="FT75">
        <v>144</v>
      </c>
      <c r="FU75">
        <v>18</v>
      </c>
      <c r="FV75">
        <v>277</v>
      </c>
      <c r="FW75">
        <v>0</v>
      </c>
      <c r="FX75">
        <v>132</v>
      </c>
      <c r="FY75">
        <v>0</v>
      </c>
      <c r="FZ75">
        <v>0</v>
      </c>
      <c r="GA75">
        <v>0</v>
      </c>
      <c r="GB75">
        <v>0</v>
      </c>
      <c r="GC75">
        <v>0</v>
      </c>
      <c r="GD75">
        <v>458</v>
      </c>
      <c r="GE75">
        <v>690</v>
      </c>
      <c r="GF75">
        <v>0</v>
      </c>
      <c r="GG75">
        <v>4</v>
      </c>
      <c r="GH75">
        <v>1413</v>
      </c>
      <c r="GI75">
        <v>0</v>
      </c>
      <c r="GJ75">
        <v>0</v>
      </c>
      <c r="GK75">
        <v>4067</v>
      </c>
      <c r="GL75">
        <v>139</v>
      </c>
      <c r="GM75">
        <v>378</v>
      </c>
      <c r="GN75">
        <v>0</v>
      </c>
      <c r="GO75">
        <v>561</v>
      </c>
      <c r="GP75">
        <v>0</v>
      </c>
      <c r="GQ75">
        <v>650</v>
      </c>
      <c r="GR75">
        <v>0</v>
      </c>
      <c r="GS75">
        <v>-3138</v>
      </c>
      <c r="GT75">
        <v>853</v>
      </c>
      <c r="GU75">
        <v>-557</v>
      </c>
      <c r="GV75">
        <v>8206</v>
      </c>
      <c r="GW75">
        <v>0</v>
      </c>
      <c r="GX75">
        <v>0</v>
      </c>
      <c r="GY75">
        <v>0</v>
      </c>
      <c r="GZ75">
        <v>0</v>
      </c>
      <c r="HA75">
        <v>0</v>
      </c>
      <c r="HB75">
        <v>2005</v>
      </c>
      <c r="HC75">
        <v>347</v>
      </c>
      <c r="HD75">
        <v>0</v>
      </c>
      <c r="HE75">
        <v>0</v>
      </c>
      <c r="HF75">
        <v>727</v>
      </c>
      <c r="HG75">
        <v>18</v>
      </c>
      <c r="HH75">
        <v>0</v>
      </c>
      <c r="HI75">
        <v>0</v>
      </c>
      <c r="HJ75">
        <v>139</v>
      </c>
      <c r="HK75">
        <v>52</v>
      </c>
      <c r="HL75">
        <v>2</v>
      </c>
      <c r="HM75">
        <v>-16</v>
      </c>
      <c r="HN75">
        <v>0</v>
      </c>
      <c r="HO75">
        <v>0</v>
      </c>
      <c r="HP75">
        <v>0</v>
      </c>
      <c r="HQ75">
        <v>0</v>
      </c>
      <c r="HR75">
        <v>658</v>
      </c>
      <c r="HS75">
        <v>0</v>
      </c>
      <c r="HT75">
        <v>0</v>
      </c>
      <c r="HU75">
        <v>635</v>
      </c>
      <c r="HV75">
        <v>4567</v>
      </c>
      <c r="HW75">
        <v>3522</v>
      </c>
      <c r="HX75">
        <v>7613</v>
      </c>
      <c r="HY75">
        <v>0</v>
      </c>
      <c r="HZ75">
        <v>0</v>
      </c>
      <c r="IA75">
        <v>190</v>
      </c>
      <c r="IB75">
        <v>0</v>
      </c>
      <c r="IC75">
        <v>0</v>
      </c>
      <c r="ID75">
        <v>134</v>
      </c>
      <c r="IE75">
        <v>0</v>
      </c>
      <c r="IF75">
        <v>0</v>
      </c>
      <c r="IG75">
        <v>0</v>
      </c>
      <c r="IH75">
        <v>1175</v>
      </c>
      <c r="II75">
        <v>4696</v>
      </c>
      <c r="IJ75">
        <v>4067</v>
      </c>
      <c r="IK75">
        <v>-557</v>
      </c>
      <c r="IL75">
        <v>0</v>
      </c>
      <c r="IM75">
        <v>0</v>
      </c>
      <c r="IN75">
        <v>4567</v>
      </c>
      <c r="IO75">
        <v>0</v>
      </c>
      <c r="IP75">
        <v>14082</v>
      </c>
      <c r="IQ75">
        <v>17505</v>
      </c>
      <c r="IR75">
        <v>661</v>
      </c>
      <c r="IS75">
        <v>0</v>
      </c>
      <c r="IT75">
        <v>0</v>
      </c>
      <c r="IU75">
        <v>0</v>
      </c>
      <c r="IV75">
        <v>742</v>
      </c>
      <c r="IW75">
        <v>0</v>
      </c>
      <c r="IX75">
        <v>0</v>
      </c>
      <c r="IY75">
        <v>0</v>
      </c>
      <c r="IZ75">
        <v>0</v>
      </c>
      <c r="JA75">
        <v>0</v>
      </c>
      <c r="JB75">
        <v>0</v>
      </c>
      <c r="JC75">
        <v>0</v>
      </c>
      <c r="JD75">
        <v>0</v>
      </c>
      <c r="JE75">
        <v>-35</v>
      </c>
      <c r="JF75">
        <v>0</v>
      </c>
      <c r="JG75">
        <v>32955</v>
      </c>
      <c r="JH75">
        <v>0</v>
      </c>
      <c r="JI75">
        <v>820</v>
      </c>
      <c r="JJ75">
        <v>0</v>
      </c>
      <c r="JK75">
        <v>0</v>
      </c>
      <c r="JL75">
        <v>0</v>
      </c>
      <c r="JM75">
        <v>-149</v>
      </c>
      <c r="JN75">
        <v>2663</v>
      </c>
      <c r="JO75">
        <v>0</v>
      </c>
      <c r="JP75">
        <v>1401</v>
      </c>
      <c r="JQ75">
        <v>0</v>
      </c>
      <c r="JR75">
        <v>37690</v>
      </c>
      <c r="JS75">
        <v>-100</v>
      </c>
      <c r="JT75">
        <v>0</v>
      </c>
      <c r="JU75">
        <v>0</v>
      </c>
      <c r="JV75">
        <v>0</v>
      </c>
      <c r="JW75">
        <v>-18531</v>
      </c>
      <c r="JX75">
        <v>0</v>
      </c>
      <c r="JY75">
        <v>-1226</v>
      </c>
      <c r="JZ75">
        <v>0</v>
      </c>
      <c r="KA75">
        <v>0</v>
      </c>
      <c r="KB75">
        <v>0</v>
      </c>
      <c r="KC75">
        <v>17833</v>
      </c>
      <c r="KD75">
        <v>0</v>
      </c>
      <c r="KE75">
        <v>-4513</v>
      </c>
      <c r="KF75">
        <v>13320</v>
      </c>
      <c r="KG75">
        <v>0</v>
      </c>
      <c r="KH75">
        <v>0</v>
      </c>
      <c r="KI75">
        <v>0</v>
      </c>
      <c r="KJ75">
        <v>0</v>
      </c>
      <c r="KK75">
        <v>-1155</v>
      </c>
      <c r="KL75">
        <v>83</v>
      </c>
      <c r="KM75">
        <v>0</v>
      </c>
      <c r="KN75">
        <v>0</v>
      </c>
      <c r="KO75">
        <v>0</v>
      </c>
      <c r="KP75">
        <v>-38</v>
      </c>
      <c r="KQ75">
        <v>0</v>
      </c>
      <c r="KR75">
        <v>8040</v>
      </c>
      <c r="KS75">
        <v>0</v>
      </c>
      <c r="KT75">
        <v>0</v>
      </c>
      <c r="KU75">
        <v>0</v>
      </c>
      <c r="KV75">
        <v>12931</v>
      </c>
      <c r="KW75">
        <v>4057</v>
      </c>
      <c r="KX75">
        <v>0</v>
      </c>
      <c r="KY75">
        <v>0</v>
      </c>
      <c r="KZ75">
        <v>0</v>
      </c>
      <c r="LA75">
        <v>11776</v>
      </c>
      <c r="LB75">
        <v>4140</v>
      </c>
      <c r="LC75">
        <v>0</v>
      </c>
      <c r="LD75">
        <v>0</v>
      </c>
      <c r="LE75">
        <v>0</v>
      </c>
      <c r="LF75">
        <v>0</v>
      </c>
      <c r="LG75">
        <v>0</v>
      </c>
      <c r="LH75">
        <v>0</v>
      </c>
      <c r="LI75">
        <v>0</v>
      </c>
      <c r="LJ75">
        <v>2524</v>
      </c>
      <c r="LK75">
        <v>4095</v>
      </c>
      <c r="LL75">
        <v>6619</v>
      </c>
      <c r="LM75">
        <v>0</v>
      </c>
      <c r="LN75">
        <v>0</v>
      </c>
      <c r="LO75">
        <v>0</v>
      </c>
      <c r="LP75">
        <v>0</v>
      </c>
      <c r="LQ75">
        <v>0</v>
      </c>
      <c r="LR75">
        <v>0</v>
      </c>
      <c r="LS75">
        <v>0</v>
      </c>
      <c r="LT75">
        <v>0</v>
      </c>
      <c r="LU75">
        <v>0</v>
      </c>
      <c r="LV75">
        <v>134</v>
      </c>
      <c r="LW75">
        <v>0</v>
      </c>
      <c r="LX75">
        <v>0</v>
      </c>
      <c r="LY75">
        <v>0</v>
      </c>
      <c r="LZ75">
        <v>1175</v>
      </c>
      <c r="MA75">
        <v>4696</v>
      </c>
      <c r="MB75">
        <v>4067</v>
      </c>
      <c r="MC75">
        <v>-557</v>
      </c>
      <c r="MD75">
        <v>0</v>
      </c>
      <c r="ME75">
        <v>0</v>
      </c>
      <c r="MF75">
        <v>4567</v>
      </c>
      <c r="MG75">
        <v>0</v>
      </c>
      <c r="MH75">
        <v>14082</v>
      </c>
      <c r="MI75">
        <v>0</v>
      </c>
      <c r="MJ75">
        <v>0</v>
      </c>
      <c r="MK75">
        <v>0</v>
      </c>
      <c r="ML75">
        <v>0</v>
      </c>
      <c r="MM75">
        <v>0</v>
      </c>
      <c r="MN75">
        <v>0</v>
      </c>
      <c r="MO75">
        <v>0</v>
      </c>
      <c r="MP75">
        <v>0</v>
      </c>
      <c r="MQ75">
        <v>0</v>
      </c>
      <c r="MR75">
        <v>0</v>
      </c>
      <c r="MS75">
        <v>0</v>
      </c>
      <c r="MT75">
        <v>0</v>
      </c>
      <c r="MU75">
        <v>0</v>
      </c>
      <c r="MV75">
        <v>0</v>
      </c>
      <c r="MW75">
        <v>0</v>
      </c>
      <c r="MX75">
        <v>0</v>
      </c>
      <c r="MY75">
        <v>0</v>
      </c>
      <c r="MZ75">
        <v>0</v>
      </c>
      <c r="NA75">
        <v>0</v>
      </c>
      <c r="NB75">
        <v>0</v>
      </c>
      <c r="NC75">
        <v>0</v>
      </c>
      <c r="ND75">
        <v>0</v>
      </c>
      <c r="NE75">
        <v>0</v>
      </c>
      <c r="NF75">
        <v>0</v>
      </c>
      <c r="NG75">
        <v>0</v>
      </c>
      <c r="NH75">
        <v>0</v>
      </c>
      <c r="NI75">
        <v>0</v>
      </c>
      <c r="NJ75">
        <v>0</v>
      </c>
      <c r="NK75">
        <v>0</v>
      </c>
      <c r="NL75">
        <v>0</v>
      </c>
      <c r="NM75">
        <v>0</v>
      </c>
      <c r="NN75">
        <v>0</v>
      </c>
      <c r="NO75">
        <v>0</v>
      </c>
      <c r="NP75">
        <v>0</v>
      </c>
      <c r="NQ75">
        <v>0</v>
      </c>
      <c r="NR75">
        <v>0</v>
      </c>
      <c r="NS75">
        <v>0</v>
      </c>
      <c r="NT75">
        <v>0</v>
      </c>
      <c r="NU75">
        <v>0</v>
      </c>
      <c r="NV75">
        <v>0</v>
      </c>
      <c r="NW75">
        <v>0</v>
      </c>
      <c r="NX75">
        <v>0</v>
      </c>
      <c r="NY75">
        <v>0</v>
      </c>
      <c r="NZ75">
        <v>0</v>
      </c>
      <c r="OA75">
        <v>0</v>
      </c>
      <c r="OB75">
        <v>0</v>
      </c>
      <c r="OC75">
        <v>0</v>
      </c>
      <c r="OD75">
        <v>0</v>
      </c>
      <c r="OE75">
        <v>0</v>
      </c>
      <c r="OF75">
        <v>0</v>
      </c>
      <c r="OG75">
        <v>0</v>
      </c>
      <c r="OH75">
        <v>0</v>
      </c>
      <c r="OI75">
        <v>0</v>
      </c>
      <c r="OJ75">
        <v>0</v>
      </c>
      <c r="OK75">
        <v>0</v>
      </c>
      <c r="OL75">
        <v>0</v>
      </c>
      <c r="OM75">
        <v>0</v>
      </c>
      <c r="ON75">
        <v>0</v>
      </c>
    </row>
    <row r="76" spans="1:404" x14ac:dyDescent="0.25">
      <c r="A76" t="s">
        <v>294</v>
      </c>
      <c r="B76" t="s">
        <v>295</v>
      </c>
      <c r="C76" t="s">
        <v>293</v>
      </c>
      <c r="E76" t="s">
        <v>1940</v>
      </c>
      <c r="F76">
        <v>1838</v>
      </c>
      <c r="G76">
        <v>2927</v>
      </c>
      <c r="H76">
        <v>44</v>
      </c>
      <c r="I76">
        <v>0</v>
      </c>
      <c r="J76">
        <v>0</v>
      </c>
      <c r="K76">
        <v>2003</v>
      </c>
      <c r="L76">
        <v>6812</v>
      </c>
      <c r="M76">
        <v>324</v>
      </c>
      <c r="N76">
        <v>424</v>
      </c>
      <c r="O76">
        <v>440</v>
      </c>
      <c r="P76">
        <v>1967</v>
      </c>
      <c r="Q76">
        <v>117</v>
      </c>
      <c r="R76">
        <v>376</v>
      </c>
      <c r="S76">
        <v>1674</v>
      </c>
      <c r="T76">
        <v>0</v>
      </c>
      <c r="U76">
        <v>776</v>
      </c>
      <c r="V76">
        <v>0</v>
      </c>
      <c r="W76">
        <v>0</v>
      </c>
      <c r="X76">
        <v>214</v>
      </c>
      <c r="Y76">
        <v>183</v>
      </c>
      <c r="Z76">
        <v>-10718</v>
      </c>
      <c r="AA76">
        <v>514</v>
      </c>
      <c r="AB76">
        <v>473</v>
      </c>
      <c r="AC76">
        <v>0</v>
      </c>
      <c r="AD76">
        <v>0</v>
      </c>
      <c r="AE76">
        <v>0</v>
      </c>
      <c r="AF76">
        <v>0</v>
      </c>
      <c r="AG76">
        <v>0</v>
      </c>
      <c r="AH76">
        <v>0</v>
      </c>
      <c r="AI76">
        <v>-3236</v>
      </c>
      <c r="AJ76">
        <v>0</v>
      </c>
      <c r="AK76">
        <v>0</v>
      </c>
      <c r="AL76">
        <v>0</v>
      </c>
      <c r="AM76">
        <v>0</v>
      </c>
      <c r="AN76">
        <v>0</v>
      </c>
      <c r="AO76">
        <v>0</v>
      </c>
      <c r="AP76">
        <v>0</v>
      </c>
      <c r="AQ76">
        <v>7668</v>
      </c>
      <c r="AR76">
        <v>6854</v>
      </c>
      <c r="AS76">
        <v>0</v>
      </c>
      <c r="AT76">
        <v>0</v>
      </c>
      <c r="AU76">
        <v>0</v>
      </c>
      <c r="AV76">
        <v>0</v>
      </c>
      <c r="AW76">
        <v>417</v>
      </c>
      <c r="AX76">
        <v>0</v>
      </c>
      <c r="AY76">
        <v>157</v>
      </c>
      <c r="AZ76">
        <v>0</v>
      </c>
      <c r="BA76">
        <v>726</v>
      </c>
      <c r="BB76">
        <v>2344</v>
      </c>
      <c r="BC76">
        <v>894</v>
      </c>
      <c r="BD76">
        <v>4538</v>
      </c>
      <c r="BE76">
        <v>261</v>
      </c>
      <c r="BF76">
        <v>1031</v>
      </c>
      <c r="BG76">
        <v>4</v>
      </c>
      <c r="BH76">
        <v>2</v>
      </c>
      <c r="BI76">
        <v>52</v>
      </c>
      <c r="BJ76">
        <v>129</v>
      </c>
      <c r="BK76">
        <v>645</v>
      </c>
      <c r="BL76">
        <v>0</v>
      </c>
      <c r="BM76">
        <v>1178</v>
      </c>
      <c r="BN76">
        <v>335</v>
      </c>
      <c r="BO76">
        <v>32</v>
      </c>
      <c r="BP76">
        <v>2834</v>
      </c>
      <c r="BQ76">
        <v>16</v>
      </c>
      <c r="BR76">
        <v>8</v>
      </c>
      <c r="BS76">
        <v>35</v>
      </c>
      <c r="BT76">
        <v>1632</v>
      </c>
      <c r="BU76">
        <v>0</v>
      </c>
      <c r="BV76">
        <v>750</v>
      </c>
      <c r="BW76">
        <v>8944</v>
      </c>
      <c r="BX76">
        <v>30</v>
      </c>
      <c r="BY76">
        <v>30</v>
      </c>
      <c r="BZ76">
        <v>324</v>
      </c>
      <c r="CA76">
        <v>29</v>
      </c>
      <c r="CB76">
        <v>33</v>
      </c>
      <c r="CC76">
        <v>30</v>
      </c>
      <c r="CD76">
        <v>30</v>
      </c>
      <c r="CE76">
        <v>29</v>
      </c>
      <c r="CF76">
        <v>40</v>
      </c>
      <c r="CG76">
        <v>30</v>
      </c>
      <c r="CH76">
        <v>30</v>
      </c>
      <c r="CI76">
        <v>30</v>
      </c>
      <c r="CJ76">
        <v>30</v>
      </c>
      <c r="CK76">
        <v>30</v>
      </c>
      <c r="CL76">
        <v>406</v>
      </c>
      <c r="CM76">
        <v>30</v>
      </c>
      <c r="CN76">
        <v>73</v>
      </c>
      <c r="CO76">
        <v>31</v>
      </c>
      <c r="CP76">
        <v>103</v>
      </c>
      <c r="CQ76">
        <v>191</v>
      </c>
      <c r="CR76">
        <v>30</v>
      </c>
      <c r="CS76">
        <v>32</v>
      </c>
      <c r="CT76">
        <v>255</v>
      </c>
      <c r="CU76">
        <v>34</v>
      </c>
      <c r="CV76">
        <v>1910</v>
      </c>
      <c r="CW76">
        <v>0</v>
      </c>
      <c r="CX76">
        <v>0</v>
      </c>
      <c r="CY76">
        <v>0</v>
      </c>
      <c r="CZ76">
        <v>0</v>
      </c>
      <c r="DA76">
        <v>0</v>
      </c>
      <c r="DB76">
        <v>0</v>
      </c>
      <c r="DC76">
        <v>132</v>
      </c>
      <c r="DD76">
        <v>0</v>
      </c>
      <c r="DE76">
        <v>0</v>
      </c>
      <c r="DF76">
        <v>0</v>
      </c>
      <c r="DG76">
        <v>0</v>
      </c>
      <c r="DH76">
        <v>0</v>
      </c>
      <c r="DI76">
        <v>0</v>
      </c>
      <c r="DJ76">
        <v>204</v>
      </c>
      <c r="DK76">
        <v>0</v>
      </c>
      <c r="DL76">
        <v>0</v>
      </c>
      <c r="DM76">
        <v>0</v>
      </c>
      <c r="DN76">
        <v>4160</v>
      </c>
      <c r="DO76">
        <v>0</v>
      </c>
      <c r="DP76">
        <v>4364</v>
      </c>
      <c r="DQ76">
        <v>0</v>
      </c>
      <c r="DR76">
        <v>0</v>
      </c>
      <c r="DS76">
        <v>-34</v>
      </c>
      <c r="DT76">
        <v>0</v>
      </c>
      <c r="DU76">
        <v>0</v>
      </c>
      <c r="DV76">
        <v>0</v>
      </c>
      <c r="DW76">
        <v>0</v>
      </c>
      <c r="DX76">
        <v>4462</v>
      </c>
      <c r="DY76">
        <v>10414</v>
      </c>
      <c r="DZ76">
        <v>2349</v>
      </c>
      <c r="EA76">
        <v>1950</v>
      </c>
      <c r="EB76">
        <v>0</v>
      </c>
      <c r="EC76">
        <v>0</v>
      </c>
      <c r="ED76">
        <v>0</v>
      </c>
      <c r="EE76">
        <v>0</v>
      </c>
      <c r="EF76">
        <v>0</v>
      </c>
      <c r="EG76">
        <v>0</v>
      </c>
      <c r="EH76">
        <v>5002</v>
      </c>
      <c r="EI76">
        <v>3277</v>
      </c>
      <c r="EJ76">
        <v>2564</v>
      </c>
      <c r="EK76">
        <v>568</v>
      </c>
      <c r="EL76">
        <v>0</v>
      </c>
      <c r="EM76">
        <v>0</v>
      </c>
      <c r="EN76">
        <v>0</v>
      </c>
      <c r="EO76">
        <v>0</v>
      </c>
      <c r="EP76">
        <v>0</v>
      </c>
      <c r="EQ76">
        <v>2943</v>
      </c>
      <c r="ER76">
        <v>454</v>
      </c>
      <c r="ES76">
        <v>177</v>
      </c>
      <c r="ET76">
        <v>82</v>
      </c>
      <c r="EU76">
        <v>4252</v>
      </c>
      <c r="EV76">
        <v>0</v>
      </c>
      <c r="EW76">
        <v>0</v>
      </c>
      <c r="EX76">
        <v>7745</v>
      </c>
      <c r="EY76">
        <v>25559</v>
      </c>
      <c r="EZ76">
        <v>45</v>
      </c>
      <c r="FA76">
        <v>0</v>
      </c>
      <c r="FB76">
        <v>265</v>
      </c>
      <c r="FC76">
        <v>0</v>
      </c>
      <c r="FD76">
        <v>2155</v>
      </c>
      <c r="FE76">
        <v>0</v>
      </c>
      <c r="FF76">
        <v>1245</v>
      </c>
      <c r="FG76">
        <v>5949</v>
      </c>
      <c r="FH76">
        <v>47215</v>
      </c>
      <c r="FI76">
        <v>-1494</v>
      </c>
      <c r="FJ76">
        <v>666</v>
      </c>
      <c r="FK76">
        <v>0</v>
      </c>
      <c r="FL76">
        <v>548</v>
      </c>
      <c r="FM76">
        <v>1576</v>
      </c>
      <c r="FN76">
        <v>0</v>
      </c>
      <c r="FO76">
        <v>100</v>
      </c>
      <c r="FP76">
        <v>214</v>
      </c>
      <c r="FQ76">
        <v>0</v>
      </c>
      <c r="FR76">
        <v>0</v>
      </c>
      <c r="FS76">
        <v>611</v>
      </c>
      <c r="FT76">
        <v>248</v>
      </c>
      <c r="FU76">
        <v>287</v>
      </c>
      <c r="FV76">
        <v>460</v>
      </c>
      <c r="FW76">
        <v>0</v>
      </c>
      <c r="FX76">
        <v>93</v>
      </c>
      <c r="FY76">
        <v>0</v>
      </c>
      <c r="FZ76">
        <v>0</v>
      </c>
      <c r="GA76">
        <v>0</v>
      </c>
      <c r="GB76">
        <v>0</v>
      </c>
      <c r="GC76">
        <v>0</v>
      </c>
      <c r="GD76">
        <v>5955</v>
      </c>
      <c r="GE76">
        <v>1418</v>
      </c>
      <c r="GF76">
        <v>1274</v>
      </c>
      <c r="GG76">
        <v>-311</v>
      </c>
      <c r="GH76">
        <v>1307</v>
      </c>
      <c r="GI76">
        <v>0</v>
      </c>
      <c r="GJ76">
        <v>0</v>
      </c>
      <c r="GK76">
        <v>12952</v>
      </c>
      <c r="GL76">
        <v>798</v>
      </c>
      <c r="GM76">
        <v>513</v>
      </c>
      <c r="GN76">
        <v>155</v>
      </c>
      <c r="GO76">
        <v>2157</v>
      </c>
      <c r="GP76">
        <v>182</v>
      </c>
      <c r="GQ76">
        <v>2941</v>
      </c>
      <c r="GR76">
        <v>0</v>
      </c>
      <c r="GS76">
        <v>0</v>
      </c>
      <c r="GT76">
        <v>0</v>
      </c>
      <c r="GU76">
        <v>6746</v>
      </c>
      <c r="GV76">
        <v>66913</v>
      </c>
      <c r="GW76">
        <v>134014</v>
      </c>
      <c r="GX76">
        <v>0</v>
      </c>
      <c r="GY76">
        <v>0</v>
      </c>
      <c r="GZ76">
        <v>0</v>
      </c>
      <c r="HA76">
        <v>0</v>
      </c>
      <c r="HB76">
        <v>4334</v>
      </c>
      <c r="HC76">
        <v>348</v>
      </c>
      <c r="HD76">
        <v>0</v>
      </c>
      <c r="HE76">
        <v>0</v>
      </c>
      <c r="HF76">
        <v>48</v>
      </c>
      <c r="HG76">
        <v>-1481</v>
      </c>
      <c r="HH76">
        <v>0</v>
      </c>
      <c r="HI76">
        <v>2</v>
      </c>
      <c r="HJ76">
        <v>56</v>
      </c>
      <c r="HK76">
        <v>332</v>
      </c>
      <c r="HL76">
        <v>1132</v>
      </c>
      <c r="HM76">
        <v>-95</v>
      </c>
      <c r="HN76">
        <v>0</v>
      </c>
      <c r="HO76">
        <v>0</v>
      </c>
      <c r="HP76">
        <v>1598</v>
      </c>
      <c r="HQ76">
        <v>2398</v>
      </c>
      <c r="HR76">
        <v>0</v>
      </c>
      <c r="HS76">
        <v>0</v>
      </c>
      <c r="HT76">
        <v>0</v>
      </c>
      <c r="HU76">
        <v>-246</v>
      </c>
      <c r="HV76">
        <v>8426</v>
      </c>
      <c r="HW76">
        <v>154</v>
      </c>
      <c r="HX76">
        <v>92</v>
      </c>
      <c r="HY76">
        <v>0</v>
      </c>
      <c r="HZ76">
        <v>0</v>
      </c>
      <c r="IA76">
        <v>1831</v>
      </c>
      <c r="IB76">
        <v>-1231</v>
      </c>
      <c r="IC76">
        <v>6812</v>
      </c>
      <c r="ID76">
        <v>-3236</v>
      </c>
      <c r="IE76">
        <v>4538</v>
      </c>
      <c r="IF76">
        <v>8944</v>
      </c>
      <c r="IG76">
        <v>1910</v>
      </c>
      <c r="IH76">
        <v>4462</v>
      </c>
      <c r="II76">
        <v>47215</v>
      </c>
      <c r="IJ76">
        <v>12952</v>
      </c>
      <c r="IK76">
        <v>6746</v>
      </c>
      <c r="IL76">
        <v>134014</v>
      </c>
      <c r="IM76">
        <v>0</v>
      </c>
      <c r="IN76">
        <v>8426</v>
      </c>
      <c r="IO76">
        <v>-1231</v>
      </c>
      <c r="IP76">
        <v>231552</v>
      </c>
      <c r="IQ76">
        <v>1528</v>
      </c>
      <c r="IR76">
        <v>215</v>
      </c>
      <c r="IS76">
        <v>2113</v>
      </c>
      <c r="IT76">
        <v>0</v>
      </c>
      <c r="IU76">
        <v>0</v>
      </c>
      <c r="IV76">
        <v>380</v>
      </c>
      <c r="IW76">
        <v>0</v>
      </c>
      <c r="IX76">
        <v>0</v>
      </c>
      <c r="IY76">
        <v>118</v>
      </c>
      <c r="IZ76">
        <v>2</v>
      </c>
      <c r="JA76">
        <v>288</v>
      </c>
      <c r="JB76">
        <v>0</v>
      </c>
      <c r="JC76">
        <v>-1390</v>
      </c>
      <c r="JD76">
        <v>0</v>
      </c>
      <c r="JE76">
        <v>0</v>
      </c>
      <c r="JF76">
        <v>0</v>
      </c>
      <c r="JG76">
        <v>234806</v>
      </c>
      <c r="JH76">
        <v>19</v>
      </c>
      <c r="JI76">
        <v>6818</v>
      </c>
      <c r="JJ76">
        <v>0</v>
      </c>
      <c r="JK76">
        <v>0</v>
      </c>
      <c r="JL76">
        <v>0</v>
      </c>
      <c r="JM76">
        <v>0</v>
      </c>
      <c r="JN76">
        <v>0</v>
      </c>
      <c r="JO76">
        <v>0</v>
      </c>
      <c r="JP76">
        <v>0</v>
      </c>
      <c r="JQ76">
        <v>0</v>
      </c>
      <c r="JR76">
        <v>241643</v>
      </c>
      <c r="JS76">
        <v>-44781</v>
      </c>
      <c r="JT76">
        <v>0</v>
      </c>
      <c r="JU76">
        <v>0</v>
      </c>
      <c r="JV76">
        <v>0</v>
      </c>
      <c r="JW76">
        <v>-4865</v>
      </c>
      <c r="JX76">
        <v>0</v>
      </c>
      <c r="JY76">
        <v>-3266</v>
      </c>
      <c r="JZ76">
        <v>0</v>
      </c>
      <c r="KA76">
        <v>0</v>
      </c>
      <c r="KB76">
        <v>0</v>
      </c>
      <c r="KC76">
        <v>188731</v>
      </c>
      <c r="KD76">
        <v>0</v>
      </c>
      <c r="KE76">
        <v>-65056</v>
      </c>
      <c r="KF76">
        <v>123675</v>
      </c>
      <c r="KG76">
        <v>0</v>
      </c>
      <c r="KH76">
        <v>36</v>
      </c>
      <c r="KI76">
        <v>0</v>
      </c>
      <c r="KJ76">
        <v>-174</v>
      </c>
      <c r="KK76">
        <v>63668</v>
      </c>
      <c r="KL76">
        <v>0</v>
      </c>
      <c r="KM76">
        <v>-6312</v>
      </c>
      <c r="KN76">
        <v>-59927</v>
      </c>
      <c r="KO76">
        <v>-22958</v>
      </c>
      <c r="KP76">
        <v>-646</v>
      </c>
      <c r="KQ76">
        <v>-58337</v>
      </c>
      <c r="KR76">
        <v>7785</v>
      </c>
      <c r="KS76">
        <v>272</v>
      </c>
      <c r="KT76">
        <v>0</v>
      </c>
      <c r="KU76">
        <v>609</v>
      </c>
      <c r="KV76">
        <v>167613</v>
      </c>
      <c r="KW76">
        <v>20000</v>
      </c>
      <c r="KX76">
        <v>308</v>
      </c>
      <c r="KY76">
        <v>0</v>
      </c>
      <c r="KZ76">
        <v>435</v>
      </c>
      <c r="LA76">
        <v>231281</v>
      </c>
      <c r="LB76">
        <v>20000</v>
      </c>
      <c r="LC76">
        <v>0</v>
      </c>
      <c r="LD76">
        <v>32971</v>
      </c>
      <c r="LE76">
        <v>0</v>
      </c>
      <c r="LF76">
        <v>0</v>
      </c>
      <c r="LG76">
        <v>0</v>
      </c>
      <c r="LH76">
        <v>20957</v>
      </c>
      <c r="LI76">
        <v>53928</v>
      </c>
      <c r="LJ76">
        <v>70</v>
      </c>
      <c r="LK76">
        <v>120</v>
      </c>
      <c r="LL76">
        <v>190</v>
      </c>
      <c r="LM76">
        <v>0</v>
      </c>
      <c r="LN76">
        <v>0</v>
      </c>
      <c r="LO76">
        <v>0</v>
      </c>
      <c r="LP76">
        <v>14713</v>
      </c>
      <c r="LQ76">
        <v>14808</v>
      </c>
      <c r="LR76">
        <v>-95</v>
      </c>
      <c r="LS76">
        <v>177</v>
      </c>
      <c r="LT76">
        <v>82</v>
      </c>
      <c r="LU76">
        <v>6812</v>
      </c>
      <c r="LV76">
        <v>-3236</v>
      </c>
      <c r="LW76">
        <v>4538</v>
      </c>
      <c r="LX76">
        <v>8944</v>
      </c>
      <c r="LY76">
        <v>1910</v>
      </c>
      <c r="LZ76">
        <v>4462</v>
      </c>
      <c r="MA76">
        <v>47215</v>
      </c>
      <c r="MB76">
        <v>12952</v>
      </c>
      <c r="MC76">
        <v>6746</v>
      </c>
      <c r="MD76">
        <v>134014</v>
      </c>
      <c r="ME76">
        <v>0</v>
      </c>
      <c r="MF76">
        <v>8426</v>
      </c>
      <c r="MG76">
        <v>-1231</v>
      </c>
      <c r="MH76">
        <v>231552</v>
      </c>
      <c r="MI76">
        <v>0</v>
      </c>
      <c r="MJ76">
        <v>0</v>
      </c>
      <c r="MK76">
        <v>0</v>
      </c>
      <c r="ML76">
        <v>0</v>
      </c>
      <c r="MM76">
        <v>0</v>
      </c>
      <c r="MN76">
        <v>0</v>
      </c>
      <c r="MO76">
        <v>0</v>
      </c>
      <c r="MP76">
        <v>0</v>
      </c>
      <c r="MQ76">
        <v>0</v>
      </c>
      <c r="MR76">
        <v>0</v>
      </c>
      <c r="MS76">
        <v>0</v>
      </c>
      <c r="MT76">
        <v>0</v>
      </c>
      <c r="MU76">
        <v>0</v>
      </c>
      <c r="MV76">
        <v>0</v>
      </c>
      <c r="MW76">
        <v>0</v>
      </c>
      <c r="MX76">
        <v>0</v>
      </c>
      <c r="MY76">
        <v>0</v>
      </c>
      <c r="MZ76">
        <v>-1102</v>
      </c>
      <c r="NA76">
        <v>-1102</v>
      </c>
      <c r="NB76">
        <v>1390</v>
      </c>
      <c r="NC76">
        <v>288</v>
      </c>
      <c r="ND76">
        <v>0</v>
      </c>
      <c r="NE76">
        <v>0</v>
      </c>
      <c r="NF76">
        <v>0</v>
      </c>
      <c r="NG76">
        <v>0</v>
      </c>
      <c r="NH76">
        <v>0</v>
      </c>
      <c r="NI76">
        <v>0</v>
      </c>
      <c r="NJ76">
        <v>0</v>
      </c>
      <c r="NK76">
        <v>0</v>
      </c>
      <c r="NL76">
        <v>0</v>
      </c>
      <c r="NM76">
        <v>0</v>
      </c>
      <c r="NN76">
        <v>0</v>
      </c>
      <c r="NO76">
        <v>0</v>
      </c>
      <c r="NP76">
        <v>0</v>
      </c>
      <c r="NQ76">
        <v>0</v>
      </c>
      <c r="NR76">
        <v>0</v>
      </c>
      <c r="NS76">
        <v>0</v>
      </c>
      <c r="NT76">
        <v>0</v>
      </c>
      <c r="NU76">
        <v>0</v>
      </c>
      <c r="NV76">
        <v>0</v>
      </c>
      <c r="NW76">
        <v>0</v>
      </c>
      <c r="NX76">
        <v>0</v>
      </c>
      <c r="NY76">
        <v>0</v>
      </c>
      <c r="NZ76">
        <v>0</v>
      </c>
      <c r="OA76">
        <v>0</v>
      </c>
      <c r="OB76">
        <v>0</v>
      </c>
      <c r="OC76">
        <v>1390</v>
      </c>
      <c r="OD76">
        <v>0</v>
      </c>
      <c r="OE76">
        <v>0</v>
      </c>
      <c r="OF76">
        <v>0</v>
      </c>
      <c r="OG76">
        <v>0</v>
      </c>
      <c r="OH76">
        <v>1390</v>
      </c>
      <c r="OI76">
        <v>0</v>
      </c>
      <c r="OJ76">
        <v>0</v>
      </c>
      <c r="OK76">
        <v>0</v>
      </c>
      <c r="OL76">
        <v>0</v>
      </c>
      <c r="OM76">
        <v>0</v>
      </c>
      <c r="ON76">
        <v>0</v>
      </c>
    </row>
    <row r="77" spans="1:404" x14ac:dyDescent="0.25">
      <c r="A77" t="s">
        <v>874</v>
      </c>
      <c r="B77" t="s">
        <v>875</v>
      </c>
      <c r="C77" t="s">
        <v>5416</v>
      </c>
      <c r="E77" t="s">
        <v>125</v>
      </c>
      <c r="F77">
        <v>17342</v>
      </c>
      <c r="G77">
        <v>71747</v>
      </c>
      <c r="H77">
        <v>2871</v>
      </c>
      <c r="I77">
        <v>23231</v>
      </c>
      <c r="J77">
        <v>1293</v>
      </c>
      <c r="K77">
        <v>8371</v>
      </c>
      <c r="L77">
        <v>124855</v>
      </c>
      <c r="M77">
        <v>0</v>
      </c>
      <c r="N77">
        <v>1220</v>
      </c>
      <c r="O77">
        <v>0</v>
      </c>
      <c r="P77">
        <v>1053</v>
      </c>
      <c r="Q77">
        <v>0</v>
      </c>
      <c r="R77">
        <v>0</v>
      </c>
      <c r="S77">
        <v>804</v>
      </c>
      <c r="T77">
        <v>237</v>
      </c>
      <c r="U77">
        <v>4271</v>
      </c>
      <c r="V77">
        <v>0</v>
      </c>
      <c r="W77">
        <v>-299</v>
      </c>
      <c r="X77">
        <v>0</v>
      </c>
      <c r="Y77">
        <v>-2288</v>
      </c>
      <c r="Z77">
        <v>-3801</v>
      </c>
      <c r="AA77">
        <v>-7216</v>
      </c>
      <c r="AB77">
        <v>9789</v>
      </c>
      <c r="AC77">
        <v>0</v>
      </c>
      <c r="AD77">
        <v>2863</v>
      </c>
      <c r="AE77">
        <v>0</v>
      </c>
      <c r="AF77">
        <v>33489</v>
      </c>
      <c r="AG77">
        <v>1168</v>
      </c>
      <c r="AH77">
        <v>0</v>
      </c>
      <c r="AI77">
        <v>41290</v>
      </c>
      <c r="AJ77">
        <v>0</v>
      </c>
      <c r="AK77">
        <v>0</v>
      </c>
      <c r="AL77">
        <v>0</v>
      </c>
      <c r="AM77">
        <v>0</v>
      </c>
      <c r="AN77">
        <v>0</v>
      </c>
      <c r="AO77">
        <v>0</v>
      </c>
      <c r="AP77">
        <v>0</v>
      </c>
      <c r="AQ77">
        <v>2501</v>
      </c>
      <c r="AR77">
        <v>4350</v>
      </c>
      <c r="AS77">
        <v>0</v>
      </c>
      <c r="AT77">
        <v>0</v>
      </c>
      <c r="AU77">
        <v>0</v>
      </c>
      <c r="AV77">
        <v>1759</v>
      </c>
      <c r="AW77">
        <v>48108</v>
      </c>
      <c r="AX77">
        <v>985</v>
      </c>
      <c r="AY77">
        <v>2215</v>
      </c>
      <c r="AZ77">
        <v>1634</v>
      </c>
      <c r="BA77">
        <v>34624</v>
      </c>
      <c r="BB77">
        <v>1</v>
      </c>
      <c r="BC77">
        <v>1800</v>
      </c>
      <c r="BD77">
        <v>91126</v>
      </c>
      <c r="BE77">
        <v>11676</v>
      </c>
      <c r="BF77">
        <v>22964</v>
      </c>
      <c r="BG77">
        <v>135</v>
      </c>
      <c r="BH77">
        <v>238</v>
      </c>
      <c r="BI77">
        <v>1702</v>
      </c>
      <c r="BJ77">
        <v>3194</v>
      </c>
      <c r="BK77">
        <v>33547</v>
      </c>
      <c r="BL77">
        <v>2982</v>
      </c>
      <c r="BM77">
        <v>11315</v>
      </c>
      <c r="BN77">
        <v>4036</v>
      </c>
      <c r="BO77">
        <v>692</v>
      </c>
      <c r="BP77">
        <v>64</v>
      </c>
      <c r="BQ77">
        <v>3809</v>
      </c>
      <c r="BR77">
        <v>-22</v>
      </c>
      <c r="BS77">
        <v>377</v>
      </c>
      <c r="BT77">
        <v>7928</v>
      </c>
      <c r="BU77">
        <v>577</v>
      </c>
      <c r="BV77">
        <v>2074</v>
      </c>
      <c r="BW77">
        <v>112406</v>
      </c>
      <c r="BX77">
        <v>2403</v>
      </c>
      <c r="BY77">
        <v>1978</v>
      </c>
      <c r="BZ77">
        <v>315</v>
      </c>
      <c r="CA77">
        <v>95</v>
      </c>
      <c r="CB77">
        <v>348</v>
      </c>
      <c r="CC77">
        <v>19</v>
      </c>
      <c r="CD77">
        <v>715</v>
      </c>
      <c r="CE77">
        <v>656</v>
      </c>
      <c r="CF77">
        <v>64</v>
      </c>
      <c r="CG77">
        <v>1364</v>
      </c>
      <c r="CH77">
        <v>618</v>
      </c>
      <c r="CI77">
        <v>4832</v>
      </c>
      <c r="CJ77">
        <v>1797</v>
      </c>
      <c r="CK77">
        <v>500</v>
      </c>
      <c r="CL77">
        <v>217</v>
      </c>
      <c r="CM77">
        <v>269</v>
      </c>
      <c r="CN77">
        <v>501</v>
      </c>
      <c r="CO77">
        <v>94</v>
      </c>
      <c r="CP77">
        <v>2110</v>
      </c>
      <c r="CQ77">
        <v>5249</v>
      </c>
      <c r="CR77">
        <v>4376</v>
      </c>
      <c r="CS77">
        <v>340</v>
      </c>
      <c r="CT77">
        <v>282</v>
      </c>
      <c r="CU77">
        <v>6528</v>
      </c>
      <c r="CV77">
        <v>37950</v>
      </c>
      <c r="CW77">
        <v>0</v>
      </c>
      <c r="CX77">
        <v>0</v>
      </c>
      <c r="CY77">
        <v>0</v>
      </c>
      <c r="CZ77">
        <v>0</v>
      </c>
      <c r="DA77">
        <v>0</v>
      </c>
      <c r="DB77">
        <v>0</v>
      </c>
      <c r="DC77">
        <v>130</v>
      </c>
      <c r="DD77">
        <v>0</v>
      </c>
      <c r="DE77">
        <v>0</v>
      </c>
      <c r="DF77">
        <v>0</v>
      </c>
      <c r="DG77">
        <v>0</v>
      </c>
      <c r="DH77">
        <v>0</v>
      </c>
      <c r="DI77">
        <v>0</v>
      </c>
      <c r="DJ77">
        <v>0</v>
      </c>
      <c r="DK77">
        <v>0</v>
      </c>
      <c r="DL77">
        <v>66</v>
      </c>
      <c r="DM77">
        <v>0</v>
      </c>
      <c r="DN77">
        <v>0</v>
      </c>
      <c r="DO77">
        <v>8858</v>
      </c>
      <c r="DP77">
        <v>8924</v>
      </c>
      <c r="DQ77">
        <v>0</v>
      </c>
      <c r="DR77">
        <v>0</v>
      </c>
      <c r="DS77">
        <v>0</v>
      </c>
      <c r="DT77">
        <v>7067</v>
      </c>
      <c r="DU77">
        <v>0</v>
      </c>
      <c r="DV77">
        <v>1513</v>
      </c>
      <c r="DW77">
        <v>0</v>
      </c>
      <c r="DX77">
        <v>17634</v>
      </c>
      <c r="DY77">
        <v>97721</v>
      </c>
      <c r="DZ77">
        <v>2757</v>
      </c>
      <c r="EA77">
        <v>9178</v>
      </c>
      <c r="EB77">
        <v>28134</v>
      </c>
      <c r="EC77">
        <v>0</v>
      </c>
      <c r="ED77">
        <v>1</v>
      </c>
      <c r="EE77">
        <v>171</v>
      </c>
      <c r="EF77">
        <v>0</v>
      </c>
      <c r="EG77">
        <v>0</v>
      </c>
      <c r="EH77">
        <v>26632</v>
      </c>
      <c r="EI77">
        <v>24357</v>
      </c>
      <c r="EJ77">
        <v>3964</v>
      </c>
      <c r="EK77">
        <v>184</v>
      </c>
      <c r="EL77">
        <v>1</v>
      </c>
      <c r="EM77">
        <v>33182</v>
      </c>
      <c r="EN77">
        <v>400</v>
      </c>
      <c r="EO77">
        <v>26</v>
      </c>
      <c r="EP77">
        <v>12959</v>
      </c>
      <c r="EQ77">
        <v>0</v>
      </c>
      <c r="ER77">
        <v>87</v>
      </c>
      <c r="ES77">
        <v>9930</v>
      </c>
      <c r="ET77">
        <v>46100</v>
      </c>
      <c r="EU77">
        <v>0</v>
      </c>
      <c r="EV77">
        <v>319</v>
      </c>
      <c r="EW77">
        <v>193</v>
      </c>
      <c r="EX77">
        <v>1601</v>
      </c>
      <c r="EY77">
        <v>767</v>
      </c>
      <c r="EZ77">
        <v>790</v>
      </c>
      <c r="FA77">
        <v>0</v>
      </c>
      <c r="FB77">
        <v>301</v>
      </c>
      <c r="FC77">
        <v>1957</v>
      </c>
      <c r="FD77">
        <v>1513</v>
      </c>
      <c r="FE77">
        <v>9</v>
      </c>
      <c r="FF77">
        <v>74</v>
      </c>
      <c r="FG77">
        <v>3586</v>
      </c>
      <c r="FH77">
        <v>11110</v>
      </c>
      <c r="FI77">
        <v>-1147</v>
      </c>
      <c r="FJ77">
        <v>399</v>
      </c>
      <c r="FK77">
        <v>0</v>
      </c>
      <c r="FL77">
        <v>550</v>
      </c>
      <c r="FM77">
        <v>608</v>
      </c>
      <c r="FN77">
        <v>1138</v>
      </c>
      <c r="FO77">
        <v>103</v>
      </c>
      <c r="FP77">
        <v>0</v>
      </c>
      <c r="FQ77">
        <v>0</v>
      </c>
      <c r="FR77">
        <v>52</v>
      </c>
      <c r="FS77">
        <v>77</v>
      </c>
      <c r="FT77">
        <v>124</v>
      </c>
      <c r="FU77">
        <v>18</v>
      </c>
      <c r="FV77">
        <v>5578</v>
      </c>
      <c r="FW77">
        <v>0</v>
      </c>
      <c r="FX77">
        <v>840</v>
      </c>
      <c r="FY77">
        <v>157</v>
      </c>
      <c r="FZ77">
        <v>0</v>
      </c>
      <c r="GA77">
        <v>0</v>
      </c>
      <c r="GB77">
        <v>0</v>
      </c>
      <c r="GC77">
        <v>0</v>
      </c>
      <c r="GD77">
        <v>10905</v>
      </c>
      <c r="GE77">
        <v>5362</v>
      </c>
      <c r="GF77">
        <v>7222</v>
      </c>
      <c r="GG77">
        <v>-3622</v>
      </c>
      <c r="GH77">
        <v>1775</v>
      </c>
      <c r="GI77">
        <v>0</v>
      </c>
      <c r="GJ77">
        <v>41060</v>
      </c>
      <c r="GK77">
        <v>71199</v>
      </c>
      <c r="GL77">
        <v>59</v>
      </c>
      <c r="GM77">
        <v>1279</v>
      </c>
      <c r="GN77">
        <v>0</v>
      </c>
      <c r="GO77">
        <v>-1046</v>
      </c>
      <c r="GP77">
        <v>0</v>
      </c>
      <c r="GQ77">
        <v>15804</v>
      </c>
      <c r="GR77">
        <v>0</v>
      </c>
      <c r="GS77">
        <v>-4478</v>
      </c>
      <c r="GT77">
        <v>2332</v>
      </c>
      <c r="GU77">
        <v>13950</v>
      </c>
      <c r="GV77">
        <v>96259</v>
      </c>
      <c r="GW77">
        <v>0</v>
      </c>
      <c r="GX77">
        <v>0</v>
      </c>
      <c r="GY77">
        <v>0</v>
      </c>
      <c r="GZ77">
        <v>0</v>
      </c>
      <c r="HA77">
        <v>0</v>
      </c>
      <c r="HB77">
        <v>11625</v>
      </c>
      <c r="HC77">
        <v>195</v>
      </c>
      <c r="HD77">
        <v>0</v>
      </c>
      <c r="HE77">
        <v>0</v>
      </c>
      <c r="HF77">
        <v>0</v>
      </c>
      <c r="HG77">
        <v>114</v>
      </c>
      <c r="HH77">
        <v>0</v>
      </c>
      <c r="HI77">
        <v>-321</v>
      </c>
      <c r="HJ77">
        <v>386</v>
      </c>
      <c r="HK77">
        <v>420</v>
      </c>
      <c r="HL77">
        <v>460</v>
      </c>
      <c r="HM77">
        <v>-203</v>
      </c>
      <c r="HN77">
        <v>0</v>
      </c>
      <c r="HO77">
        <v>0</v>
      </c>
      <c r="HP77">
        <v>1599</v>
      </c>
      <c r="HQ77">
        <v>0</v>
      </c>
      <c r="HR77">
        <v>7606</v>
      </c>
      <c r="HS77">
        <v>0</v>
      </c>
      <c r="HT77">
        <v>0</v>
      </c>
      <c r="HU77">
        <v>3767</v>
      </c>
      <c r="HV77">
        <v>25648</v>
      </c>
      <c r="HW77">
        <v>6289</v>
      </c>
      <c r="HX77">
        <v>28248</v>
      </c>
      <c r="HY77">
        <v>0</v>
      </c>
      <c r="HZ77">
        <v>0</v>
      </c>
      <c r="IA77">
        <v>2839</v>
      </c>
      <c r="IB77">
        <v>5869</v>
      </c>
      <c r="IC77">
        <v>124855</v>
      </c>
      <c r="ID77">
        <v>41290</v>
      </c>
      <c r="IE77">
        <v>91126</v>
      </c>
      <c r="IF77">
        <v>112406</v>
      </c>
      <c r="IG77">
        <v>37950</v>
      </c>
      <c r="IH77">
        <v>17634</v>
      </c>
      <c r="II77">
        <v>11110</v>
      </c>
      <c r="IJ77">
        <v>71199</v>
      </c>
      <c r="IK77">
        <v>13950</v>
      </c>
      <c r="IL77">
        <v>0</v>
      </c>
      <c r="IM77">
        <v>0</v>
      </c>
      <c r="IN77">
        <v>25648</v>
      </c>
      <c r="IO77">
        <v>5869</v>
      </c>
      <c r="IP77">
        <v>553037</v>
      </c>
      <c r="IQ77">
        <v>65760</v>
      </c>
      <c r="IR77">
        <v>0</v>
      </c>
      <c r="IS77">
        <v>42689</v>
      </c>
      <c r="IT77">
        <v>0</v>
      </c>
      <c r="IU77">
        <v>0</v>
      </c>
      <c r="IV77">
        <v>0</v>
      </c>
      <c r="IW77">
        <v>0</v>
      </c>
      <c r="IX77">
        <v>0</v>
      </c>
      <c r="IY77">
        <v>0</v>
      </c>
      <c r="IZ77">
        <v>0</v>
      </c>
      <c r="JA77">
        <v>-11334</v>
      </c>
      <c r="JB77">
        <v>66</v>
      </c>
      <c r="JC77">
        <v>0</v>
      </c>
      <c r="JD77">
        <v>0</v>
      </c>
      <c r="JE77">
        <v>0</v>
      </c>
      <c r="JF77">
        <v>0</v>
      </c>
      <c r="JG77">
        <v>650218</v>
      </c>
      <c r="JH77">
        <v>79</v>
      </c>
      <c r="JI77">
        <v>0</v>
      </c>
      <c r="JJ77">
        <v>0</v>
      </c>
      <c r="JK77">
        <v>0</v>
      </c>
      <c r="JL77">
        <v>0</v>
      </c>
      <c r="JM77">
        <v>-12651</v>
      </c>
      <c r="JN77">
        <v>31091</v>
      </c>
      <c r="JO77">
        <v>96</v>
      </c>
      <c r="JP77">
        <v>31647</v>
      </c>
      <c r="JQ77">
        <v>-12986</v>
      </c>
      <c r="JR77">
        <v>687494</v>
      </c>
      <c r="JS77">
        <v>-5998</v>
      </c>
      <c r="JT77">
        <v>27501</v>
      </c>
      <c r="JU77">
        <v>0</v>
      </c>
      <c r="JV77">
        <v>0</v>
      </c>
      <c r="JW77">
        <v>-107416</v>
      </c>
      <c r="JX77">
        <v>0</v>
      </c>
      <c r="JY77">
        <v>0</v>
      </c>
      <c r="JZ77">
        <v>0</v>
      </c>
      <c r="KA77">
        <v>0</v>
      </c>
      <c r="KB77">
        <v>0</v>
      </c>
      <c r="KC77">
        <v>601581</v>
      </c>
      <c r="KD77">
        <v>0</v>
      </c>
      <c r="KE77">
        <v>-376202</v>
      </c>
      <c r="KF77">
        <v>225379</v>
      </c>
      <c r="KG77">
        <v>0</v>
      </c>
      <c r="KH77">
        <v>5014</v>
      </c>
      <c r="KI77">
        <v>356</v>
      </c>
      <c r="KJ77">
        <v>1156</v>
      </c>
      <c r="KK77">
        <v>28203</v>
      </c>
      <c r="KL77">
        <v>-34957</v>
      </c>
      <c r="KM77">
        <v>-25887</v>
      </c>
      <c r="KN77">
        <v>0</v>
      </c>
      <c r="KO77">
        <v>-85187</v>
      </c>
      <c r="KP77">
        <v>-35</v>
      </c>
      <c r="KQ77">
        <v>58618</v>
      </c>
      <c r="KR77">
        <v>126056</v>
      </c>
      <c r="KS77">
        <v>9997</v>
      </c>
      <c r="KT77">
        <v>8346</v>
      </c>
      <c r="KU77">
        <v>845</v>
      </c>
      <c r="KV77">
        <v>136448</v>
      </c>
      <c r="KW77">
        <v>47600</v>
      </c>
      <c r="KX77">
        <v>15011</v>
      </c>
      <c r="KY77">
        <v>8702</v>
      </c>
      <c r="KZ77">
        <v>2001</v>
      </c>
      <c r="LA77">
        <v>164651</v>
      </c>
      <c r="LB77">
        <v>12643</v>
      </c>
      <c r="LC77">
        <v>0</v>
      </c>
      <c r="LD77">
        <v>0</v>
      </c>
      <c r="LE77">
        <v>0</v>
      </c>
      <c r="LF77">
        <v>0</v>
      </c>
      <c r="LG77">
        <v>0</v>
      </c>
      <c r="LH77">
        <v>0</v>
      </c>
      <c r="LI77">
        <v>0</v>
      </c>
      <c r="LJ77">
        <v>10000</v>
      </c>
      <c r="LK77">
        <v>20000</v>
      </c>
      <c r="LL77">
        <v>30000</v>
      </c>
      <c r="LM77">
        <v>0</v>
      </c>
      <c r="LN77">
        <v>0</v>
      </c>
      <c r="LO77">
        <v>0</v>
      </c>
      <c r="LP77">
        <v>137962</v>
      </c>
      <c r="LQ77">
        <v>101792</v>
      </c>
      <c r="LR77">
        <v>36170</v>
      </c>
      <c r="LS77">
        <v>9930</v>
      </c>
      <c r="LT77">
        <v>46100</v>
      </c>
      <c r="LU77">
        <v>124855</v>
      </c>
      <c r="LV77">
        <v>41290</v>
      </c>
      <c r="LW77">
        <v>91126</v>
      </c>
      <c r="LX77">
        <v>112406</v>
      </c>
      <c r="LY77">
        <v>37950</v>
      </c>
      <c r="LZ77">
        <v>17634</v>
      </c>
      <c r="MA77">
        <v>11110</v>
      </c>
      <c r="MB77">
        <v>71199</v>
      </c>
      <c r="MC77">
        <v>13950</v>
      </c>
      <c r="MD77">
        <v>0</v>
      </c>
      <c r="ME77">
        <v>0</v>
      </c>
      <c r="MF77">
        <v>25648</v>
      </c>
      <c r="MG77">
        <v>5869</v>
      </c>
      <c r="MH77">
        <v>553037</v>
      </c>
      <c r="MI77">
        <v>0</v>
      </c>
      <c r="MJ77">
        <v>0</v>
      </c>
      <c r="MK77">
        <v>0</v>
      </c>
      <c r="ML77">
        <v>0</v>
      </c>
      <c r="MM77">
        <v>0</v>
      </c>
      <c r="MN77">
        <v>0</v>
      </c>
      <c r="MO77">
        <v>0</v>
      </c>
      <c r="MP77">
        <v>0</v>
      </c>
      <c r="MQ77">
        <v>0</v>
      </c>
      <c r="MR77">
        <v>0</v>
      </c>
      <c r="MS77">
        <v>0</v>
      </c>
      <c r="MT77">
        <v>0</v>
      </c>
      <c r="MU77">
        <v>0</v>
      </c>
      <c r="MV77">
        <v>0</v>
      </c>
      <c r="MW77">
        <v>0</v>
      </c>
      <c r="MX77">
        <v>0</v>
      </c>
      <c r="MY77">
        <v>-11318</v>
      </c>
      <c r="MZ77">
        <v>0</v>
      </c>
      <c r="NA77">
        <v>-11334</v>
      </c>
      <c r="NB77">
        <v>0</v>
      </c>
      <c r="NC77">
        <v>-11334</v>
      </c>
      <c r="ND77">
        <v>0</v>
      </c>
      <c r="NE77">
        <v>0</v>
      </c>
      <c r="NF77">
        <v>0</v>
      </c>
      <c r="NG77">
        <v>0</v>
      </c>
      <c r="NH77">
        <v>0</v>
      </c>
      <c r="NI77">
        <v>0</v>
      </c>
      <c r="NJ77">
        <v>0</v>
      </c>
      <c r="NK77">
        <v>0</v>
      </c>
      <c r="NL77">
        <v>0</v>
      </c>
      <c r="NM77">
        <v>0</v>
      </c>
      <c r="NN77">
        <v>15</v>
      </c>
      <c r="NO77">
        <v>0</v>
      </c>
      <c r="NP77">
        <v>212</v>
      </c>
      <c r="NQ77">
        <v>-179</v>
      </c>
      <c r="NR77">
        <v>343</v>
      </c>
      <c r="NS77">
        <v>0</v>
      </c>
      <c r="NT77">
        <v>-325</v>
      </c>
      <c r="NU77">
        <v>0</v>
      </c>
      <c r="NV77">
        <v>0</v>
      </c>
      <c r="NW77">
        <v>0</v>
      </c>
      <c r="NX77">
        <v>0</v>
      </c>
      <c r="NY77">
        <v>0</v>
      </c>
      <c r="NZ77">
        <v>66</v>
      </c>
      <c r="OA77">
        <v>0</v>
      </c>
      <c r="OB77">
        <v>66</v>
      </c>
      <c r="OC77">
        <v>0</v>
      </c>
      <c r="OD77">
        <v>0</v>
      </c>
      <c r="OE77">
        <v>0</v>
      </c>
      <c r="OF77">
        <v>0</v>
      </c>
      <c r="OG77">
        <v>0</v>
      </c>
      <c r="OH77">
        <v>0</v>
      </c>
      <c r="OI77">
        <v>0</v>
      </c>
      <c r="OJ77">
        <v>0</v>
      </c>
      <c r="OK77">
        <v>0</v>
      </c>
      <c r="OL77">
        <v>0</v>
      </c>
      <c r="OM77">
        <v>0</v>
      </c>
      <c r="ON77">
        <v>0</v>
      </c>
    </row>
    <row r="78" spans="1:404" x14ac:dyDescent="0.25">
      <c r="A78" t="s">
        <v>297</v>
      </c>
      <c r="B78" t="s">
        <v>298</v>
      </c>
      <c r="C78" t="s">
        <v>5417</v>
      </c>
      <c r="E78" t="s">
        <v>5408</v>
      </c>
      <c r="F78">
        <v>0</v>
      </c>
      <c r="G78">
        <v>0</v>
      </c>
      <c r="H78">
        <v>0</v>
      </c>
      <c r="I78">
        <v>0</v>
      </c>
      <c r="J78">
        <v>0</v>
      </c>
      <c r="K78">
        <v>0</v>
      </c>
      <c r="L78">
        <v>0</v>
      </c>
      <c r="M78">
        <v>0</v>
      </c>
      <c r="N78">
        <v>0</v>
      </c>
      <c r="O78">
        <v>0</v>
      </c>
      <c r="P78">
        <v>0</v>
      </c>
      <c r="Q78">
        <v>0</v>
      </c>
      <c r="R78">
        <v>0</v>
      </c>
      <c r="S78">
        <v>0</v>
      </c>
      <c r="T78">
        <v>0</v>
      </c>
      <c r="U78">
        <v>0</v>
      </c>
      <c r="V78">
        <v>0</v>
      </c>
      <c r="W78">
        <v>0</v>
      </c>
      <c r="X78">
        <v>0</v>
      </c>
      <c r="Y78">
        <v>0</v>
      </c>
      <c r="Z78">
        <v>0</v>
      </c>
      <c r="AA78">
        <v>0</v>
      </c>
      <c r="AB78">
        <v>0</v>
      </c>
      <c r="AC78">
        <v>0</v>
      </c>
      <c r="AD78">
        <v>0</v>
      </c>
      <c r="AE78">
        <v>0</v>
      </c>
      <c r="AF78">
        <v>0</v>
      </c>
      <c r="AG78">
        <v>0</v>
      </c>
      <c r="AH78">
        <v>0</v>
      </c>
      <c r="AI78">
        <v>0</v>
      </c>
      <c r="AJ78">
        <v>0</v>
      </c>
      <c r="AK78">
        <v>0</v>
      </c>
      <c r="AL78">
        <v>0</v>
      </c>
      <c r="AM78">
        <v>0</v>
      </c>
      <c r="AN78">
        <v>0</v>
      </c>
      <c r="AO78">
        <v>0</v>
      </c>
      <c r="AP78">
        <v>0</v>
      </c>
      <c r="AQ78">
        <v>0</v>
      </c>
      <c r="AR78">
        <v>0</v>
      </c>
      <c r="AS78">
        <v>0</v>
      </c>
      <c r="AT78">
        <v>0</v>
      </c>
      <c r="AU78">
        <v>0</v>
      </c>
      <c r="AV78">
        <v>0</v>
      </c>
      <c r="AW78">
        <v>0</v>
      </c>
      <c r="AX78">
        <v>0</v>
      </c>
      <c r="AY78">
        <v>0</v>
      </c>
      <c r="AZ78">
        <v>0</v>
      </c>
      <c r="BA78">
        <v>0</v>
      </c>
      <c r="BB78">
        <v>0</v>
      </c>
      <c r="BC78">
        <v>0</v>
      </c>
      <c r="BD78">
        <v>0</v>
      </c>
      <c r="BE78">
        <v>0</v>
      </c>
      <c r="BF78">
        <v>0</v>
      </c>
      <c r="BG78">
        <v>0</v>
      </c>
      <c r="BH78">
        <v>0</v>
      </c>
      <c r="BI78">
        <v>0</v>
      </c>
      <c r="BJ78">
        <v>0</v>
      </c>
      <c r="BK78">
        <v>0</v>
      </c>
      <c r="BL78">
        <v>0</v>
      </c>
      <c r="BM78">
        <v>0</v>
      </c>
      <c r="BN78">
        <v>0</v>
      </c>
      <c r="BO78">
        <v>0</v>
      </c>
      <c r="BP78">
        <v>0</v>
      </c>
      <c r="BQ78">
        <v>0</v>
      </c>
      <c r="BR78">
        <v>0</v>
      </c>
      <c r="BS78">
        <v>0</v>
      </c>
      <c r="BT78">
        <v>0</v>
      </c>
      <c r="BU78">
        <v>0</v>
      </c>
      <c r="BV78">
        <v>0</v>
      </c>
      <c r="BW78">
        <v>0</v>
      </c>
      <c r="BX78">
        <v>0</v>
      </c>
      <c r="BY78">
        <v>0</v>
      </c>
      <c r="BZ78">
        <v>0</v>
      </c>
      <c r="CA78">
        <v>0</v>
      </c>
      <c r="CB78">
        <v>0</v>
      </c>
      <c r="CC78">
        <v>0</v>
      </c>
      <c r="CD78">
        <v>0</v>
      </c>
      <c r="CE78">
        <v>0</v>
      </c>
      <c r="CF78">
        <v>0</v>
      </c>
      <c r="CG78">
        <v>0</v>
      </c>
      <c r="CH78">
        <v>0</v>
      </c>
      <c r="CI78">
        <v>0</v>
      </c>
      <c r="CJ78">
        <v>0</v>
      </c>
      <c r="CK78">
        <v>0</v>
      </c>
      <c r="CL78">
        <v>0</v>
      </c>
      <c r="CM78">
        <v>0</v>
      </c>
      <c r="CN78">
        <v>0</v>
      </c>
      <c r="CO78">
        <v>0</v>
      </c>
      <c r="CP78">
        <v>0</v>
      </c>
      <c r="CQ78">
        <v>0</v>
      </c>
      <c r="CR78">
        <v>0</v>
      </c>
      <c r="CS78">
        <v>0</v>
      </c>
      <c r="CT78">
        <v>0</v>
      </c>
      <c r="CU78">
        <v>0</v>
      </c>
      <c r="CV78">
        <v>0</v>
      </c>
      <c r="CW78">
        <v>0</v>
      </c>
      <c r="CX78">
        <v>0</v>
      </c>
      <c r="CY78">
        <v>0</v>
      </c>
      <c r="CZ78">
        <v>0</v>
      </c>
      <c r="DA78">
        <v>0</v>
      </c>
      <c r="DB78">
        <v>0</v>
      </c>
      <c r="DC78">
        <v>0</v>
      </c>
      <c r="DD78">
        <v>0</v>
      </c>
      <c r="DE78">
        <v>0</v>
      </c>
      <c r="DF78">
        <v>0</v>
      </c>
      <c r="DG78">
        <v>0</v>
      </c>
      <c r="DH78">
        <v>0</v>
      </c>
      <c r="DI78">
        <v>0</v>
      </c>
      <c r="DJ78">
        <v>0</v>
      </c>
      <c r="DK78">
        <v>0</v>
      </c>
      <c r="DL78">
        <v>0</v>
      </c>
      <c r="DM78">
        <v>0</v>
      </c>
      <c r="DN78">
        <v>0</v>
      </c>
      <c r="DO78">
        <v>0</v>
      </c>
      <c r="DP78">
        <v>0</v>
      </c>
      <c r="DQ78">
        <v>0</v>
      </c>
      <c r="DR78">
        <v>0</v>
      </c>
      <c r="DS78">
        <v>0</v>
      </c>
      <c r="DT78">
        <v>0</v>
      </c>
      <c r="DU78">
        <v>0</v>
      </c>
      <c r="DV78">
        <v>0</v>
      </c>
      <c r="DW78">
        <v>0</v>
      </c>
      <c r="DX78">
        <v>0</v>
      </c>
      <c r="DY78">
        <v>0</v>
      </c>
      <c r="DZ78">
        <v>0</v>
      </c>
      <c r="EA78">
        <v>0</v>
      </c>
      <c r="EB78">
        <v>0</v>
      </c>
      <c r="EC78">
        <v>0</v>
      </c>
      <c r="ED78">
        <v>0</v>
      </c>
      <c r="EE78">
        <v>0</v>
      </c>
      <c r="EF78">
        <v>0</v>
      </c>
      <c r="EG78">
        <v>0</v>
      </c>
      <c r="EH78">
        <v>0</v>
      </c>
      <c r="EI78">
        <v>0</v>
      </c>
      <c r="EJ78">
        <v>0</v>
      </c>
      <c r="EK78">
        <v>0</v>
      </c>
      <c r="EL78">
        <v>0</v>
      </c>
      <c r="EM78">
        <v>0</v>
      </c>
      <c r="EN78">
        <v>0</v>
      </c>
      <c r="EO78">
        <v>0</v>
      </c>
      <c r="EP78">
        <v>0</v>
      </c>
      <c r="EQ78">
        <v>0</v>
      </c>
      <c r="ER78">
        <v>0</v>
      </c>
      <c r="ES78">
        <v>0</v>
      </c>
      <c r="ET78">
        <v>0</v>
      </c>
      <c r="EU78">
        <v>0</v>
      </c>
      <c r="EV78">
        <v>0</v>
      </c>
      <c r="EW78">
        <v>0</v>
      </c>
      <c r="EX78">
        <v>0</v>
      </c>
      <c r="EY78">
        <v>0</v>
      </c>
      <c r="EZ78">
        <v>0</v>
      </c>
      <c r="FA78">
        <v>0</v>
      </c>
      <c r="FB78">
        <v>0</v>
      </c>
      <c r="FC78">
        <v>0</v>
      </c>
      <c r="FD78">
        <v>0</v>
      </c>
      <c r="FE78">
        <v>0</v>
      </c>
      <c r="FF78">
        <v>0</v>
      </c>
      <c r="FG78">
        <v>0</v>
      </c>
      <c r="FH78">
        <v>0</v>
      </c>
      <c r="FI78">
        <v>0</v>
      </c>
      <c r="FJ78">
        <v>0</v>
      </c>
      <c r="FK78">
        <v>0</v>
      </c>
      <c r="FL78">
        <v>0</v>
      </c>
      <c r="FM78">
        <v>0</v>
      </c>
      <c r="FN78">
        <v>0</v>
      </c>
      <c r="FO78">
        <v>0</v>
      </c>
      <c r="FP78">
        <v>0</v>
      </c>
      <c r="FQ78">
        <v>0</v>
      </c>
      <c r="FR78">
        <v>0</v>
      </c>
      <c r="FS78">
        <v>0</v>
      </c>
      <c r="FT78">
        <v>0</v>
      </c>
      <c r="FU78">
        <v>0</v>
      </c>
      <c r="FV78">
        <v>0</v>
      </c>
      <c r="FW78">
        <v>0</v>
      </c>
      <c r="FX78">
        <v>0</v>
      </c>
      <c r="FY78">
        <v>0</v>
      </c>
      <c r="FZ78">
        <v>0</v>
      </c>
      <c r="GA78">
        <v>0</v>
      </c>
      <c r="GB78">
        <v>0</v>
      </c>
      <c r="GC78">
        <v>0</v>
      </c>
      <c r="GD78">
        <v>0</v>
      </c>
      <c r="GE78">
        <v>0</v>
      </c>
      <c r="GF78">
        <v>0</v>
      </c>
      <c r="GG78">
        <v>0</v>
      </c>
      <c r="GH78">
        <v>0</v>
      </c>
      <c r="GI78">
        <v>0</v>
      </c>
      <c r="GJ78">
        <v>0</v>
      </c>
      <c r="GK78">
        <v>0</v>
      </c>
      <c r="GL78">
        <v>0</v>
      </c>
      <c r="GM78">
        <v>0</v>
      </c>
      <c r="GN78">
        <v>0</v>
      </c>
      <c r="GO78">
        <v>0</v>
      </c>
      <c r="GP78">
        <v>0</v>
      </c>
      <c r="GQ78">
        <v>0</v>
      </c>
      <c r="GR78">
        <v>0</v>
      </c>
      <c r="GS78">
        <v>0</v>
      </c>
      <c r="GT78">
        <v>0</v>
      </c>
      <c r="GU78">
        <v>0</v>
      </c>
      <c r="GV78">
        <v>0</v>
      </c>
      <c r="GW78">
        <v>0</v>
      </c>
      <c r="GX78">
        <v>3671</v>
      </c>
      <c r="GY78">
        <v>24452</v>
      </c>
      <c r="GZ78">
        <v>48</v>
      </c>
      <c r="HA78">
        <v>28171</v>
      </c>
      <c r="HB78">
        <v>135</v>
      </c>
      <c r="HC78">
        <v>0</v>
      </c>
      <c r="HD78">
        <v>0</v>
      </c>
      <c r="HE78">
        <v>0</v>
      </c>
      <c r="HF78">
        <v>0</v>
      </c>
      <c r="HG78">
        <v>0</v>
      </c>
      <c r="HH78">
        <v>0</v>
      </c>
      <c r="HI78">
        <v>0</v>
      </c>
      <c r="HJ78">
        <v>0</v>
      </c>
      <c r="HK78">
        <v>0</v>
      </c>
      <c r="HL78">
        <v>0</v>
      </c>
      <c r="HM78">
        <v>0</v>
      </c>
      <c r="HN78">
        <v>0</v>
      </c>
      <c r="HO78">
        <v>0</v>
      </c>
      <c r="HP78">
        <v>0</v>
      </c>
      <c r="HQ78">
        <v>0</v>
      </c>
      <c r="HR78">
        <v>0</v>
      </c>
      <c r="HS78">
        <v>0</v>
      </c>
      <c r="HT78">
        <v>0</v>
      </c>
      <c r="HU78">
        <v>0</v>
      </c>
      <c r="HV78">
        <v>135</v>
      </c>
      <c r="HW78">
        <v>0</v>
      </c>
      <c r="HX78">
        <v>0</v>
      </c>
      <c r="HY78">
        <v>0</v>
      </c>
      <c r="HZ78">
        <v>0</v>
      </c>
      <c r="IA78">
        <v>0</v>
      </c>
      <c r="IB78">
        <v>0</v>
      </c>
      <c r="IC78">
        <v>0</v>
      </c>
      <c r="ID78">
        <v>0</v>
      </c>
      <c r="IE78">
        <v>0</v>
      </c>
      <c r="IF78">
        <v>0</v>
      </c>
      <c r="IG78">
        <v>0</v>
      </c>
      <c r="IH78">
        <v>0</v>
      </c>
      <c r="II78">
        <v>0</v>
      </c>
      <c r="IJ78">
        <v>0</v>
      </c>
      <c r="IK78">
        <v>0</v>
      </c>
      <c r="IL78">
        <v>0</v>
      </c>
      <c r="IM78">
        <v>28171</v>
      </c>
      <c r="IN78">
        <v>135</v>
      </c>
      <c r="IO78">
        <v>0</v>
      </c>
      <c r="IP78">
        <v>28306</v>
      </c>
      <c r="IQ78">
        <v>0</v>
      </c>
      <c r="IR78">
        <v>0</v>
      </c>
      <c r="IS78">
        <v>0</v>
      </c>
      <c r="IT78">
        <v>0</v>
      </c>
      <c r="IU78">
        <v>0</v>
      </c>
      <c r="IV78">
        <v>0</v>
      </c>
      <c r="IW78">
        <v>0</v>
      </c>
      <c r="IX78">
        <v>0</v>
      </c>
      <c r="IY78">
        <v>0</v>
      </c>
      <c r="IZ78">
        <v>0</v>
      </c>
      <c r="JA78">
        <v>0</v>
      </c>
      <c r="JB78">
        <v>0</v>
      </c>
      <c r="JC78">
        <v>0</v>
      </c>
      <c r="JD78">
        <v>0</v>
      </c>
      <c r="JE78">
        <v>-15</v>
      </c>
      <c r="JF78">
        <v>0</v>
      </c>
      <c r="JG78">
        <v>28291</v>
      </c>
      <c r="JH78">
        <v>0</v>
      </c>
      <c r="JI78">
        <v>325</v>
      </c>
      <c r="JJ78">
        <v>0</v>
      </c>
      <c r="JK78">
        <v>0</v>
      </c>
      <c r="JL78">
        <v>0</v>
      </c>
      <c r="JM78">
        <v>0</v>
      </c>
      <c r="JN78">
        <v>794</v>
      </c>
      <c r="JO78">
        <v>0</v>
      </c>
      <c r="JP78">
        <v>284</v>
      </c>
      <c r="JQ78">
        <v>0</v>
      </c>
      <c r="JR78">
        <v>29694</v>
      </c>
      <c r="JS78">
        <v>-9</v>
      </c>
      <c r="JT78">
        <v>0</v>
      </c>
      <c r="JU78">
        <v>0</v>
      </c>
      <c r="JV78">
        <v>0</v>
      </c>
      <c r="JW78">
        <v>0</v>
      </c>
      <c r="JX78">
        <v>0</v>
      </c>
      <c r="JY78">
        <v>0</v>
      </c>
      <c r="JZ78">
        <v>0</v>
      </c>
      <c r="KA78">
        <v>0</v>
      </c>
      <c r="KB78">
        <v>0</v>
      </c>
      <c r="KC78">
        <v>29685</v>
      </c>
      <c r="KD78">
        <v>0</v>
      </c>
      <c r="KE78">
        <v>-2130</v>
      </c>
      <c r="KF78">
        <v>27555</v>
      </c>
      <c r="KG78">
        <v>0</v>
      </c>
      <c r="KH78">
        <v>0</v>
      </c>
      <c r="KI78">
        <v>0</v>
      </c>
      <c r="KJ78">
        <v>0</v>
      </c>
      <c r="KK78">
        <v>496</v>
      </c>
      <c r="KL78">
        <v>0</v>
      </c>
      <c r="KM78">
        <v>-5354</v>
      </c>
      <c r="KN78">
        <v>0</v>
      </c>
      <c r="KO78">
        <v>-9134</v>
      </c>
      <c r="KP78">
        <v>-118</v>
      </c>
      <c r="KQ78">
        <v>0</v>
      </c>
      <c r="KR78">
        <v>12540</v>
      </c>
      <c r="KS78">
        <v>0</v>
      </c>
      <c r="KT78">
        <v>0</v>
      </c>
      <c r="KU78">
        <v>0</v>
      </c>
      <c r="KV78">
        <v>10507</v>
      </c>
      <c r="KW78">
        <v>1552</v>
      </c>
      <c r="KX78">
        <v>0</v>
      </c>
      <c r="KY78">
        <v>0</v>
      </c>
      <c r="KZ78">
        <v>0</v>
      </c>
      <c r="LA78">
        <v>11003</v>
      </c>
      <c r="LB78">
        <v>1552</v>
      </c>
      <c r="LC78">
        <v>0</v>
      </c>
      <c r="LD78">
        <v>1320</v>
      </c>
      <c r="LE78">
        <v>0</v>
      </c>
      <c r="LF78">
        <v>92</v>
      </c>
      <c r="LG78">
        <v>0</v>
      </c>
      <c r="LH78">
        <v>0</v>
      </c>
      <c r="LI78">
        <v>1292</v>
      </c>
      <c r="LJ78">
        <v>0</v>
      </c>
      <c r="LK78">
        <v>0</v>
      </c>
      <c r="LL78">
        <v>0</v>
      </c>
      <c r="LM78">
        <v>0</v>
      </c>
      <c r="LN78">
        <v>0</v>
      </c>
      <c r="LO78">
        <v>0</v>
      </c>
      <c r="LP78">
        <v>0</v>
      </c>
      <c r="LQ78">
        <v>0</v>
      </c>
      <c r="LR78">
        <v>0</v>
      </c>
      <c r="LS78">
        <v>0</v>
      </c>
      <c r="LT78">
        <v>0</v>
      </c>
      <c r="LU78">
        <v>0</v>
      </c>
      <c r="LV78">
        <v>0</v>
      </c>
      <c r="LW78">
        <v>0</v>
      </c>
      <c r="LX78">
        <v>0</v>
      </c>
      <c r="LY78">
        <v>0</v>
      </c>
      <c r="LZ78">
        <v>0</v>
      </c>
      <c r="MA78">
        <v>0</v>
      </c>
      <c r="MB78">
        <v>0</v>
      </c>
      <c r="MC78">
        <v>0</v>
      </c>
      <c r="MD78">
        <v>0</v>
      </c>
      <c r="ME78">
        <v>28171</v>
      </c>
      <c r="MF78">
        <v>135</v>
      </c>
      <c r="MG78">
        <v>0</v>
      </c>
      <c r="MH78">
        <v>28306</v>
      </c>
      <c r="MI78">
        <v>0</v>
      </c>
      <c r="MJ78">
        <v>0</v>
      </c>
      <c r="MK78">
        <v>0</v>
      </c>
      <c r="ML78">
        <v>0</v>
      </c>
      <c r="MM78">
        <v>0</v>
      </c>
      <c r="MN78">
        <v>0</v>
      </c>
      <c r="MO78">
        <v>0</v>
      </c>
      <c r="MP78">
        <v>0</v>
      </c>
      <c r="MQ78">
        <v>0</v>
      </c>
      <c r="MR78">
        <v>0</v>
      </c>
      <c r="MS78">
        <v>0</v>
      </c>
      <c r="MT78">
        <v>0</v>
      </c>
      <c r="MU78">
        <v>0</v>
      </c>
      <c r="MV78">
        <v>0</v>
      </c>
      <c r="MW78">
        <v>0</v>
      </c>
      <c r="MX78">
        <v>0</v>
      </c>
      <c r="MY78">
        <v>0</v>
      </c>
      <c r="MZ78">
        <v>0</v>
      </c>
      <c r="NA78">
        <v>0</v>
      </c>
      <c r="NB78">
        <v>0</v>
      </c>
      <c r="NC78">
        <v>0</v>
      </c>
      <c r="ND78">
        <v>0</v>
      </c>
      <c r="NE78">
        <v>0</v>
      </c>
      <c r="NF78">
        <v>0</v>
      </c>
      <c r="NG78">
        <v>0</v>
      </c>
      <c r="NH78">
        <v>0</v>
      </c>
      <c r="NI78">
        <v>0</v>
      </c>
      <c r="NJ78">
        <v>0</v>
      </c>
      <c r="NK78">
        <v>0</v>
      </c>
      <c r="NL78">
        <v>0</v>
      </c>
      <c r="NM78">
        <v>0</v>
      </c>
      <c r="NN78">
        <v>0</v>
      </c>
      <c r="NO78">
        <v>0</v>
      </c>
      <c r="NP78">
        <v>0</v>
      </c>
      <c r="NQ78">
        <v>0</v>
      </c>
      <c r="NR78">
        <v>0</v>
      </c>
      <c r="NS78">
        <v>0</v>
      </c>
      <c r="NT78">
        <v>0</v>
      </c>
      <c r="NU78">
        <v>0</v>
      </c>
      <c r="NV78">
        <v>0</v>
      </c>
      <c r="NW78">
        <v>0</v>
      </c>
      <c r="NX78">
        <v>0</v>
      </c>
      <c r="NY78">
        <v>0</v>
      </c>
      <c r="NZ78">
        <v>0</v>
      </c>
      <c r="OA78">
        <v>0</v>
      </c>
      <c r="OB78">
        <v>0</v>
      </c>
      <c r="OC78">
        <v>0</v>
      </c>
      <c r="OD78">
        <v>0</v>
      </c>
      <c r="OE78">
        <v>0</v>
      </c>
      <c r="OF78">
        <v>0</v>
      </c>
      <c r="OG78">
        <v>0</v>
      </c>
      <c r="OH78">
        <v>0</v>
      </c>
      <c r="OI78">
        <v>0</v>
      </c>
      <c r="OJ78">
        <v>0</v>
      </c>
      <c r="OK78">
        <v>0</v>
      </c>
      <c r="OL78">
        <v>0</v>
      </c>
      <c r="OM78">
        <v>0</v>
      </c>
      <c r="ON78">
        <v>0</v>
      </c>
    </row>
    <row r="79" spans="1:404" x14ac:dyDescent="0.25">
      <c r="A79" t="s">
        <v>300</v>
      </c>
      <c r="B79" t="s">
        <v>301</v>
      </c>
      <c r="C79" t="s">
        <v>299</v>
      </c>
      <c r="E79" t="s">
        <v>71</v>
      </c>
      <c r="F79">
        <v>0</v>
      </c>
      <c r="G79">
        <v>0</v>
      </c>
      <c r="H79">
        <v>0</v>
      </c>
      <c r="I79">
        <v>0</v>
      </c>
      <c r="J79">
        <v>0</v>
      </c>
      <c r="K79">
        <v>0</v>
      </c>
      <c r="L79">
        <v>0</v>
      </c>
      <c r="M79">
        <v>0</v>
      </c>
      <c r="N79">
        <v>0</v>
      </c>
      <c r="O79">
        <v>0</v>
      </c>
      <c r="P79">
        <v>0</v>
      </c>
      <c r="Q79">
        <v>0</v>
      </c>
      <c r="R79">
        <v>0</v>
      </c>
      <c r="S79">
        <v>0</v>
      </c>
      <c r="T79">
        <v>0</v>
      </c>
      <c r="U79">
        <v>0</v>
      </c>
      <c r="V79">
        <v>0</v>
      </c>
      <c r="W79">
        <v>0</v>
      </c>
      <c r="X79">
        <v>0</v>
      </c>
      <c r="Y79">
        <v>0</v>
      </c>
      <c r="Z79">
        <v>0</v>
      </c>
      <c r="AA79">
        <v>0</v>
      </c>
      <c r="AB79">
        <v>0</v>
      </c>
      <c r="AC79">
        <v>0</v>
      </c>
      <c r="AD79">
        <v>0</v>
      </c>
      <c r="AE79">
        <v>0</v>
      </c>
      <c r="AF79">
        <v>0</v>
      </c>
      <c r="AG79">
        <v>0</v>
      </c>
      <c r="AH79">
        <v>0</v>
      </c>
      <c r="AI79">
        <v>0</v>
      </c>
      <c r="AJ79">
        <v>0</v>
      </c>
      <c r="AK79">
        <v>0</v>
      </c>
      <c r="AL79">
        <v>0</v>
      </c>
      <c r="AM79">
        <v>0</v>
      </c>
      <c r="AN79">
        <v>0</v>
      </c>
      <c r="AO79">
        <v>0</v>
      </c>
      <c r="AP79">
        <v>0</v>
      </c>
      <c r="AQ79">
        <v>0</v>
      </c>
      <c r="AR79">
        <v>0</v>
      </c>
      <c r="AS79">
        <v>0</v>
      </c>
      <c r="AT79">
        <v>0</v>
      </c>
      <c r="AU79">
        <v>0</v>
      </c>
      <c r="AV79">
        <v>0</v>
      </c>
      <c r="AW79">
        <v>0</v>
      </c>
      <c r="AX79">
        <v>0</v>
      </c>
      <c r="AY79">
        <v>0</v>
      </c>
      <c r="AZ79">
        <v>0</v>
      </c>
      <c r="BA79">
        <v>0</v>
      </c>
      <c r="BB79">
        <v>0</v>
      </c>
      <c r="BC79">
        <v>0</v>
      </c>
      <c r="BD79">
        <v>0</v>
      </c>
      <c r="BE79">
        <v>0</v>
      </c>
      <c r="BF79">
        <v>0</v>
      </c>
      <c r="BG79">
        <v>0</v>
      </c>
      <c r="BH79">
        <v>0</v>
      </c>
      <c r="BI79">
        <v>0</v>
      </c>
      <c r="BJ79">
        <v>0</v>
      </c>
      <c r="BK79">
        <v>0</v>
      </c>
      <c r="BL79">
        <v>0</v>
      </c>
      <c r="BM79">
        <v>0</v>
      </c>
      <c r="BN79">
        <v>0</v>
      </c>
      <c r="BO79">
        <v>0</v>
      </c>
      <c r="BP79">
        <v>0</v>
      </c>
      <c r="BQ79">
        <v>0</v>
      </c>
      <c r="BR79">
        <v>0</v>
      </c>
      <c r="BS79">
        <v>0</v>
      </c>
      <c r="BT79">
        <v>0</v>
      </c>
      <c r="BU79">
        <v>0</v>
      </c>
      <c r="BV79">
        <v>0</v>
      </c>
      <c r="BW79">
        <v>0</v>
      </c>
      <c r="BX79">
        <v>0</v>
      </c>
      <c r="BY79">
        <v>0</v>
      </c>
      <c r="BZ79">
        <v>0</v>
      </c>
      <c r="CA79">
        <v>0</v>
      </c>
      <c r="CB79">
        <v>0</v>
      </c>
      <c r="CC79">
        <v>0</v>
      </c>
      <c r="CD79">
        <v>0</v>
      </c>
      <c r="CE79">
        <v>0</v>
      </c>
      <c r="CF79">
        <v>0</v>
      </c>
      <c r="CG79">
        <v>0</v>
      </c>
      <c r="CH79">
        <v>0</v>
      </c>
      <c r="CI79">
        <v>0</v>
      </c>
      <c r="CJ79">
        <v>0</v>
      </c>
      <c r="CK79">
        <v>0</v>
      </c>
      <c r="CL79">
        <v>0</v>
      </c>
      <c r="CM79">
        <v>0</v>
      </c>
      <c r="CN79">
        <v>0</v>
      </c>
      <c r="CO79">
        <v>0</v>
      </c>
      <c r="CP79">
        <v>0</v>
      </c>
      <c r="CQ79">
        <v>0</v>
      </c>
      <c r="CR79">
        <v>0</v>
      </c>
      <c r="CS79">
        <v>0</v>
      </c>
      <c r="CT79">
        <v>0</v>
      </c>
      <c r="CU79">
        <v>0</v>
      </c>
      <c r="CV79">
        <v>0</v>
      </c>
      <c r="CW79">
        <v>0</v>
      </c>
      <c r="CX79">
        <v>0</v>
      </c>
      <c r="CY79">
        <v>0</v>
      </c>
      <c r="CZ79">
        <v>0</v>
      </c>
      <c r="DA79">
        <v>0</v>
      </c>
      <c r="DB79">
        <v>0</v>
      </c>
      <c r="DC79">
        <v>0</v>
      </c>
      <c r="DD79">
        <v>0</v>
      </c>
      <c r="DE79">
        <v>0</v>
      </c>
      <c r="DF79">
        <v>0</v>
      </c>
      <c r="DG79">
        <v>0</v>
      </c>
      <c r="DH79">
        <v>0</v>
      </c>
      <c r="DI79">
        <v>0</v>
      </c>
      <c r="DJ79">
        <v>0</v>
      </c>
      <c r="DK79">
        <v>0</v>
      </c>
      <c r="DL79">
        <v>0</v>
      </c>
      <c r="DM79">
        <v>0</v>
      </c>
      <c r="DN79">
        <v>0</v>
      </c>
      <c r="DO79">
        <v>0</v>
      </c>
      <c r="DP79">
        <v>0</v>
      </c>
      <c r="DQ79">
        <v>0</v>
      </c>
      <c r="DR79">
        <v>0</v>
      </c>
      <c r="DS79">
        <v>0</v>
      </c>
      <c r="DT79">
        <v>0</v>
      </c>
      <c r="DU79">
        <v>0</v>
      </c>
      <c r="DV79">
        <v>0</v>
      </c>
      <c r="DW79">
        <v>0</v>
      </c>
      <c r="DX79">
        <v>0</v>
      </c>
      <c r="DY79">
        <v>0</v>
      </c>
      <c r="DZ79">
        <v>0</v>
      </c>
      <c r="EA79">
        <v>0</v>
      </c>
      <c r="EB79">
        <v>0</v>
      </c>
      <c r="EC79">
        <v>0</v>
      </c>
      <c r="ED79">
        <v>0</v>
      </c>
      <c r="EE79">
        <v>0</v>
      </c>
      <c r="EF79">
        <v>0</v>
      </c>
      <c r="EG79">
        <v>0</v>
      </c>
      <c r="EH79">
        <v>0</v>
      </c>
      <c r="EI79">
        <v>0</v>
      </c>
      <c r="EJ79">
        <v>0</v>
      </c>
      <c r="EK79">
        <v>0</v>
      </c>
      <c r="EL79">
        <v>0</v>
      </c>
      <c r="EM79">
        <v>0</v>
      </c>
      <c r="EN79">
        <v>0</v>
      </c>
      <c r="EO79">
        <v>0</v>
      </c>
      <c r="EP79">
        <v>0</v>
      </c>
      <c r="EQ79">
        <v>0</v>
      </c>
      <c r="ER79">
        <v>0</v>
      </c>
      <c r="ES79">
        <v>0</v>
      </c>
      <c r="ET79">
        <v>0</v>
      </c>
      <c r="EU79">
        <v>0</v>
      </c>
      <c r="EV79">
        <v>0</v>
      </c>
      <c r="EW79">
        <v>0</v>
      </c>
      <c r="EX79">
        <v>0</v>
      </c>
      <c r="EY79">
        <v>0</v>
      </c>
      <c r="EZ79">
        <v>0</v>
      </c>
      <c r="FA79">
        <v>0</v>
      </c>
      <c r="FB79">
        <v>0</v>
      </c>
      <c r="FC79">
        <v>0</v>
      </c>
      <c r="FD79">
        <v>0</v>
      </c>
      <c r="FE79">
        <v>0</v>
      </c>
      <c r="FF79">
        <v>0</v>
      </c>
      <c r="FG79">
        <v>0</v>
      </c>
      <c r="FH79">
        <v>0</v>
      </c>
      <c r="FI79">
        <v>0</v>
      </c>
      <c r="FJ79">
        <v>0</v>
      </c>
      <c r="FK79">
        <v>0</v>
      </c>
      <c r="FL79">
        <v>0</v>
      </c>
      <c r="FM79">
        <v>0</v>
      </c>
      <c r="FN79">
        <v>0</v>
      </c>
      <c r="FO79">
        <v>0</v>
      </c>
      <c r="FP79">
        <v>0</v>
      </c>
      <c r="FQ79">
        <v>0</v>
      </c>
      <c r="FR79">
        <v>0</v>
      </c>
      <c r="FS79">
        <v>0</v>
      </c>
      <c r="FT79">
        <v>0</v>
      </c>
      <c r="FU79">
        <v>0</v>
      </c>
      <c r="FV79">
        <v>0</v>
      </c>
      <c r="FW79">
        <v>0</v>
      </c>
      <c r="FX79">
        <v>0</v>
      </c>
      <c r="FY79">
        <v>0</v>
      </c>
      <c r="FZ79">
        <v>0</v>
      </c>
      <c r="GA79">
        <v>0</v>
      </c>
      <c r="GB79">
        <v>0</v>
      </c>
      <c r="GC79">
        <v>0</v>
      </c>
      <c r="GD79">
        <v>0</v>
      </c>
      <c r="GE79">
        <v>0</v>
      </c>
      <c r="GF79">
        <v>0</v>
      </c>
      <c r="GG79">
        <v>0</v>
      </c>
      <c r="GH79">
        <v>0</v>
      </c>
      <c r="GI79">
        <v>0</v>
      </c>
      <c r="GJ79">
        <v>0</v>
      </c>
      <c r="GK79">
        <v>0</v>
      </c>
      <c r="GL79">
        <v>0</v>
      </c>
      <c r="GM79">
        <v>0</v>
      </c>
      <c r="GN79">
        <v>0</v>
      </c>
      <c r="GO79">
        <v>0</v>
      </c>
      <c r="GP79">
        <v>0</v>
      </c>
      <c r="GQ79">
        <v>0</v>
      </c>
      <c r="GR79">
        <v>0</v>
      </c>
      <c r="GS79">
        <v>0</v>
      </c>
      <c r="GT79">
        <v>0</v>
      </c>
      <c r="GU79">
        <v>0</v>
      </c>
      <c r="GV79">
        <v>0</v>
      </c>
      <c r="GW79">
        <v>150920</v>
      </c>
      <c r="GX79">
        <v>0</v>
      </c>
      <c r="GY79">
        <v>0</v>
      </c>
      <c r="GZ79">
        <v>0</v>
      </c>
      <c r="HA79">
        <v>0</v>
      </c>
      <c r="HB79">
        <v>5179</v>
      </c>
      <c r="HC79">
        <v>0</v>
      </c>
      <c r="HD79">
        <v>0</v>
      </c>
      <c r="HE79">
        <v>0</v>
      </c>
      <c r="HF79">
        <v>0</v>
      </c>
      <c r="HG79">
        <v>0</v>
      </c>
      <c r="HH79">
        <v>0</v>
      </c>
      <c r="HI79">
        <v>0</v>
      </c>
      <c r="HJ79">
        <v>0</v>
      </c>
      <c r="HK79">
        <v>0</v>
      </c>
      <c r="HL79">
        <v>0</v>
      </c>
      <c r="HM79">
        <v>0</v>
      </c>
      <c r="HN79">
        <v>0</v>
      </c>
      <c r="HO79">
        <v>0</v>
      </c>
      <c r="HP79">
        <v>0</v>
      </c>
      <c r="HQ79">
        <v>0</v>
      </c>
      <c r="HR79">
        <v>22</v>
      </c>
      <c r="HS79">
        <v>0</v>
      </c>
      <c r="HT79">
        <v>0</v>
      </c>
      <c r="HU79">
        <v>0</v>
      </c>
      <c r="HV79">
        <v>5201</v>
      </c>
      <c r="HW79">
        <v>0</v>
      </c>
      <c r="HX79">
        <v>0</v>
      </c>
      <c r="HY79">
        <v>0</v>
      </c>
      <c r="HZ79">
        <v>0</v>
      </c>
      <c r="IA79">
        <v>0</v>
      </c>
      <c r="IB79">
        <v>0</v>
      </c>
      <c r="IC79">
        <v>0</v>
      </c>
      <c r="ID79">
        <v>0</v>
      </c>
      <c r="IE79">
        <v>0</v>
      </c>
      <c r="IF79">
        <v>0</v>
      </c>
      <c r="IG79">
        <v>0</v>
      </c>
      <c r="IH79">
        <v>0</v>
      </c>
      <c r="II79">
        <v>0</v>
      </c>
      <c r="IJ79">
        <v>0</v>
      </c>
      <c r="IK79">
        <v>0</v>
      </c>
      <c r="IL79">
        <v>150920</v>
      </c>
      <c r="IM79">
        <v>0</v>
      </c>
      <c r="IN79">
        <v>5201</v>
      </c>
      <c r="IO79">
        <v>0</v>
      </c>
      <c r="IP79">
        <v>156121</v>
      </c>
      <c r="IQ79">
        <v>0</v>
      </c>
      <c r="IR79">
        <v>0</v>
      </c>
      <c r="IS79">
        <v>0</v>
      </c>
      <c r="IT79">
        <v>0</v>
      </c>
      <c r="IU79">
        <v>0</v>
      </c>
      <c r="IV79">
        <v>0</v>
      </c>
      <c r="IW79">
        <v>0</v>
      </c>
      <c r="IX79">
        <v>0</v>
      </c>
      <c r="IY79">
        <v>0</v>
      </c>
      <c r="IZ79">
        <v>0</v>
      </c>
      <c r="JA79">
        <v>0</v>
      </c>
      <c r="JB79">
        <v>0</v>
      </c>
      <c r="JC79">
        <v>0</v>
      </c>
      <c r="JD79">
        <v>0</v>
      </c>
      <c r="JE79">
        <v>-48</v>
      </c>
      <c r="JF79">
        <v>0</v>
      </c>
      <c r="JG79">
        <v>156073</v>
      </c>
      <c r="JH79">
        <v>0</v>
      </c>
      <c r="JI79">
        <v>0</v>
      </c>
      <c r="JJ79">
        <v>0</v>
      </c>
      <c r="JK79">
        <v>0</v>
      </c>
      <c r="JL79">
        <v>0</v>
      </c>
      <c r="JM79">
        <v>0</v>
      </c>
      <c r="JN79">
        <v>-5349</v>
      </c>
      <c r="JO79">
        <v>25</v>
      </c>
      <c r="JP79">
        <v>3203</v>
      </c>
      <c r="JQ79">
        <v>0</v>
      </c>
      <c r="JR79">
        <v>153952</v>
      </c>
      <c r="JS79">
        <v>-6</v>
      </c>
      <c r="JT79">
        <v>0</v>
      </c>
      <c r="JU79">
        <v>0</v>
      </c>
      <c r="JV79">
        <v>0</v>
      </c>
      <c r="JW79">
        <v>0</v>
      </c>
      <c r="JX79">
        <v>0</v>
      </c>
      <c r="JY79">
        <v>0</v>
      </c>
      <c r="JZ79">
        <v>0</v>
      </c>
      <c r="KA79">
        <v>0</v>
      </c>
      <c r="KB79">
        <v>0</v>
      </c>
      <c r="KC79">
        <v>153946</v>
      </c>
      <c r="KD79">
        <v>0</v>
      </c>
      <c r="KE79">
        <v>-12790</v>
      </c>
      <c r="KF79">
        <v>141156</v>
      </c>
      <c r="KG79">
        <v>0</v>
      </c>
      <c r="KH79">
        <v>0</v>
      </c>
      <c r="KI79">
        <v>0</v>
      </c>
      <c r="KJ79">
        <v>0</v>
      </c>
      <c r="KK79">
        <v>6264</v>
      </c>
      <c r="KL79">
        <v>0</v>
      </c>
      <c r="KM79">
        <v>0</v>
      </c>
      <c r="KN79">
        <v>-105078</v>
      </c>
      <c r="KO79">
        <v>0</v>
      </c>
      <c r="KP79">
        <v>536</v>
      </c>
      <c r="KQ79">
        <v>0</v>
      </c>
      <c r="KR79">
        <v>41483</v>
      </c>
      <c r="KS79">
        <v>0</v>
      </c>
      <c r="KT79">
        <v>0</v>
      </c>
      <c r="KU79">
        <v>0</v>
      </c>
      <c r="KV79">
        <v>4331</v>
      </c>
      <c r="KW79">
        <v>5042</v>
      </c>
      <c r="KX79">
        <v>0</v>
      </c>
      <c r="KY79">
        <v>0</v>
      </c>
      <c r="KZ79">
        <v>0</v>
      </c>
      <c r="LA79">
        <v>10595</v>
      </c>
      <c r="LB79">
        <v>5042</v>
      </c>
      <c r="LC79">
        <v>0</v>
      </c>
      <c r="LD79">
        <v>3430</v>
      </c>
      <c r="LE79">
        <v>0</v>
      </c>
      <c r="LF79">
        <v>0</v>
      </c>
      <c r="LG79">
        <v>0</v>
      </c>
      <c r="LH79">
        <v>0</v>
      </c>
      <c r="LI79">
        <v>3430</v>
      </c>
      <c r="LJ79">
        <v>0</v>
      </c>
      <c r="LK79">
        <v>0</v>
      </c>
      <c r="LL79">
        <v>0</v>
      </c>
      <c r="LM79">
        <v>0</v>
      </c>
      <c r="LN79">
        <v>0</v>
      </c>
      <c r="LO79">
        <v>0</v>
      </c>
      <c r="LP79">
        <v>0</v>
      </c>
      <c r="LQ79">
        <v>0</v>
      </c>
      <c r="LR79">
        <v>0</v>
      </c>
      <c r="LS79">
        <v>0</v>
      </c>
      <c r="LT79">
        <v>0</v>
      </c>
      <c r="LU79">
        <v>0</v>
      </c>
      <c r="LV79">
        <v>0</v>
      </c>
      <c r="LW79">
        <v>0</v>
      </c>
      <c r="LX79">
        <v>0</v>
      </c>
      <c r="LY79">
        <v>0</v>
      </c>
      <c r="LZ79">
        <v>0</v>
      </c>
      <c r="MA79">
        <v>0</v>
      </c>
      <c r="MB79">
        <v>0</v>
      </c>
      <c r="MC79">
        <v>0</v>
      </c>
      <c r="MD79">
        <v>150920</v>
      </c>
      <c r="ME79">
        <v>0</v>
      </c>
      <c r="MF79">
        <v>5201</v>
      </c>
      <c r="MG79">
        <v>0</v>
      </c>
      <c r="MH79">
        <v>156121</v>
      </c>
      <c r="MI79">
        <v>0</v>
      </c>
      <c r="MJ79">
        <v>0</v>
      </c>
      <c r="MK79">
        <v>0</v>
      </c>
      <c r="ML79">
        <v>0</v>
      </c>
      <c r="MM79">
        <v>0</v>
      </c>
      <c r="MN79">
        <v>0</v>
      </c>
      <c r="MO79">
        <v>0</v>
      </c>
      <c r="MP79">
        <v>0</v>
      </c>
      <c r="MQ79">
        <v>0</v>
      </c>
      <c r="MR79">
        <v>0</v>
      </c>
      <c r="MS79">
        <v>0</v>
      </c>
      <c r="MT79">
        <v>0</v>
      </c>
      <c r="MU79">
        <v>0</v>
      </c>
      <c r="MV79">
        <v>0</v>
      </c>
      <c r="MW79">
        <v>0</v>
      </c>
      <c r="MX79">
        <v>0</v>
      </c>
      <c r="MY79">
        <v>0</v>
      </c>
      <c r="MZ79">
        <v>0</v>
      </c>
      <c r="NA79">
        <v>0</v>
      </c>
      <c r="NB79">
        <v>0</v>
      </c>
      <c r="NC79">
        <v>0</v>
      </c>
      <c r="ND79">
        <v>0</v>
      </c>
      <c r="NE79">
        <v>0</v>
      </c>
      <c r="NF79">
        <v>0</v>
      </c>
      <c r="NG79">
        <v>0</v>
      </c>
      <c r="NH79">
        <v>0</v>
      </c>
      <c r="NI79">
        <v>0</v>
      </c>
      <c r="NJ79">
        <v>0</v>
      </c>
      <c r="NK79">
        <v>0</v>
      </c>
      <c r="NL79">
        <v>0</v>
      </c>
      <c r="NM79">
        <v>0</v>
      </c>
      <c r="NN79">
        <v>0</v>
      </c>
      <c r="NO79">
        <v>0</v>
      </c>
      <c r="NP79">
        <v>0</v>
      </c>
      <c r="NQ79">
        <v>0</v>
      </c>
      <c r="NR79">
        <v>0</v>
      </c>
      <c r="NS79">
        <v>0</v>
      </c>
      <c r="NT79">
        <v>0</v>
      </c>
      <c r="NU79">
        <v>0</v>
      </c>
      <c r="NV79">
        <v>0</v>
      </c>
      <c r="NW79">
        <v>0</v>
      </c>
      <c r="NX79">
        <v>0</v>
      </c>
      <c r="NY79">
        <v>0</v>
      </c>
      <c r="NZ79">
        <v>0</v>
      </c>
      <c r="OA79">
        <v>0</v>
      </c>
      <c r="OB79">
        <v>0</v>
      </c>
      <c r="OC79">
        <v>0</v>
      </c>
      <c r="OD79">
        <v>0</v>
      </c>
      <c r="OE79">
        <v>0</v>
      </c>
      <c r="OF79">
        <v>0</v>
      </c>
      <c r="OG79">
        <v>0</v>
      </c>
      <c r="OH79">
        <v>0</v>
      </c>
      <c r="OI79">
        <v>0</v>
      </c>
      <c r="OJ79">
        <v>0</v>
      </c>
      <c r="OK79">
        <v>0</v>
      </c>
      <c r="OL79">
        <v>0</v>
      </c>
      <c r="OM79">
        <v>0</v>
      </c>
      <c r="ON79">
        <v>0</v>
      </c>
    </row>
    <row r="80" spans="1:404" x14ac:dyDescent="0.25">
      <c r="A80" t="s">
        <v>303</v>
      </c>
      <c r="B80" t="s">
        <v>304</v>
      </c>
      <c r="C80" t="s">
        <v>302</v>
      </c>
      <c r="E80" t="s">
        <v>61</v>
      </c>
      <c r="F80">
        <v>0</v>
      </c>
      <c r="G80">
        <v>0</v>
      </c>
      <c r="H80">
        <v>0</v>
      </c>
      <c r="I80">
        <v>0</v>
      </c>
      <c r="J80">
        <v>0</v>
      </c>
      <c r="K80">
        <v>0</v>
      </c>
      <c r="L80">
        <v>0</v>
      </c>
      <c r="M80">
        <v>0</v>
      </c>
      <c r="N80">
        <v>273</v>
      </c>
      <c r="O80">
        <v>0</v>
      </c>
      <c r="P80">
        <v>0</v>
      </c>
      <c r="Q80">
        <v>0</v>
      </c>
      <c r="R80">
        <v>0</v>
      </c>
      <c r="S80">
        <v>0</v>
      </c>
      <c r="T80">
        <v>0</v>
      </c>
      <c r="U80">
        <v>12</v>
      </c>
      <c r="V80">
        <v>0</v>
      </c>
      <c r="W80">
        <v>0</v>
      </c>
      <c r="X80">
        <v>0</v>
      </c>
      <c r="Y80">
        <v>0</v>
      </c>
      <c r="Z80">
        <v>649</v>
      </c>
      <c r="AA80">
        <v>-1612</v>
      </c>
      <c r="AB80">
        <v>0</v>
      </c>
      <c r="AC80">
        <v>0</v>
      </c>
      <c r="AD80">
        <v>0</v>
      </c>
      <c r="AE80">
        <v>0</v>
      </c>
      <c r="AF80">
        <v>0</v>
      </c>
      <c r="AG80">
        <v>16</v>
      </c>
      <c r="AH80">
        <v>0</v>
      </c>
      <c r="AI80">
        <v>-662</v>
      </c>
      <c r="AJ80">
        <v>0</v>
      </c>
      <c r="AK80">
        <v>0</v>
      </c>
      <c r="AL80">
        <v>0</v>
      </c>
      <c r="AM80">
        <v>0</v>
      </c>
      <c r="AN80">
        <v>0</v>
      </c>
      <c r="AO80">
        <v>0</v>
      </c>
      <c r="AP80">
        <v>0</v>
      </c>
      <c r="AQ80">
        <v>1772</v>
      </c>
      <c r="AR80">
        <v>1204</v>
      </c>
      <c r="AS80">
        <v>0</v>
      </c>
      <c r="AT80">
        <v>0</v>
      </c>
      <c r="AU80">
        <v>0</v>
      </c>
      <c r="AV80">
        <v>0</v>
      </c>
      <c r="AW80">
        <v>0</v>
      </c>
      <c r="AX80">
        <v>0</v>
      </c>
      <c r="AY80">
        <v>0</v>
      </c>
      <c r="AZ80">
        <v>0</v>
      </c>
      <c r="BA80">
        <v>0</v>
      </c>
      <c r="BB80">
        <v>0</v>
      </c>
      <c r="BC80">
        <v>0</v>
      </c>
      <c r="BD80">
        <v>0</v>
      </c>
      <c r="BE80">
        <v>0</v>
      </c>
      <c r="BF80">
        <v>0</v>
      </c>
      <c r="BG80">
        <v>0</v>
      </c>
      <c r="BH80">
        <v>0</v>
      </c>
      <c r="BI80">
        <v>0</v>
      </c>
      <c r="BJ80">
        <v>0</v>
      </c>
      <c r="BK80">
        <v>0</v>
      </c>
      <c r="BL80">
        <v>0</v>
      </c>
      <c r="BM80">
        <v>0</v>
      </c>
      <c r="BN80">
        <v>0</v>
      </c>
      <c r="BO80">
        <v>0</v>
      </c>
      <c r="BP80">
        <v>0</v>
      </c>
      <c r="BQ80">
        <v>0</v>
      </c>
      <c r="BR80">
        <v>0</v>
      </c>
      <c r="BS80">
        <v>0</v>
      </c>
      <c r="BT80">
        <v>0</v>
      </c>
      <c r="BU80">
        <v>0</v>
      </c>
      <c r="BV80">
        <v>0</v>
      </c>
      <c r="BW80">
        <v>0</v>
      </c>
      <c r="BX80">
        <v>0</v>
      </c>
      <c r="BY80">
        <v>0</v>
      </c>
      <c r="BZ80">
        <v>0</v>
      </c>
      <c r="CA80">
        <v>0</v>
      </c>
      <c r="CB80">
        <v>0</v>
      </c>
      <c r="CC80">
        <v>0</v>
      </c>
      <c r="CD80">
        <v>0</v>
      </c>
      <c r="CE80">
        <v>0</v>
      </c>
      <c r="CF80">
        <v>0</v>
      </c>
      <c r="CG80">
        <v>0</v>
      </c>
      <c r="CH80">
        <v>0</v>
      </c>
      <c r="CI80">
        <v>0</v>
      </c>
      <c r="CJ80">
        <v>0</v>
      </c>
      <c r="CK80">
        <v>0</v>
      </c>
      <c r="CL80">
        <v>0</v>
      </c>
      <c r="CM80">
        <v>0</v>
      </c>
      <c r="CN80">
        <v>0</v>
      </c>
      <c r="CO80">
        <v>0</v>
      </c>
      <c r="CP80">
        <v>0</v>
      </c>
      <c r="CQ80">
        <v>0</v>
      </c>
      <c r="CR80">
        <v>0</v>
      </c>
      <c r="CS80">
        <v>0</v>
      </c>
      <c r="CT80">
        <v>0</v>
      </c>
      <c r="CU80">
        <v>0</v>
      </c>
      <c r="CV80">
        <v>0</v>
      </c>
      <c r="CW80">
        <v>0</v>
      </c>
      <c r="CX80">
        <v>0</v>
      </c>
      <c r="CY80">
        <v>0</v>
      </c>
      <c r="CZ80">
        <v>0</v>
      </c>
      <c r="DA80">
        <v>0</v>
      </c>
      <c r="DB80">
        <v>0</v>
      </c>
      <c r="DC80">
        <v>-192</v>
      </c>
      <c r="DD80">
        <v>0</v>
      </c>
      <c r="DE80">
        <v>0</v>
      </c>
      <c r="DF80">
        <v>0</v>
      </c>
      <c r="DG80">
        <v>183</v>
      </c>
      <c r="DH80">
        <v>-48</v>
      </c>
      <c r="DI80">
        <v>0</v>
      </c>
      <c r="DJ80">
        <v>372</v>
      </c>
      <c r="DK80">
        <v>0</v>
      </c>
      <c r="DL80">
        <v>0</v>
      </c>
      <c r="DM80">
        <v>0</v>
      </c>
      <c r="DN80">
        <v>456</v>
      </c>
      <c r="DO80">
        <v>456</v>
      </c>
      <c r="DP80">
        <v>1419</v>
      </c>
      <c r="DQ80">
        <v>325</v>
      </c>
      <c r="DR80">
        <v>0</v>
      </c>
      <c r="DS80">
        <v>0</v>
      </c>
      <c r="DT80">
        <v>0</v>
      </c>
      <c r="DU80">
        <v>0</v>
      </c>
      <c r="DV80">
        <v>0</v>
      </c>
      <c r="DW80">
        <v>0</v>
      </c>
      <c r="DX80">
        <v>1552</v>
      </c>
      <c r="DY80">
        <v>26629</v>
      </c>
      <c r="DZ80">
        <v>1053</v>
      </c>
      <c r="EA80">
        <v>2478</v>
      </c>
      <c r="EB80">
        <v>55</v>
      </c>
      <c r="EC80">
        <v>0</v>
      </c>
      <c r="ED80">
        <v>13</v>
      </c>
      <c r="EE80">
        <v>0</v>
      </c>
      <c r="EF80">
        <v>0</v>
      </c>
      <c r="EG80">
        <v>0</v>
      </c>
      <c r="EH80">
        <v>5535</v>
      </c>
      <c r="EI80">
        <v>8160</v>
      </c>
      <c r="EJ80">
        <v>1547</v>
      </c>
      <c r="EK80">
        <v>217</v>
      </c>
      <c r="EL80">
        <v>4303</v>
      </c>
      <c r="EM80">
        <v>5030</v>
      </c>
      <c r="EN80">
        <v>5229</v>
      </c>
      <c r="EO80">
        <v>61</v>
      </c>
      <c r="EP80">
        <v>0</v>
      </c>
      <c r="EQ80">
        <v>0</v>
      </c>
      <c r="ER80">
        <v>80</v>
      </c>
      <c r="ES80">
        <v>4489</v>
      </c>
      <c r="ET80">
        <v>4555</v>
      </c>
      <c r="EU80">
        <v>0</v>
      </c>
      <c r="EV80">
        <v>0</v>
      </c>
      <c r="EW80">
        <v>67</v>
      </c>
      <c r="EX80">
        <v>999</v>
      </c>
      <c r="EY80">
        <v>383</v>
      </c>
      <c r="EZ80">
        <v>0</v>
      </c>
      <c r="FA80">
        <v>209</v>
      </c>
      <c r="FB80">
        <v>0</v>
      </c>
      <c r="FC80">
        <v>2452</v>
      </c>
      <c r="FD80">
        <v>1829</v>
      </c>
      <c r="FE80">
        <v>9</v>
      </c>
      <c r="FF80">
        <v>302</v>
      </c>
      <c r="FG80">
        <v>0</v>
      </c>
      <c r="FH80">
        <v>6250</v>
      </c>
      <c r="FI80">
        <v>-650</v>
      </c>
      <c r="FJ80">
        <v>0</v>
      </c>
      <c r="FK80">
        <v>0</v>
      </c>
      <c r="FL80">
        <v>243</v>
      </c>
      <c r="FM80">
        <v>341</v>
      </c>
      <c r="FN80">
        <v>706</v>
      </c>
      <c r="FO80">
        <v>0</v>
      </c>
      <c r="FP80">
        <v>0</v>
      </c>
      <c r="FQ80">
        <v>0</v>
      </c>
      <c r="FR80">
        <v>545</v>
      </c>
      <c r="FS80">
        <v>89</v>
      </c>
      <c r="FT80">
        <v>20</v>
      </c>
      <c r="FU80">
        <v>193</v>
      </c>
      <c r="FV80">
        <v>0</v>
      </c>
      <c r="FW80">
        <v>440</v>
      </c>
      <c r="FX80">
        <v>465</v>
      </c>
      <c r="FY80">
        <v>0</v>
      </c>
      <c r="FZ80">
        <v>0</v>
      </c>
      <c r="GA80">
        <v>0</v>
      </c>
      <c r="GB80">
        <v>0</v>
      </c>
      <c r="GC80">
        <v>0</v>
      </c>
      <c r="GD80">
        <v>1503</v>
      </c>
      <c r="GE80">
        <v>3110</v>
      </c>
      <c r="GF80">
        <v>0</v>
      </c>
      <c r="GG80">
        <v>-100</v>
      </c>
      <c r="GH80">
        <v>1593</v>
      </c>
      <c r="GI80">
        <v>177</v>
      </c>
      <c r="GJ80">
        <v>0</v>
      </c>
      <c r="GK80">
        <v>8675</v>
      </c>
      <c r="GL80">
        <v>208</v>
      </c>
      <c r="GM80">
        <v>75</v>
      </c>
      <c r="GN80">
        <v>0</v>
      </c>
      <c r="GO80">
        <v>420</v>
      </c>
      <c r="GP80">
        <v>607</v>
      </c>
      <c r="GQ80">
        <v>-621</v>
      </c>
      <c r="GR80">
        <v>0</v>
      </c>
      <c r="GS80">
        <v>0</v>
      </c>
      <c r="GT80">
        <v>459</v>
      </c>
      <c r="GU80">
        <v>1148</v>
      </c>
      <c r="GV80">
        <v>16073</v>
      </c>
      <c r="GW80">
        <v>0</v>
      </c>
      <c r="GX80">
        <v>0</v>
      </c>
      <c r="GY80">
        <v>0</v>
      </c>
      <c r="GZ80">
        <v>0</v>
      </c>
      <c r="HA80">
        <v>0</v>
      </c>
      <c r="HB80">
        <v>2338</v>
      </c>
      <c r="HC80">
        <v>156</v>
      </c>
      <c r="HD80">
        <v>0</v>
      </c>
      <c r="HE80">
        <v>0</v>
      </c>
      <c r="HF80">
        <v>0</v>
      </c>
      <c r="HG80">
        <v>-99</v>
      </c>
      <c r="HH80">
        <v>0</v>
      </c>
      <c r="HI80">
        <v>0</v>
      </c>
      <c r="HJ80">
        <v>196</v>
      </c>
      <c r="HK80">
        <v>381</v>
      </c>
      <c r="HL80">
        <v>51</v>
      </c>
      <c r="HM80">
        <v>-16</v>
      </c>
      <c r="HN80">
        <v>0</v>
      </c>
      <c r="HO80">
        <v>0</v>
      </c>
      <c r="HP80">
        <v>0</v>
      </c>
      <c r="HQ80">
        <v>0</v>
      </c>
      <c r="HR80">
        <v>34</v>
      </c>
      <c r="HS80">
        <v>0</v>
      </c>
      <c r="HT80">
        <v>0</v>
      </c>
      <c r="HU80">
        <v>-803</v>
      </c>
      <c r="HV80">
        <v>2238</v>
      </c>
      <c r="HW80">
        <v>3796</v>
      </c>
      <c r="HX80">
        <v>11045</v>
      </c>
      <c r="HY80">
        <v>0</v>
      </c>
      <c r="HZ80">
        <v>385</v>
      </c>
      <c r="IA80">
        <v>8155</v>
      </c>
      <c r="IB80">
        <v>0</v>
      </c>
      <c r="IC80">
        <v>0</v>
      </c>
      <c r="ID80">
        <v>-662</v>
      </c>
      <c r="IE80">
        <v>0</v>
      </c>
      <c r="IF80">
        <v>0</v>
      </c>
      <c r="IG80">
        <v>0</v>
      </c>
      <c r="IH80">
        <v>1552</v>
      </c>
      <c r="II80">
        <v>6250</v>
      </c>
      <c r="IJ80">
        <v>8675</v>
      </c>
      <c r="IK80">
        <v>1148</v>
      </c>
      <c r="IL80">
        <v>0</v>
      </c>
      <c r="IM80">
        <v>0</v>
      </c>
      <c r="IN80">
        <v>2238</v>
      </c>
      <c r="IO80">
        <v>0</v>
      </c>
      <c r="IP80">
        <v>19201</v>
      </c>
      <c r="IQ80">
        <v>22134</v>
      </c>
      <c r="IR80">
        <v>1165</v>
      </c>
      <c r="IS80">
        <v>12480</v>
      </c>
      <c r="IT80">
        <v>0</v>
      </c>
      <c r="IU80">
        <v>0</v>
      </c>
      <c r="IV80">
        <v>2101</v>
      </c>
      <c r="IW80">
        <v>0</v>
      </c>
      <c r="IX80">
        <v>0</v>
      </c>
      <c r="IY80">
        <v>0</v>
      </c>
      <c r="IZ80">
        <v>0</v>
      </c>
      <c r="JA80">
        <v>-1058</v>
      </c>
      <c r="JB80">
        <v>0</v>
      </c>
      <c r="JC80">
        <v>-97</v>
      </c>
      <c r="JD80">
        <v>0</v>
      </c>
      <c r="JE80">
        <v>0</v>
      </c>
      <c r="JF80">
        <v>0</v>
      </c>
      <c r="JG80">
        <v>55926</v>
      </c>
      <c r="JH80">
        <v>0</v>
      </c>
      <c r="JI80">
        <v>0</v>
      </c>
      <c r="JJ80">
        <v>0</v>
      </c>
      <c r="JK80">
        <v>0</v>
      </c>
      <c r="JL80">
        <v>0</v>
      </c>
      <c r="JM80">
        <v>-155</v>
      </c>
      <c r="JN80">
        <v>0</v>
      </c>
      <c r="JO80">
        <v>0</v>
      </c>
      <c r="JP80">
        <v>5160</v>
      </c>
      <c r="JQ80">
        <v>-4291</v>
      </c>
      <c r="JR80">
        <v>56640</v>
      </c>
      <c r="JS80">
        <v>-265</v>
      </c>
      <c r="JT80">
        <v>0</v>
      </c>
      <c r="JU80">
        <v>0</v>
      </c>
      <c r="JV80">
        <v>0</v>
      </c>
      <c r="JW80">
        <v>-35928</v>
      </c>
      <c r="JX80">
        <v>0</v>
      </c>
      <c r="JY80">
        <v>0</v>
      </c>
      <c r="JZ80">
        <v>0</v>
      </c>
      <c r="KA80">
        <v>0</v>
      </c>
      <c r="KB80">
        <v>0</v>
      </c>
      <c r="KC80">
        <v>20447</v>
      </c>
      <c r="KD80">
        <v>0</v>
      </c>
      <c r="KE80">
        <v>-5131</v>
      </c>
      <c r="KF80">
        <v>15316</v>
      </c>
      <c r="KG80">
        <v>0</v>
      </c>
      <c r="KH80">
        <v>0</v>
      </c>
      <c r="KI80">
        <v>0</v>
      </c>
      <c r="KJ80">
        <v>0</v>
      </c>
      <c r="KK80">
        <v>-3331</v>
      </c>
      <c r="KL80">
        <v>130</v>
      </c>
      <c r="KM80">
        <v>0</v>
      </c>
      <c r="KN80">
        <v>0</v>
      </c>
      <c r="KO80">
        <v>-3490</v>
      </c>
      <c r="KP80">
        <v>12824</v>
      </c>
      <c r="KQ80">
        <v>4464</v>
      </c>
      <c r="KR80">
        <v>14688</v>
      </c>
      <c r="KS80">
        <v>0</v>
      </c>
      <c r="KT80">
        <v>0</v>
      </c>
      <c r="KU80">
        <v>0</v>
      </c>
      <c r="KV80">
        <v>36275</v>
      </c>
      <c r="KW80">
        <v>2030</v>
      </c>
      <c r="KX80">
        <v>0</v>
      </c>
      <c r="KY80">
        <v>0</v>
      </c>
      <c r="KZ80">
        <v>0</v>
      </c>
      <c r="LA80">
        <v>32944</v>
      </c>
      <c r="LB80">
        <v>2160</v>
      </c>
      <c r="LC80">
        <v>0</v>
      </c>
      <c r="LD80">
        <v>5341</v>
      </c>
      <c r="LE80">
        <v>0</v>
      </c>
      <c r="LF80">
        <v>4873</v>
      </c>
      <c r="LG80">
        <v>0</v>
      </c>
      <c r="LH80">
        <v>5344</v>
      </c>
      <c r="LI80">
        <v>20431</v>
      </c>
      <c r="LJ80">
        <v>3720</v>
      </c>
      <c r="LK80">
        <v>4923</v>
      </c>
      <c r="LL80">
        <v>8643</v>
      </c>
      <c r="LM80">
        <v>48</v>
      </c>
      <c r="LN80">
        <v>0</v>
      </c>
      <c r="LO80">
        <v>0</v>
      </c>
      <c r="LP80">
        <v>30228</v>
      </c>
      <c r="LQ80">
        <v>30162</v>
      </c>
      <c r="LR80">
        <v>66</v>
      </c>
      <c r="LS80">
        <v>4489</v>
      </c>
      <c r="LT80">
        <v>4555</v>
      </c>
      <c r="LU80">
        <v>0</v>
      </c>
      <c r="LV80">
        <v>-662</v>
      </c>
      <c r="LW80">
        <v>0</v>
      </c>
      <c r="LX80">
        <v>0</v>
      </c>
      <c r="LY80">
        <v>0</v>
      </c>
      <c r="LZ80">
        <v>1552</v>
      </c>
      <c r="MA80">
        <v>6250</v>
      </c>
      <c r="MB80">
        <v>8675</v>
      </c>
      <c r="MC80">
        <v>1148</v>
      </c>
      <c r="MD80">
        <v>0</v>
      </c>
      <c r="ME80">
        <v>0</v>
      </c>
      <c r="MF80">
        <v>2238</v>
      </c>
      <c r="MG80">
        <v>0</v>
      </c>
      <c r="MH80">
        <v>19201</v>
      </c>
      <c r="MI80">
        <v>0</v>
      </c>
      <c r="MJ80">
        <v>0</v>
      </c>
      <c r="MK80">
        <v>0</v>
      </c>
      <c r="ML80">
        <v>0</v>
      </c>
      <c r="MM80">
        <v>0</v>
      </c>
      <c r="MN80">
        <v>0</v>
      </c>
      <c r="MO80">
        <v>0</v>
      </c>
      <c r="MP80">
        <v>0</v>
      </c>
      <c r="MQ80">
        <v>0</v>
      </c>
      <c r="MR80">
        <v>0</v>
      </c>
      <c r="MS80">
        <v>0</v>
      </c>
      <c r="MT80">
        <v>0</v>
      </c>
      <c r="MU80">
        <v>0</v>
      </c>
      <c r="MV80">
        <v>0</v>
      </c>
      <c r="MW80">
        <v>0</v>
      </c>
      <c r="MX80">
        <v>-1118</v>
      </c>
      <c r="MY80">
        <v>0</v>
      </c>
      <c r="MZ80">
        <v>-37</v>
      </c>
      <c r="NA80">
        <v>-1155</v>
      </c>
      <c r="NB80">
        <v>97</v>
      </c>
      <c r="NC80">
        <v>-1058</v>
      </c>
      <c r="ND80">
        <v>0</v>
      </c>
      <c r="NE80">
        <v>0</v>
      </c>
      <c r="NF80">
        <v>0</v>
      </c>
      <c r="NG80">
        <v>0</v>
      </c>
      <c r="NH80">
        <v>0</v>
      </c>
      <c r="NI80">
        <v>0</v>
      </c>
      <c r="NJ80">
        <v>0</v>
      </c>
      <c r="NK80">
        <v>0</v>
      </c>
      <c r="NL80">
        <v>0</v>
      </c>
      <c r="NM80">
        <v>0</v>
      </c>
      <c r="NN80">
        <v>0</v>
      </c>
      <c r="NO80">
        <v>0</v>
      </c>
      <c r="NP80">
        <v>0</v>
      </c>
      <c r="NQ80">
        <v>0</v>
      </c>
      <c r="NR80">
        <v>0</v>
      </c>
      <c r="NS80">
        <v>0</v>
      </c>
      <c r="NT80">
        <v>0</v>
      </c>
      <c r="NU80">
        <v>0</v>
      </c>
      <c r="NV80">
        <v>0</v>
      </c>
      <c r="NW80">
        <v>0</v>
      </c>
      <c r="NX80">
        <v>0</v>
      </c>
      <c r="NY80">
        <v>0</v>
      </c>
      <c r="NZ80">
        <v>0</v>
      </c>
      <c r="OA80">
        <v>0</v>
      </c>
      <c r="OB80">
        <v>0</v>
      </c>
      <c r="OC80">
        <v>97</v>
      </c>
      <c r="OD80">
        <v>0</v>
      </c>
      <c r="OE80">
        <v>0</v>
      </c>
      <c r="OF80">
        <v>0</v>
      </c>
      <c r="OG80">
        <v>0</v>
      </c>
      <c r="OH80">
        <v>97</v>
      </c>
      <c r="OI80">
        <v>0</v>
      </c>
      <c r="OJ80">
        <v>0</v>
      </c>
      <c r="OK80">
        <v>0</v>
      </c>
      <c r="OL80">
        <v>0</v>
      </c>
      <c r="OM80">
        <v>0</v>
      </c>
      <c r="ON80">
        <v>0</v>
      </c>
    </row>
    <row r="81" spans="1:404" x14ac:dyDescent="0.25">
      <c r="A81" t="s">
        <v>306</v>
      </c>
      <c r="B81" t="s">
        <v>307</v>
      </c>
      <c r="C81" t="s">
        <v>305</v>
      </c>
      <c r="E81" t="s">
        <v>61</v>
      </c>
      <c r="F81">
        <v>0</v>
      </c>
      <c r="G81">
        <v>0</v>
      </c>
      <c r="H81">
        <v>0</v>
      </c>
      <c r="I81">
        <v>0</v>
      </c>
      <c r="J81">
        <v>0</v>
      </c>
      <c r="K81">
        <v>0</v>
      </c>
      <c r="L81">
        <v>0</v>
      </c>
      <c r="M81">
        <v>0</v>
      </c>
      <c r="N81">
        <v>0</v>
      </c>
      <c r="O81">
        <v>0</v>
      </c>
      <c r="P81">
        <v>0</v>
      </c>
      <c r="Q81">
        <v>0</v>
      </c>
      <c r="R81">
        <v>0</v>
      </c>
      <c r="S81">
        <v>0</v>
      </c>
      <c r="T81">
        <v>0</v>
      </c>
      <c r="U81">
        <v>128</v>
      </c>
      <c r="V81">
        <v>0</v>
      </c>
      <c r="W81">
        <v>0</v>
      </c>
      <c r="X81">
        <v>0</v>
      </c>
      <c r="Y81">
        <v>0</v>
      </c>
      <c r="Z81">
        <v>0</v>
      </c>
      <c r="AA81">
        <v>-83</v>
      </c>
      <c r="AB81">
        <v>0</v>
      </c>
      <c r="AC81">
        <v>0</v>
      </c>
      <c r="AD81">
        <v>0</v>
      </c>
      <c r="AE81">
        <v>0</v>
      </c>
      <c r="AF81">
        <v>0</v>
      </c>
      <c r="AG81">
        <v>0</v>
      </c>
      <c r="AH81">
        <v>0</v>
      </c>
      <c r="AI81">
        <v>45</v>
      </c>
      <c r="AJ81">
        <v>0</v>
      </c>
      <c r="AK81">
        <v>0</v>
      </c>
      <c r="AL81">
        <v>0</v>
      </c>
      <c r="AM81">
        <v>0</v>
      </c>
      <c r="AN81">
        <v>0</v>
      </c>
      <c r="AO81">
        <v>0</v>
      </c>
      <c r="AP81">
        <v>0</v>
      </c>
      <c r="AQ81">
        <v>0</v>
      </c>
      <c r="AR81">
        <v>0</v>
      </c>
      <c r="AS81">
        <v>0</v>
      </c>
      <c r="AT81">
        <v>0</v>
      </c>
      <c r="AU81">
        <v>0</v>
      </c>
      <c r="AV81">
        <v>0</v>
      </c>
      <c r="AW81">
        <v>0</v>
      </c>
      <c r="AX81">
        <v>0</v>
      </c>
      <c r="AY81">
        <v>0</v>
      </c>
      <c r="AZ81">
        <v>0</v>
      </c>
      <c r="BA81">
        <v>0</v>
      </c>
      <c r="BB81">
        <v>0</v>
      </c>
      <c r="BC81">
        <v>0</v>
      </c>
      <c r="BD81">
        <v>0</v>
      </c>
      <c r="BE81">
        <v>0</v>
      </c>
      <c r="BF81">
        <v>0</v>
      </c>
      <c r="BG81">
        <v>0</v>
      </c>
      <c r="BH81">
        <v>0</v>
      </c>
      <c r="BI81">
        <v>0</v>
      </c>
      <c r="BJ81">
        <v>0</v>
      </c>
      <c r="BK81">
        <v>0</v>
      </c>
      <c r="BL81">
        <v>0</v>
      </c>
      <c r="BM81">
        <v>0</v>
      </c>
      <c r="BN81">
        <v>0</v>
      </c>
      <c r="BO81">
        <v>0</v>
      </c>
      <c r="BP81">
        <v>0</v>
      </c>
      <c r="BQ81">
        <v>0</v>
      </c>
      <c r="BR81">
        <v>0</v>
      </c>
      <c r="BS81">
        <v>0</v>
      </c>
      <c r="BT81">
        <v>0</v>
      </c>
      <c r="BU81">
        <v>0</v>
      </c>
      <c r="BV81">
        <v>0</v>
      </c>
      <c r="BW81">
        <v>0</v>
      </c>
      <c r="BX81">
        <v>0</v>
      </c>
      <c r="BY81">
        <v>0</v>
      </c>
      <c r="BZ81">
        <v>0</v>
      </c>
      <c r="CA81">
        <v>0</v>
      </c>
      <c r="CB81">
        <v>0</v>
      </c>
      <c r="CC81">
        <v>0</v>
      </c>
      <c r="CD81">
        <v>0</v>
      </c>
      <c r="CE81">
        <v>0</v>
      </c>
      <c r="CF81">
        <v>0</v>
      </c>
      <c r="CG81">
        <v>0</v>
      </c>
      <c r="CH81">
        <v>0</v>
      </c>
      <c r="CI81">
        <v>0</v>
      </c>
      <c r="CJ81">
        <v>0</v>
      </c>
      <c r="CK81">
        <v>0</v>
      </c>
      <c r="CL81">
        <v>0</v>
      </c>
      <c r="CM81">
        <v>0</v>
      </c>
      <c r="CN81">
        <v>0</v>
      </c>
      <c r="CO81">
        <v>0</v>
      </c>
      <c r="CP81">
        <v>0</v>
      </c>
      <c r="CQ81">
        <v>0</v>
      </c>
      <c r="CR81">
        <v>0</v>
      </c>
      <c r="CS81">
        <v>0</v>
      </c>
      <c r="CT81">
        <v>0</v>
      </c>
      <c r="CU81">
        <v>0</v>
      </c>
      <c r="CV81">
        <v>0</v>
      </c>
      <c r="CW81">
        <v>0</v>
      </c>
      <c r="CX81">
        <v>0</v>
      </c>
      <c r="CY81">
        <v>0</v>
      </c>
      <c r="CZ81">
        <v>0</v>
      </c>
      <c r="DA81">
        <v>0</v>
      </c>
      <c r="DB81">
        <v>0</v>
      </c>
      <c r="DC81">
        <v>153</v>
      </c>
      <c r="DD81">
        <v>0</v>
      </c>
      <c r="DE81">
        <v>176</v>
      </c>
      <c r="DF81">
        <v>0</v>
      </c>
      <c r="DG81">
        <v>0</v>
      </c>
      <c r="DH81">
        <v>0</v>
      </c>
      <c r="DI81">
        <v>0</v>
      </c>
      <c r="DJ81">
        <v>52</v>
      </c>
      <c r="DK81">
        <v>22</v>
      </c>
      <c r="DL81">
        <v>0</v>
      </c>
      <c r="DM81">
        <v>85</v>
      </c>
      <c r="DN81">
        <v>11</v>
      </c>
      <c r="DO81">
        <v>431</v>
      </c>
      <c r="DP81">
        <v>601</v>
      </c>
      <c r="DQ81">
        <v>0</v>
      </c>
      <c r="DR81">
        <v>0</v>
      </c>
      <c r="DS81">
        <v>0</v>
      </c>
      <c r="DT81">
        <v>1022</v>
      </c>
      <c r="DU81">
        <v>0</v>
      </c>
      <c r="DV81">
        <v>0</v>
      </c>
      <c r="DW81">
        <v>0</v>
      </c>
      <c r="DX81">
        <v>1952</v>
      </c>
      <c r="DY81">
        <v>0</v>
      </c>
      <c r="DZ81">
        <v>0</v>
      </c>
      <c r="EA81">
        <v>0</v>
      </c>
      <c r="EB81">
        <v>0</v>
      </c>
      <c r="EC81">
        <v>0</v>
      </c>
      <c r="ED81">
        <v>0</v>
      </c>
      <c r="EE81">
        <v>0</v>
      </c>
      <c r="EF81">
        <v>0</v>
      </c>
      <c r="EG81">
        <v>0</v>
      </c>
      <c r="EH81">
        <v>0</v>
      </c>
      <c r="EI81">
        <v>0</v>
      </c>
      <c r="EJ81">
        <v>0</v>
      </c>
      <c r="EK81">
        <v>0</v>
      </c>
      <c r="EL81">
        <v>0</v>
      </c>
      <c r="EM81">
        <v>0</v>
      </c>
      <c r="EN81">
        <v>0</v>
      </c>
      <c r="EO81">
        <v>0</v>
      </c>
      <c r="EP81">
        <v>0</v>
      </c>
      <c r="EQ81">
        <v>0</v>
      </c>
      <c r="ER81">
        <v>0</v>
      </c>
      <c r="ES81">
        <v>0</v>
      </c>
      <c r="ET81">
        <v>0</v>
      </c>
      <c r="EU81">
        <v>0</v>
      </c>
      <c r="EV81">
        <v>0</v>
      </c>
      <c r="EW81">
        <v>0</v>
      </c>
      <c r="EX81">
        <v>18</v>
      </c>
      <c r="EY81">
        <v>0</v>
      </c>
      <c r="EZ81">
        <v>0</v>
      </c>
      <c r="FA81">
        <v>0</v>
      </c>
      <c r="FB81">
        <v>40</v>
      </c>
      <c r="FC81">
        <v>-543</v>
      </c>
      <c r="FD81">
        <v>804</v>
      </c>
      <c r="FE81">
        <v>-1</v>
      </c>
      <c r="FF81">
        <v>113</v>
      </c>
      <c r="FG81">
        <v>0</v>
      </c>
      <c r="FH81">
        <v>431</v>
      </c>
      <c r="FI81">
        <v>-643</v>
      </c>
      <c r="FJ81">
        <v>0</v>
      </c>
      <c r="FK81">
        <v>0</v>
      </c>
      <c r="FL81">
        <v>-7</v>
      </c>
      <c r="FM81">
        <v>16</v>
      </c>
      <c r="FN81">
        <v>4</v>
      </c>
      <c r="FO81">
        <v>0</v>
      </c>
      <c r="FP81">
        <v>0</v>
      </c>
      <c r="FQ81">
        <v>0</v>
      </c>
      <c r="FR81">
        <v>122</v>
      </c>
      <c r="FS81">
        <v>0</v>
      </c>
      <c r="FT81">
        <v>223</v>
      </c>
      <c r="FU81">
        <v>-76</v>
      </c>
      <c r="FV81">
        <v>0</v>
      </c>
      <c r="FW81">
        <v>0</v>
      </c>
      <c r="FX81">
        <v>0</v>
      </c>
      <c r="FY81">
        <v>47</v>
      </c>
      <c r="FZ81">
        <v>0</v>
      </c>
      <c r="GA81">
        <v>0</v>
      </c>
      <c r="GB81">
        <v>1</v>
      </c>
      <c r="GC81">
        <v>0</v>
      </c>
      <c r="GD81">
        <v>896</v>
      </c>
      <c r="GE81">
        <v>1703</v>
      </c>
      <c r="GF81">
        <v>0</v>
      </c>
      <c r="GG81">
        <v>66</v>
      </c>
      <c r="GH81">
        <v>861</v>
      </c>
      <c r="GI81">
        <v>0</v>
      </c>
      <c r="GJ81">
        <v>0</v>
      </c>
      <c r="GK81">
        <v>3213</v>
      </c>
      <c r="GL81">
        <v>202</v>
      </c>
      <c r="GM81">
        <v>126</v>
      </c>
      <c r="GN81">
        <v>0</v>
      </c>
      <c r="GO81">
        <v>440</v>
      </c>
      <c r="GP81">
        <v>2</v>
      </c>
      <c r="GQ81">
        <v>478</v>
      </c>
      <c r="GR81">
        <v>0</v>
      </c>
      <c r="GS81">
        <v>0</v>
      </c>
      <c r="GT81">
        <v>-171</v>
      </c>
      <c r="GU81">
        <v>1077</v>
      </c>
      <c r="GV81">
        <v>4721</v>
      </c>
      <c r="GW81">
        <v>0</v>
      </c>
      <c r="GX81">
        <v>0</v>
      </c>
      <c r="GY81">
        <v>0</v>
      </c>
      <c r="GZ81">
        <v>0</v>
      </c>
      <c r="HA81">
        <v>0</v>
      </c>
      <c r="HB81">
        <v>4100</v>
      </c>
      <c r="HC81">
        <v>177</v>
      </c>
      <c r="HD81">
        <v>0</v>
      </c>
      <c r="HE81">
        <v>253</v>
      </c>
      <c r="HF81">
        <v>15</v>
      </c>
      <c r="HG81">
        <v>398</v>
      </c>
      <c r="HH81">
        <v>0</v>
      </c>
      <c r="HI81">
        <v>0</v>
      </c>
      <c r="HJ81">
        <v>40</v>
      </c>
      <c r="HK81">
        <v>-70</v>
      </c>
      <c r="HL81">
        <v>17</v>
      </c>
      <c r="HM81">
        <v>-72</v>
      </c>
      <c r="HN81">
        <v>0</v>
      </c>
      <c r="HO81">
        <v>79</v>
      </c>
      <c r="HP81">
        <v>0</v>
      </c>
      <c r="HQ81">
        <v>0</v>
      </c>
      <c r="HR81">
        <v>0</v>
      </c>
      <c r="HS81">
        <v>0</v>
      </c>
      <c r="HT81">
        <v>0</v>
      </c>
      <c r="HU81">
        <v>0</v>
      </c>
      <c r="HV81">
        <v>4937</v>
      </c>
      <c r="HW81">
        <v>0</v>
      </c>
      <c r="HX81">
        <v>0</v>
      </c>
      <c r="HY81">
        <v>0</v>
      </c>
      <c r="HZ81">
        <v>0</v>
      </c>
      <c r="IA81">
        <v>0</v>
      </c>
      <c r="IB81">
        <v>0</v>
      </c>
      <c r="IC81">
        <v>0</v>
      </c>
      <c r="ID81">
        <v>45</v>
      </c>
      <c r="IE81">
        <v>0</v>
      </c>
      <c r="IF81">
        <v>0</v>
      </c>
      <c r="IG81">
        <v>0</v>
      </c>
      <c r="IH81">
        <v>1952</v>
      </c>
      <c r="II81">
        <v>431</v>
      </c>
      <c r="IJ81">
        <v>3213</v>
      </c>
      <c r="IK81">
        <v>1077</v>
      </c>
      <c r="IL81">
        <v>0</v>
      </c>
      <c r="IM81">
        <v>0</v>
      </c>
      <c r="IN81">
        <v>4937</v>
      </c>
      <c r="IO81">
        <v>0</v>
      </c>
      <c r="IP81">
        <v>11655</v>
      </c>
      <c r="IQ81">
        <v>11350</v>
      </c>
      <c r="IR81">
        <v>0</v>
      </c>
      <c r="IS81">
        <v>0</v>
      </c>
      <c r="IT81">
        <v>0</v>
      </c>
      <c r="IU81">
        <v>0</v>
      </c>
      <c r="IV81">
        <v>1130</v>
      </c>
      <c r="IW81">
        <v>0</v>
      </c>
      <c r="IX81">
        <v>0</v>
      </c>
      <c r="IY81">
        <v>0</v>
      </c>
      <c r="IZ81">
        <v>0</v>
      </c>
      <c r="JA81">
        <v>0</v>
      </c>
      <c r="JB81">
        <v>0</v>
      </c>
      <c r="JC81">
        <v>0</v>
      </c>
      <c r="JD81">
        <v>0</v>
      </c>
      <c r="JE81">
        <v>0</v>
      </c>
      <c r="JF81">
        <v>0</v>
      </c>
      <c r="JG81">
        <v>24135</v>
      </c>
      <c r="JH81">
        <v>0</v>
      </c>
      <c r="JI81">
        <v>0</v>
      </c>
      <c r="JJ81">
        <v>0</v>
      </c>
      <c r="JK81">
        <v>0</v>
      </c>
      <c r="JL81">
        <v>0</v>
      </c>
      <c r="JM81">
        <v>0</v>
      </c>
      <c r="JN81">
        <v>0</v>
      </c>
      <c r="JO81">
        <v>0</v>
      </c>
      <c r="JP81">
        <v>379</v>
      </c>
      <c r="JQ81">
        <v>0</v>
      </c>
      <c r="JR81">
        <v>24514</v>
      </c>
      <c r="JS81">
        <v>-28</v>
      </c>
      <c r="JT81">
        <v>0</v>
      </c>
      <c r="JU81">
        <v>0</v>
      </c>
      <c r="JV81">
        <v>0</v>
      </c>
      <c r="JW81">
        <v>-11416</v>
      </c>
      <c r="JX81">
        <v>0</v>
      </c>
      <c r="JY81">
        <v>0</v>
      </c>
      <c r="JZ81">
        <v>0</v>
      </c>
      <c r="KA81">
        <v>0</v>
      </c>
      <c r="KB81">
        <v>0</v>
      </c>
      <c r="KC81">
        <v>13070</v>
      </c>
      <c r="KD81">
        <v>0</v>
      </c>
      <c r="KE81">
        <v>-1916</v>
      </c>
      <c r="KF81">
        <v>11154</v>
      </c>
      <c r="KG81">
        <v>0</v>
      </c>
      <c r="KH81">
        <v>0</v>
      </c>
      <c r="KI81">
        <v>0</v>
      </c>
      <c r="KJ81">
        <v>0</v>
      </c>
      <c r="KK81">
        <v>-3150</v>
      </c>
      <c r="KL81">
        <v>0</v>
      </c>
      <c r="KM81">
        <v>-40</v>
      </c>
      <c r="KN81">
        <v>0</v>
      </c>
      <c r="KO81">
        <v>-55</v>
      </c>
      <c r="KP81">
        <v>-25</v>
      </c>
      <c r="KQ81">
        <v>0</v>
      </c>
      <c r="KR81">
        <v>5583</v>
      </c>
      <c r="KS81">
        <v>0</v>
      </c>
      <c r="KT81">
        <v>0</v>
      </c>
      <c r="KU81">
        <v>0</v>
      </c>
      <c r="KV81">
        <v>16691</v>
      </c>
      <c r="KW81">
        <v>2188</v>
      </c>
      <c r="KX81">
        <v>0</v>
      </c>
      <c r="KY81">
        <v>0</v>
      </c>
      <c r="KZ81">
        <v>0</v>
      </c>
      <c r="LA81">
        <v>13541</v>
      </c>
      <c r="LB81">
        <v>2188</v>
      </c>
      <c r="LC81">
        <v>0</v>
      </c>
      <c r="LD81">
        <v>0</v>
      </c>
      <c r="LE81">
        <v>0</v>
      </c>
      <c r="LF81">
        <v>0</v>
      </c>
      <c r="LG81">
        <v>0</v>
      </c>
      <c r="LH81">
        <v>0</v>
      </c>
      <c r="LI81">
        <v>0</v>
      </c>
      <c r="LJ81">
        <v>2111</v>
      </c>
      <c r="LK81">
        <v>3953</v>
      </c>
      <c r="LL81">
        <v>6064</v>
      </c>
      <c r="LM81">
        <v>0</v>
      </c>
      <c r="LN81">
        <v>0</v>
      </c>
      <c r="LO81">
        <v>0</v>
      </c>
      <c r="LP81">
        <v>0</v>
      </c>
      <c r="LQ81">
        <v>0</v>
      </c>
      <c r="LR81">
        <v>0</v>
      </c>
      <c r="LS81">
        <v>0</v>
      </c>
      <c r="LT81">
        <v>0</v>
      </c>
      <c r="LU81">
        <v>0</v>
      </c>
      <c r="LV81">
        <v>45</v>
      </c>
      <c r="LW81">
        <v>0</v>
      </c>
      <c r="LX81">
        <v>0</v>
      </c>
      <c r="LY81">
        <v>0</v>
      </c>
      <c r="LZ81">
        <v>1952</v>
      </c>
      <c r="MA81">
        <v>431</v>
      </c>
      <c r="MB81">
        <v>3213</v>
      </c>
      <c r="MC81">
        <v>1077</v>
      </c>
      <c r="MD81">
        <v>0</v>
      </c>
      <c r="ME81">
        <v>0</v>
      </c>
      <c r="MF81">
        <v>4937</v>
      </c>
      <c r="MG81">
        <v>0</v>
      </c>
      <c r="MH81">
        <v>11655</v>
      </c>
      <c r="MI81">
        <v>0</v>
      </c>
      <c r="MJ81">
        <v>0</v>
      </c>
      <c r="MK81">
        <v>0</v>
      </c>
      <c r="ML81">
        <v>0</v>
      </c>
      <c r="MM81">
        <v>0</v>
      </c>
      <c r="MN81">
        <v>0</v>
      </c>
      <c r="MO81">
        <v>0</v>
      </c>
      <c r="MP81">
        <v>0</v>
      </c>
      <c r="MQ81">
        <v>0</v>
      </c>
      <c r="MR81">
        <v>0</v>
      </c>
      <c r="MS81">
        <v>0</v>
      </c>
      <c r="MT81">
        <v>0</v>
      </c>
      <c r="MU81">
        <v>0</v>
      </c>
      <c r="MV81">
        <v>0</v>
      </c>
      <c r="MW81">
        <v>0</v>
      </c>
      <c r="MX81">
        <v>0</v>
      </c>
      <c r="MY81">
        <v>0</v>
      </c>
      <c r="MZ81">
        <v>0</v>
      </c>
      <c r="NA81">
        <v>0</v>
      </c>
      <c r="NB81">
        <v>0</v>
      </c>
      <c r="NC81">
        <v>0</v>
      </c>
      <c r="ND81">
        <v>0</v>
      </c>
      <c r="NE81">
        <v>0</v>
      </c>
      <c r="NF81">
        <v>0</v>
      </c>
      <c r="NG81">
        <v>0</v>
      </c>
      <c r="NH81">
        <v>0</v>
      </c>
      <c r="NI81">
        <v>0</v>
      </c>
      <c r="NJ81">
        <v>0</v>
      </c>
      <c r="NK81">
        <v>0</v>
      </c>
      <c r="NL81">
        <v>0</v>
      </c>
      <c r="NM81">
        <v>0</v>
      </c>
      <c r="NN81">
        <v>0</v>
      </c>
      <c r="NO81">
        <v>0</v>
      </c>
      <c r="NP81">
        <v>0</v>
      </c>
      <c r="NQ81">
        <v>0</v>
      </c>
      <c r="NR81">
        <v>0</v>
      </c>
      <c r="NS81">
        <v>0</v>
      </c>
      <c r="NT81">
        <v>0</v>
      </c>
      <c r="NU81">
        <v>0</v>
      </c>
      <c r="NV81">
        <v>0</v>
      </c>
      <c r="NW81">
        <v>0</v>
      </c>
      <c r="NX81">
        <v>0</v>
      </c>
      <c r="NY81">
        <v>0</v>
      </c>
      <c r="NZ81">
        <v>0</v>
      </c>
      <c r="OA81">
        <v>0</v>
      </c>
      <c r="OB81">
        <v>0</v>
      </c>
      <c r="OC81">
        <v>0</v>
      </c>
      <c r="OD81">
        <v>0</v>
      </c>
      <c r="OE81">
        <v>0</v>
      </c>
      <c r="OF81">
        <v>0</v>
      </c>
      <c r="OG81">
        <v>0</v>
      </c>
      <c r="OH81">
        <v>0</v>
      </c>
      <c r="OI81">
        <v>0</v>
      </c>
      <c r="OJ81">
        <v>0</v>
      </c>
      <c r="OK81">
        <v>0</v>
      </c>
      <c r="OL81">
        <v>0</v>
      </c>
      <c r="OM81">
        <v>0</v>
      </c>
      <c r="ON81">
        <v>0</v>
      </c>
    </row>
    <row r="82" spans="1:404" x14ac:dyDescent="0.25">
      <c r="A82" t="s">
        <v>309</v>
      </c>
      <c r="B82" t="s">
        <v>310</v>
      </c>
      <c r="C82" t="s">
        <v>308</v>
      </c>
      <c r="E82" t="s">
        <v>125</v>
      </c>
      <c r="F82">
        <v>32971</v>
      </c>
      <c r="G82">
        <v>48985</v>
      </c>
      <c r="H82">
        <v>38115</v>
      </c>
      <c r="I82">
        <v>19766</v>
      </c>
      <c r="J82">
        <v>11181</v>
      </c>
      <c r="K82">
        <v>59889</v>
      </c>
      <c r="L82">
        <v>210907</v>
      </c>
      <c r="M82">
        <v>-484</v>
      </c>
      <c r="N82">
        <v>1098</v>
      </c>
      <c r="O82">
        <v>2014</v>
      </c>
      <c r="P82">
        <v>93</v>
      </c>
      <c r="Q82">
        <v>224</v>
      </c>
      <c r="R82">
        <v>1619</v>
      </c>
      <c r="S82">
        <v>11047</v>
      </c>
      <c r="T82">
        <v>1988</v>
      </c>
      <c r="U82">
        <v>3196</v>
      </c>
      <c r="V82">
        <v>0</v>
      </c>
      <c r="W82">
        <v>0</v>
      </c>
      <c r="X82">
        <v>1020</v>
      </c>
      <c r="Y82">
        <v>443</v>
      </c>
      <c r="Z82">
        <v>-601</v>
      </c>
      <c r="AA82">
        <v>-7515</v>
      </c>
      <c r="AB82">
        <v>5136</v>
      </c>
      <c r="AC82">
        <v>0</v>
      </c>
      <c r="AD82">
        <v>14193</v>
      </c>
      <c r="AE82">
        <v>0</v>
      </c>
      <c r="AF82">
        <v>569</v>
      </c>
      <c r="AG82">
        <v>870</v>
      </c>
      <c r="AH82">
        <v>1161</v>
      </c>
      <c r="AI82">
        <v>36071</v>
      </c>
      <c r="AJ82">
        <v>0</v>
      </c>
      <c r="AK82">
        <v>0</v>
      </c>
      <c r="AL82">
        <v>0</v>
      </c>
      <c r="AM82">
        <v>0</v>
      </c>
      <c r="AN82">
        <v>0</v>
      </c>
      <c r="AO82">
        <v>0</v>
      </c>
      <c r="AP82">
        <v>0</v>
      </c>
      <c r="AQ82">
        <v>1113</v>
      </c>
      <c r="AR82">
        <v>778</v>
      </c>
      <c r="AS82">
        <v>0</v>
      </c>
      <c r="AT82">
        <v>0</v>
      </c>
      <c r="AU82">
        <v>0</v>
      </c>
      <c r="AV82">
        <v>4745</v>
      </c>
      <c r="AW82">
        <v>37003</v>
      </c>
      <c r="AX82">
        <v>5551</v>
      </c>
      <c r="AY82">
        <v>16330</v>
      </c>
      <c r="AZ82">
        <v>840</v>
      </c>
      <c r="BA82">
        <v>17566</v>
      </c>
      <c r="BB82">
        <v>7</v>
      </c>
      <c r="BC82">
        <v>4786</v>
      </c>
      <c r="BD82">
        <v>86828</v>
      </c>
      <c r="BE82">
        <v>22028</v>
      </c>
      <c r="BF82">
        <v>72312</v>
      </c>
      <c r="BG82">
        <v>985</v>
      </c>
      <c r="BH82">
        <v>1850</v>
      </c>
      <c r="BI82">
        <v>608</v>
      </c>
      <c r="BJ82">
        <v>9124</v>
      </c>
      <c r="BK82">
        <v>55054</v>
      </c>
      <c r="BL82">
        <v>14843</v>
      </c>
      <c r="BM82">
        <v>10401</v>
      </c>
      <c r="BN82">
        <v>4587</v>
      </c>
      <c r="BO82">
        <v>805</v>
      </c>
      <c r="BP82">
        <v>0</v>
      </c>
      <c r="BQ82">
        <v>269</v>
      </c>
      <c r="BR82">
        <v>2054</v>
      </c>
      <c r="BS82">
        <v>277</v>
      </c>
      <c r="BT82">
        <v>24156</v>
      </c>
      <c r="BU82">
        <v>1488</v>
      </c>
      <c r="BV82">
        <v>28493</v>
      </c>
      <c r="BW82">
        <v>249334</v>
      </c>
      <c r="BX82">
        <v>1818</v>
      </c>
      <c r="BY82">
        <v>1972</v>
      </c>
      <c r="BZ82">
        <v>334</v>
      </c>
      <c r="CA82">
        <v>163</v>
      </c>
      <c r="CB82">
        <v>137</v>
      </c>
      <c r="CC82">
        <v>82</v>
      </c>
      <c r="CD82">
        <v>172</v>
      </c>
      <c r="CE82">
        <v>517</v>
      </c>
      <c r="CF82">
        <v>160</v>
      </c>
      <c r="CG82">
        <v>320</v>
      </c>
      <c r="CH82">
        <v>92</v>
      </c>
      <c r="CI82">
        <v>4230</v>
      </c>
      <c r="CJ82">
        <v>1444</v>
      </c>
      <c r="CK82">
        <v>15</v>
      </c>
      <c r="CL82">
        <v>425</v>
      </c>
      <c r="CM82">
        <v>403</v>
      </c>
      <c r="CN82">
        <v>367</v>
      </c>
      <c r="CO82">
        <v>80</v>
      </c>
      <c r="CP82">
        <v>3124</v>
      </c>
      <c r="CQ82">
        <v>7478</v>
      </c>
      <c r="CR82">
        <v>58</v>
      </c>
      <c r="CS82">
        <v>63</v>
      </c>
      <c r="CT82">
        <v>684</v>
      </c>
      <c r="CU82">
        <v>9142</v>
      </c>
      <c r="CV82">
        <v>48595</v>
      </c>
      <c r="CW82">
        <v>0</v>
      </c>
      <c r="CX82">
        <v>0</v>
      </c>
      <c r="CY82">
        <v>0</v>
      </c>
      <c r="CZ82">
        <v>0</v>
      </c>
      <c r="DA82">
        <v>0</v>
      </c>
      <c r="DB82">
        <v>0</v>
      </c>
      <c r="DC82">
        <v>514</v>
      </c>
      <c r="DD82">
        <v>0</v>
      </c>
      <c r="DE82">
        <v>-5</v>
      </c>
      <c r="DF82">
        <v>376</v>
      </c>
      <c r="DG82">
        <v>0</v>
      </c>
      <c r="DH82">
        <v>1210</v>
      </c>
      <c r="DI82">
        <v>113</v>
      </c>
      <c r="DJ82">
        <v>2421</v>
      </c>
      <c r="DK82">
        <v>0</v>
      </c>
      <c r="DL82">
        <v>0</v>
      </c>
      <c r="DM82">
        <v>4538</v>
      </c>
      <c r="DN82">
        <v>0</v>
      </c>
      <c r="DO82">
        <v>0</v>
      </c>
      <c r="DP82">
        <v>8282</v>
      </c>
      <c r="DQ82">
        <v>0</v>
      </c>
      <c r="DR82">
        <v>0</v>
      </c>
      <c r="DS82">
        <v>0</v>
      </c>
      <c r="DT82">
        <v>8962</v>
      </c>
      <c r="DU82">
        <v>396</v>
      </c>
      <c r="DV82">
        <v>2831</v>
      </c>
      <c r="DW82">
        <v>0</v>
      </c>
      <c r="DX82">
        <v>21356</v>
      </c>
      <c r="DY82">
        <v>38399</v>
      </c>
      <c r="DZ82">
        <v>1240</v>
      </c>
      <c r="EA82">
        <v>1259</v>
      </c>
      <c r="EB82">
        <v>400</v>
      </c>
      <c r="EC82">
        <v>0</v>
      </c>
      <c r="ED82">
        <v>197</v>
      </c>
      <c r="EE82">
        <v>0</v>
      </c>
      <c r="EF82">
        <v>0</v>
      </c>
      <c r="EG82">
        <v>0</v>
      </c>
      <c r="EH82">
        <v>7837</v>
      </c>
      <c r="EI82">
        <v>11172</v>
      </c>
      <c r="EJ82">
        <v>1332</v>
      </c>
      <c r="EK82">
        <v>1217</v>
      </c>
      <c r="EL82">
        <v>3764</v>
      </c>
      <c r="EM82">
        <v>0</v>
      </c>
      <c r="EN82">
        <v>3951</v>
      </c>
      <c r="EO82">
        <v>0</v>
      </c>
      <c r="EP82">
        <v>0</v>
      </c>
      <c r="EQ82">
        <v>13515</v>
      </c>
      <c r="ER82">
        <v>338</v>
      </c>
      <c r="ES82">
        <v>19983</v>
      </c>
      <c r="ET82">
        <v>18352</v>
      </c>
      <c r="EU82">
        <v>496</v>
      </c>
      <c r="EV82">
        <v>818</v>
      </c>
      <c r="EW82">
        <v>716</v>
      </c>
      <c r="EX82">
        <v>70</v>
      </c>
      <c r="EY82">
        <v>70</v>
      </c>
      <c r="EZ82">
        <v>0</v>
      </c>
      <c r="FA82">
        <v>0</v>
      </c>
      <c r="FB82">
        <v>-3</v>
      </c>
      <c r="FC82">
        <v>1418</v>
      </c>
      <c r="FD82">
        <v>7890</v>
      </c>
      <c r="FE82">
        <v>0</v>
      </c>
      <c r="FF82">
        <v>0</v>
      </c>
      <c r="FG82">
        <v>1664</v>
      </c>
      <c r="FH82">
        <v>13139</v>
      </c>
      <c r="FI82">
        <v>-37</v>
      </c>
      <c r="FJ82">
        <v>1265</v>
      </c>
      <c r="FK82">
        <v>48</v>
      </c>
      <c r="FL82">
        <v>1355</v>
      </c>
      <c r="FM82">
        <v>1603</v>
      </c>
      <c r="FN82">
        <v>0</v>
      </c>
      <c r="FO82">
        <v>67</v>
      </c>
      <c r="FP82">
        <v>307</v>
      </c>
      <c r="FQ82">
        <v>0</v>
      </c>
      <c r="FR82">
        <v>0</v>
      </c>
      <c r="FS82">
        <v>658</v>
      </c>
      <c r="FT82">
        <v>78</v>
      </c>
      <c r="FU82">
        <v>-483</v>
      </c>
      <c r="FV82">
        <v>2270</v>
      </c>
      <c r="FW82">
        <v>802</v>
      </c>
      <c r="FX82">
        <v>0</v>
      </c>
      <c r="FY82">
        <v>157</v>
      </c>
      <c r="FZ82">
        <v>184</v>
      </c>
      <c r="GA82">
        <v>0</v>
      </c>
      <c r="GB82">
        <v>446</v>
      </c>
      <c r="GC82">
        <v>-720</v>
      </c>
      <c r="GD82">
        <v>8269</v>
      </c>
      <c r="GE82">
        <v>11428</v>
      </c>
      <c r="GF82">
        <v>42890</v>
      </c>
      <c r="GG82">
        <v>-70</v>
      </c>
      <c r="GH82">
        <v>7832</v>
      </c>
      <c r="GI82">
        <v>0</v>
      </c>
      <c r="GJ82">
        <v>0</v>
      </c>
      <c r="GK82">
        <v>78349</v>
      </c>
      <c r="GL82">
        <v>-4376</v>
      </c>
      <c r="GM82">
        <v>238</v>
      </c>
      <c r="GN82">
        <v>0</v>
      </c>
      <c r="GO82">
        <v>298</v>
      </c>
      <c r="GP82">
        <v>-1813</v>
      </c>
      <c r="GQ82">
        <v>9360</v>
      </c>
      <c r="GR82">
        <v>0</v>
      </c>
      <c r="GS82">
        <v>-1989</v>
      </c>
      <c r="GT82">
        <v>6808</v>
      </c>
      <c r="GU82">
        <v>8526</v>
      </c>
      <c r="GV82">
        <v>100014</v>
      </c>
      <c r="GW82">
        <v>0</v>
      </c>
      <c r="GX82">
        <v>1722</v>
      </c>
      <c r="GY82">
        <v>22368</v>
      </c>
      <c r="GZ82">
        <v>235</v>
      </c>
      <c r="HA82">
        <v>24325</v>
      </c>
      <c r="HB82">
        <v>9041</v>
      </c>
      <c r="HC82">
        <v>-1722</v>
      </c>
      <c r="HD82">
        <v>0</v>
      </c>
      <c r="HE82">
        <v>0</v>
      </c>
      <c r="HF82">
        <v>451</v>
      </c>
      <c r="HG82">
        <v>-2079</v>
      </c>
      <c r="HH82">
        <v>0</v>
      </c>
      <c r="HI82">
        <v>-710</v>
      </c>
      <c r="HJ82">
        <v>839</v>
      </c>
      <c r="HK82">
        <v>300</v>
      </c>
      <c r="HL82">
        <v>781</v>
      </c>
      <c r="HM82">
        <v>-1956</v>
      </c>
      <c r="HN82">
        <v>2325</v>
      </c>
      <c r="HO82">
        <v>12008</v>
      </c>
      <c r="HP82">
        <v>1392</v>
      </c>
      <c r="HQ82">
        <v>0</v>
      </c>
      <c r="HR82">
        <v>13051</v>
      </c>
      <c r="HS82">
        <v>0</v>
      </c>
      <c r="HT82">
        <v>19</v>
      </c>
      <c r="HU82">
        <v>0</v>
      </c>
      <c r="HV82">
        <v>33740</v>
      </c>
      <c r="HW82">
        <v>8221</v>
      </c>
      <c r="HX82">
        <v>40643</v>
      </c>
      <c r="HY82">
        <v>0</v>
      </c>
      <c r="HZ82">
        <v>0</v>
      </c>
      <c r="IA82">
        <v>8032</v>
      </c>
      <c r="IB82">
        <v>0</v>
      </c>
      <c r="IC82">
        <v>210907</v>
      </c>
      <c r="ID82">
        <v>36071</v>
      </c>
      <c r="IE82">
        <v>86828</v>
      </c>
      <c r="IF82">
        <v>249334</v>
      </c>
      <c r="IG82">
        <v>48595</v>
      </c>
      <c r="IH82">
        <v>21356</v>
      </c>
      <c r="II82">
        <v>13139</v>
      </c>
      <c r="IJ82">
        <v>78349</v>
      </c>
      <c r="IK82">
        <v>8526</v>
      </c>
      <c r="IL82">
        <v>0</v>
      </c>
      <c r="IM82">
        <v>24325</v>
      </c>
      <c r="IN82">
        <v>33740</v>
      </c>
      <c r="IO82">
        <v>0</v>
      </c>
      <c r="IP82">
        <v>811170</v>
      </c>
      <c r="IQ82">
        <v>109643</v>
      </c>
      <c r="IR82">
        <v>2937</v>
      </c>
      <c r="IS82">
        <v>17663</v>
      </c>
      <c r="IT82">
        <v>0</v>
      </c>
      <c r="IU82">
        <v>0</v>
      </c>
      <c r="IV82">
        <v>27052</v>
      </c>
      <c r="IW82">
        <v>0</v>
      </c>
      <c r="IX82">
        <v>0</v>
      </c>
      <c r="IY82">
        <v>0</v>
      </c>
      <c r="IZ82">
        <v>1227</v>
      </c>
      <c r="JA82">
        <v>0</v>
      </c>
      <c r="JB82">
        <v>155</v>
      </c>
      <c r="JC82">
        <v>0</v>
      </c>
      <c r="JD82">
        <v>-155</v>
      </c>
      <c r="JE82">
        <v>1104</v>
      </c>
      <c r="JF82">
        <v>-244</v>
      </c>
      <c r="JG82">
        <v>970552</v>
      </c>
      <c r="JH82">
        <v>423</v>
      </c>
      <c r="JI82">
        <v>2787</v>
      </c>
      <c r="JJ82">
        <v>0</v>
      </c>
      <c r="JK82">
        <v>0</v>
      </c>
      <c r="JL82">
        <v>0</v>
      </c>
      <c r="JM82">
        <v>-47</v>
      </c>
      <c r="JN82">
        <v>21910</v>
      </c>
      <c r="JO82">
        <v>0</v>
      </c>
      <c r="JP82">
        <v>27854</v>
      </c>
      <c r="JQ82">
        <v>-3764</v>
      </c>
      <c r="JR82">
        <v>1019715</v>
      </c>
      <c r="JS82">
        <v>-10612</v>
      </c>
      <c r="JT82">
        <v>0</v>
      </c>
      <c r="JU82">
        <v>1786</v>
      </c>
      <c r="JV82">
        <v>0</v>
      </c>
      <c r="JW82">
        <v>-128675</v>
      </c>
      <c r="JX82">
        <v>0</v>
      </c>
      <c r="JY82">
        <v>0</v>
      </c>
      <c r="JZ82">
        <v>14</v>
      </c>
      <c r="KA82">
        <v>0</v>
      </c>
      <c r="KB82">
        <v>-5760</v>
      </c>
      <c r="KC82">
        <v>876468</v>
      </c>
      <c r="KD82">
        <v>-1453</v>
      </c>
      <c r="KE82">
        <v>-325762</v>
      </c>
      <c r="KF82">
        <v>549253</v>
      </c>
      <c r="KG82">
        <v>0</v>
      </c>
      <c r="KH82">
        <v>2387</v>
      </c>
      <c r="KI82">
        <v>0</v>
      </c>
      <c r="KJ82">
        <v>2552</v>
      </c>
      <c r="KK82">
        <v>-17309</v>
      </c>
      <c r="KL82">
        <v>-553</v>
      </c>
      <c r="KM82">
        <v>0</v>
      </c>
      <c r="KN82">
        <v>0</v>
      </c>
      <c r="KO82">
        <v>-177914</v>
      </c>
      <c r="KP82">
        <v>98389</v>
      </c>
      <c r="KQ82">
        <v>0</v>
      </c>
      <c r="KR82">
        <v>353583</v>
      </c>
      <c r="KS82">
        <v>7540</v>
      </c>
      <c r="KT82">
        <v>0</v>
      </c>
      <c r="KU82">
        <v>3383</v>
      </c>
      <c r="KV82">
        <v>316894</v>
      </c>
      <c r="KW82">
        <v>41747</v>
      </c>
      <c r="KX82">
        <v>9927</v>
      </c>
      <c r="KY82">
        <v>0</v>
      </c>
      <c r="KZ82">
        <v>5935</v>
      </c>
      <c r="LA82">
        <v>299585</v>
      </c>
      <c r="LB82">
        <v>41194</v>
      </c>
      <c r="LC82">
        <v>0</v>
      </c>
      <c r="LD82">
        <v>53004</v>
      </c>
      <c r="LE82">
        <v>524</v>
      </c>
      <c r="LF82">
        <v>50917</v>
      </c>
      <c r="LG82">
        <v>-64992</v>
      </c>
      <c r="LH82">
        <v>43299</v>
      </c>
      <c r="LI82">
        <v>82752</v>
      </c>
      <c r="LJ82">
        <v>22467</v>
      </c>
      <c r="LK82">
        <v>18824</v>
      </c>
      <c r="LL82">
        <v>41291</v>
      </c>
      <c r="LM82">
        <v>826</v>
      </c>
      <c r="LN82">
        <v>0</v>
      </c>
      <c r="LO82">
        <v>0</v>
      </c>
      <c r="LP82">
        <v>41495</v>
      </c>
      <c r="LQ82">
        <v>43126</v>
      </c>
      <c r="LR82">
        <v>-1631</v>
      </c>
      <c r="LS82">
        <v>19983</v>
      </c>
      <c r="LT82">
        <v>18352</v>
      </c>
      <c r="LU82">
        <v>210907</v>
      </c>
      <c r="LV82">
        <v>36071</v>
      </c>
      <c r="LW82">
        <v>86828</v>
      </c>
      <c r="LX82">
        <v>249334</v>
      </c>
      <c r="LY82">
        <v>48595</v>
      </c>
      <c r="LZ82">
        <v>21356</v>
      </c>
      <c r="MA82">
        <v>13139</v>
      </c>
      <c r="MB82">
        <v>78349</v>
      </c>
      <c r="MC82">
        <v>8526</v>
      </c>
      <c r="MD82">
        <v>0</v>
      </c>
      <c r="ME82">
        <v>24325</v>
      </c>
      <c r="MF82">
        <v>33740</v>
      </c>
      <c r="MG82">
        <v>0</v>
      </c>
      <c r="MH82">
        <v>811170</v>
      </c>
      <c r="MI82">
        <v>0</v>
      </c>
      <c r="MJ82">
        <v>0</v>
      </c>
      <c r="MK82">
        <v>0</v>
      </c>
      <c r="ML82">
        <v>0</v>
      </c>
      <c r="MM82">
        <v>0</v>
      </c>
      <c r="MN82">
        <v>0</v>
      </c>
      <c r="MO82">
        <v>0</v>
      </c>
      <c r="MP82">
        <v>0</v>
      </c>
      <c r="MQ82">
        <v>0</v>
      </c>
      <c r="MR82">
        <v>0</v>
      </c>
      <c r="MS82">
        <v>0</v>
      </c>
      <c r="MT82">
        <v>0</v>
      </c>
      <c r="MU82">
        <v>0</v>
      </c>
      <c r="MV82">
        <v>0</v>
      </c>
      <c r="MW82">
        <v>0</v>
      </c>
      <c r="MX82">
        <v>0</v>
      </c>
      <c r="MY82">
        <v>0</v>
      </c>
      <c r="MZ82">
        <v>0</v>
      </c>
      <c r="NA82">
        <v>0</v>
      </c>
      <c r="NB82">
        <v>0</v>
      </c>
      <c r="NC82">
        <v>0</v>
      </c>
      <c r="ND82">
        <v>0</v>
      </c>
      <c r="NE82">
        <v>0</v>
      </c>
      <c r="NF82">
        <v>0</v>
      </c>
      <c r="NG82">
        <v>0</v>
      </c>
      <c r="NH82">
        <v>0</v>
      </c>
      <c r="NI82">
        <v>0</v>
      </c>
      <c r="NJ82">
        <v>0</v>
      </c>
      <c r="NK82">
        <v>0</v>
      </c>
      <c r="NL82">
        <v>0</v>
      </c>
      <c r="NM82">
        <v>0</v>
      </c>
      <c r="NN82">
        <v>0</v>
      </c>
      <c r="NO82">
        <v>0</v>
      </c>
      <c r="NP82">
        <v>0</v>
      </c>
      <c r="NQ82">
        <v>0</v>
      </c>
      <c r="NR82">
        <v>0</v>
      </c>
      <c r="NS82">
        <v>0</v>
      </c>
      <c r="NT82">
        <v>0</v>
      </c>
      <c r="NU82">
        <v>0</v>
      </c>
      <c r="NV82">
        <v>0</v>
      </c>
      <c r="NW82">
        <v>0</v>
      </c>
      <c r="NX82">
        <v>0</v>
      </c>
      <c r="NY82">
        <v>0</v>
      </c>
      <c r="NZ82">
        <v>0</v>
      </c>
      <c r="OA82">
        <v>155</v>
      </c>
      <c r="OB82">
        <v>155</v>
      </c>
      <c r="OC82">
        <v>0</v>
      </c>
      <c r="OD82">
        <v>0</v>
      </c>
      <c r="OE82">
        <v>0</v>
      </c>
      <c r="OF82">
        <v>0</v>
      </c>
      <c r="OG82">
        <v>0</v>
      </c>
      <c r="OH82">
        <v>0</v>
      </c>
      <c r="OI82">
        <v>155</v>
      </c>
      <c r="OJ82">
        <v>0</v>
      </c>
      <c r="OK82">
        <v>0</v>
      </c>
      <c r="OL82">
        <v>0</v>
      </c>
      <c r="OM82">
        <v>0</v>
      </c>
      <c r="ON82">
        <v>155</v>
      </c>
    </row>
    <row r="83" spans="1:404" x14ac:dyDescent="0.25">
      <c r="A83" t="s">
        <v>312</v>
      </c>
      <c r="B83" t="s">
        <v>313</v>
      </c>
      <c r="C83" t="s">
        <v>311</v>
      </c>
      <c r="E83" t="s">
        <v>61</v>
      </c>
      <c r="F83">
        <v>0</v>
      </c>
      <c r="G83">
        <v>0</v>
      </c>
      <c r="H83">
        <v>0</v>
      </c>
      <c r="I83">
        <v>0</v>
      </c>
      <c r="J83">
        <v>0</v>
      </c>
      <c r="K83">
        <v>0</v>
      </c>
      <c r="L83">
        <v>0</v>
      </c>
      <c r="M83">
        <v>0</v>
      </c>
      <c r="N83">
        <v>0</v>
      </c>
      <c r="O83">
        <v>0</v>
      </c>
      <c r="P83">
        <v>0</v>
      </c>
      <c r="Q83">
        <v>0</v>
      </c>
      <c r="R83">
        <v>0</v>
      </c>
      <c r="S83">
        <v>0</v>
      </c>
      <c r="T83">
        <v>0</v>
      </c>
      <c r="U83">
        <v>0</v>
      </c>
      <c r="V83">
        <v>0</v>
      </c>
      <c r="W83">
        <v>0</v>
      </c>
      <c r="X83">
        <v>0</v>
      </c>
      <c r="Y83">
        <v>-25</v>
      </c>
      <c r="Z83">
        <v>-3</v>
      </c>
      <c r="AA83">
        <v>-1459</v>
      </c>
      <c r="AB83">
        <v>0</v>
      </c>
      <c r="AC83">
        <v>12</v>
      </c>
      <c r="AD83">
        <v>0</v>
      </c>
      <c r="AE83">
        <v>0</v>
      </c>
      <c r="AF83">
        <v>0</v>
      </c>
      <c r="AG83">
        <v>0</v>
      </c>
      <c r="AH83">
        <v>0</v>
      </c>
      <c r="AI83">
        <v>-1475</v>
      </c>
      <c r="AJ83">
        <v>0</v>
      </c>
      <c r="AK83">
        <v>0</v>
      </c>
      <c r="AL83">
        <v>0</v>
      </c>
      <c r="AM83">
        <v>0</v>
      </c>
      <c r="AN83">
        <v>0</v>
      </c>
      <c r="AO83">
        <v>0</v>
      </c>
      <c r="AP83">
        <v>0</v>
      </c>
      <c r="AQ83">
        <v>0</v>
      </c>
      <c r="AR83">
        <v>0</v>
      </c>
      <c r="AS83">
        <v>0</v>
      </c>
      <c r="AT83">
        <v>0</v>
      </c>
      <c r="AU83">
        <v>0</v>
      </c>
      <c r="AV83">
        <v>0</v>
      </c>
      <c r="AW83">
        <v>0</v>
      </c>
      <c r="AX83">
        <v>0</v>
      </c>
      <c r="AY83">
        <v>0</v>
      </c>
      <c r="AZ83">
        <v>0</v>
      </c>
      <c r="BA83">
        <v>0</v>
      </c>
      <c r="BB83">
        <v>0</v>
      </c>
      <c r="BC83">
        <v>0</v>
      </c>
      <c r="BD83">
        <v>0</v>
      </c>
      <c r="BE83">
        <v>0</v>
      </c>
      <c r="BF83">
        <v>0</v>
      </c>
      <c r="BG83">
        <v>0</v>
      </c>
      <c r="BH83">
        <v>0</v>
      </c>
      <c r="BI83">
        <v>0</v>
      </c>
      <c r="BJ83">
        <v>0</v>
      </c>
      <c r="BK83">
        <v>0</v>
      </c>
      <c r="BL83">
        <v>0</v>
      </c>
      <c r="BM83">
        <v>0</v>
      </c>
      <c r="BN83">
        <v>0</v>
      </c>
      <c r="BO83">
        <v>0</v>
      </c>
      <c r="BP83">
        <v>0</v>
      </c>
      <c r="BQ83">
        <v>0</v>
      </c>
      <c r="BR83">
        <v>0</v>
      </c>
      <c r="BS83">
        <v>0</v>
      </c>
      <c r="BT83">
        <v>0</v>
      </c>
      <c r="BU83">
        <v>0</v>
      </c>
      <c r="BV83">
        <v>0</v>
      </c>
      <c r="BW83">
        <v>0</v>
      </c>
      <c r="BX83">
        <v>0</v>
      </c>
      <c r="BY83">
        <v>0</v>
      </c>
      <c r="BZ83">
        <v>0</v>
      </c>
      <c r="CA83">
        <v>0</v>
      </c>
      <c r="CB83">
        <v>0</v>
      </c>
      <c r="CC83">
        <v>0</v>
      </c>
      <c r="CD83">
        <v>0</v>
      </c>
      <c r="CE83">
        <v>0</v>
      </c>
      <c r="CF83">
        <v>0</v>
      </c>
      <c r="CG83">
        <v>0</v>
      </c>
      <c r="CH83">
        <v>0</v>
      </c>
      <c r="CI83">
        <v>0</v>
      </c>
      <c r="CJ83">
        <v>0</v>
      </c>
      <c r="CK83">
        <v>0</v>
      </c>
      <c r="CL83">
        <v>0</v>
      </c>
      <c r="CM83">
        <v>0</v>
      </c>
      <c r="CN83">
        <v>0</v>
      </c>
      <c r="CO83">
        <v>0</v>
      </c>
      <c r="CP83">
        <v>0</v>
      </c>
      <c r="CQ83">
        <v>0</v>
      </c>
      <c r="CR83">
        <v>0</v>
      </c>
      <c r="CS83">
        <v>0</v>
      </c>
      <c r="CT83">
        <v>0</v>
      </c>
      <c r="CU83">
        <v>0</v>
      </c>
      <c r="CV83">
        <v>0</v>
      </c>
      <c r="CW83">
        <v>0</v>
      </c>
      <c r="CX83">
        <v>0</v>
      </c>
      <c r="CY83">
        <v>0</v>
      </c>
      <c r="CZ83">
        <v>0</v>
      </c>
      <c r="DA83">
        <v>0</v>
      </c>
      <c r="DB83">
        <v>0</v>
      </c>
      <c r="DC83">
        <v>500</v>
      </c>
      <c r="DD83">
        <v>0</v>
      </c>
      <c r="DE83">
        <v>0</v>
      </c>
      <c r="DF83">
        <v>0</v>
      </c>
      <c r="DG83">
        <v>0</v>
      </c>
      <c r="DH83">
        <v>0</v>
      </c>
      <c r="DI83">
        <v>103</v>
      </c>
      <c r="DJ83">
        <v>0</v>
      </c>
      <c r="DK83">
        <v>0</v>
      </c>
      <c r="DL83">
        <v>0</v>
      </c>
      <c r="DM83">
        <v>0</v>
      </c>
      <c r="DN83">
        <v>346</v>
      </c>
      <c r="DO83">
        <v>0</v>
      </c>
      <c r="DP83">
        <v>449</v>
      </c>
      <c r="DQ83">
        <v>0</v>
      </c>
      <c r="DR83">
        <v>0</v>
      </c>
      <c r="DS83">
        <v>0</v>
      </c>
      <c r="DT83">
        <v>534</v>
      </c>
      <c r="DU83">
        <v>0</v>
      </c>
      <c r="DV83">
        <v>0</v>
      </c>
      <c r="DW83">
        <v>0</v>
      </c>
      <c r="DX83">
        <v>1483</v>
      </c>
      <c r="DY83">
        <v>0</v>
      </c>
      <c r="DZ83">
        <v>0</v>
      </c>
      <c r="EA83">
        <v>0</v>
      </c>
      <c r="EB83">
        <v>0</v>
      </c>
      <c r="EC83">
        <v>0</v>
      </c>
      <c r="ED83">
        <v>0</v>
      </c>
      <c r="EE83">
        <v>0</v>
      </c>
      <c r="EF83">
        <v>0</v>
      </c>
      <c r="EG83">
        <v>0</v>
      </c>
      <c r="EH83">
        <v>0</v>
      </c>
      <c r="EI83">
        <v>0</v>
      </c>
      <c r="EJ83">
        <v>0</v>
      </c>
      <c r="EK83">
        <v>0</v>
      </c>
      <c r="EL83">
        <v>0</v>
      </c>
      <c r="EM83">
        <v>0</v>
      </c>
      <c r="EN83">
        <v>0</v>
      </c>
      <c r="EO83">
        <v>0</v>
      </c>
      <c r="EP83">
        <v>0</v>
      </c>
      <c r="EQ83">
        <v>0</v>
      </c>
      <c r="ER83">
        <v>0</v>
      </c>
      <c r="ES83">
        <v>0</v>
      </c>
      <c r="ET83">
        <v>0</v>
      </c>
      <c r="EU83">
        <v>0</v>
      </c>
      <c r="EV83">
        <v>0</v>
      </c>
      <c r="EW83">
        <v>29</v>
      </c>
      <c r="EX83">
        <v>56</v>
      </c>
      <c r="EY83">
        <v>0</v>
      </c>
      <c r="EZ83">
        <v>0</v>
      </c>
      <c r="FA83">
        <v>0</v>
      </c>
      <c r="FB83">
        <v>0</v>
      </c>
      <c r="FC83">
        <v>275</v>
      </c>
      <c r="FD83">
        <v>0</v>
      </c>
      <c r="FE83">
        <v>0</v>
      </c>
      <c r="FF83">
        <v>119</v>
      </c>
      <c r="FG83">
        <v>0</v>
      </c>
      <c r="FH83">
        <v>479</v>
      </c>
      <c r="FI83">
        <v>88</v>
      </c>
      <c r="FJ83">
        <v>0</v>
      </c>
      <c r="FK83">
        <v>0</v>
      </c>
      <c r="FL83">
        <v>119</v>
      </c>
      <c r="FM83">
        <v>298</v>
      </c>
      <c r="FN83">
        <v>0</v>
      </c>
      <c r="FO83">
        <v>7</v>
      </c>
      <c r="FP83">
        <v>0</v>
      </c>
      <c r="FQ83">
        <v>0</v>
      </c>
      <c r="FR83">
        <v>0</v>
      </c>
      <c r="FS83">
        <v>193</v>
      </c>
      <c r="FT83">
        <v>8</v>
      </c>
      <c r="FU83">
        <v>-28</v>
      </c>
      <c r="FV83">
        <v>-32</v>
      </c>
      <c r="FW83">
        <v>0</v>
      </c>
      <c r="FX83">
        <v>0</v>
      </c>
      <c r="FY83">
        <v>83</v>
      </c>
      <c r="FZ83">
        <v>0</v>
      </c>
      <c r="GA83">
        <v>0</v>
      </c>
      <c r="GB83">
        <v>0</v>
      </c>
      <c r="GC83">
        <v>0</v>
      </c>
      <c r="GD83">
        <v>1236</v>
      </c>
      <c r="GE83">
        <v>1211</v>
      </c>
      <c r="GF83">
        <v>0</v>
      </c>
      <c r="GG83">
        <v>0</v>
      </c>
      <c r="GH83">
        <v>1985</v>
      </c>
      <c r="GI83">
        <v>0</v>
      </c>
      <c r="GJ83">
        <v>108</v>
      </c>
      <c r="GK83">
        <v>5276</v>
      </c>
      <c r="GL83">
        <v>-73</v>
      </c>
      <c r="GM83">
        <v>692</v>
      </c>
      <c r="GN83">
        <v>0</v>
      </c>
      <c r="GO83">
        <v>314</v>
      </c>
      <c r="GP83">
        <v>0</v>
      </c>
      <c r="GQ83">
        <v>0</v>
      </c>
      <c r="GR83">
        <v>0</v>
      </c>
      <c r="GS83">
        <v>0</v>
      </c>
      <c r="GT83">
        <v>258</v>
      </c>
      <c r="GU83">
        <v>1191</v>
      </c>
      <c r="GV83">
        <v>6946</v>
      </c>
      <c r="GW83">
        <v>0</v>
      </c>
      <c r="GX83">
        <v>0</v>
      </c>
      <c r="GY83">
        <v>0</v>
      </c>
      <c r="GZ83">
        <v>0</v>
      </c>
      <c r="HA83">
        <v>0</v>
      </c>
      <c r="HB83">
        <v>3589</v>
      </c>
      <c r="HC83">
        <v>245</v>
      </c>
      <c r="HD83">
        <v>0</v>
      </c>
      <c r="HE83">
        <v>0</v>
      </c>
      <c r="HF83">
        <v>0</v>
      </c>
      <c r="HG83">
        <v>-79</v>
      </c>
      <c r="HH83">
        <v>0</v>
      </c>
      <c r="HI83">
        <v>0</v>
      </c>
      <c r="HJ83">
        <v>45</v>
      </c>
      <c r="HK83">
        <v>83</v>
      </c>
      <c r="HL83">
        <v>26</v>
      </c>
      <c r="HM83">
        <v>-91</v>
      </c>
      <c r="HN83">
        <v>0</v>
      </c>
      <c r="HO83">
        <v>0</v>
      </c>
      <c r="HP83">
        <v>0</v>
      </c>
      <c r="HQ83">
        <v>0</v>
      </c>
      <c r="HR83">
        <v>137</v>
      </c>
      <c r="HS83">
        <v>0</v>
      </c>
      <c r="HT83">
        <v>0</v>
      </c>
      <c r="HU83">
        <v>4902</v>
      </c>
      <c r="HV83">
        <v>8857</v>
      </c>
      <c r="HW83">
        <v>0</v>
      </c>
      <c r="HX83">
        <v>0</v>
      </c>
      <c r="HY83">
        <v>0</v>
      </c>
      <c r="HZ83">
        <v>0</v>
      </c>
      <c r="IA83">
        <v>764</v>
      </c>
      <c r="IB83">
        <v>1078</v>
      </c>
      <c r="IC83">
        <v>0</v>
      </c>
      <c r="ID83">
        <v>-1475</v>
      </c>
      <c r="IE83">
        <v>0</v>
      </c>
      <c r="IF83">
        <v>0</v>
      </c>
      <c r="IG83">
        <v>0</v>
      </c>
      <c r="IH83">
        <v>1483</v>
      </c>
      <c r="II83">
        <v>479</v>
      </c>
      <c r="IJ83">
        <v>5276</v>
      </c>
      <c r="IK83">
        <v>1191</v>
      </c>
      <c r="IL83">
        <v>0</v>
      </c>
      <c r="IM83">
        <v>0</v>
      </c>
      <c r="IN83">
        <v>8857</v>
      </c>
      <c r="IO83">
        <v>1078</v>
      </c>
      <c r="IP83">
        <v>16889</v>
      </c>
      <c r="IQ83">
        <v>12690</v>
      </c>
      <c r="IR83">
        <v>0</v>
      </c>
      <c r="IS83">
        <v>0</v>
      </c>
      <c r="IT83">
        <v>0</v>
      </c>
      <c r="IU83">
        <v>0</v>
      </c>
      <c r="IV83">
        <v>3521</v>
      </c>
      <c r="IW83">
        <v>0</v>
      </c>
      <c r="IX83">
        <v>0</v>
      </c>
      <c r="IY83">
        <v>0</v>
      </c>
      <c r="IZ83">
        <v>0</v>
      </c>
      <c r="JA83">
        <v>-425</v>
      </c>
      <c r="JB83">
        <v>0</v>
      </c>
      <c r="JC83">
        <v>-217</v>
      </c>
      <c r="JD83">
        <v>0</v>
      </c>
      <c r="JE83">
        <v>0</v>
      </c>
      <c r="JF83">
        <v>0</v>
      </c>
      <c r="JG83">
        <v>32458</v>
      </c>
      <c r="JH83">
        <v>0</v>
      </c>
      <c r="JI83">
        <v>293</v>
      </c>
      <c r="JJ83">
        <v>0</v>
      </c>
      <c r="JK83">
        <v>0</v>
      </c>
      <c r="JL83">
        <v>0</v>
      </c>
      <c r="JM83">
        <v>-114</v>
      </c>
      <c r="JN83">
        <v>0</v>
      </c>
      <c r="JO83">
        <v>0</v>
      </c>
      <c r="JP83">
        <v>3</v>
      </c>
      <c r="JQ83">
        <v>0</v>
      </c>
      <c r="JR83">
        <v>32640</v>
      </c>
      <c r="JS83">
        <v>-489</v>
      </c>
      <c r="JT83">
        <v>0</v>
      </c>
      <c r="JU83">
        <v>0</v>
      </c>
      <c r="JV83">
        <v>0</v>
      </c>
      <c r="JW83">
        <v>-11827</v>
      </c>
      <c r="JX83">
        <v>0</v>
      </c>
      <c r="JY83">
        <v>0</v>
      </c>
      <c r="JZ83">
        <v>0</v>
      </c>
      <c r="KA83">
        <v>0</v>
      </c>
      <c r="KB83">
        <v>0</v>
      </c>
      <c r="KC83">
        <v>20324</v>
      </c>
      <c r="KD83">
        <v>0</v>
      </c>
      <c r="KE83">
        <v>-4042</v>
      </c>
      <c r="KF83">
        <v>16282</v>
      </c>
      <c r="KG83">
        <v>0</v>
      </c>
      <c r="KH83">
        <v>0</v>
      </c>
      <c r="KI83">
        <v>0</v>
      </c>
      <c r="KJ83">
        <v>0</v>
      </c>
      <c r="KK83">
        <v>-3913</v>
      </c>
      <c r="KL83">
        <v>1656</v>
      </c>
      <c r="KM83">
        <v>0</v>
      </c>
      <c r="KN83">
        <v>0</v>
      </c>
      <c r="KO83">
        <v>0</v>
      </c>
      <c r="KP83">
        <v>66</v>
      </c>
      <c r="KQ83">
        <v>0</v>
      </c>
      <c r="KR83">
        <v>9335</v>
      </c>
      <c r="KS83">
        <v>0</v>
      </c>
      <c r="KT83">
        <v>0</v>
      </c>
      <c r="KU83">
        <v>0</v>
      </c>
      <c r="KV83">
        <v>16551</v>
      </c>
      <c r="KW83">
        <v>896</v>
      </c>
      <c r="KX83">
        <v>0</v>
      </c>
      <c r="KY83">
        <v>0</v>
      </c>
      <c r="KZ83">
        <v>0</v>
      </c>
      <c r="LA83">
        <v>12638</v>
      </c>
      <c r="LB83">
        <v>2552</v>
      </c>
      <c r="LC83">
        <v>0</v>
      </c>
      <c r="LD83">
        <v>1458</v>
      </c>
      <c r="LE83">
        <v>0</v>
      </c>
      <c r="LF83">
        <v>0</v>
      </c>
      <c r="LG83">
        <v>-2078</v>
      </c>
      <c r="LH83">
        <v>955</v>
      </c>
      <c r="LI83">
        <v>129</v>
      </c>
      <c r="LJ83">
        <v>2297</v>
      </c>
      <c r="LK83">
        <v>2175</v>
      </c>
      <c r="LL83">
        <v>4472</v>
      </c>
      <c r="LM83">
        <v>0</v>
      </c>
      <c r="LN83">
        <v>0</v>
      </c>
      <c r="LO83">
        <v>0</v>
      </c>
      <c r="LP83">
        <v>0</v>
      </c>
      <c r="LQ83">
        <v>0</v>
      </c>
      <c r="LR83">
        <v>0</v>
      </c>
      <c r="LS83">
        <v>0</v>
      </c>
      <c r="LT83">
        <v>0</v>
      </c>
      <c r="LU83">
        <v>0</v>
      </c>
      <c r="LV83">
        <v>-1475</v>
      </c>
      <c r="LW83">
        <v>0</v>
      </c>
      <c r="LX83">
        <v>0</v>
      </c>
      <c r="LY83">
        <v>0</v>
      </c>
      <c r="LZ83">
        <v>1483</v>
      </c>
      <c r="MA83">
        <v>479</v>
      </c>
      <c r="MB83">
        <v>5276</v>
      </c>
      <c r="MC83">
        <v>1191</v>
      </c>
      <c r="MD83">
        <v>0</v>
      </c>
      <c r="ME83">
        <v>0</v>
      </c>
      <c r="MF83">
        <v>8857</v>
      </c>
      <c r="MG83">
        <v>1078</v>
      </c>
      <c r="MH83">
        <v>16889</v>
      </c>
      <c r="MI83">
        <v>0</v>
      </c>
      <c r="MJ83">
        <v>0</v>
      </c>
      <c r="MK83">
        <v>0</v>
      </c>
      <c r="ML83">
        <v>0</v>
      </c>
      <c r="MM83">
        <v>0</v>
      </c>
      <c r="MN83">
        <v>0</v>
      </c>
      <c r="MO83">
        <v>0</v>
      </c>
      <c r="MP83">
        <v>0</v>
      </c>
      <c r="MQ83">
        <v>0</v>
      </c>
      <c r="MR83">
        <v>0</v>
      </c>
      <c r="MS83">
        <v>0</v>
      </c>
      <c r="MT83">
        <v>0</v>
      </c>
      <c r="MU83">
        <v>0</v>
      </c>
      <c r="MV83">
        <v>0</v>
      </c>
      <c r="MW83">
        <v>0</v>
      </c>
      <c r="MX83">
        <v>0</v>
      </c>
      <c r="MY83">
        <v>-642</v>
      </c>
      <c r="MZ83">
        <v>0</v>
      </c>
      <c r="NA83">
        <v>-642</v>
      </c>
      <c r="NB83">
        <v>217</v>
      </c>
      <c r="NC83">
        <v>-425</v>
      </c>
      <c r="ND83">
        <v>0</v>
      </c>
      <c r="NE83">
        <v>0</v>
      </c>
      <c r="NF83">
        <v>0</v>
      </c>
      <c r="NG83">
        <v>0</v>
      </c>
      <c r="NH83">
        <v>0</v>
      </c>
      <c r="NI83">
        <v>0</v>
      </c>
      <c r="NJ83">
        <v>0</v>
      </c>
      <c r="NK83">
        <v>0</v>
      </c>
      <c r="NL83">
        <v>0</v>
      </c>
      <c r="NM83">
        <v>0</v>
      </c>
      <c r="NN83">
        <v>0</v>
      </c>
      <c r="NO83">
        <v>0</v>
      </c>
      <c r="NP83">
        <v>0</v>
      </c>
      <c r="NQ83">
        <v>0</v>
      </c>
      <c r="NR83">
        <v>0</v>
      </c>
      <c r="NS83">
        <v>0</v>
      </c>
      <c r="NT83">
        <v>0</v>
      </c>
      <c r="NU83">
        <v>0</v>
      </c>
      <c r="NV83">
        <v>0</v>
      </c>
      <c r="NW83">
        <v>0</v>
      </c>
      <c r="NX83">
        <v>0</v>
      </c>
      <c r="NY83">
        <v>0</v>
      </c>
      <c r="NZ83">
        <v>0</v>
      </c>
      <c r="OA83">
        <v>0</v>
      </c>
      <c r="OB83">
        <v>0</v>
      </c>
      <c r="OC83">
        <v>0</v>
      </c>
      <c r="OD83">
        <v>0</v>
      </c>
      <c r="OE83">
        <v>217</v>
      </c>
      <c r="OF83">
        <v>0</v>
      </c>
      <c r="OG83">
        <v>0</v>
      </c>
      <c r="OH83">
        <v>217</v>
      </c>
      <c r="OI83">
        <v>0</v>
      </c>
      <c r="OJ83">
        <v>0</v>
      </c>
      <c r="OK83">
        <v>0</v>
      </c>
      <c r="OL83">
        <v>0</v>
      </c>
      <c r="OM83">
        <v>0</v>
      </c>
      <c r="ON83">
        <v>0</v>
      </c>
    </row>
    <row r="84" spans="1:404" x14ac:dyDescent="0.25">
      <c r="A84" t="s">
        <v>315</v>
      </c>
      <c r="B84" t="s">
        <v>316</v>
      </c>
      <c r="C84" t="s">
        <v>314</v>
      </c>
      <c r="E84" t="s">
        <v>97</v>
      </c>
      <c r="F84">
        <v>19727</v>
      </c>
      <c r="G84">
        <v>113204</v>
      </c>
      <c r="H84">
        <v>2190</v>
      </c>
      <c r="I84">
        <v>33458</v>
      </c>
      <c r="J84">
        <v>3148</v>
      </c>
      <c r="K84">
        <v>16937</v>
      </c>
      <c r="L84">
        <v>188664</v>
      </c>
      <c r="M84">
        <v>635</v>
      </c>
      <c r="N84">
        <v>1135</v>
      </c>
      <c r="O84">
        <v>0</v>
      </c>
      <c r="P84">
        <v>0</v>
      </c>
      <c r="Q84">
        <v>253</v>
      </c>
      <c r="R84">
        <v>0</v>
      </c>
      <c r="S84">
        <v>5857</v>
      </c>
      <c r="T84">
        <v>427</v>
      </c>
      <c r="U84">
        <v>8143</v>
      </c>
      <c r="V84">
        <v>0</v>
      </c>
      <c r="W84">
        <v>-593</v>
      </c>
      <c r="X84">
        <v>-6</v>
      </c>
      <c r="Y84">
        <v>852</v>
      </c>
      <c r="Z84">
        <v>0</v>
      </c>
      <c r="AA84">
        <v>-2208</v>
      </c>
      <c r="AB84">
        <v>0</v>
      </c>
      <c r="AC84">
        <v>0</v>
      </c>
      <c r="AD84">
        <v>0</v>
      </c>
      <c r="AE84">
        <v>0</v>
      </c>
      <c r="AF84">
        <v>0</v>
      </c>
      <c r="AG84">
        <v>65</v>
      </c>
      <c r="AH84">
        <v>0</v>
      </c>
      <c r="AI84">
        <v>14560</v>
      </c>
      <c r="AJ84">
        <v>0</v>
      </c>
      <c r="AK84">
        <v>0</v>
      </c>
      <c r="AL84">
        <v>0</v>
      </c>
      <c r="AM84">
        <v>0</v>
      </c>
      <c r="AN84">
        <v>0</v>
      </c>
      <c r="AO84">
        <v>0</v>
      </c>
      <c r="AP84">
        <v>0</v>
      </c>
      <c r="AQ84">
        <v>0</v>
      </c>
      <c r="AR84">
        <v>0</v>
      </c>
      <c r="AS84">
        <v>0</v>
      </c>
      <c r="AT84">
        <v>0</v>
      </c>
      <c r="AU84">
        <v>0</v>
      </c>
      <c r="AV84">
        <v>1167</v>
      </c>
      <c r="AW84">
        <v>56891</v>
      </c>
      <c r="AX84">
        <v>1186</v>
      </c>
      <c r="AY84">
        <v>11949</v>
      </c>
      <c r="AZ84">
        <v>1255</v>
      </c>
      <c r="BA84">
        <v>22339</v>
      </c>
      <c r="BB84">
        <v>1883</v>
      </c>
      <c r="BC84">
        <v>344</v>
      </c>
      <c r="BD84">
        <v>97014</v>
      </c>
      <c r="BE84">
        <v>5377</v>
      </c>
      <c r="BF84">
        <v>14986</v>
      </c>
      <c r="BG84">
        <v>455</v>
      </c>
      <c r="BH84">
        <v>1540</v>
      </c>
      <c r="BI84">
        <v>1469</v>
      </c>
      <c r="BJ84">
        <v>9587</v>
      </c>
      <c r="BK84">
        <v>31694</v>
      </c>
      <c r="BL84">
        <v>2817</v>
      </c>
      <c r="BM84">
        <v>6782</v>
      </c>
      <c r="BN84">
        <v>4381</v>
      </c>
      <c r="BO84">
        <v>16</v>
      </c>
      <c r="BP84">
        <v>121</v>
      </c>
      <c r="BQ84">
        <v>309</v>
      </c>
      <c r="BR84">
        <v>265</v>
      </c>
      <c r="BS84">
        <v>1216</v>
      </c>
      <c r="BT84">
        <v>11557</v>
      </c>
      <c r="BU84">
        <v>2479</v>
      </c>
      <c r="BV84">
        <v>-9653</v>
      </c>
      <c r="BW84">
        <v>93678</v>
      </c>
      <c r="BX84">
        <v>2855</v>
      </c>
      <c r="BY84">
        <v>784</v>
      </c>
      <c r="BZ84">
        <v>232</v>
      </c>
      <c r="CA84">
        <v>273</v>
      </c>
      <c r="CB84">
        <v>306</v>
      </c>
      <c r="CC84">
        <v>25</v>
      </c>
      <c r="CD84">
        <v>109</v>
      </c>
      <c r="CE84">
        <v>453</v>
      </c>
      <c r="CF84">
        <v>130</v>
      </c>
      <c r="CG84">
        <v>41</v>
      </c>
      <c r="CH84">
        <v>118</v>
      </c>
      <c r="CI84">
        <v>2000</v>
      </c>
      <c r="CJ84">
        <v>1117</v>
      </c>
      <c r="CK84">
        <v>283</v>
      </c>
      <c r="CL84">
        <v>153</v>
      </c>
      <c r="CM84">
        <v>314</v>
      </c>
      <c r="CN84">
        <v>819</v>
      </c>
      <c r="CO84">
        <v>0</v>
      </c>
      <c r="CP84">
        <v>2314</v>
      </c>
      <c r="CQ84">
        <v>4844</v>
      </c>
      <c r="CR84">
        <v>2317</v>
      </c>
      <c r="CS84">
        <v>29</v>
      </c>
      <c r="CT84">
        <v>0</v>
      </c>
      <c r="CU84">
        <v>5231</v>
      </c>
      <c r="CV84">
        <v>29008</v>
      </c>
      <c r="CW84">
        <v>332</v>
      </c>
      <c r="CX84">
        <v>0</v>
      </c>
      <c r="CY84">
        <v>123</v>
      </c>
      <c r="CZ84">
        <v>0</v>
      </c>
      <c r="DA84">
        <v>0</v>
      </c>
      <c r="DB84">
        <v>0</v>
      </c>
      <c r="DC84">
        <v>175</v>
      </c>
      <c r="DD84">
        <v>0</v>
      </c>
      <c r="DE84">
        <v>0</v>
      </c>
      <c r="DF84">
        <v>535</v>
      </c>
      <c r="DG84">
        <v>394</v>
      </c>
      <c r="DH84">
        <v>2763</v>
      </c>
      <c r="DI84">
        <v>227</v>
      </c>
      <c r="DJ84">
        <v>3917</v>
      </c>
      <c r="DK84">
        <v>463</v>
      </c>
      <c r="DL84">
        <v>0</v>
      </c>
      <c r="DM84">
        <v>764</v>
      </c>
      <c r="DN84">
        <v>2831</v>
      </c>
      <c r="DO84">
        <v>2109</v>
      </c>
      <c r="DP84">
        <v>13468</v>
      </c>
      <c r="DQ84">
        <v>0</v>
      </c>
      <c r="DR84">
        <v>0</v>
      </c>
      <c r="DS84">
        <v>0</v>
      </c>
      <c r="DT84">
        <v>3020</v>
      </c>
      <c r="DU84">
        <v>16</v>
      </c>
      <c r="DV84">
        <v>0</v>
      </c>
      <c r="DW84">
        <v>0</v>
      </c>
      <c r="DX84">
        <v>17214</v>
      </c>
      <c r="DY84">
        <v>0</v>
      </c>
      <c r="DZ84">
        <v>0</v>
      </c>
      <c r="EA84">
        <v>0</v>
      </c>
      <c r="EB84">
        <v>0</v>
      </c>
      <c r="EC84">
        <v>0</v>
      </c>
      <c r="ED84">
        <v>0</v>
      </c>
      <c r="EE84">
        <v>0</v>
      </c>
      <c r="EF84">
        <v>0</v>
      </c>
      <c r="EG84">
        <v>0</v>
      </c>
      <c r="EH84">
        <v>0</v>
      </c>
      <c r="EI84">
        <v>0</v>
      </c>
      <c r="EJ84">
        <v>0</v>
      </c>
      <c r="EK84">
        <v>0</v>
      </c>
      <c r="EL84">
        <v>0</v>
      </c>
      <c r="EM84">
        <v>0</v>
      </c>
      <c r="EN84">
        <v>0</v>
      </c>
      <c r="EO84">
        <v>0</v>
      </c>
      <c r="EP84">
        <v>0</v>
      </c>
      <c r="EQ84">
        <v>0</v>
      </c>
      <c r="ER84">
        <v>0</v>
      </c>
      <c r="ES84">
        <v>0</v>
      </c>
      <c r="ET84">
        <v>0</v>
      </c>
      <c r="EU84">
        <v>0</v>
      </c>
      <c r="EV84">
        <v>1449</v>
      </c>
      <c r="EW84">
        <v>0</v>
      </c>
      <c r="EX84">
        <v>636</v>
      </c>
      <c r="EY84">
        <v>0</v>
      </c>
      <c r="EZ84">
        <v>0</v>
      </c>
      <c r="FA84">
        <v>0</v>
      </c>
      <c r="FB84">
        <v>739</v>
      </c>
      <c r="FC84">
        <v>500</v>
      </c>
      <c r="FD84">
        <v>1723</v>
      </c>
      <c r="FE84">
        <v>0</v>
      </c>
      <c r="FF84">
        <v>5329</v>
      </c>
      <c r="FG84">
        <v>3423</v>
      </c>
      <c r="FH84">
        <v>13799</v>
      </c>
      <c r="FI84">
        <v>-2728</v>
      </c>
      <c r="FJ84">
        <v>371</v>
      </c>
      <c r="FK84">
        <v>0</v>
      </c>
      <c r="FL84">
        <v>449</v>
      </c>
      <c r="FM84">
        <v>1340</v>
      </c>
      <c r="FN84">
        <v>72</v>
      </c>
      <c r="FO84">
        <v>193</v>
      </c>
      <c r="FP84">
        <v>0</v>
      </c>
      <c r="FQ84">
        <v>0</v>
      </c>
      <c r="FR84">
        <v>219</v>
      </c>
      <c r="FS84">
        <v>124</v>
      </c>
      <c r="FT84">
        <v>63</v>
      </c>
      <c r="FU84">
        <v>548</v>
      </c>
      <c r="FV84">
        <v>873</v>
      </c>
      <c r="FW84">
        <v>402</v>
      </c>
      <c r="FX84">
        <v>0</v>
      </c>
      <c r="FY84">
        <v>0</v>
      </c>
      <c r="FZ84">
        <v>0</v>
      </c>
      <c r="GA84">
        <v>0</v>
      </c>
      <c r="GB84">
        <v>0</v>
      </c>
      <c r="GC84">
        <v>0</v>
      </c>
      <c r="GD84">
        <v>5018</v>
      </c>
      <c r="GE84">
        <v>11715</v>
      </c>
      <c r="GF84">
        <v>11342</v>
      </c>
      <c r="GG84">
        <v>0</v>
      </c>
      <c r="GH84">
        <v>0</v>
      </c>
      <c r="GI84">
        <v>0</v>
      </c>
      <c r="GJ84">
        <v>167</v>
      </c>
      <c r="GK84">
        <v>30168</v>
      </c>
      <c r="GL84">
        <v>12</v>
      </c>
      <c r="GM84">
        <v>303</v>
      </c>
      <c r="GN84">
        <v>0</v>
      </c>
      <c r="GO84">
        <v>622</v>
      </c>
      <c r="GP84">
        <v>0</v>
      </c>
      <c r="GQ84">
        <v>15047</v>
      </c>
      <c r="GR84">
        <v>0</v>
      </c>
      <c r="GS84">
        <v>0</v>
      </c>
      <c r="GT84">
        <v>3420</v>
      </c>
      <c r="GU84">
        <v>19404</v>
      </c>
      <c r="GV84">
        <v>63371</v>
      </c>
      <c r="GW84">
        <v>0</v>
      </c>
      <c r="GX84">
        <v>0</v>
      </c>
      <c r="GY84">
        <v>0</v>
      </c>
      <c r="GZ84">
        <v>0</v>
      </c>
      <c r="HA84">
        <v>0</v>
      </c>
      <c r="HB84">
        <v>8674</v>
      </c>
      <c r="HC84">
        <v>1282</v>
      </c>
      <c r="HD84">
        <v>0</v>
      </c>
      <c r="HE84">
        <v>0</v>
      </c>
      <c r="HF84">
        <v>1265</v>
      </c>
      <c r="HG84">
        <v>209</v>
      </c>
      <c r="HH84">
        <v>0</v>
      </c>
      <c r="HI84">
        <v>-207</v>
      </c>
      <c r="HJ84">
        <v>451</v>
      </c>
      <c r="HK84">
        <v>229</v>
      </c>
      <c r="HL84">
        <v>287</v>
      </c>
      <c r="HM84">
        <v>-266</v>
      </c>
      <c r="HN84">
        <v>0</v>
      </c>
      <c r="HO84">
        <v>1028</v>
      </c>
      <c r="HP84">
        <v>1057</v>
      </c>
      <c r="HQ84">
        <v>0</v>
      </c>
      <c r="HR84">
        <v>3244</v>
      </c>
      <c r="HS84">
        <v>0</v>
      </c>
      <c r="HT84">
        <v>0</v>
      </c>
      <c r="HU84">
        <v>5148</v>
      </c>
      <c r="HV84">
        <v>22401</v>
      </c>
      <c r="HW84">
        <v>0</v>
      </c>
      <c r="HX84">
        <v>0</v>
      </c>
      <c r="HY84">
        <v>0</v>
      </c>
      <c r="HZ84">
        <v>0</v>
      </c>
      <c r="IA84">
        <v>48210</v>
      </c>
      <c r="IB84">
        <v>0</v>
      </c>
      <c r="IC84">
        <v>188664</v>
      </c>
      <c r="ID84">
        <v>14560</v>
      </c>
      <c r="IE84">
        <v>97014</v>
      </c>
      <c r="IF84">
        <v>93678</v>
      </c>
      <c r="IG84">
        <v>29008</v>
      </c>
      <c r="IH84">
        <v>17214</v>
      </c>
      <c r="II84">
        <v>13799</v>
      </c>
      <c r="IJ84">
        <v>30168</v>
      </c>
      <c r="IK84">
        <v>19404</v>
      </c>
      <c r="IL84">
        <v>0</v>
      </c>
      <c r="IM84">
        <v>0</v>
      </c>
      <c r="IN84">
        <v>22401</v>
      </c>
      <c r="IO84">
        <v>0</v>
      </c>
      <c r="IP84">
        <v>525910</v>
      </c>
      <c r="IQ84">
        <v>80422</v>
      </c>
      <c r="IR84">
        <v>0</v>
      </c>
      <c r="IS84">
        <v>0</v>
      </c>
      <c r="IT84">
        <v>0</v>
      </c>
      <c r="IU84">
        <v>0</v>
      </c>
      <c r="IV84">
        <v>47</v>
      </c>
      <c r="IW84">
        <v>15193</v>
      </c>
      <c r="IX84">
        <v>0</v>
      </c>
      <c r="IY84">
        <v>0</v>
      </c>
      <c r="IZ84">
        <v>0</v>
      </c>
      <c r="JA84">
        <v>-11753</v>
      </c>
      <c r="JB84">
        <v>2348</v>
      </c>
      <c r="JC84">
        <v>0</v>
      </c>
      <c r="JD84">
        <v>0</v>
      </c>
      <c r="JE84">
        <v>517</v>
      </c>
      <c r="JF84">
        <v>0</v>
      </c>
      <c r="JG84">
        <v>612684</v>
      </c>
      <c r="JH84">
        <v>101</v>
      </c>
      <c r="JI84">
        <v>6063</v>
      </c>
      <c r="JJ84">
        <v>0</v>
      </c>
      <c r="JK84">
        <v>0</v>
      </c>
      <c r="JL84">
        <v>0</v>
      </c>
      <c r="JM84">
        <v>2195</v>
      </c>
      <c r="JN84">
        <v>17674</v>
      </c>
      <c r="JO84">
        <v>-34</v>
      </c>
      <c r="JP84">
        <v>12369</v>
      </c>
      <c r="JQ84">
        <v>0</v>
      </c>
      <c r="JR84">
        <v>651052</v>
      </c>
      <c r="JS84">
        <v>-12636</v>
      </c>
      <c r="JT84">
        <v>0</v>
      </c>
      <c r="JU84">
        <v>384</v>
      </c>
      <c r="JV84">
        <v>0</v>
      </c>
      <c r="JW84">
        <v>-79277</v>
      </c>
      <c r="JX84">
        <v>0</v>
      </c>
      <c r="JY84">
        <v>0</v>
      </c>
      <c r="JZ84">
        <v>0</v>
      </c>
      <c r="KA84">
        <v>0</v>
      </c>
      <c r="KB84">
        <v>0</v>
      </c>
      <c r="KC84">
        <v>559523</v>
      </c>
      <c r="KD84">
        <v>0</v>
      </c>
      <c r="KE84">
        <v>-307624</v>
      </c>
      <c r="KF84">
        <v>251899</v>
      </c>
      <c r="KG84">
        <v>0</v>
      </c>
      <c r="KH84">
        <v>2466</v>
      </c>
      <c r="KI84">
        <v>1119</v>
      </c>
      <c r="KJ84">
        <v>715</v>
      </c>
      <c r="KK84">
        <v>-12110</v>
      </c>
      <c r="KL84">
        <v>0</v>
      </c>
      <c r="KM84">
        <v>0</v>
      </c>
      <c r="KN84">
        <v>0</v>
      </c>
      <c r="KO84">
        <v>-81362</v>
      </c>
      <c r="KP84">
        <v>-266</v>
      </c>
      <c r="KQ84">
        <v>0</v>
      </c>
      <c r="KR84">
        <v>146229</v>
      </c>
      <c r="KS84">
        <v>22296</v>
      </c>
      <c r="KT84">
        <v>4807</v>
      </c>
      <c r="KU84">
        <v>1754</v>
      </c>
      <c r="KV84">
        <v>158801</v>
      </c>
      <c r="KW84">
        <v>10277</v>
      </c>
      <c r="KX84">
        <v>24762</v>
      </c>
      <c r="KY84">
        <v>5926</v>
      </c>
      <c r="KZ84">
        <v>2469</v>
      </c>
      <c r="LA84">
        <v>146691</v>
      </c>
      <c r="LB84">
        <v>10277</v>
      </c>
      <c r="LC84">
        <v>0</v>
      </c>
      <c r="LD84">
        <v>26245</v>
      </c>
      <c r="LE84">
        <v>-28097</v>
      </c>
      <c r="LF84">
        <v>30225</v>
      </c>
      <c r="LG84">
        <v>155144</v>
      </c>
      <c r="LH84">
        <v>78734</v>
      </c>
      <c r="LI84">
        <v>272820</v>
      </c>
      <c r="LJ84">
        <v>9367</v>
      </c>
      <c r="LK84">
        <v>17016</v>
      </c>
      <c r="LL84">
        <v>26383</v>
      </c>
      <c r="LM84">
        <v>6</v>
      </c>
      <c r="LN84">
        <v>0</v>
      </c>
      <c r="LO84">
        <v>0</v>
      </c>
      <c r="LP84">
        <v>0</v>
      </c>
      <c r="LQ84">
        <v>0</v>
      </c>
      <c r="LR84">
        <v>0</v>
      </c>
      <c r="LS84">
        <v>0</v>
      </c>
      <c r="LT84">
        <v>0</v>
      </c>
      <c r="LU84">
        <v>188664</v>
      </c>
      <c r="LV84">
        <v>14560</v>
      </c>
      <c r="LW84">
        <v>97014</v>
      </c>
      <c r="LX84">
        <v>93678</v>
      </c>
      <c r="LY84">
        <v>29008</v>
      </c>
      <c r="LZ84">
        <v>17214</v>
      </c>
      <c r="MA84">
        <v>13799</v>
      </c>
      <c r="MB84">
        <v>30168</v>
      </c>
      <c r="MC84">
        <v>19404</v>
      </c>
      <c r="MD84">
        <v>0</v>
      </c>
      <c r="ME84">
        <v>0</v>
      </c>
      <c r="MF84">
        <v>22401</v>
      </c>
      <c r="MG84">
        <v>0</v>
      </c>
      <c r="MH84">
        <v>525910</v>
      </c>
      <c r="MI84">
        <v>0</v>
      </c>
      <c r="MJ84">
        <v>0</v>
      </c>
      <c r="MK84">
        <v>0</v>
      </c>
      <c r="ML84">
        <v>0</v>
      </c>
      <c r="MM84">
        <v>0</v>
      </c>
      <c r="MN84">
        <v>0</v>
      </c>
      <c r="MO84">
        <v>0</v>
      </c>
      <c r="MP84">
        <v>0</v>
      </c>
      <c r="MQ84">
        <v>0</v>
      </c>
      <c r="MR84">
        <v>0</v>
      </c>
      <c r="MS84">
        <v>0</v>
      </c>
      <c r="MT84">
        <v>0</v>
      </c>
      <c r="MU84">
        <v>0</v>
      </c>
      <c r="MV84">
        <v>0</v>
      </c>
      <c r="MW84">
        <v>0</v>
      </c>
      <c r="MX84">
        <v>-4</v>
      </c>
      <c r="MY84">
        <v>-11368</v>
      </c>
      <c r="MZ84">
        <v>-102</v>
      </c>
      <c r="NA84">
        <v>-11753</v>
      </c>
      <c r="NB84">
        <v>0</v>
      </c>
      <c r="NC84">
        <v>-11753</v>
      </c>
      <c r="ND84">
        <v>0</v>
      </c>
      <c r="NE84">
        <v>0</v>
      </c>
      <c r="NF84">
        <v>-35</v>
      </c>
      <c r="NG84">
        <v>0</v>
      </c>
      <c r="NH84">
        <v>0</v>
      </c>
      <c r="NI84">
        <v>0</v>
      </c>
      <c r="NJ84">
        <v>0</v>
      </c>
      <c r="NK84">
        <v>0</v>
      </c>
      <c r="NL84">
        <v>0</v>
      </c>
      <c r="NM84">
        <v>269</v>
      </c>
      <c r="NN84">
        <v>724</v>
      </c>
      <c r="NO84">
        <v>0</v>
      </c>
      <c r="NP84">
        <v>0</v>
      </c>
      <c r="NQ84">
        <v>215</v>
      </c>
      <c r="NR84">
        <v>545</v>
      </c>
      <c r="NS84">
        <v>0</v>
      </c>
      <c r="NT84">
        <v>114</v>
      </c>
      <c r="NU84">
        <v>0</v>
      </c>
      <c r="NV84">
        <v>0</v>
      </c>
      <c r="NW84">
        <v>-27</v>
      </c>
      <c r="NX84">
        <v>0</v>
      </c>
      <c r="NY84">
        <v>0</v>
      </c>
      <c r="NZ84">
        <v>2348</v>
      </c>
      <c r="OA84">
        <v>0</v>
      </c>
      <c r="OB84">
        <v>2348</v>
      </c>
      <c r="OC84">
        <v>0</v>
      </c>
      <c r="OD84">
        <v>0</v>
      </c>
      <c r="OE84">
        <v>0</v>
      </c>
      <c r="OF84">
        <v>0</v>
      </c>
      <c r="OG84">
        <v>0</v>
      </c>
      <c r="OH84">
        <v>0</v>
      </c>
      <c r="OI84">
        <v>0</v>
      </c>
      <c r="OJ84">
        <v>0</v>
      </c>
      <c r="OK84">
        <v>0</v>
      </c>
      <c r="OL84">
        <v>0</v>
      </c>
      <c r="OM84">
        <v>0</v>
      </c>
      <c r="ON84">
        <v>0</v>
      </c>
    </row>
    <row r="85" spans="1:404" x14ac:dyDescent="0.25">
      <c r="A85" t="s">
        <v>318</v>
      </c>
      <c r="B85" t="s">
        <v>319</v>
      </c>
      <c r="C85" t="s">
        <v>317</v>
      </c>
      <c r="E85" t="s">
        <v>61</v>
      </c>
      <c r="F85">
        <v>0</v>
      </c>
      <c r="G85">
        <v>0</v>
      </c>
      <c r="H85">
        <v>0</v>
      </c>
      <c r="I85">
        <v>0</v>
      </c>
      <c r="J85">
        <v>0</v>
      </c>
      <c r="K85">
        <v>0</v>
      </c>
      <c r="L85">
        <v>0</v>
      </c>
      <c r="M85">
        <v>0</v>
      </c>
      <c r="N85">
        <v>0</v>
      </c>
      <c r="O85">
        <v>0</v>
      </c>
      <c r="P85">
        <v>0</v>
      </c>
      <c r="Q85">
        <v>0</v>
      </c>
      <c r="R85">
        <v>0</v>
      </c>
      <c r="S85">
        <v>0</v>
      </c>
      <c r="T85">
        <v>0</v>
      </c>
      <c r="U85">
        <v>0</v>
      </c>
      <c r="V85">
        <v>0</v>
      </c>
      <c r="W85">
        <v>0</v>
      </c>
      <c r="X85">
        <v>0</v>
      </c>
      <c r="Y85">
        <v>0</v>
      </c>
      <c r="Z85">
        <v>0</v>
      </c>
      <c r="AA85">
        <v>-1163</v>
      </c>
      <c r="AB85">
        <v>0</v>
      </c>
      <c r="AC85">
        <v>0</v>
      </c>
      <c r="AD85">
        <v>16</v>
      </c>
      <c r="AE85">
        <v>0</v>
      </c>
      <c r="AF85">
        <v>0</v>
      </c>
      <c r="AG85">
        <v>0</v>
      </c>
      <c r="AH85">
        <v>0</v>
      </c>
      <c r="AI85">
        <v>-1147</v>
      </c>
      <c r="AJ85">
        <v>0</v>
      </c>
      <c r="AK85">
        <v>0</v>
      </c>
      <c r="AL85">
        <v>0</v>
      </c>
      <c r="AM85">
        <v>0</v>
      </c>
      <c r="AN85">
        <v>0</v>
      </c>
      <c r="AO85">
        <v>0</v>
      </c>
      <c r="AP85">
        <v>0</v>
      </c>
      <c r="AQ85">
        <v>0</v>
      </c>
      <c r="AR85">
        <v>0</v>
      </c>
      <c r="AS85">
        <v>0</v>
      </c>
      <c r="AT85">
        <v>0</v>
      </c>
      <c r="AU85">
        <v>0</v>
      </c>
      <c r="AV85">
        <v>0</v>
      </c>
      <c r="AW85">
        <v>0</v>
      </c>
      <c r="AX85">
        <v>0</v>
      </c>
      <c r="AY85">
        <v>0</v>
      </c>
      <c r="AZ85">
        <v>0</v>
      </c>
      <c r="BA85">
        <v>0</v>
      </c>
      <c r="BB85">
        <v>0</v>
      </c>
      <c r="BC85">
        <v>0</v>
      </c>
      <c r="BD85">
        <v>0</v>
      </c>
      <c r="BE85">
        <v>0</v>
      </c>
      <c r="BF85">
        <v>0</v>
      </c>
      <c r="BG85">
        <v>0</v>
      </c>
      <c r="BH85">
        <v>0</v>
      </c>
      <c r="BI85">
        <v>0</v>
      </c>
      <c r="BJ85">
        <v>0</v>
      </c>
      <c r="BK85">
        <v>0</v>
      </c>
      <c r="BL85">
        <v>0</v>
      </c>
      <c r="BM85">
        <v>0</v>
      </c>
      <c r="BN85">
        <v>0</v>
      </c>
      <c r="BO85">
        <v>0</v>
      </c>
      <c r="BP85">
        <v>0</v>
      </c>
      <c r="BQ85">
        <v>0</v>
      </c>
      <c r="BR85">
        <v>0</v>
      </c>
      <c r="BS85">
        <v>0</v>
      </c>
      <c r="BT85">
        <v>0</v>
      </c>
      <c r="BU85">
        <v>0</v>
      </c>
      <c r="BV85">
        <v>0</v>
      </c>
      <c r="BW85">
        <v>0</v>
      </c>
      <c r="BX85">
        <v>0</v>
      </c>
      <c r="BY85">
        <v>0</v>
      </c>
      <c r="BZ85">
        <v>0</v>
      </c>
      <c r="CA85">
        <v>0</v>
      </c>
      <c r="CB85">
        <v>0</v>
      </c>
      <c r="CC85">
        <v>0</v>
      </c>
      <c r="CD85">
        <v>0</v>
      </c>
      <c r="CE85">
        <v>0</v>
      </c>
      <c r="CF85">
        <v>0</v>
      </c>
      <c r="CG85">
        <v>0</v>
      </c>
      <c r="CH85">
        <v>0</v>
      </c>
      <c r="CI85">
        <v>0</v>
      </c>
      <c r="CJ85">
        <v>0</v>
      </c>
      <c r="CK85">
        <v>0</v>
      </c>
      <c r="CL85">
        <v>0</v>
      </c>
      <c r="CM85">
        <v>0</v>
      </c>
      <c r="CN85">
        <v>0</v>
      </c>
      <c r="CO85">
        <v>0</v>
      </c>
      <c r="CP85">
        <v>0</v>
      </c>
      <c r="CQ85">
        <v>0</v>
      </c>
      <c r="CR85">
        <v>0</v>
      </c>
      <c r="CS85">
        <v>0</v>
      </c>
      <c r="CT85">
        <v>0</v>
      </c>
      <c r="CU85">
        <v>0</v>
      </c>
      <c r="CV85">
        <v>0</v>
      </c>
      <c r="CW85">
        <v>0</v>
      </c>
      <c r="CX85">
        <v>0</v>
      </c>
      <c r="CY85">
        <v>0</v>
      </c>
      <c r="CZ85">
        <v>0</v>
      </c>
      <c r="DA85">
        <v>0</v>
      </c>
      <c r="DB85">
        <v>0</v>
      </c>
      <c r="DC85">
        <v>-541</v>
      </c>
      <c r="DD85">
        <v>0</v>
      </c>
      <c r="DE85">
        <v>0</v>
      </c>
      <c r="DF85">
        <v>0</v>
      </c>
      <c r="DG85">
        <v>0</v>
      </c>
      <c r="DH85">
        <v>0</v>
      </c>
      <c r="DI85">
        <v>51</v>
      </c>
      <c r="DJ85">
        <v>0</v>
      </c>
      <c r="DK85">
        <v>0</v>
      </c>
      <c r="DL85">
        <v>0</v>
      </c>
      <c r="DM85">
        <v>0</v>
      </c>
      <c r="DN85">
        <v>235</v>
      </c>
      <c r="DO85">
        <v>0</v>
      </c>
      <c r="DP85">
        <v>287</v>
      </c>
      <c r="DQ85">
        <v>0</v>
      </c>
      <c r="DR85">
        <v>0</v>
      </c>
      <c r="DS85">
        <v>0</v>
      </c>
      <c r="DT85">
        <v>510</v>
      </c>
      <c r="DU85">
        <v>88</v>
      </c>
      <c r="DV85">
        <v>0</v>
      </c>
      <c r="DW85">
        <v>0</v>
      </c>
      <c r="DX85">
        <v>344</v>
      </c>
      <c r="DY85">
        <v>0</v>
      </c>
      <c r="DZ85">
        <v>0</v>
      </c>
      <c r="EA85">
        <v>0</v>
      </c>
      <c r="EB85">
        <v>0</v>
      </c>
      <c r="EC85">
        <v>0</v>
      </c>
      <c r="ED85">
        <v>0</v>
      </c>
      <c r="EE85">
        <v>0</v>
      </c>
      <c r="EF85">
        <v>0</v>
      </c>
      <c r="EG85">
        <v>0</v>
      </c>
      <c r="EH85">
        <v>0</v>
      </c>
      <c r="EI85">
        <v>0</v>
      </c>
      <c r="EJ85">
        <v>0</v>
      </c>
      <c r="EK85">
        <v>0</v>
      </c>
      <c r="EL85">
        <v>0</v>
      </c>
      <c r="EM85">
        <v>0</v>
      </c>
      <c r="EN85">
        <v>0</v>
      </c>
      <c r="EO85">
        <v>0</v>
      </c>
      <c r="EP85">
        <v>0</v>
      </c>
      <c r="EQ85">
        <v>0</v>
      </c>
      <c r="ER85">
        <v>0</v>
      </c>
      <c r="ES85">
        <v>0</v>
      </c>
      <c r="ET85">
        <v>0</v>
      </c>
      <c r="EU85">
        <v>0</v>
      </c>
      <c r="EV85">
        <v>36</v>
      </c>
      <c r="EW85">
        <v>0</v>
      </c>
      <c r="EX85">
        <v>322</v>
      </c>
      <c r="EY85">
        <v>0</v>
      </c>
      <c r="EZ85">
        <v>0</v>
      </c>
      <c r="FA85">
        <v>0</v>
      </c>
      <c r="FB85">
        <v>4</v>
      </c>
      <c r="FC85">
        <v>259</v>
      </c>
      <c r="FD85">
        <v>142</v>
      </c>
      <c r="FE85">
        <v>0</v>
      </c>
      <c r="FF85">
        <v>64</v>
      </c>
      <c r="FG85">
        <v>0</v>
      </c>
      <c r="FH85">
        <v>826</v>
      </c>
      <c r="FI85">
        <v>-714</v>
      </c>
      <c r="FJ85">
        <v>0</v>
      </c>
      <c r="FK85">
        <v>67</v>
      </c>
      <c r="FL85">
        <v>110</v>
      </c>
      <c r="FM85">
        <v>138</v>
      </c>
      <c r="FN85">
        <v>0</v>
      </c>
      <c r="FO85">
        <v>75</v>
      </c>
      <c r="FP85">
        <v>0</v>
      </c>
      <c r="FQ85">
        <v>0</v>
      </c>
      <c r="FR85">
        <v>0</v>
      </c>
      <c r="FS85">
        <v>80</v>
      </c>
      <c r="FT85">
        <v>17</v>
      </c>
      <c r="FU85">
        <v>-26</v>
      </c>
      <c r="FV85">
        <v>39</v>
      </c>
      <c r="FW85">
        <v>0</v>
      </c>
      <c r="FX85">
        <v>0</v>
      </c>
      <c r="FY85">
        <v>0</v>
      </c>
      <c r="FZ85">
        <v>0</v>
      </c>
      <c r="GA85">
        <v>12</v>
      </c>
      <c r="GB85">
        <v>0</v>
      </c>
      <c r="GC85">
        <v>0</v>
      </c>
      <c r="GD85">
        <v>389</v>
      </c>
      <c r="GE85">
        <v>1092</v>
      </c>
      <c r="GF85">
        <v>0</v>
      </c>
      <c r="GG85">
        <v>-143</v>
      </c>
      <c r="GH85">
        <v>144</v>
      </c>
      <c r="GI85">
        <v>0</v>
      </c>
      <c r="GJ85">
        <v>0</v>
      </c>
      <c r="GK85">
        <v>1282</v>
      </c>
      <c r="GL85">
        <v>6</v>
      </c>
      <c r="GM85">
        <v>572</v>
      </c>
      <c r="GN85">
        <v>0</v>
      </c>
      <c r="GO85">
        <v>234</v>
      </c>
      <c r="GP85">
        <v>0</v>
      </c>
      <c r="GQ85">
        <v>317</v>
      </c>
      <c r="GR85">
        <v>0</v>
      </c>
      <c r="GS85">
        <v>0</v>
      </c>
      <c r="GT85">
        <v>168</v>
      </c>
      <c r="GU85">
        <v>1298</v>
      </c>
      <c r="GV85">
        <v>3405</v>
      </c>
      <c r="GW85">
        <v>0</v>
      </c>
      <c r="GX85">
        <v>0</v>
      </c>
      <c r="GY85">
        <v>0</v>
      </c>
      <c r="GZ85">
        <v>0</v>
      </c>
      <c r="HA85">
        <v>0</v>
      </c>
      <c r="HB85">
        <v>3762</v>
      </c>
      <c r="HC85">
        <v>135</v>
      </c>
      <c r="HD85">
        <v>0</v>
      </c>
      <c r="HE85">
        <v>0</v>
      </c>
      <c r="HF85">
        <v>0</v>
      </c>
      <c r="HG85">
        <v>-19</v>
      </c>
      <c r="HH85">
        <v>0</v>
      </c>
      <c r="HI85">
        <v>0</v>
      </c>
      <c r="HJ85">
        <v>74</v>
      </c>
      <c r="HK85">
        <v>5</v>
      </c>
      <c r="HL85">
        <v>0</v>
      </c>
      <c r="HM85">
        <v>-89</v>
      </c>
      <c r="HN85">
        <v>0</v>
      </c>
      <c r="HO85">
        <v>0</v>
      </c>
      <c r="HP85">
        <v>0</v>
      </c>
      <c r="HQ85">
        <v>0</v>
      </c>
      <c r="HR85">
        <v>0</v>
      </c>
      <c r="HS85">
        <v>0</v>
      </c>
      <c r="HT85">
        <v>0</v>
      </c>
      <c r="HU85">
        <v>0</v>
      </c>
      <c r="HV85">
        <v>3868</v>
      </c>
      <c r="HW85">
        <v>0</v>
      </c>
      <c r="HX85">
        <v>0</v>
      </c>
      <c r="HY85">
        <v>0</v>
      </c>
      <c r="HZ85">
        <v>0</v>
      </c>
      <c r="IA85">
        <v>0</v>
      </c>
      <c r="IB85">
        <v>0</v>
      </c>
      <c r="IC85">
        <v>0</v>
      </c>
      <c r="ID85">
        <v>-1147</v>
      </c>
      <c r="IE85">
        <v>0</v>
      </c>
      <c r="IF85">
        <v>0</v>
      </c>
      <c r="IG85">
        <v>0</v>
      </c>
      <c r="IH85">
        <v>344</v>
      </c>
      <c r="II85">
        <v>826</v>
      </c>
      <c r="IJ85">
        <v>1282</v>
      </c>
      <c r="IK85">
        <v>1298</v>
      </c>
      <c r="IL85">
        <v>0</v>
      </c>
      <c r="IM85">
        <v>0</v>
      </c>
      <c r="IN85">
        <v>3868</v>
      </c>
      <c r="IO85">
        <v>0</v>
      </c>
      <c r="IP85">
        <v>6471</v>
      </c>
      <c r="IQ85">
        <v>6185</v>
      </c>
      <c r="IR85">
        <v>0</v>
      </c>
      <c r="IS85">
        <v>0</v>
      </c>
      <c r="IT85">
        <v>0</v>
      </c>
      <c r="IU85">
        <v>0</v>
      </c>
      <c r="IV85">
        <v>1440</v>
      </c>
      <c r="IW85">
        <v>0</v>
      </c>
      <c r="IX85">
        <v>0</v>
      </c>
      <c r="IY85">
        <v>0</v>
      </c>
      <c r="IZ85">
        <v>0</v>
      </c>
      <c r="JA85">
        <v>0</v>
      </c>
      <c r="JB85">
        <v>0</v>
      </c>
      <c r="JC85">
        <v>0</v>
      </c>
      <c r="JD85">
        <v>0</v>
      </c>
      <c r="JE85">
        <v>0</v>
      </c>
      <c r="JF85">
        <v>0</v>
      </c>
      <c r="JG85">
        <v>14095</v>
      </c>
      <c r="JH85">
        <v>0</v>
      </c>
      <c r="JI85">
        <v>964</v>
      </c>
      <c r="JJ85">
        <v>0</v>
      </c>
      <c r="JK85">
        <v>0</v>
      </c>
      <c r="JL85">
        <v>0</v>
      </c>
      <c r="JM85">
        <v>0</v>
      </c>
      <c r="JN85">
        <v>88</v>
      </c>
      <c r="JO85">
        <v>0</v>
      </c>
      <c r="JP85">
        <v>248</v>
      </c>
      <c r="JQ85">
        <v>0</v>
      </c>
      <c r="JR85">
        <v>15395</v>
      </c>
      <c r="JS85">
        <v>-64</v>
      </c>
      <c r="JT85">
        <v>0</v>
      </c>
      <c r="JU85">
        <v>0</v>
      </c>
      <c r="JV85">
        <v>0</v>
      </c>
      <c r="JW85">
        <v>-6055</v>
      </c>
      <c r="JX85">
        <v>0</v>
      </c>
      <c r="JY85">
        <v>0</v>
      </c>
      <c r="JZ85">
        <v>0</v>
      </c>
      <c r="KA85">
        <v>0</v>
      </c>
      <c r="KB85">
        <v>0</v>
      </c>
      <c r="KC85">
        <v>9276</v>
      </c>
      <c r="KD85">
        <v>0</v>
      </c>
      <c r="KE85">
        <v>-1115</v>
      </c>
      <c r="KF85">
        <v>8161</v>
      </c>
      <c r="KG85">
        <v>0</v>
      </c>
      <c r="KH85">
        <v>0</v>
      </c>
      <c r="KI85">
        <v>0</v>
      </c>
      <c r="KJ85">
        <v>0</v>
      </c>
      <c r="KK85">
        <v>481</v>
      </c>
      <c r="KL85">
        <v>0</v>
      </c>
      <c r="KM85">
        <v>0</v>
      </c>
      <c r="KN85">
        <v>0</v>
      </c>
      <c r="KO85">
        <v>-2228</v>
      </c>
      <c r="KP85">
        <v>0</v>
      </c>
      <c r="KQ85">
        <v>0</v>
      </c>
      <c r="KR85">
        <v>5515</v>
      </c>
      <c r="KS85">
        <v>0</v>
      </c>
      <c r="KT85">
        <v>0</v>
      </c>
      <c r="KU85">
        <v>0</v>
      </c>
      <c r="KV85">
        <v>7995</v>
      </c>
      <c r="KW85">
        <v>995</v>
      </c>
      <c r="KX85">
        <v>0</v>
      </c>
      <c r="KY85">
        <v>0</v>
      </c>
      <c r="KZ85">
        <v>0</v>
      </c>
      <c r="LA85">
        <v>8476</v>
      </c>
      <c r="LB85">
        <v>995</v>
      </c>
      <c r="LC85">
        <v>0</v>
      </c>
      <c r="LD85">
        <v>1400</v>
      </c>
      <c r="LE85">
        <v>0</v>
      </c>
      <c r="LF85">
        <v>0</v>
      </c>
      <c r="LG85">
        <v>0</v>
      </c>
      <c r="LH85">
        <v>0</v>
      </c>
      <c r="LI85">
        <v>1400</v>
      </c>
      <c r="LJ85">
        <v>1494</v>
      </c>
      <c r="LK85">
        <v>1095</v>
      </c>
      <c r="LL85">
        <v>2589</v>
      </c>
      <c r="LM85">
        <v>0</v>
      </c>
      <c r="LN85">
        <v>0</v>
      </c>
      <c r="LO85">
        <v>0</v>
      </c>
      <c r="LP85">
        <v>0</v>
      </c>
      <c r="LQ85">
        <v>0</v>
      </c>
      <c r="LR85">
        <v>0</v>
      </c>
      <c r="LS85">
        <v>0</v>
      </c>
      <c r="LT85">
        <v>0</v>
      </c>
      <c r="LU85">
        <v>0</v>
      </c>
      <c r="LV85">
        <v>-1147</v>
      </c>
      <c r="LW85">
        <v>0</v>
      </c>
      <c r="LX85">
        <v>0</v>
      </c>
      <c r="LY85">
        <v>0</v>
      </c>
      <c r="LZ85">
        <v>344</v>
      </c>
      <c r="MA85">
        <v>826</v>
      </c>
      <c r="MB85">
        <v>1282</v>
      </c>
      <c r="MC85">
        <v>1298</v>
      </c>
      <c r="MD85">
        <v>0</v>
      </c>
      <c r="ME85">
        <v>0</v>
      </c>
      <c r="MF85">
        <v>3868</v>
      </c>
      <c r="MG85">
        <v>0</v>
      </c>
      <c r="MH85">
        <v>6471</v>
      </c>
      <c r="MI85">
        <v>0</v>
      </c>
      <c r="MJ85">
        <v>0</v>
      </c>
      <c r="MK85">
        <v>0</v>
      </c>
      <c r="ML85">
        <v>0</v>
      </c>
      <c r="MM85">
        <v>0</v>
      </c>
      <c r="MN85">
        <v>0</v>
      </c>
      <c r="MO85">
        <v>0</v>
      </c>
      <c r="MP85">
        <v>0</v>
      </c>
      <c r="MQ85">
        <v>0</v>
      </c>
      <c r="MR85">
        <v>0</v>
      </c>
      <c r="MS85">
        <v>0</v>
      </c>
      <c r="MT85">
        <v>0</v>
      </c>
      <c r="MU85">
        <v>0</v>
      </c>
      <c r="MV85">
        <v>0</v>
      </c>
      <c r="MW85">
        <v>0</v>
      </c>
      <c r="MX85">
        <v>0</v>
      </c>
      <c r="MY85">
        <v>0</v>
      </c>
      <c r="MZ85">
        <v>0</v>
      </c>
      <c r="NA85">
        <v>0</v>
      </c>
      <c r="NB85">
        <v>0</v>
      </c>
      <c r="NC85">
        <v>0</v>
      </c>
      <c r="ND85">
        <v>0</v>
      </c>
      <c r="NE85">
        <v>0</v>
      </c>
      <c r="NF85">
        <v>0</v>
      </c>
      <c r="NG85">
        <v>0</v>
      </c>
      <c r="NH85">
        <v>0</v>
      </c>
      <c r="NI85">
        <v>0</v>
      </c>
      <c r="NJ85">
        <v>0</v>
      </c>
      <c r="NK85">
        <v>0</v>
      </c>
      <c r="NL85">
        <v>0</v>
      </c>
      <c r="NM85">
        <v>0</v>
      </c>
      <c r="NN85">
        <v>0</v>
      </c>
      <c r="NO85">
        <v>0</v>
      </c>
      <c r="NP85">
        <v>0</v>
      </c>
      <c r="NQ85">
        <v>0</v>
      </c>
      <c r="NR85">
        <v>0</v>
      </c>
      <c r="NS85">
        <v>0</v>
      </c>
      <c r="NT85">
        <v>0</v>
      </c>
      <c r="NU85">
        <v>0</v>
      </c>
      <c r="NV85">
        <v>0</v>
      </c>
      <c r="NW85">
        <v>0</v>
      </c>
      <c r="NX85">
        <v>0</v>
      </c>
      <c r="NY85">
        <v>0</v>
      </c>
      <c r="NZ85">
        <v>0</v>
      </c>
      <c r="OA85">
        <v>0</v>
      </c>
      <c r="OB85">
        <v>0</v>
      </c>
      <c r="OC85">
        <v>0</v>
      </c>
      <c r="OD85">
        <v>0</v>
      </c>
      <c r="OE85">
        <v>0</v>
      </c>
      <c r="OF85">
        <v>0</v>
      </c>
      <c r="OG85">
        <v>0</v>
      </c>
      <c r="OH85">
        <v>0</v>
      </c>
      <c r="OI85">
        <v>0</v>
      </c>
      <c r="OJ85">
        <v>0</v>
      </c>
      <c r="OK85">
        <v>0</v>
      </c>
      <c r="OL85">
        <v>0</v>
      </c>
      <c r="OM85">
        <v>0</v>
      </c>
      <c r="ON85">
        <v>0</v>
      </c>
    </row>
    <row r="86" spans="1:404" x14ac:dyDescent="0.25">
      <c r="A86" t="s">
        <v>321</v>
      </c>
      <c r="B86" t="s">
        <v>322</v>
      </c>
      <c r="C86" t="s">
        <v>320</v>
      </c>
      <c r="E86" t="s">
        <v>61</v>
      </c>
      <c r="F86">
        <v>0</v>
      </c>
      <c r="G86">
        <v>0</v>
      </c>
      <c r="H86">
        <v>0</v>
      </c>
      <c r="I86">
        <v>0</v>
      </c>
      <c r="J86">
        <v>0</v>
      </c>
      <c r="K86">
        <v>0</v>
      </c>
      <c r="L86">
        <v>0</v>
      </c>
      <c r="M86">
        <v>0</v>
      </c>
      <c r="N86">
        <v>0</v>
      </c>
      <c r="O86">
        <v>0</v>
      </c>
      <c r="P86">
        <v>0</v>
      </c>
      <c r="Q86">
        <v>0</v>
      </c>
      <c r="R86">
        <v>43</v>
      </c>
      <c r="S86">
        <v>-34</v>
      </c>
      <c r="T86">
        <v>0</v>
      </c>
      <c r="U86">
        <v>37</v>
      </c>
      <c r="V86">
        <v>0</v>
      </c>
      <c r="W86">
        <v>0</v>
      </c>
      <c r="X86">
        <v>0</v>
      </c>
      <c r="Y86">
        <v>0</v>
      </c>
      <c r="Z86">
        <v>0</v>
      </c>
      <c r="AA86">
        <v>306</v>
      </c>
      <c r="AB86">
        <v>0</v>
      </c>
      <c r="AC86">
        <v>0</v>
      </c>
      <c r="AD86">
        <v>0</v>
      </c>
      <c r="AE86">
        <v>0</v>
      </c>
      <c r="AF86">
        <v>0</v>
      </c>
      <c r="AG86">
        <v>0</v>
      </c>
      <c r="AH86">
        <v>0</v>
      </c>
      <c r="AI86">
        <v>352</v>
      </c>
      <c r="AJ86">
        <v>0</v>
      </c>
      <c r="AK86">
        <v>0</v>
      </c>
      <c r="AL86">
        <v>0</v>
      </c>
      <c r="AM86">
        <v>0</v>
      </c>
      <c r="AN86">
        <v>0</v>
      </c>
      <c r="AO86">
        <v>0</v>
      </c>
      <c r="AP86">
        <v>0</v>
      </c>
      <c r="AQ86">
        <v>211</v>
      </c>
      <c r="AR86">
        <v>314</v>
      </c>
      <c r="AS86">
        <v>0</v>
      </c>
      <c r="AT86">
        <v>0</v>
      </c>
      <c r="AU86">
        <v>0</v>
      </c>
      <c r="AV86">
        <v>0</v>
      </c>
      <c r="AW86">
        <v>0</v>
      </c>
      <c r="AX86">
        <v>0</v>
      </c>
      <c r="AY86">
        <v>0</v>
      </c>
      <c r="AZ86">
        <v>0</v>
      </c>
      <c r="BA86">
        <v>0</v>
      </c>
      <c r="BB86">
        <v>0</v>
      </c>
      <c r="BC86">
        <v>0</v>
      </c>
      <c r="BD86">
        <v>0</v>
      </c>
      <c r="BE86">
        <v>0</v>
      </c>
      <c r="BF86">
        <v>0</v>
      </c>
      <c r="BG86">
        <v>0</v>
      </c>
      <c r="BH86">
        <v>0</v>
      </c>
      <c r="BI86">
        <v>0</v>
      </c>
      <c r="BJ86">
        <v>0</v>
      </c>
      <c r="BK86">
        <v>0</v>
      </c>
      <c r="BL86">
        <v>0</v>
      </c>
      <c r="BM86">
        <v>0</v>
      </c>
      <c r="BN86">
        <v>0</v>
      </c>
      <c r="BO86">
        <v>0</v>
      </c>
      <c r="BP86">
        <v>0</v>
      </c>
      <c r="BQ86">
        <v>0</v>
      </c>
      <c r="BR86">
        <v>0</v>
      </c>
      <c r="BS86">
        <v>0</v>
      </c>
      <c r="BT86">
        <v>0</v>
      </c>
      <c r="BU86">
        <v>0</v>
      </c>
      <c r="BV86">
        <v>0</v>
      </c>
      <c r="BW86">
        <v>0</v>
      </c>
      <c r="BX86">
        <v>0</v>
      </c>
      <c r="BY86">
        <v>0</v>
      </c>
      <c r="BZ86">
        <v>0</v>
      </c>
      <c r="CA86">
        <v>0</v>
      </c>
      <c r="CB86">
        <v>0</v>
      </c>
      <c r="CC86">
        <v>0</v>
      </c>
      <c r="CD86">
        <v>0</v>
      </c>
      <c r="CE86">
        <v>0</v>
      </c>
      <c r="CF86">
        <v>0</v>
      </c>
      <c r="CG86">
        <v>-16</v>
      </c>
      <c r="CH86">
        <v>0</v>
      </c>
      <c r="CI86">
        <v>0</v>
      </c>
      <c r="CJ86">
        <v>0</v>
      </c>
      <c r="CK86">
        <v>0</v>
      </c>
      <c r="CL86">
        <v>0</v>
      </c>
      <c r="CM86">
        <v>0</v>
      </c>
      <c r="CN86">
        <v>0</v>
      </c>
      <c r="CO86">
        <v>0</v>
      </c>
      <c r="CP86">
        <v>0</v>
      </c>
      <c r="CQ86">
        <v>0</v>
      </c>
      <c r="CR86">
        <v>0</v>
      </c>
      <c r="CS86">
        <v>0</v>
      </c>
      <c r="CT86">
        <v>0</v>
      </c>
      <c r="CU86">
        <v>0</v>
      </c>
      <c r="CV86">
        <v>-16</v>
      </c>
      <c r="CW86">
        <v>0</v>
      </c>
      <c r="CX86">
        <v>0</v>
      </c>
      <c r="CY86">
        <v>0</v>
      </c>
      <c r="CZ86">
        <v>0</v>
      </c>
      <c r="DA86">
        <v>0</v>
      </c>
      <c r="DB86">
        <v>0</v>
      </c>
      <c r="DC86">
        <v>1155</v>
      </c>
      <c r="DD86">
        <v>0</v>
      </c>
      <c r="DE86">
        <v>69</v>
      </c>
      <c r="DF86">
        <v>0</v>
      </c>
      <c r="DG86">
        <v>537</v>
      </c>
      <c r="DH86">
        <v>0</v>
      </c>
      <c r="DI86">
        <v>0</v>
      </c>
      <c r="DJ86">
        <v>1095</v>
      </c>
      <c r="DK86">
        <v>0</v>
      </c>
      <c r="DL86">
        <v>571</v>
      </c>
      <c r="DM86">
        <v>0</v>
      </c>
      <c r="DN86">
        <v>703</v>
      </c>
      <c r="DO86">
        <v>0</v>
      </c>
      <c r="DP86">
        <v>2906</v>
      </c>
      <c r="DQ86">
        <v>146</v>
      </c>
      <c r="DR86">
        <v>0</v>
      </c>
      <c r="DS86">
        <v>154</v>
      </c>
      <c r="DT86">
        <v>625</v>
      </c>
      <c r="DU86">
        <v>0</v>
      </c>
      <c r="DV86">
        <v>0</v>
      </c>
      <c r="DW86">
        <v>0</v>
      </c>
      <c r="DX86">
        <v>5055</v>
      </c>
      <c r="DY86">
        <v>0</v>
      </c>
      <c r="DZ86">
        <v>0</v>
      </c>
      <c r="EA86">
        <v>0</v>
      </c>
      <c r="EB86">
        <v>0</v>
      </c>
      <c r="EC86">
        <v>0</v>
      </c>
      <c r="ED86">
        <v>0</v>
      </c>
      <c r="EE86">
        <v>0</v>
      </c>
      <c r="EF86">
        <v>0</v>
      </c>
      <c r="EG86">
        <v>0</v>
      </c>
      <c r="EH86">
        <v>0</v>
      </c>
      <c r="EI86">
        <v>0</v>
      </c>
      <c r="EJ86">
        <v>0</v>
      </c>
      <c r="EK86">
        <v>0</v>
      </c>
      <c r="EL86">
        <v>0</v>
      </c>
      <c r="EM86">
        <v>0</v>
      </c>
      <c r="EN86">
        <v>0</v>
      </c>
      <c r="EO86">
        <v>0</v>
      </c>
      <c r="EP86">
        <v>0</v>
      </c>
      <c r="EQ86">
        <v>0</v>
      </c>
      <c r="ER86">
        <v>0</v>
      </c>
      <c r="ES86">
        <v>3198</v>
      </c>
      <c r="ET86">
        <v>3198</v>
      </c>
      <c r="EU86">
        <v>0</v>
      </c>
      <c r="EV86">
        <v>77</v>
      </c>
      <c r="EW86">
        <v>0</v>
      </c>
      <c r="EX86">
        <v>52</v>
      </c>
      <c r="EY86">
        <v>382</v>
      </c>
      <c r="EZ86">
        <v>348</v>
      </c>
      <c r="FA86">
        <v>0</v>
      </c>
      <c r="FB86">
        <v>412</v>
      </c>
      <c r="FC86">
        <v>1377</v>
      </c>
      <c r="FD86">
        <v>5103</v>
      </c>
      <c r="FE86">
        <v>39</v>
      </c>
      <c r="FF86">
        <v>0</v>
      </c>
      <c r="FG86">
        <v>0</v>
      </c>
      <c r="FH86">
        <v>7790</v>
      </c>
      <c r="FI86">
        <v>141</v>
      </c>
      <c r="FJ86">
        <v>0</v>
      </c>
      <c r="FK86">
        <v>19</v>
      </c>
      <c r="FL86">
        <v>0</v>
      </c>
      <c r="FM86">
        <v>977</v>
      </c>
      <c r="FN86">
        <v>0</v>
      </c>
      <c r="FO86">
        <v>-7</v>
      </c>
      <c r="FP86">
        <v>101</v>
      </c>
      <c r="FQ86">
        <v>0</v>
      </c>
      <c r="FR86">
        <v>19</v>
      </c>
      <c r="FS86">
        <v>105</v>
      </c>
      <c r="FT86">
        <v>2</v>
      </c>
      <c r="FU86">
        <v>-50</v>
      </c>
      <c r="FV86">
        <v>0</v>
      </c>
      <c r="FW86">
        <v>427</v>
      </c>
      <c r="FX86">
        <v>58</v>
      </c>
      <c r="FY86">
        <v>0</v>
      </c>
      <c r="FZ86">
        <v>81</v>
      </c>
      <c r="GA86">
        <v>0</v>
      </c>
      <c r="GB86">
        <v>0</v>
      </c>
      <c r="GC86">
        <v>0</v>
      </c>
      <c r="GD86">
        <v>148</v>
      </c>
      <c r="GE86">
        <v>1684</v>
      </c>
      <c r="GF86">
        <v>0</v>
      </c>
      <c r="GG86">
        <v>0</v>
      </c>
      <c r="GH86">
        <v>497</v>
      </c>
      <c r="GI86">
        <v>0</v>
      </c>
      <c r="GJ86">
        <v>10</v>
      </c>
      <c r="GK86">
        <v>4212</v>
      </c>
      <c r="GL86">
        <v>105</v>
      </c>
      <c r="GM86">
        <v>868</v>
      </c>
      <c r="GN86">
        <v>0</v>
      </c>
      <c r="GO86">
        <v>547</v>
      </c>
      <c r="GP86">
        <v>184</v>
      </c>
      <c r="GQ86">
        <v>422</v>
      </c>
      <c r="GR86">
        <v>0</v>
      </c>
      <c r="GS86">
        <v>0</v>
      </c>
      <c r="GT86">
        <v>777</v>
      </c>
      <c r="GU86">
        <v>2903</v>
      </c>
      <c r="GV86">
        <v>14905</v>
      </c>
      <c r="GW86">
        <v>0</v>
      </c>
      <c r="GX86">
        <v>0</v>
      </c>
      <c r="GY86">
        <v>0</v>
      </c>
      <c r="GZ86">
        <v>0</v>
      </c>
      <c r="HA86">
        <v>0</v>
      </c>
      <c r="HB86">
        <v>1085</v>
      </c>
      <c r="HC86">
        <v>1355</v>
      </c>
      <c r="HD86">
        <v>0</v>
      </c>
      <c r="HE86">
        <v>0</v>
      </c>
      <c r="HF86">
        <v>893</v>
      </c>
      <c r="HG86">
        <v>-24</v>
      </c>
      <c r="HH86">
        <v>0</v>
      </c>
      <c r="HI86">
        <v>0</v>
      </c>
      <c r="HJ86">
        <v>169</v>
      </c>
      <c r="HK86">
        <v>126</v>
      </c>
      <c r="HL86">
        <v>4</v>
      </c>
      <c r="HM86">
        <v>0</v>
      </c>
      <c r="HN86">
        <v>0</v>
      </c>
      <c r="HO86">
        <v>471</v>
      </c>
      <c r="HP86">
        <v>0</v>
      </c>
      <c r="HQ86">
        <v>0</v>
      </c>
      <c r="HR86">
        <v>174</v>
      </c>
      <c r="HS86">
        <v>0</v>
      </c>
      <c r="HT86">
        <v>0</v>
      </c>
      <c r="HU86">
        <v>-1795</v>
      </c>
      <c r="HV86">
        <v>2458</v>
      </c>
      <c r="HW86">
        <v>365</v>
      </c>
      <c r="HX86">
        <v>7575</v>
      </c>
      <c r="HY86">
        <v>0</v>
      </c>
      <c r="HZ86">
        <v>2603</v>
      </c>
      <c r="IA86">
        <v>1711</v>
      </c>
      <c r="IB86">
        <v>-6324</v>
      </c>
      <c r="IC86">
        <v>0</v>
      </c>
      <c r="ID86">
        <v>352</v>
      </c>
      <c r="IE86">
        <v>0</v>
      </c>
      <c r="IF86">
        <v>0</v>
      </c>
      <c r="IG86">
        <v>-16</v>
      </c>
      <c r="IH86">
        <v>5055</v>
      </c>
      <c r="II86">
        <v>7790</v>
      </c>
      <c r="IJ86">
        <v>4212</v>
      </c>
      <c r="IK86">
        <v>2903</v>
      </c>
      <c r="IL86">
        <v>0</v>
      </c>
      <c r="IM86">
        <v>0</v>
      </c>
      <c r="IN86">
        <v>2458</v>
      </c>
      <c r="IO86">
        <v>-6324</v>
      </c>
      <c r="IP86">
        <v>16430</v>
      </c>
      <c r="IQ86">
        <v>14854</v>
      </c>
      <c r="IR86">
        <v>775</v>
      </c>
      <c r="IS86">
        <v>11140</v>
      </c>
      <c r="IT86">
        <v>0</v>
      </c>
      <c r="IU86">
        <v>0</v>
      </c>
      <c r="IV86">
        <v>0</v>
      </c>
      <c r="IW86">
        <v>0</v>
      </c>
      <c r="IX86">
        <v>0</v>
      </c>
      <c r="IY86">
        <v>0</v>
      </c>
      <c r="IZ86">
        <v>0</v>
      </c>
      <c r="JA86">
        <v>-1226</v>
      </c>
      <c r="JB86">
        <v>0</v>
      </c>
      <c r="JC86">
        <v>0</v>
      </c>
      <c r="JD86">
        <v>0</v>
      </c>
      <c r="JE86">
        <v>-4</v>
      </c>
      <c r="JF86">
        <v>0</v>
      </c>
      <c r="JG86">
        <v>41969</v>
      </c>
      <c r="JH86">
        <v>0</v>
      </c>
      <c r="JI86">
        <v>560</v>
      </c>
      <c r="JJ86">
        <v>0</v>
      </c>
      <c r="JK86">
        <v>0</v>
      </c>
      <c r="JL86">
        <v>0</v>
      </c>
      <c r="JM86">
        <v>-247</v>
      </c>
      <c r="JN86">
        <v>922</v>
      </c>
      <c r="JO86">
        <v>0</v>
      </c>
      <c r="JP86">
        <v>-39</v>
      </c>
      <c r="JQ86">
        <v>147</v>
      </c>
      <c r="JR86">
        <v>43312</v>
      </c>
      <c r="JS86">
        <v>-1214</v>
      </c>
      <c r="JT86">
        <v>0</v>
      </c>
      <c r="JU86">
        <v>2</v>
      </c>
      <c r="JV86">
        <v>0</v>
      </c>
      <c r="JW86">
        <v>-27187</v>
      </c>
      <c r="JX86">
        <v>0</v>
      </c>
      <c r="JY86">
        <v>0</v>
      </c>
      <c r="JZ86">
        <v>0</v>
      </c>
      <c r="KA86">
        <v>0</v>
      </c>
      <c r="KB86">
        <v>0</v>
      </c>
      <c r="KC86">
        <v>14913</v>
      </c>
      <c r="KD86">
        <v>0</v>
      </c>
      <c r="KE86">
        <v>-3966</v>
      </c>
      <c r="KF86">
        <v>10947</v>
      </c>
      <c r="KG86">
        <v>0</v>
      </c>
      <c r="KH86">
        <v>0</v>
      </c>
      <c r="KI86">
        <v>0</v>
      </c>
      <c r="KJ86">
        <v>0</v>
      </c>
      <c r="KK86">
        <v>-11895</v>
      </c>
      <c r="KL86">
        <v>0</v>
      </c>
      <c r="KM86">
        <v>-60</v>
      </c>
      <c r="KN86">
        <v>0</v>
      </c>
      <c r="KO86">
        <v>9553</v>
      </c>
      <c r="KP86">
        <v>65</v>
      </c>
      <c r="KQ86">
        <v>0</v>
      </c>
      <c r="KR86">
        <v>7476</v>
      </c>
      <c r="KS86">
        <v>0</v>
      </c>
      <c r="KT86">
        <v>0</v>
      </c>
      <c r="KU86">
        <v>0</v>
      </c>
      <c r="KV86">
        <v>31951</v>
      </c>
      <c r="KW86">
        <v>5457</v>
      </c>
      <c r="KX86">
        <v>0</v>
      </c>
      <c r="KY86">
        <v>0</v>
      </c>
      <c r="KZ86">
        <v>0</v>
      </c>
      <c r="LA86">
        <v>20056</v>
      </c>
      <c r="LB86">
        <v>5457</v>
      </c>
      <c r="LC86">
        <v>0</v>
      </c>
      <c r="LD86">
        <v>0</v>
      </c>
      <c r="LE86">
        <v>0</v>
      </c>
      <c r="LF86">
        <v>0</v>
      </c>
      <c r="LG86">
        <v>0</v>
      </c>
      <c r="LH86">
        <v>0</v>
      </c>
      <c r="LI86">
        <v>0</v>
      </c>
      <c r="LJ86">
        <v>2772</v>
      </c>
      <c r="LK86">
        <v>6181</v>
      </c>
      <c r="LL86">
        <v>8953</v>
      </c>
      <c r="LM86">
        <v>0</v>
      </c>
      <c r="LN86">
        <v>0</v>
      </c>
      <c r="LO86">
        <v>0</v>
      </c>
      <c r="LP86">
        <v>0</v>
      </c>
      <c r="LQ86">
        <v>0</v>
      </c>
      <c r="LR86">
        <v>0</v>
      </c>
      <c r="LS86">
        <v>3198</v>
      </c>
      <c r="LT86">
        <v>3198</v>
      </c>
      <c r="LU86">
        <v>0</v>
      </c>
      <c r="LV86">
        <v>352</v>
      </c>
      <c r="LW86">
        <v>0</v>
      </c>
      <c r="LX86">
        <v>0</v>
      </c>
      <c r="LY86">
        <v>-16</v>
      </c>
      <c r="LZ86">
        <v>5055</v>
      </c>
      <c r="MA86">
        <v>7790</v>
      </c>
      <c r="MB86">
        <v>4212</v>
      </c>
      <c r="MC86">
        <v>2903</v>
      </c>
      <c r="MD86">
        <v>0</v>
      </c>
      <c r="ME86">
        <v>0</v>
      </c>
      <c r="MF86">
        <v>2458</v>
      </c>
      <c r="MG86">
        <v>-6324</v>
      </c>
      <c r="MH86">
        <v>16430</v>
      </c>
      <c r="MI86">
        <v>0</v>
      </c>
      <c r="MJ86">
        <v>0</v>
      </c>
      <c r="MK86">
        <v>0</v>
      </c>
      <c r="ML86">
        <v>0</v>
      </c>
      <c r="MM86">
        <v>0</v>
      </c>
      <c r="MN86">
        <v>0</v>
      </c>
      <c r="MO86">
        <v>0</v>
      </c>
      <c r="MP86">
        <v>0</v>
      </c>
      <c r="MQ86">
        <v>0</v>
      </c>
      <c r="MR86">
        <v>0</v>
      </c>
      <c r="MS86">
        <v>0</v>
      </c>
      <c r="MT86">
        <v>0</v>
      </c>
      <c r="MU86">
        <v>0</v>
      </c>
      <c r="MV86">
        <v>0</v>
      </c>
      <c r="MW86">
        <v>0</v>
      </c>
      <c r="MX86">
        <v>0</v>
      </c>
      <c r="MY86">
        <v>-1226</v>
      </c>
      <c r="MZ86">
        <v>0</v>
      </c>
      <c r="NA86">
        <v>-1226</v>
      </c>
      <c r="NB86">
        <v>0</v>
      </c>
      <c r="NC86">
        <v>-1226</v>
      </c>
      <c r="ND86">
        <v>0</v>
      </c>
      <c r="NE86">
        <v>0</v>
      </c>
      <c r="NF86">
        <v>0</v>
      </c>
      <c r="NG86">
        <v>0</v>
      </c>
      <c r="NH86">
        <v>0</v>
      </c>
      <c r="NI86">
        <v>0</v>
      </c>
      <c r="NJ86">
        <v>0</v>
      </c>
      <c r="NK86">
        <v>0</v>
      </c>
      <c r="NL86">
        <v>0</v>
      </c>
      <c r="NM86">
        <v>0</v>
      </c>
      <c r="NN86">
        <v>0</v>
      </c>
      <c r="NO86">
        <v>0</v>
      </c>
      <c r="NP86">
        <v>0</v>
      </c>
      <c r="NQ86">
        <v>0</v>
      </c>
      <c r="NR86">
        <v>0</v>
      </c>
      <c r="NS86">
        <v>0</v>
      </c>
      <c r="NT86">
        <v>0</v>
      </c>
      <c r="NU86">
        <v>0</v>
      </c>
      <c r="NV86">
        <v>0</v>
      </c>
      <c r="NW86">
        <v>0</v>
      </c>
      <c r="NX86">
        <v>0</v>
      </c>
      <c r="NY86">
        <v>0</v>
      </c>
      <c r="NZ86">
        <v>0</v>
      </c>
      <c r="OA86">
        <v>0</v>
      </c>
      <c r="OB86">
        <v>0</v>
      </c>
      <c r="OC86">
        <v>0</v>
      </c>
      <c r="OD86">
        <v>0</v>
      </c>
      <c r="OE86">
        <v>0</v>
      </c>
      <c r="OF86">
        <v>0</v>
      </c>
      <c r="OG86">
        <v>0</v>
      </c>
      <c r="OH86">
        <v>0</v>
      </c>
      <c r="OI86">
        <v>0</v>
      </c>
      <c r="OJ86">
        <v>0</v>
      </c>
      <c r="OK86">
        <v>0</v>
      </c>
      <c r="OL86">
        <v>0</v>
      </c>
      <c r="OM86">
        <v>0</v>
      </c>
      <c r="ON86">
        <v>0</v>
      </c>
    </row>
    <row r="87" spans="1:404" x14ac:dyDescent="0.25">
      <c r="A87" t="s">
        <v>324</v>
      </c>
      <c r="B87" t="s">
        <v>325</v>
      </c>
      <c r="C87" t="s">
        <v>323</v>
      </c>
      <c r="E87" t="s">
        <v>1940</v>
      </c>
      <c r="F87">
        <v>27194</v>
      </c>
      <c r="G87">
        <v>56044</v>
      </c>
      <c r="H87">
        <v>16173</v>
      </c>
      <c r="I87">
        <v>57815</v>
      </c>
      <c r="J87">
        <v>4421</v>
      </c>
      <c r="K87">
        <v>35999</v>
      </c>
      <c r="L87">
        <v>197646</v>
      </c>
      <c r="M87">
        <v>-1213</v>
      </c>
      <c r="N87">
        <v>5</v>
      </c>
      <c r="O87">
        <v>0</v>
      </c>
      <c r="P87">
        <v>0</v>
      </c>
      <c r="Q87">
        <v>0</v>
      </c>
      <c r="R87">
        <v>0</v>
      </c>
      <c r="S87">
        <v>275</v>
      </c>
      <c r="T87">
        <v>305</v>
      </c>
      <c r="U87">
        <v>6040</v>
      </c>
      <c r="V87">
        <v>0</v>
      </c>
      <c r="W87">
        <v>0</v>
      </c>
      <c r="X87">
        <v>37</v>
      </c>
      <c r="Y87">
        <v>530</v>
      </c>
      <c r="Z87">
        <v>-16414</v>
      </c>
      <c r="AA87">
        <v>-711</v>
      </c>
      <c r="AB87">
        <v>13905</v>
      </c>
      <c r="AC87">
        <v>0</v>
      </c>
      <c r="AD87">
        <v>0</v>
      </c>
      <c r="AE87">
        <v>0</v>
      </c>
      <c r="AF87">
        <v>0</v>
      </c>
      <c r="AG87">
        <v>0</v>
      </c>
      <c r="AH87">
        <v>0</v>
      </c>
      <c r="AI87">
        <v>2760</v>
      </c>
      <c r="AJ87">
        <v>0</v>
      </c>
      <c r="AK87">
        <v>0</v>
      </c>
      <c r="AL87">
        <v>0</v>
      </c>
      <c r="AM87">
        <v>0</v>
      </c>
      <c r="AN87">
        <v>0</v>
      </c>
      <c r="AO87">
        <v>0</v>
      </c>
      <c r="AP87">
        <v>0</v>
      </c>
      <c r="AQ87">
        <v>13091</v>
      </c>
      <c r="AR87">
        <v>9641</v>
      </c>
      <c r="AS87">
        <v>0</v>
      </c>
      <c r="AT87">
        <v>0</v>
      </c>
      <c r="AU87">
        <v>0</v>
      </c>
      <c r="AV87">
        <v>2150</v>
      </c>
      <c r="AW87">
        <v>36562</v>
      </c>
      <c r="AX87">
        <v>9706</v>
      </c>
      <c r="AY87">
        <v>10803</v>
      </c>
      <c r="AZ87">
        <v>1467</v>
      </c>
      <c r="BA87">
        <v>19127</v>
      </c>
      <c r="BB87">
        <v>14932</v>
      </c>
      <c r="BC87">
        <v>727</v>
      </c>
      <c r="BD87">
        <v>95474</v>
      </c>
      <c r="BE87">
        <v>13620</v>
      </c>
      <c r="BF87">
        <v>39705</v>
      </c>
      <c r="BG87">
        <v>207</v>
      </c>
      <c r="BH87">
        <v>85</v>
      </c>
      <c r="BI87">
        <v>814</v>
      </c>
      <c r="BJ87">
        <v>1668</v>
      </c>
      <c r="BK87">
        <v>32011</v>
      </c>
      <c r="BL87">
        <v>6853</v>
      </c>
      <c r="BM87">
        <v>7056</v>
      </c>
      <c r="BN87">
        <v>1037</v>
      </c>
      <c r="BO87">
        <v>5</v>
      </c>
      <c r="BP87">
        <v>1563</v>
      </c>
      <c r="BQ87">
        <v>0</v>
      </c>
      <c r="BR87">
        <v>108</v>
      </c>
      <c r="BS87">
        <v>3349</v>
      </c>
      <c r="BT87">
        <v>20135</v>
      </c>
      <c r="BU87">
        <v>2252</v>
      </c>
      <c r="BV87">
        <v>3419</v>
      </c>
      <c r="BW87">
        <v>127740</v>
      </c>
      <c r="BX87">
        <v>4707</v>
      </c>
      <c r="BY87">
        <v>315</v>
      </c>
      <c r="BZ87">
        <v>369</v>
      </c>
      <c r="CA87">
        <v>143</v>
      </c>
      <c r="CB87">
        <v>0</v>
      </c>
      <c r="CC87">
        <v>0</v>
      </c>
      <c r="CD87">
        <v>0</v>
      </c>
      <c r="CE87">
        <v>327</v>
      </c>
      <c r="CF87">
        <v>46</v>
      </c>
      <c r="CG87">
        <v>0</v>
      </c>
      <c r="CH87">
        <v>-50</v>
      </c>
      <c r="CI87">
        <v>1668</v>
      </c>
      <c r="CJ87">
        <v>1503</v>
      </c>
      <c r="CK87">
        <v>0</v>
      </c>
      <c r="CL87">
        <v>0</v>
      </c>
      <c r="CM87">
        <v>80</v>
      </c>
      <c r="CN87">
        <v>53</v>
      </c>
      <c r="CO87">
        <v>0</v>
      </c>
      <c r="CP87">
        <v>6482</v>
      </c>
      <c r="CQ87">
        <v>0</v>
      </c>
      <c r="CR87">
        <v>0</v>
      </c>
      <c r="CS87">
        <v>0</v>
      </c>
      <c r="CT87">
        <v>1589</v>
      </c>
      <c r="CU87">
        <v>1821</v>
      </c>
      <c r="CV87">
        <v>36018</v>
      </c>
      <c r="CW87">
        <v>0</v>
      </c>
      <c r="CX87">
        <v>0</v>
      </c>
      <c r="CY87">
        <v>0</v>
      </c>
      <c r="CZ87">
        <v>0</v>
      </c>
      <c r="DA87">
        <v>0</v>
      </c>
      <c r="DB87">
        <v>0</v>
      </c>
      <c r="DC87">
        <v>715</v>
      </c>
      <c r="DD87">
        <v>0</v>
      </c>
      <c r="DE87">
        <v>0</v>
      </c>
      <c r="DF87">
        <v>540</v>
      </c>
      <c r="DG87">
        <v>0</v>
      </c>
      <c r="DH87">
        <v>4802</v>
      </c>
      <c r="DI87">
        <v>-132</v>
      </c>
      <c r="DJ87">
        <v>4846</v>
      </c>
      <c r="DK87">
        <v>-124</v>
      </c>
      <c r="DL87">
        <v>0</v>
      </c>
      <c r="DM87">
        <v>0</v>
      </c>
      <c r="DN87">
        <v>5839</v>
      </c>
      <c r="DO87">
        <v>1</v>
      </c>
      <c r="DP87">
        <v>15232</v>
      </c>
      <c r="DQ87">
        <v>0</v>
      </c>
      <c r="DR87">
        <v>0</v>
      </c>
      <c r="DS87">
        <v>0</v>
      </c>
      <c r="DT87">
        <v>-1034</v>
      </c>
      <c r="DU87">
        <v>0</v>
      </c>
      <c r="DV87">
        <v>6394</v>
      </c>
      <c r="DW87">
        <v>1494</v>
      </c>
      <c r="DX87">
        <v>23342</v>
      </c>
      <c r="DY87">
        <v>77264</v>
      </c>
      <c r="DZ87">
        <v>957</v>
      </c>
      <c r="EA87">
        <v>8994</v>
      </c>
      <c r="EB87">
        <v>180</v>
      </c>
      <c r="EC87">
        <v>0</v>
      </c>
      <c r="ED87">
        <v>1</v>
      </c>
      <c r="EE87">
        <v>0</v>
      </c>
      <c r="EF87">
        <v>437</v>
      </c>
      <c r="EG87">
        <v>24</v>
      </c>
      <c r="EH87">
        <v>11535</v>
      </c>
      <c r="EI87">
        <v>36979</v>
      </c>
      <c r="EJ87">
        <v>0</v>
      </c>
      <c r="EK87">
        <v>3580</v>
      </c>
      <c r="EL87">
        <v>18026</v>
      </c>
      <c r="EM87">
        <v>13078</v>
      </c>
      <c r="EN87">
        <v>7</v>
      </c>
      <c r="EO87">
        <v>0</v>
      </c>
      <c r="EP87">
        <v>0</v>
      </c>
      <c r="EQ87">
        <v>0</v>
      </c>
      <c r="ER87">
        <v>919</v>
      </c>
      <c r="ES87">
        <v>27629</v>
      </c>
      <c r="ET87">
        <v>31362</v>
      </c>
      <c r="EU87">
        <v>5</v>
      </c>
      <c r="EV87">
        <v>0</v>
      </c>
      <c r="EW87">
        <v>0</v>
      </c>
      <c r="EX87">
        <v>209</v>
      </c>
      <c r="EY87">
        <v>-59</v>
      </c>
      <c r="EZ87">
        <v>-8</v>
      </c>
      <c r="FA87">
        <v>0</v>
      </c>
      <c r="FB87">
        <v>1</v>
      </c>
      <c r="FC87">
        <v>511</v>
      </c>
      <c r="FD87">
        <v>157</v>
      </c>
      <c r="FE87">
        <v>-38</v>
      </c>
      <c r="FF87">
        <v>0</v>
      </c>
      <c r="FG87">
        <v>2476</v>
      </c>
      <c r="FH87">
        <v>3254</v>
      </c>
      <c r="FI87">
        <v>-1182</v>
      </c>
      <c r="FJ87">
        <v>432</v>
      </c>
      <c r="FK87">
        <v>0</v>
      </c>
      <c r="FL87">
        <v>643</v>
      </c>
      <c r="FM87">
        <v>671</v>
      </c>
      <c r="FN87">
        <v>465</v>
      </c>
      <c r="FO87">
        <v>0</v>
      </c>
      <c r="FP87">
        <v>0</v>
      </c>
      <c r="FQ87">
        <v>0</v>
      </c>
      <c r="FR87">
        <v>0</v>
      </c>
      <c r="FS87">
        <v>14</v>
      </c>
      <c r="FT87">
        <v>87</v>
      </c>
      <c r="FU87">
        <v>-334</v>
      </c>
      <c r="FV87">
        <v>837</v>
      </c>
      <c r="FW87">
        <v>1472</v>
      </c>
      <c r="FX87">
        <v>218</v>
      </c>
      <c r="FY87">
        <v>0</v>
      </c>
      <c r="FZ87">
        <v>0</v>
      </c>
      <c r="GA87">
        <v>0</v>
      </c>
      <c r="GB87">
        <v>0</v>
      </c>
      <c r="GC87">
        <v>0</v>
      </c>
      <c r="GD87">
        <v>5407</v>
      </c>
      <c r="GE87">
        <v>7207</v>
      </c>
      <c r="GF87">
        <v>13961</v>
      </c>
      <c r="GG87">
        <v>0</v>
      </c>
      <c r="GH87">
        <v>-1</v>
      </c>
      <c r="GI87">
        <v>0</v>
      </c>
      <c r="GJ87">
        <v>0</v>
      </c>
      <c r="GK87">
        <v>29897</v>
      </c>
      <c r="GL87">
        <v>364</v>
      </c>
      <c r="GM87">
        <v>-43</v>
      </c>
      <c r="GN87">
        <v>0</v>
      </c>
      <c r="GO87">
        <v>738</v>
      </c>
      <c r="GP87">
        <v>1</v>
      </c>
      <c r="GQ87">
        <v>8317</v>
      </c>
      <c r="GR87">
        <v>0</v>
      </c>
      <c r="GS87">
        <v>0</v>
      </c>
      <c r="GT87">
        <v>0</v>
      </c>
      <c r="GU87">
        <v>9378</v>
      </c>
      <c r="GV87">
        <v>42529</v>
      </c>
      <c r="GW87">
        <v>0</v>
      </c>
      <c r="GX87">
        <v>0</v>
      </c>
      <c r="GY87">
        <v>0</v>
      </c>
      <c r="GZ87">
        <v>0</v>
      </c>
      <c r="HA87">
        <v>0</v>
      </c>
      <c r="HB87">
        <v>8193</v>
      </c>
      <c r="HC87">
        <v>2124</v>
      </c>
      <c r="HD87">
        <v>0</v>
      </c>
      <c r="HE87">
        <v>991</v>
      </c>
      <c r="HF87">
        <v>1705</v>
      </c>
      <c r="HG87">
        <v>0</v>
      </c>
      <c r="HH87">
        <v>0</v>
      </c>
      <c r="HI87">
        <v>35</v>
      </c>
      <c r="HJ87">
        <v>757</v>
      </c>
      <c r="HK87">
        <v>1676</v>
      </c>
      <c r="HL87">
        <v>0</v>
      </c>
      <c r="HM87">
        <v>-100</v>
      </c>
      <c r="HN87">
        <v>0</v>
      </c>
      <c r="HO87">
        <v>1604</v>
      </c>
      <c r="HP87">
        <v>1028</v>
      </c>
      <c r="HQ87">
        <v>0</v>
      </c>
      <c r="HR87">
        <v>0</v>
      </c>
      <c r="HS87">
        <v>83</v>
      </c>
      <c r="HT87">
        <v>407</v>
      </c>
      <c r="HU87">
        <v>783</v>
      </c>
      <c r="HV87">
        <v>19286</v>
      </c>
      <c r="HW87">
        <v>0</v>
      </c>
      <c r="HX87">
        <v>4009</v>
      </c>
      <c r="HY87">
        <v>0</v>
      </c>
      <c r="HZ87">
        <v>9150</v>
      </c>
      <c r="IA87">
        <v>2721</v>
      </c>
      <c r="IB87">
        <v>0</v>
      </c>
      <c r="IC87">
        <v>197646</v>
      </c>
      <c r="ID87">
        <v>2760</v>
      </c>
      <c r="IE87">
        <v>95474</v>
      </c>
      <c r="IF87">
        <v>127740</v>
      </c>
      <c r="IG87">
        <v>36018</v>
      </c>
      <c r="IH87">
        <v>23342</v>
      </c>
      <c r="II87">
        <v>3254</v>
      </c>
      <c r="IJ87">
        <v>29897</v>
      </c>
      <c r="IK87">
        <v>9378</v>
      </c>
      <c r="IL87">
        <v>0</v>
      </c>
      <c r="IM87">
        <v>0</v>
      </c>
      <c r="IN87">
        <v>19286</v>
      </c>
      <c r="IO87">
        <v>0</v>
      </c>
      <c r="IP87">
        <v>544794</v>
      </c>
      <c r="IQ87">
        <v>109398</v>
      </c>
      <c r="IR87">
        <v>18391</v>
      </c>
      <c r="IS87">
        <v>35273</v>
      </c>
      <c r="IT87">
        <v>0</v>
      </c>
      <c r="IU87">
        <v>0</v>
      </c>
      <c r="IV87">
        <v>0</v>
      </c>
      <c r="IW87">
        <v>0</v>
      </c>
      <c r="IX87">
        <v>0</v>
      </c>
      <c r="IY87">
        <v>399</v>
      </c>
      <c r="IZ87">
        <v>601</v>
      </c>
      <c r="JA87">
        <v>-676</v>
      </c>
      <c r="JB87">
        <v>2919</v>
      </c>
      <c r="JC87">
        <v>0</v>
      </c>
      <c r="JD87">
        <v>0</v>
      </c>
      <c r="JE87">
        <v>0</v>
      </c>
      <c r="JF87">
        <v>0</v>
      </c>
      <c r="JG87">
        <v>711098</v>
      </c>
      <c r="JH87">
        <v>305</v>
      </c>
      <c r="JI87">
        <v>0</v>
      </c>
      <c r="JJ87">
        <v>0</v>
      </c>
      <c r="JK87">
        <v>0</v>
      </c>
      <c r="JL87">
        <v>-50000</v>
      </c>
      <c r="JM87">
        <v>5451</v>
      </c>
      <c r="JN87">
        <v>20754</v>
      </c>
      <c r="JO87">
        <v>0</v>
      </c>
      <c r="JP87">
        <v>29534</v>
      </c>
      <c r="JQ87">
        <v>0</v>
      </c>
      <c r="JR87">
        <v>717142</v>
      </c>
      <c r="JS87">
        <v>-13313</v>
      </c>
      <c r="JT87">
        <v>0</v>
      </c>
      <c r="JU87">
        <v>0</v>
      </c>
      <c r="JV87">
        <v>0</v>
      </c>
      <c r="JW87">
        <v>-167751</v>
      </c>
      <c r="JX87">
        <v>0</v>
      </c>
      <c r="JY87">
        <v>-11587</v>
      </c>
      <c r="JZ87">
        <v>0</v>
      </c>
      <c r="KA87">
        <v>0</v>
      </c>
      <c r="KB87">
        <v>0</v>
      </c>
      <c r="KC87">
        <v>524491</v>
      </c>
      <c r="KD87">
        <v>0</v>
      </c>
      <c r="KE87">
        <v>-285858</v>
      </c>
      <c r="KF87">
        <v>238634</v>
      </c>
      <c r="KG87">
        <v>0</v>
      </c>
      <c r="KH87">
        <v>3987</v>
      </c>
      <c r="KI87">
        <v>-2768</v>
      </c>
      <c r="KJ87">
        <v>5565</v>
      </c>
      <c r="KK87">
        <v>70853</v>
      </c>
      <c r="KL87">
        <v>2395</v>
      </c>
      <c r="KM87">
        <v>-14205</v>
      </c>
      <c r="KN87">
        <v>0</v>
      </c>
      <c r="KO87">
        <v>-71624</v>
      </c>
      <c r="KP87">
        <v>4364</v>
      </c>
      <c r="KQ87">
        <v>0</v>
      </c>
      <c r="KR87">
        <v>198094</v>
      </c>
      <c r="KS87">
        <v>4158</v>
      </c>
      <c r="KT87">
        <v>-18528</v>
      </c>
      <c r="KU87">
        <v>1745</v>
      </c>
      <c r="KV87">
        <v>75444</v>
      </c>
      <c r="KW87">
        <v>27500</v>
      </c>
      <c r="KX87">
        <v>8145</v>
      </c>
      <c r="KY87">
        <v>-21296</v>
      </c>
      <c r="KZ87">
        <v>7310</v>
      </c>
      <c r="LA87">
        <v>146297</v>
      </c>
      <c r="LB87">
        <v>29895</v>
      </c>
      <c r="LC87">
        <v>0</v>
      </c>
      <c r="LD87">
        <v>32453</v>
      </c>
      <c r="LE87">
        <v>0</v>
      </c>
      <c r="LF87">
        <v>-8379</v>
      </c>
      <c r="LG87">
        <v>0</v>
      </c>
      <c r="LH87">
        <v>0</v>
      </c>
      <c r="LI87">
        <v>24074</v>
      </c>
      <c r="LJ87">
        <v>10503</v>
      </c>
      <c r="LK87">
        <v>24625</v>
      </c>
      <c r="LL87">
        <v>35128</v>
      </c>
      <c r="LM87">
        <v>0</v>
      </c>
      <c r="LN87">
        <v>0</v>
      </c>
      <c r="LO87">
        <v>0</v>
      </c>
      <c r="LP87">
        <v>87857</v>
      </c>
      <c r="LQ87">
        <v>84124</v>
      </c>
      <c r="LR87">
        <v>3733</v>
      </c>
      <c r="LS87">
        <v>27629</v>
      </c>
      <c r="LT87">
        <v>31362</v>
      </c>
      <c r="LU87">
        <v>197646</v>
      </c>
      <c r="LV87">
        <v>2760</v>
      </c>
      <c r="LW87">
        <v>95474</v>
      </c>
      <c r="LX87">
        <v>127740</v>
      </c>
      <c r="LY87">
        <v>36018</v>
      </c>
      <c r="LZ87">
        <v>23342</v>
      </c>
      <c r="MA87">
        <v>3254</v>
      </c>
      <c r="MB87">
        <v>29897</v>
      </c>
      <c r="MC87">
        <v>9378</v>
      </c>
      <c r="MD87">
        <v>0</v>
      </c>
      <c r="ME87">
        <v>0</v>
      </c>
      <c r="MF87">
        <v>19286</v>
      </c>
      <c r="MG87">
        <v>0</v>
      </c>
      <c r="MH87">
        <v>544794</v>
      </c>
      <c r="MI87">
        <v>0</v>
      </c>
      <c r="MJ87">
        <v>0</v>
      </c>
      <c r="MK87">
        <v>0</v>
      </c>
      <c r="ML87">
        <v>0</v>
      </c>
      <c r="MM87">
        <v>0</v>
      </c>
      <c r="MN87">
        <v>0</v>
      </c>
      <c r="MO87">
        <v>0</v>
      </c>
      <c r="MP87">
        <v>0</v>
      </c>
      <c r="MQ87">
        <v>0</v>
      </c>
      <c r="MR87">
        <v>0</v>
      </c>
      <c r="MS87">
        <v>0</v>
      </c>
      <c r="MT87">
        <v>0</v>
      </c>
      <c r="MU87">
        <v>0</v>
      </c>
      <c r="MV87">
        <v>-87</v>
      </c>
      <c r="MW87">
        <v>0</v>
      </c>
      <c r="MX87">
        <v>0</v>
      </c>
      <c r="MY87">
        <v>0</v>
      </c>
      <c r="MZ87">
        <v>-71</v>
      </c>
      <c r="NA87">
        <v>-676</v>
      </c>
      <c r="NB87">
        <v>0</v>
      </c>
      <c r="NC87">
        <v>-676</v>
      </c>
      <c r="ND87">
        <v>0</v>
      </c>
      <c r="NE87">
        <v>0</v>
      </c>
      <c r="NF87">
        <v>0</v>
      </c>
      <c r="NG87">
        <v>0</v>
      </c>
      <c r="NH87">
        <v>0</v>
      </c>
      <c r="NI87">
        <v>0</v>
      </c>
      <c r="NJ87">
        <v>0</v>
      </c>
      <c r="NK87">
        <v>0</v>
      </c>
      <c r="NL87">
        <v>0</v>
      </c>
      <c r="NM87">
        <v>0</v>
      </c>
      <c r="NN87">
        <v>0</v>
      </c>
      <c r="NO87">
        <v>0</v>
      </c>
      <c r="NP87">
        <v>2821</v>
      </c>
      <c r="NQ87">
        <v>0</v>
      </c>
      <c r="NR87">
        <v>97</v>
      </c>
      <c r="NS87">
        <v>0</v>
      </c>
      <c r="NT87">
        <v>0</v>
      </c>
      <c r="NU87">
        <v>0</v>
      </c>
      <c r="NV87">
        <v>0</v>
      </c>
      <c r="NW87">
        <v>0</v>
      </c>
      <c r="NX87">
        <v>0</v>
      </c>
      <c r="NY87">
        <v>0</v>
      </c>
      <c r="NZ87">
        <v>2919</v>
      </c>
      <c r="OA87">
        <v>0</v>
      </c>
      <c r="OB87">
        <v>2919</v>
      </c>
      <c r="OC87">
        <v>0</v>
      </c>
      <c r="OD87">
        <v>0</v>
      </c>
      <c r="OE87">
        <v>0</v>
      </c>
      <c r="OF87">
        <v>0</v>
      </c>
      <c r="OG87">
        <v>0</v>
      </c>
      <c r="OH87">
        <v>0</v>
      </c>
      <c r="OI87">
        <v>0</v>
      </c>
      <c r="OJ87">
        <v>0</v>
      </c>
      <c r="OK87">
        <v>0</v>
      </c>
      <c r="OL87">
        <v>0</v>
      </c>
      <c r="OM87">
        <v>0</v>
      </c>
      <c r="ON87">
        <v>0</v>
      </c>
    </row>
    <row r="88" spans="1:404" x14ac:dyDescent="0.25">
      <c r="A88" t="s">
        <v>327</v>
      </c>
      <c r="B88" t="s">
        <v>328</v>
      </c>
      <c r="C88" t="s">
        <v>326</v>
      </c>
      <c r="E88" t="s">
        <v>1942</v>
      </c>
      <c r="F88">
        <v>16812</v>
      </c>
      <c r="G88">
        <v>187137</v>
      </c>
      <c r="H88">
        <v>71847</v>
      </c>
      <c r="I88">
        <v>43856</v>
      </c>
      <c r="J88">
        <v>3960</v>
      </c>
      <c r="K88">
        <v>20659</v>
      </c>
      <c r="L88">
        <v>344271</v>
      </c>
      <c r="M88">
        <v>794</v>
      </c>
      <c r="N88">
        <v>0</v>
      </c>
      <c r="O88">
        <v>-1</v>
      </c>
      <c r="P88">
        <v>0</v>
      </c>
      <c r="Q88">
        <v>305</v>
      </c>
      <c r="R88">
        <v>6301</v>
      </c>
      <c r="S88">
        <v>0</v>
      </c>
      <c r="T88">
        <v>4318</v>
      </c>
      <c r="U88">
        <v>1984</v>
      </c>
      <c r="V88">
        <v>0</v>
      </c>
      <c r="W88">
        <v>0</v>
      </c>
      <c r="X88">
        <v>654</v>
      </c>
      <c r="Y88">
        <v>0</v>
      </c>
      <c r="Z88">
        <v>225</v>
      </c>
      <c r="AA88">
        <v>0</v>
      </c>
      <c r="AB88">
        <v>6376</v>
      </c>
      <c r="AC88">
        <v>37</v>
      </c>
      <c r="AD88">
        <v>217</v>
      </c>
      <c r="AE88">
        <v>-14</v>
      </c>
      <c r="AF88">
        <v>187</v>
      </c>
      <c r="AG88">
        <v>-32</v>
      </c>
      <c r="AH88">
        <v>-100</v>
      </c>
      <c r="AI88">
        <v>21251</v>
      </c>
      <c r="AJ88">
        <v>0</v>
      </c>
      <c r="AK88">
        <v>0</v>
      </c>
      <c r="AL88">
        <v>0</v>
      </c>
      <c r="AM88">
        <v>0</v>
      </c>
      <c r="AN88">
        <v>0</v>
      </c>
      <c r="AO88">
        <v>0</v>
      </c>
      <c r="AP88">
        <v>0</v>
      </c>
      <c r="AQ88">
        <v>1287</v>
      </c>
      <c r="AR88">
        <v>0</v>
      </c>
      <c r="AS88">
        <v>0</v>
      </c>
      <c r="AT88">
        <v>0</v>
      </c>
      <c r="AU88">
        <v>0</v>
      </c>
      <c r="AV88">
        <v>5342</v>
      </c>
      <c r="AW88">
        <v>46543</v>
      </c>
      <c r="AX88">
        <v>5908</v>
      </c>
      <c r="AY88">
        <v>9915</v>
      </c>
      <c r="AZ88">
        <v>1877</v>
      </c>
      <c r="BA88">
        <v>12867</v>
      </c>
      <c r="BB88">
        <v>0</v>
      </c>
      <c r="BC88">
        <v>2811</v>
      </c>
      <c r="BD88">
        <v>85263</v>
      </c>
      <c r="BE88">
        <v>9722</v>
      </c>
      <c r="BF88">
        <v>40111</v>
      </c>
      <c r="BG88">
        <v>658</v>
      </c>
      <c r="BH88">
        <v>330</v>
      </c>
      <c r="BI88">
        <v>958</v>
      </c>
      <c r="BJ88">
        <v>14622</v>
      </c>
      <c r="BK88">
        <v>39181</v>
      </c>
      <c r="BL88">
        <v>3256</v>
      </c>
      <c r="BM88">
        <v>7222</v>
      </c>
      <c r="BN88">
        <v>7457</v>
      </c>
      <c r="BO88">
        <v>60</v>
      </c>
      <c r="BP88">
        <v>0</v>
      </c>
      <c r="BQ88">
        <v>869</v>
      </c>
      <c r="BR88">
        <v>1</v>
      </c>
      <c r="BS88">
        <v>-1</v>
      </c>
      <c r="BT88">
        <v>11757</v>
      </c>
      <c r="BU88">
        <v>0</v>
      </c>
      <c r="BV88">
        <v>15289</v>
      </c>
      <c r="BW88">
        <v>165401</v>
      </c>
      <c r="BX88">
        <v>1450</v>
      </c>
      <c r="BY88">
        <v>1178</v>
      </c>
      <c r="BZ88">
        <v>0</v>
      </c>
      <c r="CA88">
        <v>264</v>
      </c>
      <c r="CB88">
        <v>110</v>
      </c>
      <c r="CC88">
        <v>17</v>
      </c>
      <c r="CD88">
        <v>132</v>
      </c>
      <c r="CE88">
        <v>283</v>
      </c>
      <c r="CF88">
        <v>58</v>
      </c>
      <c r="CG88">
        <v>7</v>
      </c>
      <c r="CH88">
        <v>0</v>
      </c>
      <c r="CI88">
        <v>4627</v>
      </c>
      <c r="CJ88">
        <v>20</v>
      </c>
      <c r="CK88">
        <v>7</v>
      </c>
      <c r="CL88">
        <v>20</v>
      </c>
      <c r="CM88">
        <v>100</v>
      </c>
      <c r="CN88">
        <v>86</v>
      </c>
      <c r="CO88">
        <v>7</v>
      </c>
      <c r="CP88">
        <v>907</v>
      </c>
      <c r="CQ88">
        <v>4877</v>
      </c>
      <c r="CR88">
        <v>37</v>
      </c>
      <c r="CS88">
        <v>8</v>
      </c>
      <c r="CT88">
        <v>662</v>
      </c>
      <c r="CU88">
        <v>3195</v>
      </c>
      <c r="CV88">
        <v>25591</v>
      </c>
      <c r="CW88">
        <v>0</v>
      </c>
      <c r="CX88">
        <v>0</v>
      </c>
      <c r="CY88">
        <v>0</v>
      </c>
      <c r="CZ88">
        <v>0</v>
      </c>
      <c r="DA88">
        <v>0</v>
      </c>
      <c r="DB88">
        <v>0</v>
      </c>
      <c r="DC88">
        <v>0</v>
      </c>
      <c r="DD88">
        <v>0</v>
      </c>
      <c r="DE88">
        <v>0</v>
      </c>
      <c r="DF88">
        <v>0</v>
      </c>
      <c r="DG88">
        <v>0</v>
      </c>
      <c r="DH88">
        <v>0</v>
      </c>
      <c r="DI88">
        <v>0</v>
      </c>
      <c r="DJ88">
        <v>0</v>
      </c>
      <c r="DK88">
        <v>0</v>
      </c>
      <c r="DL88">
        <v>0</v>
      </c>
      <c r="DM88">
        <v>0</v>
      </c>
      <c r="DN88">
        <v>0</v>
      </c>
      <c r="DO88">
        <v>0</v>
      </c>
      <c r="DP88">
        <v>0</v>
      </c>
      <c r="DQ88">
        <v>0</v>
      </c>
      <c r="DR88">
        <v>0</v>
      </c>
      <c r="DS88">
        <v>0</v>
      </c>
      <c r="DT88">
        <v>0</v>
      </c>
      <c r="DU88">
        <v>0</v>
      </c>
      <c r="DV88">
        <v>0</v>
      </c>
      <c r="DW88">
        <v>1535</v>
      </c>
      <c r="DX88">
        <v>1535</v>
      </c>
      <c r="DY88">
        <v>0</v>
      </c>
      <c r="DZ88">
        <v>0</v>
      </c>
      <c r="EA88">
        <v>0</v>
      </c>
      <c r="EB88">
        <v>0</v>
      </c>
      <c r="EC88">
        <v>0</v>
      </c>
      <c r="ED88">
        <v>0</v>
      </c>
      <c r="EE88">
        <v>0</v>
      </c>
      <c r="EF88">
        <v>0</v>
      </c>
      <c r="EG88">
        <v>0</v>
      </c>
      <c r="EH88">
        <v>0</v>
      </c>
      <c r="EI88">
        <v>0</v>
      </c>
      <c r="EJ88">
        <v>0</v>
      </c>
      <c r="EK88">
        <v>0</v>
      </c>
      <c r="EL88">
        <v>0</v>
      </c>
      <c r="EM88">
        <v>0</v>
      </c>
      <c r="EN88">
        <v>0</v>
      </c>
      <c r="EO88">
        <v>0</v>
      </c>
      <c r="EP88">
        <v>0</v>
      </c>
      <c r="EQ88">
        <v>0</v>
      </c>
      <c r="ER88">
        <v>0</v>
      </c>
      <c r="ES88">
        <v>0</v>
      </c>
      <c r="ET88">
        <v>0</v>
      </c>
      <c r="EU88">
        <v>714</v>
      </c>
      <c r="EV88">
        <v>0</v>
      </c>
      <c r="EW88">
        <v>0</v>
      </c>
      <c r="EX88">
        <v>0</v>
      </c>
      <c r="EY88">
        <v>0</v>
      </c>
      <c r="EZ88">
        <v>245</v>
      </c>
      <c r="FA88">
        <v>0</v>
      </c>
      <c r="FB88">
        <v>280</v>
      </c>
      <c r="FC88">
        <v>0</v>
      </c>
      <c r="FD88">
        <v>645</v>
      </c>
      <c r="FE88">
        <v>0</v>
      </c>
      <c r="FF88">
        <v>0</v>
      </c>
      <c r="FG88">
        <v>4235</v>
      </c>
      <c r="FH88">
        <v>6119</v>
      </c>
      <c r="FI88">
        <v>0</v>
      </c>
      <c r="FJ88">
        <v>699</v>
      </c>
      <c r="FK88">
        <v>0</v>
      </c>
      <c r="FL88">
        <v>0</v>
      </c>
      <c r="FM88">
        <v>0</v>
      </c>
      <c r="FN88">
        <v>0</v>
      </c>
      <c r="FO88">
        <v>0</v>
      </c>
      <c r="FP88">
        <v>0</v>
      </c>
      <c r="FQ88">
        <v>0</v>
      </c>
      <c r="FR88">
        <v>0</v>
      </c>
      <c r="FS88">
        <v>0</v>
      </c>
      <c r="FT88">
        <v>0</v>
      </c>
      <c r="FU88">
        <v>0</v>
      </c>
      <c r="FV88">
        <v>0</v>
      </c>
      <c r="FW88">
        <v>0</v>
      </c>
      <c r="FX88">
        <v>0</v>
      </c>
      <c r="FY88">
        <v>0</v>
      </c>
      <c r="FZ88">
        <v>0</v>
      </c>
      <c r="GA88">
        <v>0</v>
      </c>
      <c r="GB88">
        <v>0</v>
      </c>
      <c r="GC88">
        <v>0</v>
      </c>
      <c r="GD88">
        <v>0</v>
      </c>
      <c r="GE88">
        <v>0</v>
      </c>
      <c r="GF88">
        <v>32963</v>
      </c>
      <c r="GG88">
        <v>-513</v>
      </c>
      <c r="GH88">
        <v>6694</v>
      </c>
      <c r="GI88">
        <v>105</v>
      </c>
      <c r="GJ88">
        <v>0</v>
      </c>
      <c r="GK88">
        <v>39948</v>
      </c>
      <c r="GL88">
        <v>0</v>
      </c>
      <c r="GM88">
        <v>635</v>
      </c>
      <c r="GN88">
        <v>0</v>
      </c>
      <c r="GO88">
        <v>691</v>
      </c>
      <c r="GP88">
        <v>137</v>
      </c>
      <c r="GQ88">
        <v>-2218</v>
      </c>
      <c r="GR88">
        <v>0</v>
      </c>
      <c r="GS88">
        <v>0</v>
      </c>
      <c r="GT88">
        <v>5167</v>
      </c>
      <c r="GU88">
        <v>4412</v>
      </c>
      <c r="GV88">
        <v>50479</v>
      </c>
      <c r="GW88">
        <v>0</v>
      </c>
      <c r="GX88">
        <v>1651</v>
      </c>
      <c r="GY88">
        <v>21834</v>
      </c>
      <c r="GZ88">
        <v>673</v>
      </c>
      <c r="HA88">
        <v>24158</v>
      </c>
      <c r="HB88">
        <v>1598</v>
      </c>
      <c r="HC88">
        <v>0</v>
      </c>
      <c r="HD88">
        <v>0</v>
      </c>
      <c r="HE88">
        <v>0</v>
      </c>
      <c r="HF88">
        <v>0</v>
      </c>
      <c r="HG88">
        <v>0</v>
      </c>
      <c r="HH88">
        <v>0</v>
      </c>
      <c r="HI88">
        <v>-119</v>
      </c>
      <c r="HJ88">
        <v>0</v>
      </c>
      <c r="HK88">
        <v>0</v>
      </c>
      <c r="HL88">
        <v>0</v>
      </c>
      <c r="HM88">
        <v>0</v>
      </c>
      <c r="HN88">
        <v>0</v>
      </c>
      <c r="HO88">
        <v>0</v>
      </c>
      <c r="HP88">
        <v>1892</v>
      </c>
      <c r="HQ88">
        <v>0</v>
      </c>
      <c r="HR88">
        <v>0</v>
      </c>
      <c r="HS88">
        <v>0</v>
      </c>
      <c r="HT88">
        <v>0</v>
      </c>
      <c r="HU88">
        <v>15841</v>
      </c>
      <c r="HV88">
        <v>19212</v>
      </c>
      <c r="HW88">
        <v>250</v>
      </c>
      <c r="HX88">
        <v>0</v>
      </c>
      <c r="HY88">
        <v>0</v>
      </c>
      <c r="HZ88">
        <v>0</v>
      </c>
      <c r="IA88">
        <v>0</v>
      </c>
      <c r="IB88">
        <v>0</v>
      </c>
      <c r="IC88">
        <v>344271</v>
      </c>
      <c r="ID88">
        <v>21251</v>
      </c>
      <c r="IE88">
        <v>85263</v>
      </c>
      <c r="IF88">
        <v>165401</v>
      </c>
      <c r="IG88">
        <v>25591</v>
      </c>
      <c r="IH88">
        <v>1535</v>
      </c>
      <c r="II88">
        <v>6119</v>
      </c>
      <c r="IJ88">
        <v>39948</v>
      </c>
      <c r="IK88">
        <v>4412</v>
      </c>
      <c r="IL88">
        <v>0</v>
      </c>
      <c r="IM88">
        <v>24158</v>
      </c>
      <c r="IN88">
        <v>19212</v>
      </c>
      <c r="IO88">
        <v>0</v>
      </c>
      <c r="IP88">
        <v>737161</v>
      </c>
      <c r="IQ88">
        <v>0</v>
      </c>
      <c r="IR88">
        <v>0</v>
      </c>
      <c r="IS88">
        <v>0</v>
      </c>
      <c r="IT88">
        <v>0</v>
      </c>
      <c r="IU88">
        <v>0</v>
      </c>
      <c r="IV88">
        <v>0</v>
      </c>
      <c r="IW88">
        <v>0</v>
      </c>
      <c r="IX88">
        <v>0</v>
      </c>
      <c r="IY88">
        <v>0</v>
      </c>
      <c r="IZ88">
        <v>558</v>
      </c>
      <c r="JA88">
        <v>102</v>
      </c>
      <c r="JB88">
        <v>0</v>
      </c>
      <c r="JC88">
        <v>0</v>
      </c>
      <c r="JD88">
        <v>0</v>
      </c>
      <c r="JE88">
        <v>992</v>
      </c>
      <c r="JF88">
        <v>0</v>
      </c>
      <c r="JG88">
        <v>738813</v>
      </c>
      <c r="JH88">
        <v>334</v>
      </c>
      <c r="JI88">
        <v>1528</v>
      </c>
      <c r="JJ88">
        <v>0</v>
      </c>
      <c r="JK88">
        <v>0</v>
      </c>
      <c r="JL88">
        <v>0</v>
      </c>
      <c r="JM88">
        <v>2697</v>
      </c>
      <c r="JN88">
        <v>14478</v>
      </c>
      <c r="JO88">
        <v>0</v>
      </c>
      <c r="JP88">
        <v>14769</v>
      </c>
      <c r="JQ88">
        <v>0</v>
      </c>
      <c r="JR88">
        <v>772619</v>
      </c>
      <c r="JS88">
        <v>-450</v>
      </c>
      <c r="JT88">
        <v>14665</v>
      </c>
      <c r="JU88">
        <v>17</v>
      </c>
      <c r="JV88">
        <v>0</v>
      </c>
      <c r="JW88">
        <v>-10055</v>
      </c>
      <c r="JX88">
        <v>0</v>
      </c>
      <c r="JY88">
        <v>0</v>
      </c>
      <c r="JZ88">
        <v>0</v>
      </c>
      <c r="KA88">
        <v>0</v>
      </c>
      <c r="KB88">
        <v>0</v>
      </c>
      <c r="KC88">
        <v>776796</v>
      </c>
      <c r="KD88">
        <v>-536</v>
      </c>
      <c r="KE88">
        <v>-420061</v>
      </c>
      <c r="KF88">
        <v>356199</v>
      </c>
      <c r="KG88">
        <v>0</v>
      </c>
      <c r="KH88">
        <v>3552</v>
      </c>
      <c r="KI88">
        <v>-5051</v>
      </c>
      <c r="KJ88">
        <v>1100</v>
      </c>
      <c r="KK88">
        <v>29183</v>
      </c>
      <c r="KL88">
        <v>0</v>
      </c>
      <c r="KM88">
        <v>-18146</v>
      </c>
      <c r="KN88">
        <v>0</v>
      </c>
      <c r="KO88">
        <v>-90299</v>
      </c>
      <c r="KP88">
        <v>1270</v>
      </c>
      <c r="KQ88">
        <v>0</v>
      </c>
      <c r="KR88">
        <v>257906</v>
      </c>
      <c r="KS88">
        <v>8476</v>
      </c>
      <c r="KT88">
        <v>-9641</v>
      </c>
      <c r="KU88">
        <v>2008</v>
      </c>
      <c r="KV88">
        <v>105943</v>
      </c>
      <c r="KW88">
        <v>25056</v>
      </c>
      <c r="KX88">
        <v>12028</v>
      </c>
      <c r="KY88">
        <v>-14692</v>
      </c>
      <c r="KZ88">
        <v>3108</v>
      </c>
      <c r="LA88">
        <v>135126</v>
      </c>
      <c r="LB88">
        <v>25056</v>
      </c>
      <c r="LC88">
        <v>0</v>
      </c>
      <c r="LD88">
        <v>41201</v>
      </c>
      <c r="LE88">
        <v>0</v>
      </c>
      <c r="LF88">
        <v>8432</v>
      </c>
      <c r="LG88">
        <v>-71477</v>
      </c>
      <c r="LH88">
        <v>6839</v>
      </c>
      <c r="LI88">
        <v>-15005</v>
      </c>
      <c r="LJ88">
        <v>0</v>
      </c>
      <c r="LK88">
        <v>0</v>
      </c>
      <c r="LL88">
        <v>0</v>
      </c>
      <c r="LM88">
        <v>0</v>
      </c>
      <c r="LN88">
        <v>0</v>
      </c>
      <c r="LO88">
        <v>0</v>
      </c>
      <c r="LP88">
        <v>0</v>
      </c>
      <c r="LQ88">
        <v>0</v>
      </c>
      <c r="LR88">
        <v>0</v>
      </c>
      <c r="LS88">
        <v>0</v>
      </c>
      <c r="LT88">
        <v>0</v>
      </c>
      <c r="LU88">
        <v>344271</v>
      </c>
      <c r="LV88">
        <v>21251</v>
      </c>
      <c r="LW88">
        <v>85263</v>
      </c>
      <c r="LX88">
        <v>165401</v>
      </c>
      <c r="LY88">
        <v>25591</v>
      </c>
      <c r="LZ88">
        <v>1535</v>
      </c>
      <c r="MA88">
        <v>6119</v>
      </c>
      <c r="MB88">
        <v>39948</v>
      </c>
      <c r="MC88">
        <v>4412</v>
      </c>
      <c r="MD88">
        <v>0</v>
      </c>
      <c r="ME88">
        <v>24158</v>
      </c>
      <c r="MF88">
        <v>19212</v>
      </c>
      <c r="MG88">
        <v>0</v>
      </c>
      <c r="MH88">
        <v>737161</v>
      </c>
      <c r="MI88">
        <v>0</v>
      </c>
      <c r="MJ88">
        <v>0</v>
      </c>
      <c r="MK88">
        <v>102</v>
      </c>
      <c r="ML88">
        <v>0</v>
      </c>
      <c r="MM88">
        <v>0</v>
      </c>
      <c r="MN88">
        <v>0</v>
      </c>
      <c r="MO88">
        <v>0</v>
      </c>
      <c r="MP88">
        <v>0</v>
      </c>
      <c r="MQ88">
        <v>0</v>
      </c>
      <c r="MR88">
        <v>0</v>
      </c>
      <c r="MS88">
        <v>0</v>
      </c>
      <c r="MT88">
        <v>0</v>
      </c>
      <c r="MU88">
        <v>0</v>
      </c>
      <c r="MV88">
        <v>0</v>
      </c>
      <c r="MW88">
        <v>0</v>
      </c>
      <c r="MX88">
        <v>0</v>
      </c>
      <c r="MY88">
        <v>0</v>
      </c>
      <c r="MZ88">
        <v>0</v>
      </c>
      <c r="NA88">
        <v>102</v>
      </c>
      <c r="NB88">
        <v>0</v>
      </c>
      <c r="NC88">
        <v>102</v>
      </c>
      <c r="ND88">
        <v>0</v>
      </c>
      <c r="NE88">
        <v>0</v>
      </c>
      <c r="NF88">
        <v>0</v>
      </c>
      <c r="NG88">
        <v>0</v>
      </c>
      <c r="NH88">
        <v>0</v>
      </c>
      <c r="NI88">
        <v>0</v>
      </c>
      <c r="NJ88">
        <v>0</v>
      </c>
      <c r="NK88">
        <v>0</v>
      </c>
      <c r="NL88">
        <v>0</v>
      </c>
      <c r="NM88">
        <v>0</v>
      </c>
      <c r="NN88">
        <v>0</v>
      </c>
      <c r="NO88">
        <v>0</v>
      </c>
      <c r="NP88">
        <v>0</v>
      </c>
      <c r="NQ88">
        <v>0</v>
      </c>
      <c r="NR88">
        <v>0</v>
      </c>
      <c r="NS88">
        <v>0</v>
      </c>
      <c r="NT88">
        <v>0</v>
      </c>
      <c r="NU88">
        <v>0</v>
      </c>
      <c r="NV88">
        <v>0</v>
      </c>
      <c r="NW88">
        <v>0</v>
      </c>
      <c r="NX88">
        <v>0</v>
      </c>
      <c r="NY88">
        <v>0</v>
      </c>
      <c r="NZ88">
        <v>0</v>
      </c>
      <c r="OA88">
        <v>0</v>
      </c>
      <c r="OB88">
        <v>0</v>
      </c>
      <c r="OC88">
        <v>0</v>
      </c>
      <c r="OD88">
        <v>0</v>
      </c>
      <c r="OE88">
        <v>0</v>
      </c>
      <c r="OF88">
        <v>0</v>
      </c>
      <c r="OG88">
        <v>0</v>
      </c>
      <c r="OH88">
        <v>0</v>
      </c>
      <c r="OI88">
        <v>0</v>
      </c>
      <c r="OJ88">
        <v>0</v>
      </c>
      <c r="OK88">
        <v>0</v>
      </c>
      <c r="OL88">
        <v>0</v>
      </c>
      <c r="OM88">
        <v>0</v>
      </c>
      <c r="ON88">
        <v>0</v>
      </c>
    </row>
    <row r="89" spans="1:404" x14ac:dyDescent="0.25">
      <c r="A89" t="s">
        <v>330</v>
      </c>
      <c r="B89" t="s">
        <v>331</v>
      </c>
      <c r="C89" t="s">
        <v>329</v>
      </c>
      <c r="E89" t="s">
        <v>71</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c r="AZ89">
        <v>0</v>
      </c>
      <c r="BA89">
        <v>0</v>
      </c>
      <c r="BB89">
        <v>0</v>
      </c>
      <c r="BC89">
        <v>0</v>
      </c>
      <c r="BD89">
        <v>0</v>
      </c>
      <c r="BE89">
        <v>0</v>
      </c>
      <c r="BF89">
        <v>0</v>
      </c>
      <c r="BG89">
        <v>0</v>
      </c>
      <c r="BH89">
        <v>0</v>
      </c>
      <c r="BI89">
        <v>0</v>
      </c>
      <c r="BJ89">
        <v>0</v>
      </c>
      <c r="BK89">
        <v>0</v>
      </c>
      <c r="BL89">
        <v>0</v>
      </c>
      <c r="BM89">
        <v>0</v>
      </c>
      <c r="BN89">
        <v>0</v>
      </c>
      <c r="BO89">
        <v>0</v>
      </c>
      <c r="BP89">
        <v>0</v>
      </c>
      <c r="BQ89">
        <v>0</v>
      </c>
      <c r="BR89">
        <v>0</v>
      </c>
      <c r="BS89">
        <v>0</v>
      </c>
      <c r="BT89">
        <v>0</v>
      </c>
      <c r="BU89">
        <v>0</v>
      </c>
      <c r="BV89">
        <v>0</v>
      </c>
      <c r="BW89">
        <v>0</v>
      </c>
      <c r="BX89">
        <v>0</v>
      </c>
      <c r="BY89">
        <v>0</v>
      </c>
      <c r="BZ89">
        <v>0</v>
      </c>
      <c r="CA89">
        <v>0</v>
      </c>
      <c r="CB89">
        <v>0</v>
      </c>
      <c r="CC89">
        <v>0</v>
      </c>
      <c r="CD89">
        <v>0</v>
      </c>
      <c r="CE89">
        <v>0</v>
      </c>
      <c r="CF89">
        <v>0</v>
      </c>
      <c r="CG89">
        <v>0</v>
      </c>
      <c r="CH89">
        <v>0</v>
      </c>
      <c r="CI89">
        <v>0</v>
      </c>
      <c r="CJ89">
        <v>0</v>
      </c>
      <c r="CK89">
        <v>0</v>
      </c>
      <c r="CL89">
        <v>0</v>
      </c>
      <c r="CM89">
        <v>0</v>
      </c>
      <c r="CN89">
        <v>0</v>
      </c>
      <c r="CO89">
        <v>0</v>
      </c>
      <c r="CP89">
        <v>0</v>
      </c>
      <c r="CQ89">
        <v>0</v>
      </c>
      <c r="CR89">
        <v>0</v>
      </c>
      <c r="CS89">
        <v>0</v>
      </c>
      <c r="CT89">
        <v>0</v>
      </c>
      <c r="CU89">
        <v>0</v>
      </c>
      <c r="CV89">
        <v>0</v>
      </c>
      <c r="CW89">
        <v>0</v>
      </c>
      <c r="CX89">
        <v>0</v>
      </c>
      <c r="CY89">
        <v>0</v>
      </c>
      <c r="CZ89">
        <v>0</v>
      </c>
      <c r="DA89">
        <v>0</v>
      </c>
      <c r="DB89">
        <v>0</v>
      </c>
      <c r="DC89">
        <v>0</v>
      </c>
      <c r="DD89">
        <v>0</v>
      </c>
      <c r="DE89">
        <v>0</v>
      </c>
      <c r="DF89">
        <v>0</v>
      </c>
      <c r="DG89">
        <v>0</v>
      </c>
      <c r="DH89">
        <v>0</v>
      </c>
      <c r="DI89">
        <v>0</v>
      </c>
      <c r="DJ89">
        <v>0</v>
      </c>
      <c r="DK89">
        <v>0</v>
      </c>
      <c r="DL89">
        <v>0</v>
      </c>
      <c r="DM89">
        <v>0</v>
      </c>
      <c r="DN89">
        <v>0</v>
      </c>
      <c r="DO89">
        <v>0</v>
      </c>
      <c r="DP89">
        <v>0</v>
      </c>
      <c r="DQ89">
        <v>0</v>
      </c>
      <c r="DR89">
        <v>0</v>
      </c>
      <c r="DS89">
        <v>0</v>
      </c>
      <c r="DT89">
        <v>0</v>
      </c>
      <c r="DU89">
        <v>0</v>
      </c>
      <c r="DV89">
        <v>0</v>
      </c>
      <c r="DW89">
        <v>0</v>
      </c>
      <c r="DX89">
        <v>0</v>
      </c>
      <c r="DY89">
        <v>0</v>
      </c>
      <c r="DZ89">
        <v>0</v>
      </c>
      <c r="EA89">
        <v>0</v>
      </c>
      <c r="EB89">
        <v>0</v>
      </c>
      <c r="EC89">
        <v>0</v>
      </c>
      <c r="ED89">
        <v>0</v>
      </c>
      <c r="EE89">
        <v>0</v>
      </c>
      <c r="EF89">
        <v>0</v>
      </c>
      <c r="EG89">
        <v>0</v>
      </c>
      <c r="EH89">
        <v>0</v>
      </c>
      <c r="EI89">
        <v>0</v>
      </c>
      <c r="EJ89">
        <v>0</v>
      </c>
      <c r="EK89">
        <v>0</v>
      </c>
      <c r="EL89">
        <v>0</v>
      </c>
      <c r="EM89">
        <v>0</v>
      </c>
      <c r="EN89">
        <v>0</v>
      </c>
      <c r="EO89">
        <v>0</v>
      </c>
      <c r="EP89">
        <v>0</v>
      </c>
      <c r="EQ89">
        <v>0</v>
      </c>
      <c r="ER89">
        <v>0</v>
      </c>
      <c r="ES89">
        <v>0</v>
      </c>
      <c r="ET89">
        <v>0</v>
      </c>
      <c r="EU89">
        <v>0</v>
      </c>
      <c r="EV89">
        <v>0</v>
      </c>
      <c r="EW89">
        <v>0</v>
      </c>
      <c r="EX89">
        <v>0</v>
      </c>
      <c r="EY89">
        <v>0</v>
      </c>
      <c r="EZ89">
        <v>0</v>
      </c>
      <c r="FA89">
        <v>0</v>
      </c>
      <c r="FB89">
        <v>0</v>
      </c>
      <c r="FC89">
        <v>0</v>
      </c>
      <c r="FD89">
        <v>0</v>
      </c>
      <c r="FE89">
        <v>0</v>
      </c>
      <c r="FF89">
        <v>0</v>
      </c>
      <c r="FG89">
        <v>0</v>
      </c>
      <c r="FH89">
        <v>0</v>
      </c>
      <c r="FI89">
        <v>0</v>
      </c>
      <c r="FJ89">
        <v>0</v>
      </c>
      <c r="FK89">
        <v>0</v>
      </c>
      <c r="FL89">
        <v>0</v>
      </c>
      <c r="FM89">
        <v>0</v>
      </c>
      <c r="FN89">
        <v>0</v>
      </c>
      <c r="FO89">
        <v>0</v>
      </c>
      <c r="FP89">
        <v>0</v>
      </c>
      <c r="FQ89">
        <v>0</v>
      </c>
      <c r="FR89">
        <v>0</v>
      </c>
      <c r="FS89">
        <v>0</v>
      </c>
      <c r="FT89">
        <v>0</v>
      </c>
      <c r="FU89">
        <v>0</v>
      </c>
      <c r="FV89">
        <v>0</v>
      </c>
      <c r="FW89">
        <v>0</v>
      </c>
      <c r="FX89">
        <v>0</v>
      </c>
      <c r="FY89">
        <v>0</v>
      </c>
      <c r="FZ89">
        <v>0</v>
      </c>
      <c r="GA89">
        <v>0</v>
      </c>
      <c r="GB89">
        <v>0</v>
      </c>
      <c r="GC89">
        <v>0</v>
      </c>
      <c r="GD89">
        <v>0</v>
      </c>
      <c r="GE89">
        <v>0</v>
      </c>
      <c r="GF89">
        <v>0</v>
      </c>
      <c r="GG89">
        <v>0</v>
      </c>
      <c r="GH89">
        <v>0</v>
      </c>
      <c r="GI89">
        <v>0</v>
      </c>
      <c r="GJ89">
        <v>0</v>
      </c>
      <c r="GK89">
        <v>0</v>
      </c>
      <c r="GL89">
        <v>0</v>
      </c>
      <c r="GM89">
        <v>0</v>
      </c>
      <c r="GN89">
        <v>0</v>
      </c>
      <c r="GO89">
        <v>0</v>
      </c>
      <c r="GP89">
        <v>0</v>
      </c>
      <c r="GQ89">
        <v>0</v>
      </c>
      <c r="GR89">
        <v>0</v>
      </c>
      <c r="GS89">
        <v>0</v>
      </c>
      <c r="GT89">
        <v>0</v>
      </c>
      <c r="GU89">
        <v>0</v>
      </c>
      <c r="GV89">
        <v>0</v>
      </c>
      <c r="GW89">
        <v>114421</v>
      </c>
      <c r="GX89">
        <v>0</v>
      </c>
      <c r="GY89">
        <v>0</v>
      </c>
      <c r="GZ89">
        <v>0</v>
      </c>
      <c r="HA89">
        <v>0</v>
      </c>
      <c r="HB89">
        <v>841</v>
      </c>
      <c r="HC89">
        <v>0</v>
      </c>
      <c r="HD89">
        <v>0</v>
      </c>
      <c r="HE89">
        <v>0</v>
      </c>
      <c r="HF89">
        <v>0</v>
      </c>
      <c r="HG89">
        <v>0</v>
      </c>
      <c r="HH89">
        <v>0</v>
      </c>
      <c r="HI89">
        <v>0</v>
      </c>
      <c r="HJ89">
        <v>0</v>
      </c>
      <c r="HK89">
        <v>0</v>
      </c>
      <c r="HL89">
        <v>0</v>
      </c>
      <c r="HM89">
        <v>0</v>
      </c>
      <c r="HN89">
        <v>0</v>
      </c>
      <c r="HO89">
        <v>0</v>
      </c>
      <c r="HP89">
        <v>0</v>
      </c>
      <c r="HQ89">
        <v>0</v>
      </c>
      <c r="HR89">
        <v>0</v>
      </c>
      <c r="HS89">
        <v>0</v>
      </c>
      <c r="HT89">
        <v>0</v>
      </c>
      <c r="HU89">
        <v>0</v>
      </c>
      <c r="HV89">
        <v>841</v>
      </c>
      <c r="HW89">
        <v>0</v>
      </c>
      <c r="HX89">
        <v>0</v>
      </c>
      <c r="HY89">
        <v>0</v>
      </c>
      <c r="HZ89">
        <v>0</v>
      </c>
      <c r="IA89">
        <v>0</v>
      </c>
      <c r="IB89">
        <v>0</v>
      </c>
      <c r="IC89">
        <v>0</v>
      </c>
      <c r="ID89">
        <v>0</v>
      </c>
      <c r="IE89">
        <v>0</v>
      </c>
      <c r="IF89">
        <v>0</v>
      </c>
      <c r="IG89">
        <v>0</v>
      </c>
      <c r="IH89">
        <v>0</v>
      </c>
      <c r="II89">
        <v>0</v>
      </c>
      <c r="IJ89">
        <v>0</v>
      </c>
      <c r="IK89">
        <v>0</v>
      </c>
      <c r="IL89">
        <v>114421</v>
      </c>
      <c r="IM89">
        <v>0</v>
      </c>
      <c r="IN89">
        <v>841</v>
      </c>
      <c r="IO89">
        <v>0</v>
      </c>
      <c r="IP89">
        <v>115262</v>
      </c>
      <c r="IQ89">
        <v>0</v>
      </c>
      <c r="IR89">
        <v>0</v>
      </c>
      <c r="IS89">
        <v>0</v>
      </c>
      <c r="IT89">
        <v>0</v>
      </c>
      <c r="IU89">
        <v>0</v>
      </c>
      <c r="IV89">
        <v>0</v>
      </c>
      <c r="IW89">
        <v>0</v>
      </c>
      <c r="IX89">
        <v>0</v>
      </c>
      <c r="IY89">
        <v>0</v>
      </c>
      <c r="IZ89">
        <v>0</v>
      </c>
      <c r="JA89">
        <v>0</v>
      </c>
      <c r="JB89">
        <v>0</v>
      </c>
      <c r="JC89">
        <v>0</v>
      </c>
      <c r="JD89">
        <v>0</v>
      </c>
      <c r="JE89">
        <v>1101</v>
      </c>
      <c r="JF89">
        <v>0</v>
      </c>
      <c r="JG89">
        <v>116363</v>
      </c>
      <c r="JH89">
        <v>0</v>
      </c>
      <c r="JI89">
        <v>3140</v>
      </c>
      <c r="JJ89">
        <v>0</v>
      </c>
      <c r="JK89">
        <v>0</v>
      </c>
      <c r="JL89">
        <v>0</v>
      </c>
      <c r="JM89">
        <v>-4</v>
      </c>
      <c r="JN89">
        <v>423</v>
      </c>
      <c r="JO89">
        <v>0</v>
      </c>
      <c r="JP89">
        <v>0</v>
      </c>
      <c r="JQ89">
        <v>0</v>
      </c>
      <c r="JR89">
        <v>119922</v>
      </c>
      <c r="JS89">
        <v>-9</v>
      </c>
      <c r="JT89">
        <v>0</v>
      </c>
      <c r="JU89">
        <v>0</v>
      </c>
      <c r="JV89">
        <v>0</v>
      </c>
      <c r="JW89">
        <v>0</v>
      </c>
      <c r="JX89">
        <v>0</v>
      </c>
      <c r="JY89">
        <v>0</v>
      </c>
      <c r="JZ89">
        <v>0</v>
      </c>
      <c r="KA89">
        <v>0</v>
      </c>
      <c r="KB89">
        <v>0</v>
      </c>
      <c r="KC89">
        <v>119913</v>
      </c>
      <c r="KD89">
        <v>0</v>
      </c>
      <c r="KE89">
        <v>-688</v>
      </c>
      <c r="KF89">
        <v>119225</v>
      </c>
      <c r="KG89">
        <v>0</v>
      </c>
      <c r="KH89">
        <v>0</v>
      </c>
      <c r="KI89">
        <v>0</v>
      </c>
      <c r="KJ89">
        <v>0</v>
      </c>
      <c r="KK89">
        <v>1519</v>
      </c>
      <c r="KL89">
        <v>0</v>
      </c>
      <c r="KM89">
        <v>0</v>
      </c>
      <c r="KN89">
        <v>-73340</v>
      </c>
      <c r="KO89">
        <v>0</v>
      </c>
      <c r="KP89">
        <v>234</v>
      </c>
      <c r="KQ89">
        <v>0</v>
      </c>
      <c r="KR89">
        <v>46856</v>
      </c>
      <c r="KS89">
        <v>0</v>
      </c>
      <c r="KT89">
        <v>0</v>
      </c>
      <c r="KU89">
        <v>0</v>
      </c>
      <c r="KV89">
        <v>17952</v>
      </c>
      <c r="KW89">
        <v>3600</v>
      </c>
      <c r="KX89">
        <v>0</v>
      </c>
      <c r="KY89">
        <v>0</v>
      </c>
      <c r="KZ89">
        <v>0</v>
      </c>
      <c r="LA89">
        <v>19471</v>
      </c>
      <c r="LB89">
        <v>3600</v>
      </c>
      <c r="LC89">
        <v>0</v>
      </c>
      <c r="LD89">
        <v>4592</v>
      </c>
      <c r="LE89">
        <v>943</v>
      </c>
      <c r="LF89">
        <v>-161</v>
      </c>
      <c r="LG89">
        <v>-97</v>
      </c>
      <c r="LH89">
        <v>0</v>
      </c>
      <c r="LI89">
        <v>5277</v>
      </c>
      <c r="LJ89">
        <v>0</v>
      </c>
      <c r="LK89">
        <v>0</v>
      </c>
      <c r="LL89">
        <v>0</v>
      </c>
      <c r="LM89">
        <v>0</v>
      </c>
      <c r="LN89">
        <v>0</v>
      </c>
      <c r="LO89">
        <v>0</v>
      </c>
      <c r="LP89">
        <v>0</v>
      </c>
      <c r="LQ89">
        <v>0</v>
      </c>
      <c r="LR89">
        <v>0</v>
      </c>
      <c r="LS89">
        <v>0</v>
      </c>
      <c r="LT89">
        <v>0</v>
      </c>
      <c r="LU89">
        <v>0</v>
      </c>
      <c r="LV89">
        <v>0</v>
      </c>
      <c r="LW89">
        <v>0</v>
      </c>
      <c r="LX89">
        <v>0</v>
      </c>
      <c r="LY89">
        <v>0</v>
      </c>
      <c r="LZ89">
        <v>0</v>
      </c>
      <c r="MA89">
        <v>0</v>
      </c>
      <c r="MB89">
        <v>0</v>
      </c>
      <c r="MC89">
        <v>0</v>
      </c>
      <c r="MD89">
        <v>114421</v>
      </c>
      <c r="ME89">
        <v>0</v>
      </c>
      <c r="MF89">
        <v>841</v>
      </c>
      <c r="MG89">
        <v>0</v>
      </c>
      <c r="MH89">
        <v>115262</v>
      </c>
      <c r="MI89">
        <v>0</v>
      </c>
      <c r="MJ89">
        <v>0</v>
      </c>
      <c r="MK89">
        <v>0</v>
      </c>
      <c r="ML89">
        <v>0</v>
      </c>
      <c r="MM89">
        <v>0</v>
      </c>
      <c r="MN89">
        <v>0</v>
      </c>
      <c r="MO89">
        <v>0</v>
      </c>
      <c r="MP89">
        <v>0</v>
      </c>
      <c r="MQ89">
        <v>0</v>
      </c>
      <c r="MR89">
        <v>0</v>
      </c>
      <c r="MS89">
        <v>0</v>
      </c>
      <c r="MT89">
        <v>0</v>
      </c>
      <c r="MU89">
        <v>0</v>
      </c>
      <c r="MV89">
        <v>0</v>
      </c>
      <c r="MW89">
        <v>0</v>
      </c>
      <c r="MX89">
        <v>0</v>
      </c>
      <c r="MY89">
        <v>0</v>
      </c>
      <c r="MZ89">
        <v>0</v>
      </c>
      <c r="NA89">
        <v>0</v>
      </c>
      <c r="NB89">
        <v>0</v>
      </c>
      <c r="NC89">
        <v>0</v>
      </c>
      <c r="ND89">
        <v>0</v>
      </c>
      <c r="NE89">
        <v>0</v>
      </c>
      <c r="NF89">
        <v>0</v>
      </c>
      <c r="NG89">
        <v>0</v>
      </c>
      <c r="NH89">
        <v>0</v>
      </c>
      <c r="NI89">
        <v>0</v>
      </c>
      <c r="NJ89">
        <v>0</v>
      </c>
      <c r="NK89">
        <v>0</v>
      </c>
      <c r="NL89">
        <v>0</v>
      </c>
      <c r="NM89">
        <v>0</v>
      </c>
      <c r="NN89">
        <v>0</v>
      </c>
      <c r="NO89">
        <v>0</v>
      </c>
      <c r="NP89">
        <v>0</v>
      </c>
      <c r="NQ89">
        <v>0</v>
      </c>
      <c r="NR89">
        <v>0</v>
      </c>
      <c r="NS89">
        <v>0</v>
      </c>
      <c r="NT89">
        <v>0</v>
      </c>
      <c r="NU89">
        <v>0</v>
      </c>
      <c r="NV89">
        <v>0</v>
      </c>
      <c r="NW89">
        <v>0</v>
      </c>
      <c r="NX89">
        <v>0</v>
      </c>
      <c r="NY89">
        <v>0</v>
      </c>
      <c r="NZ89">
        <v>0</v>
      </c>
      <c r="OA89">
        <v>0</v>
      </c>
      <c r="OB89">
        <v>0</v>
      </c>
      <c r="OC89">
        <v>0</v>
      </c>
      <c r="OD89">
        <v>0</v>
      </c>
      <c r="OE89">
        <v>0</v>
      </c>
      <c r="OF89">
        <v>0</v>
      </c>
      <c r="OG89">
        <v>0</v>
      </c>
      <c r="OH89">
        <v>0</v>
      </c>
      <c r="OI89">
        <v>0</v>
      </c>
      <c r="OJ89">
        <v>0</v>
      </c>
      <c r="OK89">
        <v>0</v>
      </c>
      <c r="OL89">
        <v>0</v>
      </c>
      <c r="OM89">
        <v>0</v>
      </c>
      <c r="ON89">
        <v>0</v>
      </c>
    </row>
    <row r="90" spans="1:404" x14ac:dyDescent="0.25">
      <c r="A90" t="s">
        <v>333</v>
      </c>
      <c r="B90" t="s">
        <v>334</v>
      </c>
      <c r="C90" t="s">
        <v>332</v>
      </c>
      <c r="E90" t="s">
        <v>61</v>
      </c>
      <c r="F90">
        <v>0</v>
      </c>
      <c r="G90">
        <v>0</v>
      </c>
      <c r="H90">
        <v>0</v>
      </c>
      <c r="I90">
        <v>0</v>
      </c>
      <c r="J90">
        <v>0</v>
      </c>
      <c r="K90">
        <v>0</v>
      </c>
      <c r="L90">
        <v>0</v>
      </c>
      <c r="M90">
        <v>0</v>
      </c>
      <c r="N90">
        <v>0</v>
      </c>
      <c r="O90">
        <v>0</v>
      </c>
      <c r="P90">
        <v>0</v>
      </c>
      <c r="Q90">
        <v>0</v>
      </c>
      <c r="R90">
        <v>0</v>
      </c>
      <c r="S90">
        <v>0</v>
      </c>
      <c r="T90">
        <v>0</v>
      </c>
      <c r="U90">
        <v>0</v>
      </c>
      <c r="V90">
        <v>0</v>
      </c>
      <c r="W90">
        <v>0</v>
      </c>
      <c r="X90">
        <v>0</v>
      </c>
      <c r="Y90">
        <v>0</v>
      </c>
      <c r="Z90">
        <v>205</v>
      </c>
      <c r="AA90">
        <v>-662</v>
      </c>
      <c r="AB90">
        <v>0</v>
      </c>
      <c r="AC90">
        <v>0</v>
      </c>
      <c r="AD90">
        <v>0</v>
      </c>
      <c r="AE90">
        <v>0</v>
      </c>
      <c r="AF90">
        <v>0</v>
      </c>
      <c r="AG90">
        <v>0</v>
      </c>
      <c r="AH90">
        <v>0</v>
      </c>
      <c r="AI90">
        <v>-457</v>
      </c>
      <c r="AJ90">
        <v>0</v>
      </c>
      <c r="AK90">
        <v>0</v>
      </c>
      <c r="AL90">
        <v>0</v>
      </c>
      <c r="AM90">
        <v>0</v>
      </c>
      <c r="AN90">
        <v>0</v>
      </c>
      <c r="AO90">
        <v>0</v>
      </c>
      <c r="AP90">
        <v>0</v>
      </c>
      <c r="AQ90">
        <v>233</v>
      </c>
      <c r="AR90">
        <v>254</v>
      </c>
      <c r="AS90">
        <v>0</v>
      </c>
      <c r="AT90">
        <v>0</v>
      </c>
      <c r="AU90">
        <v>0</v>
      </c>
      <c r="AV90">
        <v>0</v>
      </c>
      <c r="AW90">
        <v>0</v>
      </c>
      <c r="AX90">
        <v>0</v>
      </c>
      <c r="AY90">
        <v>0</v>
      </c>
      <c r="AZ90">
        <v>0</v>
      </c>
      <c r="BA90">
        <v>0</v>
      </c>
      <c r="BB90">
        <v>0</v>
      </c>
      <c r="BC90">
        <v>0</v>
      </c>
      <c r="BD90">
        <v>0</v>
      </c>
      <c r="BE90">
        <v>0</v>
      </c>
      <c r="BF90">
        <v>0</v>
      </c>
      <c r="BG90">
        <v>0</v>
      </c>
      <c r="BH90">
        <v>0</v>
      </c>
      <c r="BI90">
        <v>0</v>
      </c>
      <c r="BJ90">
        <v>0</v>
      </c>
      <c r="BK90">
        <v>0</v>
      </c>
      <c r="BL90">
        <v>0</v>
      </c>
      <c r="BM90">
        <v>0</v>
      </c>
      <c r="BN90">
        <v>0</v>
      </c>
      <c r="BO90">
        <v>0</v>
      </c>
      <c r="BP90">
        <v>0</v>
      </c>
      <c r="BQ90">
        <v>0</v>
      </c>
      <c r="BR90">
        <v>0</v>
      </c>
      <c r="BS90">
        <v>0</v>
      </c>
      <c r="BT90">
        <v>0</v>
      </c>
      <c r="BU90">
        <v>0</v>
      </c>
      <c r="BV90">
        <v>0</v>
      </c>
      <c r="BW90">
        <v>0</v>
      </c>
      <c r="BX90">
        <v>0</v>
      </c>
      <c r="BY90">
        <v>0</v>
      </c>
      <c r="BZ90">
        <v>0</v>
      </c>
      <c r="CA90">
        <v>0</v>
      </c>
      <c r="CB90">
        <v>0</v>
      </c>
      <c r="CC90">
        <v>0</v>
      </c>
      <c r="CD90">
        <v>0</v>
      </c>
      <c r="CE90">
        <v>0</v>
      </c>
      <c r="CF90">
        <v>0</v>
      </c>
      <c r="CG90">
        <v>0</v>
      </c>
      <c r="CH90">
        <v>0</v>
      </c>
      <c r="CI90">
        <v>0</v>
      </c>
      <c r="CJ90">
        <v>0</v>
      </c>
      <c r="CK90">
        <v>0</v>
      </c>
      <c r="CL90">
        <v>0</v>
      </c>
      <c r="CM90">
        <v>0</v>
      </c>
      <c r="CN90">
        <v>0</v>
      </c>
      <c r="CO90">
        <v>0</v>
      </c>
      <c r="CP90">
        <v>0</v>
      </c>
      <c r="CQ90">
        <v>0</v>
      </c>
      <c r="CR90">
        <v>0</v>
      </c>
      <c r="CS90">
        <v>0</v>
      </c>
      <c r="CT90">
        <v>0</v>
      </c>
      <c r="CU90">
        <v>0</v>
      </c>
      <c r="CV90">
        <v>0</v>
      </c>
      <c r="CW90">
        <v>0</v>
      </c>
      <c r="CX90">
        <v>0</v>
      </c>
      <c r="CY90">
        <v>0</v>
      </c>
      <c r="CZ90">
        <v>0</v>
      </c>
      <c r="DA90">
        <v>0</v>
      </c>
      <c r="DB90">
        <v>0</v>
      </c>
      <c r="DC90">
        <v>216</v>
      </c>
      <c r="DD90">
        <v>0</v>
      </c>
      <c r="DE90">
        <v>0</v>
      </c>
      <c r="DF90">
        <v>484</v>
      </c>
      <c r="DG90">
        <v>0</v>
      </c>
      <c r="DH90">
        <v>0</v>
      </c>
      <c r="DI90">
        <v>-513</v>
      </c>
      <c r="DJ90">
        <v>0</v>
      </c>
      <c r="DK90">
        <v>0</v>
      </c>
      <c r="DL90">
        <v>0</v>
      </c>
      <c r="DM90">
        <v>0</v>
      </c>
      <c r="DN90">
        <v>682</v>
      </c>
      <c r="DO90">
        <v>845</v>
      </c>
      <c r="DP90">
        <v>1014</v>
      </c>
      <c r="DQ90">
        <v>0</v>
      </c>
      <c r="DR90">
        <v>0</v>
      </c>
      <c r="DS90">
        <v>0</v>
      </c>
      <c r="DT90">
        <v>1699</v>
      </c>
      <c r="DU90">
        <v>-1815</v>
      </c>
      <c r="DV90">
        <v>344</v>
      </c>
      <c r="DW90">
        <v>0</v>
      </c>
      <c r="DX90">
        <v>1942</v>
      </c>
      <c r="DY90">
        <v>55474</v>
      </c>
      <c r="DZ90">
        <v>99</v>
      </c>
      <c r="EA90">
        <v>1848</v>
      </c>
      <c r="EB90">
        <v>1160</v>
      </c>
      <c r="EC90">
        <v>0</v>
      </c>
      <c r="ED90">
        <v>47</v>
      </c>
      <c r="EE90">
        <v>0</v>
      </c>
      <c r="EF90">
        <v>0</v>
      </c>
      <c r="EG90">
        <v>0</v>
      </c>
      <c r="EH90">
        <v>11676</v>
      </c>
      <c r="EI90">
        <v>14718</v>
      </c>
      <c r="EJ90">
        <v>0</v>
      </c>
      <c r="EK90">
        <v>185</v>
      </c>
      <c r="EL90">
        <v>11389</v>
      </c>
      <c r="EM90">
        <v>0</v>
      </c>
      <c r="EN90">
        <v>4735</v>
      </c>
      <c r="EO90">
        <v>0</v>
      </c>
      <c r="EP90">
        <v>0</v>
      </c>
      <c r="EQ90">
        <v>15530</v>
      </c>
      <c r="ER90">
        <v>375</v>
      </c>
      <c r="ES90">
        <v>9869</v>
      </c>
      <c r="ET90">
        <v>9889</v>
      </c>
      <c r="EU90">
        <v>0</v>
      </c>
      <c r="EV90">
        <v>0</v>
      </c>
      <c r="EW90">
        <v>58</v>
      </c>
      <c r="EX90">
        <v>0</v>
      </c>
      <c r="EY90">
        <v>395</v>
      </c>
      <c r="EZ90">
        <v>560</v>
      </c>
      <c r="FA90">
        <v>0</v>
      </c>
      <c r="FB90">
        <v>480</v>
      </c>
      <c r="FC90">
        <v>572</v>
      </c>
      <c r="FD90">
        <v>1349</v>
      </c>
      <c r="FE90">
        <v>-1</v>
      </c>
      <c r="FF90">
        <v>0</v>
      </c>
      <c r="FG90">
        <v>0</v>
      </c>
      <c r="FH90">
        <v>3413</v>
      </c>
      <c r="FI90">
        <v>119</v>
      </c>
      <c r="FJ90">
        <v>0</v>
      </c>
      <c r="FK90">
        <v>0</v>
      </c>
      <c r="FL90">
        <v>344</v>
      </c>
      <c r="FM90">
        <v>386</v>
      </c>
      <c r="FN90">
        <v>43</v>
      </c>
      <c r="FO90">
        <v>0</v>
      </c>
      <c r="FP90">
        <v>0</v>
      </c>
      <c r="FQ90">
        <v>0</v>
      </c>
      <c r="FR90">
        <v>118</v>
      </c>
      <c r="FS90">
        <v>140</v>
      </c>
      <c r="FT90">
        <v>183</v>
      </c>
      <c r="FU90">
        <v>90</v>
      </c>
      <c r="FV90">
        <v>0</v>
      </c>
      <c r="FW90">
        <v>0</v>
      </c>
      <c r="FX90">
        <v>-129</v>
      </c>
      <c r="FY90">
        <v>0</v>
      </c>
      <c r="FZ90">
        <v>0</v>
      </c>
      <c r="GA90">
        <v>0</v>
      </c>
      <c r="GB90">
        <v>0</v>
      </c>
      <c r="GC90">
        <v>0</v>
      </c>
      <c r="GD90">
        <v>1469</v>
      </c>
      <c r="GE90">
        <v>4869</v>
      </c>
      <c r="GF90">
        <v>0</v>
      </c>
      <c r="GG90">
        <v>145</v>
      </c>
      <c r="GH90">
        <v>0</v>
      </c>
      <c r="GI90">
        <v>0</v>
      </c>
      <c r="GJ90">
        <v>0</v>
      </c>
      <c r="GK90">
        <v>7777</v>
      </c>
      <c r="GL90">
        <v>147</v>
      </c>
      <c r="GM90">
        <v>708</v>
      </c>
      <c r="GN90">
        <v>142</v>
      </c>
      <c r="GO90">
        <v>1363</v>
      </c>
      <c r="GP90">
        <v>8</v>
      </c>
      <c r="GQ90">
        <v>634</v>
      </c>
      <c r="GR90">
        <v>0</v>
      </c>
      <c r="GS90">
        <v>0</v>
      </c>
      <c r="GT90">
        <v>673</v>
      </c>
      <c r="GU90">
        <v>3675</v>
      </c>
      <c r="GV90">
        <v>14865</v>
      </c>
      <c r="GW90">
        <v>0</v>
      </c>
      <c r="GX90">
        <v>0</v>
      </c>
      <c r="GY90">
        <v>0</v>
      </c>
      <c r="GZ90">
        <v>0</v>
      </c>
      <c r="HA90">
        <v>0</v>
      </c>
      <c r="HB90">
        <v>3027</v>
      </c>
      <c r="HC90">
        <v>5867</v>
      </c>
      <c r="HD90">
        <v>0</v>
      </c>
      <c r="HE90">
        <v>0</v>
      </c>
      <c r="HF90">
        <v>0</v>
      </c>
      <c r="HG90">
        <v>0</v>
      </c>
      <c r="HH90">
        <v>0</v>
      </c>
      <c r="HI90">
        <v>0</v>
      </c>
      <c r="HJ90">
        <v>322</v>
      </c>
      <c r="HK90">
        <v>-16</v>
      </c>
      <c r="HL90">
        <v>57</v>
      </c>
      <c r="HM90">
        <v>-7</v>
      </c>
      <c r="HN90">
        <v>0</v>
      </c>
      <c r="HO90">
        <v>917</v>
      </c>
      <c r="HP90">
        <v>0</v>
      </c>
      <c r="HQ90">
        <v>0</v>
      </c>
      <c r="HR90">
        <v>1533</v>
      </c>
      <c r="HS90">
        <v>0</v>
      </c>
      <c r="HT90">
        <v>0</v>
      </c>
      <c r="HU90">
        <v>-771</v>
      </c>
      <c r="HV90">
        <v>10929</v>
      </c>
      <c r="HW90">
        <v>9916</v>
      </c>
      <c r="HX90">
        <v>16240</v>
      </c>
      <c r="HY90">
        <v>0</v>
      </c>
      <c r="HZ90">
        <v>0</v>
      </c>
      <c r="IA90">
        <v>0</v>
      </c>
      <c r="IB90">
        <v>0</v>
      </c>
      <c r="IC90">
        <v>0</v>
      </c>
      <c r="ID90">
        <v>-457</v>
      </c>
      <c r="IE90">
        <v>0</v>
      </c>
      <c r="IF90">
        <v>0</v>
      </c>
      <c r="IG90">
        <v>0</v>
      </c>
      <c r="IH90">
        <v>1942</v>
      </c>
      <c r="II90">
        <v>3413</v>
      </c>
      <c r="IJ90">
        <v>7777</v>
      </c>
      <c r="IK90">
        <v>3675</v>
      </c>
      <c r="IL90">
        <v>0</v>
      </c>
      <c r="IM90">
        <v>0</v>
      </c>
      <c r="IN90">
        <v>10929</v>
      </c>
      <c r="IO90">
        <v>0</v>
      </c>
      <c r="IP90">
        <v>27279</v>
      </c>
      <c r="IQ90">
        <v>15454</v>
      </c>
      <c r="IR90">
        <v>0</v>
      </c>
      <c r="IS90">
        <v>17367</v>
      </c>
      <c r="IT90">
        <v>0</v>
      </c>
      <c r="IU90">
        <v>0</v>
      </c>
      <c r="IV90">
        <v>1000</v>
      </c>
      <c r="IW90">
        <v>0</v>
      </c>
      <c r="IX90">
        <v>0</v>
      </c>
      <c r="IY90">
        <v>0</v>
      </c>
      <c r="IZ90">
        <v>0</v>
      </c>
      <c r="JA90">
        <v>-4828</v>
      </c>
      <c r="JB90">
        <v>0</v>
      </c>
      <c r="JC90">
        <v>1165</v>
      </c>
      <c r="JD90">
        <v>0</v>
      </c>
      <c r="JE90">
        <v>165</v>
      </c>
      <c r="JF90">
        <v>0</v>
      </c>
      <c r="JG90">
        <v>57602</v>
      </c>
      <c r="JH90">
        <v>0</v>
      </c>
      <c r="JI90">
        <v>0</v>
      </c>
      <c r="JJ90">
        <v>0</v>
      </c>
      <c r="JK90">
        <v>0</v>
      </c>
      <c r="JL90">
        <v>0</v>
      </c>
      <c r="JM90">
        <v>0</v>
      </c>
      <c r="JN90">
        <v>332</v>
      </c>
      <c r="JO90">
        <v>0</v>
      </c>
      <c r="JP90">
        <v>581</v>
      </c>
      <c r="JQ90">
        <v>0</v>
      </c>
      <c r="JR90">
        <v>58515</v>
      </c>
      <c r="JS90">
        <v>-115</v>
      </c>
      <c r="JT90">
        <v>0</v>
      </c>
      <c r="JU90">
        <v>0</v>
      </c>
      <c r="JV90">
        <v>0</v>
      </c>
      <c r="JW90">
        <v>-32914</v>
      </c>
      <c r="JX90">
        <v>0</v>
      </c>
      <c r="JY90">
        <v>0</v>
      </c>
      <c r="JZ90">
        <v>0</v>
      </c>
      <c r="KA90">
        <v>0</v>
      </c>
      <c r="KB90">
        <v>0</v>
      </c>
      <c r="KC90">
        <v>25486</v>
      </c>
      <c r="KD90">
        <v>0</v>
      </c>
      <c r="KE90">
        <v>-8439</v>
      </c>
      <c r="KF90">
        <v>17047</v>
      </c>
      <c r="KG90">
        <v>0</v>
      </c>
      <c r="KH90">
        <v>0</v>
      </c>
      <c r="KI90">
        <v>0</v>
      </c>
      <c r="KJ90">
        <v>0</v>
      </c>
      <c r="KK90">
        <v>-5882</v>
      </c>
      <c r="KL90">
        <v>0</v>
      </c>
      <c r="KM90">
        <v>0</v>
      </c>
      <c r="KN90">
        <v>0</v>
      </c>
      <c r="KO90">
        <v>11627</v>
      </c>
      <c r="KP90">
        <v>-8</v>
      </c>
      <c r="KQ90">
        <v>0</v>
      </c>
      <c r="KR90">
        <v>13405</v>
      </c>
      <c r="KS90">
        <v>0</v>
      </c>
      <c r="KT90">
        <v>0</v>
      </c>
      <c r="KU90">
        <v>0</v>
      </c>
      <c r="KV90">
        <v>28980</v>
      </c>
      <c r="KW90">
        <v>2502</v>
      </c>
      <c r="KX90">
        <v>0</v>
      </c>
      <c r="KY90">
        <v>0</v>
      </c>
      <c r="KZ90">
        <v>0</v>
      </c>
      <c r="LA90">
        <v>23098</v>
      </c>
      <c r="LB90">
        <v>2502</v>
      </c>
      <c r="LC90">
        <v>0</v>
      </c>
      <c r="LD90">
        <v>3932</v>
      </c>
      <c r="LE90">
        <v>2438</v>
      </c>
      <c r="LF90">
        <v>0</v>
      </c>
      <c r="LG90">
        <v>-4966</v>
      </c>
      <c r="LH90">
        <v>1947</v>
      </c>
      <c r="LI90">
        <v>3351</v>
      </c>
      <c r="LJ90">
        <v>3417</v>
      </c>
      <c r="LK90">
        <v>5721</v>
      </c>
      <c r="LL90">
        <v>9138</v>
      </c>
      <c r="LM90">
        <v>8</v>
      </c>
      <c r="LN90">
        <v>0</v>
      </c>
      <c r="LO90">
        <v>0</v>
      </c>
      <c r="LP90">
        <v>58628</v>
      </c>
      <c r="LQ90">
        <v>58608</v>
      </c>
      <c r="LR90">
        <v>20</v>
      </c>
      <c r="LS90">
        <v>9869</v>
      </c>
      <c r="LT90">
        <v>9889</v>
      </c>
      <c r="LU90">
        <v>0</v>
      </c>
      <c r="LV90">
        <v>-457</v>
      </c>
      <c r="LW90">
        <v>0</v>
      </c>
      <c r="LX90">
        <v>0</v>
      </c>
      <c r="LY90">
        <v>0</v>
      </c>
      <c r="LZ90">
        <v>1942</v>
      </c>
      <c r="MA90">
        <v>3413</v>
      </c>
      <c r="MB90">
        <v>7777</v>
      </c>
      <c r="MC90">
        <v>3675</v>
      </c>
      <c r="MD90">
        <v>0</v>
      </c>
      <c r="ME90">
        <v>0</v>
      </c>
      <c r="MF90">
        <v>10929</v>
      </c>
      <c r="MG90">
        <v>0</v>
      </c>
      <c r="MH90">
        <v>27279</v>
      </c>
      <c r="MI90">
        <v>0</v>
      </c>
      <c r="MJ90">
        <v>0</v>
      </c>
      <c r="MK90">
        <v>0</v>
      </c>
      <c r="ML90">
        <v>0</v>
      </c>
      <c r="MM90">
        <v>0</v>
      </c>
      <c r="MN90">
        <v>0</v>
      </c>
      <c r="MO90">
        <v>0</v>
      </c>
      <c r="MP90">
        <v>0</v>
      </c>
      <c r="MQ90">
        <v>0</v>
      </c>
      <c r="MR90">
        <v>0</v>
      </c>
      <c r="MS90">
        <v>0</v>
      </c>
      <c r="MT90">
        <v>0</v>
      </c>
      <c r="MU90">
        <v>0</v>
      </c>
      <c r="MV90">
        <v>0</v>
      </c>
      <c r="MW90">
        <v>0</v>
      </c>
      <c r="MX90">
        <v>0</v>
      </c>
      <c r="MY90">
        <v>-3663</v>
      </c>
      <c r="MZ90">
        <v>0</v>
      </c>
      <c r="NA90">
        <v>-3663</v>
      </c>
      <c r="NB90">
        <v>-1165</v>
      </c>
      <c r="NC90">
        <v>-4828</v>
      </c>
      <c r="ND90">
        <v>0</v>
      </c>
      <c r="NE90">
        <v>0</v>
      </c>
      <c r="NF90">
        <v>0</v>
      </c>
      <c r="NG90">
        <v>0</v>
      </c>
      <c r="NH90">
        <v>0</v>
      </c>
      <c r="NI90">
        <v>0</v>
      </c>
      <c r="NJ90">
        <v>0</v>
      </c>
      <c r="NK90">
        <v>0</v>
      </c>
      <c r="NL90">
        <v>0</v>
      </c>
      <c r="NM90">
        <v>0</v>
      </c>
      <c r="NN90">
        <v>0</v>
      </c>
      <c r="NO90">
        <v>0</v>
      </c>
      <c r="NP90">
        <v>0</v>
      </c>
      <c r="NQ90">
        <v>0</v>
      </c>
      <c r="NR90">
        <v>0</v>
      </c>
      <c r="NS90">
        <v>0</v>
      </c>
      <c r="NT90">
        <v>0</v>
      </c>
      <c r="NU90">
        <v>0</v>
      </c>
      <c r="NV90">
        <v>0</v>
      </c>
      <c r="NW90">
        <v>0</v>
      </c>
      <c r="NX90">
        <v>0</v>
      </c>
      <c r="NY90">
        <v>0</v>
      </c>
      <c r="NZ90">
        <v>0</v>
      </c>
      <c r="OA90">
        <v>0</v>
      </c>
      <c r="OB90">
        <v>0</v>
      </c>
      <c r="OC90">
        <v>0</v>
      </c>
      <c r="OD90">
        <v>8</v>
      </c>
      <c r="OE90">
        <v>-1173</v>
      </c>
      <c r="OF90">
        <v>0</v>
      </c>
      <c r="OG90">
        <v>0</v>
      </c>
      <c r="OH90">
        <v>-1165</v>
      </c>
      <c r="OI90">
        <v>0</v>
      </c>
      <c r="OJ90">
        <v>0</v>
      </c>
      <c r="OK90">
        <v>0</v>
      </c>
      <c r="OL90">
        <v>0</v>
      </c>
      <c r="OM90">
        <v>0</v>
      </c>
      <c r="ON90">
        <v>0</v>
      </c>
    </row>
    <row r="91" spans="1:404" x14ac:dyDescent="0.25">
      <c r="A91" t="s">
        <v>336</v>
      </c>
      <c r="B91" t="s">
        <v>337</v>
      </c>
      <c r="C91" t="s">
        <v>335</v>
      </c>
      <c r="E91" t="s">
        <v>125</v>
      </c>
      <c r="F91">
        <v>5141</v>
      </c>
      <c r="G91">
        <v>12198</v>
      </c>
      <c r="H91">
        <v>2281</v>
      </c>
      <c r="I91">
        <v>9509</v>
      </c>
      <c r="J91">
        <v>1540</v>
      </c>
      <c r="K91">
        <v>5312</v>
      </c>
      <c r="L91">
        <v>35981</v>
      </c>
      <c r="M91">
        <v>256</v>
      </c>
      <c r="N91">
        <v>75</v>
      </c>
      <c r="O91">
        <v>141</v>
      </c>
      <c r="P91">
        <v>291</v>
      </c>
      <c r="Q91">
        <v>69</v>
      </c>
      <c r="R91">
        <v>93</v>
      </c>
      <c r="S91">
        <v>1063</v>
      </c>
      <c r="T91">
        <v>525</v>
      </c>
      <c r="U91">
        <v>894</v>
      </c>
      <c r="V91">
        <v>0</v>
      </c>
      <c r="W91">
        <v>0</v>
      </c>
      <c r="X91">
        <v>262</v>
      </c>
      <c r="Y91">
        <v>394</v>
      </c>
      <c r="Z91">
        <v>-305</v>
      </c>
      <c r="AA91">
        <v>-1264</v>
      </c>
      <c r="AB91">
        <v>3296</v>
      </c>
      <c r="AC91">
        <v>0</v>
      </c>
      <c r="AD91">
        <v>59</v>
      </c>
      <c r="AE91">
        <v>0</v>
      </c>
      <c r="AF91">
        <v>0</v>
      </c>
      <c r="AG91">
        <v>353</v>
      </c>
      <c r="AH91">
        <v>0</v>
      </c>
      <c r="AI91">
        <v>6202</v>
      </c>
      <c r="AJ91">
        <v>0</v>
      </c>
      <c r="AK91">
        <v>0</v>
      </c>
      <c r="AL91">
        <v>0</v>
      </c>
      <c r="AM91">
        <v>0</v>
      </c>
      <c r="AN91">
        <v>0</v>
      </c>
      <c r="AO91">
        <v>0</v>
      </c>
      <c r="AP91">
        <v>0</v>
      </c>
      <c r="AQ91">
        <v>106</v>
      </c>
      <c r="AR91">
        <v>103</v>
      </c>
      <c r="AS91">
        <v>0</v>
      </c>
      <c r="AT91">
        <v>0</v>
      </c>
      <c r="AU91">
        <v>0</v>
      </c>
      <c r="AV91">
        <v>367</v>
      </c>
      <c r="AW91">
        <v>15956</v>
      </c>
      <c r="AX91">
        <v>167</v>
      </c>
      <c r="AY91">
        <v>2917</v>
      </c>
      <c r="AZ91">
        <v>433</v>
      </c>
      <c r="BA91">
        <v>8679</v>
      </c>
      <c r="BB91">
        <v>76</v>
      </c>
      <c r="BC91">
        <v>388</v>
      </c>
      <c r="BD91">
        <v>28983</v>
      </c>
      <c r="BE91">
        <v>2137</v>
      </c>
      <c r="BF91">
        <v>6306</v>
      </c>
      <c r="BG91">
        <v>6</v>
      </c>
      <c r="BH91">
        <v>84</v>
      </c>
      <c r="BI91">
        <v>96</v>
      </c>
      <c r="BJ91">
        <v>1725</v>
      </c>
      <c r="BK91">
        <v>9929</v>
      </c>
      <c r="BL91">
        <v>1507</v>
      </c>
      <c r="BM91">
        <v>1003</v>
      </c>
      <c r="BN91">
        <v>1424</v>
      </c>
      <c r="BO91">
        <v>33</v>
      </c>
      <c r="BP91">
        <v>0</v>
      </c>
      <c r="BQ91">
        <v>261</v>
      </c>
      <c r="BR91">
        <v>28</v>
      </c>
      <c r="BS91">
        <v>39</v>
      </c>
      <c r="BT91">
        <v>3746</v>
      </c>
      <c r="BU91">
        <v>902</v>
      </c>
      <c r="BV91">
        <v>6685</v>
      </c>
      <c r="BW91">
        <v>35911</v>
      </c>
      <c r="BX91">
        <v>700</v>
      </c>
      <c r="BY91">
        <v>285</v>
      </c>
      <c r="BZ91">
        <v>35</v>
      </c>
      <c r="CA91">
        <v>196</v>
      </c>
      <c r="CB91">
        <v>85</v>
      </c>
      <c r="CC91">
        <v>135</v>
      </c>
      <c r="CD91">
        <v>35</v>
      </c>
      <c r="CE91">
        <v>90</v>
      </c>
      <c r="CF91">
        <v>55</v>
      </c>
      <c r="CG91">
        <v>292</v>
      </c>
      <c r="CH91">
        <v>407</v>
      </c>
      <c r="CI91">
        <v>720</v>
      </c>
      <c r="CJ91">
        <v>480</v>
      </c>
      <c r="CK91">
        <v>116</v>
      </c>
      <c r="CL91">
        <v>35</v>
      </c>
      <c r="CM91">
        <v>472</v>
      </c>
      <c r="CN91">
        <v>182</v>
      </c>
      <c r="CO91">
        <v>35</v>
      </c>
      <c r="CP91">
        <v>824</v>
      </c>
      <c r="CQ91">
        <v>1698</v>
      </c>
      <c r="CR91">
        <v>332</v>
      </c>
      <c r="CS91">
        <v>136</v>
      </c>
      <c r="CT91">
        <v>388</v>
      </c>
      <c r="CU91">
        <v>1075</v>
      </c>
      <c r="CV91">
        <v>10694</v>
      </c>
      <c r="CW91">
        <v>0</v>
      </c>
      <c r="CX91">
        <v>0</v>
      </c>
      <c r="CY91">
        <v>0</v>
      </c>
      <c r="CZ91">
        <v>0</v>
      </c>
      <c r="DA91">
        <v>0</v>
      </c>
      <c r="DB91">
        <v>0</v>
      </c>
      <c r="DC91">
        <v>73</v>
      </c>
      <c r="DD91">
        <v>0</v>
      </c>
      <c r="DE91">
        <v>126</v>
      </c>
      <c r="DF91">
        <v>22</v>
      </c>
      <c r="DG91">
        <v>0</v>
      </c>
      <c r="DH91">
        <v>2</v>
      </c>
      <c r="DI91">
        <v>0</v>
      </c>
      <c r="DJ91">
        <v>103</v>
      </c>
      <c r="DK91">
        <v>0</v>
      </c>
      <c r="DL91">
        <v>0</v>
      </c>
      <c r="DM91">
        <v>0</v>
      </c>
      <c r="DN91">
        <v>444</v>
      </c>
      <c r="DO91">
        <v>10</v>
      </c>
      <c r="DP91">
        <v>559</v>
      </c>
      <c r="DQ91">
        <v>151</v>
      </c>
      <c r="DR91">
        <v>0</v>
      </c>
      <c r="DS91">
        <v>0</v>
      </c>
      <c r="DT91">
        <v>439</v>
      </c>
      <c r="DU91">
        <v>3</v>
      </c>
      <c r="DV91">
        <v>799</v>
      </c>
      <c r="DW91">
        <v>0</v>
      </c>
      <c r="DX91">
        <v>2172</v>
      </c>
      <c r="DY91">
        <v>20423</v>
      </c>
      <c r="DZ91">
        <v>421</v>
      </c>
      <c r="EA91">
        <v>3420</v>
      </c>
      <c r="EB91">
        <v>388</v>
      </c>
      <c r="EC91">
        <v>0</v>
      </c>
      <c r="ED91">
        <v>7</v>
      </c>
      <c r="EE91">
        <v>0</v>
      </c>
      <c r="EF91">
        <v>0</v>
      </c>
      <c r="EG91">
        <v>0</v>
      </c>
      <c r="EH91">
        <v>4765</v>
      </c>
      <c r="EI91">
        <v>3114</v>
      </c>
      <c r="EJ91">
        <v>3067</v>
      </c>
      <c r="EK91">
        <v>148</v>
      </c>
      <c r="EL91">
        <v>2547</v>
      </c>
      <c r="EM91">
        <v>639</v>
      </c>
      <c r="EN91">
        <v>8502</v>
      </c>
      <c r="EO91">
        <v>0</v>
      </c>
      <c r="EP91">
        <v>0</v>
      </c>
      <c r="EQ91">
        <v>0</v>
      </c>
      <c r="ER91">
        <v>20</v>
      </c>
      <c r="ES91">
        <v>25161</v>
      </c>
      <c r="ET91">
        <v>27018</v>
      </c>
      <c r="EU91">
        <v>75</v>
      </c>
      <c r="EV91">
        <v>200</v>
      </c>
      <c r="EW91">
        <v>0</v>
      </c>
      <c r="EX91">
        <v>449</v>
      </c>
      <c r="EY91">
        <v>632</v>
      </c>
      <c r="EZ91">
        <v>0</v>
      </c>
      <c r="FA91">
        <v>0</v>
      </c>
      <c r="FB91">
        <v>8</v>
      </c>
      <c r="FC91">
        <v>1866</v>
      </c>
      <c r="FD91">
        <v>1026</v>
      </c>
      <c r="FE91">
        <v>26</v>
      </c>
      <c r="FF91">
        <v>0</v>
      </c>
      <c r="FG91">
        <v>958</v>
      </c>
      <c r="FH91">
        <v>5240</v>
      </c>
      <c r="FI91">
        <v>-773</v>
      </c>
      <c r="FJ91">
        <v>196</v>
      </c>
      <c r="FK91">
        <v>3</v>
      </c>
      <c r="FL91">
        <v>77</v>
      </c>
      <c r="FM91">
        <v>86</v>
      </c>
      <c r="FN91">
        <v>76</v>
      </c>
      <c r="FO91">
        <v>11</v>
      </c>
      <c r="FP91">
        <v>0</v>
      </c>
      <c r="FQ91">
        <v>0</v>
      </c>
      <c r="FR91">
        <v>27</v>
      </c>
      <c r="FS91">
        <v>0</v>
      </c>
      <c r="FT91">
        <v>190</v>
      </c>
      <c r="FU91">
        <v>62</v>
      </c>
      <c r="FV91">
        <v>11</v>
      </c>
      <c r="FW91">
        <v>272</v>
      </c>
      <c r="FX91">
        <v>307</v>
      </c>
      <c r="FY91">
        <v>15</v>
      </c>
      <c r="FZ91">
        <v>0</v>
      </c>
      <c r="GA91">
        <v>0</v>
      </c>
      <c r="GB91">
        <v>0</v>
      </c>
      <c r="GC91">
        <v>-40</v>
      </c>
      <c r="GD91">
        <v>2028</v>
      </c>
      <c r="GE91">
        <v>912</v>
      </c>
      <c r="GF91">
        <v>3239</v>
      </c>
      <c r="GG91">
        <v>0</v>
      </c>
      <c r="GH91">
        <v>1663</v>
      </c>
      <c r="GI91">
        <v>0</v>
      </c>
      <c r="GJ91">
        <v>135</v>
      </c>
      <c r="GK91">
        <v>8497</v>
      </c>
      <c r="GL91">
        <v>115</v>
      </c>
      <c r="GM91">
        <v>46</v>
      </c>
      <c r="GN91">
        <v>30</v>
      </c>
      <c r="GO91">
        <v>323</v>
      </c>
      <c r="GP91">
        <v>23</v>
      </c>
      <c r="GQ91">
        <v>965</v>
      </c>
      <c r="GR91">
        <v>91</v>
      </c>
      <c r="GS91">
        <v>24</v>
      </c>
      <c r="GT91">
        <v>266</v>
      </c>
      <c r="GU91">
        <v>1883</v>
      </c>
      <c r="GV91">
        <v>15620</v>
      </c>
      <c r="GW91">
        <v>0</v>
      </c>
      <c r="GX91">
        <v>0</v>
      </c>
      <c r="GY91">
        <v>0</v>
      </c>
      <c r="GZ91">
        <v>0</v>
      </c>
      <c r="HA91">
        <v>0</v>
      </c>
      <c r="HB91">
        <v>2705</v>
      </c>
      <c r="HC91">
        <v>253</v>
      </c>
      <c r="HD91">
        <v>0</v>
      </c>
      <c r="HE91">
        <v>0</v>
      </c>
      <c r="HF91">
        <v>504</v>
      </c>
      <c r="HG91">
        <v>244</v>
      </c>
      <c r="HH91">
        <v>0</v>
      </c>
      <c r="HI91">
        <v>-121</v>
      </c>
      <c r="HJ91">
        <v>81</v>
      </c>
      <c r="HK91">
        <v>28</v>
      </c>
      <c r="HL91">
        <v>85</v>
      </c>
      <c r="HM91">
        <v>3</v>
      </c>
      <c r="HN91">
        <v>1411</v>
      </c>
      <c r="HO91">
        <v>0</v>
      </c>
      <c r="HP91">
        <v>262</v>
      </c>
      <c r="HQ91">
        <v>0</v>
      </c>
      <c r="HR91">
        <v>655</v>
      </c>
      <c r="HS91">
        <v>0</v>
      </c>
      <c r="HT91">
        <v>0</v>
      </c>
      <c r="HU91">
        <v>-453</v>
      </c>
      <c r="HV91">
        <v>5657</v>
      </c>
      <c r="HW91">
        <v>3286</v>
      </c>
      <c r="HX91">
        <v>7477</v>
      </c>
      <c r="HY91">
        <v>0</v>
      </c>
      <c r="HZ91">
        <v>2166</v>
      </c>
      <c r="IA91">
        <v>93</v>
      </c>
      <c r="IB91">
        <v>-5786</v>
      </c>
      <c r="IC91">
        <v>35981</v>
      </c>
      <c r="ID91">
        <v>6202</v>
      </c>
      <c r="IE91">
        <v>28983</v>
      </c>
      <c r="IF91">
        <v>35911</v>
      </c>
      <c r="IG91">
        <v>10694</v>
      </c>
      <c r="IH91">
        <v>2172</v>
      </c>
      <c r="II91">
        <v>5240</v>
      </c>
      <c r="IJ91">
        <v>8497</v>
      </c>
      <c r="IK91">
        <v>1883</v>
      </c>
      <c r="IL91">
        <v>0</v>
      </c>
      <c r="IM91">
        <v>0</v>
      </c>
      <c r="IN91">
        <v>5657</v>
      </c>
      <c r="IO91">
        <v>-5786</v>
      </c>
      <c r="IP91">
        <v>135434</v>
      </c>
      <c r="IQ91">
        <v>12893</v>
      </c>
      <c r="IR91">
        <v>0</v>
      </c>
      <c r="IS91">
        <v>9283</v>
      </c>
      <c r="IT91">
        <v>0</v>
      </c>
      <c r="IU91">
        <v>252</v>
      </c>
      <c r="IV91">
        <v>183</v>
      </c>
      <c r="IW91">
        <v>0</v>
      </c>
      <c r="IX91">
        <v>0</v>
      </c>
      <c r="IY91">
        <v>0</v>
      </c>
      <c r="IZ91">
        <v>0</v>
      </c>
      <c r="JA91">
        <v>-173</v>
      </c>
      <c r="JB91">
        <v>-650</v>
      </c>
      <c r="JC91">
        <v>0</v>
      </c>
      <c r="JD91">
        <v>0</v>
      </c>
      <c r="JE91">
        <v>-23</v>
      </c>
      <c r="JF91">
        <v>0</v>
      </c>
      <c r="JG91">
        <v>157199</v>
      </c>
      <c r="JH91">
        <v>110</v>
      </c>
      <c r="JI91">
        <v>123</v>
      </c>
      <c r="JJ91">
        <v>0</v>
      </c>
      <c r="JK91">
        <v>0</v>
      </c>
      <c r="JL91">
        <v>0</v>
      </c>
      <c r="JM91">
        <v>662</v>
      </c>
      <c r="JN91">
        <v>480</v>
      </c>
      <c r="JO91">
        <v>0</v>
      </c>
      <c r="JP91">
        <v>4963</v>
      </c>
      <c r="JQ91">
        <v>-2374</v>
      </c>
      <c r="JR91">
        <v>161163</v>
      </c>
      <c r="JS91">
        <v>-2646</v>
      </c>
      <c r="JT91">
        <v>0</v>
      </c>
      <c r="JU91">
        <v>-173</v>
      </c>
      <c r="JV91">
        <v>0</v>
      </c>
      <c r="JW91">
        <v>-22639</v>
      </c>
      <c r="JX91">
        <v>0</v>
      </c>
      <c r="JY91">
        <v>0</v>
      </c>
      <c r="JZ91">
        <v>0</v>
      </c>
      <c r="KA91">
        <v>0</v>
      </c>
      <c r="KB91">
        <v>0</v>
      </c>
      <c r="KC91">
        <v>135705</v>
      </c>
      <c r="KD91">
        <v>0</v>
      </c>
      <c r="KE91">
        <v>-60709</v>
      </c>
      <c r="KF91">
        <v>74996</v>
      </c>
      <c r="KG91">
        <v>0</v>
      </c>
      <c r="KH91">
        <v>202</v>
      </c>
      <c r="KI91">
        <v>-663</v>
      </c>
      <c r="KJ91">
        <v>397</v>
      </c>
      <c r="KK91">
        <v>15132</v>
      </c>
      <c r="KL91">
        <v>5563</v>
      </c>
      <c r="KM91">
        <v>-3634</v>
      </c>
      <c r="KN91">
        <v>0</v>
      </c>
      <c r="KO91">
        <v>-23640</v>
      </c>
      <c r="KP91">
        <v>-200</v>
      </c>
      <c r="KQ91">
        <v>0</v>
      </c>
      <c r="KR91">
        <v>55213</v>
      </c>
      <c r="KS91">
        <v>867</v>
      </c>
      <c r="KT91">
        <v>-5233</v>
      </c>
      <c r="KU91">
        <v>773</v>
      </c>
      <c r="KV91">
        <v>40829</v>
      </c>
      <c r="KW91">
        <v>28147</v>
      </c>
      <c r="KX91">
        <v>1069</v>
      </c>
      <c r="KY91">
        <v>-5896</v>
      </c>
      <c r="KZ91">
        <v>1170</v>
      </c>
      <c r="LA91">
        <v>55961</v>
      </c>
      <c r="LB91">
        <v>33710</v>
      </c>
      <c r="LC91">
        <v>0</v>
      </c>
      <c r="LD91">
        <v>-5700</v>
      </c>
      <c r="LE91">
        <v>-149</v>
      </c>
      <c r="LF91">
        <v>-367</v>
      </c>
      <c r="LG91">
        <v>1385</v>
      </c>
      <c r="LH91">
        <v>1403</v>
      </c>
      <c r="LI91">
        <v>-28752</v>
      </c>
      <c r="LJ91">
        <v>3611</v>
      </c>
      <c r="LK91">
        <v>4810</v>
      </c>
      <c r="LL91">
        <v>8421</v>
      </c>
      <c r="LM91">
        <v>0</v>
      </c>
      <c r="LN91">
        <v>0</v>
      </c>
      <c r="LO91">
        <v>0</v>
      </c>
      <c r="LP91">
        <v>24659</v>
      </c>
      <c r="LQ91">
        <v>22802</v>
      </c>
      <c r="LR91">
        <v>1857</v>
      </c>
      <c r="LS91">
        <v>25161</v>
      </c>
      <c r="LT91">
        <v>27018</v>
      </c>
      <c r="LU91">
        <v>35981</v>
      </c>
      <c r="LV91">
        <v>6202</v>
      </c>
      <c r="LW91">
        <v>28983</v>
      </c>
      <c r="LX91">
        <v>35911</v>
      </c>
      <c r="LY91">
        <v>10694</v>
      </c>
      <c r="LZ91">
        <v>2172</v>
      </c>
      <c r="MA91">
        <v>5240</v>
      </c>
      <c r="MB91">
        <v>8497</v>
      </c>
      <c r="MC91">
        <v>1883</v>
      </c>
      <c r="MD91">
        <v>0</v>
      </c>
      <c r="ME91">
        <v>0</v>
      </c>
      <c r="MF91">
        <v>5657</v>
      </c>
      <c r="MG91">
        <v>-5786</v>
      </c>
      <c r="MH91">
        <v>135434</v>
      </c>
      <c r="MI91">
        <v>0</v>
      </c>
      <c r="MJ91">
        <v>0</v>
      </c>
      <c r="MK91">
        <v>0</v>
      </c>
      <c r="ML91">
        <v>0</v>
      </c>
      <c r="MM91">
        <v>0</v>
      </c>
      <c r="MN91">
        <v>0</v>
      </c>
      <c r="MO91">
        <v>0</v>
      </c>
      <c r="MP91">
        <v>0</v>
      </c>
      <c r="MQ91">
        <v>-40</v>
      </c>
      <c r="MR91">
        <v>0</v>
      </c>
      <c r="MS91">
        <v>0</v>
      </c>
      <c r="MT91">
        <v>0</v>
      </c>
      <c r="MU91">
        <v>-133</v>
      </c>
      <c r="MV91">
        <v>0</v>
      </c>
      <c r="MW91">
        <v>0</v>
      </c>
      <c r="MX91">
        <v>0</v>
      </c>
      <c r="MY91">
        <v>0</v>
      </c>
      <c r="MZ91">
        <v>0</v>
      </c>
      <c r="NA91">
        <v>-173</v>
      </c>
      <c r="NB91">
        <v>0</v>
      </c>
      <c r="NC91">
        <v>-173</v>
      </c>
      <c r="ND91">
        <v>0</v>
      </c>
      <c r="NE91">
        <v>0</v>
      </c>
      <c r="NF91">
        <v>-329</v>
      </c>
      <c r="NG91">
        <v>0</v>
      </c>
      <c r="NH91">
        <v>0</v>
      </c>
      <c r="NI91">
        <v>0</v>
      </c>
      <c r="NJ91">
        <v>0</v>
      </c>
      <c r="NK91">
        <v>0</v>
      </c>
      <c r="NL91">
        <v>0</v>
      </c>
      <c r="NM91">
        <v>-537</v>
      </c>
      <c r="NN91">
        <v>131</v>
      </c>
      <c r="NO91">
        <v>0</v>
      </c>
      <c r="NP91">
        <v>15</v>
      </c>
      <c r="NQ91">
        <v>0</v>
      </c>
      <c r="NR91">
        <v>0</v>
      </c>
      <c r="NS91">
        <v>0</v>
      </c>
      <c r="NT91">
        <v>70</v>
      </c>
      <c r="NU91">
        <v>0</v>
      </c>
      <c r="NV91">
        <v>0</v>
      </c>
      <c r="NW91">
        <v>0</v>
      </c>
      <c r="NX91">
        <v>0</v>
      </c>
      <c r="NY91">
        <v>0</v>
      </c>
      <c r="NZ91">
        <v>-650</v>
      </c>
      <c r="OA91">
        <v>0</v>
      </c>
      <c r="OB91">
        <v>-650</v>
      </c>
      <c r="OC91">
        <v>0</v>
      </c>
      <c r="OD91">
        <v>0</v>
      </c>
      <c r="OE91">
        <v>0</v>
      </c>
      <c r="OF91">
        <v>0</v>
      </c>
      <c r="OG91">
        <v>0</v>
      </c>
      <c r="OH91">
        <v>0</v>
      </c>
      <c r="OI91">
        <v>0</v>
      </c>
      <c r="OJ91">
        <v>0</v>
      </c>
      <c r="OK91">
        <v>0</v>
      </c>
      <c r="OL91">
        <v>0</v>
      </c>
      <c r="OM91">
        <v>0</v>
      </c>
      <c r="ON91">
        <v>0</v>
      </c>
    </row>
    <row r="92" spans="1:404" x14ac:dyDescent="0.25">
      <c r="A92" t="s">
        <v>339</v>
      </c>
      <c r="B92" t="s">
        <v>340</v>
      </c>
      <c r="C92" t="s">
        <v>338</v>
      </c>
      <c r="E92" t="s">
        <v>61</v>
      </c>
      <c r="F92">
        <v>0</v>
      </c>
      <c r="G92">
        <v>0</v>
      </c>
      <c r="H92">
        <v>0</v>
      </c>
      <c r="I92">
        <v>0</v>
      </c>
      <c r="J92">
        <v>0</v>
      </c>
      <c r="K92">
        <v>0</v>
      </c>
      <c r="L92">
        <v>0</v>
      </c>
      <c r="M92">
        <v>0</v>
      </c>
      <c r="N92">
        <v>0</v>
      </c>
      <c r="O92">
        <v>10</v>
      </c>
      <c r="P92">
        <v>0</v>
      </c>
      <c r="Q92">
        <v>0</v>
      </c>
      <c r="R92">
        <v>0</v>
      </c>
      <c r="S92">
        <v>-60</v>
      </c>
      <c r="T92">
        <v>6</v>
      </c>
      <c r="U92">
        <v>0</v>
      </c>
      <c r="V92">
        <v>0</v>
      </c>
      <c r="W92">
        <v>0</v>
      </c>
      <c r="X92">
        <v>0</v>
      </c>
      <c r="Y92">
        <v>46</v>
      </c>
      <c r="Z92">
        <v>71</v>
      </c>
      <c r="AA92">
        <v>-28</v>
      </c>
      <c r="AB92">
        <v>0</v>
      </c>
      <c r="AC92">
        <v>0</v>
      </c>
      <c r="AD92">
        <v>0</v>
      </c>
      <c r="AE92">
        <v>0</v>
      </c>
      <c r="AF92">
        <v>0</v>
      </c>
      <c r="AG92">
        <v>0</v>
      </c>
      <c r="AH92">
        <v>0</v>
      </c>
      <c r="AI92">
        <v>45</v>
      </c>
      <c r="AJ92">
        <v>0</v>
      </c>
      <c r="AK92">
        <v>0</v>
      </c>
      <c r="AL92">
        <v>0</v>
      </c>
      <c r="AM92">
        <v>0</v>
      </c>
      <c r="AN92">
        <v>0</v>
      </c>
      <c r="AO92">
        <v>0</v>
      </c>
      <c r="AP92">
        <v>0</v>
      </c>
      <c r="AQ92">
        <v>38</v>
      </c>
      <c r="AR92">
        <v>454</v>
      </c>
      <c r="AS92">
        <v>0</v>
      </c>
      <c r="AT92">
        <v>0</v>
      </c>
      <c r="AU92">
        <v>0</v>
      </c>
      <c r="AV92">
        <v>0</v>
      </c>
      <c r="AW92">
        <v>0</v>
      </c>
      <c r="AX92">
        <v>0</v>
      </c>
      <c r="AY92">
        <v>0</v>
      </c>
      <c r="AZ92">
        <v>0</v>
      </c>
      <c r="BA92">
        <v>0</v>
      </c>
      <c r="BB92">
        <v>0</v>
      </c>
      <c r="BC92">
        <v>0</v>
      </c>
      <c r="BD92">
        <v>0</v>
      </c>
      <c r="BE92">
        <v>0</v>
      </c>
      <c r="BF92">
        <v>0</v>
      </c>
      <c r="BG92">
        <v>0</v>
      </c>
      <c r="BH92">
        <v>0</v>
      </c>
      <c r="BI92">
        <v>0</v>
      </c>
      <c r="BJ92">
        <v>0</v>
      </c>
      <c r="BK92">
        <v>0</v>
      </c>
      <c r="BL92">
        <v>0</v>
      </c>
      <c r="BM92">
        <v>0</v>
      </c>
      <c r="BN92">
        <v>0</v>
      </c>
      <c r="BO92">
        <v>0</v>
      </c>
      <c r="BP92">
        <v>0</v>
      </c>
      <c r="BQ92">
        <v>0</v>
      </c>
      <c r="BR92">
        <v>0</v>
      </c>
      <c r="BS92">
        <v>0</v>
      </c>
      <c r="BT92">
        <v>0</v>
      </c>
      <c r="BU92">
        <v>0</v>
      </c>
      <c r="BV92">
        <v>0</v>
      </c>
      <c r="BW92">
        <v>0</v>
      </c>
      <c r="BX92">
        <v>0</v>
      </c>
      <c r="BY92">
        <v>0</v>
      </c>
      <c r="BZ92">
        <v>0</v>
      </c>
      <c r="CA92">
        <v>0</v>
      </c>
      <c r="CB92">
        <v>0</v>
      </c>
      <c r="CC92">
        <v>0</v>
      </c>
      <c r="CD92">
        <v>0</v>
      </c>
      <c r="CE92">
        <v>0</v>
      </c>
      <c r="CF92">
        <v>0</v>
      </c>
      <c r="CG92">
        <v>0</v>
      </c>
      <c r="CH92">
        <v>0</v>
      </c>
      <c r="CI92">
        <v>0</v>
      </c>
      <c r="CJ92">
        <v>0</v>
      </c>
      <c r="CK92">
        <v>0</v>
      </c>
      <c r="CL92">
        <v>0</v>
      </c>
      <c r="CM92">
        <v>0</v>
      </c>
      <c r="CN92">
        <v>0</v>
      </c>
      <c r="CO92">
        <v>0</v>
      </c>
      <c r="CP92">
        <v>0</v>
      </c>
      <c r="CQ92">
        <v>0</v>
      </c>
      <c r="CR92">
        <v>0</v>
      </c>
      <c r="CS92">
        <v>0</v>
      </c>
      <c r="CT92">
        <v>0</v>
      </c>
      <c r="CU92">
        <v>30</v>
      </c>
      <c r="CV92">
        <v>30</v>
      </c>
      <c r="CW92">
        <v>0</v>
      </c>
      <c r="CX92">
        <v>0</v>
      </c>
      <c r="CY92">
        <v>0</v>
      </c>
      <c r="CZ92">
        <v>0</v>
      </c>
      <c r="DA92">
        <v>0</v>
      </c>
      <c r="DB92">
        <v>0</v>
      </c>
      <c r="DC92">
        <v>384</v>
      </c>
      <c r="DD92">
        <v>0</v>
      </c>
      <c r="DE92">
        <v>0</v>
      </c>
      <c r="DF92">
        <v>0</v>
      </c>
      <c r="DG92">
        <v>887</v>
      </c>
      <c r="DH92">
        <v>1114</v>
      </c>
      <c r="DI92">
        <v>0</v>
      </c>
      <c r="DJ92">
        <v>0</v>
      </c>
      <c r="DK92">
        <v>0</v>
      </c>
      <c r="DL92">
        <v>0</v>
      </c>
      <c r="DM92">
        <v>258</v>
      </c>
      <c r="DN92">
        <v>0</v>
      </c>
      <c r="DO92">
        <v>1020</v>
      </c>
      <c r="DP92">
        <v>3279</v>
      </c>
      <c r="DQ92">
        <v>0</v>
      </c>
      <c r="DR92">
        <v>0</v>
      </c>
      <c r="DS92">
        <v>0</v>
      </c>
      <c r="DT92">
        <v>48</v>
      </c>
      <c r="DU92">
        <v>-20</v>
      </c>
      <c r="DV92">
        <v>0</v>
      </c>
      <c r="DW92">
        <v>0</v>
      </c>
      <c r="DX92">
        <v>3691</v>
      </c>
      <c r="DY92">
        <v>20401</v>
      </c>
      <c r="DZ92">
        <v>734</v>
      </c>
      <c r="EA92">
        <v>1221</v>
      </c>
      <c r="EB92">
        <v>2</v>
      </c>
      <c r="EC92">
        <v>0</v>
      </c>
      <c r="ED92">
        <v>6</v>
      </c>
      <c r="EE92">
        <v>0</v>
      </c>
      <c r="EF92">
        <v>0</v>
      </c>
      <c r="EG92">
        <v>0</v>
      </c>
      <c r="EH92">
        <v>3527</v>
      </c>
      <c r="EI92">
        <v>4626</v>
      </c>
      <c r="EJ92">
        <v>678</v>
      </c>
      <c r="EK92">
        <v>68</v>
      </c>
      <c r="EL92">
        <v>1125</v>
      </c>
      <c r="EM92">
        <v>9443</v>
      </c>
      <c r="EN92">
        <v>3929</v>
      </c>
      <c r="EO92">
        <v>0</v>
      </c>
      <c r="EP92">
        <v>0</v>
      </c>
      <c r="EQ92">
        <v>3757</v>
      </c>
      <c r="ER92">
        <v>89</v>
      </c>
      <c r="ES92">
        <v>12561</v>
      </c>
      <c r="ET92">
        <v>7683</v>
      </c>
      <c r="EU92">
        <v>0</v>
      </c>
      <c r="EV92">
        <v>133</v>
      </c>
      <c r="EW92">
        <v>0</v>
      </c>
      <c r="EX92">
        <v>64</v>
      </c>
      <c r="EY92">
        <v>404</v>
      </c>
      <c r="EZ92">
        <v>0</v>
      </c>
      <c r="FA92">
        <v>0</v>
      </c>
      <c r="FB92">
        <v>55</v>
      </c>
      <c r="FC92">
        <v>1</v>
      </c>
      <c r="FD92">
        <v>533</v>
      </c>
      <c r="FE92">
        <v>-1</v>
      </c>
      <c r="FF92">
        <v>3</v>
      </c>
      <c r="FG92">
        <v>0</v>
      </c>
      <c r="FH92">
        <v>1192</v>
      </c>
      <c r="FI92">
        <v>137</v>
      </c>
      <c r="FJ92">
        <v>0</v>
      </c>
      <c r="FK92">
        <v>0</v>
      </c>
      <c r="FL92">
        <v>175</v>
      </c>
      <c r="FM92">
        <v>383</v>
      </c>
      <c r="FN92">
        <v>114</v>
      </c>
      <c r="FO92">
        <v>283</v>
      </c>
      <c r="FP92">
        <v>0</v>
      </c>
      <c r="FQ92">
        <v>0</v>
      </c>
      <c r="FR92">
        <v>62</v>
      </c>
      <c r="FS92">
        <v>28</v>
      </c>
      <c r="FT92">
        <v>317</v>
      </c>
      <c r="FU92">
        <v>74</v>
      </c>
      <c r="FV92">
        <v>356</v>
      </c>
      <c r="FW92">
        <v>260</v>
      </c>
      <c r="FX92">
        <v>180</v>
      </c>
      <c r="FY92">
        <v>0</v>
      </c>
      <c r="FZ92">
        <v>0</v>
      </c>
      <c r="GA92">
        <v>100</v>
      </c>
      <c r="GB92">
        <v>0</v>
      </c>
      <c r="GC92">
        <v>0</v>
      </c>
      <c r="GD92">
        <v>1185</v>
      </c>
      <c r="GE92">
        <v>2057</v>
      </c>
      <c r="GF92">
        <v>0</v>
      </c>
      <c r="GG92">
        <v>0</v>
      </c>
      <c r="GH92">
        <v>953</v>
      </c>
      <c r="GI92">
        <v>0</v>
      </c>
      <c r="GJ92">
        <v>0</v>
      </c>
      <c r="GK92">
        <v>6664</v>
      </c>
      <c r="GL92">
        <v>216</v>
      </c>
      <c r="GM92">
        <v>829</v>
      </c>
      <c r="GN92">
        <v>0</v>
      </c>
      <c r="GO92">
        <v>782</v>
      </c>
      <c r="GP92">
        <v>55</v>
      </c>
      <c r="GQ92">
        <v>257</v>
      </c>
      <c r="GR92">
        <v>0</v>
      </c>
      <c r="GS92">
        <v>2975</v>
      </c>
      <c r="GT92">
        <v>341</v>
      </c>
      <c r="GU92">
        <v>5455</v>
      </c>
      <c r="GV92">
        <v>13311</v>
      </c>
      <c r="GW92">
        <v>0</v>
      </c>
      <c r="GX92">
        <v>0</v>
      </c>
      <c r="GY92">
        <v>0</v>
      </c>
      <c r="GZ92">
        <v>0</v>
      </c>
      <c r="HA92">
        <v>0</v>
      </c>
      <c r="HB92">
        <v>1895</v>
      </c>
      <c r="HC92">
        <v>889</v>
      </c>
      <c r="HD92">
        <v>0</v>
      </c>
      <c r="HE92">
        <v>0</v>
      </c>
      <c r="HF92">
        <v>77</v>
      </c>
      <c r="HG92">
        <v>3</v>
      </c>
      <c r="HH92">
        <v>0</v>
      </c>
      <c r="HI92">
        <v>0</v>
      </c>
      <c r="HJ92">
        <v>320</v>
      </c>
      <c r="HK92">
        <v>123</v>
      </c>
      <c r="HL92">
        <v>53</v>
      </c>
      <c r="HM92">
        <v>3</v>
      </c>
      <c r="HN92">
        <v>0</v>
      </c>
      <c r="HO92">
        <v>199</v>
      </c>
      <c r="HP92">
        <v>0</v>
      </c>
      <c r="HQ92">
        <v>0</v>
      </c>
      <c r="HR92">
        <v>130</v>
      </c>
      <c r="HS92">
        <v>0</v>
      </c>
      <c r="HT92">
        <v>0</v>
      </c>
      <c r="HU92">
        <v>-580</v>
      </c>
      <c r="HV92">
        <v>3112</v>
      </c>
      <c r="HW92">
        <v>7619</v>
      </c>
      <c r="HX92">
        <v>0</v>
      </c>
      <c r="HY92">
        <v>0</v>
      </c>
      <c r="HZ92">
        <v>1233</v>
      </c>
      <c r="IA92">
        <v>0</v>
      </c>
      <c r="IB92">
        <v>-124</v>
      </c>
      <c r="IC92">
        <v>0</v>
      </c>
      <c r="ID92">
        <v>45</v>
      </c>
      <c r="IE92">
        <v>0</v>
      </c>
      <c r="IF92">
        <v>0</v>
      </c>
      <c r="IG92">
        <v>30</v>
      </c>
      <c r="IH92">
        <v>3691</v>
      </c>
      <c r="II92">
        <v>1192</v>
      </c>
      <c r="IJ92">
        <v>6664</v>
      </c>
      <c r="IK92">
        <v>5455</v>
      </c>
      <c r="IL92">
        <v>0</v>
      </c>
      <c r="IM92">
        <v>0</v>
      </c>
      <c r="IN92">
        <v>3112</v>
      </c>
      <c r="IO92">
        <v>-124</v>
      </c>
      <c r="IP92">
        <v>20065</v>
      </c>
      <c r="IQ92">
        <v>9245</v>
      </c>
      <c r="IR92">
        <v>1486</v>
      </c>
      <c r="IS92">
        <v>7173</v>
      </c>
      <c r="IT92">
        <v>0</v>
      </c>
      <c r="IU92">
        <v>0</v>
      </c>
      <c r="IV92">
        <v>1228</v>
      </c>
      <c r="IW92">
        <v>0</v>
      </c>
      <c r="IX92">
        <v>0</v>
      </c>
      <c r="IY92">
        <v>0</v>
      </c>
      <c r="IZ92">
        <v>0</v>
      </c>
      <c r="JA92">
        <v>-68</v>
      </c>
      <c r="JB92">
        <v>0</v>
      </c>
      <c r="JC92">
        <v>0</v>
      </c>
      <c r="JD92">
        <v>0</v>
      </c>
      <c r="JE92">
        <v>0</v>
      </c>
      <c r="JF92">
        <v>0</v>
      </c>
      <c r="JG92">
        <v>39129</v>
      </c>
      <c r="JH92">
        <v>0</v>
      </c>
      <c r="JI92">
        <v>957</v>
      </c>
      <c r="JJ92">
        <v>0</v>
      </c>
      <c r="JK92">
        <v>0</v>
      </c>
      <c r="JL92">
        <v>0</v>
      </c>
      <c r="JM92">
        <v>241</v>
      </c>
      <c r="JN92">
        <v>0</v>
      </c>
      <c r="JO92">
        <v>0</v>
      </c>
      <c r="JP92">
        <v>0</v>
      </c>
      <c r="JQ92">
        <v>0</v>
      </c>
      <c r="JR92">
        <v>40327</v>
      </c>
      <c r="JS92">
        <v>-3140</v>
      </c>
      <c r="JT92">
        <v>0</v>
      </c>
      <c r="JU92">
        <v>0</v>
      </c>
      <c r="JV92">
        <v>0</v>
      </c>
      <c r="JW92">
        <v>-17842</v>
      </c>
      <c r="JX92">
        <v>0</v>
      </c>
      <c r="JY92">
        <v>-112</v>
      </c>
      <c r="JZ92">
        <v>0</v>
      </c>
      <c r="KA92">
        <v>0</v>
      </c>
      <c r="KB92">
        <v>0</v>
      </c>
      <c r="KC92">
        <v>19233</v>
      </c>
      <c r="KD92">
        <v>0</v>
      </c>
      <c r="KE92">
        <v>-11958</v>
      </c>
      <c r="KF92">
        <v>7275</v>
      </c>
      <c r="KG92">
        <v>0</v>
      </c>
      <c r="KH92">
        <v>0</v>
      </c>
      <c r="KI92">
        <v>0</v>
      </c>
      <c r="KJ92">
        <v>0</v>
      </c>
      <c r="KK92">
        <v>-6646</v>
      </c>
      <c r="KL92">
        <v>0</v>
      </c>
      <c r="KM92">
        <v>0</v>
      </c>
      <c r="KN92">
        <v>0</v>
      </c>
      <c r="KO92">
        <v>18181</v>
      </c>
      <c r="KP92">
        <v>14</v>
      </c>
      <c r="KQ92">
        <v>0</v>
      </c>
      <c r="KR92">
        <v>8263</v>
      </c>
      <c r="KS92">
        <v>0</v>
      </c>
      <c r="KT92">
        <v>0</v>
      </c>
      <c r="KU92">
        <v>0</v>
      </c>
      <c r="KV92">
        <v>74866</v>
      </c>
      <c r="KW92">
        <v>3000</v>
      </c>
      <c r="KX92">
        <v>0</v>
      </c>
      <c r="KY92">
        <v>0</v>
      </c>
      <c r="KZ92">
        <v>0</v>
      </c>
      <c r="LA92">
        <v>68220</v>
      </c>
      <c r="LB92">
        <v>3000</v>
      </c>
      <c r="LC92">
        <v>0</v>
      </c>
      <c r="LD92">
        <v>2695</v>
      </c>
      <c r="LE92">
        <v>0</v>
      </c>
      <c r="LF92">
        <v>6875</v>
      </c>
      <c r="LG92">
        <v>-3222</v>
      </c>
      <c r="LH92">
        <v>3918</v>
      </c>
      <c r="LI92">
        <v>10266</v>
      </c>
      <c r="LJ92">
        <v>2060</v>
      </c>
      <c r="LK92">
        <v>4463</v>
      </c>
      <c r="LL92">
        <v>6523</v>
      </c>
      <c r="LM92">
        <v>28</v>
      </c>
      <c r="LN92">
        <v>0</v>
      </c>
      <c r="LO92">
        <v>0</v>
      </c>
      <c r="LP92">
        <v>22364</v>
      </c>
      <c r="LQ92">
        <v>27242</v>
      </c>
      <c r="LR92">
        <v>-4878</v>
      </c>
      <c r="LS92">
        <v>12561</v>
      </c>
      <c r="LT92">
        <v>7683</v>
      </c>
      <c r="LU92">
        <v>0</v>
      </c>
      <c r="LV92">
        <v>45</v>
      </c>
      <c r="LW92">
        <v>0</v>
      </c>
      <c r="LX92">
        <v>0</v>
      </c>
      <c r="LY92">
        <v>30</v>
      </c>
      <c r="LZ92">
        <v>3691</v>
      </c>
      <c r="MA92">
        <v>1192</v>
      </c>
      <c r="MB92">
        <v>6664</v>
      </c>
      <c r="MC92">
        <v>5455</v>
      </c>
      <c r="MD92">
        <v>0</v>
      </c>
      <c r="ME92">
        <v>0</v>
      </c>
      <c r="MF92">
        <v>3112</v>
      </c>
      <c r="MG92">
        <v>-124</v>
      </c>
      <c r="MH92">
        <v>20065</v>
      </c>
      <c r="MI92">
        <v>0</v>
      </c>
      <c r="MJ92">
        <v>0</v>
      </c>
      <c r="MK92">
        <v>0</v>
      </c>
      <c r="ML92">
        <v>0</v>
      </c>
      <c r="MM92">
        <v>0</v>
      </c>
      <c r="MN92">
        <v>0</v>
      </c>
      <c r="MO92">
        <v>0</v>
      </c>
      <c r="MP92">
        <v>0</v>
      </c>
      <c r="MQ92">
        <v>0</v>
      </c>
      <c r="MR92">
        <v>0</v>
      </c>
      <c r="MS92">
        <v>0</v>
      </c>
      <c r="MT92">
        <v>0</v>
      </c>
      <c r="MU92">
        <v>0</v>
      </c>
      <c r="MV92">
        <v>0</v>
      </c>
      <c r="MW92">
        <v>0</v>
      </c>
      <c r="MX92">
        <v>0</v>
      </c>
      <c r="MY92">
        <v>-129</v>
      </c>
      <c r="MZ92">
        <v>61</v>
      </c>
      <c r="NA92">
        <v>-68</v>
      </c>
      <c r="NB92">
        <v>0</v>
      </c>
      <c r="NC92">
        <v>-68</v>
      </c>
      <c r="ND92">
        <v>0</v>
      </c>
      <c r="NE92">
        <v>0</v>
      </c>
      <c r="NF92">
        <v>0</v>
      </c>
      <c r="NG92">
        <v>0</v>
      </c>
      <c r="NH92">
        <v>0</v>
      </c>
      <c r="NI92">
        <v>0</v>
      </c>
      <c r="NJ92">
        <v>0</v>
      </c>
      <c r="NK92">
        <v>0</v>
      </c>
      <c r="NL92">
        <v>0</v>
      </c>
      <c r="NM92">
        <v>0</v>
      </c>
      <c r="NN92">
        <v>0</v>
      </c>
      <c r="NO92">
        <v>0</v>
      </c>
      <c r="NP92">
        <v>0</v>
      </c>
      <c r="NQ92">
        <v>0</v>
      </c>
      <c r="NR92">
        <v>0</v>
      </c>
      <c r="NS92">
        <v>0</v>
      </c>
      <c r="NT92">
        <v>0</v>
      </c>
      <c r="NU92">
        <v>0</v>
      </c>
      <c r="NV92">
        <v>0</v>
      </c>
      <c r="NW92">
        <v>0</v>
      </c>
      <c r="NX92">
        <v>0</v>
      </c>
      <c r="NY92">
        <v>0</v>
      </c>
      <c r="NZ92">
        <v>0</v>
      </c>
      <c r="OA92">
        <v>0</v>
      </c>
      <c r="OB92">
        <v>0</v>
      </c>
      <c r="OC92">
        <v>0</v>
      </c>
      <c r="OD92">
        <v>0</v>
      </c>
      <c r="OE92">
        <v>0</v>
      </c>
      <c r="OF92">
        <v>0</v>
      </c>
      <c r="OG92">
        <v>0</v>
      </c>
      <c r="OH92">
        <v>0</v>
      </c>
      <c r="OI92">
        <v>0</v>
      </c>
      <c r="OJ92">
        <v>0</v>
      </c>
      <c r="OK92">
        <v>0</v>
      </c>
      <c r="OL92">
        <v>0</v>
      </c>
      <c r="OM92">
        <v>0</v>
      </c>
      <c r="ON92">
        <v>0</v>
      </c>
    </row>
    <row r="93" spans="1:404" x14ac:dyDescent="0.25">
      <c r="A93" t="s">
        <v>342</v>
      </c>
      <c r="B93" t="s">
        <v>343</v>
      </c>
      <c r="C93" t="s">
        <v>341</v>
      </c>
      <c r="E93" t="s">
        <v>5418</v>
      </c>
      <c r="F93">
        <v>0</v>
      </c>
      <c r="G93">
        <v>0</v>
      </c>
      <c r="H93">
        <v>0</v>
      </c>
      <c r="I93">
        <v>0</v>
      </c>
      <c r="J93">
        <v>0</v>
      </c>
      <c r="K93">
        <v>0</v>
      </c>
      <c r="L93">
        <v>0</v>
      </c>
      <c r="M93">
        <v>0</v>
      </c>
      <c r="N93">
        <v>0</v>
      </c>
      <c r="O93">
        <v>0</v>
      </c>
      <c r="P93">
        <v>0</v>
      </c>
      <c r="Q93">
        <v>0</v>
      </c>
      <c r="R93">
        <v>0</v>
      </c>
      <c r="S93">
        <v>0</v>
      </c>
      <c r="T93">
        <v>0</v>
      </c>
      <c r="U93">
        <v>0</v>
      </c>
      <c r="V93">
        <v>0</v>
      </c>
      <c r="W93">
        <v>0</v>
      </c>
      <c r="X93">
        <v>0</v>
      </c>
      <c r="Y93">
        <v>0</v>
      </c>
      <c r="Z93">
        <v>0</v>
      </c>
      <c r="AA93">
        <v>-13</v>
      </c>
      <c r="AB93">
        <v>0</v>
      </c>
      <c r="AC93">
        <v>0</v>
      </c>
      <c r="AD93">
        <v>0</v>
      </c>
      <c r="AE93">
        <v>0</v>
      </c>
      <c r="AF93">
        <v>0</v>
      </c>
      <c r="AG93">
        <v>0</v>
      </c>
      <c r="AH93">
        <v>0</v>
      </c>
      <c r="AI93">
        <v>-13</v>
      </c>
      <c r="AJ93">
        <v>0</v>
      </c>
      <c r="AK93">
        <v>0</v>
      </c>
      <c r="AL93">
        <v>0</v>
      </c>
      <c r="AM93">
        <v>0</v>
      </c>
      <c r="AN93">
        <v>0</v>
      </c>
      <c r="AO93">
        <v>0</v>
      </c>
      <c r="AP93">
        <v>0</v>
      </c>
      <c r="AQ93">
        <v>0</v>
      </c>
      <c r="AR93">
        <v>0</v>
      </c>
      <c r="AS93">
        <v>0</v>
      </c>
      <c r="AT93">
        <v>0</v>
      </c>
      <c r="AU93">
        <v>0</v>
      </c>
      <c r="AV93">
        <v>0</v>
      </c>
      <c r="AW93">
        <v>0</v>
      </c>
      <c r="AX93">
        <v>0</v>
      </c>
      <c r="AY93">
        <v>0</v>
      </c>
      <c r="AZ93">
        <v>0</v>
      </c>
      <c r="BA93">
        <v>0</v>
      </c>
      <c r="BB93">
        <v>0</v>
      </c>
      <c r="BC93">
        <v>0</v>
      </c>
      <c r="BD93">
        <v>0</v>
      </c>
      <c r="BE93">
        <v>0</v>
      </c>
      <c r="BF93">
        <v>0</v>
      </c>
      <c r="BG93">
        <v>0</v>
      </c>
      <c r="BH93">
        <v>0</v>
      </c>
      <c r="BI93">
        <v>0</v>
      </c>
      <c r="BJ93">
        <v>0</v>
      </c>
      <c r="BK93">
        <v>0</v>
      </c>
      <c r="BL93">
        <v>0</v>
      </c>
      <c r="BM93">
        <v>0</v>
      </c>
      <c r="BN93">
        <v>0</v>
      </c>
      <c r="BO93">
        <v>0</v>
      </c>
      <c r="BP93">
        <v>0</v>
      </c>
      <c r="BQ93">
        <v>0</v>
      </c>
      <c r="BR93">
        <v>0</v>
      </c>
      <c r="BS93">
        <v>0</v>
      </c>
      <c r="BT93">
        <v>0</v>
      </c>
      <c r="BU93">
        <v>0</v>
      </c>
      <c r="BV93">
        <v>0</v>
      </c>
      <c r="BW93">
        <v>0</v>
      </c>
      <c r="BX93">
        <v>0</v>
      </c>
      <c r="BY93">
        <v>0</v>
      </c>
      <c r="BZ93">
        <v>0</v>
      </c>
      <c r="CA93">
        <v>0</v>
      </c>
      <c r="CB93">
        <v>0</v>
      </c>
      <c r="CC93">
        <v>0</v>
      </c>
      <c r="CD93">
        <v>0</v>
      </c>
      <c r="CE93">
        <v>0</v>
      </c>
      <c r="CF93">
        <v>0</v>
      </c>
      <c r="CG93">
        <v>0</v>
      </c>
      <c r="CH93">
        <v>0</v>
      </c>
      <c r="CI93">
        <v>0</v>
      </c>
      <c r="CJ93">
        <v>0</v>
      </c>
      <c r="CK93">
        <v>0</v>
      </c>
      <c r="CL93">
        <v>0</v>
      </c>
      <c r="CM93">
        <v>0</v>
      </c>
      <c r="CN93">
        <v>0</v>
      </c>
      <c r="CO93">
        <v>0</v>
      </c>
      <c r="CP93">
        <v>0</v>
      </c>
      <c r="CQ93">
        <v>0</v>
      </c>
      <c r="CR93">
        <v>0</v>
      </c>
      <c r="CS93">
        <v>0</v>
      </c>
      <c r="CT93">
        <v>0</v>
      </c>
      <c r="CU93">
        <v>0</v>
      </c>
      <c r="CV93">
        <v>0</v>
      </c>
      <c r="CW93">
        <v>0</v>
      </c>
      <c r="CX93">
        <v>0</v>
      </c>
      <c r="CY93">
        <v>0</v>
      </c>
      <c r="CZ93">
        <v>0</v>
      </c>
      <c r="DA93">
        <v>0</v>
      </c>
      <c r="DB93">
        <v>0</v>
      </c>
      <c r="DC93">
        <v>0</v>
      </c>
      <c r="DD93">
        <v>0</v>
      </c>
      <c r="DE93">
        <v>0</v>
      </c>
      <c r="DF93">
        <v>0</v>
      </c>
      <c r="DG93">
        <v>0</v>
      </c>
      <c r="DH93">
        <v>0</v>
      </c>
      <c r="DI93">
        <v>0</v>
      </c>
      <c r="DJ93">
        <v>0</v>
      </c>
      <c r="DK93">
        <v>0</v>
      </c>
      <c r="DL93">
        <v>0</v>
      </c>
      <c r="DM93">
        <v>0</v>
      </c>
      <c r="DN93">
        <v>0</v>
      </c>
      <c r="DO93">
        <v>0</v>
      </c>
      <c r="DP93">
        <v>0</v>
      </c>
      <c r="DQ93">
        <v>0</v>
      </c>
      <c r="DR93">
        <v>0</v>
      </c>
      <c r="DS93">
        <v>0</v>
      </c>
      <c r="DT93">
        <v>0</v>
      </c>
      <c r="DU93">
        <v>0</v>
      </c>
      <c r="DV93">
        <v>0</v>
      </c>
      <c r="DW93">
        <v>0</v>
      </c>
      <c r="DX93">
        <v>0</v>
      </c>
      <c r="DY93">
        <v>0</v>
      </c>
      <c r="DZ93">
        <v>0</v>
      </c>
      <c r="EA93">
        <v>0</v>
      </c>
      <c r="EB93">
        <v>0</v>
      </c>
      <c r="EC93">
        <v>0</v>
      </c>
      <c r="ED93">
        <v>0</v>
      </c>
      <c r="EE93">
        <v>0</v>
      </c>
      <c r="EF93">
        <v>0</v>
      </c>
      <c r="EG93">
        <v>0</v>
      </c>
      <c r="EH93">
        <v>0</v>
      </c>
      <c r="EI93">
        <v>0</v>
      </c>
      <c r="EJ93">
        <v>0</v>
      </c>
      <c r="EK93">
        <v>0</v>
      </c>
      <c r="EL93">
        <v>0</v>
      </c>
      <c r="EM93">
        <v>0</v>
      </c>
      <c r="EN93">
        <v>0</v>
      </c>
      <c r="EO93">
        <v>0</v>
      </c>
      <c r="EP93">
        <v>0</v>
      </c>
      <c r="EQ93">
        <v>0</v>
      </c>
      <c r="ER93">
        <v>0</v>
      </c>
      <c r="ES93">
        <v>0</v>
      </c>
      <c r="ET93">
        <v>0</v>
      </c>
      <c r="EU93">
        <v>0</v>
      </c>
      <c r="EV93">
        <v>0</v>
      </c>
      <c r="EW93">
        <v>255</v>
      </c>
      <c r="EX93">
        <v>0</v>
      </c>
      <c r="EY93">
        <v>0</v>
      </c>
      <c r="EZ93">
        <v>0</v>
      </c>
      <c r="FA93">
        <v>0</v>
      </c>
      <c r="FB93">
        <v>0</v>
      </c>
      <c r="FC93">
        <v>0</v>
      </c>
      <c r="FD93">
        <v>1836</v>
      </c>
      <c r="FE93">
        <v>0</v>
      </c>
      <c r="FF93">
        <v>251</v>
      </c>
      <c r="FG93">
        <v>0</v>
      </c>
      <c r="FH93">
        <v>2342</v>
      </c>
      <c r="FI93">
        <v>0</v>
      </c>
      <c r="FJ93">
        <v>0</v>
      </c>
      <c r="FK93">
        <v>0</v>
      </c>
      <c r="FL93">
        <v>0</v>
      </c>
      <c r="FM93">
        <v>0</v>
      </c>
      <c r="FN93">
        <v>0</v>
      </c>
      <c r="FO93">
        <v>0</v>
      </c>
      <c r="FP93">
        <v>0</v>
      </c>
      <c r="FQ93">
        <v>0</v>
      </c>
      <c r="FR93">
        <v>0</v>
      </c>
      <c r="FS93">
        <v>66</v>
      </c>
      <c r="FT93">
        <v>0</v>
      </c>
      <c r="FU93">
        <v>0</v>
      </c>
      <c r="FV93">
        <v>0</v>
      </c>
      <c r="FW93">
        <v>0</v>
      </c>
      <c r="FX93">
        <v>0</v>
      </c>
      <c r="FY93">
        <v>0</v>
      </c>
      <c r="FZ93">
        <v>0</v>
      </c>
      <c r="GA93">
        <v>0</v>
      </c>
      <c r="GB93">
        <v>0</v>
      </c>
      <c r="GC93">
        <v>0</v>
      </c>
      <c r="GD93">
        <v>0</v>
      </c>
      <c r="GE93">
        <v>0</v>
      </c>
      <c r="GF93">
        <v>0</v>
      </c>
      <c r="GG93">
        <v>0</v>
      </c>
      <c r="GH93">
        <v>0</v>
      </c>
      <c r="GI93">
        <v>0</v>
      </c>
      <c r="GJ93">
        <v>0</v>
      </c>
      <c r="GK93">
        <v>66</v>
      </c>
      <c r="GL93">
        <v>0</v>
      </c>
      <c r="GM93">
        <v>575</v>
      </c>
      <c r="GN93">
        <v>0</v>
      </c>
      <c r="GO93">
        <v>262</v>
      </c>
      <c r="GP93">
        <v>0</v>
      </c>
      <c r="GQ93">
        <v>0</v>
      </c>
      <c r="GR93">
        <v>0</v>
      </c>
      <c r="GS93">
        <v>0</v>
      </c>
      <c r="GT93">
        <v>0</v>
      </c>
      <c r="GU93">
        <v>837</v>
      </c>
      <c r="GV93">
        <v>3245</v>
      </c>
      <c r="GW93">
        <v>0</v>
      </c>
      <c r="GX93">
        <v>0</v>
      </c>
      <c r="GY93">
        <v>0</v>
      </c>
      <c r="GZ93">
        <v>0</v>
      </c>
      <c r="HA93">
        <v>0</v>
      </c>
      <c r="HB93">
        <v>308</v>
      </c>
      <c r="HC93">
        <v>0</v>
      </c>
      <c r="HD93">
        <v>0</v>
      </c>
      <c r="HE93">
        <v>0</v>
      </c>
      <c r="HF93">
        <v>0</v>
      </c>
      <c r="HG93">
        <v>0</v>
      </c>
      <c r="HH93">
        <v>0</v>
      </c>
      <c r="HI93">
        <v>0</v>
      </c>
      <c r="HJ93">
        <v>0</v>
      </c>
      <c r="HK93">
        <v>0</v>
      </c>
      <c r="HL93">
        <v>0</v>
      </c>
      <c r="HM93">
        <v>0</v>
      </c>
      <c r="HN93">
        <v>0</v>
      </c>
      <c r="HO93">
        <v>0</v>
      </c>
      <c r="HP93">
        <v>0</v>
      </c>
      <c r="HQ93">
        <v>0</v>
      </c>
      <c r="HR93">
        <v>0</v>
      </c>
      <c r="HS93">
        <v>0</v>
      </c>
      <c r="HT93">
        <v>0</v>
      </c>
      <c r="HU93">
        <v>-2</v>
      </c>
      <c r="HV93">
        <v>306</v>
      </c>
      <c r="HW93">
        <v>0</v>
      </c>
      <c r="HX93">
        <v>850</v>
      </c>
      <c r="HY93">
        <v>0</v>
      </c>
      <c r="HZ93">
        <v>0</v>
      </c>
      <c r="IA93">
        <v>0</v>
      </c>
      <c r="IB93">
        <v>0</v>
      </c>
      <c r="IC93">
        <v>0</v>
      </c>
      <c r="ID93">
        <v>-13</v>
      </c>
      <c r="IE93">
        <v>0</v>
      </c>
      <c r="IF93">
        <v>0</v>
      </c>
      <c r="IG93">
        <v>0</v>
      </c>
      <c r="IH93">
        <v>0</v>
      </c>
      <c r="II93">
        <v>2342</v>
      </c>
      <c r="IJ93">
        <v>66</v>
      </c>
      <c r="IK93">
        <v>837</v>
      </c>
      <c r="IL93">
        <v>0</v>
      </c>
      <c r="IM93">
        <v>0</v>
      </c>
      <c r="IN93">
        <v>306</v>
      </c>
      <c r="IO93">
        <v>0</v>
      </c>
      <c r="IP93">
        <v>3538</v>
      </c>
      <c r="IQ93">
        <v>0</v>
      </c>
      <c r="IR93">
        <v>0</v>
      </c>
      <c r="IS93">
        <v>0</v>
      </c>
      <c r="IT93">
        <v>0</v>
      </c>
      <c r="IU93">
        <v>0</v>
      </c>
      <c r="IV93">
        <v>0</v>
      </c>
      <c r="IW93">
        <v>0</v>
      </c>
      <c r="IX93">
        <v>0</v>
      </c>
      <c r="IY93">
        <v>0</v>
      </c>
      <c r="IZ93">
        <v>0</v>
      </c>
      <c r="JA93">
        <v>0</v>
      </c>
      <c r="JB93">
        <v>0</v>
      </c>
      <c r="JC93">
        <v>0</v>
      </c>
      <c r="JD93">
        <v>0</v>
      </c>
      <c r="JE93">
        <v>0</v>
      </c>
      <c r="JF93">
        <v>0</v>
      </c>
      <c r="JG93">
        <v>3538</v>
      </c>
      <c r="JH93">
        <v>0</v>
      </c>
      <c r="JI93">
        <v>0</v>
      </c>
      <c r="JJ93">
        <v>0</v>
      </c>
      <c r="JK93">
        <v>0</v>
      </c>
      <c r="JL93">
        <v>0</v>
      </c>
      <c r="JM93">
        <v>0</v>
      </c>
      <c r="JN93">
        <v>0</v>
      </c>
      <c r="JO93">
        <v>0</v>
      </c>
      <c r="JP93">
        <v>0</v>
      </c>
      <c r="JQ93">
        <v>0</v>
      </c>
      <c r="JR93">
        <v>3538</v>
      </c>
      <c r="JS93">
        <v>0</v>
      </c>
      <c r="JT93">
        <v>0</v>
      </c>
      <c r="JU93">
        <v>0</v>
      </c>
      <c r="JV93">
        <v>0</v>
      </c>
      <c r="JW93">
        <v>0</v>
      </c>
      <c r="JX93">
        <v>0</v>
      </c>
      <c r="JY93">
        <v>0</v>
      </c>
      <c r="JZ93">
        <v>0</v>
      </c>
      <c r="KA93">
        <v>0</v>
      </c>
      <c r="KB93">
        <v>0</v>
      </c>
      <c r="KC93">
        <v>3538</v>
      </c>
      <c r="KD93">
        <v>0</v>
      </c>
      <c r="KE93">
        <v>-3826</v>
      </c>
      <c r="KF93">
        <v>-288</v>
      </c>
      <c r="KG93">
        <v>0</v>
      </c>
      <c r="KH93">
        <v>0</v>
      </c>
      <c r="KI93">
        <v>0</v>
      </c>
      <c r="KJ93">
        <v>0</v>
      </c>
      <c r="KK93">
        <v>288</v>
      </c>
      <c r="KL93">
        <v>0</v>
      </c>
      <c r="KM93">
        <v>0</v>
      </c>
      <c r="KN93">
        <v>0</v>
      </c>
      <c r="KO93">
        <v>0</v>
      </c>
      <c r="KP93">
        <v>0</v>
      </c>
      <c r="KQ93">
        <v>0</v>
      </c>
      <c r="KR93">
        <v>0</v>
      </c>
      <c r="KS93">
        <v>0</v>
      </c>
      <c r="KT93">
        <v>0</v>
      </c>
      <c r="KU93">
        <v>0</v>
      </c>
      <c r="KV93">
        <v>2249</v>
      </c>
      <c r="KW93">
        <v>500</v>
      </c>
      <c r="KX93">
        <v>0</v>
      </c>
      <c r="KY93">
        <v>0</v>
      </c>
      <c r="KZ93">
        <v>0</v>
      </c>
      <c r="LA93">
        <v>2537</v>
      </c>
      <c r="LB93">
        <v>500</v>
      </c>
      <c r="LC93">
        <v>0</v>
      </c>
      <c r="LD93">
        <v>310</v>
      </c>
      <c r="LE93">
        <v>0</v>
      </c>
      <c r="LF93">
        <v>0</v>
      </c>
      <c r="LG93">
        <v>0</v>
      </c>
      <c r="LH93">
        <v>0</v>
      </c>
      <c r="LI93">
        <v>310</v>
      </c>
      <c r="LJ93">
        <v>0</v>
      </c>
      <c r="LK93">
        <v>0</v>
      </c>
      <c r="LL93">
        <v>0</v>
      </c>
      <c r="LM93">
        <v>0</v>
      </c>
      <c r="LN93">
        <v>0</v>
      </c>
      <c r="LO93">
        <v>0</v>
      </c>
      <c r="LP93">
        <v>0</v>
      </c>
      <c r="LQ93">
        <v>0</v>
      </c>
      <c r="LR93">
        <v>0</v>
      </c>
      <c r="LS93">
        <v>0</v>
      </c>
      <c r="LT93">
        <v>0</v>
      </c>
      <c r="LU93">
        <v>0</v>
      </c>
      <c r="LV93">
        <v>-13</v>
      </c>
      <c r="LW93">
        <v>0</v>
      </c>
      <c r="LX93">
        <v>0</v>
      </c>
      <c r="LY93">
        <v>0</v>
      </c>
      <c r="LZ93">
        <v>0</v>
      </c>
      <c r="MA93">
        <v>2342</v>
      </c>
      <c r="MB93">
        <v>66</v>
      </c>
      <c r="MC93">
        <v>837</v>
      </c>
      <c r="MD93">
        <v>0</v>
      </c>
      <c r="ME93">
        <v>0</v>
      </c>
      <c r="MF93">
        <v>306</v>
      </c>
      <c r="MG93">
        <v>0</v>
      </c>
      <c r="MH93">
        <v>3538</v>
      </c>
      <c r="MI93">
        <v>0</v>
      </c>
      <c r="MJ93">
        <v>0</v>
      </c>
      <c r="MK93">
        <v>0</v>
      </c>
      <c r="ML93">
        <v>0</v>
      </c>
      <c r="MM93">
        <v>0</v>
      </c>
      <c r="MN93">
        <v>0</v>
      </c>
      <c r="MO93">
        <v>0</v>
      </c>
      <c r="MP93">
        <v>0</v>
      </c>
      <c r="MQ93">
        <v>0</v>
      </c>
      <c r="MR93">
        <v>0</v>
      </c>
      <c r="MS93">
        <v>0</v>
      </c>
      <c r="MT93">
        <v>0</v>
      </c>
      <c r="MU93">
        <v>0</v>
      </c>
      <c r="MV93">
        <v>0</v>
      </c>
      <c r="MW93">
        <v>0</v>
      </c>
      <c r="MX93">
        <v>0</v>
      </c>
      <c r="MY93">
        <v>0</v>
      </c>
      <c r="MZ93">
        <v>0</v>
      </c>
      <c r="NA93">
        <v>0</v>
      </c>
      <c r="NB93">
        <v>0</v>
      </c>
      <c r="NC93">
        <v>0</v>
      </c>
      <c r="ND93">
        <v>0</v>
      </c>
      <c r="NE93">
        <v>0</v>
      </c>
      <c r="NF93">
        <v>0</v>
      </c>
      <c r="NG93">
        <v>0</v>
      </c>
      <c r="NH93">
        <v>0</v>
      </c>
      <c r="NI93">
        <v>0</v>
      </c>
      <c r="NJ93">
        <v>0</v>
      </c>
      <c r="NK93">
        <v>0</v>
      </c>
      <c r="NL93">
        <v>0</v>
      </c>
      <c r="NM93">
        <v>0</v>
      </c>
      <c r="NN93">
        <v>0</v>
      </c>
      <c r="NO93">
        <v>0</v>
      </c>
      <c r="NP93">
        <v>0</v>
      </c>
      <c r="NQ93">
        <v>0</v>
      </c>
      <c r="NR93">
        <v>0</v>
      </c>
      <c r="NS93">
        <v>0</v>
      </c>
      <c r="NT93">
        <v>0</v>
      </c>
      <c r="NU93">
        <v>0</v>
      </c>
      <c r="NV93">
        <v>0</v>
      </c>
      <c r="NW93">
        <v>0</v>
      </c>
      <c r="NX93">
        <v>0</v>
      </c>
      <c r="NY93">
        <v>0</v>
      </c>
      <c r="NZ93">
        <v>0</v>
      </c>
      <c r="OA93">
        <v>0</v>
      </c>
      <c r="OB93">
        <v>0</v>
      </c>
      <c r="OC93">
        <v>0</v>
      </c>
      <c r="OD93">
        <v>0</v>
      </c>
      <c r="OE93">
        <v>0</v>
      </c>
      <c r="OF93">
        <v>0</v>
      </c>
      <c r="OG93">
        <v>0</v>
      </c>
      <c r="OH93">
        <v>0</v>
      </c>
      <c r="OI93">
        <v>0</v>
      </c>
      <c r="OJ93">
        <v>0</v>
      </c>
      <c r="OK93">
        <v>0</v>
      </c>
      <c r="OL93">
        <v>0</v>
      </c>
      <c r="OM93">
        <v>0</v>
      </c>
      <c r="ON93">
        <v>0</v>
      </c>
    </row>
    <row r="94" spans="1:404" x14ac:dyDescent="0.25">
      <c r="A94" t="s">
        <v>346</v>
      </c>
      <c r="B94" t="s">
        <v>347</v>
      </c>
      <c r="C94" t="s">
        <v>5419</v>
      </c>
      <c r="E94" t="s">
        <v>125</v>
      </c>
      <c r="F94">
        <v>18361</v>
      </c>
      <c r="G94">
        <v>45947</v>
      </c>
      <c r="H94">
        <v>28281</v>
      </c>
      <c r="I94">
        <v>30991</v>
      </c>
      <c r="J94">
        <v>2789</v>
      </c>
      <c r="K94">
        <v>17144</v>
      </c>
      <c r="L94">
        <v>143513</v>
      </c>
      <c r="M94">
        <v>3113</v>
      </c>
      <c r="N94">
        <v>413</v>
      </c>
      <c r="O94">
        <v>0</v>
      </c>
      <c r="P94">
        <v>240</v>
      </c>
      <c r="Q94">
        <v>32</v>
      </c>
      <c r="R94">
        <v>260</v>
      </c>
      <c r="S94">
        <v>89</v>
      </c>
      <c r="T94">
        <v>9</v>
      </c>
      <c r="U94">
        <v>7771</v>
      </c>
      <c r="V94">
        <v>0</v>
      </c>
      <c r="W94">
        <v>0</v>
      </c>
      <c r="X94">
        <v>725</v>
      </c>
      <c r="Y94">
        <v>1101</v>
      </c>
      <c r="Z94">
        <v>-843</v>
      </c>
      <c r="AA94">
        <v>-1263</v>
      </c>
      <c r="AB94">
        <v>5171</v>
      </c>
      <c r="AC94">
        <v>0</v>
      </c>
      <c r="AD94">
        <v>0</v>
      </c>
      <c r="AE94">
        <v>0</v>
      </c>
      <c r="AF94">
        <v>0</v>
      </c>
      <c r="AG94">
        <v>303</v>
      </c>
      <c r="AH94">
        <v>0</v>
      </c>
      <c r="AI94">
        <v>17121</v>
      </c>
      <c r="AJ94">
        <v>0</v>
      </c>
      <c r="AK94">
        <v>0</v>
      </c>
      <c r="AL94">
        <v>0</v>
      </c>
      <c r="AM94">
        <v>0</v>
      </c>
      <c r="AN94">
        <v>0</v>
      </c>
      <c r="AO94">
        <v>0</v>
      </c>
      <c r="AP94">
        <v>0</v>
      </c>
      <c r="AQ94">
        <v>2271</v>
      </c>
      <c r="AR94">
        <v>0</v>
      </c>
      <c r="AS94">
        <v>0</v>
      </c>
      <c r="AT94">
        <v>0</v>
      </c>
      <c r="AU94">
        <v>0</v>
      </c>
      <c r="AV94">
        <v>2603</v>
      </c>
      <c r="AW94">
        <v>48022</v>
      </c>
      <c r="AX94">
        <v>1104</v>
      </c>
      <c r="AY94">
        <v>3381</v>
      </c>
      <c r="AZ94">
        <v>1142</v>
      </c>
      <c r="BA94">
        <v>21680</v>
      </c>
      <c r="BB94">
        <v>1066</v>
      </c>
      <c r="BC94">
        <v>1361</v>
      </c>
      <c r="BD94">
        <v>80359</v>
      </c>
      <c r="BE94">
        <v>6508</v>
      </c>
      <c r="BF94">
        <v>16598</v>
      </c>
      <c r="BG94">
        <v>513</v>
      </c>
      <c r="BH94">
        <v>-117</v>
      </c>
      <c r="BI94">
        <v>-73</v>
      </c>
      <c r="BJ94">
        <v>1560</v>
      </c>
      <c r="BK94">
        <v>21979</v>
      </c>
      <c r="BL94">
        <v>2468</v>
      </c>
      <c r="BM94">
        <v>3605</v>
      </c>
      <c r="BN94">
        <v>3485</v>
      </c>
      <c r="BO94">
        <v>177</v>
      </c>
      <c r="BP94">
        <v>0</v>
      </c>
      <c r="BQ94">
        <v>0</v>
      </c>
      <c r="BR94">
        <v>94</v>
      </c>
      <c r="BS94">
        <v>141</v>
      </c>
      <c r="BT94">
        <v>8341</v>
      </c>
      <c r="BU94">
        <v>929</v>
      </c>
      <c r="BV94">
        <v>8936</v>
      </c>
      <c r="BW94">
        <v>75144</v>
      </c>
      <c r="BX94">
        <v>1546</v>
      </c>
      <c r="BY94">
        <v>1077</v>
      </c>
      <c r="BZ94">
        <v>14</v>
      </c>
      <c r="CA94">
        <v>145</v>
      </c>
      <c r="CB94">
        <v>38</v>
      </c>
      <c r="CC94">
        <v>97</v>
      </c>
      <c r="CD94">
        <v>14</v>
      </c>
      <c r="CE94">
        <v>396</v>
      </c>
      <c r="CF94">
        <v>1165</v>
      </c>
      <c r="CG94">
        <v>372</v>
      </c>
      <c r="CH94">
        <v>1165</v>
      </c>
      <c r="CI94">
        <v>1760</v>
      </c>
      <c r="CJ94">
        <v>1977</v>
      </c>
      <c r="CK94">
        <v>15</v>
      </c>
      <c r="CL94">
        <v>15</v>
      </c>
      <c r="CM94">
        <v>88</v>
      </c>
      <c r="CN94">
        <v>32</v>
      </c>
      <c r="CO94">
        <v>15</v>
      </c>
      <c r="CP94">
        <v>839</v>
      </c>
      <c r="CQ94">
        <v>4471</v>
      </c>
      <c r="CR94">
        <v>308</v>
      </c>
      <c r="CS94">
        <v>14</v>
      </c>
      <c r="CT94">
        <v>24</v>
      </c>
      <c r="CU94">
        <v>801</v>
      </c>
      <c r="CV94">
        <v>19955</v>
      </c>
      <c r="CW94">
        <v>0</v>
      </c>
      <c r="CX94">
        <v>0</v>
      </c>
      <c r="CY94">
        <v>0</v>
      </c>
      <c r="CZ94">
        <v>0</v>
      </c>
      <c r="DA94">
        <v>0</v>
      </c>
      <c r="DB94">
        <v>0</v>
      </c>
      <c r="DC94">
        <v>438</v>
      </c>
      <c r="DD94">
        <v>0</v>
      </c>
      <c r="DE94">
        <v>351</v>
      </c>
      <c r="DF94">
        <v>1665</v>
      </c>
      <c r="DG94">
        <v>0</v>
      </c>
      <c r="DH94">
        <v>0</v>
      </c>
      <c r="DI94">
        <v>-351</v>
      </c>
      <c r="DJ94">
        <v>597</v>
      </c>
      <c r="DK94">
        <v>-1</v>
      </c>
      <c r="DL94">
        <v>0</v>
      </c>
      <c r="DM94">
        <v>0</v>
      </c>
      <c r="DN94">
        <v>2443</v>
      </c>
      <c r="DO94">
        <v>-44</v>
      </c>
      <c r="DP94">
        <v>2644</v>
      </c>
      <c r="DQ94">
        <v>0</v>
      </c>
      <c r="DR94">
        <v>0</v>
      </c>
      <c r="DS94">
        <v>0</v>
      </c>
      <c r="DT94">
        <v>3022</v>
      </c>
      <c r="DU94">
        <v>-87</v>
      </c>
      <c r="DV94">
        <v>0</v>
      </c>
      <c r="DW94">
        <v>0</v>
      </c>
      <c r="DX94">
        <v>8033</v>
      </c>
      <c r="DY94">
        <v>53511</v>
      </c>
      <c r="DZ94">
        <v>580</v>
      </c>
      <c r="EA94">
        <v>5234</v>
      </c>
      <c r="EB94">
        <v>487</v>
      </c>
      <c r="EC94">
        <v>0</v>
      </c>
      <c r="ED94">
        <v>26</v>
      </c>
      <c r="EE94">
        <v>0</v>
      </c>
      <c r="EF94">
        <v>0</v>
      </c>
      <c r="EG94">
        <v>8</v>
      </c>
      <c r="EH94">
        <v>16807</v>
      </c>
      <c r="EI94">
        <v>16321</v>
      </c>
      <c r="EJ94">
        <v>1800</v>
      </c>
      <c r="EK94">
        <v>0</v>
      </c>
      <c r="EL94">
        <v>10083</v>
      </c>
      <c r="EM94">
        <v>14921</v>
      </c>
      <c r="EN94">
        <v>0</v>
      </c>
      <c r="EO94">
        <v>65</v>
      </c>
      <c r="EP94">
        <v>0</v>
      </c>
      <c r="EQ94">
        <v>0</v>
      </c>
      <c r="ER94">
        <v>40</v>
      </c>
      <c r="ES94">
        <v>46151</v>
      </c>
      <c r="ET94">
        <v>45960</v>
      </c>
      <c r="EU94">
        <v>0</v>
      </c>
      <c r="EV94">
        <v>1518</v>
      </c>
      <c r="EW94">
        <v>0</v>
      </c>
      <c r="EX94">
        <v>712</v>
      </c>
      <c r="EY94">
        <v>284</v>
      </c>
      <c r="EZ94">
        <v>11</v>
      </c>
      <c r="FA94">
        <v>0</v>
      </c>
      <c r="FB94">
        <v>175</v>
      </c>
      <c r="FC94">
        <v>1766</v>
      </c>
      <c r="FD94">
        <v>1603</v>
      </c>
      <c r="FE94">
        <v>78</v>
      </c>
      <c r="FF94">
        <v>805</v>
      </c>
      <c r="FG94">
        <v>2543</v>
      </c>
      <c r="FH94">
        <v>9495</v>
      </c>
      <c r="FI94">
        <v>-851</v>
      </c>
      <c r="FJ94">
        <v>813</v>
      </c>
      <c r="FK94">
        <v>0</v>
      </c>
      <c r="FL94">
        <v>277</v>
      </c>
      <c r="FM94">
        <v>991</v>
      </c>
      <c r="FN94">
        <v>408</v>
      </c>
      <c r="FO94">
        <v>11</v>
      </c>
      <c r="FP94">
        <v>0</v>
      </c>
      <c r="FQ94">
        <v>0</v>
      </c>
      <c r="FR94">
        <v>38</v>
      </c>
      <c r="FS94">
        <v>0</v>
      </c>
      <c r="FT94">
        <v>5</v>
      </c>
      <c r="FU94">
        <v>-90</v>
      </c>
      <c r="FV94">
        <v>634</v>
      </c>
      <c r="FW94">
        <v>138</v>
      </c>
      <c r="FX94">
        <v>84</v>
      </c>
      <c r="FY94">
        <v>249</v>
      </c>
      <c r="FZ94">
        <v>0</v>
      </c>
      <c r="GA94">
        <v>0</v>
      </c>
      <c r="GB94">
        <v>0</v>
      </c>
      <c r="GC94">
        <v>0</v>
      </c>
      <c r="GD94">
        <v>2747</v>
      </c>
      <c r="GE94">
        <v>3161</v>
      </c>
      <c r="GF94">
        <v>12279</v>
      </c>
      <c r="GG94">
        <v>0</v>
      </c>
      <c r="GH94">
        <v>3161</v>
      </c>
      <c r="GI94">
        <v>0</v>
      </c>
      <c r="GJ94">
        <v>36</v>
      </c>
      <c r="GK94">
        <v>24091</v>
      </c>
      <c r="GL94">
        <v>60</v>
      </c>
      <c r="GM94">
        <v>-3</v>
      </c>
      <c r="GN94">
        <v>229</v>
      </c>
      <c r="GO94">
        <v>658</v>
      </c>
      <c r="GP94">
        <v>0</v>
      </c>
      <c r="GQ94">
        <v>8343</v>
      </c>
      <c r="GR94">
        <v>0</v>
      </c>
      <c r="GS94">
        <v>362</v>
      </c>
      <c r="GT94">
        <v>1379</v>
      </c>
      <c r="GU94">
        <v>11028</v>
      </c>
      <c r="GV94">
        <v>44614</v>
      </c>
      <c r="GW94">
        <v>0</v>
      </c>
      <c r="GX94">
        <v>0</v>
      </c>
      <c r="GY94">
        <v>0</v>
      </c>
      <c r="GZ94">
        <v>0</v>
      </c>
      <c r="HA94">
        <v>0</v>
      </c>
      <c r="HB94">
        <v>1378</v>
      </c>
      <c r="HC94">
        <v>1204</v>
      </c>
      <c r="HD94">
        <v>0</v>
      </c>
      <c r="HE94">
        <v>256</v>
      </c>
      <c r="HF94">
        <v>0</v>
      </c>
      <c r="HG94">
        <v>1020</v>
      </c>
      <c r="HH94">
        <v>0</v>
      </c>
      <c r="HI94">
        <v>47</v>
      </c>
      <c r="HJ94">
        <v>270</v>
      </c>
      <c r="HK94">
        <v>288</v>
      </c>
      <c r="HL94">
        <v>49</v>
      </c>
      <c r="HM94">
        <v>-98</v>
      </c>
      <c r="HN94">
        <v>3289</v>
      </c>
      <c r="HO94">
        <v>0</v>
      </c>
      <c r="HP94">
        <v>1144</v>
      </c>
      <c r="HQ94">
        <v>0</v>
      </c>
      <c r="HR94">
        <v>646</v>
      </c>
      <c r="HS94">
        <v>0</v>
      </c>
      <c r="HT94">
        <v>0</v>
      </c>
      <c r="HU94">
        <v>4207</v>
      </c>
      <c r="HV94">
        <v>13700</v>
      </c>
      <c r="HW94">
        <v>0</v>
      </c>
      <c r="HX94">
        <v>25395</v>
      </c>
      <c r="HY94">
        <v>0</v>
      </c>
      <c r="HZ94">
        <v>4998</v>
      </c>
      <c r="IA94">
        <v>7534</v>
      </c>
      <c r="IB94">
        <v>0</v>
      </c>
      <c r="IC94">
        <v>143513</v>
      </c>
      <c r="ID94">
        <v>17121</v>
      </c>
      <c r="IE94">
        <v>80359</v>
      </c>
      <c r="IF94">
        <v>75144</v>
      </c>
      <c r="IG94">
        <v>19955</v>
      </c>
      <c r="IH94">
        <v>8033</v>
      </c>
      <c r="II94">
        <v>9495</v>
      </c>
      <c r="IJ94">
        <v>24091</v>
      </c>
      <c r="IK94">
        <v>11028</v>
      </c>
      <c r="IL94">
        <v>0</v>
      </c>
      <c r="IM94">
        <v>0</v>
      </c>
      <c r="IN94">
        <v>13700</v>
      </c>
      <c r="IO94">
        <v>0</v>
      </c>
      <c r="IP94">
        <v>402439</v>
      </c>
      <c r="IQ94">
        <v>38465</v>
      </c>
      <c r="IR94">
        <v>951</v>
      </c>
      <c r="IS94">
        <v>23887</v>
      </c>
      <c r="IT94">
        <v>0</v>
      </c>
      <c r="IU94">
        <v>0</v>
      </c>
      <c r="IV94">
        <v>0</v>
      </c>
      <c r="IW94">
        <v>0</v>
      </c>
      <c r="IX94">
        <v>0</v>
      </c>
      <c r="IY94">
        <v>0</v>
      </c>
      <c r="IZ94">
        <v>627</v>
      </c>
      <c r="JA94">
        <v>0</v>
      </c>
      <c r="JB94">
        <v>-201</v>
      </c>
      <c r="JC94">
        <v>0</v>
      </c>
      <c r="JD94">
        <v>0</v>
      </c>
      <c r="JE94">
        <v>0</v>
      </c>
      <c r="JF94">
        <v>0</v>
      </c>
      <c r="JG94">
        <v>466168</v>
      </c>
      <c r="JH94">
        <v>82</v>
      </c>
      <c r="JI94">
        <v>6451</v>
      </c>
      <c r="JJ94">
        <v>0</v>
      </c>
      <c r="JK94">
        <v>-524</v>
      </c>
      <c r="JL94">
        <v>0</v>
      </c>
      <c r="JM94">
        <v>176</v>
      </c>
      <c r="JN94">
        <v>3401</v>
      </c>
      <c r="JO94">
        <v>0</v>
      </c>
      <c r="JP94">
        <v>14926</v>
      </c>
      <c r="JQ94">
        <v>-10083</v>
      </c>
      <c r="JR94">
        <v>480597</v>
      </c>
      <c r="JS94">
        <v>-808</v>
      </c>
      <c r="JT94">
        <v>-3701</v>
      </c>
      <c r="JU94">
        <v>0</v>
      </c>
      <c r="JV94">
        <v>0</v>
      </c>
      <c r="JW94">
        <v>-67442</v>
      </c>
      <c r="JX94">
        <v>0</v>
      </c>
      <c r="JY94">
        <v>0</v>
      </c>
      <c r="JZ94">
        <v>0</v>
      </c>
      <c r="KA94">
        <v>0</v>
      </c>
      <c r="KB94">
        <v>0</v>
      </c>
      <c r="KC94">
        <v>408646</v>
      </c>
      <c r="KD94">
        <v>-148</v>
      </c>
      <c r="KE94">
        <v>-204064</v>
      </c>
      <c r="KF94">
        <v>204434</v>
      </c>
      <c r="KG94">
        <v>0</v>
      </c>
      <c r="KH94">
        <v>-291</v>
      </c>
      <c r="KI94">
        <v>-4211</v>
      </c>
      <c r="KJ94">
        <v>2535</v>
      </c>
      <c r="KK94">
        <v>-17968</v>
      </c>
      <c r="KL94">
        <v>0</v>
      </c>
      <c r="KM94">
        <v>-12798</v>
      </c>
      <c r="KN94">
        <v>0</v>
      </c>
      <c r="KO94">
        <v>-46661</v>
      </c>
      <c r="KP94">
        <v>2171</v>
      </c>
      <c r="KQ94">
        <v>0</v>
      </c>
      <c r="KR94">
        <v>107597</v>
      </c>
      <c r="KS94">
        <v>8868</v>
      </c>
      <c r="KT94">
        <v>4211</v>
      </c>
      <c r="KU94">
        <v>1334</v>
      </c>
      <c r="KV94">
        <v>108524</v>
      </c>
      <c r="KW94">
        <v>8933</v>
      </c>
      <c r="KX94">
        <v>8577</v>
      </c>
      <c r="KY94">
        <v>0</v>
      </c>
      <c r="KZ94">
        <v>3869</v>
      </c>
      <c r="LA94">
        <v>90556</v>
      </c>
      <c r="LB94">
        <v>8933</v>
      </c>
      <c r="LC94">
        <v>0</v>
      </c>
      <c r="LD94">
        <v>35463</v>
      </c>
      <c r="LE94">
        <v>679</v>
      </c>
      <c r="LF94">
        <v>10908</v>
      </c>
      <c r="LG94">
        <v>-25604</v>
      </c>
      <c r="LH94">
        <v>19235</v>
      </c>
      <c r="LI94">
        <v>39151</v>
      </c>
      <c r="LJ94">
        <v>6490</v>
      </c>
      <c r="LK94">
        <v>7212</v>
      </c>
      <c r="LL94">
        <v>13702</v>
      </c>
      <c r="LM94">
        <v>0</v>
      </c>
      <c r="LN94">
        <v>0</v>
      </c>
      <c r="LO94">
        <v>0</v>
      </c>
      <c r="LP94">
        <v>59846</v>
      </c>
      <c r="LQ94">
        <v>60037</v>
      </c>
      <c r="LR94">
        <v>-191</v>
      </c>
      <c r="LS94">
        <v>46151</v>
      </c>
      <c r="LT94">
        <v>45960</v>
      </c>
      <c r="LU94">
        <v>143513</v>
      </c>
      <c r="LV94">
        <v>17121</v>
      </c>
      <c r="LW94">
        <v>80359</v>
      </c>
      <c r="LX94">
        <v>75144</v>
      </c>
      <c r="LY94">
        <v>19955</v>
      </c>
      <c r="LZ94">
        <v>8033</v>
      </c>
      <c r="MA94">
        <v>9495</v>
      </c>
      <c r="MB94">
        <v>24091</v>
      </c>
      <c r="MC94">
        <v>11028</v>
      </c>
      <c r="MD94">
        <v>0</v>
      </c>
      <c r="ME94">
        <v>0</v>
      </c>
      <c r="MF94">
        <v>13700</v>
      </c>
      <c r="MG94">
        <v>0</v>
      </c>
      <c r="MH94">
        <v>402439</v>
      </c>
      <c r="MI94">
        <v>0</v>
      </c>
      <c r="MJ94">
        <v>0</v>
      </c>
      <c r="MK94">
        <v>0</v>
      </c>
      <c r="ML94">
        <v>0</v>
      </c>
      <c r="MM94">
        <v>0</v>
      </c>
      <c r="MN94">
        <v>0</v>
      </c>
      <c r="MO94">
        <v>0</v>
      </c>
      <c r="MP94">
        <v>0</v>
      </c>
      <c r="MQ94">
        <v>0</v>
      </c>
      <c r="MR94">
        <v>0</v>
      </c>
      <c r="MS94">
        <v>0</v>
      </c>
      <c r="MT94">
        <v>0</v>
      </c>
      <c r="MU94">
        <v>0</v>
      </c>
      <c r="MV94">
        <v>0</v>
      </c>
      <c r="MW94">
        <v>0</v>
      </c>
      <c r="MX94">
        <v>0</v>
      </c>
      <c r="MY94">
        <v>0</v>
      </c>
      <c r="MZ94">
        <v>0</v>
      </c>
      <c r="NA94">
        <v>0</v>
      </c>
      <c r="NB94">
        <v>0</v>
      </c>
      <c r="NC94">
        <v>0</v>
      </c>
      <c r="ND94">
        <v>0</v>
      </c>
      <c r="NE94">
        <v>0</v>
      </c>
      <c r="NF94">
        <v>0</v>
      </c>
      <c r="NG94">
        <v>0</v>
      </c>
      <c r="NH94">
        <v>0</v>
      </c>
      <c r="NI94">
        <v>0</v>
      </c>
      <c r="NJ94">
        <v>0</v>
      </c>
      <c r="NK94">
        <v>0</v>
      </c>
      <c r="NL94">
        <v>0</v>
      </c>
      <c r="NM94">
        <v>0</v>
      </c>
      <c r="NN94">
        <v>-163</v>
      </c>
      <c r="NO94">
        <v>0</v>
      </c>
      <c r="NP94">
        <v>0</v>
      </c>
      <c r="NQ94">
        <v>0</v>
      </c>
      <c r="NR94">
        <v>0</v>
      </c>
      <c r="NS94">
        <v>0</v>
      </c>
      <c r="NT94">
        <v>-38</v>
      </c>
      <c r="NU94">
        <v>0</v>
      </c>
      <c r="NV94">
        <v>0</v>
      </c>
      <c r="NW94">
        <v>0</v>
      </c>
      <c r="NX94">
        <v>0</v>
      </c>
      <c r="NY94">
        <v>0</v>
      </c>
      <c r="NZ94">
        <v>-201</v>
      </c>
      <c r="OA94">
        <v>0</v>
      </c>
      <c r="OB94">
        <v>-201</v>
      </c>
      <c r="OC94">
        <v>0</v>
      </c>
      <c r="OD94">
        <v>0</v>
      </c>
      <c r="OE94">
        <v>0</v>
      </c>
      <c r="OF94">
        <v>0</v>
      </c>
      <c r="OG94">
        <v>0</v>
      </c>
      <c r="OH94">
        <v>0</v>
      </c>
      <c r="OI94">
        <v>0</v>
      </c>
      <c r="OJ94">
        <v>0</v>
      </c>
      <c r="OK94">
        <v>0</v>
      </c>
      <c r="OL94">
        <v>0</v>
      </c>
      <c r="OM94">
        <v>0</v>
      </c>
      <c r="ON94">
        <v>0</v>
      </c>
    </row>
    <row r="95" spans="1:404" x14ac:dyDescent="0.25">
      <c r="A95" t="s">
        <v>349</v>
      </c>
      <c r="B95" t="s">
        <v>350</v>
      </c>
      <c r="C95" t="s">
        <v>348</v>
      </c>
      <c r="E95" t="s">
        <v>1942</v>
      </c>
      <c r="F95">
        <v>42538</v>
      </c>
      <c r="G95">
        <v>247977</v>
      </c>
      <c r="H95">
        <v>86521</v>
      </c>
      <c r="I95">
        <v>27358</v>
      </c>
      <c r="J95">
        <v>3750</v>
      </c>
      <c r="K95">
        <v>44552</v>
      </c>
      <c r="L95">
        <v>452696</v>
      </c>
      <c r="M95">
        <v>-174</v>
      </c>
      <c r="N95">
        <v>144</v>
      </c>
      <c r="O95">
        <v>115</v>
      </c>
      <c r="P95">
        <v>-467</v>
      </c>
      <c r="Q95">
        <v>509</v>
      </c>
      <c r="R95">
        <v>2185</v>
      </c>
      <c r="S95">
        <v>9906</v>
      </c>
      <c r="T95">
        <v>2541</v>
      </c>
      <c r="U95">
        <v>2486</v>
      </c>
      <c r="V95">
        <v>0</v>
      </c>
      <c r="W95">
        <v>0</v>
      </c>
      <c r="X95">
        <v>375</v>
      </c>
      <c r="Y95">
        <v>129</v>
      </c>
      <c r="Z95">
        <v>139</v>
      </c>
      <c r="AA95">
        <v>-11</v>
      </c>
      <c r="AB95">
        <v>10238</v>
      </c>
      <c r="AC95">
        <v>49</v>
      </c>
      <c r="AD95">
        <v>7409</v>
      </c>
      <c r="AE95">
        <v>7</v>
      </c>
      <c r="AF95">
        <v>0</v>
      </c>
      <c r="AG95">
        <v>490</v>
      </c>
      <c r="AH95">
        <v>0</v>
      </c>
      <c r="AI95">
        <v>36070</v>
      </c>
      <c r="AJ95">
        <v>0</v>
      </c>
      <c r="AK95">
        <v>0</v>
      </c>
      <c r="AL95">
        <v>0</v>
      </c>
      <c r="AM95">
        <v>0</v>
      </c>
      <c r="AN95">
        <v>0</v>
      </c>
      <c r="AO95">
        <v>0</v>
      </c>
      <c r="AP95">
        <v>0</v>
      </c>
      <c r="AQ95">
        <v>546</v>
      </c>
      <c r="AR95">
        <v>91</v>
      </c>
      <c r="AS95">
        <v>0</v>
      </c>
      <c r="AT95">
        <v>0</v>
      </c>
      <c r="AU95">
        <v>0</v>
      </c>
      <c r="AV95">
        <v>153</v>
      </c>
      <c r="AW95">
        <v>91570</v>
      </c>
      <c r="AX95">
        <v>1584</v>
      </c>
      <c r="AY95">
        <v>16517</v>
      </c>
      <c r="AZ95">
        <v>2439</v>
      </c>
      <c r="BA95">
        <v>24785</v>
      </c>
      <c r="BB95">
        <v>115</v>
      </c>
      <c r="BC95">
        <v>6927</v>
      </c>
      <c r="BD95">
        <v>144090</v>
      </c>
      <c r="BE95">
        <v>9694</v>
      </c>
      <c r="BF95">
        <v>90486</v>
      </c>
      <c r="BG95">
        <v>1035</v>
      </c>
      <c r="BH95">
        <v>3626</v>
      </c>
      <c r="BI95">
        <v>861</v>
      </c>
      <c r="BJ95">
        <v>12606</v>
      </c>
      <c r="BK95">
        <v>75672</v>
      </c>
      <c r="BL95">
        <v>12454</v>
      </c>
      <c r="BM95">
        <v>8446</v>
      </c>
      <c r="BN95">
        <v>7768</v>
      </c>
      <c r="BO95">
        <v>51</v>
      </c>
      <c r="BP95">
        <v>-54</v>
      </c>
      <c r="BQ95">
        <v>2831</v>
      </c>
      <c r="BR95">
        <v>766</v>
      </c>
      <c r="BS95">
        <v>8371</v>
      </c>
      <c r="BT95">
        <v>18871</v>
      </c>
      <c r="BU95">
        <v>6515</v>
      </c>
      <c r="BV95">
        <v>28252</v>
      </c>
      <c r="BW95">
        <v>311366</v>
      </c>
      <c r="BX95">
        <v>3323</v>
      </c>
      <c r="BY95">
        <v>2753</v>
      </c>
      <c r="BZ95">
        <v>771</v>
      </c>
      <c r="CA95">
        <v>283</v>
      </c>
      <c r="CB95">
        <v>262</v>
      </c>
      <c r="CC95">
        <v>131</v>
      </c>
      <c r="CD95">
        <v>612</v>
      </c>
      <c r="CE95">
        <v>2017</v>
      </c>
      <c r="CF95">
        <v>466</v>
      </c>
      <c r="CG95">
        <v>1295</v>
      </c>
      <c r="CH95">
        <v>544</v>
      </c>
      <c r="CI95">
        <v>5199</v>
      </c>
      <c r="CJ95">
        <v>644</v>
      </c>
      <c r="CK95">
        <v>496</v>
      </c>
      <c r="CL95">
        <v>855</v>
      </c>
      <c r="CM95">
        <v>684</v>
      </c>
      <c r="CN95">
        <v>1272</v>
      </c>
      <c r="CO95">
        <v>78</v>
      </c>
      <c r="CP95">
        <v>4309</v>
      </c>
      <c r="CQ95">
        <v>9107</v>
      </c>
      <c r="CR95">
        <v>3124</v>
      </c>
      <c r="CS95">
        <v>491</v>
      </c>
      <c r="CT95">
        <v>2602</v>
      </c>
      <c r="CU95">
        <v>2964</v>
      </c>
      <c r="CV95">
        <v>54109</v>
      </c>
      <c r="CW95">
        <v>86</v>
      </c>
      <c r="CX95">
        <v>0</v>
      </c>
      <c r="CY95">
        <v>44</v>
      </c>
      <c r="CZ95">
        <v>0</v>
      </c>
      <c r="DA95">
        <v>0</v>
      </c>
      <c r="DB95">
        <v>0</v>
      </c>
      <c r="DC95">
        <v>0</v>
      </c>
      <c r="DD95">
        <v>0</v>
      </c>
      <c r="DE95">
        <v>0</v>
      </c>
      <c r="DF95">
        <v>0</v>
      </c>
      <c r="DG95">
        <v>0</v>
      </c>
      <c r="DH95">
        <v>0</v>
      </c>
      <c r="DI95">
        <v>0</v>
      </c>
      <c r="DJ95">
        <v>0</v>
      </c>
      <c r="DK95">
        <v>0</v>
      </c>
      <c r="DL95">
        <v>0</v>
      </c>
      <c r="DM95">
        <v>0</v>
      </c>
      <c r="DN95">
        <v>0</v>
      </c>
      <c r="DO95">
        <v>0</v>
      </c>
      <c r="DP95">
        <v>0</v>
      </c>
      <c r="DQ95">
        <v>0</v>
      </c>
      <c r="DR95">
        <v>0</v>
      </c>
      <c r="DS95">
        <v>0</v>
      </c>
      <c r="DT95">
        <v>0</v>
      </c>
      <c r="DU95">
        <v>21</v>
      </c>
      <c r="DV95">
        <v>2946</v>
      </c>
      <c r="DW95">
        <v>0</v>
      </c>
      <c r="DX95">
        <v>2967</v>
      </c>
      <c r="DY95">
        <v>0</v>
      </c>
      <c r="DZ95">
        <v>0</v>
      </c>
      <c r="EA95">
        <v>0</v>
      </c>
      <c r="EB95">
        <v>0</v>
      </c>
      <c r="EC95">
        <v>0</v>
      </c>
      <c r="ED95">
        <v>0</v>
      </c>
      <c r="EE95">
        <v>0</v>
      </c>
      <c r="EF95">
        <v>0</v>
      </c>
      <c r="EG95">
        <v>0</v>
      </c>
      <c r="EH95">
        <v>0</v>
      </c>
      <c r="EI95">
        <v>0</v>
      </c>
      <c r="EJ95">
        <v>0</v>
      </c>
      <c r="EK95">
        <v>0</v>
      </c>
      <c r="EL95">
        <v>0</v>
      </c>
      <c r="EM95">
        <v>0</v>
      </c>
      <c r="EN95">
        <v>0</v>
      </c>
      <c r="EO95">
        <v>0</v>
      </c>
      <c r="EP95">
        <v>0</v>
      </c>
      <c r="EQ95">
        <v>0</v>
      </c>
      <c r="ER95">
        <v>0</v>
      </c>
      <c r="ES95">
        <v>0</v>
      </c>
      <c r="ET95">
        <v>0</v>
      </c>
      <c r="EU95">
        <v>221</v>
      </c>
      <c r="EV95">
        <v>346</v>
      </c>
      <c r="EW95">
        <v>1036</v>
      </c>
      <c r="EX95">
        <v>202</v>
      </c>
      <c r="EY95">
        <v>0</v>
      </c>
      <c r="EZ95">
        <v>0</v>
      </c>
      <c r="FA95">
        <v>0</v>
      </c>
      <c r="FB95">
        <v>0</v>
      </c>
      <c r="FC95">
        <v>0</v>
      </c>
      <c r="FD95">
        <v>3165</v>
      </c>
      <c r="FE95">
        <v>0</v>
      </c>
      <c r="FF95">
        <v>326</v>
      </c>
      <c r="FG95">
        <v>8108</v>
      </c>
      <c r="FH95">
        <v>13404</v>
      </c>
      <c r="FI95">
        <v>0</v>
      </c>
      <c r="FJ95">
        <v>1258</v>
      </c>
      <c r="FK95">
        <v>0</v>
      </c>
      <c r="FL95">
        <v>0</v>
      </c>
      <c r="FM95">
        <v>0</v>
      </c>
      <c r="FN95">
        <v>0</v>
      </c>
      <c r="FO95">
        <v>0</v>
      </c>
      <c r="FP95">
        <v>0</v>
      </c>
      <c r="FQ95">
        <v>0</v>
      </c>
      <c r="FR95">
        <v>0</v>
      </c>
      <c r="FS95">
        <v>0</v>
      </c>
      <c r="FT95">
        <v>0</v>
      </c>
      <c r="FU95">
        <v>-199</v>
      </c>
      <c r="FV95">
        <v>80</v>
      </c>
      <c r="FW95">
        <v>2335</v>
      </c>
      <c r="FX95">
        <v>0</v>
      </c>
      <c r="FY95">
        <v>815</v>
      </c>
      <c r="FZ95">
        <v>0</v>
      </c>
      <c r="GA95">
        <v>0</v>
      </c>
      <c r="GB95">
        <v>0</v>
      </c>
      <c r="GC95">
        <v>0</v>
      </c>
      <c r="GD95">
        <v>0</v>
      </c>
      <c r="GE95">
        <v>0</v>
      </c>
      <c r="GF95">
        <v>35294</v>
      </c>
      <c r="GG95">
        <v>126</v>
      </c>
      <c r="GH95">
        <v>11398</v>
      </c>
      <c r="GI95">
        <v>3</v>
      </c>
      <c r="GJ95">
        <v>208</v>
      </c>
      <c r="GK95">
        <v>51318</v>
      </c>
      <c r="GL95">
        <v>0</v>
      </c>
      <c r="GM95">
        <v>1222</v>
      </c>
      <c r="GN95">
        <v>447</v>
      </c>
      <c r="GO95">
        <v>0</v>
      </c>
      <c r="GP95">
        <v>103</v>
      </c>
      <c r="GQ95">
        <v>-1072</v>
      </c>
      <c r="GR95">
        <v>0</v>
      </c>
      <c r="GS95">
        <v>402</v>
      </c>
      <c r="GT95">
        <v>469</v>
      </c>
      <c r="GU95">
        <v>1571</v>
      </c>
      <c r="GV95">
        <v>66293</v>
      </c>
      <c r="GW95">
        <v>0</v>
      </c>
      <c r="GX95">
        <v>0</v>
      </c>
      <c r="GY95">
        <v>0</v>
      </c>
      <c r="GZ95">
        <v>0</v>
      </c>
      <c r="HA95">
        <v>0</v>
      </c>
      <c r="HB95">
        <v>6165</v>
      </c>
      <c r="HC95">
        <v>0</v>
      </c>
      <c r="HD95">
        <v>0</v>
      </c>
      <c r="HE95">
        <v>0</v>
      </c>
      <c r="HF95">
        <v>0</v>
      </c>
      <c r="HG95">
        <v>0</v>
      </c>
      <c r="HH95">
        <v>0</v>
      </c>
      <c r="HI95">
        <v>-783</v>
      </c>
      <c r="HJ95">
        <v>0</v>
      </c>
      <c r="HK95">
        <v>791</v>
      </c>
      <c r="HL95">
        <v>388</v>
      </c>
      <c r="HM95">
        <v>0</v>
      </c>
      <c r="HN95">
        <v>774</v>
      </c>
      <c r="HO95">
        <v>0</v>
      </c>
      <c r="HP95">
        <v>1667</v>
      </c>
      <c r="HQ95">
        <v>0</v>
      </c>
      <c r="HR95">
        <v>25</v>
      </c>
      <c r="HS95">
        <v>92</v>
      </c>
      <c r="HT95">
        <v>0</v>
      </c>
      <c r="HU95">
        <v>6967</v>
      </c>
      <c r="HV95">
        <v>16086</v>
      </c>
      <c r="HW95">
        <v>11014</v>
      </c>
      <c r="HX95">
        <v>76415</v>
      </c>
      <c r="HY95">
        <v>0</v>
      </c>
      <c r="HZ95">
        <v>0</v>
      </c>
      <c r="IA95">
        <v>0</v>
      </c>
      <c r="IB95">
        <v>13617</v>
      </c>
      <c r="IC95">
        <v>452696</v>
      </c>
      <c r="ID95">
        <v>36070</v>
      </c>
      <c r="IE95">
        <v>144090</v>
      </c>
      <c r="IF95">
        <v>311366</v>
      </c>
      <c r="IG95">
        <v>54109</v>
      </c>
      <c r="IH95">
        <v>2967</v>
      </c>
      <c r="II95">
        <v>13404</v>
      </c>
      <c r="IJ95">
        <v>51318</v>
      </c>
      <c r="IK95">
        <v>1571</v>
      </c>
      <c r="IL95">
        <v>0</v>
      </c>
      <c r="IM95">
        <v>0</v>
      </c>
      <c r="IN95">
        <v>16086</v>
      </c>
      <c r="IO95">
        <v>13617</v>
      </c>
      <c r="IP95">
        <v>1097294</v>
      </c>
      <c r="IQ95">
        <v>0</v>
      </c>
      <c r="IR95">
        <v>0</v>
      </c>
      <c r="IS95">
        <v>0</v>
      </c>
      <c r="IT95">
        <v>0</v>
      </c>
      <c r="IU95">
        <v>0</v>
      </c>
      <c r="IV95">
        <v>0</v>
      </c>
      <c r="IW95">
        <v>0</v>
      </c>
      <c r="IX95">
        <v>0</v>
      </c>
      <c r="IY95">
        <v>0</v>
      </c>
      <c r="IZ95">
        <v>4</v>
      </c>
      <c r="JA95">
        <v>-1499</v>
      </c>
      <c r="JB95">
        <v>-1</v>
      </c>
      <c r="JC95">
        <v>0</v>
      </c>
      <c r="JD95">
        <v>0</v>
      </c>
      <c r="JE95">
        <v>792</v>
      </c>
      <c r="JF95">
        <v>0</v>
      </c>
      <c r="JG95">
        <v>1096590</v>
      </c>
      <c r="JH95">
        <v>350</v>
      </c>
      <c r="JI95">
        <v>363</v>
      </c>
      <c r="JJ95">
        <v>0</v>
      </c>
      <c r="JK95">
        <v>0</v>
      </c>
      <c r="JL95">
        <v>0</v>
      </c>
      <c r="JM95">
        <v>0</v>
      </c>
      <c r="JN95">
        <v>7646</v>
      </c>
      <c r="JO95">
        <v>518</v>
      </c>
      <c r="JP95">
        <v>13993</v>
      </c>
      <c r="JQ95">
        <v>0</v>
      </c>
      <c r="JR95">
        <v>1119460</v>
      </c>
      <c r="JS95">
        <v>-5417</v>
      </c>
      <c r="JT95">
        <v>0</v>
      </c>
      <c r="JU95">
        <v>278</v>
      </c>
      <c r="JV95">
        <v>0</v>
      </c>
      <c r="JW95">
        <v>-12759</v>
      </c>
      <c r="JX95">
        <v>0</v>
      </c>
      <c r="JY95">
        <v>0</v>
      </c>
      <c r="JZ95">
        <v>0</v>
      </c>
      <c r="KA95">
        <v>0</v>
      </c>
      <c r="KB95">
        <v>-3893</v>
      </c>
      <c r="KC95">
        <v>1097669</v>
      </c>
      <c r="KD95">
        <v>-1405</v>
      </c>
      <c r="KE95">
        <v>-592045</v>
      </c>
      <c r="KF95">
        <v>504219</v>
      </c>
      <c r="KG95">
        <v>0</v>
      </c>
      <c r="KH95">
        <v>3419</v>
      </c>
      <c r="KI95">
        <v>0</v>
      </c>
      <c r="KJ95">
        <v>-290</v>
      </c>
      <c r="KK95">
        <v>19851</v>
      </c>
      <c r="KL95">
        <v>-17160</v>
      </c>
      <c r="KM95">
        <v>-13813</v>
      </c>
      <c r="KN95">
        <v>0</v>
      </c>
      <c r="KO95">
        <v>-124609</v>
      </c>
      <c r="KP95">
        <v>275</v>
      </c>
      <c r="KQ95">
        <v>0</v>
      </c>
      <c r="KR95">
        <v>349097</v>
      </c>
      <c r="KS95">
        <v>34925</v>
      </c>
      <c r="KT95">
        <v>0</v>
      </c>
      <c r="KU95">
        <v>8382</v>
      </c>
      <c r="KV95">
        <v>217046</v>
      </c>
      <c r="KW95">
        <v>77665</v>
      </c>
      <c r="KX95">
        <v>38344</v>
      </c>
      <c r="KY95">
        <v>0</v>
      </c>
      <c r="KZ95">
        <v>8092</v>
      </c>
      <c r="LA95">
        <v>236897</v>
      </c>
      <c r="LB95">
        <v>60505</v>
      </c>
      <c r="LC95">
        <v>0</v>
      </c>
      <c r="LD95">
        <v>41134</v>
      </c>
      <c r="LE95">
        <v>0</v>
      </c>
      <c r="LF95">
        <v>24085</v>
      </c>
      <c r="LG95">
        <v>-37789</v>
      </c>
      <c r="LH95">
        <v>15697</v>
      </c>
      <c r="LI95">
        <v>37835</v>
      </c>
      <c r="LJ95">
        <v>0</v>
      </c>
      <c r="LK95">
        <v>0</v>
      </c>
      <c r="LL95">
        <v>0</v>
      </c>
      <c r="LM95">
        <v>0</v>
      </c>
      <c r="LN95">
        <v>0</v>
      </c>
      <c r="LO95">
        <v>0</v>
      </c>
      <c r="LP95">
        <v>0</v>
      </c>
      <c r="LQ95">
        <v>0</v>
      </c>
      <c r="LR95">
        <v>0</v>
      </c>
      <c r="LS95">
        <v>0</v>
      </c>
      <c r="LT95">
        <v>0</v>
      </c>
      <c r="LU95">
        <v>452696</v>
      </c>
      <c r="LV95">
        <v>36070</v>
      </c>
      <c r="LW95">
        <v>144090</v>
      </c>
      <c r="LX95">
        <v>311366</v>
      </c>
      <c r="LY95">
        <v>54109</v>
      </c>
      <c r="LZ95">
        <v>2967</v>
      </c>
      <c r="MA95">
        <v>13404</v>
      </c>
      <c r="MB95">
        <v>51318</v>
      </c>
      <c r="MC95">
        <v>1571</v>
      </c>
      <c r="MD95">
        <v>0</v>
      </c>
      <c r="ME95">
        <v>0</v>
      </c>
      <c r="MF95">
        <v>16086</v>
      </c>
      <c r="MG95">
        <v>13617</v>
      </c>
      <c r="MH95">
        <v>1097294</v>
      </c>
      <c r="MI95">
        <v>0</v>
      </c>
      <c r="MJ95">
        <v>0</v>
      </c>
      <c r="MK95">
        <v>0</v>
      </c>
      <c r="ML95">
        <v>0</v>
      </c>
      <c r="MM95">
        <v>0</v>
      </c>
      <c r="MN95">
        <v>0</v>
      </c>
      <c r="MO95">
        <v>0</v>
      </c>
      <c r="MP95">
        <v>0</v>
      </c>
      <c r="MQ95">
        <v>0</v>
      </c>
      <c r="MR95">
        <v>0</v>
      </c>
      <c r="MS95">
        <v>0</v>
      </c>
      <c r="MT95">
        <v>0</v>
      </c>
      <c r="MU95">
        <v>0</v>
      </c>
      <c r="MV95">
        <v>0</v>
      </c>
      <c r="MW95">
        <v>0</v>
      </c>
      <c r="MX95">
        <v>-1499</v>
      </c>
      <c r="MY95">
        <v>0</v>
      </c>
      <c r="MZ95">
        <v>0</v>
      </c>
      <c r="NA95">
        <v>-1499</v>
      </c>
      <c r="NB95">
        <v>0</v>
      </c>
      <c r="NC95">
        <v>-1499</v>
      </c>
      <c r="ND95">
        <v>0</v>
      </c>
      <c r="NE95">
        <v>0</v>
      </c>
      <c r="NF95">
        <v>0</v>
      </c>
      <c r="NG95">
        <v>0</v>
      </c>
      <c r="NH95">
        <v>0</v>
      </c>
      <c r="NI95">
        <v>0</v>
      </c>
      <c r="NJ95">
        <v>0</v>
      </c>
      <c r="NK95">
        <v>0</v>
      </c>
      <c r="NL95">
        <v>0</v>
      </c>
      <c r="NM95">
        <v>0</v>
      </c>
      <c r="NN95">
        <v>0</v>
      </c>
      <c r="NO95">
        <v>0</v>
      </c>
      <c r="NP95">
        <v>0</v>
      </c>
      <c r="NQ95">
        <v>0</v>
      </c>
      <c r="NR95">
        <v>0</v>
      </c>
      <c r="NS95">
        <v>0</v>
      </c>
      <c r="NT95">
        <v>-1</v>
      </c>
      <c r="NU95">
        <v>0</v>
      </c>
      <c r="NV95">
        <v>0</v>
      </c>
      <c r="NW95">
        <v>0</v>
      </c>
      <c r="NX95">
        <v>0</v>
      </c>
      <c r="NY95">
        <v>0</v>
      </c>
      <c r="NZ95">
        <v>-1</v>
      </c>
      <c r="OA95">
        <v>0</v>
      </c>
      <c r="OB95">
        <v>-1</v>
      </c>
      <c r="OC95">
        <v>0</v>
      </c>
      <c r="OD95">
        <v>0</v>
      </c>
      <c r="OE95">
        <v>0</v>
      </c>
      <c r="OF95">
        <v>0</v>
      </c>
      <c r="OG95">
        <v>0</v>
      </c>
      <c r="OH95">
        <v>0</v>
      </c>
      <c r="OI95">
        <v>0</v>
      </c>
      <c r="OJ95">
        <v>0</v>
      </c>
      <c r="OK95">
        <v>0</v>
      </c>
      <c r="OL95">
        <v>0</v>
      </c>
      <c r="OM95">
        <v>0</v>
      </c>
      <c r="ON95">
        <v>0</v>
      </c>
    </row>
    <row r="96" spans="1:404" x14ac:dyDescent="0.25">
      <c r="A96" t="s">
        <v>352</v>
      </c>
      <c r="B96" t="s">
        <v>353</v>
      </c>
      <c r="C96" t="s">
        <v>5420</v>
      </c>
      <c r="E96" t="s">
        <v>5408</v>
      </c>
      <c r="F96">
        <v>0</v>
      </c>
      <c r="G96">
        <v>0</v>
      </c>
      <c r="H96">
        <v>0</v>
      </c>
      <c r="I96">
        <v>0</v>
      </c>
      <c r="J96">
        <v>0</v>
      </c>
      <c r="K96">
        <v>0</v>
      </c>
      <c r="L96">
        <v>0</v>
      </c>
      <c r="M96">
        <v>0</v>
      </c>
      <c r="N96">
        <v>0</v>
      </c>
      <c r="O96">
        <v>0</v>
      </c>
      <c r="P96">
        <v>0</v>
      </c>
      <c r="Q96">
        <v>0</v>
      </c>
      <c r="R96">
        <v>0</v>
      </c>
      <c r="S96">
        <v>0</v>
      </c>
      <c r="T96">
        <v>0</v>
      </c>
      <c r="U96">
        <v>0</v>
      </c>
      <c r="V96">
        <v>0</v>
      </c>
      <c r="W96">
        <v>0</v>
      </c>
      <c r="X96">
        <v>0</v>
      </c>
      <c r="Y96">
        <v>0</v>
      </c>
      <c r="Z96">
        <v>0</v>
      </c>
      <c r="AA96">
        <v>0</v>
      </c>
      <c r="AB96">
        <v>0</v>
      </c>
      <c r="AC96">
        <v>0</v>
      </c>
      <c r="AD96">
        <v>0</v>
      </c>
      <c r="AE96">
        <v>0</v>
      </c>
      <c r="AF96">
        <v>0</v>
      </c>
      <c r="AG96">
        <v>0</v>
      </c>
      <c r="AH96">
        <v>0</v>
      </c>
      <c r="AI96">
        <v>0</v>
      </c>
      <c r="AJ96">
        <v>0</v>
      </c>
      <c r="AK96">
        <v>0</v>
      </c>
      <c r="AL96">
        <v>0</v>
      </c>
      <c r="AM96">
        <v>0</v>
      </c>
      <c r="AN96">
        <v>0</v>
      </c>
      <c r="AO96">
        <v>0</v>
      </c>
      <c r="AP96">
        <v>0</v>
      </c>
      <c r="AQ96">
        <v>0</v>
      </c>
      <c r="AR96">
        <v>0</v>
      </c>
      <c r="AS96">
        <v>0</v>
      </c>
      <c r="AT96">
        <v>0</v>
      </c>
      <c r="AU96">
        <v>0</v>
      </c>
      <c r="AV96">
        <v>0</v>
      </c>
      <c r="AW96">
        <v>0</v>
      </c>
      <c r="AX96">
        <v>0</v>
      </c>
      <c r="AY96">
        <v>0</v>
      </c>
      <c r="AZ96">
        <v>0</v>
      </c>
      <c r="BA96">
        <v>0</v>
      </c>
      <c r="BB96">
        <v>0</v>
      </c>
      <c r="BC96">
        <v>0</v>
      </c>
      <c r="BD96">
        <v>0</v>
      </c>
      <c r="BE96">
        <v>0</v>
      </c>
      <c r="BF96">
        <v>0</v>
      </c>
      <c r="BG96">
        <v>0</v>
      </c>
      <c r="BH96">
        <v>0</v>
      </c>
      <c r="BI96">
        <v>0</v>
      </c>
      <c r="BJ96">
        <v>0</v>
      </c>
      <c r="BK96">
        <v>0</v>
      </c>
      <c r="BL96">
        <v>0</v>
      </c>
      <c r="BM96">
        <v>0</v>
      </c>
      <c r="BN96">
        <v>0</v>
      </c>
      <c r="BO96">
        <v>0</v>
      </c>
      <c r="BP96">
        <v>0</v>
      </c>
      <c r="BQ96">
        <v>0</v>
      </c>
      <c r="BR96">
        <v>0</v>
      </c>
      <c r="BS96">
        <v>0</v>
      </c>
      <c r="BT96">
        <v>0</v>
      </c>
      <c r="BU96">
        <v>0</v>
      </c>
      <c r="BV96">
        <v>0</v>
      </c>
      <c r="BW96">
        <v>0</v>
      </c>
      <c r="BX96">
        <v>0</v>
      </c>
      <c r="BY96">
        <v>0</v>
      </c>
      <c r="BZ96">
        <v>0</v>
      </c>
      <c r="CA96">
        <v>0</v>
      </c>
      <c r="CB96">
        <v>0</v>
      </c>
      <c r="CC96">
        <v>0</v>
      </c>
      <c r="CD96">
        <v>0</v>
      </c>
      <c r="CE96">
        <v>0</v>
      </c>
      <c r="CF96">
        <v>0</v>
      </c>
      <c r="CG96">
        <v>0</v>
      </c>
      <c r="CH96">
        <v>0</v>
      </c>
      <c r="CI96">
        <v>0</v>
      </c>
      <c r="CJ96">
        <v>0</v>
      </c>
      <c r="CK96">
        <v>0</v>
      </c>
      <c r="CL96">
        <v>0</v>
      </c>
      <c r="CM96">
        <v>0</v>
      </c>
      <c r="CN96">
        <v>0</v>
      </c>
      <c r="CO96">
        <v>0</v>
      </c>
      <c r="CP96">
        <v>0</v>
      </c>
      <c r="CQ96">
        <v>0</v>
      </c>
      <c r="CR96">
        <v>0</v>
      </c>
      <c r="CS96">
        <v>0</v>
      </c>
      <c r="CT96">
        <v>0</v>
      </c>
      <c r="CU96">
        <v>0</v>
      </c>
      <c r="CV96">
        <v>0</v>
      </c>
      <c r="CW96">
        <v>0</v>
      </c>
      <c r="CX96">
        <v>0</v>
      </c>
      <c r="CY96">
        <v>0</v>
      </c>
      <c r="CZ96">
        <v>0</v>
      </c>
      <c r="DA96">
        <v>0</v>
      </c>
      <c r="DB96">
        <v>0</v>
      </c>
      <c r="DC96">
        <v>0</v>
      </c>
      <c r="DD96">
        <v>0</v>
      </c>
      <c r="DE96">
        <v>0</v>
      </c>
      <c r="DF96">
        <v>0</v>
      </c>
      <c r="DG96">
        <v>0</v>
      </c>
      <c r="DH96">
        <v>0</v>
      </c>
      <c r="DI96">
        <v>0</v>
      </c>
      <c r="DJ96">
        <v>0</v>
      </c>
      <c r="DK96">
        <v>0</v>
      </c>
      <c r="DL96">
        <v>0</v>
      </c>
      <c r="DM96">
        <v>0</v>
      </c>
      <c r="DN96">
        <v>0</v>
      </c>
      <c r="DO96">
        <v>0</v>
      </c>
      <c r="DP96">
        <v>0</v>
      </c>
      <c r="DQ96">
        <v>0</v>
      </c>
      <c r="DR96">
        <v>0</v>
      </c>
      <c r="DS96">
        <v>0</v>
      </c>
      <c r="DT96">
        <v>0</v>
      </c>
      <c r="DU96">
        <v>0</v>
      </c>
      <c r="DV96">
        <v>0</v>
      </c>
      <c r="DW96">
        <v>0</v>
      </c>
      <c r="DX96">
        <v>0</v>
      </c>
      <c r="DY96">
        <v>0</v>
      </c>
      <c r="DZ96">
        <v>0</v>
      </c>
      <c r="EA96">
        <v>0</v>
      </c>
      <c r="EB96">
        <v>0</v>
      </c>
      <c r="EC96">
        <v>0</v>
      </c>
      <c r="ED96">
        <v>0</v>
      </c>
      <c r="EE96">
        <v>0</v>
      </c>
      <c r="EF96">
        <v>0</v>
      </c>
      <c r="EG96">
        <v>0</v>
      </c>
      <c r="EH96">
        <v>0</v>
      </c>
      <c r="EI96">
        <v>0</v>
      </c>
      <c r="EJ96">
        <v>0</v>
      </c>
      <c r="EK96">
        <v>0</v>
      </c>
      <c r="EL96">
        <v>0</v>
      </c>
      <c r="EM96">
        <v>0</v>
      </c>
      <c r="EN96">
        <v>0</v>
      </c>
      <c r="EO96">
        <v>0</v>
      </c>
      <c r="EP96">
        <v>0</v>
      </c>
      <c r="EQ96">
        <v>0</v>
      </c>
      <c r="ER96">
        <v>0</v>
      </c>
      <c r="ES96">
        <v>0</v>
      </c>
      <c r="ET96">
        <v>0</v>
      </c>
      <c r="EU96">
        <v>0</v>
      </c>
      <c r="EV96">
        <v>0</v>
      </c>
      <c r="EW96">
        <v>0</v>
      </c>
      <c r="EX96">
        <v>0</v>
      </c>
      <c r="EY96">
        <v>0</v>
      </c>
      <c r="EZ96">
        <v>0</v>
      </c>
      <c r="FA96">
        <v>0</v>
      </c>
      <c r="FB96">
        <v>0</v>
      </c>
      <c r="FC96">
        <v>0</v>
      </c>
      <c r="FD96">
        <v>0</v>
      </c>
      <c r="FE96">
        <v>0</v>
      </c>
      <c r="FF96">
        <v>0</v>
      </c>
      <c r="FG96">
        <v>0</v>
      </c>
      <c r="FH96">
        <v>0</v>
      </c>
      <c r="FI96">
        <v>0</v>
      </c>
      <c r="FJ96">
        <v>0</v>
      </c>
      <c r="FK96">
        <v>0</v>
      </c>
      <c r="FL96">
        <v>0</v>
      </c>
      <c r="FM96">
        <v>0</v>
      </c>
      <c r="FN96">
        <v>0</v>
      </c>
      <c r="FO96">
        <v>0</v>
      </c>
      <c r="FP96">
        <v>0</v>
      </c>
      <c r="FQ96">
        <v>0</v>
      </c>
      <c r="FR96">
        <v>0</v>
      </c>
      <c r="FS96">
        <v>0</v>
      </c>
      <c r="FT96">
        <v>0</v>
      </c>
      <c r="FU96">
        <v>0</v>
      </c>
      <c r="FV96">
        <v>0</v>
      </c>
      <c r="FW96">
        <v>0</v>
      </c>
      <c r="FX96">
        <v>0</v>
      </c>
      <c r="FY96">
        <v>0</v>
      </c>
      <c r="FZ96">
        <v>0</v>
      </c>
      <c r="GA96">
        <v>0</v>
      </c>
      <c r="GB96">
        <v>0</v>
      </c>
      <c r="GC96">
        <v>0</v>
      </c>
      <c r="GD96">
        <v>0</v>
      </c>
      <c r="GE96">
        <v>0</v>
      </c>
      <c r="GF96">
        <v>0</v>
      </c>
      <c r="GG96">
        <v>0</v>
      </c>
      <c r="GH96">
        <v>0</v>
      </c>
      <c r="GI96">
        <v>0</v>
      </c>
      <c r="GJ96">
        <v>0</v>
      </c>
      <c r="GK96">
        <v>0</v>
      </c>
      <c r="GL96">
        <v>0</v>
      </c>
      <c r="GM96">
        <v>0</v>
      </c>
      <c r="GN96">
        <v>0</v>
      </c>
      <c r="GO96">
        <v>0</v>
      </c>
      <c r="GP96">
        <v>0</v>
      </c>
      <c r="GQ96">
        <v>0</v>
      </c>
      <c r="GR96">
        <v>0</v>
      </c>
      <c r="GS96">
        <v>0</v>
      </c>
      <c r="GT96">
        <v>0</v>
      </c>
      <c r="GU96">
        <v>0</v>
      </c>
      <c r="GV96">
        <v>0</v>
      </c>
      <c r="GW96">
        <v>0</v>
      </c>
      <c r="GX96">
        <v>6468</v>
      </c>
      <c r="GY96">
        <v>33358</v>
      </c>
      <c r="GZ96">
        <v>149</v>
      </c>
      <c r="HA96">
        <v>39975</v>
      </c>
      <c r="HB96">
        <v>532</v>
      </c>
      <c r="HC96">
        <v>0</v>
      </c>
      <c r="HD96">
        <v>0</v>
      </c>
      <c r="HE96">
        <v>0</v>
      </c>
      <c r="HF96">
        <v>0</v>
      </c>
      <c r="HG96">
        <v>0</v>
      </c>
      <c r="HH96">
        <v>0</v>
      </c>
      <c r="HI96">
        <v>0</v>
      </c>
      <c r="HJ96">
        <v>0</v>
      </c>
      <c r="HK96">
        <v>0</v>
      </c>
      <c r="HL96">
        <v>0</v>
      </c>
      <c r="HM96">
        <v>0</v>
      </c>
      <c r="HN96">
        <v>0</v>
      </c>
      <c r="HO96">
        <v>0</v>
      </c>
      <c r="HP96">
        <v>0</v>
      </c>
      <c r="HQ96">
        <v>0</v>
      </c>
      <c r="HR96">
        <v>0</v>
      </c>
      <c r="HS96">
        <v>0</v>
      </c>
      <c r="HT96">
        <v>0</v>
      </c>
      <c r="HU96">
        <v>0</v>
      </c>
      <c r="HV96">
        <v>532</v>
      </c>
      <c r="HW96">
        <v>0</v>
      </c>
      <c r="HX96">
        <v>0</v>
      </c>
      <c r="HY96">
        <v>0</v>
      </c>
      <c r="HZ96">
        <v>0</v>
      </c>
      <c r="IA96">
        <v>0</v>
      </c>
      <c r="IB96">
        <v>0</v>
      </c>
      <c r="IC96">
        <v>0</v>
      </c>
      <c r="ID96">
        <v>0</v>
      </c>
      <c r="IE96">
        <v>0</v>
      </c>
      <c r="IF96">
        <v>0</v>
      </c>
      <c r="IG96">
        <v>0</v>
      </c>
      <c r="IH96">
        <v>0</v>
      </c>
      <c r="II96">
        <v>0</v>
      </c>
      <c r="IJ96">
        <v>0</v>
      </c>
      <c r="IK96">
        <v>0</v>
      </c>
      <c r="IL96">
        <v>0</v>
      </c>
      <c r="IM96">
        <v>39975</v>
      </c>
      <c r="IN96">
        <v>532</v>
      </c>
      <c r="IO96">
        <v>0</v>
      </c>
      <c r="IP96">
        <v>40507</v>
      </c>
      <c r="IQ96">
        <v>0</v>
      </c>
      <c r="IR96">
        <v>0</v>
      </c>
      <c r="IS96">
        <v>0</v>
      </c>
      <c r="IT96">
        <v>0</v>
      </c>
      <c r="IU96">
        <v>0</v>
      </c>
      <c r="IV96">
        <v>0</v>
      </c>
      <c r="IW96">
        <v>0</v>
      </c>
      <c r="IX96">
        <v>0</v>
      </c>
      <c r="IY96">
        <v>0</v>
      </c>
      <c r="IZ96">
        <v>0</v>
      </c>
      <c r="JA96">
        <v>0</v>
      </c>
      <c r="JB96">
        <v>0</v>
      </c>
      <c r="JC96">
        <v>0</v>
      </c>
      <c r="JD96">
        <v>0</v>
      </c>
      <c r="JE96">
        <v>22</v>
      </c>
      <c r="JF96">
        <v>0</v>
      </c>
      <c r="JG96">
        <v>40529</v>
      </c>
      <c r="JH96">
        <v>0</v>
      </c>
      <c r="JI96">
        <v>106</v>
      </c>
      <c r="JJ96">
        <v>0</v>
      </c>
      <c r="JK96">
        <v>0</v>
      </c>
      <c r="JL96">
        <v>0</v>
      </c>
      <c r="JM96">
        <v>0</v>
      </c>
      <c r="JN96">
        <v>403</v>
      </c>
      <c r="JO96">
        <v>0</v>
      </c>
      <c r="JP96">
        <v>340</v>
      </c>
      <c r="JQ96">
        <v>0</v>
      </c>
      <c r="JR96">
        <v>41378</v>
      </c>
      <c r="JS96">
        <v>-10</v>
      </c>
      <c r="JT96">
        <v>0</v>
      </c>
      <c r="JU96">
        <v>0</v>
      </c>
      <c r="JV96">
        <v>0</v>
      </c>
      <c r="JW96">
        <v>0</v>
      </c>
      <c r="JX96">
        <v>0</v>
      </c>
      <c r="JY96">
        <v>0</v>
      </c>
      <c r="JZ96">
        <v>0</v>
      </c>
      <c r="KA96">
        <v>0</v>
      </c>
      <c r="KB96">
        <v>0</v>
      </c>
      <c r="KC96">
        <v>41368</v>
      </c>
      <c r="KD96">
        <v>0</v>
      </c>
      <c r="KE96">
        <v>-2320</v>
      </c>
      <c r="KF96">
        <v>39048</v>
      </c>
      <c r="KG96">
        <v>0</v>
      </c>
      <c r="KH96">
        <v>0</v>
      </c>
      <c r="KI96">
        <v>0</v>
      </c>
      <c r="KJ96">
        <v>0</v>
      </c>
      <c r="KK96">
        <v>1557</v>
      </c>
      <c r="KL96">
        <v>0</v>
      </c>
      <c r="KM96">
        <v>-4263</v>
      </c>
      <c r="KN96">
        <v>0</v>
      </c>
      <c r="KO96">
        <v>-9568</v>
      </c>
      <c r="KP96">
        <v>41</v>
      </c>
      <c r="KQ96">
        <v>0</v>
      </c>
      <c r="KR96">
        <v>25521</v>
      </c>
      <c r="KS96">
        <v>0</v>
      </c>
      <c r="KT96">
        <v>0</v>
      </c>
      <c r="KU96">
        <v>0</v>
      </c>
      <c r="KV96">
        <v>8973</v>
      </c>
      <c r="KW96">
        <v>2515</v>
      </c>
      <c r="KX96">
        <v>0</v>
      </c>
      <c r="KY96">
        <v>0</v>
      </c>
      <c r="KZ96">
        <v>0</v>
      </c>
      <c r="LA96">
        <v>10530</v>
      </c>
      <c r="LB96">
        <v>2515</v>
      </c>
      <c r="LC96">
        <v>0</v>
      </c>
      <c r="LD96">
        <v>4110</v>
      </c>
      <c r="LE96">
        <v>2</v>
      </c>
      <c r="LF96">
        <v>-1449</v>
      </c>
      <c r="LG96">
        <v>0</v>
      </c>
      <c r="LH96">
        <v>0</v>
      </c>
      <c r="LI96">
        <v>2663</v>
      </c>
      <c r="LJ96">
        <v>0</v>
      </c>
      <c r="LK96">
        <v>0</v>
      </c>
      <c r="LL96">
        <v>0</v>
      </c>
      <c r="LM96">
        <v>0</v>
      </c>
      <c r="LN96">
        <v>0</v>
      </c>
      <c r="LO96">
        <v>0</v>
      </c>
      <c r="LP96">
        <v>0</v>
      </c>
      <c r="LQ96">
        <v>0</v>
      </c>
      <c r="LR96">
        <v>0</v>
      </c>
      <c r="LS96">
        <v>0</v>
      </c>
      <c r="LT96">
        <v>0</v>
      </c>
      <c r="LU96">
        <v>0</v>
      </c>
      <c r="LV96">
        <v>0</v>
      </c>
      <c r="LW96">
        <v>0</v>
      </c>
      <c r="LX96">
        <v>0</v>
      </c>
      <c r="LY96">
        <v>0</v>
      </c>
      <c r="LZ96">
        <v>0</v>
      </c>
      <c r="MA96">
        <v>0</v>
      </c>
      <c r="MB96">
        <v>0</v>
      </c>
      <c r="MC96">
        <v>0</v>
      </c>
      <c r="MD96">
        <v>0</v>
      </c>
      <c r="ME96">
        <v>39975</v>
      </c>
      <c r="MF96">
        <v>532</v>
      </c>
      <c r="MG96">
        <v>0</v>
      </c>
      <c r="MH96">
        <v>40507</v>
      </c>
      <c r="MI96">
        <v>0</v>
      </c>
      <c r="MJ96">
        <v>0</v>
      </c>
      <c r="MK96">
        <v>0</v>
      </c>
      <c r="ML96">
        <v>0</v>
      </c>
      <c r="MM96">
        <v>0</v>
      </c>
      <c r="MN96">
        <v>0</v>
      </c>
      <c r="MO96">
        <v>0</v>
      </c>
      <c r="MP96">
        <v>0</v>
      </c>
      <c r="MQ96">
        <v>0</v>
      </c>
      <c r="MR96">
        <v>0</v>
      </c>
      <c r="MS96">
        <v>0</v>
      </c>
      <c r="MT96">
        <v>0</v>
      </c>
      <c r="MU96">
        <v>0</v>
      </c>
      <c r="MV96">
        <v>0</v>
      </c>
      <c r="MW96">
        <v>0</v>
      </c>
      <c r="MX96">
        <v>0</v>
      </c>
      <c r="MY96">
        <v>0</v>
      </c>
      <c r="MZ96">
        <v>0</v>
      </c>
      <c r="NA96">
        <v>0</v>
      </c>
      <c r="NB96">
        <v>0</v>
      </c>
      <c r="NC96">
        <v>0</v>
      </c>
      <c r="ND96">
        <v>0</v>
      </c>
      <c r="NE96">
        <v>0</v>
      </c>
      <c r="NF96">
        <v>0</v>
      </c>
      <c r="NG96">
        <v>0</v>
      </c>
      <c r="NH96">
        <v>0</v>
      </c>
      <c r="NI96">
        <v>0</v>
      </c>
      <c r="NJ96">
        <v>0</v>
      </c>
      <c r="NK96">
        <v>0</v>
      </c>
      <c r="NL96">
        <v>0</v>
      </c>
      <c r="NM96">
        <v>0</v>
      </c>
      <c r="NN96">
        <v>0</v>
      </c>
      <c r="NO96">
        <v>0</v>
      </c>
      <c r="NP96">
        <v>0</v>
      </c>
      <c r="NQ96">
        <v>0</v>
      </c>
      <c r="NR96">
        <v>0</v>
      </c>
      <c r="NS96">
        <v>0</v>
      </c>
      <c r="NT96">
        <v>0</v>
      </c>
      <c r="NU96">
        <v>0</v>
      </c>
      <c r="NV96">
        <v>0</v>
      </c>
      <c r="NW96">
        <v>0</v>
      </c>
      <c r="NX96">
        <v>0</v>
      </c>
      <c r="NY96">
        <v>0</v>
      </c>
      <c r="NZ96">
        <v>0</v>
      </c>
      <c r="OA96">
        <v>0</v>
      </c>
      <c r="OB96">
        <v>0</v>
      </c>
      <c r="OC96">
        <v>0</v>
      </c>
      <c r="OD96">
        <v>0</v>
      </c>
      <c r="OE96">
        <v>0</v>
      </c>
      <c r="OF96">
        <v>0</v>
      </c>
      <c r="OG96">
        <v>0</v>
      </c>
      <c r="OH96">
        <v>0</v>
      </c>
      <c r="OI96">
        <v>0</v>
      </c>
      <c r="OJ96">
        <v>0</v>
      </c>
      <c r="OK96">
        <v>0</v>
      </c>
      <c r="OL96">
        <v>0</v>
      </c>
      <c r="OM96">
        <v>0</v>
      </c>
      <c r="ON96">
        <v>0</v>
      </c>
    </row>
    <row r="97" spans="1:404" x14ac:dyDescent="0.25">
      <c r="A97" t="s">
        <v>355</v>
      </c>
      <c r="B97" t="s">
        <v>356</v>
      </c>
      <c r="C97" t="s">
        <v>354</v>
      </c>
      <c r="E97" t="s">
        <v>61</v>
      </c>
      <c r="F97">
        <v>0</v>
      </c>
      <c r="G97">
        <v>0</v>
      </c>
      <c r="H97">
        <v>0</v>
      </c>
      <c r="I97">
        <v>0</v>
      </c>
      <c r="J97">
        <v>0</v>
      </c>
      <c r="K97">
        <v>0</v>
      </c>
      <c r="L97">
        <v>0</v>
      </c>
      <c r="M97">
        <v>0</v>
      </c>
      <c r="N97">
        <v>7</v>
      </c>
      <c r="O97">
        <v>0</v>
      </c>
      <c r="P97">
        <v>0</v>
      </c>
      <c r="Q97">
        <v>0</v>
      </c>
      <c r="R97">
        <v>0</v>
      </c>
      <c r="S97">
        <v>-16</v>
      </c>
      <c r="T97">
        <v>0</v>
      </c>
      <c r="U97">
        <v>0</v>
      </c>
      <c r="V97">
        <v>0</v>
      </c>
      <c r="W97">
        <v>0</v>
      </c>
      <c r="X97">
        <v>0</v>
      </c>
      <c r="Y97">
        <v>-6</v>
      </c>
      <c r="Z97">
        <v>7</v>
      </c>
      <c r="AA97">
        <v>-1360</v>
      </c>
      <c r="AB97">
        <v>-10</v>
      </c>
      <c r="AC97">
        <v>0</v>
      </c>
      <c r="AD97">
        <v>0</v>
      </c>
      <c r="AE97">
        <v>0</v>
      </c>
      <c r="AF97">
        <v>0</v>
      </c>
      <c r="AG97">
        <v>47</v>
      </c>
      <c r="AH97">
        <v>0</v>
      </c>
      <c r="AI97">
        <v>-1331</v>
      </c>
      <c r="AJ97">
        <v>0</v>
      </c>
      <c r="AK97">
        <v>0</v>
      </c>
      <c r="AL97">
        <v>0</v>
      </c>
      <c r="AM97">
        <v>0</v>
      </c>
      <c r="AN97">
        <v>0</v>
      </c>
      <c r="AO97">
        <v>0</v>
      </c>
      <c r="AP97">
        <v>0</v>
      </c>
      <c r="AQ97">
        <v>0</v>
      </c>
      <c r="AR97">
        <v>0</v>
      </c>
      <c r="AS97">
        <v>0</v>
      </c>
      <c r="AT97">
        <v>0</v>
      </c>
      <c r="AU97">
        <v>0</v>
      </c>
      <c r="AV97">
        <v>0</v>
      </c>
      <c r="AW97">
        <v>0</v>
      </c>
      <c r="AX97">
        <v>0</v>
      </c>
      <c r="AY97">
        <v>0</v>
      </c>
      <c r="AZ97">
        <v>0</v>
      </c>
      <c r="BA97">
        <v>0</v>
      </c>
      <c r="BB97">
        <v>0</v>
      </c>
      <c r="BC97">
        <v>0</v>
      </c>
      <c r="BD97">
        <v>0</v>
      </c>
      <c r="BE97">
        <v>0</v>
      </c>
      <c r="BF97">
        <v>0</v>
      </c>
      <c r="BG97">
        <v>0</v>
      </c>
      <c r="BH97">
        <v>0</v>
      </c>
      <c r="BI97">
        <v>0</v>
      </c>
      <c r="BJ97">
        <v>0</v>
      </c>
      <c r="BK97">
        <v>0</v>
      </c>
      <c r="BL97">
        <v>0</v>
      </c>
      <c r="BM97">
        <v>0</v>
      </c>
      <c r="BN97">
        <v>0</v>
      </c>
      <c r="BO97">
        <v>0</v>
      </c>
      <c r="BP97">
        <v>0</v>
      </c>
      <c r="BQ97">
        <v>0</v>
      </c>
      <c r="BR97">
        <v>0</v>
      </c>
      <c r="BS97">
        <v>0</v>
      </c>
      <c r="BT97">
        <v>0</v>
      </c>
      <c r="BU97">
        <v>0</v>
      </c>
      <c r="BV97">
        <v>0</v>
      </c>
      <c r="BW97">
        <v>0</v>
      </c>
      <c r="BX97">
        <v>0</v>
      </c>
      <c r="BY97">
        <v>0</v>
      </c>
      <c r="BZ97">
        <v>0</v>
      </c>
      <c r="CA97">
        <v>0</v>
      </c>
      <c r="CB97">
        <v>0</v>
      </c>
      <c r="CC97">
        <v>0</v>
      </c>
      <c r="CD97">
        <v>0</v>
      </c>
      <c r="CE97">
        <v>0</v>
      </c>
      <c r="CF97">
        <v>0</v>
      </c>
      <c r="CG97">
        <v>0</v>
      </c>
      <c r="CH97">
        <v>0</v>
      </c>
      <c r="CI97">
        <v>0</v>
      </c>
      <c r="CJ97">
        <v>0</v>
      </c>
      <c r="CK97">
        <v>0</v>
      </c>
      <c r="CL97">
        <v>0</v>
      </c>
      <c r="CM97">
        <v>0</v>
      </c>
      <c r="CN97">
        <v>0</v>
      </c>
      <c r="CO97">
        <v>0</v>
      </c>
      <c r="CP97">
        <v>0</v>
      </c>
      <c r="CQ97">
        <v>0</v>
      </c>
      <c r="CR97">
        <v>0</v>
      </c>
      <c r="CS97">
        <v>0</v>
      </c>
      <c r="CT97">
        <v>0</v>
      </c>
      <c r="CU97">
        <v>0</v>
      </c>
      <c r="CV97">
        <v>0</v>
      </c>
      <c r="CW97">
        <v>0</v>
      </c>
      <c r="CX97">
        <v>0</v>
      </c>
      <c r="CY97">
        <v>0</v>
      </c>
      <c r="CZ97">
        <v>0</v>
      </c>
      <c r="DA97">
        <v>0</v>
      </c>
      <c r="DB97">
        <v>0</v>
      </c>
      <c r="DC97">
        <v>577</v>
      </c>
      <c r="DD97">
        <v>0</v>
      </c>
      <c r="DE97">
        <v>56</v>
      </c>
      <c r="DF97">
        <v>0</v>
      </c>
      <c r="DG97">
        <v>0</v>
      </c>
      <c r="DH97">
        <v>0</v>
      </c>
      <c r="DI97">
        <v>0</v>
      </c>
      <c r="DJ97">
        <v>9</v>
      </c>
      <c r="DK97">
        <v>59</v>
      </c>
      <c r="DL97">
        <v>255</v>
      </c>
      <c r="DM97">
        <v>25</v>
      </c>
      <c r="DN97">
        <v>-221</v>
      </c>
      <c r="DO97">
        <v>2</v>
      </c>
      <c r="DP97">
        <v>129</v>
      </c>
      <c r="DQ97">
        <v>0</v>
      </c>
      <c r="DR97">
        <v>0</v>
      </c>
      <c r="DS97">
        <v>0</v>
      </c>
      <c r="DT97">
        <v>299</v>
      </c>
      <c r="DU97">
        <v>0</v>
      </c>
      <c r="DV97">
        <v>0</v>
      </c>
      <c r="DW97">
        <v>0</v>
      </c>
      <c r="DX97">
        <v>1061</v>
      </c>
      <c r="DY97">
        <v>0</v>
      </c>
      <c r="DZ97">
        <v>0</v>
      </c>
      <c r="EA97">
        <v>0</v>
      </c>
      <c r="EB97">
        <v>0</v>
      </c>
      <c r="EC97">
        <v>0</v>
      </c>
      <c r="ED97">
        <v>0</v>
      </c>
      <c r="EE97">
        <v>0</v>
      </c>
      <c r="EF97">
        <v>0</v>
      </c>
      <c r="EG97">
        <v>0</v>
      </c>
      <c r="EH97">
        <v>0</v>
      </c>
      <c r="EI97">
        <v>0</v>
      </c>
      <c r="EJ97">
        <v>0</v>
      </c>
      <c r="EK97">
        <v>0</v>
      </c>
      <c r="EL97">
        <v>0</v>
      </c>
      <c r="EM97">
        <v>0</v>
      </c>
      <c r="EN97">
        <v>0</v>
      </c>
      <c r="EO97">
        <v>0</v>
      </c>
      <c r="EP97">
        <v>0</v>
      </c>
      <c r="EQ97">
        <v>0</v>
      </c>
      <c r="ER97">
        <v>0</v>
      </c>
      <c r="ES97">
        <v>0</v>
      </c>
      <c r="ET97">
        <v>0</v>
      </c>
      <c r="EU97">
        <v>0</v>
      </c>
      <c r="EV97">
        <v>0</v>
      </c>
      <c r="EW97">
        <v>18</v>
      </c>
      <c r="EX97">
        <v>0</v>
      </c>
      <c r="EY97">
        <v>180</v>
      </c>
      <c r="EZ97">
        <v>0</v>
      </c>
      <c r="FA97">
        <v>0</v>
      </c>
      <c r="FB97">
        <v>450</v>
      </c>
      <c r="FC97">
        <v>661</v>
      </c>
      <c r="FD97">
        <v>1062</v>
      </c>
      <c r="FE97">
        <v>0</v>
      </c>
      <c r="FF97">
        <v>139</v>
      </c>
      <c r="FG97">
        <v>0</v>
      </c>
      <c r="FH97">
        <v>2510</v>
      </c>
      <c r="FI97">
        <v>206</v>
      </c>
      <c r="FJ97">
        <v>0</v>
      </c>
      <c r="FK97">
        <v>59</v>
      </c>
      <c r="FL97">
        <v>241</v>
      </c>
      <c r="FM97">
        <v>182</v>
      </c>
      <c r="FN97">
        <v>88</v>
      </c>
      <c r="FO97">
        <v>60</v>
      </c>
      <c r="FP97">
        <v>0</v>
      </c>
      <c r="FQ97">
        <v>0</v>
      </c>
      <c r="FR97">
        <v>32</v>
      </c>
      <c r="FS97">
        <v>493</v>
      </c>
      <c r="FT97">
        <v>59</v>
      </c>
      <c r="FU97">
        <v>40</v>
      </c>
      <c r="FV97">
        <v>33</v>
      </c>
      <c r="FW97">
        <v>34</v>
      </c>
      <c r="FX97">
        <v>59</v>
      </c>
      <c r="FY97">
        <v>0</v>
      </c>
      <c r="FZ97">
        <v>0</v>
      </c>
      <c r="GA97">
        <v>0</v>
      </c>
      <c r="GB97">
        <v>0</v>
      </c>
      <c r="GC97">
        <v>0</v>
      </c>
      <c r="GD97">
        <v>820</v>
      </c>
      <c r="GE97">
        <v>2783</v>
      </c>
      <c r="GF97">
        <v>0</v>
      </c>
      <c r="GG97">
        <v>-68</v>
      </c>
      <c r="GH97">
        <v>-1055</v>
      </c>
      <c r="GI97">
        <v>0</v>
      </c>
      <c r="GJ97">
        <v>106</v>
      </c>
      <c r="GK97">
        <v>4172</v>
      </c>
      <c r="GL97">
        <v>63</v>
      </c>
      <c r="GM97">
        <v>328</v>
      </c>
      <c r="GN97">
        <v>30</v>
      </c>
      <c r="GO97">
        <v>381</v>
      </c>
      <c r="GP97">
        <v>0</v>
      </c>
      <c r="GQ97">
        <v>276</v>
      </c>
      <c r="GR97">
        <v>0</v>
      </c>
      <c r="GS97">
        <v>2276</v>
      </c>
      <c r="GT97">
        <v>35</v>
      </c>
      <c r="GU97">
        <v>3389</v>
      </c>
      <c r="GV97">
        <v>10071</v>
      </c>
      <c r="GW97">
        <v>0</v>
      </c>
      <c r="GX97">
        <v>0</v>
      </c>
      <c r="GY97">
        <v>0</v>
      </c>
      <c r="GZ97">
        <v>0</v>
      </c>
      <c r="HA97">
        <v>0</v>
      </c>
      <c r="HB97">
        <v>902</v>
      </c>
      <c r="HC97">
        <v>339</v>
      </c>
      <c r="HD97">
        <v>0</v>
      </c>
      <c r="HE97">
        <v>49</v>
      </c>
      <c r="HF97">
        <v>277</v>
      </c>
      <c r="HG97">
        <v>75</v>
      </c>
      <c r="HH97">
        <v>0</v>
      </c>
      <c r="HI97">
        <v>0</v>
      </c>
      <c r="HJ97">
        <v>148</v>
      </c>
      <c r="HK97">
        <v>165</v>
      </c>
      <c r="HL97">
        <v>27</v>
      </c>
      <c r="HM97">
        <v>20</v>
      </c>
      <c r="HN97">
        <v>0</v>
      </c>
      <c r="HO97">
        <v>270</v>
      </c>
      <c r="HP97">
        <v>0</v>
      </c>
      <c r="HQ97">
        <v>0</v>
      </c>
      <c r="HR97">
        <v>646</v>
      </c>
      <c r="HS97">
        <v>0</v>
      </c>
      <c r="HT97">
        <v>0</v>
      </c>
      <c r="HU97">
        <v>-1506</v>
      </c>
      <c r="HV97">
        <v>1412</v>
      </c>
      <c r="HW97">
        <v>0</v>
      </c>
      <c r="HX97">
        <v>5367</v>
      </c>
      <c r="HY97">
        <v>0</v>
      </c>
      <c r="HZ97">
        <v>0</v>
      </c>
      <c r="IA97">
        <v>12</v>
      </c>
      <c r="IB97">
        <v>0</v>
      </c>
      <c r="IC97">
        <v>0</v>
      </c>
      <c r="ID97">
        <v>-1331</v>
      </c>
      <c r="IE97">
        <v>0</v>
      </c>
      <c r="IF97">
        <v>0</v>
      </c>
      <c r="IG97">
        <v>0</v>
      </c>
      <c r="IH97">
        <v>1061</v>
      </c>
      <c r="II97">
        <v>2510</v>
      </c>
      <c r="IJ97">
        <v>4172</v>
      </c>
      <c r="IK97">
        <v>3389</v>
      </c>
      <c r="IL97">
        <v>0</v>
      </c>
      <c r="IM97">
        <v>0</v>
      </c>
      <c r="IN97">
        <v>1412</v>
      </c>
      <c r="IO97">
        <v>0</v>
      </c>
      <c r="IP97">
        <v>11213</v>
      </c>
      <c r="IQ97">
        <v>9101</v>
      </c>
      <c r="IR97">
        <v>0</v>
      </c>
      <c r="IS97">
        <v>0</v>
      </c>
      <c r="IT97">
        <v>0</v>
      </c>
      <c r="IU97">
        <v>0</v>
      </c>
      <c r="IV97">
        <v>1826</v>
      </c>
      <c r="IW97">
        <v>0</v>
      </c>
      <c r="IX97">
        <v>0</v>
      </c>
      <c r="IY97">
        <v>0</v>
      </c>
      <c r="IZ97">
        <v>0</v>
      </c>
      <c r="JA97">
        <v>-101</v>
      </c>
      <c r="JB97">
        <v>0</v>
      </c>
      <c r="JC97">
        <v>0</v>
      </c>
      <c r="JD97">
        <v>0</v>
      </c>
      <c r="JE97">
        <v>0</v>
      </c>
      <c r="JF97">
        <v>0</v>
      </c>
      <c r="JG97">
        <v>22039</v>
      </c>
      <c r="JH97">
        <v>0</v>
      </c>
      <c r="JI97">
        <v>1613</v>
      </c>
      <c r="JJ97">
        <v>0</v>
      </c>
      <c r="JK97">
        <v>0</v>
      </c>
      <c r="JL97">
        <v>0</v>
      </c>
      <c r="JM97">
        <v>0</v>
      </c>
      <c r="JN97">
        <v>101</v>
      </c>
      <c r="JO97">
        <v>0</v>
      </c>
      <c r="JP97">
        <v>223</v>
      </c>
      <c r="JQ97">
        <v>0</v>
      </c>
      <c r="JR97">
        <v>23976</v>
      </c>
      <c r="JS97">
        <v>-63</v>
      </c>
      <c r="JT97">
        <v>0</v>
      </c>
      <c r="JU97">
        <v>111</v>
      </c>
      <c r="JV97">
        <v>0</v>
      </c>
      <c r="JW97">
        <v>-9138</v>
      </c>
      <c r="JX97">
        <v>0</v>
      </c>
      <c r="JY97">
        <v>0</v>
      </c>
      <c r="JZ97">
        <v>0</v>
      </c>
      <c r="KA97">
        <v>0</v>
      </c>
      <c r="KB97">
        <v>0</v>
      </c>
      <c r="KC97">
        <v>14886</v>
      </c>
      <c r="KD97">
        <v>0</v>
      </c>
      <c r="KE97">
        <v>-3345</v>
      </c>
      <c r="KF97">
        <v>11541</v>
      </c>
      <c r="KG97">
        <v>0</v>
      </c>
      <c r="KH97">
        <v>0</v>
      </c>
      <c r="KI97">
        <v>0</v>
      </c>
      <c r="KJ97">
        <v>0</v>
      </c>
      <c r="KK97">
        <v>-918</v>
      </c>
      <c r="KL97">
        <v>-278</v>
      </c>
      <c r="KM97">
        <v>0</v>
      </c>
      <c r="KN97">
        <v>0</v>
      </c>
      <c r="KO97">
        <v>-2731</v>
      </c>
      <c r="KP97">
        <v>99</v>
      </c>
      <c r="KQ97">
        <v>3949</v>
      </c>
      <c r="KR97">
        <v>8399</v>
      </c>
      <c r="KS97">
        <v>0</v>
      </c>
      <c r="KT97">
        <v>0</v>
      </c>
      <c r="KU97">
        <v>0</v>
      </c>
      <c r="KV97">
        <v>11644</v>
      </c>
      <c r="KW97">
        <v>11326</v>
      </c>
      <c r="KX97">
        <v>0</v>
      </c>
      <c r="KY97">
        <v>0</v>
      </c>
      <c r="KZ97">
        <v>0</v>
      </c>
      <c r="LA97">
        <v>10726</v>
      </c>
      <c r="LB97">
        <v>11048</v>
      </c>
      <c r="LC97">
        <v>0</v>
      </c>
      <c r="LD97">
        <v>1776</v>
      </c>
      <c r="LE97">
        <v>714</v>
      </c>
      <c r="LF97">
        <v>528</v>
      </c>
      <c r="LG97">
        <v>-1224</v>
      </c>
      <c r="LH97">
        <v>1862</v>
      </c>
      <c r="LI97">
        <v>3656</v>
      </c>
      <c r="LJ97">
        <v>1818</v>
      </c>
      <c r="LK97">
        <v>1793</v>
      </c>
      <c r="LL97">
        <v>3611</v>
      </c>
      <c r="LM97">
        <v>0</v>
      </c>
      <c r="LN97">
        <v>0</v>
      </c>
      <c r="LO97">
        <v>0</v>
      </c>
      <c r="LP97">
        <v>0</v>
      </c>
      <c r="LQ97">
        <v>0</v>
      </c>
      <c r="LR97">
        <v>0</v>
      </c>
      <c r="LS97">
        <v>0</v>
      </c>
      <c r="LT97">
        <v>0</v>
      </c>
      <c r="LU97">
        <v>0</v>
      </c>
      <c r="LV97">
        <v>-1331</v>
      </c>
      <c r="LW97">
        <v>0</v>
      </c>
      <c r="LX97">
        <v>0</v>
      </c>
      <c r="LY97">
        <v>0</v>
      </c>
      <c r="LZ97">
        <v>1061</v>
      </c>
      <c r="MA97">
        <v>2510</v>
      </c>
      <c r="MB97">
        <v>4172</v>
      </c>
      <c r="MC97">
        <v>3389</v>
      </c>
      <c r="MD97">
        <v>0</v>
      </c>
      <c r="ME97">
        <v>0</v>
      </c>
      <c r="MF97">
        <v>1412</v>
      </c>
      <c r="MG97">
        <v>0</v>
      </c>
      <c r="MH97">
        <v>11213</v>
      </c>
      <c r="MI97">
        <v>0</v>
      </c>
      <c r="MJ97">
        <v>0</v>
      </c>
      <c r="MK97">
        <v>0</v>
      </c>
      <c r="ML97">
        <v>0</v>
      </c>
      <c r="MM97">
        <v>0</v>
      </c>
      <c r="MN97">
        <v>0</v>
      </c>
      <c r="MO97">
        <v>0</v>
      </c>
      <c r="MP97">
        <v>0</v>
      </c>
      <c r="MQ97">
        <v>0</v>
      </c>
      <c r="MR97">
        <v>0</v>
      </c>
      <c r="MS97">
        <v>0</v>
      </c>
      <c r="MT97">
        <v>0</v>
      </c>
      <c r="MU97">
        <v>0</v>
      </c>
      <c r="MV97">
        <v>0</v>
      </c>
      <c r="MW97">
        <v>0</v>
      </c>
      <c r="MX97">
        <v>0</v>
      </c>
      <c r="MY97">
        <v>-101</v>
      </c>
      <c r="MZ97">
        <v>0</v>
      </c>
      <c r="NA97">
        <v>-101</v>
      </c>
      <c r="NB97">
        <v>0</v>
      </c>
      <c r="NC97">
        <v>-101</v>
      </c>
      <c r="ND97">
        <v>0</v>
      </c>
      <c r="NE97">
        <v>0</v>
      </c>
      <c r="NF97">
        <v>0</v>
      </c>
      <c r="NG97">
        <v>0</v>
      </c>
      <c r="NH97">
        <v>0</v>
      </c>
      <c r="NI97">
        <v>0</v>
      </c>
      <c r="NJ97">
        <v>0</v>
      </c>
      <c r="NK97">
        <v>0</v>
      </c>
      <c r="NL97">
        <v>0</v>
      </c>
      <c r="NM97">
        <v>0</v>
      </c>
      <c r="NN97">
        <v>0</v>
      </c>
      <c r="NO97">
        <v>0</v>
      </c>
      <c r="NP97">
        <v>0</v>
      </c>
      <c r="NQ97">
        <v>0</v>
      </c>
      <c r="NR97">
        <v>0</v>
      </c>
      <c r="NS97">
        <v>0</v>
      </c>
      <c r="NT97">
        <v>0</v>
      </c>
      <c r="NU97">
        <v>0</v>
      </c>
      <c r="NV97">
        <v>0</v>
      </c>
      <c r="NW97">
        <v>0</v>
      </c>
      <c r="NX97">
        <v>0</v>
      </c>
      <c r="NY97">
        <v>0</v>
      </c>
      <c r="NZ97">
        <v>0</v>
      </c>
      <c r="OA97">
        <v>0</v>
      </c>
      <c r="OB97">
        <v>0</v>
      </c>
      <c r="OC97">
        <v>0</v>
      </c>
      <c r="OD97">
        <v>0</v>
      </c>
      <c r="OE97">
        <v>0</v>
      </c>
      <c r="OF97">
        <v>0</v>
      </c>
      <c r="OG97">
        <v>0</v>
      </c>
      <c r="OH97">
        <v>0</v>
      </c>
      <c r="OI97">
        <v>0</v>
      </c>
      <c r="OJ97">
        <v>0</v>
      </c>
      <c r="OK97">
        <v>0</v>
      </c>
      <c r="OL97">
        <v>0</v>
      </c>
      <c r="OM97">
        <v>0</v>
      </c>
      <c r="ON97">
        <v>0</v>
      </c>
    </row>
    <row r="98" spans="1:404" x14ac:dyDescent="0.25">
      <c r="A98" t="s">
        <v>358</v>
      </c>
      <c r="B98" t="s">
        <v>359</v>
      </c>
      <c r="C98" t="s">
        <v>357</v>
      </c>
      <c r="E98" t="s">
        <v>71</v>
      </c>
      <c r="F98">
        <v>0</v>
      </c>
      <c r="G98">
        <v>0</v>
      </c>
      <c r="H98">
        <v>0</v>
      </c>
      <c r="I98">
        <v>0</v>
      </c>
      <c r="J98">
        <v>0</v>
      </c>
      <c r="K98">
        <v>0</v>
      </c>
      <c r="L98">
        <v>0</v>
      </c>
      <c r="M98">
        <v>0</v>
      </c>
      <c r="N98">
        <v>0</v>
      </c>
      <c r="O98">
        <v>0</v>
      </c>
      <c r="P98">
        <v>0</v>
      </c>
      <c r="Q98">
        <v>0</v>
      </c>
      <c r="R98">
        <v>0</v>
      </c>
      <c r="S98">
        <v>0</v>
      </c>
      <c r="T98">
        <v>0</v>
      </c>
      <c r="U98">
        <v>0</v>
      </c>
      <c r="V98">
        <v>0</v>
      </c>
      <c r="W98">
        <v>0</v>
      </c>
      <c r="X98">
        <v>0</v>
      </c>
      <c r="Y98">
        <v>0</v>
      </c>
      <c r="Z98">
        <v>0</v>
      </c>
      <c r="AA98">
        <v>0</v>
      </c>
      <c r="AB98">
        <v>0</v>
      </c>
      <c r="AC98">
        <v>0</v>
      </c>
      <c r="AD98">
        <v>0</v>
      </c>
      <c r="AE98">
        <v>0</v>
      </c>
      <c r="AF98">
        <v>0</v>
      </c>
      <c r="AG98">
        <v>0</v>
      </c>
      <c r="AH98">
        <v>0</v>
      </c>
      <c r="AI98">
        <v>0</v>
      </c>
      <c r="AJ98">
        <v>0</v>
      </c>
      <c r="AK98">
        <v>0</v>
      </c>
      <c r="AL98">
        <v>0</v>
      </c>
      <c r="AM98">
        <v>0</v>
      </c>
      <c r="AN98">
        <v>0</v>
      </c>
      <c r="AO98">
        <v>0</v>
      </c>
      <c r="AP98">
        <v>0</v>
      </c>
      <c r="AQ98">
        <v>0</v>
      </c>
      <c r="AR98">
        <v>0</v>
      </c>
      <c r="AS98">
        <v>0</v>
      </c>
      <c r="AT98">
        <v>0</v>
      </c>
      <c r="AU98">
        <v>0</v>
      </c>
      <c r="AV98">
        <v>0</v>
      </c>
      <c r="AW98">
        <v>0</v>
      </c>
      <c r="AX98">
        <v>0</v>
      </c>
      <c r="AY98">
        <v>0</v>
      </c>
      <c r="AZ98">
        <v>0</v>
      </c>
      <c r="BA98">
        <v>0</v>
      </c>
      <c r="BB98">
        <v>0</v>
      </c>
      <c r="BC98">
        <v>0</v>
      </c>
      <c r="BD98">
        <v>0</v>
      </c>
      <c r="BE98">
        <v>0</v>
      </c>
      <c r="BF98">
        <v>0</v>
      </c>
      <c r="BG98">
        <v>0</v>
      </c>
      <c r="BH98">
        <v>0</v>
      </c>
      <c r="BI98">
        <v>0</v>
      </c>
      <c r="BJ98">
        <v>0</v>
      </c>
      <c r="BK98">
        <v>0</v>
      </c>
      <c r="BL98">
        <v>0</v>
      </c>
      <c r="BM98">
        <v>0</v>
      </c>
      <c r="BN98">
        <v>0</v>
      </c>
      <c r="BO98">
        <v>0</v>
      </c>
      <c r="BP98">
        <v>0</v>
      </c>
      <c r="BQ98">
        <v>0</v>
      </c>
      <c r="BR98">
        <v>0</v>
      </c>
      <c r="BS98">
        <v>0</v>
      </c>
      <c r="BT98">
        <v>0</v>
      </c>
      <c r="BU98">
        <v>0</v>
      </c>
      <c r="BV98">
        <v>0</v>
      </c>
      <c r="BW98">
        <v>0</v>
      </c>
      <c r="BX98">
        <v>0</v>
      </c>
      <c r="BY98">
        <v>0</v>
      </c>
      <c r="BZ98">
        <v>0</v>
      </c>
      <c r="CA98">
        <v>0</v>
      </c>
      <c r="CB98">
        <v>0</v>
      </c>
      <c r="CC98">
        <v>0</v>
      </c>
      <c r="CD98">
        <v>0</v>
      </c>
      <c r="CE98">
        <v>0</v>
      </c>
      <c r="CF98">
        <v>0</v>
      </c>
      <c r="CG98">
        <v>0</v>
      </c>
      <c r="CH98">
        <v>0</v>
      </c>
      <c r="CI98">
        <v>0</v>
      </c>
      <c r="CJ98">
        <v>0</v>
      </c>
      <c r="CK98">
        <v>0</v>
      </c>
      <c r="CL98">
        <v>0</v>
      </c>
      <c r="CM98">
        <v>0</v>
      </c>
      <c r="CN98">
        <v>0</v>
      </c>
      <c r="CO98">
        <v>0</v>
      </c>
      <c r="CP98">
        <v>0</v>
      </c>
      <c r="CQ98">
        <v>0</v>
      </c>
      <c r="CR98">
        <v>0</v>
      </c>
      <c r="CS98">
        <v>0</v>
      </c>
      <c r="CT98">
        <v>0</v>
      </c>
      <c r="CU98">
        <v>0</v>
      </c>
      <c r="CV98">
        <v>0</v>
      </c>
      <c r="CW98">
        <v>0</v>
      </c>
      <c r="CX98">
        <v>0</v>
      </c>
      <c r="CY98">
        <v>0</v>
      </c>
      <c r="CZ98">
        <v>0</v>
      </c>
      <c r="DA98">
        <v>0</v>
      </c>
      <c r="DB98">
        <v>0</v>
      </c>
      <c r="DC98">
        <v>0</v>
      </c>
      <c r="DD98">
        <v>0</v>
      </c>
      <c r="DE98">
        <v>0</v>
      </c>
      <c r="DF98">
        <v>0</v>
      </c>
      <c r="DG98">
        <v>0</v>
      </c>
      <c r="DH98">
        <v>0</v>
      </c>
      <c r="DI98">
        <v>0</v>
      </c>
      <c r="DJ98">
        <v>0</v>
      </c>
      <c r="DK98">
        <v>0</v>
      </c>
      <c r="DL98">
        <v>0</v>
      </c>
      <c r="DM98">
        <v>0</v>
      </c>
      <c r="DN98">
        <v>0</v>
      </c>
      <c r="DO98">
        <v>0</v>
      </c>
      <c r="DP98">
        <v>0</v>
      </c>
      <c r="DQ98">
        <v>0</v>
      </c>
      <c r="DR98">
        <v>0</v>
      </c>
      <c r="DS98">
        <v>0</v>
      </c>
      <c r="DT98">
        <v>0</v>
      </c>
      <c r="DU98">
        <v>0</v>
      </c>
      <c r="DV98">
        <v>0</v>
      </c>
      <c r="DW98">
        <v>0</v>
      </c>
      <c r="DX98">
        <v>0</v>
      </c>
      <c r="DY98">
        <v>0</v>
      </c>
      <c r="DZ98">
        <v>0</v>
      </c>
      <c r="EA98">
        <v>0</v>
      </c>
      <c r="EB98">
        <v>0</v>
      </c>
      <c r="EC98">
        <v>0</v>
      </c>
      <c r="ED98">
        <v>0</v>
      </c>
      <c r="EE98">
        <v>0</v>
      </c>
      <c r="EF98">
        <v>0</v>
      </c>
      <c r="EG98">
        <v>0</v>
      </c>
      <c r="EH98">
        <v>0</v>
      </c>
      <c r="EI98">
        <v>0</v>
      </c>
      <c r="EJ98">
        <v>0</v>
      </c>
      <c r="EK98">
        <v>0</v>
      </c>
      <c r="EL98">
        <v>0</v>
      </c>
      <c r="EM98">
        <v>0</v>
      </c>
      <c r="EN98">
        <v>0</v>
      </c>
      <c r="EO98">
        <v>0</v>
      </c>
      <c r="EP98">
        <v>0</v>
      </c>
      <c r="EQ98">
        <v>0</v>
      </c>
      <c r="ER98">
        <v>0</v>
      </c>
      <c r="ES98">
        <v>0</v>
      </c>
      <c r="ET98">
        <v>0</v>
      </c>
      <c r="EU98">
        <v>0</v>
      </c>
      <c r="EV98">
        <v>0</v>
      </c>
      <c r="EW98">
        <v>0</v>
      </c>
      <c r="EX98">
        <v>0</v>
      </c>
      <c r="EY98">
        <v>0</v>
      </c>
      <c r="EZ98">
        <v>0</v>
      </c>
      <c r="FA98">
        <v>0</v>
      </c>
      <c r="FB98">
        <v>0</v>
      </c>
      <c r="FC98">
        <v>0</v>
      </c>
      <c r="FD98">
        <v>0</v>
      </c>
      <c r="FE98">
        <v>0</v>
      </c>
      <c r="FF98">
        <v>0</v>
      </c>
      <c r="FG98">
        <v>0</v>
      </c>
      <c r="FH98">
        <v>0</v>
      </c>
      <c r="FI98">
        <v>0</v>
      </c>
      <c r="FJ98">
        <v>0</v>
      </c>
      <c r="FK98">
        <v>0</v>
      </c>
      <c r="FL98">
        <v>0</v>
      </c>
      <c r="FM98">
        <v>0</v>
      </c>
      <c r="FN98">
        <v>0</v>
      </c>
      <c r="FO98">
        <v>0</v>
      </c>
      <c r="FP98">
        <v>0</v>
      </c>
      <c r="FQ98">
        <v>0</v>
      </c>
      <c r="FR98">
        <v>0</v>
      </c>
      <c r="FS98">
        <v>0</v>
      </c>
      <c r="FT98">
        <v>0</v>
      </c>
      <c r="FU98">
        <v>0</v>
      </c>
      <c r="FV98">
        <v>0</v>
      </c>
      <c r="FW98">
        <v>0</v>
      </c>
      <c r="FX98">
        <v>0</v>
      </c>
      <c r="FY98">
        <v>0</v>
      </c>
      <c r="FZ98">
        <v>0</v>
      </c>
      <c r="GA98">
        <v>0</v>
      </c>
      <c r="GB98">
        <v>0</v>
      </c>
      <c r="GC98">
        <v>0</v>
      </c>
      <c r="GD98">
        <v>0</v>
      </c>
      <c r="GE98">
        <v>0</v>
      </c>
      <c r="GF98">
        <v>0</v>
      </c>
      <c r="GG98">
        <v>0</v>
      </c>
      <c r="GH98">
        <v>0</v>
      </c>
      <c r="GI98">
        <v>0</v>
      </c>
      <c r="GJ98">
        <v>0</v>
      </c>
      <c r="GK98">
        <v>0</v>
      </c>
      <c r="GL98">
        <v>0</v>
      </c>
      <c r="GM98">
        <v>0</v>
      </c>
      <c r="GN98">
        <v>0</v>
      </c>
      <c r="GO98">
        <v>0</v>
      </c>
      <c r="GP98">
        <v>0</v>
      </c>
      <c r="GQ98">
        <v>0</v>
      </c>
      <c r="GR98">
        <v>0</v>
      </c>
      <c r="GS98">
        <v>0</v>
      </c>
      <c r="GT98">
        <v>0</v>
      </c>
      <c r="GU98">
        <v>0</v>
      </c>
      <c r="GV98">
        <v>0</v>
      </c>
      <c r="GW98">
        <v>200275</v>
      </c>
      <c r="GX98">
        <v>0</v>
      </c>
      <c r="GY98">
        <v>0</v>
      </c>
      <c r="GZ98">
        <v>0</v>
      </c>
      <c r="HA98">
        <v>0</v>
      </c>
      <c r="HB98">
        <v>980</v>
      </c>
      <c r="HC98">
        <v>0</v>
      </c>
      <c r="HD98">
        <v>0</v>
      </c>
      <c r="HE98">
        <v>0</v>
      </c>
      <c r="HF98">
        <v>0</v>
      </c>
      <c r="HG98">
        <v>0</v>
      </c>
      <c r="HH98">
        <v>0</v>
      </c>
      <c r="HI98">
        <v>0</v>
      </c>
      <c r="HJ98">
        <v>0</v>
      </c>
      <c r="HK98">
        <v>0</v>
      </c>
      <c r="HL98">
        <v>0</v>
      </c>
      <c r="HM98">
        <v>0</v>
      </c>
      <c r="HN98">
        <v>0</v>
      </c>
      <c r="HO98">
        <v>0</v>
      </c>
      <c r="HP98">
        <v>0</v>
      </c>
      <c r="HQ98">
        <v>0</v>
      </c>
      <c r="HR98">
        <v>0</v>
      </c>
      <c r="HS98">
        <v>0</v>
      </c>
      <c r="HT98">
        <v>0</v>
      </c>
      <c r="HU98">
        <v>0</v>
      </c>
      <c r="HV98">
        <v>980</v>
      </c>
      <c r="HW98">
        <v>0</v>
      </c>
      <c r="HX98">
        <v>0</v>
      </c>
      <c r="HY98">
        <v>0</v>
      </c>
      <c r="HZ98">
        <v>0</v>
      </c>
      <c r="IA98">
        <v>0</v>
      </c>
      <c r="IB98">
        <v>0</v>
      </c>
      <c r="IC98">
        <v>0</v>
      </c>
      <c r="ID98">
        <v>0</v>
      </c>
      <c r="IE98">
        <v>0</v>
      </c>
      <c r="IF98">
        <v>0</v>
      </c>
      <c r="IG98">
        <v>0</v>
      </c>
      <c r="IH98">
        <v>0</v>
      </c>
      <c r="II98">
        <v>0</v>
      </c>
      <c r="IJ98">
        <v>0</v>
      </c>
      <c r="IK98">
        <v>0</v>
      </c>
      <c r="IL98">
        <v>200275</v>
      </c>
      <c r="IM98">
        <v>0</v>
      </c>
      <c r="IN98">
        <v>980</v>
      </c>
      <c r="IO98">
        <v>0</v>
      </c>
      <c r="IP98">
        <v>201255</v>
      </c>
      <c r="IQ98">
        <v>0</v>
      </c>
      <c r="IR98">
        <v>0</v>
      </c>
      <c r="IS98">
        <v>0</v>
      </c>
      <c r="IT98">
        <v>0</v>
      </c>
      <c r="IU98">
        <v>0</v>
      </c>
      <c r="IV98">
        <v>0</v>
      </c>
      <c r="IW98">
        <v>0</v>
      </c>
      <c r="IX98">
        <v>0</v>
      </c>
      <c r="IY98">
        <v>0</v>
      </c>
      <c r="IZ98">
        <v>0</v>
      </c>
      <c r="JA98">
        <v>0</v>
      </c>
      <c r="JB98">
        <v>0</v>
      </c>
      <c r="JC98">
        <v>0</v>
      </c>
      <c r="JD98">
        <v>0</v>
      </c>
      <c r="JE98">
        <v>-492</v>
      </c>
      <c r="JF98">
        <v>0</v>
      </c>
      <c r="JG98">
        <v>200763</v>
      </c>
      <c r="JH98">
        <v>0</v>
      </c>
      <c r="JI98">
        <v>3678</v>
      </c>
      <c r="JJ98">
        <v>0</v>
      </c>
      <c r="JK98">
        <v>0</v>
      </c>
      <c r="JL98">
        <v>0</v>
      </c>
      <c r="JM98">
        <v>0</v>
      </c>
      <c r="JN98">
        <v>303</v>
      </c>
      <c r="JO98">
        <v>0</v>
      </c>
      <c r="JP98">
        <v>459</v>
      </c>
      <c r="JQ98">
        <v>0</v>
      </c>
      <c r="JR98">
        <v>205203</v>
      </c>
      <c r="JS98">
        <v>-30</v>
      </c>
      <c r="JT98">
        <v>0</v>
      </c>
      <c r="JU98">
        <v>0</v>
      </c>
      <c r="JV98">
        <v>0</v>
      </c>
      <c r="JW98">
        <v>0</v>
      </c>
      <c r="JX98">
        <v>0</v>
      </c>
      <c r="JY98">
        <v>0</v>
      </c>
      <c r="JZ98">
        <v>0</v>
      </c>
      <c r="KA98">
        <v>0</v>
      </c>
      <c r="KB98">
        <v>0</v>
      </c>
      <c r="KC98">
        <v>205173</v>
      </c>
      <c r="KD98">
        <v>0</v>
      </c>
      <c r="KE98">
        <v>-9202</v>
      </c>
      <c r="KF98">
        <v>195971</v>
      </c>
      <c r="KG98">
        <v>0</v>
      </c>
      <c r="KH98">
        <v>0</v>
      </c>
      <c r="KI98">
        <v>0</v>
      </c>
      <c r="KJ98">
        <v>0</v>
      </c>
      <c r="KK98">
        <v>4924</v>
      </c>
      <c r="KL98">
        <v>1860</v>
      </c>
      <c r="KM98">
        <v>0</v>
      </c>
      <c r="KN98">
        <v>-123535</v>
      </c>
      <c r="KO98">
        <v>0</v>
      </c>
      <c r="KP98">
        <v>-123</v>
      </c>
      <c r="KQ98">
        <v>0</v>
      </c>
      <c r="KR98">
        <v>77784</v>
      </c>
      <c r="KS98">
        <v>0</v>
      </c>
      <c r="KT98">
        <v>0</v>
      </c>
      <c r="KU98">
        <v>0</v>
      </c>
      <c r="KV98">
        <v>0</v>
      </c>
      <c r="KW98">
        <v>8383</v>
      </c>
      <c r="KX98">
        <v>0</v>
      </c>
      <c r="KY98">
        <v>0</v>
      </c>
      <c r="KZ98">
        <v>0</v>
      </c>
      <c r="LA98">
        <v>4924</v>
      </c>
      <c r="LB98">
        <v>10243</v>
      </c>
      <c r="LC98">
        <v>0</v>
      </c>
      <c r="LD98">
        <v>0</v>
      </c>
      <c r="LE98">
        <v>0</v>
      </c>
      <c r="LF98">
        <v>0</v>
      </c>
      <c r="LG98">
        <v>0</v>
      </c>
      <c r="LH98">
        <v>0</v>
      </c>
      <c r="LI98">
        <v>0</v>
      </c>
      <c r="LJ98">
        <v>0</v>
      </c>
      <c r="LK98">
        <v>0</v>
      </c>
      <c r="LL98">
        <v>0</v>
      </c>
      <c r="LM98">
        <v>0</v>
      </c>
      <c r="LN98">
        <v>0</v>
      </c>
      <c r="LO98">
        <v>0</v>
      </c>
      <c r="LP98">
        <v>0</v>
      </c>
      <c r="LQ98">
        <v>0</v>
      </c>
      <c r="LR98">
        <v>0</v>
      </c>
      <c r="LS98">
        <v>0</v>
      </c>
      <c r="LT98">
        <v>0</v>
      </c>
      <c r="LU98">
        <v>0</v>
      </c>
      <c r="LV98">
        <v>0</v>
      </c>
      <c r="LW98">
        <v>0</v>
      </c>
      <c r="LX98">
        <v>0</v>
      </c>
      <c r="LY98">
        <v>0</v>
      </c>
      <c r="LZ98">
        <v>0</v>
      </c>
      <c r="MA98">
        <v>0</v>
      </c>
      <c r="MB98">
        <v>0</v>
      </c>
      <c r="MC98">
        <v>0</v>
      </c>
      <c r="MD98">
        <v>200275</v>
      </c>
      <c r="ME98">
        <v>0</v>
      </c>
      <c r="MF98">
        <v>980</v>
      </c>
      <c r="MG98">
        <v>0</v>
      </c>
      <c r="MH98">
        <v>201255</v>
      </c>
      <c r="MI98">
        <v>0</v>
      </c>
      <c r="MJ98">
        <v>0</v>
      </c>
      <c r="MK98">
        <v>0</v>
      </c>
      <c r="ML98">
        <v>0</v>
      </c>
      <c r="MM98">
        <v>0</v>
      </c>
      <c r="MN98">
        <v>0</v>
      </c>
      <c r="MO98">
        <v>0</v>
      </c>
      <c r="MP98">
        <v>0</v>
      </c>
      <c r="MQ98">
        <v>0</v>
      </c>
      <c r="MR98">
        <v>0</v>
      </c>
      <c r="MS98">
        <v>0</v>
      </c>
      <c r="MT98">
        <v>0</v>
      </c>
      <c r="MU98">
        <v>0</v>
      </c>
      <c r="MV98">
        <v>0</v>
      </c>
      <c r="MW98">
        <v>0</v>
      </c>
      <c r="MX98">
        <v>0</v>
      </c>
      <c r="MY98">
        <v>0</v>
      </c>
      <c r="MZ98">
        <v>0</v>
      </c>
      <c r="NA98">
        <v>0</v>
      </c>
      <c r="NB98">
        <v>0</v>
      </c>
      <c r="NC98">
        <v>0</v>
      </c>
      <c r="ND98">
        <v>0</v>
      </c>
      <c r="NE98">
        <v>0</v>
      </c>
      <c r="NF98">
        <v>0</v>
      </c>
      <c r="NG98">
        <v>0</v>
      </c>
      <c r="NH98">
        <v>0</v>
      </c>
      <c r="NI98">
        <v>0</v>
      </c>
      <c r="NJ98">
        <v>0</v>
      </c>
      <c r="NK98">
        <v>0</v>
      </c>
      <c r="NL98">
        <v>0</v>
      </c>
      <c r="NM98">
        <v>0</v>
      </c>
      <c r="NN98">
        <v>0</v>
      </c>
      <c r="NO98">
        <v>0</v>
      </c>
      <c r="NP98">
        <v>0</v>
      </c>
      <c r="NQ98">
        <v>0</v>
      </c>
      <c r="NR98">
        <v>0</v>
      </c>
      <c r="NS98">
        <v>0</v>
      </c>
      <c r="NT98">
        <v>0</v>
      </c>
      <c r="NU98">
        <v>0</v>
      </c>
      <c r="NV98">
        <v>0</v>
      </c>
      <c r="NW98">
        <v>0</v>
      </c>
      <c r="NX98">
        <v>0</v>
      </c>
      <c r="NY98">
        <v>0</v>
      </c>
      <c r="NZ98">
        <v>0</v>
      </c>
      <c r="OA98">
        <v>0</v>
      </c>
      <c r="OB98">
        <v>0</v>
      </c>
      <c r="OC98">
        <v>0</v>
      </c>
      <c r="OD98">
        <v>0</v>
      </c>
      <c r="OE98">
        <v>0</v>
      </c>
      <c r="OF98">
        <v>0</v>
      </c>
      <c r="OG98">
        <v>0</v>
      </c>
      <c r="OH98">
        <v>0</v>
      </c>
      <c r="OI98">
        <v>0</v>
      </c>
      <c r="OJ98">
        <v>0</v>
      </c>
      <c r="OK98">
        <v>0</v>
      </c>
      <c r="OL98">
        <v>0</v>
      </c>
      <c r="OM98">
        <v>0</v>
      </c>
      <c r="ON98">
        <v>0</v>
      </c>
    </row>
    <row r="99" spans="1:404" x14ac:dyDescent="0.25">
      <c r="A99" t="s">
        <v>361</v>
      </c>
      <c r="B99" t="s">
        <v>362</v>
      </c>
      <c r="C99" t="s">
        <v>360</v>
      </c>
      <c r="E99" t="s">
        <v>1942</v>
      </c>
      <c r="F99">
        <v>34649</v>
      </c>
      <c r="G99">
        <v>181871</v>
      </c>
      <c r="H99">
        <v>46361</v>
      </c>
      <c r="I99">
        <v>76439</v>
      </c>
      <c r="J99">
        <v>16262</v>
      </c>
      <c r="K99">
        <v>56021</v>
      </c>
      <c r="L99">
        <v>411603</v>
      </c>
      <c r="M99">
        <v>0</v>
      </c>
      <c r="N99">
        <v>1106</v>
      </c>
      <c r="O99">
        <v>369</v>
      </c>
      <c r="P99">
        <v>2208</v>
      </c>
      <c r="Q99">
        <v>477</v>
      </c>
      <c r="R99">
        <v>2294</v>
      </c>
      <c r="S99">
        <v>21386</v>
      </c>
      <c r="T99">
        <v>1834</v>
      </c>
      <c r="U99">
        <v>4391</v>
      </c>
      <c r="V99">
        <v>0</v>
      </c>
      <c r="W99">
        <v>0</v>
      </c>
      <c r="X99">
        <v>579</v>
      </c>
      <c r="Y99">
        <v>-193</v>
      </c>
      <c r="Z99">
        <v>-3228</v>
      </c>
      <c r="AA99">
        <v>-63</v>
      </c>
      <c r="AB99">
        <v>8846</v>
      </c>
      <c r="AC99">
        <v>0</v>
      </c>
      <c r="AD99">
        <v>8320</v>
      </c>
      <c r="AE99">
        <v>41</v>
      </c>
      <c r="AF99">
        <v>147</v>
      </c>
      <c r="AG99">
        <v>1791</v>
      </c>
      <c r="AH99">
        <v>0</v>
      </c>
      <c r="AI99">
        <v>50305</v>
      </c>
      <c r="AJ99">
        <v>0</v>
      </c>
      <c r="AK99">
        <v>0</v>
      </c>
      <c r="AL99">
        <v>0</v>
      </c>
      <c r="AM99">
        <v>0</v>
      </c>
      <c r="AN99">
        <v>0</v>
      </c>
      <c r="AO99">
        <v>0</v>
      </c>
      <c r="AP99">
        <v>0</v>
      </c>
      <c r="AQ99">
        <v>1903</v>
      </c>
      <c r="AR99">
        <v>4346</v>
      </c>
      <c r="AS99">
        <v>0</v>
      </c>
      <c r="AT99">
        <v>0</v>
      </c>
      <c r="AU99">
        <v>0</v>
      </c>
      <c r="AV99">
        <v>6991</v>
      </c>
      <c r="AW99">
        <v>73272</v>
      </c>
      <c r="AX99">
        <v>2595</v>
      </c>
      <c r="AY99">
        <v>24804</v>
      </c>
      <c r="AZ99">
        <v>1703</v>
      </c>
      <c r="BA99">
        <v>44819</v>
      </c>
      <c r="BB99">
        <v>0</v>
      </c>
      <c r="BC99">
        <v>3935</v>
      </c>
      <c r="BD99">
        <v>158119</v>
      </c>
      <c r="BE99">
        <v>21022</v>
      </c>
      <c r="BF99">
        <v>44228</v>
      </c>
      <c r="BG99">
        <v>880</v>
      </c>
      <c r="BH99">
        <v>969</v>
      </c>
      <c r="BI99">
        <v>15</v>
      </c>
      <c r="BJ99">
        <v>54661</v>
      </c>
      <c r="BK99">
        <v>94496</v>
      </c>
      <c r="BL99">
        <v>6834</v>
      </c>
      <c r="BM99">
        <v>11363</v>
      </c>
      <c r="BN99">
        <v>2884</v>
      </c>
      <c r="BO99">
        <v>0</v>
      </c>
      <c r="BP99">
        <v>554</v>
      </c>
      <c r="BQ99">
        <v>0</v>
      </c>
      <c r="BR99">
        <v>0</v>
      </c>
      <c r="BS99">
        <v>369</v>
      </c>
      <c r="BT99">
        <v>44817</v>
      </c>
      <c r="BU99">
        <v>1871</v>
      </c>
      <c r="BV99">
        <v>1954</v>
      </c>
      <c r="BW99">
        <v>296224</v>
      </c>
      <c r="BX99">
        <v>4145</v>
      </c>
      <c r="BY99">
        <v>2529</v>
      </c>
      <c r="BZ99">
        <v>360</v>
      </c>
      <c r="CA99">
        <v>212</v>
      </c>
      <c r="CB99">
        <v>214</v>
      </c>
      <c r="CC99">
        <v>76</v>
      </c>
      <c r="CD99">
        <v>283</v>
      </c>
      <c r="CE99">
        <v>946</v>
      </c>
      <c r="CF99">
        <v>57</v>
      </c>
      <c r="CG99">
        <v>123</v>
      </c>
      <c r="CH99">
        <v>57</v>
      </c>
      <c r="CI99">
        <v>3434</v>
      </c>
      <c r="CJ99">
        <v>1932</v>
      </c>
      <c r="CK99">
        <v>0</v>
      </c>
      <c r="CL99">
        <v>0</v>
      </c>
      <c r="CM99">
        <v>417</v>
      </c>
      <c r="CN99">
        <v>914</v>
      </c>
      <c r="CO99">
        <v>57</v>
      </c>
      <c r="CP99">
        <v>2244</v>
      </c>
      <c r="CQ99">
        <v>7576</v>
      </c>
      <c r="CR99">
        <v>0</v>
      </c>
      <c r="CS99">
        <v>57</v>
      </c>
      <c r="CT99">
        <v>141</v>
      </c>
      <c r="CU99">
        <v>466</v>
      </c>
      <c r="CV99">
        <v>47167</v>
      </c>
      <c r="CW99">
        <v>0</v>
      </c>
      <c r="CX99">
        <v>0</v>
      </c>
      <c r="CY99">
        <v>0</v>
      </c>
      <c r="CZ99">
        <v>0</v>
      </c>
      <c r="DA99">
        <v>0</v>
      </c>
      <c r="DB99">
        <v>0</v>
      </c>
      <c r="DC99">
        <v>0</v>
      </c>
      <c r="DD99">
        <v>0</v>
      </c>
      <c r="DE99">
        <v>0</v>
      </c>
      <c r="DF99">
        <v>0</v>
      </c>
      <c r="DG99">
        <v>0</v>
      </c>
      <c r="DH99">
        <v>0</v>
      </c>
      <c r="DI99">
        <v>0</v>
      </c>
      <c r="DJ99">
        <v>0</v>
      </c>
      <c r="DK99">
        <v>0</v>
      </c>
      <c r="DL99">
        <v>0</v>
      </c>
      <c r="DM99">
        <v>0</v>
      </c>
      <c r="DN99">
        <v>0</v>
      </c>
      <c r="DO99">
        <v>1724</v>
      </c>
      <c r="DP99">
        <v>1724</v>
      </c>
      <c r="DQ99">
        <v>0</v>
      </c>
      <c r="DR99">
        <v>0</v>
      </c>
      <c r="DS99">
        <v>0</v>
      </c>
      <c r="DT99">
        <v>0</v>
      </c>
      <c r="DU99">
        <v>46</v>
      </c>
      <c r="DV99">
        <v>0</v>
      </c>
      <c r="DW99">
        <v>0</v>
      </c>
      <c r="DX99">
        <v>1770</v>
      </c>
      <c r="DY99">
        <v>0</v>
      </c>
      <c r="DZ99">
        <v>0</v>
      </c>
      <c r="EA99">
        <v>0</v>
      </c>
      <c r="EB99">
        <v>0</v>
      </c>
      <c r="EC99">
        <v>0</v>
      </c>
      <c r="ED99">
        <v>0</v>
      </c>
      <c r="EE99">
        <v>0</v>
      </c>
      <c r="EF99">
        <v>0</v>
      </c>
      <c r="EG99">
        <v>0</v>
      </c>
      <c r="EH99">
        <v>0</v>
      </c>
      <c r="EI99">
        <v>0</v>
      </c>
      <c r="EJ99">
        <v>0</v>
      </c>
      <c r="EK99">
        <v>0</v>
      </c>
      <c r="EL99">
        <v>0</v>
      </c>
      <c r="EM99">
        <v>0</v>
      </c>
      <c r="EN99">
        <v>0</v>
      </c>
      <c r="EO99">
        <v>0</v>
      </c>
      <c r="EP99">
        <v>0</v>
      </c>
      <c r="EQ99">
        <v>0</v>
      </c>
      <c r="ER99">
        <v>0</v>
      </c>
      <c r="ES99">
        <v>0</v>
      </c>
      <c r="ET99">
        <v>0</v>
      </c>
      <c r="EU99">
        <v>790</v>
      </c>
      <c r="EV99">
        <v>0</v>
      </c>
      <c r="EW99">
        <v>17</v>
      </c>
      <c r="EX99">
        <v>0</v>
      </c>
      <c r="EY99">
        <v>0</v>
      </c>
      <c r="EZ99">
        <v>64</v>
      </c>
      <c r="FA99">
        <v>0</v>
      </c>
      <c r="FB99">
        <v>1519</v>
      </c>
      <c r="FC99">
        <v>0</v>
      </c>
      <c r="FD99">
        <v>1830</v>
      </c>
      <c r="FE99">
        <v>0</v>
      </c>
      <c r="FF99">
        <v>61</v>
      </c>
      <c r="FG99">
        <v>7383</v>
      </c>
      <c r="FH99">
        <v>11664</v>
      </c>
      <c r="FI99">
        <v>0</v>
      </c>
      <c r="FJ99">
        <v>2499</v>
      </c>
      <c r="FK99">
        <v>0</v>
      </c>
      <c r="FL99">
        <v>0</v>
      </c>
      <c r="FM99">
        <v>0</v>
      </c>
      <c r="FN99">
        <v>0</v>
      </c>
      <c r="FO99">
        <v>0</v>
      </c>
      <c r="FP99">
        <v>0</v>
      </c>
      <c r="FQ99">
        <v>0</v>
      </c>
      <c r="FR99">
        <v>0</v>
      </c>
      <c r="FS99">
        <v>0</v>
      </c>
      <c r="FT99">
        <v>0</v>
      </c>
      <c r="FU99">
        <v>0</v>
      </c>
      <c r="FV99">
        <v>0</v>
      </c>
      <c r="FW99">
        <v>1</v>
      </c>
      <c r="FX99">
        <v>0</v>
      </c>
      <c r="FY99">
        <v>922</v>
      </c>
      <c r="FZ99">
        <v>13</v>
      </c>
      <c r="GA99">
        <v>0</v>
      </c>
      <c r="GB99">
        <v>13</v>
      </c>
      <c r="GC99">
        <v>-460</v>
      </c>
      <c r="GD99">
        <v>0</v>
      </c>
      <c r="GE99">
        <v>0</v>
      </c>
      <c r="GF99">
        <v>22602</v>
      </c>
      <c r="GG99">
        <v>-1146</v>
      </c>
      <c r="GH99">
        <v>15468</v>
      </c>
      <c r="GI99">
        <v>227</v>
      </c>
      <c r="GJ99">
        <v>173</v>
      </c>
      <c r="GK99">
        <v>40312</v>
      </c>
      <c r="GL99">
        <v>0</v>
      </c>
      <c r="GM99">
        <v>513</v>
      </c>
      <c r="GN99">
        <v>0</v>
      </c>
      <c r="GO99">
        <v>428</v>
      </c>
      <c r="GP99">
        <v>2235</v>
      </c>
      <c r="GQ99">
        <v>3664</v>
      </c>
      <c r="GR99">
        <v>138</v>
      </c>
      <c r="GS99">
        <v>1339</v>
      </c>
      <c r="GT99">
        <v>1868</v>
      </c>
      <c r="GU99">
        <v>10185</v>
      </c>
      <c r="GV99">
        <v>62161</v>
      </c>
      <c r="GW99">
        <v>0</v>
      </c>
      <c r="GX99">
        <v>0</v>
      </c>
      <c r="GY99">
        <v>0</v>
      </c>
      <c r="GZ99">
        <v>0</v>
      </c>
      <c r="HA99">
        <v>0</v>
      </c>
      <c r="HB99">
        <v>4327</v>
      </c>
      <c r="HC99">
        <v>0</v>
      </c>
      <c r="HD99">
        <v>0</v>
      </c>
      <c r="HE99">
        <v>0</v>
      </c>
      <c r="HF99">
        <v>37</v>
      </c>
      <c r="HG99">
        <v>0</v>
      </c>
      <c r="HH99">
        <v>0</v>
      </c>
      <c r="HI99">
        <v>-1268</v>
      </c>
      <c r="HJ99">
        <v>0</v>
      </c>
      <c r="HK99">
        <v>0</v>
      </c>
      <c r="HL99">
        <v>249</v>
      </c>
      <c r="HM99">
        <v>-234</v>
      </c>
      <c r="HN99">
        <v>0</v>
      </c>
      <c r="HO99">
        <v>406</v>
      </c>
      <c r="HP99">
        <v>2042</v>
      </c>
      <c r="HQ99">
        <v>0</v>
      </c>
      <c r="HR99">
        <v>6023</v>
      </c>
      <c r="HS99">
        <v>0</v>
      </c>
      <c r="HT99">
        <v>45</v>
      </c>
      <c r="HU99">
        <v>-151</v>
      </c>
      <c r="HV99">
        <v>11476</v>
      </c>
      <c r="HW99">
        <v>0</v>
      </c>
      <c r="HX99">
        <v>25040</v>
      </c>
      <c r="HY99">
        <v>0</v>
      </c>
      <c r="HZ99">
        <v>0</v>
      </c>
      <c r="IA99">
        <v>0</v>
      </c>
      <c r="IB99">
        <v>0</v>
      </c>
      <c r="IC99">
        <v>411603</v>
      </c>
      <c r="ID99">
        <v>50305</v>
      </c>
      <c r="IE99">
        <v>158119</v>
      </c>
      <c r="IF99">
        <v>296224</v>
      </c>
      <c r="IG99">
        <v>47167</v>
      </c>
      <c r="IH99">
        <v>1770</v>
      </c>
      <c r="II99">
        <v>11664</v>
      </c>
      <c r="IJ99">
        <v>40312</v>
      </c>
      <c r="IK99">
        <v>10185</v>
      </c>
      <c r="IL99">
        <v>0</v>
      </c>
      <c r="IM99">
        <v>0</v>
      </c>
      <c r="IN99">
        <v>11476</v>
      </c>
      <c r="IO99">
        <v>0</v>
      </c>
      <c r="IP99">
        <v>1038825</v>
      </c>
      <c r="IQ99">
        <v>0</v>
      </c>
      <c r="IR99">
        <v>0</v>
      </c>
      <c r="IS99">
        <v>0</v>
      </c>
      <c r="IT99">
        <v>0</v>
      </c>
      <c r="IU99">
        <v>0</v>
      </c>
      <c r="IV99">
        <v>0</v>
      </c>
      <c r="IW99">
        <v>0</v>
      </c>
      <c r="IX99">
        <v>0</v>
      </c>
      <c r="IY99">
        <v>0</v>
      </c>
      <c r="IZ99">
        <v>348</v>
      </c>
      <c r="JA99">
        <v>0</v>
      </c>
      <c r="JB99">
        <v>0</v>
      </c>
      <c r="JC99">
        <v>0</v>
      </c>
      <c r="JD99">
        <v>0</v>
      </c>
      <c r="JE99">
        <v>1986</v>
      </c>
      <c r="JF99">
        <v>0</v>
      </c>
      <c r="JG99">
        <v>1041159</v>
      </c>
      <c r="JH99">
        <v>629</v>
      </c>
      <c r="JI99">
        <v>991</v>
      </c>
      <c r="JJ99">
        <v>0</v>
      </c>
      <c r="JK99">
        <v>0</v>
      </c>
      <c r="JL99">
        <v>0</v>
      </c>
      <c r="JM99">
        <v>0</v>
      </c>
      <c r="JN99">
        <v>11816</v>
      </c>
      <c r="JO99">
        <v>0</v>
      </c>
      <c r="JP99">
        <v>26083</v>
      </c>
      <c r="JQ99">
        <v>0</v>
      </c>
      <c r="JR99">
        <v>1080678</v>
      </c>
      <c r="JS99">
        <v>-1113</v>
      </c>
      <c r="JT99">
        <v>0</v>
      </c>
      <c r="JU99">
        <v>736</v>
      </c>
      <c r="JV99">
        <v>0</v>
      </c>
      <c r="JW99">
        <v>-9670</v>
      </c>
      <c r="JX99">
        <v>0</v>
      </c>
      <c r="JY99">
        <v>0</v>
      </c>
      <c r="JZ99">
        <v>0</v>
      </c>
      <c r="KA99">
        <v>0</v>
      </c>
      <c r="KB99">
        <v>-37858</v>
      </c>
      <c r="KC99">
        <v>1032773</v>
      </c>
      <c r="KD99">
        <v>-885</v>
      </c>
      <c r="KE99">
        <v>-471581</v>
      </c>
      <c r="KF99">
        <v>560306</v>
      </c>
      <c r="KG99">
        <v>0</v>
      </c>
      <c r="KH99">
        <v>3589</v>
      </c>
      <c r="KI99">
        <v>0</v>
      </c>
      <c r="KJ99">
        <v>3983</v>
      </c>
      <c r="KK99">
        <v>5111</v>
      </c>
      <c r="KL99">
        <v>0</v>
      </c>
      <c r="KM99">
        <v>-549</v>
      </c>
      <c r="KN99">
        <v>0</v>
      </c>
      <c r="KO99">
        <v>-100600</v>
      </c>
      <c r="KP99">
        <v>-2379</v>
      </c>
      <c r="KQ99">
        <v>0</v>
      </c>
      <c r="KR99">
        <v>440442</v>
      </c>
      <c r="KS99">
        <v>21091</v>
      </c>
      <c r="KT99">
        <v>0</v>
      </c>
      <c r="KU99">
        <v>7632</v>
      </c>
      <c r="KV99">
        <v>207182</v>
      </c>
      <c r="KW99">
        <v>14825</v>
      </c>
      <c r="KX99">
        <v>24680</v>
      </c>
      <c r="KY99">
        <v>0</v>
      </c>
      <c r="KZ99">
        <v>11615</v>
      </c>
      <c r="LA99">
        <v>212293</v>
      </c>
      <c r="LB99">
        <v>14825</v>
      </c>
      <c r="LC99">
        <v>0</v>
      </c>
      <c r="LD99">
        <v>83668</v>
      </c>
      <c r="LE99">
        <v>0</v>
      </c>
      <c r="LF99">
        <v>-2860</v>
      </c>
      <c r="LG99">
        <v>0</v>
      </c>
      <c r="LH99">
        <v>20455</v>
      </c>
      <c r="LI99">
        <v>101263</v>
      </c>
      <c r="LJ99">
        <v>0</v>
      </c>
      <c r="LK99">
        <v>0</v>
      </c>
      <c r="LL99">
        <v>0</v>
      </c>
      <c r="LM99">
        <v>0</v>
      </c>
      <c r="LN99">
        <v>0</v>
      </c>
      <c r="LO99">
        <v>0</v>
      </c>
      <c r="LP99">
        <v>0</v>
      </c>
      <c r="LQ99">
        <v>0</v>
      </c>
      <c r="LR99">
        <v>0</v>
      </c>
      <c r="LS99">
        <v>0</v>
      </c>
      <c r="LT99">
        <v>0</v>
      </c>
      <c r="LU99">
        <v>411603</v>
      </c>
      <c r="LV99">
        <v>50305</v>
      </c>
      <c r="LW99">
        <v>158119</v>
      </c>
      <c r="LX99">
        <v>296224</v>
      </c>
      <c r="LY99">
        <v>47167</v>
      </c>
      <c r="LZ99">
        <v>1770</v>
      </c>
      <c r="MA99">
        <v>11664</v>
      </c>
      <c r="MB99">
        <v>40312</v>
      </c>
      <c r="MC99">
        <v>10185</v>
      </c>
      <c r="MD99">
        <v>0</v>
      </c>
      <c r="ME99">
        <v>0</v>
      </c>
      <c r="MF99">
        <v>11476</v>
      </c>
      <c r="MG99">
        <v>0</v>
      </c>
      <c r="MH99">
        <v>1038825</v>
      </c>
      <c r="MI99">
        <v>0</v>
      </c>
      <c r="MJ99">
        <v>0</v>
      </c>
      <c r="MK99">
        <v>0</v>
      </c>
      <c r="ML99">
        <v>0</v>
      </c>
      <c r="MM99">
        <v>0</v>
      </c>
      <c r="MN99">
        <v>0</v>
      </c>
      <c r="MO99">
        <v>0</v>
      </c>
      <c r="MP99">
        <v>0</v>
      </c>
      <c r="MQ99">
        <v>0</v>
      </c>
      <c r="MR99">
        <v>0</v>
      </c>
      <c r="MS99">
        <v>0</v>
      </c>
      <c r="MT99">
        <v>0</v>
      </c>
      <c r="MU99">
        <v>0</v>
      </c>
      <c r="MV99">
        <v>0</v>
      </c>
      <c r="MW99">
        <v>0</v>
      </c>
      <c r="MX99">
        <v>0</v>
      </c>
      <c r="MY99">
        <v>0</v>
      </c>
      <c r="MZ99">
        <v>0</v>
      </c>
      <c r="NA99">
        <v>0</v>
      </c>
      <c r="NB99">
        <v>0</v>
      </c>
      <c r="NC99">
        <v>0</v>
      </c>
      <c r="ND99">
        <v>0</v>
      </c>
      <c r="NE99">
        <v>0</v>
      </c>
      <c r="NF99">
        <v>0</v>
      </c>
      <c r="NG99">
        <v>0</v>
      </c>
      <c r="NH99">
        <v>0</v>
      </c>
      <c r="NI99">
        <v>0</v>
      </c>
      <c r="NJ99">
        <v>0</v>
      </c>
      <c r="NK99">
        <v>0</v>
      </c>
      <c r="NL99">
        <v>0</v>
      </c>
      <c r="NM99">
        <v>0</v>
      </c>
      <c r="NN99">
        <v>0</v>
      </c>
      <c r="NO99">
        <v>0</v>
      </c>
      <c r="NP99">
        <v>0</v>
      </c>
      <c r="NQ99">
        <v>0</v>
      </c>
      <c r="NR99">
        <v>0</v>
      </c>
      <c r="NS99">
        <v>0</v>
      </c>
      <c r="NT99">
        <v>0</v>
      </c>
      <c r="NU99">
        <v>0</v>
      </c>
      <c r="NV99">
        <v>0</v>
      </c>
      <c r="NW99">
        <v>0</v>
      </c>
      <c r="NX99">
        <v>0</v>
      </c>
      <c r="NY99">
        <v>0</v>
      </c>
      <c r="NZ99">
        <v>0</v>
      </c>
      <c r="OA99">
        <v>0</v>
      </c>
      <c r="OB99">
        <v>0</v>
      </c>
      <c r="OC99">
        <v>0</v>
      </c>
      <c r="OD99">
        <v>0</v>
      </c>
      <c r="OE99">
        <v>0</v>
      </c>
      <c r="OF99">
        <v>0</v>
      </c>
      <c r="OG99">
        <v>0</v>
      </c>
      <c r="OH99">
        <v>0</v>
      </c>
      <c r="OI99">
        <v>0</v>
      </c>
      <c r="OJ99">
        <v>0</v>
      </c>
      <c r="OK99">
        <v>0</v>
      </c>
      <c r="OL99">
        <v>0</v>
      </c>
      <c r="OM99">
        <v>0</v>
      </c>
      <c r="ON99">
        <v>0</v>
      </c>
    </row>
    <row r="100" spans="1:404" x14ac:dyDescent="0.25">
      <c r="A100" t="s">
        <v>364</v>
      </c>
      <c r="B100" t="s">
        <v>365</v>
      </c>
      <c r="C100" t="s">
        <v>363</v>
      </c>
      <c r="E100" t="s">
        <v>71</v>
      </c>
      <c r="F100">
        <v>0</v>
      </c>
      <c r="G100">
        <v>0</v>
      </c>
      <c r="H100">
        <v>0</v>
      </c>
      <c r="I100">
        <v>0</v>
      </c>
      <c r="J100">
        <v>0</v>
      </c>
      <c r="K100">
        <v>0</v>
      </c>
      <c r="L100">
        <v>0</v>
      </c>
      <c r="M100">
        <v>0</v>
      </c>
      <c r="N100">
        <v>0</v>
      </c>
      <c r="O100">
        <v>0</v>
      </c>
      <c r="P100">
        <v>0</v>
      </c>
      <c r="Q100">
        <v>0</v>
      </c>
      <c r="R100">
        <v>0</v>
      </c>
      <c r="S100">
        <v>0</v>
      </c>
      <c r="T100">
        <v>0</v>
      </c>
      <c r="U100">
        <v>0</v>
      </c>
      <c r="V100">
        <v>0</v>
      </c>
      <c r="W100">
        <v>0</v>
      </c>
      <c r="X100">
        <v>0</v>
      </c>
      <c r="Y100">
        <v>0</v>
      </c>
      <c r="Z100">
        <v>0</v>
      </c>
      <c r="AA100">
        <v>0</v>
      </c>
      <c r="AB100">
        <v>0</v>
      </c>
      <c r="AC100">
        <v>0</v>
      </c>
      <c r="AD100">
        <v>0</v>
      </c>
      <c r="AE100">
        <v>0</v>
      </c>
      <c r="AF100">
        <v>0</v>
      </c>
      <c r="AG100">
        <v>0</v>
      </c>
      <c r="AH100">
        <v>0</v>
      </c>
      <c r="AI100">
        <v>0</v>
      </c>
      <c r="AJ100">
        <v>0</v>
      </c>
      <c r="AK100">
        <v>0</v>
      </c>
      <c r="AL100">
        <v>0</v>
      </c>
      <c r="AM100">
        <v>0</v>
      </c>
      <c r="AN100">
        <v>0</v>
      </c>
      <c r="AO100">
        <v>0</v>
      </c>
      <c r="AP100">
        <v>0</v>
      </c>
      <c r="AQ100">
        <v>0</v>
      </c>
      <c r="AR100">
        <v>0</v>
      </c>
      <c r="AS100">
        <v>0</v>
      </c>
      <c r="AT100">
        <v>0</v>
      </c>
      <c r="AU100">
        <v>0</v>
      </c>
      <c r="AV100">
        <v>0</v>
      </c>
      <c r="AW100">
        <v>0</v>
      </c>
      <c r="AX100">
        <v>0</v>
      </c>
      <c r="AY100">
        <v>0</v>
      </c>
      <c r="AZ100">
        <v>0</v>
      </c>
      <c r="BA100">
        <v>0</v>
      </c>
      <c r="BB100">
        <v>0</v>
      </c>
      <c r="BC100">
        <v>0</v>
      </c>
      <c r="BD100">
        <v>0</v>
      </c>
      <c r="BE100">
        <v>0</v>
      </c>
      <c r="BF100">
        <v>0</v>
      </c>
      <c r="BG100">
        <v>0</v>
      </c>
      <c r="BH100">
        <v>0</v>
      </c>
      <c r="BI100">
        <v>0</v>
      </c>
      <c r="BJ100">
        <v>0</v>
      </c>
      <c r="BK100">
        <v>0</v>
      </c>
      <c r="BL100">
        <v>0</v>
      </c>
      <c r="BM100">
        <v>0</v>
      </c>
      <c r="BN100">
        <v>0</v>
      </c>
      <c r="BO100">
        <v>0</v>
      </c>
      <c r="BP100">
        <v>0</v>
      </c>
      <c r="BQ100">
        <v>0</v>
      </c>
      <c r="BR100">
        <v>0</v>
      </c>
      <c r="BS100">
        <v>0</v>
      </c>
      <c r="BT100">
        <v>0</v>
      </c>
      <c r="BU100">
        <v>0</v>
      </c>
      <c r="BV100">
        <v>0</v>
      </c>
      <c r="BW100">
        <v>0</v>
      </c>
      <c r="BX100">
        <v>0</v>
      </c>
      <c r="BY100">
        <v>0</v>
      </c>
      <c r="BZ100">
        <v>0</v>
      </c>
      <c r="CA100">
        <v>0</v>
      </c>
      <c r="CB100">
        <v>0</v>
      </c>
      <c r="CC100">
        <v>0</v>
      </c>
      <c r="CD100">
        <v>0</v>
      </c>
      <c r="CE100">
        <v>0</v>
      </c>
      <c r="CF100">
        <v>0</v>
      </c>
      <c r="CG100">
        <v>0</v>
      </c>
      <c r="CH100">
        <v>0</v>
      </c>
      <c r="CI100">
        <v>0</v>
      </c>
      <c r="CJ100">
        <v>0</v>
      </c>
      <c r="CK100">
        <v>0</v>
      </c>
      <c r="CL100">
        <v>0</v>
      </c>
      <c r="CM100">
        <v>0</v>
      </c>
      <c r="CN100">
        <v>0</v>
      </c>
      <c r="CO100">
        <v>0</v>
      </c>
      <c r="CP100">
        <v>0</v>
      </c>
      <c r="CQ100">
        <v>0</v>
      </c>
      <c r="CR100">
        <v>0</v>
      </c>
      <c r="CS100">
        <v>0</v>
      </c>
      <c r="CT100">
        <v>0</v>
      </c>
      <c r="CU100">
        <v>0</v>
      </c>
      <c r="CV100">
        <v>0</v>
      </c>
      <c r="CW100">
        <v>0</v>
      </c>
      <c r="CX100">
        <v>0</v>
      </c>
      <c r="CY100">
        <v>0</v>
      </c>
      <c r="CZ100">
        <v>0</v>
      </c>
      <c r="DA100">
        <v>0</v>
      </c>
      <c r="DB100">
        <v>0</v>
      </c>
      <c r="DC100">
        <v>0</v>
      </c>
      <c r="DD100">
        <v>0</v>
      </c>
      <c r="DE100">
        <v>0</v>
      </c>
      <c r="DF100">
        <v>0</v>
      </c>
      <c r="DG100">
        <v>0</v>
      </c>
      <c r="DH100">
        <v>0</v>
      </c>
      <c r="DI100">
        <v>0</v>
      </c>
      <c r="DJ100">
        <v>0</v>
      </c>
      <c r="DK100">
        <v>0</v>
      </c>
      <c r="DL100">
        <v>0</v>
      </c>
      <c r="DM100">
        <v>0</v>
      </c>
      <c r="DN100">
        <v>0</v>
      </c>
      <c r="DO100">
        <v>0</v>
      </c>
      <c r="DP100">
        <v>0</v>
      </c>
      <c r="DQ100">
        <v>0</v>
      </c>
      <c r="DR100">
        <v>0</v>
      </c>
      <c r="DS100">
        <v>0</v>
      </c>
      <c r="DT100">
        <v>0</v>
      </c>
      <c r="DU100">
        <v>0</v>
      </c>
      <c r="DV100">
        <v>0</v>
      </c>
      <c r="DW100">
        <v>0</v>
      </c>
      <c r="DX100">
        <v>0</v>
      </c>
      <c r="DY100">
        <v>0</v>
      </c>
      <c r="DZ100">
        <v>0</v>
      </c>
      <c r="EA100">
        <v>0</v>
      </c>
      <c r="EB100">
        <v>0</v>
      </c>
      <c r="EC100">
        <v>0</v>
      </c>
      <c r="ED100">
        <v>0</v>
      </c>
      <c r="EE100">
        <v>0</v>
      </c>
      <c r="EF100">
        <v>0</v>
      </c>
      <c r="EG100">
        <v>0</v>
      </c>
      <c r="EH100">
        <v>0</v>
      </c>
      <c r="EI100">
        <v>0</v>
      </c>
      <c r="EJ100">
        <v>0</v>
      </c>
      <c r="EK100">
        <v>0</v>
      </c>
      <c r="EL100">
        <v>0</v>
      </c>
      <c r="EM100">
        <v>0</v>
      </c>
      <c r="EN100">
        <v>0</v>
      </c>
      <c r="EO100">
        <v>0</v>
      </c>
      <c r="EP100">
        <v>0</v>
      </c>
      <c r="EQ100">
        <v>0</v>
      </c>
      <c r="ER100">
        <v>0</v>
      </c>
      <c r="ES100">
        <v>0</v>
      </c>
      <c r="ET100">
        <v>0</v>
      </c>
      <c r="EU100">
        <v>0</v>
      </c>
      <c r="EV100">
        <v>0</v>
      </c>
      <c r="EW100">
        <v>0</v>
      </c>
      <c r="EX100">
        <v>0</v>
      </c>
      <c r="EY100">
        <v>0</v>
      </c>
      <c r="EZ100">
        <v>0</v>
      </c>
      <c r="FA100">
        <v>0</v>
      </c>
      <c r="FB100">
        <v>0</v>
      </c>
      <c r="FC100">
        <v>0</v>
      </c>
      <c r="FD100">
        <v>0</v>
      </c>
      <c r="FE100">
        <v>0</v>
      </c>
      <c r="FF100">
        <v>0</v>
      </c>
      <c r="FG100">
        <v>0</v>
      </c>
      <c r="FH100">
        <v>0</v>
      </c>
      <c r="FI100">
        <v>0</v>
      </c>
      <c r="FJ100">
        <v>0</v>
      </c>
      <c r="FK100">
        <v>0</v>
      </c>
      <c r="FL100">
        <v>0</v>
      </c>
      <c r="FM100">
        <v>0</v>
      </c>
      <c r="FN100">
        <v>0</v>
      </c>
      <c r="FO100">
        <v>0</v>
      </c>
      <c r="FP100">
        <v>0</v>
      </c>
      <c r="FQ100">
        <v>0</v>
      </c>
      <c r="FR100">
        <v>0</v>
      </c>
      <c r="FS100">
        <v>0</v>
      </c>
      <c r="FT100">
        <v>0</v>
      </c>
      <c r="FU100">
        <v>0</v>
      </c>
      <c r="FV100">
        <v>0</v>
      </c>
      <c r="FW100">
        <v>0</v>
      </c>
      <c r="FX100">
        <v>0</v>
      </c>
      <c r="FY100">
        <v>0</v>
      </c>
      <c r="FZ100">
        <v>0</v>
      </c>
      <c r="GA100">
        <v>0</v>
      </c>
      <c r="GB100">
        <v>0</v>
      </c>
      <c r="GC100">
        <v>0</v>
      </c>
      <c r="GD100">
        <v>0</v>
      </c>
      <c r="GE100">
        <v>0</v>
      </c>
      <c r="GF100">
        <v>0</v>
      </c>
      <c r="GG100">
        <v>0</v>
      </c>
      <c r="GH100">
        <v>0</v>
      </c>
      <c r="GI100">
        <v>0</v>
      </c>
      <c r="GJ100">
        <v>0</v>
      </c>
      <c r="GK100">
        <v>0</v>
      </c>
      <c r="GL100">
        <v>0</v>
      </c>
      <c r="GM100">
        <v>0</v>
      </c>
      <c r="GN100">
        <v>0</v>
      </c>
      <c r="GO100">
        <v>0</v>
      </c>
      <c r="GP100">
        <v>0</v>
      </c>
      <c r="GQ100">
        <v>0</v>
      </c>
      <c r="GR100">
        <v>0</v>
      </c>
      <c r="GS100">
        <v>0</v>
      </c>
      <c r="GT100">
        <v>0</v>
      </c>
      <c r="GU100">
        <v>0</v>
      </c>
      <c r="GV100">
        <v>0</v>
      </c>
      <c r="GW100">
        <v>385606</v>
      </c>
      <c r="GX100">
        <v>0</v>
      </c>
      <c r="GY100">
        <v>0</v>
      </c>
      <c r="GZ100">
        <v>0</v>
      </c>
      <c r="HA100">
        <v>0</v>
      </c>
      <c r="HB100">
        <v>2062</v>
      </c>
      <c r="HC100">
        <v>0</v>
      </c>
      <c r="HD100">
        <v>0</v>
      </c>
      <c r="HE100">
        <v>0</v>
      </c>
      <c r="HF100">
        <v>0</v>
      </c>
      <c r="HG100">
        <v>0</v>
      </c>
      <c r="HH100">
        <v>0</v>
      </c>
      <c r="HI100">
        <v>0</v>
      </c>
      <c r="HJ100">
        <v>0</v>
      </c>
      <c r="HK100">
        <v>0</v>
      </c>
      <c r="HL100">
        <v>0</v>
      </c>
      <c r="HM100">
        <v>0</v>
      </c>
      <c r="HN100">
        <v>0</v>
      </c>
      <c r="HO100">
        <v>0</v>
      </c>
      <c r="HP100">
        <v>0</v>
      </c>
      <c r="HQ100">
        <v>0</v>
      </c>
      <c r="HR100">
        <v>0</v>
      </c>
      <c r="HS100">
        <v>0</v>
      </c>
      <c r="HT100">
        <v>0</v>
      </c>
      <c r="HU100">
        <v>0</v>
      </c>
      <c r="HV100">
        <v>2062</v>
      </c>
      <c r="HW100">
        <v>0</v>
      </c>
      <c r="HX100">
        <v>0</v>
      </c>
      <c r="HY100">
        <v>0</v>
      </c>
      <c r="HZ100">
        <v>0</v>
      </c>
      <c r="IA100">
        <v>0</v>
      </c>
      <c r="IB100">
        <v>0</v>
      </c>
      <c r="IC100">
        <v>0</v>
      </c>
      <c r="ID100">
        <v>0</v>
      </c>
      <c r="IE100">
        <v>0</v>
      </c>
      <c r="IF100">
        <v>0</v>
      </c>
      <c r="IG100">
        <v>0</v>
      </c>
      <c r="IH100">
        <v>0</v>
      </c>
      <c r="II100">
        <v>0</v>
      </c>
      <c r="IJ100">
        <v>0</v>
      </c>
      <c r="IK100">
        <v>0</v>
      </c>
      <c r="IL100">
        <v>385606</v>
      </c>
      <c r="IM100">
        <v>0</v>
      </c>
      <c r="IN100">
        <v>2062</v>
      </c>
      <c r="IO100">
        <v>0</v>
      </c>
      <c r="IP100">
        <v>387668</v>
      </c>
      <c r="IQ100">
        <v>0</v>
      </c>
      <c r="IR100">
        <v>0</v>
      </c>
      <c r="IS100">
        <v>0</v>
      </c>
      <c r="IT100">
        <v>0</v>
      </c>
      <c r="IU100">
        <v>0</v>
      </c>
      <c r="IV100">
        <v>0</v>
      </c>
      <c r="IW100">
        <v>0</v>
      </c>
      <c r="IX100">
        <v>0</v>
      </c>
      <c r="IY100">
        <v>0</v>
      </c>
      <c r="IZ100">
        <v>-2068</v>
      </c>
      <c r="JA100">
        <v>0</v>
      </c>
      <c r="JB100">
        <v>0</v>
      </c>
      <c r="JC100">
        <v>0</v>
      </c>
      <c r="JD100">
        <v>0</v>
      </c>
      <c r="JE100">
        <v>0</v>
      </c>
      <c r="JF100">
        <v>0</v>
      </c>
      <c r="JG100">
        <v>385600</v>
      </c>
      <c r="JH100">
        <v>0</v>
      </c>
      <c r="JI100">
        <v>5255</v>
      </c>
      <c r="JJ100">
        <v>0</v>
      </c>
      <c r="JK100">
        <v>0</v>
      </c>
      <c r="JL100">
        <v>0</v>
      </c>
      <c r="JM100">
        <v>0</v>
      </c>
      <c r="JN100">
        <v>2279</v>
      </c>
      <c r="JO100">
        <v>0</v>
      </c>
      <c r="JP100">
        <v>1273</v>
      </c>
      <c r="JQ100">
        <v>0</v>
      </c>
      <c r="JR100">
        <v>394407</v>
      </c>
      <c r="JS100">
        <v>-80</v>
      </c>
      <c r="JT100">
        <v>0</v>
      </c>
      <c r="JU100">
        <v>0</v>
      </c>
      <c r="JV100">
        <v>0</v>
      </c>
      <c r="JW100">
        <v>-3234</v>
      </c>
      <c r="JX100">
        <v>0</v>
      </c>
      <c r="JY100">
        <v>0</v>
      </c>
      <c r="JZ100">
        <v>0</v>
      </c>
      <c r="KA100">
        <v>0</v>
      </c>
      <c r="KB100">
        <v>0</v>
      </c>
      <c r="KC100">
        <v>391093</v>
      </c>
      <c r="KD100">
        <v>0</v>
      </c>
      <c r="KE100">
        <v>-51486</v>
      </c>
      <c r="KF100">
        <v>339607</v>
      </c>
      <c r="KG100">
        <v>0</v>
      </c>
      <c r="KH100">
        <v>0</v>
      </c>
      <c r="KI100">
        <v>0</v>
      </c>
      <c r="KJ100">
        <v>0</v>
      </c>
      <c r="KK100">
        <v>11086</v>
      </c>
      <c r="KL100">
        <v>1528</v>
      </c>
      <c r="KM100">
        <v>0</v>
      </c>
      <c r="KN100">
        <v>-206232</v>
      </c>
      <c r="KO100">
        <v>0</v>
      </c>
      <c r="KP100">
        <v>118</v>
      </c>
      <c r="KQ100">
        <v>0</v>
      </c>
      <c r="KR100">
        <v>143618</v>
      </c>
      <c r="KS100">
        <v>0</v>
      </c>
      <c r="KT100">
        <v>0</v>
      </c>
      <c r="KU100">
        <v>0</v>
      </c>
      <c r="KV100">
        <v>31687</v>
      </c>
      <c r="KW100">
        <v>14401</v>
      </c>
      <c r="KX100">
        <v>0</v>
      </c>
      <c r="KY100">
        <v>0</v>
      </c>
      <c r="KZ100">
        <v>0</v>
      </c>
      <c r="LA100">
        <v>42773</v>
      </c>
      <c r="LB100">
        <v>15929</v>
      </c>
      <c r="LC100">
        <v>0</v>
      </c>
      <c r="LD100">
        <v>13566</v>
      </c>
      <c r="LE100">
        <v>0</v>
      </c>
      <c r="LF100">
        <v>1271</v>
      </c>
      <c r="LG100">
        <v>-928</v>
      </c>
      <c r="LH100">
        <v>13</v>
      </c>
      <c r="LI100">
        <v>13995</v>
      </c>
      <c r="LJ100">
        <v>0</v>
      </c>
      <c r="LK100">
        <v>0</v>
      </c>
      <c r="LL100">
        <v>0</v>
      </c>
      <c r="LM100">
        <v>0</v>
      </c>
      <c r="LN100">
        <v>0</v>
      </c>
      <c r="LO100">
        <v>0</v>
      </c>
      <c r="LP100">
        <v>0</v>
      </c>
      <c r="LQ100">
        <v>0</v>
      </c>
      <c r="LR100">
        <v>0</v>
      </c>
      <c r="LS100">
        <v>0</v>
      </c>
      <c r="LT100">
        <v>0</v>
      </c>
      <c r="LU100">
        <v>0</v>
      </c>
      <c r="LV100">
        <v>0</v>
      </c>
      <c r="LW100">
        <v>0</v>
      </c>
      <c r="LX100">
        <v>0</v>
      </c>
      <c r="LY100">
        <v>0</v>
      </c>
      <c r="LZ100">
        <v>0</v>
      </c>
      <c r="MA100">
        <v>0</v>
      </c>
      <c r="MB100">
        <v>0</v>
      </c>
      <c r="MC100">
        <v>0</v>
      </c>
      <c r="MD100">
        <v>385606</v>
      </c>
      <c r="ME100">
        <v>0</v>
      </c>
      <c r="MF100">
        <v>2062</v>
      </c>
      <c r="MG100">
        <v>0</v>
      </c>
      <c r="MH100">
        <v>387668</v>
      </c>
      <c r="MI100">
        <v>0</v>
      </c>
      <c r="MJ100">
        <v>0</v>
      </c>
      <c r="MK100">
        <v>0</v>
      </c>
      <c r="ML100">
        <v>0</v>
      </c>
      <c r="MM100">
        <v>0</v>
      </c>
      <c r="MN100">
        <v>0</v>
      </c>
      <c r="MO100">
        <v>0</v>
      </c>
      <c r="MP100">
        <v>0</v>
      </c>
      <c r="MQ100">
        <v>0</v>
      </c>
      <c r="MR100">
        <v>0</v>
      </c>
      <c r="MS100">
        <v>0</v>
      </c>
      <c r="MT100">
        <v>0</v>
      </c>
      <c r="MU100">
        <v>0</v>
      </c>
      <c r="MV100">
        <v>0</v>
      </c>
      <c r="MW100">
        <v>0</v>
      </c>
      <c r="MX100">
        <v>0</v>
      </c>
      <c r="MY100">
        <v>0</v>
      </c>
      <c r="MZ100">
        <v>0</v>
      </c>
      <c r="NA100">
        <v>0</v>
      </c>
      <c r="NB100">
        <v>0</v>
      </c>
      <c r="NC100">
        <v>0</v>
      </c>
      <c r="ND100">
        <v>0</v>
      </c>
      <c r="NE100">
        <v>0</v>
      </c>
      <c r="NF100">
        <v>0</v>
      </c>
      <c r="NG100">
        <v>0</v>
      </c>
      <c r="NH100">
        <v>0</v>
      </c>
      <c r="NI100">
        <v>0</v>
      </c>
      <c r="NJ100">
        <v>0</v>
      </c>
      <c r="NK100">
        <v>0</v>
      </c>
      <c r="NL100">
        <v>0</v>
      </c>
      <c r="NM100">
        <v>0</v>
      </c>
      <c r="NN100">
        <v>0</v>
      </c>
      <c r="NO100">
        <v>0</v>
      </c>
      <c r="NP100">
        <v>0</v>
      </c>
      <c r="NQ100">
        <v>0</v>
      </c>
      <c r="NR100">
        <v>0</v>
      </c>
      <c r="NS100">
        <v>0</v>
      </c>
      <c r="NT100">
        <v>0</v>
      </c>
      <c r="NU100">
        <v>0</v>
      </c>
      <c r="NV100">
        <v>0</v>
      </c>
      <c r="NW100">
        <v>0</v>
      </c>
      <c r="NX100">
        <v>0</v>
      </c>
      <c r="NY100">
        <v>0</v>
      </c>
      <c r="NZ100">
        <v>0</v>
      </c>
      <c r="OA100">
        <v>0</v>
      </c>
      <c r="OB100">
        <v>0</v>
      </c>
      <c r="OC100">
        <v>0</v>
      </c>
      <c r="OD100">
        <v>0</v>
      </c>
      <c r="OE100">
        <v>0</v>
      </c>
      <c r="OF100">
        <v>0</v>
      </c>
      <c r="OG100">
        <v>0</v>
      </c>
      <c r="OH100">
        <v>0</v>
      </c>
      <c r="OI100">
        <v>0</v>
      </c>
      <c r="OJ100">
        <v>0</v>
      </c>
      <c r="OK100">
        <v>0</v>
      </c>
      <c r="OL100">
        <v>0</v>
      </c>
      <c r="OM100">
        <v>0</v>
      </c>
      <c r="ON100">
        <v>0</v>
      </c>
    </row>
    <row r="101" spans="1:404" x14ac:dyDescent="0.25">
      <c r="A101" t="s">
        <v>367</v>
      </c>
      <c r="B101" t="s">
        <v>368</v>
      </c>
      <c r="C101" t="s">
        <v>5421</v>
      </c>
      <c r="E101" t="s">
        <v>5408</v>
      </c>
      <c r="F101">
        <v>0</v>
      </c>
      <c r="G101">
        <v>0</v>
      </c>
      <c r="H101">
        <v>0</v>
      </c>
      <c r="I101">
        <v>0</v>
      </c>
      <c r="J101">
        <v>0</v>
      </c>
      <c r="K101">
        <v>0</v>
      </c>
      <c r="L101">
        <v>0</v>
      </c>
      <c r="M101">
        <v>0</v>
      </c>
      <c r="N101">
        <v>0</v>
      </c>
      <c r="O101">
        <v>0</v>
      </c>
      <c r="P101">
        <v>0</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c r="AN101">
        <v>0</v>
      </c>
      <c r="AO101">
        <v>0</v>
      </c>
      <c r="AP101">
        <v>0</v>
      </c>
      <c r="AQ101">
        <v>0</v>
      </c>
      <c r="AR101">
        <v>0</v>
      </c>
      <c r="AS101">
        <v>0</v>
      </c>
      <c r="AT101">
        <v>0</v>
      </c>
      <c r="AU101">
        <v>0</v>
      </c>
      <c r="AV101">
        <v>0</v>
      </c>
      <c r="AW101">
        <v>0</v>
      </c>
      <c r="AX101">
        <v>0</v>
      </c>
      <c r="AY101">
        <v>0</v>
      </c>
      <c r="AZ101">
        <v>0</v>
      </c>
      <c r="BA101">
        <v>0</v>
      </c>
      <c r="BB101">
        <v>0</v>
      </c>
      <c r="BC101">
        <v>0</v>
      </c>
      <c r="BD101">
        <v>0</v>
      </c>
      <c r="BE101">
        <v>0</v>
      </c>
      <c r="BF101">
        <v>0</v>
      </c>
      <c r="BG101">
        <v>0</v>
      </c>
      <c r="BH101">
        <v>0</v>
      </c>
      <c r="BI101">
        <v>0</v>
      </c>
      <c r="BJ101">
        <v>0</v>
      </c>
      <c r="BK101">
        <v>0</v>
      </c>
      <c r="BL101">
        <v>0</v>
      </c>
      <c r="BM101">
        <v>0</v>
      </c>
      <c r="BN101">
        <v>0</v>
      </c>
      <c r="BO101">
        <v>0</v>
      </c>
      <c r="BP101">
        <v>0</v>
      </c>
      <c r="BQ101">
        <v>0</v>
      </c>
      <c r="BR101">
        <v>0</v>
      </c>
      <c r="BS101">
        <v>0</v>
      </c>
      <c r="BT101">
        <v>0</v>
      </c>
      <c r="BU101">
        <v>0</v>
      </c>
      <c r="BV101">
        <v>0</v>
      </c>
      <c r="BW101">
        <v>0</v>
      </c>
      <c r="BX101">
        <v>0</v>
      </c>
      <c r="BY101">
        <v>0</v>
      </c>
      <c r="BZ101">
        <v>0</v>
      </c>
      <c r="CA101">
        <v>0</v>
      </c>
      <c r="CB101">
        <v>0</v>
      </c>
      <c r="CC101">
        <v>0</v>
      </c>
      <c r="CD101">
        <v>0</v>
      </c>
      <c r="CE101">
        <v>0</v>
      </c>
      <c r="CF101">
        <v>0</v>
      </c>
      <c r="CG101">
        <v>0</v>
      </c>
      <c r="CH101">
        <v>0</v>
      </c>
      <c r="CI101">
        <v>0</v>
      </c>
      <c r="CJ101">
        <v>0</v>
      </c>
      <c r="CK101">
        <v>0</v>
      </c>
      <c r="CL101">
        <v>0</v>
      </c>
      <c r="CM101">
        <v>0</v>
      </c>
      <c r="CN101">
        <v>0</v>
      </c>
      <c r="CO101">
        <v>0</v>
      </c>
      <c r="CP101">
        <v>0</v>
      </c>
      <c r="CQ101">
        <v>0</v>
      </c>
      <c r="CR101">
        <v>0</v>
      </c>
      <c r="CS101">
        <v>0</v>
      </c>
      <c r="CT101">
        <v>0</v>
      </c>
      <c r="CU101">
        <v>0</v>
      </c>
      <c r="CV101">
        <v>0</v>
      </c>
      <c r="CW101">
        <v>0</v>
      </c>
      <c r="CX101">
        <v>0</v>
      </c>
      <c r="CY101">
        <v>0</v>
      </c>
      <c r="CZ101">
        <v>0</v>
      </c>
      <c r="DA101">
        <v>0</v>
      </c>
      <c r="DB101">
        <v>0</v>
      </c>
      <c r="DC101">
        <v>0</v>
      </c>
      <c r="DD101">
        <v>0</v>
      </c>
      <c r="DE101">
        <v>0</v>
      </c>
      <c r="DF101">
        <v>0</v>
      </c>
      <c r="DG101">
        <v>0</v>
      </c>
      <c r="DH101">
        <v>0</v>
      </c>
      <c r="DI101">
        <v>0</v>
      </c>
      <c r="DJ101">
        <v>0</v>
      </c>
      <c r="DK101">
        <v>0</v>
      </c>
      <c r="DL101">
        <v>0</v>
      </c>
      <c r="DM101">
        <v>0</v>
      </c>
      <c r="DN101">
        <v>0</v>
      </c>
      <c r="DO101">
        <v>0</v>
      </c>
      <c r="DP101">
        <v>0</v>
      </c>
      <c r="DQ101">
        <v>0</v>
      </c>
      <c r="DR101">
        <v>0</v>
      </c>
      <c r="DS101">
        <v>0</v>
      </c>
      <c r="DT101">
        <v>0</v>
      </c>
      <c r="DU101">
        <v>0</v>
      </c>
      <c r="DV101">
        <v>0</v>
      </c>
      <c r="DW101">
        <v>0</v>
      </c>
      <c r="DX101">
        <v>0</v>
      </c>
      <c r="DY101">
        <v>0</v>
      </c>
      <c r="DZ101">
        <v>0</v>
      </c>
      <c r="EA101">
        <v>0</v>
      </c>
      <c r="EB101">
        <v>0</v>
      </c>
      <c r="EC101">
        <v>0</v>
      </c>
      <c r="ED101">
        <v>0</v>
      </c>
      <c r="EE101">
        <v>0</v>
      </c>
      <c r="EF101">
        <v>0</v>
      </c>
      <c r="EG101">
        <v>0</v>
      </c>
      <c r="EH101">
        <v>0</v>
      </c>
      <c r="EI101">
        <v>0</v>
      </c>
      <c r="EJ101">
        <v>0</v>
      </c>
      <c r="EK101">
        <v>0</v>
      </c>
      <c r="EL101">
        <v>0</v>
      </c>
      <c r="EM101">
        <v>0</v>
      </c>
      <c r="EN101">
        <v>0</v>
      </c>
      <c r="EO101">
        <v>0</v>
      </c>
      <c r="EP101">
        <v>0</v>
      </c>
      <c r="EQ101">
        <v>0</v>
      </c>
      <c r="ER101">
        <v>0</v>
      </c>
      <c r="ES101">
        <v>0</v>
      </c>
      <c r="ET101">
        <v>0</v>
      </c>
      <c r="EU101">
        <v>0</v>
      </c>
      <c r="EV101">
        <v>0</v>
      </c>
      <c r="EW101">
        <v>0</v>
      </c>
      <c r="EX101">
        <v>0</v>
      </c>
      <c r="EY101">
        <v>0</v>
      </c>
      <c r="EZ101">
        <v>0</v>
      </c>
      <c r="FA101">
        <v>0</v>
      </c>
      <c r="FB101">
        <v>0</v>
      </c>
      <c r="FC101">
        <v>0</v>
      </c>
      <c r="FD101">
        <v>0</v>
      </c>
      <c r="FE101">
        <v>0</v>
      </c>
      <c r="FF101">
        <v>0</v>
      </c>
      <c r="FG101">
        <v>0</v>
      </c>
      <c r="FH101">
        <v>0</v>
      </c>
      <c r="FI101">
        <v>0</v>
      </c>
      <c r="FJ101">
        <v>0</v>
      </c>
      <c r="FK101">
        <v>0</v>
      </c>
      <c r="FL101">
        <v>0</v>
      </c>
      <c r="FM101">
        <v>0</v>
      </c>
      <c r="FN101">
        <v>0</v>
      </c>
      <c r="FO101">
        <v>0</v>
      </c>
      <c r="FP101">
        <v>0</v>
      </c>
      <c r="FQ101">
        <v>0</v>
      </c>
      <c r="FR101">
        <v>0</v>
      </c>
      <c r="FS101">
        <v>0</v>
      </c>
      <c r="FT101">
        <v>0</v>
      </c>
      <c r="FU101">
        <v>0</v>
      </c>
      <c r="FV101">
        <v>0</v>
      </c>
      <c r="FW101">
        <v>0</v>
      </c>
      <c r="FX101">
        <v>0</v>
      </c>
      <c r="FY101">
        <v>0</v>
      </c>
      <c r="FZ101">
        <v>0</v>
      </c>
      <c r="GA101">
        <v>0</v>
      </c>
      <c r="GB101">
        <v>0</v>
      </c>
      <c r="GC101">
        <v>0</v>
      </c>
      <c r="GD101">
        <v>0</v>
      </c>
      <c r="GE101">
        <v>0</v>
      </c>
      <c r="GF101">
        <v>0</v>
      </c>
      <c r="GG101">
        <v>0</v>
      </c>
      <c r="GH101">
        <v>0</v>
      </c>
      <c r="GI101">
        <v>0</v>
      </c>
      <c r="GJ101">
        <v>0</v>
      </c>
      <c r="GK101">
        <v>0</v>
      </c>
      <c r="GL101">
        <v>0</v>
      </c>
      <c r="GM101">
        <v>0</v>
      </c>
      <c r="GN101">
        <v>0</v>
      </c>
      <c r="GO101">
        <v>0</v>
      </c>
      <c r="GP101">
        <v>0</v>
      </c>
      <c r="GQ101">
        <v>0</v>
      </c>
      <c r="GR101">
        <v>0</v>
      </c>
      <c r="GS101">
        <v>0</v>
      </c>
      <c r="GT101">
        <v>0</v>
      </c>
      <c r="GU101">
        <v>0</v>
      </c>
      <c r="GV101">
        <v>0</v>
      </c>
      <c r="GW101">
        <v>0</v>
      </c>
      <c r="GX101">
        <v>7899</v>
      </c>
      <c r="GY101">
        <v>78194</v>
      </c>
      <c r="GZ101">
        <v>280</v>
      </c>
      <c r="HA101">
        <v>86373</v>
      </c>
      <c r="HB101">
        <v>733</v>
      </c>
      <c r="HC101">
        <v>0</v>
      </c>
      <c r="HD101">
        <v>0</v>
      </c>
      <c r="HE101">
        <v>0</v>
      </c>
      <c r="HF101">
        <v>0</v>
      </c>
      <c r="HG101">
        <v>0</v>
      </c>
      <c r="HH101">
        <v>0</v>
      </c>
      <c r="HI101">
        <v>0</v>
      </c>
      <c r="HJ101">
        <v>0</v>
      </c>
      <c r="HK101">
        <v>0</v>
      </c>
      <c r="HL101">
        <v>0</v>
      </c>
      <c r="HM101">
        <v>0</v>
      </c>
      <c r="HN101">
        <v>0</v>
      </c>
      <c r="HO101">
        <v>0</v>
      </c>
      <c r="HP101">
        <v>0</v>
      </c>
      <c r="HQ101">
        <v>0</v>
      </c>
      <c r="HR101">
        <v>0</v>
      </c>
      <c r="HS101">
        <v>0</v>
      </c>
      <c r="HT101">
        <v>0</v>
      </c>
      <c r="HU101">
        <v>0</v>
      </c>
      <c r="HV101">
        <v>733</v>
      </c>
      <c r="HW101">
        <v>474</v>
      </c>
      <c r="HX101">
        <v>25275</v>
      </c>
      <c r="HY101">
        <v>0</v>
      </c>
      <c r="HZ101">
        <v>0</v>
      </c>
      <c r="IA101">
        <v>764</v>
      </c>
      <c r="IB101">
        <v>0</v>
      </c>
      <c r="IC101">
        <v>0</v>
      </c>
      <c r="ID101">
        <v>0</v>
      </c>
      <c r="IE101">
        <v>0</v>
      </c>
      <c r="IF101">
        <v>0</v>
      </c>
      <c r="IG101">
        <v>0</v>
      </c>
      <c r="IH101">
        <v>0</v>
      </c>
      <c r="II101">
        <v>0</v>
      </c>
      <c r="IJ101">
        <v>0</v>
      </c>
      <c r="IK101">
        <v>0</v>
      </c>
      <c r="IL101">
        <v>0</v>
      </c>
      <c r="IM101">
        <v>86373</v>
      </c>
      <c r="IN101">
        <v>733</v>
      </c>
      <c r="IO101">
        <v>0</v>
      </c>
      <c r="IP101">
        <v>87106</v>
      </c>
      <c r="IQ101">
        <v>0</v>
      </c>
      <c r="IR101">
        <v>0</v>
      </c>
      <c r="IS101">
        <v>0</v>
      </c>
      <c r="IT101">
        <v>0</v>
      </c>
      <c r="IU101">
        <v>0</v>
      </c>
      <c r="IV101">
        <v>0</v>
      </c>
      <c r="IW101">
        <v>0</v>
      </c>
      <c r="IX101">
        <v>0</v>
      </c>
      <c r="IY101">
        <v>0</v>
      </c>
      <c r="IZ101">
        <v>0</v>
      </c>
      <c r="JA101">
        <v>0</v>
      </c>
      <c r="JB101">
        <v>0</v>
      </c>
      <c r="JC101">
        <v>0</v>
      </c>
      <c r="JD101">
        <v>0</v>
      </c>
      <c r="JE101">
        <v>-159</v>
      </c>
      <c r="JF101">
        <v>0</v>
      </c>
      <c r="JG101">
        <v>86947</v>
      </c>
      <c r="JH101">
        <v>0</v>
      </c>
      <c r="JI101">
        <v>6210</v>
      </c>
      <c r="JJ101">
        <v>0</v>
      </c>
      <c r="JK101">
        <v>0</v>
      </c>
      <c r="JL101">
        <v>0</v>
      </c>
      <c r="JM101">
        <v>-600</v>
      </c>
      <c r="JN101">
        <v>2117</v>
      </c>
      <c r="JO101">
        <v>0</v>
      </c>
      <c r="JP101">
        <v>1145</v>
      </c>
      <c r="JQ101">
        <v>0</v>
      </c>
      <c r="JR101">
        <v>95819</v>
      </c>
      <c r="JS101">
        <v>-93</v>
      </c>
      <c r="JT101">
        <v>0</v>
      </c>
      <c r="JU101">
        <v>0</v>
      </c>
      <c r="JV101">
        <v>0</v>
      </c>
      <c r="JW101">
        <v>0</v>
      </c>
      <c r="JX101">
        <v>0</v>
      </c>
      <c r="JY101">
        <v>0</v>
      </c>
      <c r="JZ101">
        <v>0</v>
      </c>
      <c r="KA101">
        <v>0</v>
      </c>
      <c r="KB101">
        <v>0</v>
      </c>
      <c r="KC101">
        <v>95726</v>
      </c>
      <c r="KD101">
        <v>0</v>
      </c>
      <c r="KE101">
        <v>-6636</v>
      </c>
      <c r="KF101">
        <v>89090</v>
      </c>
      <c r="KG101">
        <v>0</v>
      </c>
      <c r="KH101">
        <v>0</v>
      </c>
      <c r="KI101">
        <v>0</v>
      </c>
      <c r="KJ101">
        <v>0</v>
      </c>
      <c r="KK101">
        <v>-8714</v>
      </c>
      <c r="KL101">
        <v>-1232</v>
      </c>
      <c r="KM101">
        <v>-6424</v>
      </c>
      <c r="KN101">
        <v>0</v>
      </c>
      <c r="KO101">
        <v>-14536</v>
      </c>
      <c r="KP101">
        <v>59</v>
      </c>
      <c r="KQ101">
        <v>0</v>
      </c>
      <c r="KR101">
        <v>54850</v>
      </c>
      <c r="KS101">
        <v>0</v>
      </c>
      <c r="KT101">
        <v>0</v>
      </c>
      <c r="KU101">
        <v>0</v>
      </c>
      <c r="KV101">
        <v>40470</v>
      </c>
      <c r="KW101">
        <v>5283</v>
      </c>
      <c r="KX101">
        <v>0</v>
      </c>
      <c r="KY101">
        <v>0</v>
      </c>
      <c r="KZ101">
        <v>0</v>
      </c>
      <c r="LA101">
        <v>31756</v>
      </c>
      <c r="LB101">
        <v>4051</v>
      </c>
      <c r="LC101">
        <v>0</v>
      </c>
      <c r="LD101">
        <v>8060</v>
      </c>
      <c r="LE101">
        <v>0</v>
      </c>
      <c r="LF101">
        <v>710</v>
      </c>
      <c r="LG101">
        <v>0</v>
      </c>
      <c r="LH101">
        <v>0</v>
      </c>
      <c r="LI101">
        <v>8770</v>
      </c>
      <c r="LJ101">
        <v>0</v>
      </c>
      <c r="LK101">
        <v>0</v>
      </c>
      <c r="LL101">
        <v>0</v>
      </c>
      <c r="LM101">
        <v>0</v>
      </c>
      <c r="LN101">
        <v>0</v>
      </c>
      <c r="LO101">
        <v>0</v>
      </c>
      <c r="LP101">
        <v>0</v>
      </c>
      <c r="LQ101">
        <v>0</v>
      </c>
      <c r="LR101">
        <v>0</v>
      </c>
      <c r="LS101">
        <v>0</v>
      </c>
      <c r="LT101">
        <v>0</v>
      </c>
      <c r="LU101">
        <v>0</v>
      </c>
      <c r="LV101">
        <v>0</v>
      </c>
      <c r="LW101">
        <v>0</v>
      </c>
      <c r="LX101">
        <v>0</v>
      </c>
      <c r="LY101">
        <v>0</v>
      </c>
      <c r="LZ101">
        <v>0</v>
      </c>
      <c r="MA101">
        <v>0</v>
      </c>
      <c r="MB101">
        <v>0</v>
      </c>
      <c r="MC101">
        <v>0</v>
      </c>
      <c r="MD101">
        <v>0</v>
      </c>
      <c r="ME101">
        <v>86373</v>
      </c>
      <c r="MF101">
        <v>733</v>
      </c>
      <c r="MG101">
        <v>0</v>
      </c>
      <c r="MH101">
        <v>87106</v>
      </c>
      <c r="MI101">
        <v>0</v>
      </c>
      <c r="MJ101">
        <v>0</v>
      </c>
      <c r="MK101">
        <v>0</v>
      </c>
      <c r="ML101">
        <v>0</v>
      </c>
      <c r="MM101">
        <v>0</v>
      </c>
      <c r="MN101">
        <v>0</v>
      </c>
      <c r="MO101">
        <v>0</v>
      </c>
      <c r="MP101">
        <v>0</v>
      </c>
      <c r="MQ101">
        <v>0</v>
      </c>
      <c r="MR101">
        <v>0</v>
      </c>
      <c r="MS101">
        <v>0</v>
      </c>
      <c r="MT101">
        <v>0</v>
      </c>
      <c r="MU101">
        <v>0</v>
      </c>
      <c r="MV101">
        <v>0</v>
      </c>
      <c r="MW101">
        <v>0</v>
      </c>
      <c r="MX101">
        <v>0</v>
      </c>
      <c r="MY101">
        <v>0</v>
      </c>
      <c r="MZ101">
        <v>0</v>
      </c>
      <c r="NA101">
        <v>0</v>
      </c>
      <c r="NB101">
        <v>0</v>
      </c>
      <c r="NC101">
        <v>0</v>
      </c>
      <c r="ND101">
        <v>0</v>
      </c>
      <c r="NE101">
        <v>0</v>
      </c>
      <c r="NF101">
        <v>0</v>
      </c>
      <c r="NG101">
        <v>0</v>
      </c>
      <c r="NH101">
        <v>0</v>
      </c>
      <c r="NI101">
        <v>0</v>
      </c>
      <c r="NJ101">
        <v>0</v>
      </c>
      <c r="NK101">
        <v>0</v>
      </c>
      <c r="NL101">
        <v>0</v>
      </c>
      <c r="NM101">
        <v>0</v>
      </c>
      <c r="NN101">
        <v>0</v>
      </c>
      <c r="NO101">
        <v>0</v>
      </c>
      <c r="NP101">
        <v>0</v>
      </c>
      <c r="NQ101">
        <v>0</v>
      </c>
      <c r="NR101">
        <v>0</v>
      </c>
      <c r="NS101">
        <v>0</v>
      </c>
      <c r="NT101">
        <v>0</v>
      </c>
      <c r="NU101">
        <v>0</v>
      </c>
      <c r="NV101">
        <v>0</v>
      </c>
      <c r="NW101">
        <v>0</v>
      </c>
      <c r="NX101">
        <v>0</v>
      </c>
      <c r="NY101">
        <v>0</v>
      </c>
      <c r="NZ101">
        <v>0</v>
      </c>
      <c r="OA101">
        <v>0</v>
      </c>
      <c r="OB101">
        <v>0</v>
      </c>
      <c r="OC101">
        <v>0</v>
      </c>
      <c r="OD101">
        <v>0</v>
      </c>
      <c r="OE101">
        <v>0</v>
      </c>
      <c r="OF101">
        <v>0</v>
      </c>
      <c r="OG101">
        <v>0</v>
      </c>
      <c r="OH101">
        <v>0</v>
      </c>
      <c r="OI101">
        <v>0</v>
      </c>
      <c r="OJ101">
        <v>0</v>
      </c>
      <c r="OK101">
        <v>0</v>
      </c>
      <c r="OL101">
        <v>0</v>
      </c>
      <c r="OM101">
        <v>0</v>
      </c>
      <c r="ON101">
        <v>0</v>
      </c>
    </row>
    <row r="102" spans="1:404" x14ac:dyDescent="0.25">
      <c r="A102" t="s">
        <v>370</v>
      </c>
      <c r="B102" t="s">
        <v>371</v>
      </c>
      <c r="C102" t="s">
        <v>369</v>
      </c>
      <c r="E102" t="s">
        <v>97</v>
      </c>
      <c r="F102">
        <v>20363</v>
      </c>
      <c r="G102">
        <v>53086</v>
      </c>
      <c r="H102">
        <v>4582</v>
      </c>
      <c r="I102">
        <v>19716</v>
      </c>
      <c r="J102">
        <v>3651</v>
      </c>
      <c r="K102">
        <v>19214</v>
      </c>
      <c r="L102">
        <v>120612</v>
      </c>
      <c r="M102">
        <v>689</v>
      </c>
      <c r="N102">
        <v>0</v>
      </c>
      <c r="O102">
        <v>0</v>
      </c>
      <c r="P102">
        <v>1063</v>
      </c>
      <c r="Q102">
        <v>13</v>
      </c>
      <c r="R102">
        <v>0</v>
      </c>
      <c r="S102">
        <v>2043</v>
      </c>
      <c r="T102">
        <v>1178</v>
      </c>
      <c r="U102">
        <v>2872</v>
      </c>
      <c r="V102">
        <v>0</v>
      </c>
      <c r="W102">
        <v>-736</v>
      </c>
      <c r="X102">
        <v>313</v>
      </c>
      <c r="Y102">
        <v>-10</v>
      </c>
      <c r="Z102">
        <v>-79</v>
      </c>
      <c r="AA102">
        <v>-47</v>
      </c>
      <c r="AB102">
        <v>0</v>
      </c>
      <c r="AC102">
        <v>0</v>
      </c>
      <c r="AD102">
        <v>0</v>
      </c>
      <c r="AE102">
        <v>0</v>
      </c>
      <c r="AF102">
        <v>0</v>
      </c>
      <c r="AG102">
        <v>0</v>
      </c>
      <c r="AH102">
        <v>0</v>
      </c>
      <c r="AI102">
        <v>7299</v>
      </c>
      <c r="AJ102">
        <v>0</v>
      </c>
      <c r="AK102">
        <v>0</v>
      </c>
      <c r="AL102">
        <v>0</v>
      </c>
      <c r="AM102">
        <v>0</v>
      </c>
      <c r="AN102">
        <v>0</v>
      </c>
      <c r="AO102">
        <v>0</v>
      </c>
      <c r="AP102">
        <v>0</v>
      </c>
      <c r="AQ102">
        <v>350</v>
      </c>
      <c r="AR102">
        <v>258</v>
      </c>
      <c r="AS102">
        <v>0</v>
      </c>
      <c r="AT102">
        <v>0</v>
      </c>
      <c r="AU102">
        <v>0</v>
      </c>
      <c r="AV102">
        <v>3560</v>
      </c>
      <c r="AW102">
        <v>48314</v>
      </c>
      <c r="AX102">
        <v>2508</v>
      </c>
      <c r="AY102">
        <v>7404</v>
      </c>
      <c r="AZ102">
        <v>1470</v>
      </c>
      <c r="BA102">
        <v>20396</v>
      </c>
      <c r="BB102">
        <v>0</v>
      </c>
      <c r="BC102">
        <v>1892</v>
      </c>
      <c r="BD102">
        <v>85544</v>
      </c>
      <c r="BE102">
        <v>3658</v>
      </c>
      <c r="BF102">
        <v>20887</v>
      </c>
      <c r="BG102">
        <v>393</v>
      </c>
      <c r="BH102">
        <v>892</v>
      </c>
      <c r="BI102">
        <v>97</v>
      </c>
      <c r="BJ102">
        <v>3180</v>
      </c>
      <c r="BK102">
        <v>29441</v>
      </c>
      <c r="BL102">
        <v>942</v>
      </c>
      <c r="BM102">
        <v>2471</v>
      </c>
      <c r="BN102">
        <v>2996</v>
      </c>
      <c r="BO102">
        <v>0</v>
      </c>
      <c r="BP102">
        <v>304</v>
      </c>
      <c r="BQ102">
        <v>0</v>
      </c>
      <c r="BR102">
        <v>1621</v>
      </c>
      <c r="BS102">
        <v>2295</v>
      </c>
      <c r="BT102">
        <v>8478</v>
      </c>
      <c r="BU102">
        <v>207</v>
      </c>
      <c r="BV102">
        <v>8732</v>
      </c>
      <c r="BW102">
        <v>93785</v>
      </c>
      <c r="BX102">
        <v>1115</v>
      </c>
      <c r="BY102">
        <v>974</v>
      </c>
      <c r="BZ102">
        <v>299</v>
      </c>
      <c r="CA102">
        <v>45</v>
      </c>
      <c r="CB102">
        <v>671</v>
      </c>
      <c r="CC102">
        <v>4</v>
      </c>
      <c r="CD102">
        <v>727</v>
      </c>
      <c r="CE102">
        <v>104</v>
      </c>
      <c r="CF102">
        <v>0</v>
      </c>
      <c r="CG102">
        <v>542</v>
      </c>
      <c r="CH102">
        <v>345</v>
      </c>
      <c r="CI102">
        <v>1856</v>
      </c>
      <c r="CJ102">
        <v>1856</v>
      </c>
      <c r="CK102">
        <v>638</v>
      </c>
      <c r="CL102">
        <v>638</v>
      </c>
      <c r="CM102">
        <v>213</v>
      </c>
      <c r="CN102">
        <v>403</v>
      </c>
      <c r="CO102">
        <v>0</v>
      </c>
      <c r="CP102">
        <v>1623</v>
      </c>
      <c r="CQ102">
        <v>5919</v>
      </c>
      <c r="CR102">
        <v>403</v>
      </c>
      <c r="CS102">
        <v>0</v>
      </c>
      <c r="CT102">
        <v>550</v>
      </c>
      <c r="CU102">
        <v>3668</v>
      </c>
      <c r="CV102">
        <v>31073</v>
      </c>
      <c r="CW102">
        <v>132</v>
      </c>
      <c r="CX102">
        <v>0</v>
      </c>
      <c r="CY102">
        <v>88</v>
      </c>
      <c r="CZ102">
        <v>0</v>
      </c>
      <c r="DA102">
        <v>0</v>
      </c>
      <c r="DB102">
        <v>0</v>
      </c>
      <c r="DC102">
        <v>125</v>
      </c>
      <c r="DD102">
        <v>0</v>
      </c>
      <c r="DE102">
        <v>14</v>
      </c>
      <c r="DF102">
        <v>0</v>
      </c>
      <c r="DG102">
        <v>0</v>
      </c>
      <c r="DH102">
        <v>0</v>
      </c>
      <c r="DI102">
        <v>0</v>
      </c>
      <c r="DJ102">
        <v>1352</v>
      </c>
      <c r="DK102">
        <v>0</v>
      </c>
      <c r="DL102">
        <v>0</v>
      </c>
      <c r="DM102">
        <v>0</v>
      </c>
      <c r="DN102">
        <v>535</v>
      </c>
      <c r="DO102">
        <v>1717</v>
      </c>
      <c r="DP102">
        <v>3604</v>
      </c>
      <c r="DQ102">
        <v>702</v>
      </c>
      <c r="DR102">
        <v>0</v>
      </c>
      <c r="DS102">
        <v>0</v>
      </c>
      <c r="DT102">
        <v>1020</v>
      </c>
      <c r="DU102">
        <v>-1</v>
      </c>
      <c r="DV102">
        <v>2158</v>
      </c>
      <c r="DW102">
        <v>0</v>
      </c>
      <c r="DX102">
        <v>7622</v>
      </c>
      <c r="DY102">
        <v>75703</v>
      </c>
      <c r="DZ102">
        <v>837</v>
      </c>
      <c r="EA102">
        <v>599</v>
      </c>
      <c r="EB102">
        <v>686</v>
      </c>
      <c r="EC102">
        <v>0</v>
      </c>
      <c r="ED102">
        <v>0</v>
      </c>
      <c r="EE102">
        <v>56</v>
      </c>
      <c r="EF102">
        <v>0</v>
      </c>
      <c r="EG102">
        <v>0</v>
      </c>
      <c r="EH102">
        <v>14357</v>
      </c>
      <c r="EI102">
        <v>19241</v>
      </c>
      <c r="EJ102">
        <v>3380</v>
      </c>
      <c r="EK102">
        <v>1430</v>
      </c>
      <c r="EL102">
        <v>0</v>
      </c>
      <c r="EM102">
        <v>18645</v>
      </c>
      <c r="EN102">
        <v>9660</v>
      </c>
      <c r="EO102">
        <v>6</v>
      </c>
      <c r="EP102">
        <v>12739</v>
      </c>
      <c r="EQ102">
        <v>0</v>
      </c>
      <c r="ER102">
        <v>0</v>
      </c>
      <c r="ES102">
        <v>8267</v>
      </c>
      <c r="ET102">
        <v>6690</v>
      </c>
      <c r="EU102">
        <v>226</v>
      </c>
      <c r="EV102">
        <v>557</v>
      </c>
      <c r="EW102">
        <v>567</v>
      </c>
      <c r="EX102">
        <v>1311</v>
      </c>
      <c r="EY102">
        <v>369</v>
      </c>
      <c r="EZ102">
        <v>0</v>
      </c>
      <c r="FA102">
        <v>0</v>
      </c>
      <c r="FB102">
        <v>183</v>
      </c>
      <c r="FC102">
        <v>2362</v>
      </c>
      <c r="FD102">
        <v>6063</v>
      </c>
      <c r="FE102">
        <v>0</v>
      </c>
      <c r="FF102">
        <v>705</v>
      </c>
      <c r="FG102">
        <v>2806</v>
      </c>
      <c r="FH102">
        <v>15149</v>
      </c>
      <c r="FI102">
        <v>-1191</v>
      </c>
      <c r="FJ102">
        <v>188</v>
      </c>
      <c r="FK102">
        <v>0</v>
      </c>
      <c r="FL102">
        <v>-11</v>
      </c>
      <c r="FM102">
        <v>888</v>
      </c>
      <c r="FN102">
        <v>0</v>
      </c>
      <c r="FO102">
        <v>67</v>
      </c>
      <c r="FP102">
        <v>0</v>
      </c>
      <c r="FQ102">
        <v>0</v>
      </c>
      <c r="FR102">
        <v>251</v>
      </c>
      <c r="FS102">
        <v>29</v>
      </c>
      <c r="FT102">
        <v>230</v>
      </c>
      <c r="FU102">
        <v>-158</v>
      </c>
      <c r="FV102">
        <v>1163</v>
      </c>
      <c r="FW102">
        <v>86</v>
      </c>
      <c r="FX102">
        <v>0</v>
      </c>
      <c r="FY102">
        <v>586</v>
      </c>
      <c r="FZ102">
        <v>416</v>
      </c>
      <c r="GA102">
        <v>1346</v>
      </c>
      <c r="GB102">
        <v>0</v>
      </c>
      <c r="GC102">
        <v>0</v>
      </c>
      <c r="GD102">
        <v>3312</v>
      </c>
      <c r="GE102">
        <v>5608</v>
      </c>
      <c r="GF102">
        <v>9839</v>
      </c>
      <c r="GG102">
        <v>0</v>
      </c>
      <c r="GH102">
        <v>3358</v>
      </c>
      <c r="GI102">
        <v>0</v>
      </c>
      <c r="GJ102">
        <v>0</v>
      </c>
      <c r="GK102">
        <v>26007</v>
      </c>
      <c r="GL102">
        <v>105</v>
      </c>
      <c r="GM102">
        <v>-1086</v>
      </c>
      <c r="GN102">
        <v>0</v>
      </c>
      <c r="GO102">
        <v>877</v>
      </c>
      <c r="GP102">
        <v>40</v>
      </c>
      <c r="GQ102">
        <v>3480</v>
      </c>
      <c r="GR102">
        <v>0</v>
      </c>
      <c r="GS102">
        <v>1039</v>
      </c>
      <c r="GT102">
        <v>3049</v>
      </c>
      <c r="GU102">
        <v>7504</v>
      </c>
      <c r="GV102">
        <v>48660</v>
      </c>
      <c r="GW102">
        <v>0</v>
      </c>
      <c r="GX102">
        <v>0</v>
      </c>
      <c r="GY102">
        <v>0</v>
      </c>
      <c r="GZ102">
        <v>0</v>
      </c>
      <c r="HA102">
        <v>0</v>
      </c>
      <c r="HB102">
        <v>4205</v>
      </c>
      <c r="HC102">
        <v>1431</v>
      </c>
      <c r="HD102">
        <v>0</v>
      </c>
      <c r="HE102">
        <v>1668</v>
      </c>
      <c r="HF102">
        <v>989</v>
      </c>
      <c r="HG102">
        <v>-38</v>
      </c>
      <c r="HH102">
        <v>0</v>
      </c>
      <c r="HI102">
        <v>-67</v>
      </c>
      <c r="HJ102">
        <v>573</v>
      </c>
      <c r="HK102">
        <v>512</v>
      </c>
      <c r="HL102">
        <v>648</v>
      </c>
      <c r="HM102">
        <v>-73</v>
      </c>
      <c r="HN102">
        <v>3328</v>
      </c>
      <c r="HO102">
        <v>130</v>
      </c>
      <c r="HP102">
        <v>1014</v>
      </c>
      <c r="HQ102">
        <v>0</v>
      </c>
      <c r="HR102">
        <v>5246</v>
      </c>
      <c r="HS102">
        <v>0</v>
      </c>
      <c r="HT102">
        <v>90</v>
      </c>
      <c r="HU102">
        <v>-761</v>
      </c>
      <c r="HV102">
        <v>18895</v>
      </c>
      <c r="HW102">
        <v>2874</v>
      </c>
      <c r="HX102">
        <v>33123</v>
      </c>
      <c r="HY102">
        <v>0</v>
      </c>
      <c r="HZ102">
        <v>0</v>
      </c>
      <c r="IA102">
        <v>0</v>
      </c>
      <c r="IB102">
        <v>0</v>
      </c>
      <c r="IC102">
        <v>120612</v>
      </c>
      <c r="ID102">
        <v>7299</v>
      </c>
      <c r="IE102">
        <v>85544</v>
      </c>
      <c r="IF102">
        <v>93785</v>
      </c>
      <c r="IG102">
        <v>31073</v>
      </c>
      <c r="IH102">
        <v>7622</v>
      </c>
      <c r="II102">
        <v>15149</v>
      </c>
      <c r="IJ102">
        <v>26007</v>
      </c>
      <c r="IK102">
        <v>7504</v>
      </c>
      <c r="IL102">
        <v>0</v>
      </c>
      <c r="IM102">
        <v>0</v>
      </c>
      <c r="IN102">
        <v>18895</v>
      </c>
      <c r="IO102">
        <v>0</v>
      </c>
      <c r="IP102">
        <v>413490</v>
      </c>
      <c r="IQ102">
        <v>29228</v>
      </c>
      <c r="IR102">
        <v>0</v>
      </c>
      <c r="IS102">
        <v>26549</v>
      </c>
      <c r="IT102">
        <v>0</v>
      </c>
      <c r="IU102">
        <v>0</v>
      </c>
      <c r="IV102">
        <v>2501</v>
      </c>
      <c r="IW102">
        <v>12257</v>
      </c>
      <c r="IX102">
        <v>0</v>
      </c>
      <c r="IY102">
        <v>0</v>
      </c>
      <c r="IZ102">
        <v>84</v>
      </c>
      <c r="JA102">
        <v>-1823</v>
      </c>
      <c r="JB102">
        <v>1010</v>
      </c>
      <c r="JC102">
        <v>0</v>
      </c>
      <c r="JD102">
        <v>0</v>
      </c>
      <c r="JE102">
        <v>-586</v>
      </c>
      <c r="JF102">
        <v>0</v>
      </c>
      <c r="JG102">
        <v>482710</v>
      </c>
      <c r="JH102">
        <v>134</v>
      </c>
      <c r="JI102">
        <v>5858</v>
      </c>
      <c r="JJ102">
        <v>0</v>
      </c>
      <c r="JK102">
        <v>0</v>
      </c>
      <c r="JL102">
        <v>0</v>
      </c>
      <c r="JM102">
        <v>415</v>
      </c>
      <c r="JN102">
        <v>6414</v>
      </c>
      <c r="JO102">
        <v>0</v>
      </c>
      <c r="JP102">
        <v>6936</v>
      </c>
      <c r="JQ102">
        <v>0</v>
      </c>
      <c r="JR102">
        <v>502467</v>
      </c>
      <c r="JS102">
        <v>-441</v>
      </c>
      <c r="JT102">
        <v>0</v>
      </c>
      <c r="JU102">
        <v>123</v>
      </c>
      <c r="JV102">
        <v>0</v>
      </c>
      <c r="JW102">
        <v>-57376</v>
      </c>
      <c r="JX102">
        <v>0</v>
      </c>
      <c r="JY102">
        <v>0</v>
      </c>
      <c r="JZ102">
        <v>0</v>
      </c>
      <c r="KA102">
        <v>0</v>
      </c>
      <c r="KB102">
        <v>-4576</v>
      </c>
      <c r="KC102">
        <v>440197</v>
      </c>
      <c r="KD102">
        <v>-411</v>
      </c>
      <c r="KE102">
        <v>-205644</v>
      </c>
      <c r="KF102">
        <v>234142</v>
      </c>
      <c r="KG102">
        <v>0</v>
      </c>
      <c r="KH102">
        <v>-857</v>
      </c>
      <c r="KI102">
        <v>0</v>
      </c>
      <c r="KJ102">
        <v>2584</v>
      </c>
      <c r="KK102">
        <v>-2152</v>
      </c>
      <c r="KL102">
        <v>-166</v>
      </c>
      <c r="KM102">
        <v>-20480</v>
      </c>
      <c r="KN102">
        <v>0</v>
      </c>
      <c r="KO102">
        <v>-80128</v>
      </c>
      <c r="KP102">
        <v>2074</v>
      </c>
      <c r="KQ102">
        <v>0</v>
      </c>
      <c r="KR102">
        <v>122253</v>
      </c>
      <c r="KS102">
        <v>4978</v>
      </c>
      <c r="KT102">
        <v>0</v>
      </c>
      <c r="KU102">
        <v>1883</v>
      </c>
      <c r="KV102">
        <v>102070</v>
      </c>
      <c r="KW102">
        <v>22571</v>
      </c>
      <c r="KX102">
        <v>4121</v>
      </c>
      <c r="KY102">
        <v>0</v>
      </c>
      <c r="KZ102">
        <v>4467</v>
      </c>
      <c r="LA102">
        <v>99918</v>
      </c>
      <c r="LB102">
        <v>22405</v>
      </c>
      <c r="LC102">
        <v>0</v>
      </c>
      <c r="LD102">
        <v>28420</v>
      </c>
      <c r="LE102">
        <v>-182</v>
      </c>
      <c r="LF102">
        <v>0</v>
      </c>
      <c r="LG102">
        <v>0</v>
      </c>
      <c r="LH102">
        <v>8078</v>
      </c>
      <c r="LI102">
        <v>36316</v>
      </c>
      <c r="LJ102">
        <v>8871</v>
      </c>
      <c r="LK102">
        <v>15152</v>
      </c>
      <c r="LL102">
        <v>24023</v>
      </c>
      <c r="LM102">
        <v>0</v>
      </c>
      <c r="LN102">
        <v>0</v>
      </c>
      <c r="LO102">
        <v>0</v>
      </c>
      <c r="LP102">
        <v>77881</v>
      </c>
      <c r="LQ102">
        <v>79458</v>
      </c>
      <c r="LR102">
        <v>-1577</v>
      </c>
      <c r="LS102">
        <v>8267</v>
      </c>
      <c r="LT102">
        <v>6690</v>
      </c>
      <c r="LU102">
        <v>120612</v>
      </c>
      <c r="LV102">
        <v>7299</v>
      </c>
      <c r="LW102">
        <v>85544</v>
      </c>
      <c r="LX102">
        <v>93785</v>
      </c>
      <c r="LY102">
        <v>31073</v>
      </c>
      <c r="LZ102">
        <v>7622</v>
      </c>
      <c r="MA102">
        <v>15149</v>
      </c>
      <c r="MB102">
        <v>26007</v>
      </c>
      <c r="MC102">
        <v>7504</v>
      </c>
      <c r="MD102">
        <v>0</v>
      </c>
      <c r="ME102">
        <v>0</v>
      </c>
      <c r="MF102">
        <v>18895</v>
      </c>
      <c r="MG102">
        <v>0</v>
      </c>
      <c r="MH102">
        <v>413490</v>
      </c>
      <c r="MI102">
        <v>0</v>
      </c>
      <c r="MJ102">
        <v>0</v>
      </c>
      <c r="MK102">
        <v>0</v>
      </c>
      <c r="ML102">
        <v>0</v>
      </c>
      <c r="MM102">
        <v>0</v>
      </c>
      <c r="MN102">
        <v>0</v>
      </c>
      <c r="MO102">
        <v>0</v>
      </c>
      <c r="MP102">
        <v>0</v>
      </c>
      <c r="MQ102">
        <v>0</v>
      </c>
      <c r="MR102">
        <v>0</v>
      </c>
      <c r="MS102">
        <v>0</v>
      </c>
      <c r="MT102">
        <v>0</v>
      </c>
      <c r="MU102">
        <v>-1670</v>
      </c>
      <c r="MV102">
        <v>0</v>
      </c>
      <c r="MW102">
        <v>0</v>
      </c>
      <c r="MX102">
        <v>0</v>
      </c>
      <c r="MY102">
        <v>-165</v>
      </c>
      <c r="MZ102">
        <v>12</v>
      </c>
      <c r="NA102">
        <v>-1823</v>
      </c>
      <c r="NB102">
        <v>0</v>
      </c>
      <c r="NC102">
        <v>-1823</v>
      </c>
      <c r="ND102">
        <v>0</v>
      </c>
      <c r="NE102">
        <v>0</v>
      </c>
      <c r="NF102">
        <v>0</v>
      </c>
      <c r="NG102">
        <v>0</v>
      </c>
      <c r="NH102">
        <v>0</v>
      </c>
      <c r="NI102">
        <v>0</v>
      </c>
      <c r="NJ102">
        <v>0</v>
      </c>
      <c r="NK102">
        <v>0</v>
      </c>
      <c r="NL102">
        <v>0</v>
      </c>
      <c r="NM102">
        <v>0</v>
      </c>
      <c r="NN102">
        <v>384</v>
      </c>
      <c r="NO102">
        <v>0</v>
      </c>
      <c r="NP102">
        <v>0</v>
      </c>
      <c r="NQ102">
        <v>0</v>
      </c>
      <c r="NR102">
        <v>0</v>
      </c>
      <c r="NS102">
        <v>0</v>
      </c>
      <c r="NT102">
        <v>620</v>
      </c>
      <c r="NU102">
        <v>6</v>
      </c>
      <c r="NV102">
        <v>0</v>
      </c>
      <c r="NW102">
        <v>0</v>
      </c>
      <c r="NX102">
        <v>0</v>
      </c>
      <c r="NY102">
        <v>0</v>
      </c>
      <c r="NZ102">
        <v>1010</v>
      </c>
      <c r="OA102">
        <v>0</v>
      </c>
      <c r="OB102">
        <v>1010</v>
      </c>
      <c r="OC102">
        <v>0</v>
      </c>
      <c r="OD102">
        <v>0</v>
      </c>
      <c r="OE102">
        <v>0</v>
      </c>
      <c r="OF102">
        <v>0</v>
      </c>
      <c r="OG102">
        <v>0</v>
      </c>
      <c r="OH102">
        <v>0</v>
      </c>
      <c r="OI102">
        <v>0</v>
      </c>
      <c r="OJ102">
        <v>0</v>
      </c>
      <c r="OK102">
        <v>0</v>
      </c>
      <c r="OL102">
        <v>0</v>
      </c>
      <c r="OM102">
        <v>0</v>
      </c>
      <c r="ON102">
        <v>0</v>
      </c>
    </row>
    <row r="103" spans="1:404" x14ac:dyDescent="0.25">
      <c r="A103" t="s">
        <v>376</v>
      </c>
      <c r="B103" t="s">
        <v>377</v>
      </c>
      <c r="C103" t="s">
        <v>5422</v>
      </c>
      <c r="E103" t="s">
        <v>5408</v>
      </c>
      <c r="F103">
        <v>0</v>
      </c>
      <c r="G103">
        <v>0</v>
      </c>
      <c r="H103">
        <v>0</v>
      </c>
      <c r="I103">
        <v>0</v>
      </c>
      <c r="J103">
        <v>0</v>
      </c>
      <c r="K103">
        <v>0</v>
      </c>
      <c r="L103">
        <v>0</v>
      </c>
      <c r="M103">
        <v>0</v>
      </c>
      <c r="N103">
        <v>0</v>
      </c>
      <c r="O103">
        <v>0</v>
      </c>
      <c r="P103">
        <v>0</v>
      </c>
      <c r="Q103">
        <v>0</v>
      </c>
      <c r="R103">
        <v>0</v>
      </c>
      <c r="S103">
        <v>0</v>
      </c>
      <c r="T103">
        <v>0</v>
      </c>
      <c r="U103">
        <v>0</v>
      </c>
      <c r="V103">
        <v>0</v>
      </c>
      <c r="W103">
        <v>0</v>
      </c>
      <c r="X103">
        <v>0</v>
      </c>
      <c r="Y103">
        <v>0</v>
      </c>
      <c r="Z103">
        <v>0</v>
      </c>
      <c r="AA103">
        <v>0</v>
      </c>
      <c r="AB103">
        <v>0</v>
      </c>
      <c r="AC103">
        <v>0</v>
      </c>
      <c r="AD103">
        <v>0</v>
      </c>
      <c r="AE103">
        <v>0</v>
      </c>
      <c r="AF103">
        <v>0</v>
      </c>
      <c r="AG103">
        <v>0</v>
      </c>
      <c r="AH103">
        <v>0</v>
      </c>
      <c r="AI103">
        <v>0</v>
      </c>
      <c r="AJ103">
        <v>0</v>
      </c>
      <c r="AK103">
        <v>0</v>
      </c>
      <c r="AL103">
        <v>0</v>
      </c>
      <c r="AM103">
        <v>0</v>
      </c>
      <c r="AN103">
        <v>0</v>
      </c>
      <c r="AO103">
        <v>0</v>
      </c>
      <c r="AP103">
        <v>0</v>
      </c>
      <c r="AQ103">
        <v>0</v>
      </c>
      <c r="AR103">
        <v>0</v>
      </c>
      <c r="AS103">
        <v>0</v>
      </c>
      <c r="AT103">
        <v>0</v>
      </c>
      <c r="AU103">
        <v>0</v>
      </c>
      <c r="AV103">
        <v>0</v>
      </c>
      <c r="AW103">
        <v>0</v>
      </c>
      <c r="AX103">
        <v>0</v>
      </c>
      <c r="AY103">
        <v>0</v>
      </c>
      <c r="AZ103">
        <v>0</v>
      </c>
      <c r="BA103">
        <v>0</v>
      </c>
      <c r="BB103">
        <v>0</v>
      </c>
      <c r="BC103">
        <v>0</v>
      </c>
      <c r="BD103">
        <v>0</v>
      </c>
      <c r="BE103">
        <v>0</v>
      </c>
      <c r="BF103">
        <v>0</v>
      </c>
      <c r="BG103">
        <v>0</v>
      </c>
      <c r="BH103">
        <v>0</v>
      </c>
      <c r="BI103">
        <v>0</v>
      </c>
      <c r="BJ103">
        <v>0</v>
      </c>
      <c r="BK103">
        <v>0</v>
      </c>
      <c r="BL103">
        <v>0</v>
      </c>
      <c r="BM103">
        <v>0</v>
      </c>
      <c r="BN103">
        <v>0</v>
      </c>
      <c r="BO103">
        <v>0</v>
      </c>
      <c r="BP103">
        <v>0</v>
      </c>
      <c r="BQ103">
        <v>0</v>
      </c>
      <c r="BR103">
        <v>0</v>
      </c>
      <c r="BS103">
        <v>0</v>
      </c>
      <c r="BT103">
        <v>0</v>
      </c>
      <c r="BU103">
        <v>0</v>
      </c>
      <c r="BV103">
        <v>0</v>
      </c>
      <c r="BW103">
        <v>0</v>
      </c>
      <c r="BX103">
        <v>0</v>
      </c>
      <c r="BY103">
        <v>0</v>
      </c>
      <c r="BZ103">
        <v>0</v>
      </c>
      <c r="CA103">
        <v>0</v>
      </c>
      <c r="CB103">
        <v>0</v>
      </c>
      <c r="CC103">
        <v>0</v>
      </c>
      <c r="CD103">
        <v>0</v>
      </c>
      <c r="CE103">
        <v>0</v>
      </c>
      <c r="CF103">
        <v>0</v>
      </c>
      <c r="CG103">
        <v>0</v>
      </c>
      <c r="CH103">
        <v>0</v>
      </c>
      <c r="CI103">
        <v>0</v>
      </c>
      <c r="CJ103">
        <v>0</v>
      </c>
      <c r="CK103">
        <v>0</v>
      </c>
      <c r="CL103">
        <v>0</v>
      </c>
      <c r="CM103">
        <v>0</v>
      </c>
      <c r="CN103">
        <v>0</v>
      </c>
      <c r="CO103">
        <v>0</v>
      </c>
      <c r="CP103">
        <v>0</v>
      </c>
      <c r="CQ103">
        <v>0</v>
      </c>
      <c r="CR103">
        <v>0</v>
      </c>
      <c r="CS103">
        <v>0</v>
      </c>
      <c r="CT103">
        <v>0</v>
      </c>
      <c r="CU103">
        <v>0</v>
      </c>
      <c r="CV103">
        <v>0</v>
      </c>
      <c r="CW103">
        <v>0</v>
      </c>
      <c r="CX103">
        <v>0</v>
      </c>
      <c r="CY103">
        <v>0</v>
      </c>
      <c r="CZ103">
        <v>0</v>
      </c>
      <c r="DA103">
        <v>0</v>
      </c>
      <c r="DB103">
        <v>0</v>
      </c>
      <c r="DC103">
        <v>0</v>
      </c>
      <c r="DD103">
        <v>0</v>
      </c>
      <c r="DE103">
        <v>0</v>
      </c>
      <c r="DF103">
        <v>0</v>
      </c>
      <c r="DG103">
        <v>0</v>
      </c>
      <c r="DH103">
        <v>0</v>
      </c>
      <c r="DI103">
        <v>0</v>
      </c>
      <c r="DJ103">
        <v>0</v>
      </c>
      <c r="DK103">
        <v>0</v>
      </c>
      <c r="DL103">
        <v>0</v>
      </c>
      <c r="DM103">
        <v>0</v>
      </c>
      <c r="DN103">
        <v>0</v>
      </c>
      <c r="DO103">
        <v>0</v>
      </c>
      <c r="DP103">
        <v>0</v>
      </c>
      <c r="DQ103">
        <v>0</v>
      </c>
      <c r="DR103">
        <v>0</v>
      </c>
      <c r="DS103">
        <v>0</v>
      </c>
      <c r="DT103">
        <v>0</v>
      </c>
      <c r="DU103">
        <v>0</v>
      </c>
      <c r="DV103">
        <v>0</v>
      </c>
      <c r="DW103">
        <v>0</v>
      </c>
      <c r="DX103">
        <v>0</v>
      </c>
      <c r="DY103">
        <v>0</v>
      </c>
      <c r="DZ103">
        <v>0</v>
      </c>
      <c r="EA103">
        <v>0</v>
      </c>
      <c r="EB103">
        <v>0</v>
      </c>
      <c r="EC103">
        <v>0</v>
      </c>
      <c r="ED103">
        <v>0</v>
      </c>
      <c r="EE103">
        <v>0</v>
      </c>
      <c r="EF103">
        <v>0</v>
      </c>
      <c r="EG103">
        <v>0</v>
      </c>
      <c r="EH103">
        <v>0</v>
      </c>
      <c r="EI103">
        <v>0</v>
      </c>
      <c r="EJ103">
        <v>0</v>
      </c>
      <c r="EK103">
        <v>0</v>
      </c>
      <c r="EL103">
        <v>0</v>
      </c>
      <c r="EM103">
        <v>0</v>
      </c>
      <c r="EN103">
        <v>0</v>
      </c>
      <c r="EO103">
        <v>0</v>
      </c>
      <c r="EP103">
        <v>0</v>
      </c>
      <c r="EQ103">
        <v>0</v>
      </c>
      <c r="ER103">
        <v>0</v>
      </c>
      <c r="ES103">
        <v>0</v>
      </c>
      <c r="ET103">
        <v>0</v>
      </c>
      <c r="EU103">
        <v>0</v>
      </c>
      <c r="EV103">
        <v>0</v>
      </c>
      <c r="EW103">
        <v>0</v>
      </c>
      <c r="EX103">
        <v>0</v>
      </c>
      <c r="EY103">
        <v>0</v>
      </c>
      <c r="EZ103">
        <v>0</v>
      </c>
      <c r="FA103">
        <v>0</v>
      </c>
      <c r="FB103">
        <v>0</v>
      </c>
      <c r="FC103">
        <v>0</v>
      </c>
      <c r="FD103">
        <v>0</v>
      </c>
      <c r="FE103">
        <v>0</v>
      </c>
      <c r="FF103">
        <v>0</v>
      </c>
      <c r="FG103">
        <v>0</v>
      </c>
      <c r="FH103">
        <v>0</v>
      </c>
      <c r="FI103">
        <v>0</v>
      </c>
      <c r="FJ103">
        <v>0</v>
      </c>
      <c r="FK103">
        <v>0</v>
      </c>
      <c r="FL103">
        <v>0</v>
      </c>
      <c r="FM103">
        <v>0</v>
      </c>
      <c r="FN103">
        <v>0</v>
      </c>
      <c r="FO103">
        <v>0</v>
      </c>
      <c r="FP103">
        <v>0</v>
      </c>
      <c r="FQ103">
        <v>0</v>
      </c>
      <c r="FR103">
        <v>0</v>
      </c>
      <c r="FS103">
        <v>0</v>
      </c>
      <c r="FT103">
        <v>0</v>
      </c>
      <c r="FU103">
        <v>0</v>
      </c>
      <c r="FV103">
        <v>0</v>
      </c>
      <c r="FW103">
        <v>0</v>
      </c>
      <c r="FX103">
        <v>0</v>
      </c>
      <c r="FY103">
        <v>0</v>
      </c>
      <c r="FZ103">
        <v>0</v>
      </c>
      <c r="GA103">
        <v>0</v>
      </c>
      <c r="GB103">
        <v>0</v>
      </c>
      <c r="GC103">
        <v>0</v>
      </c>
      <c r="GD103">
        <v>0</v>
      </c>
      <c r="GE103">
        <v>0</v>
      </c>
      <c r="GF103">
        <v>0</v>
      </c>
      <c r="GG103">
        <v>0</v>
      </c>
      <c r="GH103">
        <v>0</v>
      </c>
      <c r="GI103">
        <v>0</v>
      </c>
      <c r="GJ103">
        <v>0</v>
      </c>
      <c r="GK103">
        <v>0</v>
      </c>
      <c r="GL103">
        <v>0</v>
      </c>
      <c r="GM103">
        <v>0</v>
      </c>
      <c r="GN103">
        <v>0</v>
      </c>
      <c r="GO103">
        <v>0</v>
      </c>
      <c r="GP103">
        <v>0</v>
      </c>
      <c r="GQ103">
        <v>0</v>
      </c>
      <c r="GR103">
        <v>0</v>
      </c>
      <c r="GS103">
        <v>0</v>
      </c>
      <c r="GT103">
        <v>0</v>
      </c>
      <c r="GU103">
        <v>0</v>
      </c>
      <c r="GV103">
        <v>0</v>
      </c>
      <c r="GW103">
        <v>0</v>
      </c>
      <c r="GX103">
        <v>10265</v>
      </c>
      <c r="GY103">
        <v>47143</v>
      </c>
      <c r="GZ103">
        <v>669</v>
      </c>
      <c r="HA103">
        <v>58077</v>
      </c>
      <c r="HB103">
        <v>921</v>
      </c>
      <c r="HC103">
        <v>0</v>
      </c>
      <c r="HD103">
        <v>0</v>
      </c>
      <c r="HE103">
        <v>0</v>
      </c>
      <c r="HF103">
        <v>0</v>
      </c>
      <c r="HG103">
        <v>0</v>
      </c>
      <c r="HH103">
        <v>0</v>
      </c>
      <c r="HI103">
        <v>0</v>
      </c>
      <c r="HJ103">
        <v>0</v>
      </c>
      <c r="HK103">
        <v>0</v>
      </c>
      <c r="HL103">
        <v>0</v>
      </c>
      <c r="HM103">
        <v>0</v>
      </c>
      <c r="HN103">
        <v>0</v>
      </c>
      <c r="HO103">
        <v>0</v>
      </c>
      <c r="HP103">
        <v>0</v>
      </c>
      <c r="HQ103">
        <v>0</v>
      </c>
      <c r="HR103">
        <v>1537</v>
      </c>
      <c r="HS103">
        <v>0</v>
      </c>
      <c r="HT103">
        <v>0</v>
      </c>
      <c r="HU103">
        <v>0</v>
      </c>
      <c r="HV103">
        <v>2458</v>
      </c>
      <c r="HW103">
        <v>0</v>
      </c>
      <c r="HX103">
        <v>0</v>
      </c>
      <c r="HY103">
        <v>0</v>
      </c>
      <c r="HZ103">
        <v>0</v>
      </c>
      <c r="IA103">
        <v>0</v>
      </c>
      <c r="IB103">
        <v>0</v>
      </c>
      <c r="IC103">
        <v>0</v>
      </c>
      <c r="ID103">
        <v>0</v>
      </c>
      <c r="IE103">
        <v>0</v>
      </c>
      <c r="IF103">
        <v>0</v>
      </c>
      <c r="IG103">
        <v>0</v>
      </c>
      <c r="IH103">
        <v>0</v>
      </c>
      <c r="II103">
        <v>0</v>
      </c>
      <c r="IJ103">
        <v>0</v>
      </c>
      <c r="IK103">
        <v>0</v>
      </c>
      <c r="IL103">
        <v>0</v>
      </c>
      <c r="IM103">
        <v>58077</v>
      </c>
      <c r="IN103">
        <v>2458</v>
      </c>
      <c r="IO103">
        <v>0</v>
      </c>
      <c r="IP103">
        <v>60535</v>
      </c>
      <c r="IQ103">
        <v>0</v>
      </c>
      <c r="IR103">
        <v>0</v>
      </c>
      <c r="IS103">
        <v>0</v>
      </c>
      <c r="IT103">
        <v>0</v>
      </c>
      <c r="IU103">
        <v>0</v>
      </c>
      <c r="IV103">
        <v>0</v>
      </c>
      <c r="IW103">
        <v>0</v>
      </c>
      <c r="IX103">
        <v>0</v>
      </c>
      <c r="IY103">
        <v>0</v>
      </c>
      <c r="IZ103">
        <v>0</v>
      </c>
      <c r="JA103">
        <v>0</v>
      </c>
      <c r="JB103">
        <v>0</v>
      </c>
      <c r="JC103">
        <v>0</v>
      </c>
      <c r="JD103">
        <v>0</v>
      </c>
      <c r="JE103">
        <v>44</v>
      </c>
      <c r="JF103">
        <v>0</v>
      </c>
      <c r="JG103">
        <v>60579</v>
      </c>
      <c r="JH103">
        <v>0</v>
      </c>
      <c r="JI103">
        <v>371</v>
      </c>
      <c r="JJ103">
        <v>0</v>
      </c>
      <c r="JK103">
        <v>0</v>
      </c>
      <c r="JL103">
        <v>0</v>
      </c>
      <c r="JM103">
        <v>0</v>
      </c>
      <c r="JN103">
        <v>1652</v>
      </c>
      <c r="JO103">
        <v>0</v>
      </c>
      <c r="JP103">
        <v>491</v>
      </c>
      <c r="JQ103">
        <v>0</v>
      </c>
      <c r="JR103">
        <v>63093</v>
      </c>
      <c r="JS103">
        <v>-4</v>
      </c>
      <c r="JT103">
        <v>0</v>
      </c>
      <c r="JU103">
        <v>0</v>
      </c>
      <c r="JV103">
        <v>0</v>
      </c>
      <c r="JW103">
        <v>0</v>
      </c>
      <c r="JX103">
        <v>0</v>
      </c>
      <c r="JY103">
        <v>0</v>
      </c>
      <c r="JZ103">
        <v>0</v>
      </c>
      <c r="KA103">
        <v>0</v>
      </c>
      <c r="KB103">
        <v>0</v>
      </c>
      <c r="KC103">
        <v>63089</v>
      </c>
      <c r="KD103">
        <v>0</v>
      </c>
      <c r="KE103">
        <v>-5663</v>
      </c>
      <c r="KF103">
        <v>57426</v>
      </c>
      <c r="KG103">
        <v>0</v>
      </c>
      <c r="KH103">
        <v>0</v>
      </c>
      <c r="KI103">
        <v>0</v>
      </c>
      <c r="KJ103">
        <v>0</v>
      </c>
      <c r="KK103">
        <v>-159</v>
      </c>
      <c r="KL103">
        <v>40</v>
      </c>
      <c r="KM103">
        <v>-3879</v>
      </c>
      <c r="KN103">
        <v>0</v>
      </c>
      <c r="KO103">
        <v>-8870</v>
      </c>
      <c r="KP103">
        <v>234</v>
      </c>
      <c r="KQ103">
        <v>0</v>
      </c>
      <c r="KR103">
        <v>42933</v>
      </c>
      <c r="KS103">
        <v>0</v>
      </c>
      <c r="KT103">
        <v>0</v>
      </c>
      <c r="KU103">
        <v>0</v>
      </c>
      <c r="KV103">
        <v>20570</v>
      </c>
      <c r="KW103">
        <v>2844</v>
      </c>
      <c r="KX103">
        <v>0</v>
      </c>
      <c r="KY103">
        <v>0</v>
      </c>
      <c r="KZ103">
        <v>0</v>
      </c>
      <c r="LA103">
        <v>20411</v>
      </c>
      <c r="LB103">
        <v>2884</v>
      </c>
      <c r="LC103">
        <v>0</v>
      </c>
      <c r="LD103">
        <v>3601</v>
      </c>
      <c r="LE103">
        <v>0</v>
      </c>
      <c r="LF103">
        <v>-497</v>
      </c>
      <c r="LG103">
        <v>0</v>
      </c>
      <c r="LH103">
        <v>0</v>
      </c>
      <c r="LI103">
        <v>3104</v>
      </c>
      <c r="LJ103">
        <v>0</v>
      </c>
      <c r="LK103">
        <v>0</v>
      </c>
      <c r="LL103">
        <v>0</v>
      </c>
      <c r="LM103">
        <v>0</v>
      </c>
      <c r="LN103">
        <v>0</v>
      </c>
      <c r="LO103">
        <v>0</v>
      </c>
      <c r="LP103">
        <v>0</v>
      </c>
      <c r="LQ103">
        <v>0</v>
      </c>
      <c r="LR103">
        <v>0</v>
      </c>
      <c r="LS103">
        <v>0</v>
      </c>
      <c r="LT103">
        <v>0</v>
      </c>
      <c r="LU103">
        <v>0</v>
      </c>
      <c r="LV103">
        <v>0</v>
      </c>
      <c r="LW103">
        <v>0</v>
      </c>
      <c r="LX103">
        <v>0</v>
      </c>
      <c r="LY103">
        <v>0</v>
      </c>
      <c r="LZ103">
        <v>0</v>
      </c>
      <c r="MA103">
        <v>0</v>
      </c>
      <c r="MB103">
        <v>0</v>
      </c>
      <c r="MC103">
        <v>0</v>
      </c>
      <c r="MD103">
        <v>0</v>
      </c>
      <c r="ME103">
        <v>58077</v>
      </c>
      <c r="MF103">
        <v>2458</v>
      </c>
      <c r="MG103">
        <v>0</v>
      </c>
      <c r="MH103">
        <v>60535</v>
      </c>
      <c r="MI103">
        <v>0</v>
      </c>
      <c r="MJ103">
        <v>0</v>
      </c>
      <c r="MK103">
        <v>0</v>
      </c>
      <c r="ML103">
        <v>0</v>
      </c>
      <c r="MM103">
        <v>0</v>
      </c>
      <c r="MN103">
        <v>0</v>
      </c>
      <c r="MO103">
        <v>0</v>
      </c>
      <c r="MP103">
        <v>0</v>
      </c>
      <c r="MQ103">
        <v>0</v>
      </c>
      <c r="MR103">
        <v>0</v>
      </c>
      <c r="MS103">
        <v>0</v>
      </c>
      <c r="MT103">
        <v>0</v>
      </c>
      <c r="MU103">
        <v>0</v>
      </c>
      <c r="MV103">
        <v>0</v>
      </c>
      <c r="MW103">
        <v>0</v>
      </c>
      <c r="MX103">
        <v>0</v>
      </c>
      <c r="MY103">
        <v>0</v>
      </c>
      <c r="MZ103">
        <v>0</v>
      </c>
      <c r="NA103">
        <v>0</v>
      </c>
      <c r="NB103">
        <v>0</v>
      </c>
      <c r="NC103">
        <v>0</v>
      </c>
      <c r="ND103">
        <v>0</v>
      </c>
      <c r="NE103">
        <v>0</v>
      </c>
      <c r="NF103">
        <v>0</v>
      </c>
      <c r="NG103">
        <v>0</v>
      </c>
      <c r="NH103">
        <v>0</v>
      </c>
      <c r="NI103">
        <v>0</v>
      </c>
      <c r="NJ103">
        <v>0</v>
      </c>
      <c r="NK103">
        <v>0</v>
      </c>
      <c r="NL103">
        <v>0</v>
      </c>
      <c r="NM103">
        <v>0</v>
      </c>
      <c r="NN103">
        <v>0</v>
      </c>
      <c r="NO103">
        <v>0</v>
      </c>
      <c r="NP103">
        <v>0</v>
      </c>
      <c r="NQ103">
        <v>0</v>
      </c>
      <c r="NR103">
        <v>0</v>
      </c>
      <c r="NS103">
        <v>0</v>
      </c>
      <c r="NT103">
        <v>0</v>
      </c>
      <c r="NU103">
        <v>0</v>
      </c>
      <c r="NV103">
        <v>0</v>
      </c>
      <c r="NW103">
        <v>0</v>
      </c>
      <c r="NX103">
        <v>0</v>
      </c>
      <c r="NY103">
        <v>0</v>
      </c>
      <c r="NZ103">
        <v>0</v>
      </c>
      <c r="OA103">
        <v>0</v>
      </c>
      <c r="OB103">
        <v>0</v>
      </c>
      <c r="OC103">
        <v>0</v>
      </c>
      <c r="OD103">
        <v>0</v>
      </c>
      <c r="OE103">
        <v>0</v>
      </c>
      <c r="OF103">
        <v>0</v>
      </c>
      <c r="OG103">
        <v>0</v>
      </c>
      <c r="OH103">
        <v>0</v>
      </c>
      <c r="OI103">
        <v>0</v>
      </c>
      <c r="OJ103">
        <v>0</v>
      </c>
      <c r="OK103">
        <v>0</v>
      </c>
      <c r="OL103">
        <v>0</v>
      </c>
      <c r="OM103">
        <v>0</v>
      </c>
      <c r="ON103">
        <v>0</v>
      </c>
    </row>
    <row r="104" spans="1:404" x14ac:dyDescent="0.25">
      <c r="A104" t="s">
        <v>379</v>
      </c>
      <c r="B104" t="s">
        <v>380</v>
      </c>
      <c r="C104" t="s">
        <v>378</v>
      </c>
      <c r="E104" t="s">
        <v>71</v>
      </c>
      <c r="F104">
        <v>0</v>
      </c>
      <c r="G104">
        <v>0</v>
      </c>
      <c r="H104">
        <v>0</v>
      </c>
      <c r="I104">
        <v>0</v>
      </c>
      <c r="J104">
        <v>0</v>
      </c>
      <c r="K104">
        <v>0</v>
      </c>
      <c r="L104">
        <v>0</v>
      </c>
      <c r="M104">
        <v>0</v>
      </c>
      <c r="N104">
        <v>0</v>
      </c>
      <c r="O104">
        <v>0</v>
      </c>
      <c r="P104">
        <v>0</v>
      </c>
      <c r="Q104">
        <v>0</v>
      </c>
      <c r="R104">
        <v>0</v>
      </c>
      <c r="S104">
        <v>0</v>
      </c>
      <c r="T104">
        <v>0</v>
      </c>
      <c r="U104">
        <v>0</v>
      </c>
      <c r="V104">
        <v>0</v>
      </c>
      <c r="W104">
        <v>0</v>
      </c>
      <c r="X104">
        <v>0</v>
      </c>
      <c r="Y104">
        <v>0</v>
      </c>
      <c r="Z104">
        <v>0</v>
      </c>
      <c r="AA104">
        <v>0</v>
      </c>
      <c r="AB104">
        <v>0</v>
      </c>
      <c r="AC104">
        <v>0</v>
      </c>
      <c r="AD104">
        <v>0</v>
      </c>
      <c r="AE104">
        <v>0</v>
      </c>
      <c r="AF104">
        <v>0</v>
      </c>
      <c r="AG104">
        <v>0</v>
      </c>
      <c r="AH104">
        <v>0</v>
      </c>
      <c r="AI104">
        <v>0</v>
      </c>
      <c r="AJ104">
        <v>0</v>
      </c>
      <c r="AK104">
        <v>0</v>
      </c>
      <c r="AL104">
        <v>0</v>
      </c>
      <c r="AM104">
        <v>0</v>
      </c>
      <c r="AN104">
        <v>0</v>
      </c>
      <c r="AO104">
        <v>0</v>
      </c>
      <c r="AP104">
        <v>0</v>
      </c>
      <c r="AQ104">
        <v>0</v>
      </c>
      <c r="AR104">
        <v>0</v>
      </c>
      <c r="AS104">
        <v>0</v>
      </c>
      <c r="AT104">
        <v>0</v>
      </c>
      <c r="AU104">
        <v>0</v>
      </c>
      <c r="AV104">
        <v>0</v>
      </c>
      <c r="AW104">
        <v>0</v>
      </c>
      <c r="AX104">
        <v>0</v>
      </c>
      <c r="AY104">
        <v>0</v>
      </c>
      <c r="AZ104">
        <v>0</v>
      </c>
      <c r="BA104">
        <v>0</v>
      </c>
      <c r="BB104">
        <v>0</v>
      </c>
      <c r="BC104">
        <v>0</v>
      </c>
      <c r="BD104">
        <v>0</v>
      </c>
      <c r="BE104">
        <v>0</v>
      </c>
      <c r="BF104">
        <v>0</v>
      </c>
      <c r="BG104">
        <v>0</v>
      </c>
      <c r="BH104">
        <v>0</v>
      </c>
      <c r="BI104">
        <v>0</v>
      </c>
      <c r="BJ104">
        <v>0</v>
      </c>
      <c r="BK104">
        <v>0</v>
      </c>
      <c r="BL104">
        <v>0</v>
      </c>
      <c r="BM104">
        <v>0</v>
      </c>
      <c r="BN104">
        <v>0</v>
      </c>
      <c r="BO104">
        <v>0</v>
      </c>
      <c r="BP104">
        <v>0</v>
      </c>
      <c r="BQ104">
        <v>0</v>
      </c>
      <c r="BR104">
        <v>0</v>
      </c>
      <c r="BS104">
        <v>0</v>
      </c>
      <c r="BT104">
        <v>0</v>
      </c>
      <c r="BU104">
        <v>0</v>
      </c>
      <c r="BV104">
        <v>0</v>
      </c>
      <c r="BW104">
        <v>0</v>
      </c>
      <c r="BX104">
        <v>0</v>
      </c>
      <c r="BY104">
        <v>0</v>
      </c>
      <c r="BZ104">
        <v>0</v>
      </c>
      <c r="CA104">
        <v>0</v>
      </c>
      <c r="CB104">
        <v>0</v>
      </c>
      <c r="CC104">
        <v>0</v>
      </c>
      <c r="CD104">
        <v>0</v>
      </c>
      <c r="CE104">
        <v>0</v>
      </c>
      <c r="CF104">
        <v>0</v>
      </c>
      <c r="CG104">
        <v>0</v>
      </c>
      <c r="CH104">
        <v>0</v>
      </c>
      <c r="CI104">
        <v>0</v>
      </c>
      <c r="CJ104">
        <v>0</v>
      </c>
      <c r="CK104">
        <v>0</v>
      </c>
      <c r="CL104">
        <v>0</v>
      </c>
      <c r="CM104">
        <v>0</v>
      </c>
      <c r="CN104">
        <v>0</v>
      </c>
      <c r="CO104">
        <v>0</v>
      </c>
      <c r="CP104">
        <v>0</v>
      </c>
      <c r="CQ104">
        <v>0</v>
      </c>
      <c r="CR104">
        <v>0</v>
      </c>
      <c r="CS104">
        <v>0</v>
      </c>
      <c r="CT104">
        <v>0</v>
      </c>
      <c r="CU104">
        <v>0</v>
      </c>
      <c r="CV104">
        <v>0</v>
      </c>
      <c r="CW104">
        <v>0</v>
      </c>
      <c r="CX104">
        <v>0</v>
      </c>
      <c r="CY104">
        <v>0</v>
      </c>
      <c r="CZ104">
        <v>0</v>
      </c>
      <c r="DA104">
        <v>0</v>
      </c>
      <c r="DB104">
        <v>0</v>
      </c>
      <c r="DC104">
        <v>0</v>
      </c>
      <c r="DD104">
        <v>0</v>
      </c>
      <c r="DE104">
        <v>0</v>
      </c>
      <c r="DF104">
        <v>0</v>
      </c>
      <c r="DG104">
        <v>0</v>
      </c>
      <c r="DH104">
        <v>0</v>
      </c>
      <c r="DI104">
        <v>0</v>
      </c>
      <c r="DJ104">
        <v>0</v>
      </c>
      <c r="DK104">
        <v>0</v>
      </c>
      <c r="DL104">
        <v>0</v>
      </c>
      <c r="DM104">
        <v>0</v>
      </c>
      <c r="DN104">
        <v>0</v>
      </c>
      <c r="DO104">
        <v>0</v>
      </c>
      <c r="DP104">
        <v>0</v>
      </c>
      <c r="DQ104">
        <v>0</v>
      </c>
      <c r="DR104">
        <v>0</v>
      </c>
      <c r="DS104">
        <v>0</v>
      </c>
      <c r="DT104">
        <v>0</v>
      </c>
      <c r="DU104">
        <v>0</v>
      </c>
      <c r="DV104">
        <v>0</v>
      </c>
      <c r="DW104">
        <v>0</v>
      </c>
      <c r="DX104">
        <v>0</v>
      </c>
      <c r="DY104">
        <v>0</v>
      </c>
      <c r="DZ104">
        <v>0</v>
      </c>
      <c r="EA104">
        <v>0</v>
      </c>
      <c r="EB104">
        <v>0</v>
      </c>
      <c r="EC104">
        <v>0</v>
      </c>
      <c r="ED104">
        <v>0</v>
      </c>
      <c r="EE104">
        <v>0</v>
      </c>
      <c r="EF104">
        <v>0</v>
      </c>
      <c r="EG104">
        <v>0</v>
      </c>
      <c r="EH104">
        <v>0</v>
      </c>
      <c r="EI104">
        <v>0</v>
      </c>
      <c r="EJ104">
        <v>0</v>
      </c>
      <c r="EK104">
        <v>0</v>
      </c>
      <c r="EL104">
        <v>0</v>
      </c>
      <c r="EM104">
        <v>0</v>
      </c>
      <c r="EN104">
        <v>0</v>
      </c>
      <c r="EO104">
        <v>0</v>
      </c>
      <c r="EP104">
        <v>0</v>
      </c>
      <c r="EQ104">
        <v>0</v>
      </c>
      <c r="ER104">
        <v>0</v>
      </c>
      <c r="ES104">
        <v>0</v>
      </c>
      <c r="ET104">
        <v>0</v>
      </c>
      <c r="EU104">
        <v>0</v>
      </c>
      <c r="EV104">
        <v>0</v>
      </c>
      <c r="EW104">
        <v>0</v>
      </c>
      <c r="EX104">
        <v>0</v>
      </c>
      <c r="EY104">
        <v>0</v>
      </c>
      <c r="EZ104">
        <v>0</v>
      </c>
      <c r="FA104">
        <v>0</v>
      </c>
      <c r="FB104">
        <v>0</v>
      </c>
      <c r="FC104">
        <v>0</v>
      </c>
      <c r="FD104">
        <v>0</v>
      </c>
      <c r="FE104">
        <v>0</v>
      </c>
      <c r="FF104">
        <v>0</v>
      </c>
      <c r="FG104">
        <v>0</v>
      </c>
      <c r="FH104">
        <v>0</v>
      </c>
      <c r="FI104">
        <v>0</v>
      </c>
      <c r="FJ104">
        <v>0</v>
      </c>
      <c r="FK104">
        <v>0</v>
      </c>
      <c r="FL104">
        <v>0</v>
      </c>
      <c r="FM104">
        <v>0</v>
      </c>
      <c r="FN104">
        <v>0</v>
      </c>
      <c r="FO104">
        <v>0</v>
      </c>
      <c r="FP104">
        <v>0</v>
      </c>
      <c r="FQ104">
        <v>0</v>
      </c>
      <c r="FR104">
        <v>0</v>
      </c>
      <c r="FS104">
        <v>0</v>
      </c>
      <c r="FT104">
        <v>0</v>
      </c>
      <c r="FU104">
        <v>0</v>
      </c>
      <c r="FV104">
        <v>0</v>
      </c>
      <c r="FW104">
        <v>0</v>
      </c>
      <c r="FX104">
        <v>0</v>
      </c>
      <c r="FY104">
        <v>0</v>
      </c>
      <c r="FZ104">
        <v>0</v>
      </c>
      <c r="GA104">
        <v>0</v>
      </c>
      <c r="GB104">
        <v>0</v>
      </c>
      <c r="GC104">
        <v>0</v>
      </c>
      <c r="GD104">
        <v>0</v>
      </c>
      <c r="GE104">
        <v>0</v>
      </c>
      <c r="GF104">
        <v>0</v>
      </c>
      <c r="GG104">
        <v>0</v>
      </c>
      <c r="GH104">
        <v>0</v>
      </c>
      <c r="GI104">
        <v>0</v>
      </c>
      <c r="GJ104">
        <v>0</v>
      </c>
      <c r="GK104">
        <v>0</v>
      </c>
      <c r="GL104">
        <v>0</v>
      </c>
      <c r="GM104">
        <v>0</v>
      </c>
      <c r="GN104">
        <v>0</v>
      </c>
      <c r="GO104">
        <v>0</v>
      </c>
      <c r="GP104">
        <v>0</v>
      </c>
      <c r="GQ104">
        <v>0</v>
      </c>
      <c r="GR104">
        <v>0</v>
      </c>
      <c r="GS104">
        <v>0</v>
      </c>
      <c r="GT104">
        <v>0</v>
      </c>
      <c r="GU104">
        <v>0</v>
      </c>
      <c r="GV104">
        <v>0</v>
      </c>
      <c r="GW104">
        <v>174959</v>
      </c>
      <c r="GX104">
        <v>0</v>
      </c>
      <c r="GY104">
        <v>0</v>
      </c>
      <c r="GZ104">
        <v>0</v>
      </c>
      <c r="HA104">
        <v>0</v>
      </c>
      <c r="HB104">
        <v>137</v>
      </c>
      <c r="HC104">
        <v>0</v>
      </c>
      <c r="HD104">
        <v>0</v>
      </c>
      <c r="HE104">
        <v>0</v>
      </c>
      <c r="HF104">
        <v>0</v>
      </c>
      <c r="HG104">
        <v>0</v>
      </c>
      <c r="HH104">
        <v>0</v>
      </c>
      <c r="HI104">
        <v>0</v>
      </c>
      <c r="HJ104">
        <v>0</v>
      </c>
      <c r="HK104">
        <v>0</v>
      </c>
      <c r="HL104">
        <v>0</v>
      </c>
      <c r="HM104">
        <v>0</v>
      </c>
      <c r="HN104">
        <v>0</v>
      </c>
      <c r="HO104">
        <v>0</v>
      </c>
      <c r="HP104">
        <v>0</v>
      </c>
      <c r="HQ104">
        <v>0</v>
      </c>
      <c r="HR104">
        <v>0</v>
      </c>
      <c r="HS104">
        <v>0</v>
      </c>
      <c r="HT104">
        <v>0</v>
      </c>
      <c r="HU104">
        <v>0</v>
      </c>
      <c r="HV104">
        <v>137</v>
      </c>
      <c r="HW104">
        <v>0</v>
      </c>
      <c r="HX104">
        <v>0</v>
      </c>
      <c r="HY104">
        <v>0</v>
      </c>
      <c r="HZ104">
        <v>0</v>
      </c>
      <c r="IA104">
        <v>0</v>
      </c>
      <c r="IB104">
        <v>0</v>
      </c>
      <c r="IC104">
        <v>0</v>
      </c>
      <c r="ID104">
        <v>0</v>
      </c>
      <c r="IE104">
        <v>0</v>
      </c>
      <c r="IF104">
        <v>0</v>
      </c>
      <c r="IG104">
        <v>0</v>
      </c>
      <c r="IH104">
        <v>0</v>
      </c>
      <c r="II104">
        <v>0</v>
      </c>
      <c r="IJ104">
        <v>0</v>
      </c>
      <c r="IK104">
        <v>0</v>
      </c>
      <c r="IL104">
        <v>174959</v>
      </c>
      <c r="IM104">
        <v>0</v>
      </c>
      <c r="IN104">
        <v>137</v>
      </c>
      <c r="IO104">
        <v>0</v>
      </c>
      <c r="IP104">
        <v>175096</v>
      </c>
      <c r="IQ104">
        <v>0</v>
      </c>
      <c r="IR104">
        <v>0</v>
      </c>
      <c r="IS104">
        <v>0</v>
      </c>
      <c r="IT104">
        <v>0</v>
      </c>
      <c r="IU104">
        <v>0</v>
      </c>
      <c r="IV104">
        <v>0</v>
      </c>
      <c r="IW104">
        <v>0</v>
      </c>
      <c r="IX104">
        <v>0</v>
      </c>
      <c r="IY104">
        <v>0</v>
      </c>
      <c r="IZ104">
        <v>0</v>
      </c>
      <c r="JA104">
        <v>0</v>
      </c>
      <c r="JB104">
        <v>0</v>
      </c>
      <c r="JC104">
        <v>0</v>
      </c>
      <c r="JD104">
        <v>0</v>
      </c>
      <c r="JE104">
        <v>0</v>
      </c>
      <c r="JF104">
        <v>0</v>
      </c>
      <c r="JG104">
        <v>175096</v>
      </c>
      <c r="JH104">
        <v>0</v>
      </c>
      <c r="JI104">
        <v>2603</v>
      </c>
      <c r="JJ104">
        <v>0</v>
      </c>
      <c r="JK104">
        <v>0</v>
      </c>
      <c r="JL104">
        <v>0</v>
      </c>
      <c r="JM104">
        <v>0</v>
      </c>
      <c r="JN104">
        <v>3041</v>
      </c>
      <c r="JO104">
        <v>0</v>
      </c>
      <c r="JP104">
        <v>3</v>
      </c>
      <c r="JQ104">
        <v>0</v>
      </c>
      <c r="JR104">
        <v>180743</v>
      </c>
      <c r="JS104">
        <v>-13</v>
      </c>
      <c r="JT104">
        <v>0</v>
      </c>
      <c r="JU104">
        <v>0</v>
      </c>
      <c r="JV104">
        <v>0</v>
      </c>
      <c r="JW104">
        <v>-2466</v>
      </c>
      <c r="JX104">
        <v>0</v>
      </c>
      <c r="JY104">
        <v>0</v>
      </c>
      <c r="JZ104">
        <v>0</v>
      </c>
      <c r="KA104">
        <v>0</v>
      </c>
      <c r="KB104">
        <v>0</v>
      </c>
      <c r="KC104">
        <v>178264</v>
      </c>
      <c r="KD104">
        <v>0</v>
      </c>
      <c r="KE104">
        <v>-30216</v>
      </c>
      <c r="KF104">
        <v>148048</v>
      </c>
      <c r="KG104">
        <v>0</v>
      </c>
      <c r="KH104">
        <v>0</v>
      </c>
      <c r="KI104">
        <v>0</v>
      </c>
      <c r="KJ104">
        <v>0</v>
      </c>
      <c r="KK104">
        <v>1636</v>
      </c>
      <c r="KL104">
        <v>-149</v>
      </c>
      <c r="KM104">
        <v>0</v>
      </c>
      <c r="KN104">
        <v>-75288</v>
      </c>
      <c r="KO104">
        <v>0</v>
      </c>
      <c r="KP104">
        <v>410</v>
      </c>
      <c r="KQ104">
        <v>0</v>
      </c>
      <c r="KR104">
        <v>73477</v>
      </c>
      <c r="KS104">
        <v>0</v>
      </c>
      <c r="KT104">
        <v>0</v>
      </c>
      <c r="KU104">
        <v>0</v>
      </c>
      <c r="KV104">
        <v>3664</v>
      </c>
      <c r="KW104">
        <v>5699</v>
      </c>
      <c r="KX104">
        <v>0</v>
      </c>
      <c r="KY104">
        <v>0</v>
      </c>
      <c r="KZ104">
        <v>0</v>
      </c>
      <c r="LA104">
        <v>5300</v>
      </c>
      <c r="LB104">
        <v>5550</v>
      </c>
      <c r="LC104">
        <v>0</v>
      </c>
      <c r="LD104">
        <v>3961</v>
      </c>
      <c r="LE104">
        <v>0</v>
      </c>
      <c r="LF104">
        <v>0</v>
      </c>
      <c r="LG104">
        <v>0</v>
      </c>
      <c r="LH104">
        <v>0</v>
      </c>
      <c r="LI104">
        <v>4189</v>
      </c>
      <c r="LJ104">
        <v>0</v>
      </c>
      <c r="LK104">
        <v>0</v>
      </c>
      <c r="LL104">
        <v>0</v>
      </c>
      <c r="LM104">
        <v>0</v>
      </c>
      <c r="LN104">
        <v>0</v>
      </c>
      <c r="LO104">
        <v>0</v>
      </c>
      <c r="LP104">
        <v>0</v>
      </c>
      <c r="LQ104">
        <v>0</v>
      </c>
      <c r="LR104">
        <v>0</v>
      </c>
      <c r="LS104">
        <v>0</v>
      </c>
      <c r="LT104">
        <v>0</v>
      </c>
      <c r="LU104">
        <v>0</v>
      </c>
      <c r="LV104">
        <v>0</v>
      </c>
      <c r="LW104">
        <v>0</v>
      </c>
      <c r="LX104">
        <v>0</v>
      </c>
      <c r="LY104">
        <v>0</v>
      </c>
      <c r="LZ104">
        <v>0</v>
      </c>
      <c r="MA104">
        <v>0</v>
      </c>
      <c r="MB104">
        <v>0</v>
      </c>
      <c r="MC104">
        <v>0</v>
      </c>
      <c r="MD104">
        <v>174959</v>
      </c>
      <c r="ME104">
        <v>0</v>
      </c>
      <c r="MF104">
        <v>137</v>
      </c>
      <c r="MG104">
        <v>0</v>
      </c>
      <c r="MH104">
        <v>175096</v>
      </c>
      <c r="MI104">
        <v>0</v>
      </c>
      <c r="MJ104">
        <v>0</v>
      </c>
      <c r="MK104">
        <v>0</v>
      </c>
      <c r="ML104">
        <v>0</v>
      </c>
      <c r="MM104">
        <v>0</v>
      </c>
      <c r="MN104">
        <v>0</v>
      </c>
      <c r="MO104">
        <v>0</v>
      </c>
      <c r="MP104">
        <v>0</v>
      </c>
      <c r="MQ104">
        <v>0</v>
      </c>
      <c r="MR104">
        <v>0</v>
      </c>
      <c r="MS104">
        <v>0</v>
      </c>
      <c r="MT104">
        <v>0</v>
      </c>
      <c r="MU104">
        <v>0</v>
      </c>
      <c r="MV104">
        <v>0</v>
      </c>
      <c r="MW104">
        <v>0</v>
      </c>
      <c r="MX104">
        <v>0</v>
      </c>
      <c r="MY104">
        <v>0</v>
      </c>
      <c r="MZ104">
        <v>0</v>
      </c>
      <c r="NA104">
        <v>0</v>
      </c>
      <c r="NB104">
        <v>0</v>
      </c>
      <c r="NC104">
        <v>0</v>
      </c>
      <c r="ND104">
        <v>0</v>
      </c>
      <c r="NE104">
        <v>0</v>
      </c>
      <c r="NF104">
        <v>0</v>
      </c>
      <c r="NG104">
        <v>0</v>
      </c>
      <c r="NH104">
        <v>0</v>
      </c>
      <c r="NI104">
        <v>0</v>
      </c>
      <c r="NJ104">
        <v>0</v>
      </c>
      <c r="NK104">
        <v>0</v>
      </c>
      <c r="NL104">
        <v>0</v>
      </c>
      <c r="NM104">
        <v>0</v>
      </c>
      <c r="NN104">
        <v>0</v>
      </c>
      <c r="NO104">
        <v>0</v>
      </c>
      <c r="NP104">
        <v>0</v>
      </c>
      <c r="NQ104">
        <v>0</v>
      </c>
      <c r="NR104">
        <v>0</v>
      </c>
      <c r="NS104">
        <v>0</v>
      </c>
      <c r="NT104">
        <v>0</v>
      </c>
      <c r="NU104">
        <v>0</v>
      </c>
      <c r="NV104">
        <v>0</v>
      </c>
      <c r="NW104">
        <v>0</v>
      </c>
      <c r="NX104">
        <v>0</v>
      </c>
      <c r="NY104">
        <v>0</v>
      </c>
      <c r="NZ104">
        <v>0</v>
      </c>
      <c r="OA104">
        <v>0</v>
      </c>
      <c r="OB104">
        <v>0</v>
      </c>
      <c r="OC104">
        <v>0</v>
      </c>
      <c r="OD104">
        <v>0</v>
      </c>
      <c r="OE104">
        <v>0</v>
      </c>
      <c r="OF104">
        <v>0</v>
      </c>
      <c r="OG104">
        <v>0</v>
      </c>
      <c r="OH104">
        <v>0</v>
      </c>
      <c r="OI104">
        <v>0</v>
      </c>
      <c r="OJ104">
        <v>0</v>
      </c>
      <c r="OK104">
        <v>0</v>
      </c>
      <c r="OL104">
        <v>0</v>
      </c>
      <c r="OM104">
        <v>0</v>
      </c>
      <c r="ON104">
        <v>0</v>
      </c>
    </row>
    <row r="105" spans="1:404" x14ac:dyDescent="0.25">
      <c r="A105" t="s">
        <v>373</v>
      </c>
      <c r="B105" t="s">
        <v>374</v>
      </c>
      <c r="C105" t="s">
        <v>5423</v>
      </c>
      <c r="E105" t="s">
        <v>125</v>
      </c>
      <c r="F105">
        <v>16943</v>
      </c>
      <c r="G105">
        <v>52914</v>
      </c>
      <c r="H105">
        <v>70577</v>
      </c>
      <c r="I105">
        <v>32329</v>
      </c>
      <c r="J105">
        <v>0</v>
      </c>
      <c r="K105">
        <v>61059</v>
      </c>
      <c r="L105">
        <v>233822</v>
      </c>
      <c r="M105">
        <v>4138</v>
      </c>
      <c r="N105">
        <v>0</v>
      </c>
      <c r="O105">
        <v>-36</v>
      </c>
      <c r="P105">
        <v>0</v>
      </c>
      <c r="Q105">
        <v>508</v>
      </c>
      <c r="R105">
        <v>5671</v>
      </c>
      <c r="S105">
        <v>0</v>
      </c>
      <c r="T105">
        <v>1011</v>
      </c>
      <c r="U105">
        <v>130</v>
      </c>
      <c r="V105">
        <v>0</v>
      </c>
      <c r="W105">
        <v>0</v>
      </c>
      <c r="X105">
        <v>2711</v>
      </c>
      <c r="Y105">
        <v>1031</v>
      </c>
      <c r="Z105">
        <v>516</v>
      </c>
      <c r="AA105">
        <v>-5791</v>
      </c>
      <c r="AB105">
        <v>3074</v>
      </c>
      <c r="AC105">
        <v>0</v>
      </c>
      <c r="AD105">
        <v>2925</v>
      </c>
      <c r="AE105">
        <v>0</v>
      </c>
      <c r="AF105">
        <v>12821</v>
      </c>
      <c r="AG105">
        <v>-9597</v>
      </c>
      <c r="AH105">
        <v>-314</v>
      </c>
      <c r="AI105">
        <v>18798</v>
      </c>
      <c r="AJ105">
        <v>0</v>
      </c>
      <c r="AK105">
        <v>0</v>
      </c>
      <c r="AL105">
        <v>0</v>
      </c>
      <c r="AM105">
        <v>0</v>
      </c>
      <c r="AN105">
        <v>0</v>
      </c>
      <c r="AO105">
        <v>0</v>
      </c>
      <c r="AP105">
        <v>0</v>
      </c>
      <c r="AQ105">
        <v>1397</v>
      </c>
      <c r="AR105">
        <v>101</v>
      </c>
      <c r="AS105">
        <v>0</v>
      </c>
      <c r="AT105">
        <v>0</v>
      </c>
      <c r="AU105">
        <v>0</v>
      </c>
      <c r="AV105">
        <v>379</v>
      </c>
      <c r="AW105">
        <v>38845</v>
      </c>
      <c r="AX105">
        <v>1140</v>
      </c>
      <c r="AY105">
        <v>4047</v>
      </c>
      <c r="AZ105">
        <v>495</v>
      </c>
      <c r="BA105">
        <v>20752</v>
      </c>
      <c r="BB105">
        <v>1021</v>
      </c>
      <c r="BC105">
        <v>7730</v>
      </c>
      <c r="BD105">
        <v>74409</v>
      </c>
      <c r="BE105">
        <v>8308</v>
      </c>
      <c r="BF105">
        <v>35036</v>
      </c>
      <c r="BG105">
        <v>47</v>
      </c>
      <c r="BH105">
        <v>8</v>
      </c>
      <c r="BI105">
        <v>913</v>
      </c>
      <c r="BJ105">
        <v>17563</v>
      </c>
      <c r="BK105">
        <v>29273</v>
      </c>
      <c r="BL105">
        <v>3482</v>
      </c>
      <c r="BM105">
        <v>4938</v>
      </c>
      <c r="BN105">
        <v>2280</v>
      </c>
      <c r="BO105">
        <v>0</v>
      </c>
      <c r="BP105">
        <v>0</v>
      </c>
      <c r="BQ105">
        <v>1101</v>
      </c>
      <c r="BR105">
        <v>-275</v>
      </c>
      <c r="BS105">
        <v>269</v>
      </c>
      <c r="BT105">
        <v>21131</v>
      </c>
      <c r="BU105">
        <v>978</v>
      </c>
      <c r="BV105">
        <v>12722</v>
      </c>
      <c r="BW105">
        <v>137774</v>
      </c>
      <c r="BX105">
        <v>1866</v>
      </c>
      <c r="BY105">
        <v>533</v>
      </c>
      <c r="BZ105">
        <v>267</v>
      </c>
      <c r="CA105">
        <v>0</v>
      </c>
      <c r="CB105">
        <v>25</v>
      </c>
      <c r="CC105">
        <v>23</v>
      </c>
      <c r="CD105">
        <v>58</v>
      </c>
      <c r="CE105">
        <v>134</v>
      </c>
      <c r="CF105">
        <v>0</v>
      </c>
      <c r="CG105">
        <v>109</v>
      </c>
      <c r="CH105">
        <v>0</v>
      </c>
      <c r="CI105">
        <v>2879</v>
      </c>
      <c r="CJ105">
        <v>239</v>
      </c>
      <c r="CK105">
        <v>0</v>
      </c>
      <c r="CL105">
        <v>0</v>
      </c>
      <c r="CM105">
        <v>122</v>
      </c>
      <c r="CN105">
        <v>446</v>
      </c>
      <c r="CO105">
        <v>0</v>
      </c>
      <c r="CP105">
        <v>568</v>
      </c>
      <c r="CQ105">
        <v>2324</v>
      </c>
      <c r="CR105">
        <v>2324</v>
      </c>
      <c r="CS105">
        <v>0</v>
      </c>
      <c r="CT105">
        <v>98</v>
      </c>
      <c r="CU105">
        <v>1496</v>
      </c>
      <c r="CV105">
        <v>18068</v>
      </c>
      <c r="CW105">
        <v>0</v>
      </c>
      <c r="CX105">
        <v>0</v>
      </c>
      <c r="CY105">
        <v>0</v>
      </c>
      <c r="CZ105">
        <v>0</v>
      </c>
      <c r="DA105">
        <v>0</v>
      </c>
      <c r="DB105">
        <v>0</v>
      </c>
      <c r="DC105">
        <v>3611</v>
      </c>
      <c r="DD105">
        <v>0</v>
      </c>
      <c r="DE105">
        <v>11</v>
      </c>
      <c r="DF105">
        <v>53</v>
      </c>
      <c r="DG105">
        <v>0</v>
      </c>
      <c r="DH105">
        <v>33</v>
      </c>
      <c r="DI105">
        <v>0</v>
      </c>
      <c r="DJ105">
        <v>1507</v>
      </c>
      <c r="DK105">
        <v>0</v>
      </c>
      <c r="DL105">
        <v>237</v>
      </c>
      <c r="DM105">
        <v>0</v>
      </c>
      <c r="DN105">
        <v>2179</v>
      </c>
      <c r="DO105">
        <v>0</v>
      </c>
      <c r="DP105">
        <v>3956</v>
      </c>
      <c r="DQ105">
        <v>67347</v>
      </c>
      <c r="DR105">
        <v>0</v>
      </c>
      <c r="DS105">
        <v>0</v>
      </c>
      <c r="DT105">
        <v>1086</v>
      </c>
      <c r="DU105">
        <v>0</v>
      </c>
      <c r="DV105">
        <v>0</v>
      </c>
      <c r="DW105">
        <v>0</v>
      </c>
      <c r="DX105">
        <v>76064</v>
      </c>
      <c r="DY105">
        <v>0</v>
      </c>
      <c r="DZ105">
        <v>0</v>
      </c>
      <c r="EA105">
        <v>0</v>
      </c>
      <c r="EB105">
        <v>0</v>
      </c>
      <c r="EC105">
        <v>0</v>
      </c>
      <c r="ED105">
        <v>0</v>
      </c>
      <c r="EE105">
        <v>0</v>
      </c>
      <c r="EF105">
        <v>0</v>
      </c>
      <c r="EG105">
        <v>0</v>
      </c>
      <c r="EH105">
        <v>0</v>
      </c>
      <c r="EI105">
        <v>0</v>
      </c>
      <c r="EJ105">
        <v>0</v>
      </c>
      <c r="EK105">
        <v>0</v>
      </c>
      <c r="EL105">
        <v>0</v>
      </c>
      <c r="EM105">
        <v>0</v>
      </c>
      <c r="EN105">
        <v>0</v>
      </c>
      <c r="EO105">
        <v>0</v>
      </c>
      <c r="EP105">
        <v>0</v>
      </c>
      <c r="EQ105">
        <v>0</v>
      </c>
      <c r="ER105">
        <v>0</v>
      </c>
      <c r="ES105">
        <v>0</v>
      </c>
      <c r="ET105">
        <v>0</v>
      </c>
      <c r="EU105">
        <v>459</v>
      </c>
      <c r="EV105">
        <v>540</v>
      </c>
      <c r="EW105">
        <v>33</v>
      </c>
      <c r="EX105">
        <v>448</v>
      </c>
      <c r="EY105">
        <v>0</v>
      </c>
      <c r="EZ105">
        <v>507</v>
      </c>
      <c r="FA105">
        <v>-2</v>
      </c>
      <c r="FB105">
        <v>288</v>
      </c>
      <c r="FC105">
        <v>1875</v>
      </c>
      <c r="FD105">
        <v>8143</v>
      </c>
      <c r="FE105">
        <v>0</v>
      </c>
      <c r="FF105">
        <v>-1454</v>
      </c>
      <c r="FG105">
        <v>4646</v>
      </c>
      <c r="FH105">
        <v>15483</v>
      </c>
      <c r="FI105">
        <v>-694</v>
      </c>
      <c r="FJ105">
        <v>1201</v>
      </c>
      <c r="FK105">
        <v>0</v>
      </c>
      <c r="FL105">
        <v>952</v>
      </c>
      <c r="FM105">
        <v>119</v>
      </c>
      <c r="FN105">
        <v>537</v>
      </c>
      <c r="FO105">
        <v>-8</v>
      </c>
      <c r="FP105">
        <v>35</v>
      </c>
      <c r="FQ105">
        <v>0</v>
      </c>
      <c r="FR105">
        <v>2</v>
      </c>
      <c r="FS105">
        <v>467</v>
      </c>
      <c r="FT105">
        <v>1118</v>
      </c>
      <c r="FU105">
        <v>-43</v>
      </c>
      <c r="FV105">
        <v>116</v>
      </c>
      <c r="FW105">
        <v>2284</v>
      </c>
      <c r="FX105">
        <v>305</v>
      </c>
      <c r="FY105">
        <v>387</v>
      </c>
      <c r="FZ105">
        <v>61</v>
      </c>
      <c r="GA105">
        <v>0</v>
      </c>
      <c r="GB105">
        <v>259</v>
      </c>
      <c r="GC105">
        <v>-461</v>
      </c>
      <c r="GD105">
        <v>2113</v>
      </c>
      <c r="GE105">
        <v>14695</v>
      </c>
      <c r="GF105">
        <v>13101</v>
      </c>
      <c r="GG105">
        <v>-935</v>
      </c>
      <c r="GH105">
        <v>2466</v>
      </c>
      <c r="GI105">
        <v>133</v>
      </c>
      <c r="GJ105">
        <v>0</v>
      </c>
      <c r="GK105">
        <v>38210</v>
      </c>
      <c r="GL105">
        <v>340</v>
      </c>
      <c r="GM105">
        <v>3415</v>
      </c>
      <c r="GN105">
        <v>1137</v>
      </c>
      <c r="GO105">
        <v>4098</v>
      </c>
      <c r="GP105">
        <v>528</v>
      </c>
      <c r="GQ105">
        <v>511</v>
      </c>
      <c r="GR105">
        <v>-1874</v>
      </c>
      <c r="GS105">
        <v>0</v>
      </c>
      <c r="GT105">
        <v>1238</v>
      </c>
      <c r="GU105">
        <v>9393</v>
      </c>
      <c r="GV105">
        <v>63086</v>
      </c>
      <c r="GW105">
        <v>0</v>
      </c>
      <c r="GX105">
        <v>0</v>
      </c>
      <c r="GY105">
        <v>0</v>
      </c>
      <c r="GZ105">
        <v>0</v>
      </c>
      <c r="HA105">
        <v>0</v>
      </c>
      <c r="HB105">
        <v>5732</v>
      </c>
      <c r="HC105">
        <v>7042</v>
      </c>
      <c r="HD105">
        <v>0</v>
      </c>
      <c r="HE105">
        <v>50</v>
      </c>
      <c r="HF105">
        <v>500</v>
      </c>
      <c r="HG105">
        <v>700</v>
      </c>
      <c r="HH105">
        <v>0</v>
      </c>
      <c r="HI105">
        <v>191</v>
      </c>
      <c r="HJ105">
        <v>121</v>
      </c>
      <c r="HK105">
        <v>371</v>
      </c>
      <c r="HL105">
        <v>378</v>
      </c>
      <c r="HM105">
        <v>-237</v>
      </c>
      <c r="HN105">
        <v>0</v>
      </c>
      <c r="HO105">
        <v>32</v>
      </c>
      <c r="HP105">
        <v>1147</v>
      </c>
      <c r="HQ105">
        <v>0</v>
      </c>
      <c r="HR105">
        <v>990</v>
      </c>
      <c r="HS105">
        <v>0</v>
      </c>
      <c r="HT105">
        <v>456</v>
      </c>
      <c r="HU105">
        <v>17119</v>
      </c>
      <c r="HV105">
        <v>34592</v>
      </c>
      <c r="HW105">
        <v>39516</v>
      </c>
      <c r="HX105">
        <v>3672</v>
      </c>
      <c r="HY105">
        <v>0</v>
      </c>
      <c r="HZ105">
        <v>0</v>
      </c>
      <c r="IA105">
        <v>0</v>
      </c>
      <c r="IB105">
        <v>0</v>
      </c>
      <c r="IC105">
        <v>233822</v>
      </c>
      <c r="ID105">
        <v>18798</v>
      </c>
      <c r="IE105">
        <v>74409</v>
      </c>
      <c r="IF105">
        <v>137774</v>
      </c>
      <c r="IG105">
        <v>18068</v>
      </c>
      <c r="IH105">
        <v>76064</v>
      </c>
      <c r="II105">
        <v>15483</v>
      </c>
      <c r="IJ105">
        <v>38210</v>
      </c>
      <c r="IK105">
        <v>9393</v>
      </c>
      <c r="IL105">
        <v>0</v>
      </c>
      <c r="IM105">
        <v>0</v>
      </c>
      <c r="IN105">
        <v>34592</v>
      </c>
      <c r="IO105">
        <v>0</v>
      </c>
      <c r="IP105">
        <v>656613</v>
      </c>
      <c r="IQ105">
        <v>66402</v>
      </c>
      <c r="IR105">
        <v>3185</v>
      </c>
      <c r="IS105">
        <v>0</v>
      </c>
      <c r="IT105">
        <v>0</v>
      </c>
      <c r="IU105">
        <v>0</v>
      </c>
      <c r="IV105">
        <v>16338</v>
      </c>
      <c r="IW105">
        <v>0</v>
      </c>
      <c r="IX105">
        <v>0</v>
      </c>
      <c r="IY105">
        <v>0</v>
      </c>
      <c r="IZ105">
        <v>196</v>
      </c>
      <c r="JA105">
        <v>-910</v>
      </c>
      <c r="JB105">
        <v>-20457</v>
      </c>
      <c r="JC105">
        <v>0</v>
      </c>
      <c r="JD105">
        <v>-3081</v>
      </c>
      <c r="JE105">
        <v>-715</v>
      </c>
      <c r="JF105">
        <v>996</v>
      </c>
      <c r="JG105">
        <v>718567</v>
      </c>
      <c r="JH105">
        <v>552</v>
      </c>
      <c r="JI105">
        <v>186</v>
      </c>
      <c r="JJ105">
        <v>0</v>
      </c>
      <c r="JK105">
        <v>0</v>
      </c>
      <c r="JL105">
        <v>0</v>
      </c>
      <c r="JM105">
        <v>486</v>
      </c>
      <c r="JN105">
        <v>15976</v>
      </c>
      <c r="JO105">
        <v>387</v>
      </c>
      <c r="JP105">
        <v>7572</v>
      </c>
      <c r="JQ105">
        <v>0</v>
      </c>
      <c r="JR105">
        <v>743726</v>
      </c>
      <c r="JS105">
        <v>-3113</v>
      </c>
      <c r="JT105">
        <v>0</v>
      </c>
      <c r="JU105">
        <v>320</v>
      </c>
      <c r="JV105">
        <v>0</v>
      </c>
      <c r="JW105">
        <v>-87248</v>
      </c>
      <c r="JX105">
        <v>0</v>
      </c>
      <c r="JY105">
        <v>-981</v>
      </c>
      <c r="JZ105">
        <v>0</v>
      </c>
      <c r="KA105">
        <v>0</v>
      </c>
      <c r="KB105">
        <v>0</v>
      </c>
      <c r="KC105">
        <v>652704</v>
      </c>
      <c r="KD105">
        <v>-643</v>
      </c>
      <c r="KE105">
        <v>-252524</v>
      </c>
      <c r="KF105">
        <v>399537</v>
      </c>
      <c r="KG105">
        <v>0</v>
      </c>
      <c r="KH105">
        <v>2124</v>
      </c>
      <c r="KI105">
        <v>10000</v>
      </c>
      <c r="KJ105">
        <v>-3854</v>
      </c>
      <c r="KK105">
        <v>7478</v>
      </c>
      <c r="KL105">
        <v>1679</v>
      </c>
      <c r="KM105">
        <v>0</v>
      </c>
      <c r="KN105">
        <v>0</v>
      </c>
      <c r="KO105">
        <v>-57639</v>
      </c>
      <c r="KP105">
        <v>-7446</v>
      </c>
      <c r="KQ105">
        <v>0</v>
      </c>
      <c r="KR105">
        <v>280257</v>
      </c>
      <c r="KS105">
        <v>7426</v>
      </c>
      <c r="KT105">
        <v>0</v>
      </c>
      <c r="KU105">
        <v>11859</v>
      </c>
      <c r="KV105">
        <v>134696</v>
      </c>
      <c r="KW105">
        <v>31515</v>
      </c>
      <c r="KX105">
        <v>9550</v>
      </c>
      <c r="KY105">
        <v>10000</v>
      </c>
      <c r="KZ105">
        <v>8005</v>
      </c>
      <c r="LA105">
        <v>142174</v>
      </c>
      <c r="LB105">
        <v>33194</v>
      </c>
      <c r="LC105">
        <v>0</v>
      </c>
      <c r="LD105">
        <v>-58384</v>
      </c>
      <c r="LE105">
        <v>0</v>
      </c>
      <c r="LF105">
        <v>0</v>
      </c>
      <c r="LG105">
        <v>-74677</v>
      </c>
      <c r="LH105">
        <v>0</v>
      </c>
      <c r="LI105">
        <v>-133061</v>
      </c>
      <c r="LJ105">
        <v>13345</v>
      </c>
      <c r="LK105">
        <v>15995</v>
      </c>
      <c r="LL105">
        <v>29340</v>
      </c>
      <c r="LM105">
        <v>0</v>
      </c>
      <c r="LN105">
        <v>0</v>
      </c>
      <c r="LO105">
        <v>0</v>
      </c>
      <c r="LP105">
        <v>0</v>
      </c>
      <c r="LQ105">
        <v>0</v>
      </c>
      <c r="LR105">
        <v>0</v>
      </c>
      <c r="LS105">
        <v>0</v>
      </c>
      <c r="LT105">
        <v>0</v>
      </c>
      <c r="LU105">
        <v>233822</v>
      </c>
      <c r="LV105">
        <v>18798</v>
      </c>
      <c r="LW105">
        <v>74409</v>
      </c>
      <c r="LX105">
        <v>137774</v>
      </c>
      <c r="LY105">
        <v>18068</v>
      </c>
      <c r="LZ105">
        <v>76064</v>
      </c>
      <c r="MA105">
        <v>15483</v>
      </c>
      <c r="MB105">
        <v>38210</v>
      </c>
      <c r="MC105">
        <v>9393</v>
      </c>
      <c r="MD105">
        <v>0</v>
      </c>
      <c r="ME105">
        <v>0</v>
      </c>
      <c r="MF105">
        <v>34592</v>
      </c>
      <c r="MG105">
        <v>0</v>
      </c>
      <c r="MH105">
        <v>656613</v>
      </c>
      <c r="MI105">
        <v>0</v>
      </c>
      <c r="MJ105">
        <v>0</v>
      </c>
      <c r="MK105">
        <v>0</v>
      </c>
      <c r="ML105">
        <v>0</v>
      </c>
      <c r="MM105">
        <v>0</v>
      </c>
      <c r="MN105">
        <v>0</v>
      </c>
      <c r="MO105">
        <v>0</v>
      </c>
      <c r="MP105">
        <v>0</v>
      </c>
      <c r="MQ105">
        <v>0</v>
      </c>
      <c r="MR105">
        <v>0</v>
      </c>
      <c r="MS105">
        <v>0</v>
      </c>
      <c r="MT105">
        <v>0</v>
      </c>
      <c r="MU105">
        <v>0</v>
      </c>
      <c r="MV105">
        <v>0</v>
      </c>
      <c r="MW105">
        <v>0</v>
      </c>
      <c r="MX105">
        <v>-799</v>
      </c>
      <c r="MY105">
        <v>0</v>
      </c>
      <c r="MZ105">
        <v>-111</v>
      </c>
      <c r="NA105">
        <v>-910</v>
      </c>
      <c r="NB105">
        <v>0</v>
      </c>
      <c r="NC105">
        <v>-910</v>
      </c>
      <c r="ND105">
        <v>0</v>
      </c>
      <c r="NE105">
        <v>0</v>
      </c>
      <c r="NF105">
        <v>0</v>
      </c>
      <c r="NG105">
        <v>0</v>
      </c>
      <c r="NH105">
        <v>0</v>
      </c>
      <c r="NI105">
        <v>0</v>
      </c>
      <c r="NJ105">
        <v>0</v>
      </c>
      <c r="NK105">
        <v>0</v>
      </c>
      <c r="NL105">
        <v>0</v>
      </c>
      <c r="NM105">
        <v>0</v>
      </c>
      <c r="NN105">
        <v>0</v>
      </c>
      <c r="NO105">
        <v>0</v>
      </c>
      <c r="NP105">
        <v>194</v>
      </c>
      <c r="NQ105">
        <v>1209</v>
      </c>
      <c r="NR105">
        <v>0</v>
      </c>
      <c r="NS105">
        <v>0</v>
      </c>
      <c r="NT105">
        <v>0</v>
      </c>
      <c r="NU105">
        <v>-3401</v>
      </c>
      <c r="NV105">
        <v>-21540</v>
      </c>
      <c r="NW105">
        <v>0</v>
      </c>
      <c r="NX105">
        <v>0</v>
      </c>
      <c r="NY105">
        <v>0</v>
      </c>
      <c r="NZ105">
        <v>-23538</v>
      </c>
      <c r="OA105">
        <v>3081</v>
      </c>
      <c r="OB105">
        <v>-20457</v>
      </c>
      <c r="OC105">
        <v>0</v>
      </c>
      <c r="OD105">
        <v>0</v>
      </c>
      <c r="OE105">
        <v>0</v>
      </c>
      <c r="OF105">
        <v>0</v>
      </c>
      <c r="OG105">
        <v>0</v>
      </c>
      <c r="OH105">
        <v>0</v>
      </c>
      <c r="OI105">
        <v>3081</v>
      </c>
      <c r="OJ105">
        <v>0</v>
      </c>
      <c r="OK105">
        <v>0</v>
      </c>
      <c r="OL105">
        <v>0</v>
      </c>
      <c r="OM105">
        <v>0</v>
      </c>
      <c r="ON105">
        <v>3081</v>
      </c>
    </row>
    <row r="106" spans="1:404" x14ac:dyDescent="0.25">
      <c r="A106" t="s">
        <v>382</v>
      </c>
      <c r="B106" t="s">
        <v>383</v>
      </c>
      <c r="C106" t="s">
        <v>381</v>
      </c>
      <c r="E106" t="s">
        <v>61</v>
      </c>
      <c r="F106">
        <v>0</v>
      </c>
      <c r="G106">
        <v>0</v>
      </c>
      <c r="H106">
        <v>0</v>
      </c>
      <c r="I106">
        <v>0</v>
      </c>
      <c r="J106">
        <v>0</v>
      </c>
      <c r="K106">
        <v>0</v>
      </c>
      <c r="L106">
        <v>0</v>
      </c>
      <c r="M106">
        <v>0</v>
      </c>
      <c r="N106">
        <v>96</v>
      </c>
      <c r="O106">
        <v>0</v>
      </c>
      <c r="P106">
        <v>0</v>
      </c>
      <c r="Q106">
        <v>0</v>
      </c>
      <c r="R106">
        <v>0</v>
      </c>
      <c r="S106">
        <v>0</v>
      </c>
      <c r="T106">
        <v>0</v>
      </c>
      <c r="U106">
        <v>0</v>
      </c>
      <c r="V106">
        <v>0</v>
      </c>
      <c r="W106">
        <v>0</v>
      </c>
      <c r="X106">
        <v>0</v>
      </c>
      <c r="Y106">
        <v>0</v>
      </c>
      <c r="Z106">
        <v>-22</v>
      </c>
      <c r="AA106">
        <v>-833</v>
      </c>
      <c r="AB106">
        <v>0</v>
      </c>
      <c r="AC106">
        <v>0</v>
      </c>
      <c r="AD106">
        <v>0</v>
      </c>
      <c r="AE106">
        <v>0</v>
      </c>
      <c r="AF106">
        <v>0</v>
      </c>
      <c r="AG106">
        <v>0</v>
      </c>
      <c r="AH106">
        <v>0</v>
      </c>
      <c r="AI106">
        <v>-759</v>
      </c>
      <c r="AJ106">
        <v>0</v>
      </c>
      <c r="AK106">
        <v>0</v>
      </c>
      <c r="AL106">
        <v>0</v>
      </c>
      <c r="AM106">
        <v>0</v>
      </c>
      <c r="AN106">
        <v>0</v>
      </c>
      <c r="AO106">
        <v>0</v>
      </c>
      <c r="AP106">
        <v>0</v>
      </c>
      <c r="AQ106">
        <v>126</v>
      </c>
      <c r="AR106">
        <v>652</v>
      </c>
      <c r="AS106">
        <v>0</v>
      </c>
      <c r="AT106">
        <v>0</v>
      </c>
      <c r="AU106">
        <v>0</v>
      </c>
      <c r="AV106">
        <v>0</v>
      </c>
      <c r="AW106">
        <v>0</v>
      </c>
      <c r="AX106">
        <v>0</v>
      </c>
      <c r="AY106">
        <v>0</v>
      </c>
      <c r="AZ106">
        <v>0</v>
      </c>
      <c r="BA106">
        <v>0</v>
      </c>
      <c r="BB106">
        <v>0</v>
      </c>
      <c r="BC106">
        <v>0</v>
      </c>
      <c r="BD106">
        <v>0</v>
      </c>
      <c r="BE106">
        <v>0</v>
      </c>
      <c r="BF106">
        <v>0</v>
      </c>
      <c r="BG106">
        <v>0</v>
      </c>
      <c r="BH106">
        <v>0</v>
      </c>
      <c r="BI106">
        <v>0</v>
      </c>
      <c r="BJ106">
        <v>0</v>
      </c>
      <c r="BK106">
        <v>0</v>
      </c>
      <c r="BL106">
        <v>0</v>
      </c>
      <c r="BM106">
        <v>0</v>
      </c>
      <c r="BN106">
        <v>0</v>
      </c>
      <c r="BO106">
        <v>0</v>
      </c>
      <c r="BP106">
        <v>0</v>
      </c>
      <c r="BQ106">
        <v>0</v>
      </c>
      <c r="BR106">
        <v>0</v>
      </c>
      <c r="BS106">
        <v>0</v>
      </c>
      <c r="BT106">
        <v>0</v>
      </c>
      <c r="BU106">
        <v>0</v>
      </c>
      <c r="BV106">
        <v>0</v>
      </c>
      <c r="BW106">
        <v>0</v>
      </c>
      <c r="BX106">
        <v>0</v>
      </c>
      <c r="BY106">
        <v>0</v>
      </c>
      <c r="BZ106">
        <v>0</v>
      </c>
      <c r="CA106">
        <v>0</v>
      </c>
      <c r="CB106">
        <v>0</v>
      </c>
      <c r="CC106">
        <v>0</v>
      </c>
      <c r="CD106">
        <v>0</v>
      </c>
      <c r="CE106">
        <v>0</v>
      </c>
      <c r="CF106">
        <v>0</v>
      </c>
      <c r="CG106">
        <v>0</v>
      </c>
      <c r="CH106">
        <v>0</v>
      </c>
      <c r="CI106">
        <v>0</v>
      </c>
      <c r="CJ106">
        <v>0</v>
      </c>
      <c r="CK106">
        <v>0</v>
      </c>
      <c r="CL106">
        <v>0</v>
      </c>
      <c r="CM106">
        <v>0</v>
      </c>
      <c r="CN106">
        <v>0</v>
      </c>
      <c r="CO106">
        <v>0</v>
      </c>
      <c r="CP106">
        <v>0</v>
      </c>
      <c r="CQ106">
        <v>0</v>
      </c>
      <c r="CR106">
        <v>-134</v>
      </c>
      <c r="CS106">
        <v>0</v>
      </c>
      <c r="CT106">
        <v>0</v>
      </c>
      <c r="CU106">
        <v>0</v>
      </c>
      <c r="CV106">
        <v>-134</v>
      </c>
      <c r="CW106">
        <v>0</v>
      </c>
      <c r="CX106">
        <v>0</v>
      </c>
      <c r="CY106">
        <v>0</v>
      </c>
      <c r="CZ106">
        <v>0</v>
      </c>
      <c r="DA106">
        <v>0</v>
      </c>
      <c r="DB106">
        <v>0</v>
      </c>
      <c r="DC106">
        <v>66</v>
      </c>
      <c r="DD106">
        <v>0</v>
      </c>
      <c r="DE106">
        <v>35</v>
      </c>
      <c r="DF106">
        <v>396</v>
      </c>
      <c r="DG106">
        <v>0</v>
      </c>
      <c r="DH106">
        <v>0</v>
      </c>
      <c r="DI106">
        <v>0</v>
      </c>
      <c r="DJ106">
        <v>1280</v>
      </c>
      <c r="DK106">
        <v>0</v>
      </c>
      <c r="DL106">
        <v>0</v>
      </c>
      <c r="DM106">
        <v>1089</v>
      </c>
      <c r="DN106">
        <v>3</v>
      </c>
      <c r="DO106">
        <v>0</v>
      </c>
      <c r="DP106">
        <v>2372</v>
      </c>
      <c r="DQ106">
        <v>0</v>
      </c>
      <c r="DR106">
        <v>0</v>
      </c>
      <c r="DS106">
        <v>0</v>
      </c>
      <c r="DT106">
        <v>1022</v>
      </c>
      <c r="DU106">
        <v>-868</v>
      </c>
      <c r="DV106">
        <v>0</v>
      </c>
      <c r="DW106">
        <v>0</v>
      </c>
      <c r="DX106">
        <v>3023</v>
      </c>
      <c r="DY106">
        <v>19054</v>
      </c>
      <c r="DZ106">
        <v>18</v>
      </c>
      <c r="EA106">
        <v>1452</v>
      </c>
      <c r="EB106">
        <v>0</v>
      </c>
      <c r="EC106">
        <v>0</v>
      </c>
      <c r="ED106">
        <v>1</v>
      </c>
      <c r="EE106">
        <v>0</v>
      </c>
      <c r="EF106">
        <v>0</v>
      </c>
      <c r="EG106">
        <v>0</v>
      </c>
      <c r="EH106">
        <v>4776</v>
      </c>
      <c r="EI106">
        <v>7162</v>
      </c>
      <c r="EJ106">
        <v>0</v>
      </c>
      <c r="EK106">
        <v>119</v>
      </c>
      <c r="EL106">
        <v>2386</v>
      </c>
      <c r="EM106">
        <v>2742</v>
      </c>
      <c r="EN106">
        <v>1914</v>
      </c>
      <c r="EO106">
        <v>37</v>
      </c>
      <c r="EP106">
        <v>1557</v>
      </c>
      <c r="EQ106">
        <v>0</v>
      </c>
      <c r="ER106">
        <v>-159</v>
      </c>
      <c r="ES106">
        <v>1021</v>
      </c>
      <c r="ET106">
        <v>1011</v>
      </c>
      <c r="EU106">
        <v>0</v>
      </c>
      <c r="EV106">
        <v>0</v>
      </c>
      <c r="EW106">
        <v>40</v>
      </c>
      <c r="EX106">
        <v>768</v>
      </c>
      <c r="EY106">
        <v>0</v>
      </c>
      <c r="EZ106">
        <v>78</v>
      </c>
      <c r="FA106">
        <v>162</v>
      </c>
      <c r="FB106">
        <v>-11</v>
      </c>
      <c r="FC106">
        <v>3</v>
      </c>
      <c r="FD106">
        <v>857</v>
      </c>
      <c r="FE106">
        <v>0</v>
      </c>
      <c r="FF106">
        <v>567</v>
      </c>
      <c r="FG106">
        <v>0</v>
      </c>
      <c r="FH106">
        <v>2464</v>
      </c>
      <c r="FI106">
        <v>314</v>
      </c>
      <c r="FJ106">
        <v>0</v>
      </c>
      <c r="FK106">
        <v>0</v>
      </c>
      <c r="FL106">
        <v>59</v>
      </c>
      <c r="FM106">
        <v>622</v>
      </c>
      <c r="FN106">
        <v>0</v>
      </c>
      <c r="FO106">
        <v>-52</v>
      </c>
      <c r="FP106">
        <v>-134</v>
      </c>
      <c r="FQ106">
        <v>0</v>
      </c>
      <c r="FR106">
        <v>25</v>
      </c>
      <c r="FS106">
        <v>258</v>
      </c>
      <c r="FT106">
        <v>54</v>
      </c>
      <c r="FU106">
        <v>66</v>
      </c>
      <c r="FV106">
        <v>23</v>
      </c>
      <c r="FW106">
        <v>-252</v>
      </c>
      <c r="FX106">
        <v>226</v>
      </c>
      <c r="FY106">
        <v>0</v>
      </c>
      <c r="FZ106">
        <v>77</v>
      </c>
      <c r="GA106">
        <v>0</v>
      </c>
      <c r="GB106">
        <v>-11</v>
      </c>
      <c r="GC106">
        <v>0</v>
      </c>
      <c r="GD106">
        <v>2009</v>
      </c>
      <c r="GE106">
        <v>1228</v>
      </c>
      <c r="GF106">
        <v>0</v>
      </c>
      <c r="GG106">
        <v>0</v>
      </c>
      <c r="GH106">
        <v>912</v>
      </c>
      <c r="GI106">
        <v>0</v>
      </c>
      <c r="GJ106">
        <v>0</v>
      </c>
      <c r="GK106">
        <v>5424</v>
      </c>
      <c r="GL106">
        <v>108</v>
      </c>
      <c r="GM106">
        <v>1370</v>
      </c>
      <c r="GN106">
        <v>94</v>
      </c>
      <c r="GO106">
        <v>178</v>
      </c>
      <c r="GP106">
        <v>65</v>
      </c>
      <c r="GQ106">
        <v>1584</v>
      </c>
      <c r="GR106">
        <v>0</v>
      </c>
      <c r="GS106">
        <v>-38</v>
      </c>
      <c r="GT106">
        <v>227</v>
      </c>
      <c r="GU106">
        <v>3588</v>
      </c>
      <c r="GV106">
        <v>11476</v>
      </c>
      <c r="GW106">
        <v>0</v>
      </c>
      <c r="GX106">
        <v>0</v>
      </c>
      <c r="GY106">
        <v>0</v>
      </c>
      <c r="GZ106">
        <v>0</v>
      </c>
      <c r="HA106">
        <v>0</v>
      </c>
      <c r="HB106">
        <v>1922</v>
      </c>
      <c r="HC106">
        <v>418</v>
      </c>
      <c r="HD106">
        <v>0</v>
      </c>
      <c r="HE106">
        <v>0</v>
      </c>
      <c r="HF106">
        <v>0</v>
      </c>
      <c r="HG106">
        <v>-157</v>
      </c>
      <c r="HH106">
        <v>0</v>
      </c>
      <c r="HI106">
        <v>0</v>
      </c>
      <c r="HJ106">
        <v>279</v>
      </c>
      <c r="HK106">
        <v>174</v>
      </c>
      <c r="HL106">
        <v>4262</v>
      </c>
      <c r="HM106">
        <v>-5</v>
      </c>
      <c r="HN106">
        <v>0</v>
      </c>
      <c r="HO106">
        <v>575</v>
      </c>
      <c r="HP106">
        <v>0</v>
      </c>
      <c r="HQ106">
        <v>0</v>
      </c>
      <c r="HR106">
        <v>1558</v>
      </c>
      <c r="HS106">
        <v>29</v>
      </c>
      <c r="HT106">
        <v>0</v>
      </c>
      <c r="HU106">
        <v>1014</v>
      </c>
      <c r="HV106">
        <v>10069</v>
      </c>
      <c r="HW106">
        <v>0</v>
      </c>
      <c r="HX106">
        <v>261</v>
      </c>
      <c r="HY106">
        <v>0</v>
      </c>
      <c r="HZ106">
        <v>0</v>
      </c>
      <c r="IA106">
        <v>0</v>
      </c>
      <c r="IB106">
        <v>0</v>
      </c>
      <c r="IC106">
        <v>0</v>
      </c>
      <c r="ID106">
        <v>-759</v>
      </c>
      <c r="IE106">
        <v>0</v>
      </c>
      <c r="IF106">
        <v>0</v>
      </c>
      <c r="IG106">
        <v>-134</v>
      </c>
      <c r="IH106">
        <v>3023</v>
      </c>
      <c r="II106">
        <v>2464</v>
      </c>
      <c r="IJ106">
        <v>5424</v>
      </c>
      <c r="IK106">
        <v>3588</v>
      </c>
      <c r="IL106">
        <v>0</v>
      </c>
      <c r="IM106">
        <v>0</v>
      </c>
      <c r="IN106">
        <v>10069</v>
      </c>
      <c r="IO106">
        <v>0</v>
      </c>
      <c r="IP106">
        <v>23675</v>
      </c>
      <c r="IQ106">
        <v>14285</v>
      </c>
      <c r="IR106">
        <v>462</v>
      </c>
      <c r="IS106">
        <v>7332</v>
      </c>
      <c r="IT106">
        <v>0</v>
      </c>
      <c r="IU106">
        <v>0</v>
      </c>
      <c r="IV106">
        <v>2772</v>
      </c>
      <c r="IW106">
        <v>0</v>
      </c>
      <c r="IX106">
        <v>0</v>
      </c>
      <c r="IY106">
        <v>0</v>
      </c>
      <c r="IZ106">
        <v>0</v>
      </c>
      <c r="JA106">
        <v>-870</v>
      </c>
      <c r="JB106">
        <v>-3508</v>
      </c>
      <c r="JC106">
        <v>4</v>
      </c>
      <c r="JD106">
        <v>-156</v>
      </c>
      <c r="JE106">
        <v>0</v>
      </c>
      <c r="JF106">
        <v>0</v>
      </c>
      <c r="JG106">
        <v>43996</v>
      </c>
      <c r="JH106">
        <v>0</v>
      </c>
      <c r="JI106">
        <v>1480</v>
      </c>
      <c r="JJ106">
        <v>0</v>
      </c>
      <c r="JK106">
        <v>0</v>
      </c>
      <c r="JL106">
        <v>0</v>
      </c>
      <c r="JM106">
        <v>177</v>
      </c>
      <c r="JN106">
        <v>1097</v>
      </c>
      <c r="JO106">
        <v>0</v>
      </c>
      <c r="JP106">
        <v>2521</v>
      </c>
      <c r="JQ106">
        <v>-2382</v>
      </c>
      <c r="JR106">
        <v>46889</v>
      </c>
      <c r="JS106">
        <v>-1443</v>
      </c>
      <c r="JT106">
        <v>0</v>
      </c>
      <c r="JU106">
        <v>0</v>
      </c>
      <c r="JV106">
        <v>0</v>
      </c>
      <c r="JW106">
        <v>-22031</v>
      </c>
      <c r="JX106">
        <v>0</v>
      </c>
      <c r="JY106">
        <v>0</v>
      </c>
      <c r="JZ106">
        <v>0</v>
      </c>
      <c r="KA106">
        <v>0</v>
      </c>
      <c r="KB106">
        <v>0</v>
      </c>
      <c r="KC106">
        <v>23415</v>
      </c>
      <c r="KD106">
        <v>0</v>
      </c>
      <c r="KE106">
        <v>-17589</v>
      </c>
      <c r="KF106">
        <v>5826</v>
      </c>
      <c r="KG106">
        <v>0</v>
      </c>
      <c r="KH106">
        <v>0</v>
      </c>
      <c r="KI106">
        <v>0</v>
      </c>
      <c r="KJ106">
        <v>0</v>
      </c>
      <c r="KK106">
        <v>10428</v>
      </c>
      <c r="KL106">
        <v>-1451</v>
      </c>
      <c r="KM106">
        <v>-58</v>
      </c>
      <c r="KN106">
        <v>0</v>
      </c>
      <c r="KO106">
        <v>-2560</v>
      </c>
      <c r="KP106">
        <v>-12</v>
      </c>
      <c r="KQ106">
        <v>0</v>
      </c>
      <c r="KR106">
        <v>10461</v>
      </c>
      <c r="KS106">
        <v>0</v>
      </c>
      <c r="KT106">
        <v>0</v>
      </c>
      <c r="KU106">
        <v>0</v>
      </c>
      <c r="KV106">
        <v>49459</v>
      </c>
      <c r="KW106">
        <v>2930</v>
      </c>
      <c r="KX106">
        <v>0</v>
      </c>
      <c r="KY106">
        <v>0</v>
      </c>
      <c r="KZ106">
        <v>0</v>
      </c>
      <c r="LA106">
        <v>59887</v>
      </c>
      <c r="LB106">
        <v>1479</v>
      </c>
      <c r="LC106">
        <v>0</v>
      </c>
      <c r="LD106">
        <v>3445</v>
      </c>
      <c r="LE106">
        <v>0</v>
      </c>
      <c r="LF106">
        <v>309</v>
      </c>
      <c r="LG106">
        <v>0</v>
      </c>
      <c r="LH106">
        <v>1169</v>
      </c>
      <c r="LI106">
        <v>4923</v>
      </c>
      <c r="LJ106">
        <v>3814</v>
      </c>
      <c r="LK106">
        <v>5201</v>
      </c>
      <c r="LL106">
        <v>9015</v>
      </c>
      <c r="LM106">
        <v>0</v>
      </c>
      <c r="LN106">
        <v>0</v>
      </c>
      <c r="LO106">
        <v>0</v>
      </c>
      <c r="LP106">
        <v>20525</v>
      </c>
      <c r="LQ106">
        <v>20534</v>
      </c>
      <c r="LR106">
        <v>-9</v>
      </c>
      <c r="LS106">
        <v>1021</v>
      </c>
      <c r="LT106">
        <v>1011</v>
      </c>
      <c r="LU106">
        <v>0</v>
      </c>
      <c r="LV106">
        <v>-759</v>
      </c>
      <c r="LW106">
        <v>0</v>
      </c>
      <c r="LX106">
        <v>0</v>
      </c>
      <c r="LY106">
        <v>-134</v>
      </c>
      <c r="LZ106">
        <v>3023</v>
      </c>
      <c r="MA106">
        <v>2464</v>
      </c>
      <c r="MB106">
        <v>5424</v>
      </c>
      <c r="MC106">
        <v>3588</v>
      </c>
      <c r="MD106">
        <v>0</v>
      </c>
      <c r="ME106">
        <v>0</v>
      </c>
      <c r="MF106">
        <v>10069</v>
      </c>
      <c r="MG106">
        <v>0</v>
      </c>
      <c r="MH106">
        <v>23675</v>
      </c>
      <c r="MI106">
        <v>0</v>
      </c>
      <c r="MJ106">
        <v>0</v>
      </c>
      <c r="MK106">
        <v>0</v>
      </c>
      <c r="ML106">
        <v>0</v>
      </c>
      <c r="MM106">
        <v>0</v>
      </c>
      <c r="MN106">
        <v>0</v>
      </c>
      <c r="MO106">
        <v>0</v>
      </c>
      <c r="MP106">
        <v>0</v>
      </c>
      <c r="MQ106">
        <v>0</v>
      </c>
      <c r="MR106">
        <v>0</v>
      </c>
      <c r="MS106">
        <v>0</v>
      </c>
      <c r="MT106">
        <v>0</v>
      </c>
      <c r="MU106">
        <v>0</v>
      </c>
      <c r="MV106">
        <v>0</v>
      </c>
      <c r="MW106">
        <v>0</v>
      </c>
      <c r="MX106">
        <v>0</v>
      </c>
      <c r="MY106">
        <v>-866</v>
      </c>
      <c r="MZ106">
        <v>0</v>
      </c>
      <c r="NA106">
        <v>-866</v>
      </c>
      <c r="NB106">
        <v>-4</v>
      </c>
      <c r="NC106">
        <v>-870</v>
      </c>
      <c r="ND106">
        <v>0</v>
      </c>
      <c r="NE106">
        <v>0</v>
      </c>
      <c r="NF106">
        <v>0</v>
      </c>
      <c r="NG106">
        <v>0</v>
      </c>
      <c r="NH106">
        <v>0</v>
      </c>
      <c r="NI106">
        <v>0</v>
      </c>
      <c r="NJ106">
        <v>-178</v>
      </c>
      <c r="NK106">
        <v>0</v>
      </c>
      <c r="NL106">
        <v>0</v>
      </c>
      <c r="NM106">
        <v>-294</v>
      </c>
      <c r="NN106">
        <v>0</v>
      </c>
      <c r="NO106">
        <v>-21</v>
      </c>
      <c r="NP106">
        <v>-233</v>
      </c>
      <c r="NQ106">
        <v>0</v>
      </c>
      <c r="NR106">
        <v>0</v>
      </c>
      <c r="NS106">
        <v>0</v>
      </c>
      <c r="NT106">
        <v>0</v>
      </c>
      <c r="NU106">
        <v>-49</v>
      </c>
      <c r="NV106">
        <v>-100</v>
      </c>
      <c r="NW106">
        <v>-291</v>
      </c>
      <c r="NX106">
        <v>-152</v>
      </c>
      <c r="NY106">
        <v>-168</v>
      </c>
      <c r="NZ106">
        <v>-3664</v>
      </c>
      <c r="OA106">
        <v>156</v>
      </c>
      <c r="OB106">
        <v>-3508</v>
      </c>
      <c r="OC106">
        <v>26</v>
      </c>
      <c r="OD106">
        <v>0</v>
      </c>
      <c r="OE106">
        <v>-30</v>
      </c>
      <c r="OF106">
        <v>0</v>
      </c>
      <c r="OG106">
        <v>0</v>
      </c>
      <c r="OH106">
        <v>-4</v>
      </c>
      <c r="OI106">
        <v>156</v>
      </c>
      <c r="OJ106">
        <v>0</v>
      </c>
      <c r="OK106">
        <v>0</v>
      </c>
      <c r="OL106">
        <v>0</v>
      </c>
      <c r="OM106">
        <v>0</v>
      </c>
      <c r="ON106">
        <v>156</v>
      </c>
    </row>
    <row r="107" spans="1:404" x14ac:dyDescent="0.25">
      <c r="A107" t="s">
        <v>385</v>
      </c>
      <c r="B107" t="s">
        <v>386</v>
      </c>
      <c r="C107" t="s">
        <v>384</v>
      </c>
      <c r="E107" t="s">
        <v>97</v>
      </c>
      <c r="F107">
        <v>19337</v>
      </c>
      <c r="G107">
        <v>99115</v>
      </c>
      <c r="H107">
        <v>28690</v>
      </c>
      <c r="I107">
        <v>31320</v>
      </c>
      <c r="J107">
        <v>3919</v>
      </c>
      <c r="K107">
        <v>16636</v>
      </c>
      <c r="L107">
        <v>199017</v>
      </c>
      <c r="M107">
        <v>163</v>
      </c>
      <c r="N107">
        <v>241</v>
      </c>
      <c r="O107">
        <v>308</v>
      </c>
      <c r="P107">
        <v>3058</v>
      </c>
      <c r="Q107">
        <v>278</v>
      </c>
      <c r="R107">
        <v>625</v>
      </c>
      <c r="S107">
        <v>2216</v>
      </c>
      <c r="T107">
        <v>863</v>
      </c>
      <c r="U107">
        <v>2797</v>
      </c>
      <c r="V107">
        <v>0</v>
      </c>
      <c r="W107">
        <v>0</v>
      </c>
      <c r="X107">
        <v>355</v>
      </c>
      <c r="Y107">
        <v>446</v>
      </c>
      <c r="Z107">
        <v>254</v>
      </c>
      <c r="AA107">
        <v>759</v>
      </c>
      <c r="AB107">
        <v>0</v>
      </c>
      <c r="AC107">
        <v>0</v>
      </c>
      <c r="AD107">
        <v>0</v>
      </c>
      <c r="AE107">
        <v>0</v>
      </c>
      <c r="AF107">
        <v>0</v>
      </c>
      <c r="AG107">
        <v>0</v>
      </c>
      <c r="AH107">
        <v>0</v>
      </c>
      <c r="AI107">
        <v>12363</v>
      </c>
      <c r="AJ107">
        <v>0</v>
      </c>
      <c r="AK107">
        <v>0</v>
      </c>
      <c r="AL107">
        <v>0</v>
      </c>
      <c r="AM107">
        <v>0</v>
      </c>
      <c r="AN107">
        <v>1108</v>
      </c>
      <c r="AO107">
        <v>0</v>
      </c>
      <c r="AP107">
        <v>1291</v>
      </c>
      <c r="AQ107">
        <v>304</v>
      </c>
      <c r="AR107">
        <v>3</v>
      </c>
      <c r="AS107">
        <v>0</v>
      </c>
      <c r="AT107">
        <v>0</v>
      </c>
      <c r="AU107">
        <v>0</v>
      </c>
      <c r="AV107">
        <v>3431</v>
      </c>
      <c r="AW107">
        <v>36479</v>
      </c>
      <c r="AX107">
        <v>311</v>
      </c>
      <c r="AY107">
        <v>4325</v>
      </c>
      <c r="AZ107">
        <v>1202</v>
      </c>
      <c r="BA107">
        <v>12129</v>
      </c>
      <c r="BB107">
        <v>1015</v>
      </c>
      <c r="BC107">
        <v>1538</v>
      </c>
      <c r="BD107">
        <v>60430</v>
      </c>
      <c r="BE107">
        <v>6537</v>
      </c>
      <c r="BF107">
        <v>21633</v>
      </c>
      <c r="BG107">
        <v>406</v>
      </c>
      <c r="BH107">
        <v>371</v>
      </c>
      <c r="BI107">
        <v>1053</v>
      </c>
      <c r="BJ107">
        <v>2901</v>
      </c>
      <c r="BK107">
        <v>35647</v>
      </c>
      <c r="BL107">
        <v>4004</v>
      </c>
      <c r="BM107">
        <v>3050</v>
      </c>
      <c r="BN107">
        <v>2190</v>
      </c>
      <c r="BO107">
        <v>0</v>
      </c>
      <c r="BP107">
        <v>0</v>
      </c>
      <c r="BQ107">
        <v>0</v>
      </c>
      <c r="BR107">
        <v>90</v>
      </c>
      <c r="BS107">
        <v>448</v>
      </c>
      <c r="BT107">
        <v>14016</v>
      </c>
      <c r="BU107">
        <v>2293</v>
      </c>
      <c r="BV107">
        <v>9874</v>
      </c>
      <c r="BW107">
        <v>109271</v>
      </c>
      <c r="BX107">
        <v>1666</v>
      </c>
      <c r="BY107">
        <v>501</v>
      </c>
      <c r="BZ107">
        <v>1007</v>
      </c>
      <c r="CA107">
        <v>186</v>
      </c>
      <c r="CB107">
        <v>236</v>
      </c>
      <c r="CC107">
        <v>303</v>
      </c>
      <c r="CD107">
        <v>588</v>
      </c>
      <c r="CE107">
        <v>979</v>
      </c>
      <c r="CF107">
        <v>1144</v>
      </c>
      <c r="CG107">
        <v>475</v>
      </c>
      <c r="CH107">
        <v>298</v>
      </c>
      <c r="CI107">
        <v>1546</v>
      </c>
      <c r="CJ107">
        <v>1447</v>
      </c>
      <c r="CK107">
        <v>536</v>
      </c>
      <c r="CL107">
        <v>490</v>
      </c>
      <c r="CM107">
        <v>428</v>
      </c>
      <c r="CN107">
        <v>929</v>
      </c>
      <c r="CO107">
        <v>60</v>
      </c>
      <c r="CP107">
        <v>830</v>
      </c>
      <c r="CQ107">
        <v>4291</v>
      </c>
      <c r="CR107">
        <v>1177</v>
      </c>
      <c r="CS107">
        <v>135</v>
      </c>
      <c r="CT107">
        <v>634</v>
      </c>
      <c r="CU107">
        <v>2460</v>
      </c>
      <c r="CV107">
        <v>28393</v>
      </c>
      <c r="CW107">
        <v>86</v>
      </c>
      <c r="CX107">
        <v>0</v>
      </c>
      <c r="CY107">
        <v>136</v>
      </c>
      <c r="CZ107">
        <v>0</v>
      </c>
      <c r="DA107">
        <v>0</v>
      </c>
      <c r="DB107">
        <v>0</v>
      </c>
      <c r="DC107">
        <v>189</v>
      </c>
      <c r="DD107">
        <v>0</v>
      </c>
      <c r="DE107">
        <v>252</v>
      </c>
      <c r="DF107">
        <v>0</v>
      </c>
      <c r="DG107">
        <v>0</v>
      </c>
      <c r="DH107">
        <v>0</v>
      </c>
      <c r="DI107">
        <v>0</v>
      </c>
      <c r="DJ107">
        <v>-48</v>
      </c>
      <c r="DK107">
        <v>124</v>
      </c>
      <c r="DL107">
        <v>0</v>
      </c>
      <c r="DM107">
        <v>77</v>
      </c>
      <c r="DN107">
        <v>1050</v>
      </c>
      <c r="DO107">
        <v>246</v>
      </c>
      <c r="DP107">
        <v>1449</v>
      </c>
      <c r="DQ107">
        <v>286</v>
      </c>
      <c r="DR107">
        <v>0</v>
      </c>
      <c r="DS107">
        <v>381</v>
      </c>
      <c r="DT107">
        <v>1168</v>
      </c>
      <c r="DU107">
        <v>0</v>
      </c>
      <c r="DV107">
        <v>0</v>
      </c>
      <c r="DW107">
        <v>0</v>
      </c>
      <c r="DX107">
        <v>3725</v>
      </c>
      <c r="DY107">
        <v>87620</v>
      </c>
      <c r="DZ107">
        <v>739</v>
      </c>
      <c r="EA107">
        <v>191</v>
      </c>
      <c r="EB107">
        <v>1725</v>
      </c>
      <c r="EC107">
        <v>491</v>
      </c>
      <c r="ED107">
        <v>0</v>
      </c>
      <c r="EE107">
        <v>0</v>
      </c>
      <c r="EF107">
        <v>0</v>
      </c>
      <c r="EG107">
        <v>0</v>
      </c>
      <c r="EH107">
        <v>25234</v>
      </c>
      <c r="EI107">
        <v>14886</v>
      </c>
      <c r="EJ107">
        <v>5460</v>
      </c>
      <c r="EK107">
        <v>1115</v>
      </c>
      <c r="EL107">
        <v>0</v>
      </c>
      <c r="EM107">
        <v>24875</v>
      </c>
      <c r="EN107">
        <v>1000</v>
      </c>
      <c r="EO107">
        <v>78</v>
      </c>
      <c r="EP107">
        <v>17284</v>
      </c>
      <c r="EQ107">
        <v>0</v>
      </c>
      <c r="ER107">
        <v>189</v>
      </c>
      <c r="ES107">
        <v>5321</v>
      </c>
      <c r="ET107">
        <v>5966</v>
      </c>
      <c r="EU107">
        <v>352</v>
      </c>
      <c r="EV107">
        <v>52</v>
      </c>
      <c r="EW107">
        <v>459</v>
      </c>
      <c r="EX107">
        <v>727</v>
      </c>
      <c r="EY107">
        <v>792</v>
      </c>
      <c r="EZ107">
        <v>94</v>
      </c>
      <c r="FA107">
        <v>0</v>
      </c>
      <c r="FB107">
        <v>294</v>
      </c>
      <c r="FC107">
        <v>3870</v>
      </c>
      <c r="FD107">
        <v>4484</v>
      </c>
      <c r="FE107">
        <v>13</v>
      </c>
      <c r="FF107">
        <v>117</v>
      </c>
      <c r="FG107">
        <v>3561</v>
      </c>
      <c r="FH107">
        <v>14815</v>
      </c>
      <c r="FI107">
        <v>-2270</v>
      </c>
      <c r="FJ107">
        <v>699</v>
      </c>
      <c r="FK107">
        <v>0</v>
      </c>
      <c r="FL107">
        <v>358</v>
      </c>
      <c r="FM107">
        <v>819</v>
      </c>
      <c r="FN107">
        <v>487</v>
      </c>
      <c r="FO107">
        <v>120</v>
      </c>
      <c r="FP107">
        <v>0</v>
      </c>
      <c r="FQ107">
        <v>0</v>
      </c>
      <c r="FR107">
        <v>10</v>
      </c>
      <c r="FS107">
        <v>196</v>
      </c>
      <c r="FT107">
        <v>133</v>
      </c>
      <c r="FU107">
        <v>-110</v>
      </c>
      <c r="FV107">
        <v>187</v>
      </c>
      <c r="FW107">
        <v>246</v>
      </c>
      <c r="FX107">
        <v>164</v>
      </c>
      <c r="FY107">
        <v>233</v>
      </c>
      <c r="FZ107">
        <v>19</v>
      </c>
      <c r="GA107">
        <v>0</v>
      </c>
      <c r="GB107">
        <v>0</v>
      </c>
      <c r="GC107">
        <v>0</v>
      </c>
      <c r="GD107">
        <v>3372</v>
      </c>
      <c r="GE107">
        <v>4147</v>
      </c>
      <c r="GF107">
        <v>8669</v>
      </c>
      <c r="GG107">
        <v>1869</v>
      </c>
      <c r="GH107">
        <v>5111</v>
      </c>
      <c r="GI107">
        <v>41</v>
      </c>
      <c r="GJ107">
        <v>0</v>
      </c>
      <c r="GK107">
        <v>24500</v>
      </c>
      <c r="GL107">
        <v>117</v>
      </c>
      <c r="GM107">
        <v>1245</v>
      </c>
      <c r="GN107">
        <v>57</v>
      </c>
      <c r="GO107">
        <v>787</v>
      </c>
      <c r="GP107">
        <v>473</v>
      </c>
      <c r="GQ107">
        <v>8023</v>
      </c>
      <c r="GR107">
        <v>194</v>
      </c>
      <c r="GS107">
        <v>-296</v>
      </c>
      <c r="GT107">
        <v>798</v>
      </c>
      <c r="GU107">
        <v>11398</v>
      </c>
      <c r="GV107">
        <v>50713</v>
      </c>
      <c r="GW107">
        <v>0</v>
      </c>
      <c r="GX107">
        <v>0</v>
      </c>
      <c r="GY107">
        <v>0</v>
      </c>
      <c r="GZ107">
        <v>0</v>
      </c>
      <c r="HA107">
        <v>0</v>
      </c>
      <c r="HB107">
        <v>2804</v>
      </c>
      <c r="HC107">
        <v>1135</v>
      </c>
      <c r="HD107">
        <v>0</v>
      </c>
      <c r="HE107">
        <v>157</v>
      </c>
      <c r="HF107">
        <v>1436</v>
      </c>
      <c r="HG107">
        <v>-311</v>
      </c>
      <c r="HH107">
        <v>0</v>
      </c>
      <c r="HI107">
        <v>-69</v>
      </c>
      <c r="HJ107">
        <v>346</v>
      </c>
      <c r="HK107">
        <v>350</v>
      </c>
      <c r="HL107">
        <v>0</v>
      </c>
      <c r="HM107">
        <v>-101</v>
      </c>
      <c r="HN107">
        <v>0</v>
      </c>
      <c r="HO107">
        <v>196</v>
      </c>
      <c r="HP107">
        <v>571</v>
      </c>
      <c r="HQ107">
        <v>0</v>
      </c>
      <c r="HR107">
        <v>4755</v>
      </c>
      <c r="HS107">
        <v>0</v>
      </c>
      <c r="HT107">
        <v>4</v>
      </c>
      <c r="HU107">
        <v>-2212</v>
      </c>
      <c r="HV107">
        <v>9061</v>
      </c>
      <c r="HW107">
        <v>9259</v>
      </c>
      <c r="HX107">
        <v>27880</v>
      </c>
      <c r="HY107">
        <v>0</v>
      </c>
      <c r="HZ107">
        <v>6371</v>
      </c>
      <c r="IA107">
        <v>695</v>
      </c>
      <c r="IB107">
        <v>0</v>
      </c>
      <c r="IC107">
        <v>199017</v>
      </c>
      <c r="ID107">
        <v>12363</v>
      </c>
      <c r="IE107">
        <v>60430</v>
      </c>
      <c r="IF107">
        <v>109271</v>
      </c>
      <c r="IG107">
        <v>28393</v>
      </c>
      <c r="IH107">
        <v>3725</v>
      </c>
      <c r="II107">
        <v>14815</v>
      </c>
      <c r="IJ107">
        <v>24500</v>
      </c>
      <c r="IK107">
        <v>11398</v>
      </c>
      <c r="IL107">
        <v>0</v>
      </c>
      <c r="IM107">
        <v>0</v>
      </c>
      <c r="IN107">
        <v>9061</v>
      </c>
      <c r="IO107">
        <v>0</v>
      </c>
      <c r="IP107">
        <v>472973</v>
      </c>
      <c r="IQ107">
        <v>21327</v>
      </c>
      <c r="IR107">
        <v>0</v>
      </c>
      <c r="IS107">
        <v>28149</v>
      </c>
      <c r="IT107">
        <v>0</v>
      </c>
      <c r="IU107">
        <v>0</v>
      </c>
      <c r="IV107">
        <v>0</v>
      </c>
      <c r="IW107">
        <v>12598</v>
      </c>
      <c r="IX107">
        <v>0</v>
      </c>
      <c r="IY107">
        <v>0</v>
      </c>
      <c r="IZ107">
        <v>928</v>
      </c>
      <c r="JA107">
        <v>-40</v>
      </c>
      <c r="JB107">
        <v>32</v>
      </c>
      <c r="JC107">
        <v>0</v>
      </c>
      <c r="JD107">
        <v>-1415</v>
      </c>
      <c r="JE107">
        <v>111</v>
      </c>
      <c r="JF107">
        <v>0</v>
      </c>
      <c r="JG107">
        <v>534663</v>
      </c>
      <c r="JH107">
        <v>111</v>
      </c>
      <c r="JI107">
        <v>2935</v>
      </c>
      <c r="JJ107">
        <v>0</v>
      </c>
      <c r="JK107">
        <v>0</v>
      </c>
      <c r="JL107">
        <v>0</v>
      </c>
      <c r="JM107">
        <v>549</v>
      </c>
      <c r="JN107">
        <v>12037</v>
      </c>
      <c r="JO107">
        <v>482</v>
      </c>
      <c r="JP107">
        <v>22758</v>
      </c>
      <c r="JQ107">
        <v>-17284</v>
      </c>
      <c r="JR107">
        <v>556251</v>
      </c>
      <c r="JS107">
        <v>-415</v>
      </c>
      <c r="JT107">
        <v>-1728</v>
      </c>
      <c r="JU107">
        <v>566</v>
      </c>
      <c r="JV107">
        <v>0</v>
      </c>
      <c r="JW107">
        <v>-55402</v>
      </c>
      <c r="JX107">
        <v>0</v>
      </c>
      <c r="JY107">
        <v>-25</v>
      </c>
      <c r="JZ107">
        <v>0</v>
      </c>
      <c r="KA107">
        <v>0</v>
      </c>
      <c r="KB107">
        <v>-6694</v>
      </c>
      <c r="KC107">
        <v>492553</v>
      </c>
      <c r="KD107">
        <v>-18</v>
      </c>
      <c r="KE107">
        <v>-253455</v>
      </c>
      <c r="KF107">
        <v>239080</v>
      </c>
      <c r="KG107">
        <v>0</v>
      </c>
      <c r="KH107">
        <v>-420</v>
      </c>
      <c r="KI107">
        <v>0</v>
      </c>
      <c r="KJ107">
        <v>310</v>
      </c>
      <c r="KK107">
        <v>-34470</v>
      </c>
      <c r="KL107">
        <v>-1697</v>
      </c>
      <c r="KM107">
        <v>0</v>
      </c>
      <c r="KN107">
        <v>0</v>
      </c>
      <c r="KO107">
        <v>-44423</v>
      </c>
      <c r="KP107">
        <v>2016</v>
      </c>
      <c r="KQ107">
        <v>0</v>
      </c>
      <c r="KR107">
        <v>133158</v>
      </c>
      <c r="KS107">
        <v>10585</v>
      </c>
      <c r="KT107">
        <v>0</v>
      </c>
      <c r="KU107">
        <v>4768</v>
      </c>
      <c r="KV107">
        <v>67581</v>
      </c>
      <c r="KW107">
        <v>28859</v>
      </c>
      <c r="KX107">
        <v>10165</v>
      </c>
      <c r="KY107">
        <v>0</v>
      </c>
      <c r="KZ107">
        <v>5078</v>
      </c>
      <c r="LA107">
        <v>33111</v>
      </c>
      <c r="LB107">
        <v>27162</v>
      </c>
      <c r="LC107">
        <v>0</v>
      </c>
      <c r="LD107">
        <v>22674</v>
      </c>
      <c r="LE107">
        <v>0</v>
      </c>
      <c r="LF107">
        <v>4251</v>
      </c>
      <c r="LG107">
        <v>-41011</v>
      </c>
      <c r="LH107">
        <v>8489</v>
      </c>
      <c r="LI107">
        <v>-5597</v>
      </c>
      <c r="LJ107">
        <v>9545</v>
      </c>
      <c r="LK107">
        <v>10674</v>
      </c>
      <c r="LL107">
        <v>20219</v>
      </c>
      <c r="LM107">
        <v>0</v>
      </c>
      <c r="LN107">
        <v>0</v>
      </c>
      <c r="LO107">
        <v>0</v>
      </c>
      <c r="LP107">
        <v>90766</v>
      </c>
      <c r="LQ107">
        <v>90121</v>
      </c>
      <c r="LR107">
        <v>645</v>
      </c>
      <c r="LS107">
        <v>5321</v>
      </c>
      <c r="LT107">
        <v>5966</v>
      </c>
      <c r="LU107">
        <v>199017</v>
      </c>
      <c r="LV107">
        <v>12363</v>
      </c>
      <c r="LW107">
        <v>60430</v>
      </c>
      <c r="LX107">
        <v>109271</v>
      </c>
      <c r="LY107">
        <v>28393</v>
      </c>
      <c r="LZ107">
        <v>3725</v>
      </c>
      <c r="MA107">
        <v>14815</v>
      </c>
      <c r="MB107">
        <v>24500</v>
      </c>
      <c r="MC107">
        <v>11398</v>
      </c>
      <c r="MD107">
        <v>0</v>
      </c>
      <c r="ME107">
        <v>0</v>
      </c>
      <c r="MF107">
        <v>9061</v>
      </c>
      <c r="MG107">
        <v>0</v>
      </c>
      <c r="MH107">
        <v>472973</v>
      </c>
      <c r="MI107">
        <v>0</v>
      </c>
      <c r="MJ107">
        <v>0</v>
      </c>
      <c r="MK107">
        <v>0</v>
      </c>
      <c r="ML107">
        <v>0</v>
      </c>
      <c r="MM107">
        <v>0</v>
      </c>
      <c r="MN107">
        <v>0</v>
      </c>
      <c r="MO107">
        <v>0</v>
      </c>
      <c r="MP107">
        <v>0</v>
      </c>
      <c r="MQ107">
        <v>0</v>
      </c>
      <c r="MR107">
        <v>0</v>
      </c>
      <c r="MS107">
        <v>0</v>
      </c>
      <c r="MT107">
        <v>0</v>
      </c>
      <c r="MU107">
        <v>0</v>
      </c>
      <c r="MV107">
        <v>0</v>
      </c>
      <c r="MW107">
        <v>0</v>
      </c>
      <c r="MX107">
        <v>0</v>
      </c>
      <c r="MY107">
        <v>0</v>
      </c>
      <c r="MZ107">
        <v>0</v>
      </c>
      <c r="NA107">
        <v>-40</v>
      </c>
      <c r="NB107">
        <v>0</v>
      </c>
      <c r="NC107">
        <v>-40</v>
      </c>
      <c r="ND107">
        <v>-104</v>
      </c>
      <c r="NE107">
        <v>-17</v>
      </c>
      <c r="NF107">
        <v>0</v>
      </c>
      <c r="NG107">
        <v>0</v>
      </c>
      <c r="NH107">
        <v>0</v>
      </c>
      <c r="NI107">
        <v>0</v>
      </c>
      <c r="NJ107">
        <v>0</v>
      </c>
      <c r="NK107">
        <v>0</v>
      </c>
      <c r="NL107">
        <v>0</v>
      </c>
      <c r="NM107">
        <v>-245</v>
      </c>
      <c r="NN107">
        <v>0</v>
      </c>
      <c r="NO107">
        <v>69</v>
      </c>
      <c r="NP107">
        <v>0</v>
      </c>
      <c r="NQ107">
        <v>0</v>
      </c>
      <c r="NR107">
        <v>-2414</v>
      </c>
      <c r="NS107">
        <v>0</v>
      </c>
      <c r="NT107">
        <v>1321</v>
      </c>
      <c r="NU107">
        <v>0</v>
      </c>
      <c r="NV107">
        <v>7</v>
      </c>
      <c r="NW107">
        <v>0</v>
      </c>
      <c r="NX107">
        <v>0</v>
      </c>
      <c r="NY107">
        <v>0</v>
      </c>
      <c r="NZ107">
        <v>-1383</v>
      </c>
      <c r="OA107">
        <v>1415</v>
      </c>
      <c r="OB107">
        <v>32</v>
      </c>
      <c r="OC107">
        <v>0</v>
      </c>
      <c r="OD107">
        <v>0</v>
      </c>
      <c r="OE107">
        <v>0</v>
      </c>
      <c r="OF107">
        <v>0</v>
      </c>
      <c r="OG107">
        <v>0</v>
      </c>
      <c r="OH107">
        <v>0</v>
      </c>
      <c r="OI107">
        <v>1415</v>
      </c>
      <c r="OJ107">
        <v>0</v>
      </c>
      <c r="OK107">
        <v>0</v>
      </c>
      <c r="OL107">
        <v>0</v>
      </c>
      <c r="OM107">
        <v>0</v>
      </c>
      <c r="ON107">
        <v>1415</v>
      </c>
    </row>
    <row r="108" spans="1:404" x14ac:dyDescent="0.25">
      <c r="A108" t="s">
        <v>391</v>
      </c>
      <c r="B108" t="s">
        <v>392</v>
      </c>
      <c r="C108" t="s">
        <v>5424</v>
      </c>
      <c r="E108" t="s">
        <v>5408</v>
      </c>
      <c r="F108">
        <v>0</v>
      </c>
      <c r="G108">
        <v>0</v>
      </c>
      <c r="H108">
        <v>0</v>
      </c>
      <c r="I108">
        <v>0</v>
      </c>
      <c r="J108">
        <v>0</v>
      </c>
      <c r="K108">
        <v>0</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v>0</v>
      </c>
      <c r="AG108">
        <v>0</v>
      </c>
      <c r="AH108">
        <v>0</v>
      </c>
      <c r="AI108">
        <v>0</v>
      </c>
      <c r="AJ108">
        <v>0</v>
      </c>
      <c r="AK108">
        <v>0</v>
      </c>
      <c r="AL108">
        <v>0</v>
      </c>
      <c r="AM108">
        <v>0</v>
      </c>
      <c r="AN108">
        <v>0</v>
      </c>
      <c r="AO108">
        <v>0</v>
      </c>
      <c r="AP108">
        <v>0</v>
      </c>
      <c r="AQ108">
        <v>0</v>
      </c>
      <c r="AR108">
        <v>0</v>
      </c>
      <c r="AS108">
        <v>0</v>
      </c>
      <c r="AT108">
        <v>0</v>
      </c>
      <c r="AU108">
        <v>0</v>
      </c>
      <c r="AV108">
        <v>0</v>
      </c>
      <c r="AW108">
        <v>0</v>
      </c>
      <c r="AX108">
        <v>0</v>
      </c>
      <c r="AY108">
        <v>0</v>
      </c>
      <c r="AZ108">
        <v>0</v>
      </c>
      <c r="BA108">
        <v>0</v>
      </c>
      <c r="BB108">
        <v>0</v>
      </c>
      <c r="BC108">
        <v>0</v>
      </c>
      <c r="BD108">
        <v>0</v>
      </c>
      <c r="BE108">
        <v>0</v>
      </c>
      <c r="BF108">
        <v>0</v>
      </c>
      <c r="BG108">
        <v>0</v>
      </c>
      <c r="BH108">
        <v>0</v>
      </c>
      <c r="BI108">
        <v>0</v>
      </c>
      <c r="BJ108">
        <v>0</v>
      </c>
      <c r="BK108">
        <v>0</v>
      </c>
      <c r="BL108">
        <v>0</v>
      </c>
      <c r="BM108">
        <v>0</v>
      </c>
      <c r="BN108">
        <v>0</v>
      </c>
      <c r="BO108">
        <v>0</v>
      </c>
      <c r="BP108">
        <v>0</v>
      </c>
      <c r="BQ108">
        <v>0</v>
      </c>
      <c r="BR108">
        <v>0</v>
      </c>
      <c r="BS108">
        <v>0</v>
      </c>
      <c r="BT108">
        <v>0</v>
      </c>
      <c r="BU108">
        <v>0</v>
      </c>
      <c r="BV108">
        <v>0</v>
      </c>
      <c r="BW108">
        <v>0</v>
      </c>
      <c r="BX108">
        <v>0</v>
      </c>
      <c r="BY108">
        <v>0</v>
      </c>
      <c r="BZ108">
        <v>0</v>
      </c>
      <c r="CA108">
        <v>0</v>
      </c>
      <c r="CB108">
        <v>0</v>
      </c>
      <c r="CC108">
        <v>0</v>
      </c>
      <c r="CD108">
        <v>0</v>
      </c>
      <c r="CE108">
        <v>0</v>
      </c>
      <c r="CF108">
        <v>0</v>
      </c>
      <c r="CG108">
        <v>0</v>
      </c>
      <c r="CH108">
        <v>0</v>
      </c>
      <c r="CI108">
        <v>0</v>
      </c>
      <c r="CJ108">
        <v>0</v>
      </c>
      <c r="CK108">
        <v>0</v>
      </c>
      <c r="CL108">
        <v>0</v>
      </c>
      <c r="CM108">
        <v>0</v>
      </c>
      <c r="CN108">
        <v>0</v>
      </c>
      <c r="CO108">
        <v>0</v>
      </c>
      <c r="CP108">
        <v>0</v>
      </c>
      <c r="CQ108">
        <v>0</v>
      </c>
      <c r="CR108">
        <v>0</v>
      </c>
      <c r="CS108">
        <v>0</v>
      </c>
      <c r="CT108">
        <v>0</v>
      </c>
      <c r="CU108">
        <v>0</v>
      </c>
      <c r="CV108">
        <v>0</v>
      </c>
      <c r="CW108">
        <v>0</v>
      </c>
      <c r="CX108">
        <v>0</v>
      </c>
      <c r="CY108">
        <v>0</v>
      </c>
      <c r="CZ108">
        <v>0</v>
      </c>
      <c r="DA108">
        <v>0</v>
      </c>
      <c r="DB108">
        <v>0</v>
      </c>
      <c r="DC108">
        <v>0</v>
      </c>
      <c r="DD108">
        <v>0</v>
      </c>
      <c r="DE108">
        <v>0</v>
      </c>
      <c r="DF108">
        <v>0</v>
      </c>
      <c r="DG108">
        <v>0</v>
      </c>
      <c r="DH108">
        <v>0</v>
      </c>
      <c r="DI108">
        <v>0</v>
      </c>
      <c r="DJ108">
        <v>0</v>
      </c>
      <c r="DK108">
        <v>0</v>
      </c>
      <c r="DL108">
        <v>0</v>
      </c>
      <c r="DM108">
        <v>0</v>
      </c>
      <c r="DN108">
        <v>0</v>
      </c>
      <c r="DO108">
        <v>0</v>
      </c>
      <c r="DP108">
        <v>0</v>
      </c>
      <c r="DQ108">
        <v>0</v>
      </c>
      <c r="DR108">
        <v>0</v>
      </c>
      <c r="DS108">
        <v>0</v>
      </c>
      <c r="DT108">
        <v>0</v>
      </c>
      <c r="DU108">
        <v>0</v>
      </c>
      <c r="DV108">
        <v>0</v>
      </c>
      <c r="DW108">
        <v>0</v>
      </c>
      <c r="DX108">
        <v>0</v>
      </c>
      <c r="DY108">
        <v>0</v>
      </c>
      <c r="DZ108">
        <v>0</v>
      </c>
      <c r="EA108">
        <v>0</v>
      </c>
      <c r="EB108">
        <v>0</v>
      </c>
      <c r="EC108">
        <v>0</v>
      </c>
      <c r="ED108">
        <v>0</v>
      </c>
      <c r="EE108">
        <v>0</v>
      </c>
      <c r="EF108">
        <v>0</v>
      </c>
      <c r="EG108">
        <v>0</v>
      </c>
      <c r="EH108">
        <v>0</v>
      </c>
      <c r="EI108">
        <v>0</v>
      </c>
      <c r="EJ108">
        <v>0</v>
      </c>
      <c r="EK108">
        <v>0</v>
      </c>
      <c r="EL108">
        <v>0</v>
      </c>
      <c r="EM108">
        <v>0</v>
      </c>
      <c r="EN108">
        <v>0</v>
      </c>
      <c r="EO108">
        <v>0</v>
      </c>
      <c r="EP108">
        <v>0</v>
      </c>
      <c r="EQ108">
        <v>0</v>
      </c>
      <c r="ER108">
        <v>0</v>
      </c>
      <c r="ES108">
        <v>0</v>
      </c>
      <c r="ET108">
        <v>0</v>
      </c>
      <c r="EU108">
        <v>0</v>
      </c>
      <c r="EV108">
        <v>0</v>
      </c>
      <c r="EW108">
        <v>0</v>
      </c>
      <c r="EX108">
        <v>0</v>
      </c>
      <c r="EY108">
        <v>0</v>
      </c>
      <c r="EZ108">
        <v>0</v>
      </c>
      <c r="FA108">
        <v>0</v>
      </c>
      <c r="FB108">
        <v>0</v>
      </c>
      <c r="FC108">
        <v>0</v>
      </c>
      <c r="FD108">
        <v>0</v>
      </c>
      <c r="FE108">
        <v>0</v>
      </c>
      <c r="FF108">
        <v>0</v>
      </c>
      <c r="FG108">
        <v>0</v>
      </c>
      <c r="FH108">
        <v>0</v>
      </c>
      <c r="FI108">
        <v>0</v>
      </c>
      <c r="FJ108">
        <v>0</v>
      </c>
      <c r="FK108">
        <v>0</v>
      </c>
      <c r="FL108">
        <v>0</v>
      </c>
      <c r="FM108">
        <v>0</v>
      </c>
      <c r="FN108">
        <v>0</v>
      </c>
      <c r="FO108">
        <v>0</v>
      </c>
      <c r="FP108">
        <v>0</v>
      </c>
      <c r="FQ108">
        <v>0</v>
      </c>
      <c r="FR108">
        <v>0</v>
      </c>
      <c r="FS108">
        <v>0</v>
      </c>
      <c r="FT108">
        <v>0</v>
      </c>
      <c r="FU108">
        <v>0</v>
      </c>
      <c r="FV108">
        <v>0</v>
      </c>
      <c r="FW108">
        <v>0</v>
      </c>
      <c r="FX108">
        <v>0</v>
      </c>
      <c r="FY108">
        <v>0</v>
      </c>
      <c r="FZ108">
        <v>0</v>
      </c>
      <c r="GA108">
        <v>0</v>
      </c>
      <c r="GB108">
        <v>0</v>
      </c>
      <c r="GC108">
        <v>0</v>
      </c>
      <c r="GD108">
        <v>0</v>
      </c>
      <c r="GE108">
        <v>0</v>
      </c>
      <c r="GF108">
        <v>0</v>
      </c>
      <c r="GG108">
        <v>0</v>
      </c>
      <c r="GH108">
        <v>0</v>
      </c>
      <c r="GI108">
        <v>0</v>
      </c>
      <c r="GJ108">
        <v>0</v>
      </c>
      <c r="GK108">
        <v>0</v>
      </c>
      <c r="GL108">
        <v>0</v>
      </c>
      <c r="GM108">
        <v>0</v>
      </c>
      <c r="GN108">
        <v>0</v>
      </c>
      <c r="GO108">
        <v>0</v>
      </c>
      <c r="GP108">
        <v>0</v>
      </c>
      <c r="GQ108">
        <v>0</v>
      </c>
      <c r="GR108">
        <v>0</v>
      </c>
      <c r="GS108">
        <v>0</v>
      </c>
      <c r="GT108">
        <v>0</v>
      </c>
      <c r="GU108">
        <v>0</v>
      </c>
      <c r="GV108">
        <v>0</v>
      </c>
      <c r="GW108">
        <v>0</v>
      </c>
      <c r="GX108">
        <v>6575</v>
      </c>
      <c r="GY108">
        <v>25563</v>
      </c>
      <c r="GZ108">
        <v>0</v>
      </c>
      <c r="HA108">
        <v>32138</v>
      </c>
      <c r="HB108">
        <v>243</v>
      </c>
      <c r="HC108">
        <v>0</v>
      </c>
      <c r="HD108">
        <v>0</v>
      </c>
      <c r="HE108">
        <v>0</v>
      </c>
      <c r="HF108">
        <v>0</v>
      </c>
      <c r="HG108">
        <v>0</v>
      </c>
      <c r="HH108">
        <v>0</v>
      </c>
      <c r="HI108">
        <v>0</v>
      </c>
      <c r="HJ108">
        <v>0</v>
      </c>
      <c r="HK108">
        <v>0</v>
      </c>
      <c r="HL108">
        <v>0</v>
      </c>
      <c r="HM108">
        <v>0</v>
      </c>
      <c r="HN108">
        <v>0</v>
      </c>
      <c r="HO108">
        <v>0</v>
      </c>
      <c r="HP108">
        <v>0</v>
      </c>
      <c r="HQ108">
        <v>0</v>
      </c>
      <c r="HR108">
        <v>38</v>
      </c>
      <c r="HS108">
        <v>0</v>
      </c>
      <c r="HT108">
        <v>0</v>
      </c>
      <c r="HU108">
        <v>0</v>
      </c>
      <c r="HV108">
        <v>281</v>
      </c>
      <c r="HW108">
        <v>0</v>
      </c>
      <c r="HX108">
        <v>0</v>
      </c>
      <c r="HY108">
        <v>0</v>
      </c>
      <c r="HZ108">
        <v>0</v>
      </c>
      <c r="IA108">
        <v>0</v>
      </c>
      <c r="IB108">
        <v>0</v>
      </c>
      <c r="IC108">
        <v>0</v>
      </c>
      <c r="ID108">
        <v>0</v>
      </c>
      <c r="IE108">
        <v>0</v>
      </c>
      <c r="IF108">
        <v>0</v>
      </c>
      <c r="IG108">
        <v>0</v>
      </c>
      <c r="IH108">
        <v>0</v>
      </c>
      <c r="II108">
        <v>0</v>
      </c>
      <c r="IJ108">
        <v>0</v>
      </c>
      <c r="IK108">
        <v>0</v>
      </c>
      <c r="IL108">
        <v>0</v>
      </c>
      <c r="IM108">
        <v>32138</v>
      </c>
      <c r="IN108">
        <v>281</v>
      </c>
      <c r="IO108">
        <v>0</v>
      </c>
      <c r="IP108">
        <v>32419</v>
      </c>
      <c r="IQ108">
        <v>0</v>
      </c>
      <c r="IR108">
        <v>0</v>
      </c>
      <c r="IS108">
        <v>0</v>
      </c>
      <c r="IT108">
        <v>0</v>
      </c>
      <c r="IU108">
        <v>0</v>
      </c>
      <c r="IV108">
        <v>0</v>
      </c>
      <c r="IW108">
        <v>0</v>
      </c>
      <c r="IX108">
        <v>0</v>
      </c>
      <c r="IY108">
        <v>0</v>
      </c>
      <c r="IZ108">
        <v>0</v>
      </c>
      <c r="JA108">
        <v>0</v>
      </c>
      <c r="JB108">
        <v>0</v>
      </c>
      <c r="JC108">
        <v>0</v>
      </c>
      <c r="JD108">
        <v>0</v>
      </c>
      <c r="JE108">
        <v>3</v>
      </c>
      <c r="JF108">
        <v>0</v>
      </c>
      <c r="JG108">
        <v>32422</v>
      </c>
      <c r="JH108">
        <v>0</v>
      </c>
      <c r="JI108">
        <v>2239</v>
      </c>
      <c r="JJ108">
        <v>0</v>
      </c>
      <c r="JK108">
        <v>0</v>
      </c>
      <c r="JL108">
        <v>0</v>
      </c>
      <c r="JM108">
        <v>0</v>
      </c>
      <c r="JN108">
        <v>154</v>
      </c>
      <c r="JO108">
        <v>0</v>
      </c>
      <c r="JP108">
        <v>41</v>
      </c>
      <c r="JQ108">
        <v>0</v>
      </c>
      <c r="JR108">
        <v>34856</v>
      </c>
      <c r="JS108">
        <v>-3</v>
      </c>
      <c r="JT108">
        <v>0</v>
      </c>
      <c r="JU108">
        <v>0</v>
      </c>
      <c r="JV108">
        <v>0</v>
      </c>
      <c r="JW108">
        <v>0</v>
      </c>
      <c r="JX108">
        <v>0</v>
      </c>
      <c r="JY108">
        <v>0</v>
      </c>
      <c r="JZ108">
        <v>0</v>
      </c>
      <c r="KA108">
        <v>0</v>
      </c>
      <c r="KB108">
        <v>0</v>
      </c>
      <c r="KC108">
        <v>34853</v>
      </c>
      <c r="KD108">
        <v>0</v>
      </c>
      <c r="KE108">
        <v>-2660</v>
      </c>
      <c r="KF108">
        <v>32193</v>
      </c>
      <c r="KG108">
        <v>0</v>
      </c>
      <c r="KH108">
        <v>0</v>
      </c>
      <c r="KI108">
        <v>0</v>
      </c>
      <c r="KJ108">
        <v>0</v>
      </c>
      <c r="KK108">
        <v>-1996</v>
      </c>
      <c r="KL108">
        <v>51</v>
      </c>
      <c r="KM108">
        <v>-3499</v>
      </c>
      <c r="KN108">
        <v>0</v>
      </c>
      <c r="KO108">
        <v>-7123</v>
      </c>
      <c r="KP108">
        <v>196</v>
      </c>
      <c r="KQ108">
        <v>0</v>
      </c>
      <c r="KR108">
        <v>18832</v>
      </c>
      <c r="KS108">
        <v>0</v>
      </c>
      <c r="KT108">
        <v>0</v>
      </c>
      <c r="KU108">
        <v>0</v>
      </c>
      <c r="KV108">
        <v>6236</v>
      </c>
      <c r="KW108">
        <v>1459</v>
      </c>
      <c r="KX108">
        <v>0</v>
      </c>
      <c r="KY108">
        <v>0</v>
      </c>
      <c r="KZ108">
        <v>0</v>
      </c>
      <c r="LA108">
        <v>4240</v>
      </c>
      <c r="LB108">
        <v>1510</v>
      </c>
      <c r="LC108">
        <v>0</v>
      </c>
      <c r="LD108">
        <v>2042</v>
      </c>
      <c r="LE108">
        <v>452</v>
      </c>
      <c r="LF108">
        <v>0</v>
      </c>
      <c r="LG108">
        <v>0</v>
      </c>
      <c r="LH108">
        <v>0</v>
      </c>
      <c r="LI108">
        <v>2494</v>
      </c>
      <c r="LJ108">
        <v>0</v>
      </c>
      <c r="LK108">
        <v>0</v>
      </c>
      <c r="LL108">
        <v>0</v>
      </c>
      <c r="LM108">
        <v>0</v>
      </c>
      <c r="LN108">
        <v>0</v>
      </c>
      <c r="LO108">
        <v>0</v>
      </c>
      <c r="LP108">
        <v>0</v>
      </c>
      <c r="LQ108">
        <v>0</v>
      </c>
      <c r="LR108">
        <v>0</v>
      </c>
      <c r="LS108">
        <v>0</v>
      </c>
      <c r="LT108">
        <v>0</v>
      </c>
      <c r="LU108">
        <v>0</v>
      </c>
      <c r="LV108">
        <v>0</v>
      </c>
      <c r="LW108">
        <v>0</v>
      </c>
      <c r="LX108">
        <v>0</v>
      </c>
      <c r="LY108">
        <v>0</v>
      </c>
      <c r="LZ108">
        <v>0</v>
      </c>
      <c r="MA108">
        <v>0</v>
      </c>
      <c r="MB108">
        <v>0</v>
      </c>
      <c r="MC108">
        <v>0</v>
      </c>
      <c r="MD108">
        <v>0</v>
      </c>
      <c r="ME108">
        <v>32138</v>
      </c>
      <c r="MF108">
        <v>281</v>
      </c>
      <c r="MG108">
        <v>0</v>
      </c>
      <c r="MH108">
        <v>32419</v>
      </c>
      <c r="MI108">
        <v>0</v>
      </c>
      <c r="MJ108">
        <v>0</v>
      </c>
      <c r="MK108">
        <v>0</v>
      </c>
      <c r="ML108">
        <v>0</v>
      </c>
      <c r="MM108">
        <v>0</v>
      </c>
      <c r="MN108">
        <v>0</v>
      </c>
      <c r="MO108">
        <v>0</v>
      </c>
      <c r="MP108">
        <v>0</v>
      </c>
      <c r="MQ108">
        <v>0</v>
      </c>
      <c r="MR108">
        <v>0</v>
      </c>
      <c r="MS108">
        <v>0</v>
      </c>
      <c r="MT108">
        <v>0</v>
      </c>
      <c r="MU108">
        <v>0</v>
      </c>
      <c r="MV108">
        <v>0</v>
      </c>
      <c r="MW108">
        <v>0</v>
      </c>
      <c r="MX108">
        <v>0</v>
      </c>
      <c r="MY108">
        <v>0</v>
      </c>
      <c r="MZ108">
        <v>0</v>
      </c>
      <c r="NA108">
        <v>0</v>
      </c>
      <c r="NB108">
        <v>0</v>
      </c>
      <c r="NC108">
        <v>0</v>
      </c>
      <c r="ND108">
        <v>0</v>
      </c>
      <c r="NE108">
        <v>0</v>
      </c>
      <c r="NF108">
        <v>0</v>
      </c>
      <c r="NG108">
        <v>0</v>
      </c>
      <c r="NH108">
        <v>0</v>
      </c>
      <c r="NI108">
        <v>0</v>
      </c>
      <c r="NJ108">
        <v>0</v>
      </c>
      <c r="NK108">
        <v>0</v>
      </c>
      <c r="NL108">
        <v>0</v>
      </c>
      <c r="NM108">
        <v>0</v>
      </c>
      <c r="NN108">
        <v>0</v>
      </c>
      <c r="NO108">
        <v>0</v>
      </c>
      <c r="NP108">
        <v>0</v>
      </c>
      <c r="NQ108">
        <v>0</v>
      </c>
      <c r="NR108">
        <v>0</v>
      </c>
      <c r="NS108">
        <v>0</v>
      </c>
      <c r="NT108">
        <v>0</v>
      </c>
      <c r="NU108">
        <v>0</v>
      </c>
      <c r="NV108">
        <v>0</v>
      </c>
      <c r="NW108">
        <v>0</v>
      </c>
      <c r="NX108">
        <v>0</v>
      </c>
      <c r="NY108">
        <v>0</v>
      </c>
      <c r="NZ108">
        <v>0</v>
      </c>
      <c r="OA108">
        <v>0</v>
      </c>
      <c r="OB108">
        <v>0</v>
      </c>
      <c r="OC108">
        <v>0</v>
      </c>
      <c r="OD108">
        <v>0</v>
      </c>
      <c r="OE108">
        <v>0</v>
      </c>
      <c r="OF108">
        <v>0</v>
      </c>
      <c r="OG108">
        <v>0</v>
      </c>
      <c r="OH108">
        <v>0</v>
      </c>
      <c r="OI108">
        <v>0</v>
      </c>
      <c r="OJ108">
        <v>0</v>
      </c>
      <c r="OK108">
        <v>0</v>
      </c>
      <c r="OL108">
        <v>0</v>
      </c>
      <c r="OM108">
        <v>0</v>
      </c>
      <c r="ON108">
        <v>0</v>
      </c>
    </row>
    <row r="109" spans="1:404" x14ac:dyDescent="0.25">
      <c r="A109" t="s">
        <v>394</v>
      </c>
      <c r="B109" t="s">
        <v>395</v>
      </c>
      <c r="C109" t="s">
        <v>393</v>
      </c>
      <c r="E109" t="s">
        <v>71</v>
      </c>
      <c r="F109">
        <v>0</v>
      </c>
      <c r="G109">
        <v>0</v>
      </c>
      <c r="H109">
        <v>0</v>
      </c>
      <c r="I109">
        <v>0</v>
      </c>
      <c r="J109">
        <v>0</v>
      </c>
      <c r="K109">
        <v>0</v>
      </c>
      <c r="L109">
        <v>0</v>
      </c>
      <c r="M109">
        <v>0</v>
      </c>
      <c r="N109">
        <v>0</v>
      </c>
      <c r="O109">
        <v>0</v>
      </c>
      <c r="P109">
        <v>0</v>
      </c>
      <c r="Q109">
        <v>0</v>
      </c>
      <c r="R109">
        <v>0</v>
      </c>
      <c r="S109">
        <v>0</v>
      </c>
      <c r="T109">
        <v>0</v>
      </c>
      <c r="U109">
        <v>0</v>
      </c>
      <c r="V109">
        <v>0</v>
      </c>
      <c r="W109">
        <v>0</v>
      </c>
      <c r="X109">
        <v>0</v>
      </c>
      <c r="Y109">
        <v>0</v>
      </c>
      <c r="Z109">
        <v>0</v>
      </c>
      <c r="AA109">
        <v>0</v>
      </c>
      <c r="AB109">
        <v>0</v>
      </c>
      <c r="AC109">
        <v>0</v>
      </c>
      <c r="AD109">
        <v>0</v>
      </c>
      <c r="AE109">
        <v>0</v>
      </c>
      <c r="AF109">
        <v>0</v>
      </c>
      <c r="AG109">
        <v>0</v>
      </c>
      <c r="AH109">
        <v>0</v>
      </c>
      <c r="AI109">
        <v>0</v>
      </c>
      <c r="AJ109">
        <v>0</v>
      </c>
      <c r="AK109">
        <v>0</v>
      </c>
      <c r="AL109">
        <v>0</v>
      </c>
      <c r="AM109">
        <v>0</v>
      </c>
      <c r="AN109">
        <v>0</v>
      </c>
      <c r="AO109">
        <v>0</v>
      </c>
      <c r="AP109">
        <v>0</v>
      </c>
      <c r="AQ109">
        <v>0</v>
      </c>
      <c r="AR109">
        <v>0</v>
      </c>
      <c r="AS109">
        <v>0</v>
      </c>
      <c r="AT109">
        <v>0</v>
      </c>
      <c r="AU109">
        <v>0</v>
      </c>
      <c r="AV109">
        <v>0</v>
      </c>
      <c r="AW109">
        <v>0</v>
      </c>
      <c r="AX109">
        <v>0</v>
      </c>
      <c r="AY109">
        <v>0</v>
      </c>
      <c r="AZ109">
        <v>0</v>
      </c>
      <c r="BA109">
        <v>0</v>
      </c>
      <c r="BB109">
        <v>0</v>
      </c>
      <c r="BC109">
        <v>0</v>
      </c>
      <c r="BD109">
        <v>0</v>
      </c>
      <c r="BE109">
        <v>0</v>
      </c>
      <c r="BF109">
        <v>0</v>
      </c>
      <c r="BG109">
        <v>0</v>
      </c>
      <c r="BH109">
        <v>0</v>
      </c>
      <c r="BI109">
        <v>0</v>
      </c>
      <c r="BJ109">
        <v>0</v>
      </c>
      <c r="BK109">
        <v>0</v>
      </c>
      <c r="BL109">
        <v>0</v>
      </c>
      <c r="BM109">
        <v>0</v>
      </c>
      <c r="BN109">
        <v>0</v>
      </c>
      <c r="BO109">
        <v>0</v>
      </c>
      <c r="BP109">
        <v>0</v>
      </c>
      <c r="BQ109">
        <v>0</v>
      </c>
      <c r="BR109">
        <v>0</v>
      </c>
      <c r="BS109">
        <v>0</v>
      </c>
      <c r="BT109">
        <v>0</v>
      </c>
      <c r="BU109">
        <v>0</v>
      </c>
      <c r="BV109">
        <v>0</v>
      </c>
      <c r="BW109">
        <v>0</v>
      </c>
      <c r="BX109">
        <v>0</v>
      </c>
      <c r="BY109">
        <v>0</v>
      </c>
      <c r="BZ109">
        <v>0</v>
      </c>
      <c r="CA109">
        <v>0</v>
      </c>
      <c r="CB109">
        <v>0</v>
      </c>
      <c r="CC109">
        <v>0</v>
      </c>
      <c r="CD109">
        <v>0</v>
      </c>
      <c r="CE109">
        <v>0</v>
      </c>
      <c r="CF109">
        <v>0</v>
      </c>
      <c r="CG109">
        <v>0</v>
      </c>
      <c r="CH109">
        <v>0</v>
      </c>
      <c r="CI109">
        <v>0</v>
      </c>
      <c r="CJ109">
        <v>0</v>
      </c>
      <c r="CK109">
        <v>0</v>
      </c>
      <c r="CL109">
        <v>0</v>
      </c>
      <c r="CM109">
        <v>0</v>
      </c>
      <c r="CN109">
        <v>0</v>
      </c>
      <c r="CO109">
        <v>0</v>
      </c>
      <c r="CP109">
        <v>0</v>
      </c>
      <c r="CQ109">
        <v>0</v>
      </c>
      <c r="CR109">
        <v>0</v>
      </c>
      <c r="CS109">
        <v>0</v>
      </c>
      <c r="CT109">
        <v>0</v>
      </c>
      <c r="CU109">
        <v>0</v>
      </c>
      <c r="CV109">
        <v>0</v>
      </c>
      <c r="CW109">
        <v>0</v>
      </c>
      <c r="CX109">
        <v>0</v>
      </c>
      <c r="CY109">
        <v>0</v>
      </c>
      <c r="CZ109">
        <v>0</v>
      </c>
      <c r="DA109">
        <v>0</v>
      </c>
      <c r="DB109">
        <v>0</v>
      </c>
      <c r="DC109">
        <v>0</v>
      </c>
      <c r="DD109">
        <v>0</v>
      </c>
      <c r="DE109">
        <v>0</v>
      </c>
      <c r="DF109">
        <v>0</v>
      </c>
      <c r="DG109">
        <v>0</v>
      </c>
      <c r="DH109">
        <v>0</v>
      </c>
      <c r="DI109">
        <v>0</v>
      </c>
      <c r="DJ109">
        <v>0</v>
      </c>
      <c r="DK109">
        <v>0</v>
      </c>
      <c r="DL109">
        <v>0</v>
      </c>
      <c r="DM109">
        <v>0</v>
      </c>
      <c r="DN109">
        <v>0</v>
      </c>
      <c r="DO109">
        <v>0</v>
      </c>
      <c r="DP109">
        <v>0</v>
      </c>
      <c r="DQ109">
        <v>0</v>
      </c>
      <c r="DR109">
        <v>0</v>
      </c>
      <c r="DS109">
        <v>0</v>
      </c>
      <c r="DT109">
        <v>0</v>
      </c>
      <c r="DU109">
        <v>0</v>
      </c>
      <c r="DV109">
        <v>0</v>
      </c>
      <c r="DW109">
        <v>0</v>
      </c>
      <c r="DX109">
        <v>0</v>
      </c>
      <c r="DY109">
        <v>0</v>
      </c>
      <c r="DZ109">
        <v>0</v>
      </c>
      <c r="EA109">
        <v>0</v>
      </c>
      <c r="EB109">
        <v>0</v>
      </c>
      <c r="EC109">
        <v>0</v>
      </c>
      <c r="ED109">
        <v>0</v>
      </c>
      <c r="EE109">
        <v>0</v>
      </c>
      <c r="EF109">
        <v>0</v>
      </c>
      <c r="EG109">
        <v>0</v>
      </c>
      <c r="EH109">
        <v>0</v>
      </c>
      <c r="EI109">
        <v>0</v>
      </c>
      <c r="EJ109">
        <v>0</v>
      </c>
      <c r="EK109">
        <v>0</v>
      </c>
      <c r="EL109">
        <v>0</v>
      </c>
      <c r="EM109">
        <v>0</v>
      </c>
      <c r="EN109">
        <v>0</v>
      </c>
      <c r="EO109">
        <v>0</v>
      </c>
      <c r="EP109">
        <v>0</v>
      </c>
      <c r="EQ109">
        <v>0</v>
      </c>
      <c r="ER109">
        <v>0</v>
      </c>
      <c r="ES109">
        <v>0</v>
      </c>
      <c r="ET109">
        <v>0</v>
      </c>
      <c r="EU109">
        <v>0</v>
      </c>
      <c r="EV109">
        <v>0</v>
      </c>
      <c r="EW109">
        <v>0</v>
      </c>
      <c r="EX109">
        <v>0</v>
      </c>
      <c r="EY109">
        <v>0</v>
      </c>
      <c r="EZ109">
        <v>0</v>
      </c>
      <c r="FA109">
        <v>0</v>
      </c>
      <c r="FB109">
        <v>0</v>
      </c>
      <c r="FC109">
        <v>0</v>
      </c>
      <c r="FD109">
        <v>0</v>
      </c>
      <c r="FE109">
        <v>0</v>
      </c>
      <c r="FF109">
        <v>0</v>
      </c>
      <c r="FG109">
        <v>0</v>
      </c>
      <c r="FH109">
        <v>0</v>
      </c>
      <c r="FI109">
        <v>0</v>
      </c>
      <c r="FJ109">
        <v>0</v>
      </c>
      <c r="FK109">
        <v>0</v>
      </c>
      <c r="FL109">
        <v>0</v>
      </c>
      <c r="FM109">
        <v>0</v>
      </c>
      <c r="FN109">
        <v>0</v>
      </c>
      <c r="FO109">
        <v>0</v>
      </c>
      <c r="FP109">
        <v>0</v>
      </c>
      <c r="FQ109">
        <v>0</v>
      </c>
      <c r="FR109">
        <v>0</v>
      </c>
      <c r="FS109">
        <v>0</v>
      </c>
      <c r="FT109">
        <v>0</v>
      </c>
      <c r="FU109">
        <v>0</v>
      </c>
      <c r="FV109">
        <v>0</v>
      </c>
      <c r="FW109">
        <v>0</v>
      </c>
      <c r="FX109">
        <v>0</v>
      </c>
      <c r="FY109">
        <v>0</v>
      </c>
      <c r="FZ109">
        <v>0</v>
      </c>
      <c r="GA109">
        <v>0</v>
      </c>
      <c r="GB109">
        <v>0</v>
      </c>
      <c r="GC109">
        <v>0</v>
      </c>
      <c r="GD109">
        <v>0</v>
      </c>
      <c r="GE109">
        <v>0</v>
      </c>
      <c r="GF109">
        <v>0</v>
      </c>
      <c r="GG109">
        <v>0</v>
      </c>
      <c r="GH109">
        <v>0</v>
      </c>
      <c r="GI109">
        <v>0</v>
      </c>
      <c r="GJ109">
        <v>0</v>
      </c>
      <c r="GK109">
        <v>0</v>
      </c>
      <c r="GL109">
        <v>0</v>
      </c>
      <c r="GM109">
        <v>0</v>
      </c>
      <c r="GN109">
        <v>0</v>
      </c>
      <c r="GO109">
        <v>0</v>
      </c>
      <c r="GP109">
        <v>0</v>
      </c>
      <c r="GQ109">
        <v>0</v>
      </c>
      <c r="GR109">
        <v>0</v>
      </c>
      <c r="GS109">
        <v>0</v>
      </c>
      <c r="GT109">
        <v>0</v>
      </c>
      <c r="GU109">
        <v>0</v>
      </c>
      <c r="GV109">
        <v>0</v>
      </c>
      <c r="GW109">
        <v>134431</v>
      </c>
      <c r="GX109">
        <v>0</v>
      </c>
      <c r="GY109">
        <v>0</v>
      </c>
      <c r="GZ109">
        <v>0</v>
      </c>
      <c r="HA109">
        <v>0</v>
      </c>
      <c r="HB109">
        <v>1027</v>
      </c>
      <c r="HC109">
        <v>0</v>
      </c>
      <c r="HD109">
        <v>0</v>
      </c>
      <c r="HE109">
        <v>0</v>
      </c>
      <c r="HF109">
        <v>0</v>
      </c>
      <c r="HG109">
        <v>0</v>
      </c>
      <c r="HH109">
        <v>0</v>
      </c>
      <c r="HI109">
        <v>0</v>
      </c>
      <c r="HJ109">
        <v>0</v>
      </c>
      <c r="HK109">
        <v>0</v>
      </c>
      <c r="HL109">
        <v>0</v>
      </c>
      <c r="HM109">
        <v>0</v>
      </c>
      <c r="HN109">
        <v>0</v>
      </c>
      <c r="HO109">
        <v>0</v>
      </c>
      <c r="HP109">
        <v>0</v>
      </c>
      <c r="HQ109">
        <v>0</v>
      </c>
      <c r="HR109">
        <v>0</v>
      </c>
      <c r="HS109">
        <v>0</v>
      </c>
      <c r="HT109">
        <v>0</v>
      </c>
      <c r="HU109">
        <v>0</v>
      </c>
      <c r="HV109">
        <v>1027</v>
      </c>
      <c r="HW109">
        <v>0</v>
      </c>
      <c r="HX109">
        <v>0</v>
      </c>
      <c r="HY109">
        <v>0</v>
      </c>
      <c r="HZ109">
        <v>0</v>
      </c>
      <c r="IA109">
        <v>0</v>
      </c>
      <c r="IB109">
        <v>0</v>
      </c>
      <c r="IC109">
        <v>0</v>
      </c>
      <c r="ID109">
        <v>0</v>
      </c>
      <c r="IE109">
        <v>0</v>
      </c>
      <c r="IF109">
        <v>0</v>
      </c>
      <c r="IG109">
        <v>0</v>
      </c>
      <c r="IH109">
        <v>0</v>
      </c>
      <c r="II109">
        <v>0</v>
      </c>
      <c r="IJ109">
        <v>0</v>
      </c>
      <c r="IK109">
        <v>0</v>
      </c>
      <c r="IL109">
        <v>134431</v>
      </c>
      <c r="IM109">
        <v>0</v>
      </c>
      <c r="IN109">
        <v>1027</v>
      </c>
      <c r="IO109">
        <v>0</v>
      </c>
      <c r="IP109">
        <v>135458</v>
      </c>
      <c r="IQ109">
        <v>0</v>
      </c>
      <c r="IR109">
        <v>0</v>
      </c>
      <c r="IS109">
        <v>0</v>
      </c>
      <c r="IT109">
        <v>0</v>
      </c>
      <c r="IU109">
        <v>0</v>
      </c>
      <c r="IV109">
        <v>0</v>
      </c>
      <c r="IW109">
        <v>0</v>
      </c>
      <c r="IX109">
        <v>0</v>
      </c>
      <c r="IY109">
        <v>0</v>
      </c>
      <c r="IZ109">
        <v>1234</v>
      </c>
      <c r="JA109">
        <v>0</v>
      </c>
      <c r="JB109">
        <v>0</v>
      </c>
      <c r="JC109">
        <v>0</v>
      </c>
      <c r="JD109">
        <v>0</v>
      </c>
      <c r="JE109">
        <v>238</v>
      </c>
      <c r="JF109">
        <v>0</v>
      </c>
      <c r="JG109">
        <v>136930</v>
      </c>
      <c r="JH109">
        <v>0</v>
      </c>
      <c r="JI109">
        <v>6128</v>
      </c>
      <c r="JJ109">
        <v>0</v>
      </c>
      <c r="JK109">
        <v>0</v>
      </c>
      <c r="JL109">
        <v>0</v>
      </c>
      <c r="JM109">
        <v>0</v>
      </c>
      <c r="JN109">
        <v>325</v>
      </c>
      <c r="JO109">
        <v>0</v>
      </c>
      <c r="JP109">
        <v>0</v>
      </c>
      <c r="JQ109">
        <v>0</v>
      </c>
      <c r="JR109">
        <v>143383</v>
      </c>
      <c r="JS109">
        <v>-40</v>
      </c>
      <c r="JT109">
        <v>0</v>
      </c>
      <c r="JU109">
        <v>0</v>
      </c>
      <c r="JV109">
        <v>0</v>
      </c>
      <c r="JW109">
        <v>0</v>
      </c>
      <c r="JX109">
        <v>0</v>
      </c>
      <c r="JY109">
        <v>0</v>
      </c>
      <c r="JZ109">
        <v>0</v>
      </c>
      <c r="KA109">
        <v>0</v>
      </c>
      <c r="KB109">
        <v>0</v>
      </c>
      <c r="KC109">
        <v>143343</v>
      </c>
      <c r="KD109">
        <v>0</v>
      </c>
      <c r="KE109">
        <v>-10213</v>
      </c>
      <c r="KF109">
        <v>133130</v>
      </c>
      <c r="KG109">
        <v>0</v>
      </c>
      <c r="KH109">
        <v>0</v>
      </c>
      <c r="KI109">
        <v>0</v>
      </c>
      <c r="KJ109">
        <v>0</v>
      </c>
      <c r="KK109">
        <v>4941</v>
      </c>
      <c r="KL109">
        <v>0</v>
      </c>
      <c r="KM109">
        <v>0</v>
      </c>
      <c r="KN109">
        <v>-97755</v>
      </c>
      <c r="KO109">
        <v>0</v>
      </c>
      <c r="KP109">
        <v>0</v>
      </c>
      <c r="KQ109">
        <v>0</v>
      </c>
      <c r="KR109">
        <v>40316</v>
      </c>
      <c r="KS109">
        <v>0</v>
      </c>
      <c r="KT109">
        <v>0</v>
      </c>
      <c r="KU109">
        <v>0</v>
      </c>
      <c r="KV109">
        <v>10918</v>
      </c>
      <c r="KW109">
        <v>97</v>
      </c>
      <c r="KX109">
        <v>0</v>
      </c>
      <c r="KY109">
        <v>0</v>
      </c>
      <c r="KZ109">
        <v>0</v>
      </c>
      <c r="LA109">
        <v>15859</v>
      </c>
      <c r="LB109">
        <v>97</v>
      </c>
      <c r="LC109">
        <v>0</v>
      </c>
      <c r="LD109">
        <v>3894</v>
      </c>
      <c r="LE109">
        <v>0</v>
      </c>
      <c r="LF109">
        <v>0</v>
      </c>
      <c r="LG109">
        <v>0</v>
      </c>
      <c r="LH109">
        <v>0</v>
      </c>
      <c r="LI109">
        <v>3894</v>
      </c>
      <c r="LJ109">
        <v>0</v>
      </c>
      <c r="LK109">
        <v>0</v>
      </c>
      <c r="LL109">
        <v>0</v>
      </c>
      <c r="LM109">
        <v>0</v>
      </c>
      <c r="LN109">
        <v>0</v>
      </c>
      <c r="LO109">
        <v>0</v>
      </c>
      <c r="LP109">
        <v>0</v>
      </c>
      <c r="LQ109">
        <v>0</v>
      </c>
      <c r="LR109">
        <v>0</v>
      </c>
      <c r="LS109">
        <v>0</v>
      </c>
      <c r="LT109">
        <v>0</v>
      </c>
      <c r="LU109">
        <v>0</v>
      </c>
      <c r="LV109">
        <v>0</v>
      </c>
      <c r="LW109">
        <v>0</v>
      </c>
      <c r="LX109">
        <v>0</v>
      </c>
      <c r="LY109">
        <v>0</v>
      </c>
      <c r="LZ109">
        <v>0</v>
      </c>
      <c r="MA109">
        <v>0</v>
      </c>
      <c r="MB109">
        <v>0</v>
      </c>
      <c r="MC109">
        <v>0</v>
      </c>
      <c r="MD109">
        <v>134431</v>
      </c>
      <c r="ME109">
        <v>0</v>
      </c>
      <c r="MF109">
        <v>1027</v>
      </c>
      <c r="MG109">
        <v>0</v>
      </c>
      <c r="MH109">
        <v>135458</v>
      </c>
      <c r="MI109">
        <v>0</v>
      </c>
      <c r="MJ109">
        <v>0</v>
      </c>
      <c r="MK109">
        <v>0</v>
      </c>
      <c r="ML109">
        <v>0</v>
      </c>
      <c r="MM109">
        <v>0</v>
      </c>
      <c r="MN109">
        <v>0</v>
      </c>
      <c r="MO109">
        <v>0</v>
      </c>
      <c r="MP109">
        <v>0</v>
      </c>
      <c r="MQ109">
        <v>0</v>
      </c>
      <c r="MR109">
        <v>0</v>
      </c>
      <c r="MS109">
        <v>0</v>
      </c>
      <c r="MT109">
        <v>0</v>
      </c>
      <c r="MU109">
        <v>0</v>
      </c>
      <c r="MV109">
        <v>0</v>
      </c>
      <c r="MW109">
        <v>0</v>
      </c>
      <c r="MX109">
        <v>0</v>
      </c>
      <c r="MY109">
        <v>0</v>
      </c>
      <c r="MZ109">
        <v>0</v>
      </c>
      <c r="NA109">
        <v>0</v>
      </c>
      <c r="NB109">
        <v>0</v>
      </c>
      <c r="NC109">
        <v>0</v>
      </c>
      <c r="ND109">
        <v>0</v>
      </c>
      <c r="NE109">
        <v>0</v>
      </c>
      <c r="NF109">
        <v>0</v>
      </c>
      <c r="NG109">
        <v>0</v>
      </c>
      <c r="NH109">
        <v>0</v>
      </c>
      <c r="NI109">
        <v>0</v>
      </c>
      <c r="NJ109">
        <v>0</v>
      </c>
      <c r="NK109">
        <v>0</v>
      </c>
      <c r="NL109">
        <v>0</v>
      </c>
      <c r="NM109">
        <v>0</v>
      </c>
      <c r="NN109">
        <v>0</v>
      </c>
      <c r="NO109">
        <v>0</v>
      </c>
      <c r="NP109">
        <v>0</v>
      </c>
      <c r="NQ109">
        <v>0</v>
      </c>
      <c r="NR109">
        <v>0</v>
      </c>
      <c r="NS109">
        <v>0</v>
      </c>
      <c r="NT109">
        <v>0</v>
      </c>
      <c r="NU109">
        <v>0</v>
      </c>
      <c r="NV109">
        <v>0</v>
      </c>
      <c r="NW109">
        <v>0</v>
      </c>
      <c r="NX109">
        <v>0</v>
      </c>
      <c r="NY109">
        <v>0</v>
      </c>
      <c r="NZ109">
        <v>0</v>
      </c>
      <c r="OA109">
        <v>0</v>
      </c>
      <c r="OB109">
        <v>0</v>
      </c>
      <c r="OC109">
        <v>0</v>
      </c>
      <c r="OD109">
        <v>0</v>
      </c>
      <c r="OE109">
        <v>0</v>
      </c>
      <c r="OF109">
        <v>0</v>
      </c>
      <c r="OG109">
        <v>0</v>
      </c>
      <c r="OH109">
        <v>0</v>
      </c>
      <c r="OI109">
        <v>0</v>
      </c>
      <c r="OJ109">
        <v>0</v>
      </c>
      <c r="OK109">
        <v>0</v>
      </c>
      <c r="OL109">
        <v>0</v>
      </c>
      <c r="OM109">
        <v>0</v>
      </c>
      <c r="ON109">
        <v>0</v>
      </c>
    </row>
    <row r="110" spans="1:404" x14ac:dyDescent="0.25">
      <c r="A110" t="s">
        <v>388</v>
      </c>
      <c r="B110" t="s">
        <v>389</v>
      </c>
      <c r="C110" t="s">
        <v>387</v>
      </c>
      <c r="E110" t="s">
        <v>125</v>
      </c>
      <c r="F110">
        <v>37789</v>
      </c>
      <c r="G110">
        <v>195482</v>
      </c>
      <c r="H110">
        <v>41295</v>
      </c>
      <c r="I110">
        <v>44218</v>
      </c>
      <c r="J110">
        <v>11782</v>
      </c>
      <c r="K110">
        <v>46324</v>
      </c>
      <c r="L110">
        <v>376890</v>
      </c>
      <c r="M110">
        <v>-7</v>
      </c>
      <c r="N110">
        <v>596</v>
      </c>
      <c r="O110">
        <v>426</v>
      </c>
      <c r="P110">
        <v>4634</v>
      </c>
      <c r="Q110">
        <v>320</v>
      </c>
      <c r="R110">
        <v>205</v>
      </c>
      <c r="S110">
        <v>2071</v>
      </c>
      <c r="T110">
        <v>3537</v>
      </c>
      <c r="U110">
        <v>5115</v>
      </c>
      <c r="V110">
        <v>0</v>
      </c>
      <c r="W110">
        <v>0</v>
      </c>
      <c r="X110">
        <v>760</v>
      </c>
      <c r="Y110">
        <v>2361</v>
      </c>
      <c r="Z110">
        <v>-429</v>
      </c>
      <c r="AA110">
        <v>409</v>
      </c>
      <c r="AB110">
        <v>-288</v>
      </c>
      <c r="AC110">
        <v>0</v>
      </c>
      <c r="AD110">
        <v>1722</v>
      </c>
      <c r="AE110">
        <v>0</v>
      </c>
      <c r="AF110">
        <v>0</v>
      </c>
      <c r="AG110">
        <v>-222</v>
      </c>
      <c r="AH110">
        <v>0</v>
      </c>
      <c r="AI110">
        <v>21210</v>
      </c>
      <c r="AJ110">
        <v>0</v>
      </c>
      <c r="AK110">
        <v>0</v>
      </c>
      <c r="AL110">
        <v>0</v>
      </c>
      <c r="AM110">
        <v>0</v>
      </c>
      <c r="AN110">
        <v>0</v>
      </c>
      <c r="AO110">
        <v>0</v>
      </c>
      <c r="AP110">
        <v>0</v>
      </c>
      <c r="AQ110">
        <v>0</v>
      </c>
      <c r="AR110">
        <v>1405</v>
      </c>
      <c r="AS110">
        <v>0</v>
      </c>
      <c r="AT110">
        <v>0</v>
      </c>
      <c r="AU110">
        <v>0</v>
      </c>
      <c r="AV110">
        <v>2809</v>
      </c>
      <c r="AW110">
        <v>62301</v>
      </c>
      <c r="AX110">
        <v>0</v>
      </c>
      <c r="AY110">
        <v>10390</v>
      </c>
      <c r="AZ110">
        <v>2081</v>
      </c>
      <c r="BA110">
        <v>25049</v>
      </c>
      <c r="BB110">
        <v>81</v>
      </c>
      <c r="BC110">
        <v>825</v>
      </c>
      <c r="BD110">
        <v>103536</v>
      </c>
      <c r="BE110">
        <v>11114</v>
      </c>
      <c r="BF110">
        <v>26815</v>
      </c>
      <c r="BG110">
        <v>0</v>
      </c>
      <c r="BH110">
        <v>0</v>
      </c>
      <c r="BI110">
        <v>185</v>
      </c>
      <c r="BJ110">
        <v>18374</v>
      </c>
      <c r="BK110">
        <v>42452</v>
      </c>
      <c r="BL110">
        <v>8197</v>
      </c>
      <c r="BM110">
        <v>5284</v>
      </c>
      <c r="BN110">
        <v>2099</v>
      </c>
      <c r="BO110">
        <v>372</v>
      </c>
      <c r="BP110">
        <v>0</v>
      </c>
      <c r="BQ110">
        <v>0</v>
      </c>
      <c r="BR110">
        <v>388</v>
      </c>
      <c r="BS110">
        <v>3893</v>
      </c>
      <c r="BT110">
        <v>18956</v>
      </c>
      <c r="BU110">
        <v>2954</v>
      </c>
      <c r="BV110">
        <v>4776</v>
      </c>
      <c r="BW110">
        <v>157031</v>
      </c>
      <c r="BX110">
        <v>1916</v>
      </c>
      <c r="BY110">
        <v>1977</v>
      </c>
      <c r="BZ110">
        <v>810</v>
      </c>
      <c r="CA110">
        <v>390</v>
      </c>
      <c r="CB110">
        <v>763</v>
      </c>
      <c r="CC110">
        <v>140</v>
      </c>
      <c r="CD110">
        <v>2070</v>
      </c>
      <c r="CE110">
        <v>1739</v>
      </c>
      <c r="CF110">
        <v>886</v>
      </c>
      <c r="CG110">
        <v>4209</v>
      </c>
      <c r="CH110">
        <v>0</v>
      </c>
      <c r="CI110">
        <v>4104</v>
      </c>
      <c r="CJ110">
        <v>2223</v>
      </c>
      <c r="CK110">
        <v>54</v>
      </c>
      <c r="CL110">
        <v>11</v>
      </c>
      <c r="CM110">
        <v>320</v>
      </c>
      <c r="CN110">
        <v>1884</v>
      </c>
      <c r="CO110">
        <v>111</v>
      </c>
      <c r="CP110">
        <v>6350</v>
      </c>
      <c r="CQ110">
        <v>5648</v>
      </c>
      <c r="CR110">
        <v>5986</v>
      </c>
      <c r="CS110">
        <v>803</v>
      </c>
      <c r="CT110">
        <v>1180</v>
      </c>
      <c r="CU110">
        <v>4960</v>
      </c>
      <c r="CV110">
        <v>53102</v>
      </c>
      <c r="CW110">
        <v>0</v>
      </c>
      <c r="CX110">
        <v>0</v>
      </c>
      <c r="CY110">
        <v>0</v>
      </c>
      <c r="CZ110">
        <v>0</v>
      </c>
      <c r="DA110">
        <v>0</v>
      </c>
      <c r="DB110">
        <v>0</v>
      </c>
      <c r="DC110">
        <v>0</v>
      </c>
      <c r="DD110">
        <v>0</v>
      </c>
      <c r="DE110">
        <v>0</v>
      </c>
      <c r="DF110">
        <v>368</v>
      </c>
      <c r="DG110">
        <v>113</v>
      </c>
      <c r="DH110">
        <v>1854</v>
      </c>
      <c r="DI110">
        <v>76</v>
      </c>
      <c r="DJ110">
        <v>603</v>
      </c>
      <c r="DK110">
        <v>0</v>
      </c>
      <c r="DL110">
        <v>37</v>
      </c>
      <c r="DM110">
        <v>22</v>
      </c>
      <c r="DN110">
        <v>3035</v>
      </c>
      <c r="DO110">
        <v>355</v>
      </c>
      <c r="DP110">
        <v>6095</v>
      </c>
      <c r="DQ110">
        <v>0</v>
      </c>
      <c r="DR110">
        <v>0</v>
      </c>
      <c r="DS110">
        <v>0</v>
      </c>
      <c r="DT110">
        <v>5737</v>
      </c>
      <c r="DU110">
        <v>28</v>
      </c>
      <c r="DV110">
        <v>8783</v>
      </c>
      <c r="DW110">
        <v>650</v>
      </c>
      <c r="DX110">
        <v>21661</v>
      </c>
      <c r="DY110">
        <v>0</v>
      </c>
      <c r="DZ110">
        <v>0</v>
      </c>
      <c r="EA110">
        <v>0</v>
      </c>
      <c r="EB110">
        <v>0</v>
      </c>
      <c r="EC110">
        <v>0</v>
      </c>
      <c r="ED110">
        <v>0</v>
      </c>
      <c r="EE110">
        <v>0</v>
      </c>
      <c r="EF110">
        <v>0</v>
      </c>
      <c r="EG110">
        <v>0</v>
      </c>
      <c r="EH110">
        <v>0</v>
      </c>
      <c r="EI110">
        <v>0</v>
      </c>
      <c r="EJ110">
        <v>0</v>
      </c>
      <c r="EK110">
        <v>0</v>
      </c>
      <c r="EL110">
        <v>0</v>
      </c>
      <c r="EM110">
        <v>0</v>
      </c>
      <c r="EN110">
        <v>0</v>
      </c>
      <c r="EO110">
        <v>0</v>
      </c>
      <c r="EP110">
        <v>0</v>
      </c>
      <c r="EQ110">
        <v>0</v>
      </c>
      <c r="ER110">
        <v>0</v>
      </c>
      <c r="ES110">
        <v>0</v>
      </c>
      <c r="ET110">
        <v>0</v>
      </c>
      <c r="EU110">
        <v>289</v>
      </c>
      <c r="EV110">
        <v>335</v>
      </c>
      <c r="EW110">
        <v>0</v>
      </c>
      <c r="EX110">
        <v>1905</v>
      </c>
      <c r="EY110">
        <v>4291</v>
      </c>
      <c r="EZ110">
        <v>0</v>
      </c>
      <c r="FA110">
        <v>0</v>
      </c>
      <c r="FB110">
        <v>1620</v>
      </c>
      <c r="FC110">
        <v>8412</v>
      </c>
      <c r="FD110">
        <v>12628</v>
      </c>
      <c r="FE110">
        <v>83</v>
      </c>
      <c r="FF110">
        <v>753</v>
      </c>
      <c r="FG110">
        <v>4626</v>
      </c>
      <c r="FH110">
        <v>34942</v>
      </c>
      <c r="FI110">
        <v>-507</v>
      </c>
      <c r="FJ110">
        <v>575</v>
      </c>
      <c r="FK110">
        <v>75</v>
      </c>
      <c r="FL110">
        <v>1344</v>
      </c>
      <c r="FM110">
        <v>735</v>
      </c>
      <c r="FN110">
        <v>85</v>
      </c>
      <c r="FO110">
        <v>0</v>
      </c>
      <c r="FP110">
        <v>0</v>
      </c>
      <c r="FQ110">
        <v>0</v>
      </c>
      <c r="FR110">
        <v>122</v>
      </c>
      <c r="FS110">
        <v>75</v>
      </c>
      <c r="FT110">
        <v>247</v>
      </c>
      <c r="FU110">
        <v>501</v>
      </c>
      <c r="FV110">
        <v>0</v>
      </c>
      <c r="FW110">
        <v>4915</v>
      </c>
      <c r="FX110">
        <v>809</v>
      </c>
      <c r="FY110">
        <v>0</v>
      </c>
      <c r="FZ110">
        <v>333</v>
      </c>
      <c r="GA110">
        <v>0</v>
      </c>
      <c r="GB110">
        <v>333</v>
      </c>
      <c r="GC110">
        <v>-2</v>
      </c>
      <c r="GD110">
        <v>6790</v>
      </c>
      <c r="GE110">
        <v>7243</v>
      </c>
      <c r="GF110">
        <v>25434</v>
      </c>
      <c r="GG110">
        <v>-62</v>
      </c>
      <c r="GH110">
        <v>7551</v>
      </c>
      <c r="GI110">
        <v>315</v>
      </c>
      <c r="GJ110">
        <v>380</v>
      </c>
      <c r="GK110">
        <v>57291</v>
      </c>
      <c r="GL110">
        <v>-122</v>
      </c>
      <c r="GM110">
        <v>-481</v>
      </c>
      <c r="GN110">
        <v>0</v>
      </c>
      <c r="GO110">
        <v>1338</v>
      </c>
      <c r="GP110">
        <v>1189</v>
      </c>
      <c r="GQ110">
        <v>14840</v>
      </c>
      <c r="GR110">
        <v>0</v>
      </c>
      <c r="GS110">
        <v>157</v>
      </c>
      <c r="GT110">
        <v>7194</v>
      </c>
      <c r="GU110">
        <v>24115</v>
      </c>
      <c r="GV110">
        <v>116348</v>
      </c>
      <c r="GW110">
        <v>0</v>
      </c>
      <c r="GX110">
        <v>0</v>
      </c>
      <c r="GY110">
        <v>0</v>
      </c>
      <c r="GZ110">
        <v>0</v>
      </c>
      <c r="HA110">
        <v>0</v>
      </c>
      <c r="HB110">
        <v>3332</v>
      </c>
      <c r="HC110">
        <v>1699</v>
      </c>
      <c r="HD110">
        <v>0</v>
      </c>
      <c r="HE110">
        <v>4255</v>
      </c>
      <c r="HF110">
        <v>5147</v>
      </c>
      <c r="HG110">
        <v>-193</v>
      </c>
      <c r="HH110">
        <v>0</v>
      </c>
      <c r="HI110">
        <v>-149</v>
      </c>
      <c r="HJ110">
        <v>625</v>
      </c>
      <c r="HK110">
        <v>1079</v>
      </c>
      <c r="HL110">
        <v>659</v>
      </c>
      <c r="HM110">
        <v>-474</v>
      </c>
      <c r="HN110">
        <v>7514</v>
      </c>
      <c r="HO110">
        <v>1947</v>
      </c>
      <c r="HP110">
        <v>1332</v>
      </c>
      <c r="HQ110">
        <v>0</v>
      </c>
      <c r="HR110">
        <v>0</v>
      </c>
      <c r="HS110">
        <v>0</v>
      </c>
      <c r="HT110">
        <v>9</v>
      </c>
      <c r="HU110">
        <v>14006</v>
      </c>
      <c r="HV110">
        <v>40788</v>
      </c>
      <c r="HW110">
        <v>17359</v>
      </c>
      <c r="HX110">
        <v>37330</v>
      </c>
      <c r="HY110">
        <v>0</v>
      </c>
      <c r="HZ110">
        <v>8141</v>
      </c>
      <c r="IA110">
        <v>5888</v>
      </c>
      <c r="IB110">
        <v>1137</v>
      </c>
      <c r="IC110">
        <v>376890</v>
      </c>
      <c r="ID110">
        <v>21210</v>
      </c>
      <c r="IE110">
        <v>103536</v>
      </c>
      <c r="IF110">
        <v>157031</v>
      </c>
      <c r="IG110">
        <v>53102</v>
      </c>
      <c r="IH110">
        <v>21661</v>
      </c>
      <c r="II110">
        <v>34942</v>
      </c>
      <c r="IJ110">
        <v>57291</v>
      </c>
      <c r="IK110">
        <v>24115</v>
      </c>
      <c r="IL110">
        <v>0</v>
      </c>
      <c r="IM110">
        <v>0</v>
      </c>
      <c r="IN110">
        <v>40788</v>
      </c>
      <c r="IO110">
        <v>1137</v>
      </c>
      <c r="IP110">
        <v>891703</v>
      </c>
      <c r="IQ110">
        <v>110758</v>
      </c>
      <c r="IR110">
        <v>673</v>
      </c>
      <c r="IS110">
        <v>0</v>
      </c>
      <c r="IT110">
        <v>0</v>
      </c>
      <c r="IU110">
        <v>0</v>
      </c>
      <c r="IV110">
        <v>13734</v>
      </c>
      <c r="IW110">
        <v>15467</v>
      </c>
      <c r="IX110">
        <v>0</v>
      </c>
      <c r="IY110">
        <v>0</v>
      </c>
      <c r="IZ110">
        <v>1870</v>
      </c>
      <c r="JA110">
        <v>-867</v>
      </c>
      <c r="JB110">
        <v>-973</v>
      </c>
      <c r="JC110">
        <v>0</v>
      </c>
      <c r="JD110">
        <v>-5604</v>
      </c>
      <c r="JE110">
        <v>3943</v>
      </c>
      <c r="JF110">
        <v>0</v>
      </c>
      <c r="JG110">
        <v>1030704</v>
      </c>
      <c r="JH110">
        <v>470</v>
      </c>
      <c r="JI110">
        <v>26264</v>
      </c>
      <c r="JJ110">
        <v>0</v>
      </c>
      <c r="JK110">
        <v>0</v>
      </c>
      <c r="JL110">
        <v>0</v>
      </c>
      <c r="JM110">
        <v>919</v>
      </c>
      <c r="JN110">
        <v>15791</v>
      </c>
      <c r="JO110">
        <v>1335</v>
      </c>
      <c r="JP110">
        <v>12834</v>
      </c>
      <c r="JQ110">
        <v>0</v>
      </c>
      <c r="JR110">
        <v>1088317</v>
      </c>
      <c r="JS110">
        <v>-6935</v>
      </c>
      <c r="JT110">
        <v>0</v>
      </c>
      <c r="JU110">
        <v>144</v>
      </c>
      <c r="JV110">
        <v>0</v>
      </c>
      <c r="JW110">
        <v>-131805</v>
      </c>
      <c r="JX110">
        <v>0</v>
      </c>
      <c r="JY110">
        <v>0</v>
      </c>
      <c r="JZ110">
        <v>0</v>
      </c>
      <c r="KA110">
        <v>0</v>
      </c>
      <c r="KB110">
        <v>-796</v>
      </c>
      <c r="KC110">
        <v>948925</v>
      </c>
      <c r="KD110">
        <v>0</v>
      </c>
      <c r="KE110">
        <v>-505444</v>
      </c>
      <c r="KF110">
        <v>443481</v>
      </c>
      <c r="KG110">
        <v>0</v>
      </c>
      <c r="KH110">
        <v>45</v>
      </c>
      <c r="KI110">
        <v>-1067</v>
      </c>
      <c r="KJ110">
        <v>-796</v>
      </c>
      <c r="KK110">
        <v>-9207</v>
      </c>
      <c r="KL110">
        <v>-255</v>
      </c>
      <c r="KM110">
        <v>-28227</v>
      </c>
      <c r="KN110">
        <v>0</v>
      </c>
      <c r="KO110">
        <v>-123471</v>
      </c>
      <c r="KP110">
        <v>2334</v>
      </c>
      <c r="KQ110">
        <v>6584</v>
      </c>
      <c r="KR110">
        <v>255000</v>
      </c>
      <c r="KS110">
        <v>31174</v>
      </c>
      <c r="KT110">
        <v>4124</v>
      </c>
      <c r="KU110">
        <v>7332</v>
      </c>
      <c r="KV110">
        <v>238200</v>
      </c>
      <c r="KW110">
        <v>26153</v>
      </c>
      <c r="KX110">
        <v>31219</v>
      </c>
      <c r="KY110">
        <v>3057</v>
      </c>
      <c r="KZ110">
        <v>6536</v>
      </c>
      <c r="LA110">
        <v>228993</v>
      </c>
      <c r="LB110">
        <v>25898</v>
      </c>
      <c r="LC110">
        <v>0</v>
      </c>
      <c r="LD110">
        <v>53080</v>
      </c>
      <c r="LE110">
        <v>1643</v>
      </c>
      <c r="LF110">
        <v>77327</v>
      </c>
      <c r="LG110">
        <v>-60763</v>
      </c>
      <c r="LH110">
        <v>36513</v>
      </c>
      <c r="LI110">
        <v>107816</v>
      </c>
      <c r="LJ110">
        <v>22501</v>
      </c>
      <c r="LK110">
        <v>36784</v>
      </c>
      <c r="LL110">
        <v>59285</v>
      </c>
      <c r="LM110">
        <v>1367</v>
      </c>
      <c r="LN110">
        <v>0</v>
      </c>
      <c r="LO110">
        <v>0</v>
      </c>
      <c r="LP110">
        <v>0</v>
      </c>
      <c r="LQ110">
        <v>0</v>
      </c>
      <c r="LR110">
        <v>0</v>
      </c>
      <c r="LS110">
        <v>0</v>
      </c>
      <c r="LT110">
        <v>0</v>
      </c>
      <c r="LU110">
        <v>376890</v>
      </c>
      <c r="LV110">
        <v>21210</v>
      </c>
      <c r="LW110">
        <v>103536</v>
      </c>
      <c r="LX110">
        <v>157031</v>
      </c>
      <c r="LY110">
        <v>53102</v>
      </c>
      <c r="LZ110">
        <v>21661</v>
      </c>
      <c r="MA110">
        <v>34942</v>
      </c>
      <c r="MB110">
        <v>57291</v>
      </c>
      <c r="MC110">
        <v>24115</v>
      </c>
      <c r="MD110">
        <v>0</v>
      </c>
      <c r="ME110">
        <v>0</v>
      </c>
      <c r="MF110">
        <v>40788</v>
      </c>
      <c r="MG110">
        <v>1137</v>
      </c>
      <c r="MH110">
        <v>891703</v>
      </c>
      <c r="MI110">
        <v>0</v>
      </c>
      <c r="MJ110">
        <v>0</v>
      </c>
      <c r="MK110">
        <v>0</v>
      </c>
      <c r="ML110">
        <v>0</v>
      </c>
      <c r="MM110">
        <v>0</v>
      </c>
      <c r="MN110">
        <v>0</v>
      </c>
      <c r="MO110">
        <v>0</v>
      </c>
      <c r="MP110">
        <v>0</v>
      </c>
      <c r="MQ110">
        <v>0</v>
      </c>
      <c r="MR110">
        <v>0</v>
      </c>
      <c r="MS110">
        <v>-913</v>
      </c>
      <c r="MT110">
        <v>0</v>
      </c>
      <c r="MU110">
        <v>0</v>
      </c>
      <c r="MV110">
        <v>0</v>
      </c>
      <c r="MW110">
        <v>0</v>
      </c>
      <c r="MX110">
        <v>0</v>
      </c>
      <c r="MY110">
        <v>46</v>
      </c>
      <c r="MZ110">
        <v>0</v>
      </c>
      <c r="NA110">
        <v>-867</v>
      </c>
      <c r="NB110">
        <v>0</v>
      </c>
      <c r="NC110">
        <v>-867</v>
      </c>
      <c r="ND110">
        <v>0</v>
      </c>
      <c r="NE110">
        <v>0</v>
      </c>
      <c r="NF110">
        <v>-1189</v>
      </c>
      <c r="NG110">
        <v>0</v>
      </c>
      <c r="NH110">
        <v>0</v>
      </c>
      <c r="NI110">
        <v>0</v>
      </c>
      <c r="NJ110">
        <v>0</v>
      </c>
      <c r="NK110">
        <v>0</v>
      </c>
      <c r="NL110">
        <v>0</v>
      </c>
      <c r="NM110">
        <v>0</v>
      </c>
      <c r="NN110">
        <v>25</v>
      </c>
      <c r="NO110">
        <v>-1101</v>
      </c>
      <c r="NP110">
        <v>0</v>
      </c>
      <c r="NQ110">
        <v>-4949</v>
      </c>
      <c r="NR110">
        <v>344</v>
      </c>
      <c r="NS110">
        <v>0</v>
      </c>
      <c r="NT110">
        <v>293</v>
      </c>
      <c r="NU110">
        <v>0</v>
      </c>
      <c r="NV110">
        <v>0</v>
      </c>
      <c r="NW110">
        <v>0</v>
      </c>
      <c r="NX110">
        <v>0</v>
      </c>
      <c r="NY110">
        <v>0</v>
      </c>
      <c r="NZ110">
        <v>-6577</v>
      </c>
      <c r="OA110">
        <v>5604</v>
      </c>
      <c r="OB110">
        <v>-973</v>
      </c>
      <c r="OC110">
        <v>0</v>
      </c>
      <c r="OD110">
        <v>0</v>
      </c>
      <c r="OE110">
        <v>0</v>
      </c>
      <c r="OF110">
        <v>0</v>
      </c>
      <c r="OG110">
        <v>0</v>
      </c>
      <c r="OH110">
        <v>0</v>
      </c>
      <c r="OI110">
        <v>5583</v>
      </c>
      <c r="OJ110">
        <v>15</v>
      </c>
      <c r="OK110">
        <v>0</v>
      </c>
      <c r="OL110">
        <v>0</v>
      </c>
      <c r="OM110">
        <v>6</v>
      </c>
      <c r="ON110">
        <v>5604</v>
      </c>
    </row>
    <row r="111" spans="1:404" x14ac:dyDescent="0.25">
      <c r="A111" t="s">
        <v>397</v>
      </c>
      <c r="B111" t="s">
        <v>398</v>
      </c>
      <c r="C111" t="s">
        <v>396</v>
      </c>
      <c r="E111" t="s">
        <v>1940</v>
      </c>
      <c r="F111">
        <v>31604</v>
      </c>
      <c r="G111">
        <v>133975</v>
      </c>
      <c r="H111">
        <v>67221</v>
      </c>
      <c r="I111">
        <v>53532</v>
      </c>
      <c r="J111">
        <v>8726</v>
      </c>
      <c r="K111">
        <v>28617</v>
      </c>
      <c r="L111">
        <v>323675</v>
      </c>
      <c r="M111">
        <v>0</v>
      </c>
      <c r="N111">
        <v>1087</v>
      </c>
      <c r="O111">
        <v>17</v>
      </c>
      <c r="P111">
        <v>25</v>
      </c>
      <c r="Q111">
        <v>0</v>
      </c>
      <c r="R111">
        <v>154</v>
      </c>
      <c r="S111">
        <v>2831</v>
      </c>
      <c r="T111">
        <v>305</v>
      </c>
      <c r="U111">
        <v>5210</v>
      </c>
      <c r="V111">
        <v>0</v>
      </c>
      <c r="W111">
        <v>0</v>
      </c>
      <c r="X111">
        <v>136</v>
      </c>
      <c r="Y111">
        <v>372</v>
      </c>
      <c r="Z111">
        <v>-10181</v>
      </c>
      <c r="AA111">
        <v>-6022</v>
      </c>
      <c r="AB111">
        <v>-351</v>
      </c>
      <c r="AC111">
        <v>0</v>
      </c>
      <c r="AD111">
        <v>0</v>
      </c>
      <c r="AE111">
        <v>0</v>
      </c>
      <c r="AF111">
        <v>0</v>
      </c>
      <c r="AG111">
        <v>0</v>
      </c>
      <c r="AH111">
        <v>0</v>
      </c>
      <c r="AI111">
        <v>-6417</v>
      </c>
      <c r="AJ111">
        <v>0</v>
      </c>
      <c r="AK111">
        <v>0</v>
      </c>
      <c r="AL111">
        <v>0</v>
      </c>
      <c r="AM111">
        <v>0</v>
      </c>
      <c r="AN111">
        <v>0</v>
      </c>
      <c r="AO111">
        <v>0</v>
      </c>
      <c r="AP111">
        <v>0</v>
      </c>
      <c r="AQ111">
        <v>27081</v>
      </c>
      <c r="AR111">
        <v>50</v>
      </c>
      <c r="AS111">
        <v>0</v>
      </c>
      <c r="AT111">
        <v>0</v>
      </c>
      <c r="AU111">
        <v>0</v>
      </c>
      <c r="AV111">
        <v>3042</v>
      </c>
      <c r="AW111">
        <v>30771</v>
      </c>
      <c r="AX111">
        <v>3634</v>
      </c>
      <c r="AY111">
        <v>4414</v>
      </c>
      <c r="AZ111">
        <v>1203</v>
      </c>
      <c r="BA111">
        <v>13969</v>
      </c>
      <c r="BB111">
        <v>1519</v>
      </c>
      <c r="BC111">
        <v>3988</v>
      </c>
      <c r="BD111">
        <v>62540</v>
      </c>
      <c r="BE111">
        <v>8177</v>
      </c>
      <c r="BF111">
        <v>14616</v>
      </c>
      <c r="BG111">
        <v>60</v>
      </c>
      <c r="BH111">
        <v>28</v>
      </c>
      <c r="BI111">
        <v>122</v>
      </c>
      <c r="BJ111">
        <v>6715</v>
      </c>
      <c r="BK111">
        <v>24046</v>
      </c>
      <c r="BL111">
        <v>2889</v>
      </c>
      <c r="BM111">
        <v>4851</v>
      </c>
      <c r="BN111">
        <v>3405</v>
      </c>
      <c r="BO111">
        <v>54</v>
      </c>
      <c r="BP111">
        <v>0</v>
      </c>
      <c r="BQ111">
        <v>16</v>
      </c>
      <c r="BR111">
        <v>538</v>
      </c>
      <c r="BS111">
        <v>33</v>
      </c>
      <c r="BT111">
        <v>17136</v>
      </c>
      <c r="BU111">
        <v>325</v>
      </c>
      <c r="BV111">
        <v>2179</v>
      </c>
      <c r="BW111">
        <v>89059</v>
      </c>
      <c r="BX111">
        <v>2538</v>
      </c>
      <c r="BY111">
        <v>1457</v>
      </c>
      <c r="BZ111">
        <v>250</v>
      </c>
      <c r="CA111">
        <v>489</v>
      </c>
      <c r="CB111">
        <v>23</v>
      </c>
      <c r="CC111">
        <v>317</v>
      </c>
      <c r="CD111">
        <v>76</v>
      </c>
      <c r="CE111">
        <v>271</v>
      </c>
      <c r="CF111">
        <v>273</v>
      </c>
      <c r="CG111">
        <v>10</v>
      </c>
      <c r="CH111">
        <v>10</v>
      </c>
      <c r="CI111">
        <v>1481</v>
      </c>
      <c r="CJ111">
        <v>1479</v>
      </c>
      <c r="CK111">
        <v>1453</v>
      </c>
      <c r="CL111">
        <v>1453</v>
      </c>
      <c r="CM111">
        <v>80</v>
      </c>
      <c r="CN111">
        <v>86</v>
      </c>
      <c r="CO111">
        <v>0</v>
      </c>
      <c r="CP111">
        <v>489</v>
      </c>
      <c r="CQ111">
        <v>5343</v>
      </c>
      <c r="CR111">
        <v>2180</v>
      </c>
      <c r="CS111">
        <v>79</v>
      </c>
      <c r="CT111">
        <v>898</v>
      </c>
      <c r="CU111">
        <v>5126</v>
      </c>
      <c r="CV111">
        <v>31872</v>
      </c>
      <c r="CW111">
        <v>0</v>
      </c>
      <c r="CX111">
        <v>0</v>
      </c>
      <c r="CY111">
        <v>0</v>
      </c>
      <c r="CZ111">
        <v>0</v>
      </c>
      <c r="DA111">
        <v>0</v>
      </c>
      <c r="DB111">
        <v>0</v>
      </c>
      <c r="DC111">
        <v>4062</v>
      </c>
      <c r="DD111">
        <v>0</v>
      </c>
      <c r="DE111">
        <v>115</v>
      </c>
      <c r="DF111">
        <v>0</v>
      </c>
      <c r="DG111">
        <v>0</v>
      </c>
      <c r="DH111">
        <v>9452</v>
      </c>
      <c r="DI111">
        <v>-145</v>
      </c>
      <c r="DJ111">
        <v>275</v>
      </c>
      <c r="DK111">
        <v>-99</v>
      </c>
      <c r="DL111">
        <v>0</v>
      </c>
      <c r="DM111">
        <v>0</v>
      </c>
      <c r="DN111">
        <v>9664</v>
      </c>
      <c r="DO111">
        <v>0</v>
      </c>
      <c r="DP111">
        <v>19147</v>
      </c>
      <c r="DQ111">
        <v>0</v>
      </c>
      <c r="DR111">
        <v>0</v>
      </c>
      <c r="DS111">
        <v>0</v>
      </c>
      <c r="DT111">
        <v>3492</v>
      </c>
      <c r="DU111">
        <v>-2772</v>
      </c>
      <c r="DV111">
        <v>3600</v>
      </c>
      <c r="DW111">
        <v>5</v>
      </c>
      <c r="DX111">
        <v>27649</v>
      </c>
      <c r="DY111">
        <v>55609</v>
      </c>
      <c r="DZ111">
        <v>1473</v>
      </c>
      <c r="EA111">
        <v>4788</v>
      </c>
      <c r="EB111">
        <v>2507</v>
      </c>
      <c r="EC111">
        <v>0</v>
      </c>
      <c r="ED111">
        <v>126</v>
      </c>
      <c r="EE111">
        <v>0</v>
      </c>
      <c r="EF111">
        <v>0</v>
      </c>
      <c r="EG111">
        <v>0</v>
      </c>
      <c r="EH111">
        <v>11575</v>
      </c>
      <c r="EI111">
        <v>28990</v>
      </c>
      <c r="EJ111">
        <v>0</v>
      </c>
      <c r="EK111">
        <v>942</v>
      </c>
      <c r="EL111">
        <v>7113</v>
      </c>
      <c r="EM111">
        <v>0</v>
      </c>
      <c r="EN111">
        <v>0</v>
      </c>
      <c r="EO111">
        <v>57</v>
      </c>
      <c r="EP111">
        <v>0</v>
      </c>
      <c r="EQ111">
        <v>15826</v>
      </c>
      <c r="ER111">
        <v>0</v>
      </c>
      <c r="ES111">
        <v>15249</v>
      </c>
      <c r="ET111">
        <v>15249</v>
      </c>
      <c r="EU111">
        <v>0</v>
      </c>
      <c r="EV111">
        <v>101</v>
      </c>
      <c r="EW111">
        <v>0</v>
      </c>
      <c r="EX111">
        <v>754</v>
      </c>
      <c r="EY111">
        <v>-79</v>
      </c>
      <c r="EZ111">
        <v>405</v>
      </c>
      <c r="FA111">
        <v>0</v>
      </c>
      <c r="FB111">
        <v>1051</v>
      </c>
      <c r="FC111">
        <v>875</v>
      </c>
      <c r="FD111">
        <v>903</v>
      </c>
      <c r="FE111">
        <v>0</v>
      </c>
      <c r="FF111">
        <v>0</v>
      </c>
      <c r="FG111">
        <v>2792</v>
      </c>
      <c r="FH111">
        <v>6802</v>
      </c>
      <c r="FI111">
        <v>317</v>
      </c>
      <c r="FJ111">
        <v>550</v>
      </c>
      <c r="FK111">
        <v>0</v>
      </c>
      <c r="FL111">
        <v>593</v>
      </c>
      <c r="FM111">
        <v>1158</v>
      </c>
      <c r="FN111">
        <v>1347</v>
      </c>
      <c r="FO111">
        <v>0</v>
      </c>
      <c r="FP111">
        <v>0</v>
      </c>
      <c r="FQ111">
        <v>0</v>
      </c>
      <c r="FR111">
        <v>8</v>
      </c>
      <c r="FS111">
        <v>102</v>
      </c>
      <c r="FT111">
        <v>64</v>
      </c>
      <c r="FU111">
        <v>-275</v>
      </c>
      <c r="FV111">
        <v>591</v>
      </c>
      <c r="FW111">
        <v>999</v>
      </c>
      <c r="FX111">
        <v>166</v>
      </c>
      <c r="FY111">
        <v>0</v>
      </c>
      <c r="FZ111">
        <v>0</v>
      </c>
      <c r="GA111">
        <v>0</v>
      </c>
      <c r="GB111">
        <v>0</v>
      </c>
      <c r="GC111">
        <v>0</v>
      </c>
      <c r="GD111">
        <v>11494</v>
      </c>
      <c r="GE111">
        <v>8416</v>
      </c>
      <c r="GF111">
        <v>85</v>
      </c>
      <c r="GG111">
        <v>-1057</v>
      </c>
      <c r="GH111">
        <v>1650</v>
      </c>
      <c r="GI111">
        <v>0</v>
      </c>
      <c r="GJ111">
        <v>0</v>
      </c>
      <c r="GK111">
        <v>26208</v>
      </c>
      <c r="GL111">
        <v>460</v>
      </c>
      <c r="GM111">
        <v>74</v>
      </c>
      <c r="GN111">
        <v>0</v>
      </c>
      <c r="GO111">
        <v>0</v>
      </c>
      <c r="GP111">
        <v>463</v>
      </c>
      <c r="GQ111">
        <v>2356</v>
      </c>
      <c r="GR111">
        <v>0</v>
      </c>
      <c r="GS111">
        <v>2835</v>
      </c>
      <c r="GT111">
        <v>0</v>
      </c>
      <c r="GU111">
        <v>6188</v>
      </c>
      <c r="GV111">
        <v>39198</v>
      </c>
      <c r="GW111">
        <v>0</v>
      </c>
      <c r="GX111">
        <v>0</v>
      </c>
      <c r="GY111">
        <v>0</v>
      </c>
      <c r="GZ111">
        <v>0</v>
      </c>
      <c r="HA111">
        <v>0</v>
      </c>
      <c r="HB111">
        <v>9688</v>
      </c>
      <c r="HC111">
        <v>507</v>
      </c>
      <c r="HD111">
        <v>0</v>
      </c>
      <c r="HE111">
        <v>0</v>
      </c>
      <c r="HF111">
        <v>0</v>
      </c>
      <c r="HG111">
        <v>252</v>
      </c>
      <c r="HH111">
        <v>0</v>
      </c>
      <c r="HI111">
        <v>-209</v>
      </c>
      <c r="HJ111">
        <v>410</v>
      </c>
      <c r="HK111">
        <v>1142</v>
      </c>
      <c r="HL111">
        <v>249</v>
      </c>
      <c r="HM111">
        <v>-284</v>
      </c>
      <c r="HN111">
        <v>513</v>
      </c>
      <c r="HO111">
        <v>0</v>
      </c>
      <c r="HP111">
        <v>0</v>
      </c>
      <c r="HQ111">
        <v>0</v>
      </c>
      <c r="HR111">
        <v>0</v>
      </c>
      <c r="HS111">
        <v>0</v>
      </c>
      <c r="HT111">
        <v>-434</v>
      </c>
      <c r="HU111">
        <v>12949</v>
      </c>
      <c r="HV111">
        <v>24783</v>
      </c>
      <c r="HW111">
        <v>0</v>
      </c>
      <c r="HX111">
        <v>18760</v>
      </c>
      <c r="HY111">
        <v>0</v>
      </c>
      <c r="HZ111">
        <v>7931</v>
      </c>
      <c r="IA111">
        <v>29769</v>
      </c>
      <c r="IB111">
        <v>18908</v>
      </c>
      <c r="IC111">
        <v>323675</v>
      </c>
      <c r="ID111">
        <v>-6417</v>
      </c>
      <c r="IE111">
        <v>62540</v>
      </c>
      <c r="IF111">
        <v>89059</v>
      </c>
      <c r="IG111">
        <v>31872</v>
      </c>
      <c r="IH111">
        <v>27649</v>
      </c>
      <c r="II111">
        <v>6802</v>
      </c>
      <c r="IJ111">
        <v>26208</v>
      </c>
      <c r="IK111">
        <v>6188</v>
      </c>
      <c r="IL111">
        <v>0</v>
      </c>
      <c r="IM111">
        <v>0</v>
      </c>
      <c r="IN111">
        <v>24783</v>
      </c>
      <c r="IO111">
        <v>18908</v>
      </c>
      <c r="IP111">
        <v>611266</v>
      </c>
      <c r="IQ111">
        <v>133226</v>
      </c>
      <c r="IR111">
        <v>27413</v>
      </c>
      <c r="IS111">
        <v>25032</v>
      </c>
      <c r="IT111">
        <v>0</v>
      </c>
      <c r="IU111">
        <v>0</v>
      </c>
      <c r="IV111">
        <v>0</v>
      </c>
      <c r="IW111">
        <v>0</v>
      </c>
      <c r="IX111">
        <v>12899</v>
      </c>
      <c r="IY111">
        <v>400</v>
      </c>
      <c r="IZ111">
        <v>583</v>
      </c>
      <c r="JA111">
        <v>0</v>
      </c>
      <c r="JB111">
        <v>0</v>
      </c>
      <c r="JC111">
        <v>0</v>
      </c>
      <c r="JD111">
        <v>0</v>
      </c>
      <c r="JE111">
        <v>0</v>
      </c>
      <c r="JF111">
        <v>0</v>
      </c>
      <c r="JG111">
        <v>810819</v>
      </c>
      <c r="JH111">
        <v>275</v>
      </c>
      <c r="JI111">
        <v>840</v>
      </c>
      <c r="JJ111">
        <v>0</v>
      </c>
      <c r="JK111">
        <v>0</v>
      </c>
      <c r="JL111">
        <v>0</v>
      </c>
      <c r="JM111">
        <v>7199</v>
      </c>
      <c r="JN111">
        <v>16239</v>
      </c>
      <c r="JO111">
        <v>0</v>
      </c>
      <c r="JP111">
        <v>30175</v>
      </c>
      <c r="JQ111">
        <v>-6710</v>
      </c>
      <c r="JR111">
        <v>858837</v>
      </c>
      <c r="JS111">
        <v>-4617</v>
      </c>
      <c r="JT111">
        <v>0</v>
      </c>
      <c r="JU111">
        <v>31</v>
      </c>
      <c r="JV111">
        <v>0</v>
      </c>
      <c r="JW111">
        <v>-203600</v>
      </c>
      <c r="JX111">
        <v>0</v>
      </c>
      <c r="JY111">
        <v>0</v>
      </c>
      <c r="JZ111">
        <v>0</v>
      </c>
      <c r="KA111">
        <v>0</v>
      </c>
      <c r="KB111">
        <v>0</v>
      </c>
      <c r="KC111">
        <v>650651</v>
      </c>
      <c r="KD111">
        <v>0</v>
      </c>
      <c r="KE111">
        <v>-394127</v>
      </c>
      <c r="KF111">
        <v>256524</v>
      </c>
      <c r="KG111">
        <v>0</v>
      </c>
      <c r="KH111">
        <v>-1110</v>
      </c>
      <c r="KI111">
        <v>412</v>
      </c>
      <c r="KJ111">
        <v>0</v>
      </c>
      <c r="KK111">
        <v>6775</v>
      </c>
      <c r="KL111">
        <v>0</v>
      </c>
      <c r="KM111">
        <v>-17543</v>
      </c>
      <c r="KN111">
        <v>0</v>
      </c>
      <c r="KO111">
        <v>-76104</v>
      </c>
      <c r="KP111">
        <v>2969</v>
      </c>
      <c r="KQ111">
        <v>0</v>
      </c>
      <c r="KR111">
        <v>152395</v>
      </c>
      <c r="KS111">
        <v>21404</v>
      </c>
      <c r="KT111">
        <v>370</v>
      </c>
      <c r="KU111">
        <v>1957</v>
      </c>
      <c r="KV111">
        <v>94057</v>
      </c>
      <c r="KW111">
        <v>15919</v>
      </c>
      <c r="KX111">
        <v>20294</v>
      </c>
      <c r="KY111">
        <v>782</v>
      </c>
      <c r="KZ111">
        <v>1957</v>
      </c>
      <c r="LA111">
        <v>100832</v>
      </c>
      <c r="LB111">
        <v>15919</v>
      </c>
      <c r="LC111">
        <v>0</v>
      </c>
      <c r="LD111">
        <v>48855</v>
      </c>
      <c r="LE111">
        <v>-465</v>
      </c>
      <c r="LF111">
        <v>31263</v>
      </c>
      <c r="LG111">
        <v>-28999</v>
      </c>
      <c r="LH111">
        <v>3248</v>
      </c>
      <c r="LI111">
        <v>53902</v>
      </c>
      <c r="LJ111">
        <v>10659</v>
      </c>
      <c r="LK111">
        <v>17652</v>
      </c>
      <c r="LL111">
        <v>28311</v>
      </c>
      <c r="LM111">
        <v>0</v>
      </c>
      <c r="LN111">
        <v>0</v>
      </c>
      <c r="LO111">
        <v>0</v>
      </c>
      <c r="LP111">
        <v>64503</v>
      </c>
      <c r="LQ111">
        <v>64503</v>
      </c>
      <c r="LR111">
        <v>0</v>
      </c>
      <c r="LS111">
        <v>15249</v>
      </c>
      <c r="LT111">
        <v>15249</v>
      </c>
      <c r="LU111">
        <v>323675</v>
      </c>
      <c r="LV111">
        <v>-6417</v>
      </c>
      <c r="LW111">
        <v>62540</v>
      </c>
      <c r="LX111">
        <v>89059</v>
      </c>
      <c r="LY111">
        <v>31872</v>
      </c>
      <c r="LZ111">
        <v>27649</v>
      </c>
      <c r="MA111">
        <v>6802</v>
      </c>
      <c r="MB111">
        <v>26208</v>
      </c>
      <c r="MC111">
        <v>6188</v>
      </c>
      <c r="MD111">
        <v>0</v>
      </c>
      <c r="ME111">
        <v>0</v>
      </c>
      <c r="MF111">
        <v>24783</v>
      </c>
      <c r="MG111">
        <v>18908</v>
      </c>
      <c r="MH111">
        <v>611266</v>
      </c>
      <c r="MI111">
        <v>0</v>
      </c>
      <c r="MJ111">
        <v>0</v>
      </c>
      <c r="MK111">
        <v>0</v>
      </c>
      <c r="ML111">
        <v>0</v>
      </c>
      <c r="MM111">
        <v>0</v>
      </c>
      <c r="MN111">
        <v>0</v>
      </c>
      <c r="MO111">
        <v>0</v>
      </c>
      <c r="MP111">
        <v>0</v>
      </c>
      <c r="MQ111">
        <v>0</v>
      </c>
      <c r="MR111">
        <v>0</v>
      </c>
      <c r="MS111">
        <v>0</v>
      </c>
      <c r="MT111">
        <v>0</v>
      </c>
      <c r="MU111">
        <v>0</v>
      </c>
      <c r="MV111">
        <v>0</v>
      </c>
      <c r="MW111">
        <v>0</v>
      </c>
      <c r="MX111">
        <v>0</v>
      </c>
      <c r="MY111">
        <v>0</v>
      </c>
      <c r="MZ111">
        <v>0</v>
      </c>
      <c r="NA111">
        <v>0</v>
      </c>
      <c r="NB111">
        <v>0</v>
      </c>
      <c r="NC111">
        <v>0</v>
      </c>
      <c r="ND111">
        <v>0</v>
      </c>
      <c r="NE111">
        <v>0</v>
      </c>
      <c r="NF111">
        <v>0</v>
      </c>
      <c r="NG111">
        <v>0</v>
      </c>
      <c r="NH111">
        <v>0</v>
      </c>
      <c r="NI111">
        <v>0</v>
      </c>
      <c r="NJ111">
        <v>0</v>
      </c>
      <c r="NK111">
        <v>0</v>
      </c>
      <c r="NL111">
        <v>0</v>
      </c>
      <c r="NM111">
        <v>0</v>
      </c>
      <c r="NN111">
        <v>0</v>
      </c>
      <c r="NO111">
        <v>0</v>
      </c>
      <c r="NP111">
        <v>0</v>
      </c>
      <c r="NQ111">
        <v>0</v>
      </c>
      <c r="NR111">
        <v>0</v>
      </c>
      <c r="NS111">
        <v>0</v>
      </c>
      <c r="NT111">
        <v>0</v>
      </c>
      <c r="NU111">
        <v>0</v>
      </c>
      <c r="NV111">
        <v>0</v>
      </c>
      <c r="NW111">
        <v>0</v>
      </c>
      <c r="NX111">
        <v>0</v>
      </c>
      <c r="NY111">
        <v>0</v>
      </c>
      <c r="NZ111">
        <v>0</v>
      </c>
      <c r="OA111">
        <v>0</v>
      </c>
      <c r="OB111">
        <v>0</v>
      </c>
      <c r="OC111">
        <v>0</v>
      </c>
      <c r="OD111">
        <v>0</v>
      </c>
      <c r="OE111">
        <v>0</v>
      </c>
      <c r="OF111">
        <v>0</v>
      </c>
      <c r="OG111">
        <v>0</v>
      </c>
      <c r="OH111">
        <v>0</v>
      </c>
      <c r="OI111">
        <v>0</v>
      </c>
      <c r="OJ111">
        <v>0</v>
      </c>
      <c r="OK111">
        <v>0</v>
      </c>
      <c r="OL111">
        <v>0</v>
      </c>
      <c r="OM111">
        <v>0</v>
      </c>
      <c r="ON111">
        <v>0</v>
      </c>
    </row>
    <row r="112" spans="1:404" x14ac:dyDescent="0.25">
      <c r="A112" t="s">
        <v>400</v>
      </c>
      <c r="B112" t="s">
        <v>401</v>
      </c>
      <c r="C112" t="s">
        <v>399</v>
      </c>
      <c r="E112" t="s">
        <v>61</v>
      </c>
      <c r="F112">
        <v>0</v>
      </c>
      <c r="G112">
        <v>0</v>
      </c>
      <c r="H112">
        <v>0</v>
      </c>
      <c r="I112">
        <v>0</v>
      </c>
      <c r="J112">
        <v>0</v>
      </c>
      <c r="K112">
        <v>0</v>
      </c>
      <c r="L112">
        <v>0</v>
      </c>
      <c r="M112">
        <v>0</v>
      </c>
      <c r="N112">
        <v>0</v>
      </c>
      <c r="O112">
        <v>0</v>
      </c>
      <c r="P112">
        <v>0</v>
      </c>
      <c r="Q112">
        <v>0</v>
      </c>
      <c r="R112">
        <v>0</v>
      </c>
      <c r="S112">
        <v>0</v>
      </c>
      <c r="T112">
        <v>0</v>
      </c>
      <c r="U112">
        <v>0</v>
      </c>
      <c r="V112">
        <v>0</v>
      </c>
      <c r="W112">
        <v>0</v>
      </c>
      <c r="X112">
        <v>0</v>
      </c>
      <c r="Y112">
        <v>35</v>
      </c>
      <c r="Z112">
        <v>0</v>
      </c>
      <c r="AA112">
        <v>175</v>
      </c>
      <c r="AB112">
        <v>0</v>
      </c>
      <c r="AC112">
        <v>0</v>
      </c>
      <c r="AD112">
        <v>15</v>
      </c>
      <c r="AE112">
        <v>0</v>
      </c>
      <c r="AF112">
        <v>0</v>
      </c>
      <c r="AG112">
        <v>0</v>
      </c>
      <c r="AH112">
        <v>0</v>
      </c>
      <c r="AI112">
        <v>225</v>
      </c>
      <c r="AJ112">
        <v>0</v>
      </c>
      <c r="AK112">
        <v>0</v>
      </c>
      <c r="AL112">
        <v>0</v>
      </c>
      <c r="AM112">
        <v>0</v>
      </c>
      <c r="AN112">
        <v>0</v>
      </c>
      <c r="AO112">
        <v>0</v>
      </c>
      <c r="AP112">
        <v>0</v>
      </c>
      <c r="AQ112">
        <v>0</v>
      </c>
      <c r="AR112">
        <v>0</v>
      </c>
      <c r="AS112">
        <v>0</v>
      </c>
      <c r="AT112">
        <v>0</v>
      </c>
      <c r="AU112">
        <v>0</v>
      </c>
      <c r="AV112">
        <v>0</v>
      </c>
      <c r="AW112">
        <v>0</v>
      </c>
      <c r="AX112">
        <v>0</v>
      </c>
      <c r="AY112">
        <v>0</v>
      </c>
      <c r="AZ112">
        <v>0</v>
      </c>
      <c r="BA112">
        <v>0</v>
      </c>
      <c r="BB112">
        <v>0</v>
      </c>
      <c r="BC112">
        <v>0</v>
      </c>
      <c r="BD112">
        <v>0</v>
      </c>
      <c r="BE112">
        <v>0</v>
      </c>
      <c r="BF112">
        <v>0</v>
      </c>
      <c r="BG112">
        <v>0</v>
      </c>
      <c r="BH112">
        <v>0</v>
      </c>
      <c r="BI112">
        <v>0</v>
      </c>
      <c r="BJ112">
        <v>0</v>
      </c>
      <c r="BK112">
        <v>0</v>
      </c>
      <c r="BL112">
        <v>0</v>
      </c>
      <c r="BM112">
        <v>0</v>
      </c>
      <c r="BN112">
        <v>0</v>
      </c>
      <c r="BO112">
        <v>0</v>
      </c>
      <c r="BP112">
        <v>0</v>
      </c>
      <c r="BQ112">
        <v>0</v>
      </c>
      <c r="BR112">
        <v>0</v>
      </c>
      <c r="BS112">
        <v>0</v>
      </c>
      <c r="BT112">
        <v>0</v>
      </c>
      <c r="BU112">
        <v>0</v>
      </c>
      <c r="BV112">
        <v>0</v>
      </c>
      <c r="BW112">
        <v>0</v>
      </c>
      <c r="BX112">
        <v>0</v>
      </c>
      <c r="BY112">
        <v>0</v>
      </c>
      <c r="BZ112">
        <v>0</v>
      </c>
      <c r="CA112">
        <v>0</v>
      </c>
      <c r="CB112">
        <v>0</v>
      </c>
      <c r="CC112">
        <v>0</v>
      </c>
      <c r="CD112">
        <v>0</v>
      </c>
      <c r="CE112">
        <v>0</v>
      </c>
      <c r="CF112">
        <v>0</v>
      </c>
      <c r="CG112">
        <v>0</v>
      </c>
      <c r="CH112">
        <v>0</v>
      </c>
      <c r="CI112">
        <v>0</v>
      </c>
      <c r="CJ112">
        <v>0</v>
      </c>
      <c r="CK112">
        <v>0</v>
      </c>
      <c r="CL112">
        <v>0</v>
      </c>
      <c r="CM112">
        <v>0</v>
      </c>
      <c r="CN112">
        <v>0</v>
      </c>
      <c r="CO112">
        <v>0</v>
      </c>
      <c r="CP112">
        <v>0</v>
      </c>
      <c r="CQ112">
        <v>0</v>
      </c>
      <c r="CR112">
        <v>0</v>
      </c>
      <c r="CS112">
        <v>0</v>
      </c>
      <c r="CT112">
        <v>0</v>
      </c>
      <c r="CU112">
        <v>0</v>
      </c>
      <c r="CV112">
        <v>0</v>
      </c>
      <c r="CW112">
        <v>0</v>
      </c>
      <c r="CX112">
        <v>0</v>
      </c>
      <c r="CY112">
        <v>0</v>
      </c>
      <c r="CZ112">
        <v>0</v>
      </c>
      <c r="DA112">
        <v>0</v>
      </c>
      <c r="DB112">
        <v>0</v>
      </c>
      <c r="DC112">
        <v>531</v>
      </c>
      <c r="DD112">
        <v>0</v>
      </c>
      <c r="DE112">
        <v>0</v>
      </c>
      <c r="DF112">
        <v>0</v>
      </c>
      <c r="DG112">
        <v>0</v>
      </c>
      <c r="DH112">
        <v>0</v>
      </c>
      <c r="DI112">
        <v>0</v>
      </c>
      <c r="DJ112">
        <v>0</v>
      </c>
      <c r="DK112">
        <v>0</v>
      </c>
      <c r="DL112">
        <v>0</v>
      </c>
      <c r="DM112">
        <v>0</v>
      </c>
      <c r="DN112">
        <v>760</v>
      </c>
      <c r="DO112">
        <v>0</v>
      </c>
      <c r="DP112">
        <v>760</v>
      </c>
      <c r="DQ112">
        <v>92</v>
      </c>
      <c r="DR112">
        <v>0</v>
      </c>
      <c r="DS112">
        <v>0</v>
      </c>
      <c r="DT112">
        <v>477</v>
      </c>
      <c r="DU112">
        <v>150</v>
      </c>
      <c r="DV112">
        <v>0</v>
      </c>
      <c r="DW112">
        <v>0</v>
      </c>
      <c r="DX112">
        <v>2010</v>
      </c>
      <c r="DY112">
        <v>0</v>
      </c>
      <c r="DZ112">
        <v>0</v>
      </c>
      <c r="EA112">
        <v>0</v>
      </c>
      <c r="EB112">
        <v>0</v>
      </c>
      <c r="EC112">
        <v>0</v>
      </c>
      <c r="ED112">
        <v>0</v>
      </c>
      <c r="EE112">
        <v>0</v>
      </c>
      <c r="EF112">
        <v>0</v>
      </c>
      <c r="EG112">
        <v>0</v>
      </c>
      <c r="EH112">
        <v>0</v>
      </c>
      <c r="EI112">
        <v>0</v>
      </c>
      <c r="EJ112">
        <v>0</v>
      </c>
      <c r="EK112">
        <v>0</v>
      </c>
      <c r="EL112">
        <v>0</v>
      </c>
      <c r="EM112">
        <v>0</v>
      </c>
      <c r="EN112">
        <v>0</v>
      </c>
      <c r="EO112">
        <v>0</v>
      </c>
      <c r="EP112">
        <v>0</v>
      </c>
      <c r="EQ112">
        <v>0</v>
      </c>
      <c r="ER112">
        <v>0</v>
      </c>
      <c r="ES112">
        <v>0</v>
      </c>
      <c r="ET112">
        <v>0</v>
      </c>
      <c r="EU112">
        <v>0</v>
      </c>
      <c r="EV112">
        <v>0</v>
      </c>
      <c r="EW112">
        <v>0</v>
      </c>
      <c r="EX112">
        <v>1</v>
      </c>
      <c r="EY112">
        <v>0</v>
      </c>
      <c r="EZ112">
        <v>0</v>
      </c>
      <c r="FA112">
        <v>0</v>
      </c>
      <c r="FB112">
        <v>246</v>
      </c>
      <c r="FC112">
        <v>-371</v>
      </c>
      <c r="FD112">
        <v>282</v>
      </c>
      <c r="FE112">
        <v>0</v>
      </c>
      <c r="FF112">
        <v>124</v>
      </c>
      <c r="FG112">
        <v>0</v>
      </c>
      <c r="FH112">
        <v>282</v>
      </c>
      <c r="FI112">
        <v>161</v>
      </c>
      <c r="FJ112">
        <v>0</v>
      </c>
      <c r="FK112">
        <v>0</v>
      </c>
      <c r="FL112">
        <v>211</v>
      </c>
      <c r="FM112">
        <v>520</v>
      </c>
      <c r="FN112">
        <v>199</v>
      </c>
      <c r="FO112">
        <v>36</v>
      </c>
      <c r="FP112">
        <v>0</v>
      </c>
      <c r="FQ112">
        <v>0</v>
      </c>
      <c r="FR112">
        <v>13</v>
      </c>
      <c r="FS112">
        <v>221</v>
      </c>
      <c r="FT112">
        <v>55</v>
      </c>
      <c r="FU112">
        <v>87</v>
      </c>
      <c r="FV112">
        <v>0</v>
      </c>
      <c r="FW112">
        <v>73</v>
      </c>
      <c r="FX112">
        <v>0</v>
      </c>
      <c r="FY112">
        <v>0</v>
      </c>
      <c r="FZ112">
        <v>0</v>
      </c>
      <c r="GA112">
        <v>515</v>
      </c>
      <c r="GB112">
        <v>0</v>
      </c>
      <c r="GC112">
        <v>0</v>
      </c>
      <c r="GD112">
        <v>738</v>
      </c>
      <c r="GE112">
        <v>1306</v>
      </c>
      <c r="GF112">
        <v>0</v>
      </c>
      <c r="GG112">
        <v>0</v>
      </c>
      <c r="GH112">
        <v>1112</v>
      </c>
      <c r="GI112">
        <v>0</v>
      </c>
      <c r="GJ112">
        <v>0</v>
      </c>
      <c r="GK112">
        <v>5247</v>
      </c>
      <c r="GL112">
        <v>225</v>
      </c>
      <c r="GM112">
        <v>582</v>
      </c>
      <c r="GN112">
        <v>64</v>
      </c>
      <c r="GO112">
        <v>188</v>
      </c>
      <c r="GP112">
        <v>0</v>
      </c>
      <c r="GQ112">
        <v>101</v>
      </c>
      <c r="GR112">
        <v>0</v>
      </c>
      <c r="GS112">
        <v>10</v>
      </c>
      <c r="GT112">
        <v>176</v>
      </c>
      <c r="GU112">
        <v>1346</v>
      </c>
      <c r="GV112">
        <v>6875</v>
      </c>
      <c r="GW112">
        <v>0</v>
      </c>
      <c r="GX112">
        <v>0</v>
      </c>
      <c r="GY112">
        <v>0</v>
      </c>
      <c r="GZ112">
        <v>0</v>
      </c>
      <c r="HA112">
        <v>0</v>
      </c>
      <c r="HB112">
        <v>1076</v>
      </c>
      <c r="HC112">
        <v>639</v>
      </c>
      <c r="HD112">
        <v>0</v>
      </c>
      <c r="HE112">
        <v>0</v>
      </c>
      <c r="HF112">
        <v>0</v>
      </c>
      <c r="HG112">
        <v>102</v>
      </c>
      <c r="HH112">
        <v>0</v>
      </c>
      <c r="HI112">
        <v>0</v>
      </c>
      <c r="HJ112">
        <v>78</v>
      </c>
      <c r="HK112">
        <v>70</v>
      </c>
      <c r="HL112">
        <v>41</v>
      </c>
      <c r="HM112">
        <v>19</v>
      </c>
      <c r="HN112">
        <v>0</v>
      </c>
      <c r="HO112">
        <v>0</v>
      </c>
      <c r="HP112">
        <v>0</v>
      </c>
      <c r="HQ112">
        <v>0</v>
      </c>
      <c r="HR112">
        <v>555</v>
      </c>
      <c r="HS112">
        <v>0</v>
      </c>
      <c r="HT112">
        <v>0</v>
      </c>
      <c r="HU112">
        <v>-3827</v>
      </c>
      <c r="HV112">
        <v>-1247</v>
      </c>
      <c r="HW112">
        <v>2981</v>
      </c>
      <c r="HX112">
        <v>0</v>
      </c>
      <c r="HY112">
        <v>0</v>
      </c>
      <c r="HZ112">
        <v>0</v>
      </c>
      <c r="IA112">
        <v>4917</v>
      </c>
      <c r="IB112">
        <v>0</v>
      </c>
      <c r="IC112">
        <v>0</v>
      </c>
      <c r="ID112">
        <v>225</v>
      </c>
      <c r="IE112">
        <v>0</v>
      </c>
      <c r="IF112">
        <v>0</v>
      </c>
      <c r="IG112">
        <v>0</v>
      </c>
      <c r="IH112">
        <v>2010</v>
      </c>
      <c r="II112">
        <v>282</v>
      </c>
      <c r="IJ112">
        <v>5247</v>
      </c>
      <c r="IK112">
        <v>1346</v>
      </c>
      <c r="IL112">
        <v>0</v>
      </c>
      <c r="IM112">
        <v>0</v>
      </c>
      <c r="IN112">
        <v>-1247</v>
      </c>
      <c r="IO112">
        <v>0</v>
      </c>
      <c r="IP112">
        <v>7863</v>
      </c>
      <c r="IQ112">
        <v>12559</v>
      </c>
      <c r="IR112">
        <v>0</v>
      </c>
      <c r="IS112">
        <v>0</v>
      </c>
      <c r="IT112">
        <v>0</v>
      </c>
      <c r="IU112">
        <v>0</v>
      </c>
      <c r="IV112">
        <v>2521</v>
      </c>
      <c r="IW112">
        <v>0</v>
      </c>
      <c r="IX112">
        <v>0</v>
      </c>
      <c r="IY112">
        <v>0</v>
      </c>
      <c r="IZ112">
        <v>0</v>
      </c>
      <c r="JA112">
        <v>-187</v>
      </c>
      <c r="JB112">
        <v>0</v>
      </c>
      <c r="JC112">
        <v>0</v>
      </c>
      <c r="JD112">
        <v>0</v>
      </c>
      <c r="JE112">
        <v>0</v>
      </c>
      <c r="JF112">
        <v>0</v>
      </c>
      <c r="JG112">
        <v>22756</v>
      </c>
      <c r="JH112">
        <v>0</v>
      </c>
      <c r="JI112">
        <v>0</v>
      </c>
      <c r="JJ112">
        <v>0</v>
      </c>
      <c r="JK112">
        <v>0</v>
      </c>
      <c r="JL112">
        <v>0</v>
      </c>
      <c r="JM112">
        <v>0</v>
      </c>
      <c r="JN112">
        <v>381</v>
      </c>
      <c r="JO112">
        <v>0</v>
      </c>
      <c r="JP112">
        <v>0</v>
      </c>
      <c r="JQ112">
        <v>0</v>
      </c>
      <c r="JR112">
        <v>23137</v>
      </c>
      <c r="JS112">
        <v>-201</v>
      </c>
      <c r="JT112">
        <v>0</v>
      </c>
      <c r="JU112">
        <v>0</v>
      </c>
      <c r="JV112">
        <v>0</v>
      </c>
      <c r="JW112">
        <v>-12724</v>
      </c>
      <c r="JX112">
        <v>0</v>
      </c>
      <c r="JY112">
        <v>-2881</v>
      </c>
      <c r="JZ112">
        <v>0</v>
      </c>
      <c r="KA112">
        <v>0</v>
      </c>
      <c r="KB112">
        <v>0</v>
      </c>
      <c r="KC112">
        <v>7331</v>
      </c>
      <c r="KD112">
        <v>0</v>
      </c>
      <c r="KE112">
        <v>-3211</v>
      </c>
      <c r="KF112">
        <v>4120</v>
      </c>
      <c r="KG112">
        <v>0</v>
      </c>
      <c r="KH112">
        <v>0</v>
      </c>
      <c r="KI112">
        <v>0</v>
      </c>
      <c r="KJ112">
        <v>0</v>
      </c>
      <c r="KK112">
        <v>5833</v>
      </c>
      <c r="KL112">
        <v>5</v>
      </c>
      <c r="KM112">
        <v>-12</v>
      </c>
      <c r="KN112">
        <v>0</v>
      </c>
      <c r="KO112">
        <v>-5106</v>
      </c>
      <c r="KP112">
        <v>-2</v>
      </c>
      <c r="KQ112">
        <v>4162</v>
      </c>
      <c r="KR112">
        <v>6776</v>
      </c>
      <c r="KS112">
        <v>0</v>
      </c>
      <c r="KT112">
        <v>0</v>
      </c>
      <c r="KU112">
        <v>0</v>
      </c>
      <c r="KV112">
        <v>18132</v>
      </c>
      <c r="KW112">
        <v>1045</v>
      </c>
      <c r="KX112">
        <v>0</v>
      </c>
      <c r="KY112">
        <v>0</v>
      </c>
      <c r="KZ112">
        <v>0</v>
      </c>
      <c r="LA112">
        <v>23965</v>
      </c>
      <c r="LB112">
        <v>1050</v>
      </c>
      <c r="LC112">
        <v>0</v>
      </c>
      <c r="LD112">
        <v>1150</v>
      </c>
      <c r="LE112">
        <v>1985</v>
      </c>
      <c r="LF112">
        <v>0</v>
      </c>
      <c r="LG112">
        <v>0</v>
      </c>
      <c r="LH112">
        <v>317</v>
      </c>
      <c r="LI112">
        <v>3452</v>
      </c>
      <c r="LJ112">
        <v>1975</v>
      </c>
      <c r="LK112">
        <v>2254</v>
      </c>
      <c r="LL112">
        <v>4229</v>
      </c>
      <c r="LM112">
        <v>0</v>
      </c>
      <c r="LN112">
        <v>0</v>
      </c>
      <c r="LO112">
        <v>0</v>
      </c>
      <c r="LP112">
        <v>0</v>
      </c>
      <c r="LQ112">
        <v>0</v>
      </c>
      <c r="LR112">
        <v>0</v>
      </c>
      <c r="LS112">
        <v>0</v>
      </c>
      <c r="LT112">
        <v>0</v>
      </c>
      <c r="LU112">
        <v>0</v>
      </c>
      <c r="LV112">
        <v>225</v>
      </c>
      <c r="LW112">
        <v>0</v>
      </c>
      <c r="LX112">
        <v>0</v>
      </c>
      <c r="LY112">
        <v>0</v>
      </c>
      <c r="LZ112">
        <v>2010</v>
      </c>
      <c r="MA112">
        <v>282</v>
      </c>
      <c r="MB112">
        <v>5247</v>
      </c>
      <c r="MC112">
        <v>1346</v>
      </c>
      <c r="MD112">
        <v>0</v>
      </c>
      <c r="ME112">
        <v>0</v>
      </c>
      <c r="MF112">
        <v>-1247</v>
      </c>
      <c r="MG112">
        <v>0</v>
      </c>
      <c r="MH112">
        <v>7863</v>
      </c>
      <c r="MI112">
        <v>0</v>
      </c>
      <c r="MJ112">
        <v>0</v>
      </c>
      <c r="MK112">
        <v>0</v>
      </c>
      <c r="ML112">
        <v>0</v>
      </c>
      <c r="MM112">
        <v>0</v>
      </c>
      <c r="MN112">
        <v>0</v>
      </c>
      <c r="MO112">
        <v>0</v>
      </c>
      <c r="MP112">
        <v>0</v>
      </c>
      <c r="MQ112">
        <v>0</v>
      </c>
      <c r="MR112">
        <v>0</v>
      </c>
      <c r="MS112">
        <v>0</v>
      </c>
      <c r="MT112">
        <v>0</v>
      </c>
      <c r="MU112">
        <v>0</v>
      </c>
      <c r="MV112">
        <v>-102</v>
      </c>
      <c r="MW112">
        <v>0</v>
      </c>
      <c r="MX112">
        <v>-18</v>
      </c>
      <c r="MY112">
        <v>-67</v>
      </c>
      <c r="MZ112">
        <v>0</v>
      </c>
      <c r="NA112">
        <v>-187</v>
      </c>
      <c r="NB112">
        <v>0</v>
      </c>
      <c r="NC112">
        <v>-187</v>
      </c>
      <c r="ND112">
        <v>0</v>
      </c>
      <c r="NE112">
        <v>0</v>
      </c>
      <c r="NF112">
        <v>0</v>
      </c>
      <c r="NG112">
        <v>0</v>
      </c>
      <c r="NH112">
        <v>0</v>
      </c>
      <c r="NI112">
        <v>0</v>
      </c>
      <c r="NJ112">
        <v>0</v>
      </c>
      <c r="NK112">
        <v>0</v>
      </c>
      <c r="NL112">
        <v>0</v>
      </c>
      <c r="NM112">
        <v>0</v>
      </c>
      <c r="NN112">
        <v>0</v>
      </c>
      <c r="NO112">
        <v>0</v>
      </c>
      <c r="NP112">
        <v>0</v>
      </c>
      <c r="NQ112">
        <v>0</v>
      </c>
      <c r="NR112">
        <v>0</v>
      </c>
      <c r="NS112">
        <v>0</v>
      </c>
      <c r="NT112">
        <v>0</v>
      </c>
      <c r="NU112">
        <v>0</v>
      </c>
      <c r="NV112">
        <v>0</v>
      </c>
      <c r="NW112">
        <v>0</v>
      </c>
      <c r="NX112">
        <v>0</v>
      </c>
      <c r="NY112">
        <v>0</v>
      </c>
      <c r="NZ112">
        <v>0</v>
      </c>
      <c r="OA112">
        <v>0</v>
      </c>
      <c r="OB112">
        <v>0</v>
      </c>
      <c r="OC112">
        <v>0</v>
      </c>
      <c r="OD112">
        <v>0</v>
      </c>
      <c r="OE112">
        <v>0</v>
      </c>
      <c r="OF112">
        <v>0</v>
      </c>
      <c r="OG112">
        <v>0</v>
      </c>
      <c r="OH112">
        <v>0</v>
      </c>
      <c r="OI112">
        <v>0</v>
      </c>
      <c r="OJ112">
        <v>0</v>
      </c>
      <c r="OK112">
        <v>0</v>
      </c>
      <c r="OL112">
        <v>0</v>
      </c>
      <c r="OM112">
        <v>0</v>
      </c>
      <c r="ON112">
        <v>0</v>
      </c>
    </row>
    <row r="113" spans="1:404" x14ac:dyDescent="0.25">
      <c r="A113" t="s">
        <v>403</v>
      </c>
      <c r="B113" t="s">
        <v>404</v>
      </c>
      <c r="C113" t="s">
        <v>402</v>
      </c>
      <c r="E113" t="s">
        <v>61</v>
      </c>
      <c r="F113">
        <v>0</v>
      </c>
      <c r="G113">
        <v>0</v>
      </c>
      <c r="H113">
        <v>0</v>
      </c>
      <c r="I113">
        <v>0</v>
      </c>
      <c r="J113">
        <v>0</v>
      </c>
      <c r="K113">
        <v>0</v>
      </c>
      <c r="L113">
        <v>0</v>
      </c>
      <c r="M113">
        <v>0</v>
      </c>
      <c r="N113">
        <v>0</v>
      </c>
      <c r="O113">
        <v>0</v>
      </c>
      <c r="P113">
        <v>5</v>
      </c>
      <c r="Q113">
        <v>0</v>
      </c>
      <c r="R113">
        <v>0</v>
      </c>
      <c r="S113">
        <v>0</v>
      </c>
      <c r="T113">
        <v>0</v>
      </c>
      <c r="U113">
        <v>0</v>
      </c>
      <c r="V113">
        <v>0</v>
      </c>
      <c r="W113">
        <v>0</v>
      </c>
      <c r="X113">
        <v>0</v>
      </c>
      <c r="Y113">
        <v>0</v>
      </c>
      <c r="Z113">
        <v>0</v>
      </c>
      <c r="AA113">
        <v>-2256</v>
      </c>
      <c r="AB113">
        <v>0</v>
      </c>
      <c r="AC113">
        <v>0</v>
      </c>
      <c r="AD113">
        <v>0</v>
      </c>
      <c r="AE113">
        <v>0</v>
      </c>
      <c r="AF113">
        <v>0</v>
      </c>
      <c r="AG113">
        <v>5</v>
      </c>
      <c r="AH113">
        <v>0</v>
      </c>
      <c r="AI113">
        <v>-2246</v>
      </c>
      <c r="AJ113">
        <v>0</v>
      </c>
      <c r="AK113">
        <v>0</v>
      </c>
      <c r="AL113">
        <v>0</v>
      </c>
      <c r="AM113">
        <v>0</v>
      </c>
      <c r="AN113">
        <v>0</v>
      </c>
      <c r="AO113">
        <v>0</v>
      </c>
      <c r="AP113">
        <v>0</v>
      </c>
      <c r="AQ113">
        <v>0</v>
      </c>
      <c r="AR113">
        <v>0</v>
      </c>
      <c r="AS113">
        <v>0</v>
      </c>
      <c r="AT113">
        <v>0</v>
      </c>
      <c r="AU113">
        <v>0</v>
      </c>
      <c r="AV113">
        <v>0</v>
      </c>
      <c r="AW113">
        <v>0</v>
      </c>
      <c r="AX113">
        <v>0</v>
      </c>
      <c r="AY113">
        <v>0</v>
      </c>
      <c r="AZ113">
        <v>0</v>
      </c>
      <c r="BA113">
        <v>0</v>
      </c>
      <c r="BB113">
        <v>0</v>
      </c>
      <c r="BC113">
        <v>0</v>
      </c>
      <c r="BD113">
        <v>0</v>
      </c>
      <c r="BE113">
        <v>0</v>
      </c>
      <c r="BF113">
        <v>0</v>
      </c>
      <c r="BG113">
        <v>0</v>
      </c>
      <c r="BH113">
        <v>0</v>
      </c>
      <c r="BI113">
        <v>0</v>
      </c>
      <c r="BJ113">
        <v>0</v>
      </c>
      <c r="BK113">
        <v>0</v>
      </c>
      <c r="BL113">
        <v>0</v>
      </c>
      <c r="BM113">
        <v>0</v>
      </c>
      <c r="BN113">
        <v>0</v>
      </c>
      <c r="BO113">
        <v>0</v>
      </c>
      <c r="BP113">
        <v>0</v>
      </c>
      <c r="BQ113">
        <v>0</v>
      </c>
      <c r="BR113">
        <v>0</v>
      </c>
      <c r="BS113">
        <v>0</v>
      </c>
      <c r="BT113">
        <v>0</v>
      </c>
      <c r="BU113">
        <v>0</v>
      </c>
      <c r="BV113">
        <v>0</v>
      </c>
      <c r="BW113">
        <v>0</v>
      </c>
      <c r="BX113">
        <v>0</v>
      </c>
      <c r="BY113">
        <v>0</v>
      </c>
      <c r="BZ113">
        <v>0</v>
      </c>
      <c r="CA113">
        <v>0</v>
      </c>
      <c r="CB113">
        <v>0</v>
      </c>
      <c r="CC113">
        <v>0</v>
      </c>
      <c r="CD113">
        <v>0</v>
      </c>
      <c r="CE113">
        <v>0</v>
      </c>
      <c r="CF113">
        <v>0</v>
      </c>
      <c r="CG113">
        <v>0</v>
      </c>
      <c r="CH113">
        <v>0</v>
      </c>
      <c r="CI113">
        <v>0</v>
      </c>
      <c r="CJ113">
        <v>0</v>
      </c>
      <c r="CK113">
        <v>0</v>
      </c>
      <c r="CL113">
        <v>0</v>
      </c>
      <c r="CM113">
        <v>0</v>
      </c>
      <c r="CN113">
        <v>0</v>
      </c>
      <c r="CO113">
        <v>0</v>
      </c>
      <c r="CP113">
        <v>49</v>
      </c>
      <c r="CQ113">
        <v>0</v>
      </c>
      <c r="CR113">
        <v>0</v>
      </c>
      <c r="CS113">
        <v>154</v>
      </c>
      <c r="CT113">
        <v>0</v>
      </c>
      <c r="CU113">
        <v>0</v>
      </c>
      <c r="CV113">
        <v>247</v>
      </c>
      <c r="CW113">
        <v>0</v>
      </c>
      <c r="CX113">
        <v>0</v>
      </c>
      <c r="CY113">
        <v>0</v>
      </c>
      <c r="CZ113">
        <v>0</v>
      </c>
      <c r="DA113">
        <v>0</v>
      </c>
      <c r="DB113">
        <v>0</v>
      </c>
      <c r="DC113">
        <v>29</v>
      </c>
      <c r="DD113">
        <v>0</v>
      </c>
      <c r="DE113">
        <v>0</v>
      </c>
      <c r="DF113">
        <v>-1</v>
      </c>
      <c r="DG113">
        <v>0</v>
      </c>
      <c r="DH113">
        <v>6</v>
      </c>
      <c r="DI113">
        <v>0</v>
      </c>
      <c r="DJ113">
        <v>391</v>
      </c>
      <c r="DK113">
        <v>0</v>
      </c>
      <c r="DL113">
        <v>0</v>
      </c>
      <c r="DM113">
        <v>0</v>
      </c>
      <c r="DN113">
        <v>719</v>
      </c>
      <c r="DO113">
        <v>0</v>
      </c>
      <c r="DP113">
        <v>1116</v>
      </c>
      <c r="DQ113">
        <v>0</v>
      </c>
      <c r="DR113">
        <v>0</v>
      </c>
      <c r="DS113">
        <v>0</v>
      </c>
      <c r="DT113">
        <v>1059</v>
      </c>
      <c r="DU113">
        <v>0</v>
      </c>
      <c r="DV113">
        <v>0</v>
      </c>
      <c r="DW113">
        <v>0</v>
      </c>
      <c r="DX113">
        <v>2203</v>
      </c>
      <c r="DY113">
        <v>17830</v>
      </c>
      <c r="DZ113">
        <v>211</v>
      </c>
      <c r="EA113">
        <v>620</v>
      </c>
      <c r="EB113">
        <v>129</v>
      </c>
      <c r="EC113">
        <v>0</v>
      </c>
      <c r="ED113">
        <v>14</v>
      </c>
      <c r="EE113">
        <v>0</v>
      </c>
      <c r="EF113">
        <v>0</v>
      </c>
      <c r="EG113">
        <v>0</v>
      </c>
      <c r="EH113">
        <v>4452</v>
      </c>
      <c r="EI113">
        <v>6191</v>
      </c>
      <c r="EJ113">
        <v>129</v>
      </c>
      <c r="EK113">
        <v>27</v>
      </c>
      <c r="EL113">
        <v>2562</v>
      </c>
      <c r="EM113">
        <v>0</v>
      </c>
      <c r="EN113">
        <v>1561</v>
      </c>
      <c r="EO113">
        <v>0</v>
      </c>
      <c r="EP113">
        <v>0</v>
      </c>
      <c r="EQ113">
        <v>2032</v>
      </c>
      <c r="ER113">
        <v>6</v>
      </c>
      <c r="ES113">
        <v>12474</v>
      </c>
      <c r="ET113">
        <v>14318</v>
      </c>
      <c r="EU113">
        <v>0</v>
      </c>
      <c r="EV113">
        <v>53</v>
      </c>
      <c r="EW113">
        <v>3</v>
      </c>
      <c r="EX113">
        <v>162</v>
      </c>
      <c r="EY113">
        <v>38</v>
      </c>
      <c r="EZ113">
        <v>51</v>
      </c>
      <c r="FA113">
        <v>-73</v>
      </c>
      <c r="FB113">
        <v>0</v>
      </c>
      <c r="FC113">
        <v>1711</v>
      </c>
      <c r="FD113">
        <v>2171</v>
      </c>
      <c r="FE113">
        <v>0</v>
      </c>
      <c r="FF113">
        <v>0</v>
      </c>
      <c r="FG113">
        <v>0</v>
      </c>
      <c r="FH113">
        <v>4116</v>
      </c>
      <c r="FI113">
        <v>111</v>
      </c>
      <c r="FJ113">
        <v>0</v>
      </c>
      <c r="FK113">
        <v>87</v>
      </c>
      <c r="FL113">
        <v>185</v>
      </c>
      <c r="FM113">
        <v>380</v>
      </c>
      <c r="FN113">
        <v>240</v>
      </c>
      <c r="FO113">
        <v>149</v>
      </c>
      <c r="FP113">
        <v>0</v>
      </c>
      <c r="FQ113">
        <v>0</v>
      </c>
      <c r="FR113">
        <v>36</v>
      </c>
      <c r="FS113">
        <v>623</v>
      </c>
      <c r="FT113">
        <v>0</v>
      </c>
      <c r="FU113">
        <v>126</v>
      </c>
      <c r="FV113">
        <v>-106</v>
      </c>
      <c r="FW113">
        <v>209</v>
      </c>
      <c r="FX113">
        <v>6</v>
      </c>
      <c r="FY113">
        <v>104</v>
      </c>
      <c r="FZ113">
        <v>0</v>
      </c>
      <c r="GA113">
        <v>0</v>
      </c>
      <c r="GB113">
        <v>86</v>
      </c>
      <c r="GC113">
        <v>-8</v>
      </c>
      <c r="GD113">
        <v>1863</v>
      </c>
      <c r="GE113">
        <v>1359</v>
      </c>
      <c r="GF113">
        <v>0</v>
      </c>
      <c r="GG113">
        <v>0</v>
      </c>
      <c r="GH113">
        <v>2176</v>
      </c>
      <c r="GI113">
        <v>0</v>
      </c>
      <c r="GJ113">
        <v>80</v>
      </c>
      <c r="GK113">
        <v>7706</v>
      </c>
      <c r="GL113">
        <v>190</v>
      </c>
      <c r="GM113">
        <v>1384</v>
      </c>
      <c r="GN113">
        <v>0</v>
      </c>
      <c r="GO113">
        <v>569</v>
      </c>
      <c r="GP113">
        <v>138</v>
      </c>
      <c r="GQ113">
        <v>733</v>
      </c>
      <c r="GR113">
        <v>0</v>
      </c>
      <c r="GS113">
        <v>72</v>
      </c>
      <c r="GT113">
        <v>306</v>
      </c>
      <c r="GU113">
        <v>3392</v>
      </c>
      <c r="GV113">
        <v>15214</v>
      </c>
      <c r="GW113">
        <v>0</v>
      </c>
      <c r="GX113">
        <v>0</v>
      </c>
      <c r="GY113">
        <v>0</v>
      </c>
      <c r="GZ113">
        <v>0</v>
      </c>
      <c r="HA113">
        <v>0</v>
      </c>
      <c r="HB113">
        <v>2228</v>
      </c>
      <c r="HC113">
        <v>743</v>
      </c>
      <c r="HD113">
        <v>0</v>
      </c>
      <c r="HE113">
        <v>0</v>
      </c>
      <c r="HF113">
        <v>15</v>
      </c>
      <c r="HG113">
        <v>56</v>
      </c>
      <c r="HH113">
        <v>0</v>
      </c>
      <c r="HI113">
        <v>0</v>
      </c>
      <c r="HJ113">
        <v>300</v>
      </c>
      <c r="HK113">
        <v>306</v>
      </c>
      <c r="HL113">
        <v>28</v>
      </c>
      <c r="HM113">
        <v>-61</v>
      </c>
      <c r="HN113">
        <v>56</v>
      </c>
      <c r="HO113">
        <v>194</v>
      </c>
      <c r="HP113">
        <v>0</v>
      </c>
      <c r="HQ113">
        <v>0</v>
      </c>
      <c r="HR113">
        <v>64</v>
      </c>
      <c r="HS113">
        <v>0</v>
      </c>
      <c r="HT113">
        <v>0</v>
      </c>
      <c r="HU113">
        <v>305</v>
      </c>
      <c r="HV113">
        <v>4234</v>
      </c>
      <c r="HW113">
        <v>1236</v>
      </c>
      <c r="HX113">
        <v>0</v>
      </c>
      <c r="HY113">
        <v>0</v>
      </c>
      <c r="HZ113">
        <v>0</v>
      </c>
      <c r="IA113">
        <v>0</v>
      </c>
      <c r="IB113">
        <v>0</v>
      </c>
      <c r="IC113">
        <v>0</v>
      </c>
      <c r="ID113">
        <v>-2246</v>
      </c>
      <c r="IE113">
        <v>0</v>
      </c>
      <c r="IF113">
        <v>0</v>
      </c>
      <c r="IG113">
        <v>247</v>
      </c>
      <c r="IH113">
        <v>2203</v>
      </c>
      <c r="II113">
        <v>4116</v>
      </c>
      <c r="IJ113">
        <v>7706</v>
      </c>
      <c r="IK113">
        <v>3392</v>
      </c>
      <c r="IL113">
        <v>0</v>
      </c>
      <c r="IM113">
        <v>0</v>
      </c>
      <c r="IN113">
        <v>4234</v>
      </c>
      <c r="IO113">
        <v>0</v>
      </c>
      <c r="IP113">
        <v>19652</v>
      </c>
      <c r="IQ113">
        <v>14437</v>
      </c>
      <c r="IR113">
        <v>0</v>
      </c>
      <c r="IS113">
        <v>7253</v>
      </c>
      <c r="IT113">
        <v>0</v>
      </c>
      <c r="IU113">
        <v>0</v>
      </c>
      <c r="IV113">
        <v>4355</v>
      </c>
      <c r="IW113">
        <v>0</v>
      </c>
      <c r="IX113">
        <v>0</v>
      </c>
      <c r="IY113">
        <v>0</v>
      </c>
      <c r="IZ113">
        <v>0</v>
      </c>
      <c r="JA113">
        <v>-352</v>
      </c>
      <c r="JB113">
        <v>0</v>
      </c>
      <c r="JC113">
        <v>0</v>
      </c>
      <c r="JD113">
        <v>0</v>
      </c>
      <c r="JE113">
        <v>7</v>
      </c>
      <c r="JF113">
        <v>0</v>
      </c>
      <c r="JG113">
        <v>45352</v>
      </c>
      <c r="JH113">
        <v>0</v>
      </c>
      <c r="JI113">
        <v>964</v>
      </c>
      <c r="JJ113">
        <v>0</v>
      </c>
      <c r="JK113">
        <v>0</v>
      </c>
      <c r="JL113">
        <v>0</v>
      </c>
      <c r="JM113">
        <v>0</v>
      </c>
      <c r="JN113">
        <v>423</v>
      </c>
      <c r="JO113">
        <v>0</v>
      </c>
      <c r="JP113">
        <v>2633</v>
      </c>
      <c r="JQ113">
        <v>-2562</v>
      </c>
      <c r="JR113">
        <v>46810</v>
      </c>
      <c r="JS113">
        <v>-563</v>
      </c>
      <c r="JT113">
        <v>0</v>
      </c>
      <c r="JU113">
        <v>0</v>
      </c>
      <c r="JV113">
        <v>0</v>
      </c>
      <c r="JW113">
        <v>-22715</v>
      </c>
      <c r="JX113">
        <v>0</v>
      </c>
      <c r="JY113">
        <v>0</v>
      </c>
      <c r="JZ113">
        <v>0</v>
      </c>
      <c r="KA113">
        <v>0</v>
      </c>
      <c r="KB113">
        <v>0</v>
      </c>
      <c r="KC113">
        <v>23533</v>
      </c>
      <c r="KD113">
        <v>0</v>
      </c>
      <c r="KE113">
        <v>-5486</v>
      </c>
      <c r="KF113">
        <v>18047</v>
      </c>
      <c r="KG113">
        <v>0</v>
      </c>
      <c r="KH113">
        <v>0</v>
      </c>
      <c r="KI113">
        <v>0</v>
      </c>
      <c r="KJ113">
        <v>0</v>
      </c>
      <c r="KK113">
        <v>89</v>
      </c>
      <c r="KL113">
        <v>-436</v>
      </c>
      <c r="KM113">
        <v>0</v>
      </c>
      <c r="KN113">
        <v>0</v>
      </c>
      <c r="KO113">
        <v>0</v>
      </c>
      <c r="KP113">
        <v>-367</v>
      </c>
      <c r="KQ113">
        <v>1719</v>
      </c>
      <c r="KR113">
        <v>13475</v>
      </c>
      <c r="KS113">
        <v>0</v>
      </c>
      <c r="KT113">
        <v>0</v>
      </c>
      <c r="KU113">
        <v>0</v>
      </c>
      <c r="KV113">
        <v>20965</v>
      </c>
      <c r="KW113">
        <v>15041</v>
      </c>
      <c r="KX113">
        <v>0</v>
      </c>
      <c r="KY113">
        <v>0</v>
      </c>
      <c r="KZ113">
        <v>0</v>
      </c>
      <c r="LA113">
        <v>21054</v>
      </c>
      <c r="LB113">
        <v>14605</v>
      </c>
      <c r="LC113">
        <v>0</v>
      </c>
      <c r="LD113">
        <v>3271</v>
      </c>
      <c r="LE113">
        <v>791</v>
      </c>
      <c r="LF113">
        <v>-218</v>
      </c>
      <c r="LG113">
        <v>-4347</v>
      </c>
      <c r="LH113">
        <v>2935</v>
      </c>
      <c r="LI113">
        <v>2867</v>
      </c>
      <c r="LJ113">
        <v>4649</v>
      </c>
      <c r="LK113">
        <v>4685</v>
      </c>
      <c r="LL113">
        <v>9334</v>
      </c>
      <c r="LM113">
        <v>0</v>
      </c>
      <c r="LN113">
        <v>0</v>
      </c>
      <c r="LO113">
        <v>0</v>
      </c>
      <c r="LP113">
        <v>18804</v>
      </c>
      <c r="LQ113">
        <v>16960</v>
      </c>
      <c r="LR113">
        <v>1844</v>
      </c>
      <c r="LS113">
        <v>12474</v>
      </c>
      <c r="LT113">
        <v>14318</v>
      </c>
      <c r="LU113">
        <v>0</v>
      </c>
      <c r="LV113">
        <v>-2246</v>
      </c>
      <c r="LW113">
        <v>0</v>
      </c>
      <c r="LX113">
        <v>0</v>
      </c>
      <c r="LY113">
        <v>247</v>
      </c>
      <c r="LZ113">
        <v>2203</v>
      </c>
      <c r="MA113">
        <v>4116</v>
      </c>
      <c r="MB113">
        <v>7706</v>
      </c>
      <c r="MC113">
        <v>3392</v>
      </c>
      <c r="MD113">
        <v>0</v>
      </c>
      <c r="ME113">
        <v>0</v>
      </c>
      <c r="MF113">
        <v>4234</v>
      </c>
      <c r="MG113">
        <v>0</v>
      </c>
      <c r="MH113">
        <v>19652</v>
      </c>
      <c r="MI113">
        <v>0</v>
      </c>
      <c r="MJ113">
        <v>0</v>
      </c>
      <c r="MK113">
        <v>0</v>
      </c>
      <c r="ML113">
        <v>0</v>
      </c>
      <c r="MM113">
        <v>0</v>
      </c>
      <c r="MN113">
        <v>0</v>
      </c>
      <c r="MO113">
        <v>0</v>
      </c>
      <c r="MP113">
        <v>0</v>
      </c>
      <c r="MQ113">
        <v>0</v>
      </c>
      <c r="MR113">
        <v>0</v>
      </c>
      <c r="MS113">
        <v>0</v>
      </c>
      <c r="MT113">
        <v>0</v>
      </c>
      <c r="MU113">
        <v>0</v>
      </c>
      <c r="MV113">
        <v>-35</v>
      </c>
      <c r="MW113">
        <v>0</v>
      </c>
      <c r="MX113">
        <v>-179</v>
      </c>
      <c r="MY113">
        <v>0</v>
      </c>
      <c r="MZ113">
        <v>0</v>
      </c>
      <c r="NA113">
        <v>-352</v>
      </c>
      <c r="NB113">
        <v>0</v>
      </c>
      <c r="NC113">
        <v>-352</v>
      </c>
      <c r="ND113">
        <v>0</v>
      </c>
      <c r="NE113">
        <v>0</v>
      </c>
      <c r="NF113">
        <v>0</v>
      </c>
      <c r="NG113">
        <v>0</v>
      </c>
      <c r="NH113">
        <v>0</v>
      </c>
      <c r="NI113">
        <v>0</v>
      </c>
      <c r="NJ113">
        <v>0</v>
      </c>
      <c r="NK113">
        <v>0</v>
      </c>
      <c r="NL113">
        <v>0</v>
      </c>
      <c r="NM113">
        <v>0</v>
      </c>
      <c r="NN113">
        <v>0</v>
      </c>
      <c r="NO113">
        <v>0</v>
      </c>
      <c r="NP113">
        <v>0</v>
      </c>
      <c r="NQ113">
        <v>0</v>
      </c>
      <c r="NR113">
        <v>0</v>
      </c>
      <c r="NS113">
        <v>0</v>
      </c>
      <c r="NT113">
        <v>0</v>
      </c>
      <c r="NU113">
        <v>0</v>
      </c>
      <c r="NV113">
        <v>0</v>
      </c>
      <c r="NW113">
        <v>0</v>
      </c>
      <c r="NX113">
        <v>0</v>
      </c>
      <c r="NY113">
        <v>0</v>
      </c>
      <c r="NZ113">
        <v>0</v>
      </c>
      <c r="OA113">
        <v>0</v>
      </c>
      <c r="OB113">
        <v>0</v>
      </c>
      <c r="OC113">
        <v>0</v>
      </c>
      <c r="OD113">
        <v>0</v>
      </c>
      <c r="OE113">
        <v>0</v>
      </c>
      <c r="OF113">
        <v>0</v>
      </c>
      <c r="OG113">
        <v>0</v>
      </c>
      <c r="OH113">
        <v>0</v>
      </c>
      <c r="OI113">
        <v>0</v>
      </c>
      <c r="OJ113">
        <v>0</v>
      </c>
      <c r="OK113">
        <v>0</v>
      </c>
      <c r="OL113">
        <v>0</v>
      </c>
      <c r="OM113">
        <v>0</v>
      </c>
      <c r="ON113">
        <v>0</v>
      </c>
    </row>
    <row r="114" spans="1:404" x14ac:dyDescent="0.25">
      <c r="A114" t="s">
        <v>406</v>
      </c>
      <c r="B114" t="s">
        <v>407</v>
      </c>
      <c r="C114" t="s">
        <v>405</v>
      </c>
      <c r="E114" t="s">
        <v>61</v>
      </c>
      <c r="F114">
        <v>0</v>
      </c>
      <c r="G114">
        <v>0</v>
      </c>
      <c r="H114">
        <v>0</v>
      </c>
      <c r="I114">
        <v>0</v>
      </c>
      <c r="J114">
        <v>0</v>
      </c>
      <c r="K114">
        <v>0</v>
      </c>
      <c r="L114">
        <v>0</v>
      </c>
      <c r="M114">
        <v>0</v>
      </c>
      <c r="N114">
        <v>0</v>
      </c>
      <c r="O114">
        <v>0</v>
      </c>
      <c r="P114">
        <v>0</v>
      </c>
      <c r="Q114">
        <v>0</v>
      </c>
      <c r="R114">
        <v>13</v>
      </c>
      <c r="S114">
        <v>0</v>
      </c>
      <c r="T114">
        <v>0</v>
      </c>
      <c r="U114">
        <v>0</v>
      </c>
      <c r="V114">
        <v>0</v>
      </c>
      <c r="W114">
        <v>0</v>
      </c>
      <c r="X114">
        <v>0</v>
      </c>
      <c r="Y114">
        <v>-386</v>
      </c>
      <c r="Z114">
        <v>343</v>
      </c>
      <c r="AA114">
        <v>-1026</v>
      </c>
      <c r="AB114">
        <v>0</v>
      </c>
      <c r="AC114">
        <v>0</v>
      </c>
      <c r="AD114">
        <v>0</v>
      </c>
      <c r="AE114">
        <v>0</v>
      </c>
      <c r="AF114">
        <v>0</v>
      </c>
      <c r="AG114">
        <v>0</v>
      </c>
      <c r="AH114">
        <v>0</v>
      </c>
      <c r="AI114">
        <v>-1056</v>
      </c>
      <c r="AJ114">
        <v>0</v>
      </c>
      <c r="AK114">
        <v>0</v>
      </c>
      <c r="AL114">
        <v>0</v>
      </c>
      <c r="AM114">
        <v>0</v>
      </c>
      <c r="AN114">
        <v>0</v>
      </c>
      <c r="AO114">
        <v>0</v>
      </c>
      <c r="AP114">
        <v>0</v>
      </c>
      <c r="AQ114">
        <v>90</v>
      </c>
      <c r="AR114">
        <v>26</v>
      </c>
      <c r="AS114">
        <v>0</v>
      </c>
      <c r="AT114">
        <v>0</v>
      </c>
      <c r="AU114">
        <v>0</v>
      </c>
      <c r="AV114">
        <v>0</v>
      </c>
      <c r="AW114">
        <v>0</v>
      </c>
      <c r="AX114">
        <v>0</v>
      </c>
      <c r="AY114">
        <v>0</v>
      </c>
      <c r="AZ114">
        <v>0</v>
      </c>
      <c r="BA114">
        <v>0</v>
      </c>
      <c r="BB114">
        <v>0</v>
      </c>
      <c r="BC114">
        <v>0</v>
      </c>
      <c r="BD114">
        <v>0</v>
      </c>
      <c r="BE114">
        <v>0</v>
      </c>
      <c r="BF114">
        <v>0</v>
      </c>
      <c r="BG114">
        <v>0</v>
      </c>
      <c r="BH114">
        <v>0</v>
      </c>
      <c r="BI114">
        <v>0</v>
      </c>
      <c r="BJ114">
        <v>0</v>
      </c>
      <c r="BK114">
        <v>0</v>
      </c>
      <c r="BL114">
        <v>0</v>
      </c>
      <c r="BM114">
        <v>0</v>
      </c>
      <c r="BN114">
        <v>0</v>
      </c>
      <c r="BO114">
        <v>0</v>
      </c>
      <c r="BP114">
        <v>0</v>
      </c>
      <c r="BQ114">
        <v>0</v>
      </c>
      <c r="BR114">
        <v>0</v>
      </c>
      <c r="BS114">
        <v>0</v>
      </c>
      <c r="BT114">
        <v>0</v>
      </c>
      <c r="BU114">
        <v>0</v>
      </c>
      <c r="BV114">
        <v>0</v>
      </c>
      <c r="BW114">
        <v>0</v>
      </c>
      <c r="BX114">
        <v>0</v>
      </c>
      <c r="BY114">
        <v>0</v>
      </c>
      <c r="BZ114">
        <v>0</v>
      </c>
      <c r="CA114">
        <v>0</v>
      </c>
      <c r="CB114">
        <v>0</v>
      </c>
      <c r="CC114">
        <v>0</v>
      </c>
      <c r="CD114">
        <v>0</v>
      </c>
      <c r="CE114">
        <v>0</v>
      </c>
      <c r="CF114">
        <v>0</v>
      </c>
      <c r="CG114">
        <v>0</v>
      </c>
      <c r="CH114">
        <v>0</v>
      </c>
      <c r="CI114">
        <v>0</v>
      </c>
      <c r="CJ114">
        <v>0</v>
      </c>
      <c r="CK114">
        <v>0</v>
      </c>
      <c r="CL114">
        <v>0</v>
      </c>
      <c r="CM114">
        <v>0</v>
      </c>
      <c r="CN114">
        <v>0</v>
      </c>
      <c r="CO114">
        <v>0</v>
      </c>
      <c r="CP114">
        <v>0</v>
      </c>
      <c r="CQ114">
        <v>0</v>
      </c>
      <c r="CR114">
        <v>0</v>
      </c>
      <c r="CS114">
        <v>0</v>
      </c>
      <c r="CT114">
        <v>0</v>
      </c>
      <c r="CU114">
        <v>0</v>
      </c>
      <c r="CV114">
        <v>0</v>
      </c>
      <c r="CW114">
        <v>0</v>
      </c>
      <c r="CX114">
        <v>0</v>
      </c>
      <c r="CY114">
        <v>0</v>
      </c>
      <c r="CZ114">
        <v>0</v>
      </c>
      <c r="DA114">
        <v>0</v>
      </c>
      <c r="DB114">
        <v>0</v>
      </c>
      <c r="DC114">
        <v>312</v>
      </c>
      <c r="DD114">
        <v>0</v>
      </c>
      <c r="DE114">
        <v>0</v>
      </c>
      <c r="DF114">
        <v>279</v>
      </c>
      <c r="DG114">
        <v>0</v>
      </c>
      <c r="DH114">
        <v>0</v>
      </c>
      <c r="DI114">
        <v>0</v>
      </c>
      <c r="DJ114">
        <v>49</v>
      </c>
      <c r="DK114">
        <v>0</v>
      </c>
      <c r="DL114">
        <v>-5</v>
      </c>
      <c r="DM114">
        <v>213</v>
      </c>
      <c r="DN114">
        <v>200</v>
      </c>
      <c r="DO114">
        <v>0</v>
      </c>
      <c r="DP114">
        <v>457</v>
      </c>
      <c r="DQ114">
        <v>0</v>
      </c>
      <c r="DR114">
        <v>0</v>
      </c>
      <c r="DS114">
        <v>0</v>
      </c>
      <c r="DT114">
        <v>602</v>
      </c>
      <c r="DU114">
        <v>0</v>
      </c>
      <c r="DV114">
        <v>0</v>
      </c>
      <c r="DW114">
        <v>0</v>
      </c>
      <c r="DX114">
        <v>1650</v>
      </c>
      <c r="DY114">
        <v>0</v>
      </c>
      <c r="DZ114">
        <v>0</v>
      </c>
      <c r="EA114">
        <v>0</v>
      </c>
      <c r="EB114">
        <v>0</v>
      </c>
      <c r="EC114">
        <v>0</v>
      </c>
      <c r="ED114">
        <v>0</v>
      </c>
      <c r="EE114">
        <v>0</v>
      </c>
      <c r="EF114">
        <v>0</v>
      </c>
      <c r="EG114">
        <v>0</v>
      </c>
      <c r="EH114">
        <v>0</v>
      </c>
      <c r="EI114">
        <v>0</v>
      </c>
      <c r="EJ114">
        <v>0</v>
      </c>
      <c r="EK114">
        <v>0</v>
      </c>
      <c r="EL114">
        <v>0</v>
      </c>
      <c r="EM114">
        <v>0</v>
      </c>
      <c r="EN114">
        <v>0</v>
      </c>
      <c r="EO114">
        <v>0</v>
      </c>
      <c r="EP114">
        <v>0</v>
      </c>
      <c r="EQ114">
        <v>0</v>
      </c>
      <c r="ER114">
        <v>0</v>
      </c>
      <c r="ES114">
        <v>0</v>
      </c>
      <c r="ET114">
        <v>0</v>
      </c>
      <c r="EU114">
        <v>0</v>
      </c>
      <c r="EV114">
        <v>0</v>
      </c>
      <c r="EW114">
        <v>149</v>
      </c>
      <c r="EX114">
        <v>0</v>
      </c>
      <c r="EY114">
        <v>0</v>
      </c>
      <c r="EZ114">
        <v>34</v>
      </c>
      <c r="FA114">
        <v>199</v>
      </c>
      <c r="FB114">
        <v>163</v>
      </c>
      <c r="FC114">
        <v>-376</v>
      </c>
      <c r="FD114">
        <v>135</v>
      </c>
      <c r="FE114">
        <v>0</v>
      </c>
      <c r="FF114">
        <v>0</v>
      </c>
      <c r="FG114">
        <v>0</v>
      </c>
      <c r="FH114">
        <v>304</v>
      </c>
      <c r="FI114">
        <v>-102</v>
      </c>
      <c r="FJ114">
        <v>0</v>
      </c>
      <c r="FK114">
        <v>0</v>
      </c>
      <c r="FL114">
        <v>214</v>
      </c>
      <c r="FM114">
        <v>479</v>
      </c>
      <c r="FN114">
        <v>0</v>
      </c>
      <c r="FO114">
        <v>101</v>
      </c>
      <c r="FP114">
        <v>0</v>
      </c>
      <c r="FQ114">
        <v>0</v>
      </c>
      <c r="FR114">
        <v>61</v>
      </c>
      <c r="FS114">
        <v>113</v>
      </c>
      <c r="FT114">
        <v>83</v>
      </c>
      <c r="FU114">
        <v>187</v>
      </c>
      <c r="FV114">
        <v>0</v>
      </c>
      <c r="FW114">
        <v>322</v>
      </c>
      <c r="FX114">
        <v>0</v>
      </c>
      <c r="FY114">
        <v>0</v>
      </c>
      <c r="FZ114">
        <v>239</v>
      </c>
      <c r="GA114">
        <v>0</v>
      </c>
      <c r="GB114">
        <v>0</v>
      </c>
      <c r="GC114">
        <v>0</v>
      </c>
      <c r="GD114">
        <v>1491</v>
      </c>
      <c r="GE114">
        <v>2223</v>
      </c>
      <c r="GF114">
        <v>0</v>
      </c>
      <c r="GG114">
        <v>0</v>
      </c>
      <c r="GH114">
        <v>0</v>
      </c>
      <c r="GI114">
        <v>0</v>
      </c>
      <c r="GJ114">
        <v>29</v>
      </c>
      <c r="GK114">
        <v>5440</v>
      </c>
      <c r="GL114">
        <v>358</v>
      </c>
      <c r="GM114">
        <v>1072</v>
      </c>
      <c r="GN114">
        <v>145</v>
      </c>
      <c r="GO114">
        <v>780</v>
      </c>
      <c r="GP114">
        <v>0</v>
      </c>
      <c r="GQ114">
        <v>906</v>
      </c>
      <c r="GR114">
        <v>0</v>
      </c>
      <c r="GS114">
        <v>439</v>
      </c>
      <c r="GT114">
        <v>1551</v>
      </c>
      <c r="GU114">
        <v>5251</v>
      </c>
      <c r="GV114">
        <v>10995</v>
      </c>
      <c r="GW114">
        <v>0</v>
      </c>
      <c r="GX114">
        <v>0</v>
      </c>
      <c r="GY114">
        <v>0</v>
      </c>
      <c r="GZ114">
        <v>0</v>
      </c>
      <c r="HA114">
        <v>0</v>
      </c>
      <c r="HB114">
        <v>2143</v>
      </c>
      <c r="HC114">
        <v>556</v>
      </c>
      <c r="HD114">
        <v>0</v>
      </c>
      <c r="HE114">
        <v>0</v>
      </c>
      <c r="HF114">
        <v>0</v>
      </c>
      <c r="HG114">
        <v>150</v>
      </c>
      <c r="HH114">
        <v>0</v>
      </c>
      <c r="HI114">
        <v>0</v>
      </c>
      <c r="HJ114">
        <v>227</v>
      </c>
      <c r="HK114">
        <v>77</v>
      </c>
      <c r="HL114">
        <v>79</v>
      </c>
      <c r="HM114">
        <v>-101</v>
      </c>
      <c r="HN114">
        <v>0</v>
      </c>
      <c r="HO114">
        <v>0</v>
      </c>
      <c r="HP114">
        <v>0</v>
      </c>
      <c r="HQ114">
        <v>0</v>
      </c>
      <c r="HR114">
        <v>184</v>
      </c>
      <c r="HS114">
        <v>0</v>
      </c>
      <c r="HT114">
        <v>0</v>
      </c>
      <c r="HU114">
        <v>573</v>
      </c>
      <c r="HV114">
        <v>3888</v>
      </c>
      <c r="HW114">
        <v>0</v>
      </c>
      <c r="HX114">
        <v>0</v>
      </c>
      <c r="HY114">
        <v>0</v>
      </c>
      <c r="HZ114">
        <v>0</v>
      </c>
      <c r="IA114">
        <v>0</v>
      </c>
      <c r="IB114">
        <v>246</v>
      </c>
      <c r="IC114">
        <v>0</v>
      </c>
      <c r="ID114">
        <v>-1056</v>
      </c>
      <c r="IE114">
        <v>0</v>
      </c>
      <c r="IF114">
        <v>0</v>
      </c>
      <c r="IG114">
        <v>0</v>
      </c>
      <c r="IH114">
        <v>1650</v>
      </c>
      <c r="II114">
        <v>304</v>
      </c>
      <c r="IJ114">
        <v>5440</v>
      </c>
      <c r="IK114">
        <v>5251</v>
      </c>
      <c r="IL114">
        <v>0</v>
      </c>
      <c r="IM114">
        <v>0</v>
      </c>
      <c r="IN114">
        <v>3888</v>
      </c>
      <c r="IO114">
        <v>246</v>
      </c>
      <c r="IP114">
        <v>15723</v>
      </c>
      <c r="IQ114">
        <v>15403</v>
      </c>
      <c r="IR114">
        <v>0</v>
      </c>
      <c r="IS114">
        <v>0</v>
      </c>
      <c r="IT114">
        <v>0</v>
      </c>
      <c r="IU114">
        <v>0</v>
      </c>
      <c r="IV114">
        <v>4436</v>
      </c>
      <c r="IW114">
        <v>0</v>
      </c>
      <c r="IX114">
        <v>0</v>
      </c>
      <c r="IY114">
        <v>0</v>
      </c>
      <c r="IZ114">
        <v>8044</v>
      </c>
      <c r="JA114">
        <v>0</v>
      </c>
      <c r="JB114">
        <v>0</v>
      </c>
      <c r="JC114">
        <v>0</v>
      </c>
      <c r="JD114">
        <v>0</v>
      </c>
      <c r="JE114">
        <v>0</v>
      </c>
      <c r="JF114">
        <v>0</v>
      </c>
      <c r="JG114">
        <v>43606</v>
      </c>
      <c r="JH114">
        <v>0</v>
      </c>
      <c r="JI114">
        <v>0</v>
      </c>
      <c r="JJ114">
        <v>0</v>
      </c>
      <c r="JK114">
        <v>0</v>
      </c>
      <c r="JL114">
        <v>0</v>
      </c>
      <c r="JM114">
        <v>211</v>
      </c>
      <c r="JN114">
        <v>0</v>
      </c>
      <c r="JO114">
        <v>0</v>
      </c>
      <c r="JP114">
        <v>2908</v>
      </c>
      <c r="JQ114">
        <v>0</v>
      </c>
      <c r="JR114">
        <v>46725</v>
      </c>
      <c r="JS114">
        <v>-8566</v>
      </c>
      <c r="JT114">
        <v>0</v>
      </c>
      <c r="JU114">
        <v>0</v>
      </c>
      <c r="JV114">
        <v>0</v>
      </c>
      <c r="JW114">
        <v>-15644</v>
      </c>
      <c r="JX114">
        <v>0</v>
      </c>
      <c r="JY114">
        <v>-10</v>
      </c>
      <c r="JZ114">
        <v>0</v>
      </c>
      <c r="KA114">
        <v>0</v>
      </c>
      <c r="KB114">
        <v>0</v>
      </c>
      <c r="KC114">
        <v>22505</v>
      </c>
      <c r="KD114">
        <v>0</v>
      </c>
      <c r="KE114">
        <v>-3749</v>
      </c>
      <c r="KF114">
        <v>18756</v>
      </c>
      <c r="KG114">
        <v>0</v>
      </c>
      <c r="KH114">
        <v>0</v>
      </c>
      <c r="KI114">
        <v>0</v>
      </c>
      <c r="KJ114">
        <v>0</v>
      </c>
      <c r="KK114">
        <v>2956</v>
      </c>
      <c r="KL114">
        <v>0</v>
      </c>
      <c r="KM114">
        <v>0</v>
      </c>
      <c r="KN114">
        <v>0</v>
      </c>
      <c r="KO114">
        <v>-5229</v>
      </c>
      <c r="KP114">
        <v>0</v>
      </c>
      <c r="KQ114">
        <v>0</v>
      </c>
      <c r="KR114">
        <v>11449</v>
      </c>
      <c r="KS114">
        <v>0</v>
      </c>
      <c r="KT114">
        <v>0</v>
      </c>
      <c r="KU114">
        <v>0</v>
      </c>
      <c r="KV114">
        <v>25171</v>
      </c>
      <c r="KW114">
        <v>3500</v>
      </c>
      <c r="KX114">
        <v>0</v>
      </c>
      <c r="KY114">
        <v>0</v>
      </c>
      <c r="KZ114">
        <v>0</v>
      </c>
      <c r="LA114">
        <v>28127</v>
      </c>
      <c r="LB114">
        <v>3500</v>
      </c>
      <c r="LC114">
        <v>0</v>
      </c>
      <c r="LD114">
        <v>0</v>
      </c>
      <c r="LE114">
        <v>0</v>
      </c>
      <c r="LF114">
        <v>0</v>
      </c>
      <c r="LG114">
        <v>0</v>
      </c>
      <c r="LH114">
        <v>0</v>
      </c>
      <c r="LI114">
        <v>0</v>
      </c>
      <c r="LJ114">
        <v>2996</v>
      </c>
      <c r="LK114">
        <v>2145</v>
      </c>
      <c r="LL114">
        <v>5141</v>
      </c>
      <c r="LM114">
        <v>0</v>
      </c>
      <c r="LN114">
        <v>0</v>
      </c>
      <c r="LO114">
        <v>0</v>
      </c>
      <c r="LP114">
        <v>0</v>
      </c>
      <c r="LQ114">
        <v>0</v>
      </c>
      <c r="LR114">
        <v>0</v>
      </c>
      <c r="LS114">
        <v>0</v>
      </c>
      <c r="LT114">
        <v>0</v>
      </c>
      <c r="LU114">
        <v>0</v>
      </c>
      <c r="LV114">
        <v>-1056</v>
      </c>
      <c r="LW114">
        <v>0</v>
      </c>
      <c r="LX114">
        <v>0</v>
      </c>
      <c r="LY114">
        <v>0</v>
      </c>
      <c r="LZ114">
        <v>1650</v>
      </c>
      <c r="MA114">
        <v>304</v>
      </c>
      <c r="MB114">
        <v>5440</v>
      </c>
      <c r="MC114">
        <v>5251</v>
      </c>
      <c r="MD114">
        <v>0</v>
      </c>
      <c r="ME114">
        <v>0</v>
      </c>
      <c r="MF114">
        <v>3888</v>
      </c>
      <c r="MG114">
        <v>246</v>
      </c>
      <c r="MH114">
        <v>15723</v>
      </c>
      <c r="MI114">
        <v>0</v>
      </c>
      <c r="MJ114">
        <v>0</v>
      </c>
      <c r="MK114">
        <v>0</v>
      </c>
      <c r="ML114">
        <v>0</v>
      </c>
      <c r="MM114">
        <v>0</v>
      </c>
      <c r="MN114">
        <v>0</v>
      </c>
      <c r="MO114">
        <v>0</v>
      </c>
      <c r="MP114">
        <v>0</v>
      </c>
      <c r="MQ114">
        <v>0</v>
      </c>
      <c r="MR114">
        <v>0</v>
      </c>
      <c r="MS114">
        <v>0</v>
      </c>
      <c r="MT114">
        <v>0</v>
      </c>
      <c r="MU114">
        <v>0</v>
      </c>
      <c r="MV114">
        <v>0</v>
      </c>
      <c r="MW114">
        <v>0</v>
      </c>
      <c r="MX114">
        <v>0</v>
      </c>
      <c r="MY114">
        <v>0</v>
      </c>
      <c r="MZ114">
        <v>0</v>
      </c>
      <c r="NA114">
        <v>0</v>
      </c>
      <c r="NB114">
        <v>0</v>
      </c>
      <c r="NC114">
        <v>0</v>
      </c>
      <c r="ND114">
        <v>0</v>
      </c>
      <c r="NE114">
        <v>0</v>
      </c>
      <c r="NF114">
        <v>0</v>
      </c>
      <c r="NG114">
        <v>0</v>
      </c>
      <c r="NH114">
        <v>0</v>
      </c>
      <c r="NI114">
        <v>0</v>
      </c>
      <c r="NJ114">
        <v>0</v>
      </c>
      <c r="NK114">
        <v>0</v>
      </c>
      <c r="NL114">
        <v>0</v>
      </c>
      <c r="NM114">
        <v>0</v>
      </c>
      <c r="NN114">
        <v>0</v>
      </c>
      <c r="NO114">
        <v>0</v>
      </c>
      <c r="NP114">
        <v>0</v>
      </c>
      <c r="NQ114">
        <v>0</v>
      </c>
      <c r="NR114">
        <v>0</v>
      </c>
      <c r="NS114">
        <v>0</v>
      </c>
      <c r="NT114">
        <v>0</v>
      </c>
      <c r="NU114">
        <v>0</v>
      </c>
      <c r="NV114">
        <v>0</v>
      </c>
      <c r="NW114">
        <v>0</v>
      </c>
      <c r="NX114">
        <v>0</v>
      </c>
      <c r="NY114">
        <v>0</v>
      </c>
      <c r="NZ114">
        <v>0</v>
      </c>
      <c r="OA114">
        <v>0</v>
      </c>
      <c r="OB114">
        <v>0</v>
      </c>
      <c r="OC114">
        <v>0</v>
      </c>
      <c r="OD114">
        <v>0</v>
      </c>
      <c r="OE114">
        <v>0</v>
      </c>
      <c r="OF114">
        <v>0</v>
      </c>
      <c r="OG114">
        <v>0</v>
      </c>
      <c r="OH114">
        <v>0</v>
      </c>
      <c r="OI114">
        <v>0</v>
      </c>
      <c r="OJ114">
        <v>0</v>
      </c>
      <c r="OK114">
        <v>0</v>
      </c>
      <c r="OL114">
        <v>0</v>
      </c>
      <c r="OM114">
        <v>0</v>
      </c>
      <c r="ON114">
        <v>0</v>
      </c>
    </row>
    <row r="115" spans="1:404" x14ac:dyDescent="0.25">
      <c r="A115" t="s">
        <v>409</v>
      </c>
      <c r="B115" t="s">
        <v>410</v>
      </c>
      <c r="C115" t="s">
        <v>408</v>
      </c>
      <c r="E115" t="s">
        <v>61</v>
      </c>
      <c r="F115">
        <v>0</v>
      </c>
      <c r="G115">
        <v>0</v>
      </c>
      <c r="H115">
        <v>0</v>
      </c>
      <c r="I115">
        <v>0</v>
      </c>
      <c r="J115">
        <v>0</v>
      </c>
      <c r="K115">
        <v>0</v>
      </c>
      <c r="L115">
        <v>0</v>
      </c>
      <c r="M115">
        <v>33</v>
      </c>
      <c r="N115">
        <v>0</v>
      </c>
      <c r="O115">
        <v>0</v>
      </c>
      <c r="P115">
        <v>0</v>
      </c>
      <c r="Q115">
        <v>44</v>
      </c>
      <c r="R115">
        <v>0</v>
      </c>
      <c r="S115">
        <v>348</v>
      </c>
      <c r="T115">
        <v>0</v>
      </c>
      <c r="U115">
        <v>18</v>
      </c>
      <c r="V115">
        <v>0</v>
      </c>
      <c r="W115">
        <v>0</v>
      </c>
      <c r="X115">
        <v>0</v>
      </c>
      <c r="Y115">
        <v>0</v>
      </c>
      <c r="Z115">
        <v>-24</v>
      </c>
      <c r="AA115">
        <v>-1235</v>
      </c>
      <c r="AB115">
        <v>0</v>
      </c>
      <c r="AC115">
        <v>0</v>
      </c>
      <c r="AD115">
        <v>68</v>
      </c>
      <c r="AE115">
        <v>0</v>
      </c>
      <c r="AF115">
        <v>0</v>
      </c>
      <c r="AG115">
        <v>0</v>
      </c>
      <c r="AH115">
        <v>0</v>
      </c>
      <c r="AI115">
        <v>-748</v>
      </c>
      <c r="AJ115">
        <v>0</v>
      </c>
      <c r="AK115">
        <v>0</v>
      </c>
      <c r="AL115">
        <v>0</v>
      </c>
      <c r="AM115">
        <v>0</v>
      </c>
      <c r="AN115">
        <v>0</v>
      </c>
      <c r="AO115">
        <v>0</v>
      </c>
      <c r="AP115">
        <v>0</v>
      </c>
      <c r="AQ115">
        <v>366</v>
      </c>
      <c r="AR115">
        <v>140</v>
      </c>
      <c r="AS115">
        <v>0</v>
      </c>
      <c r="AT115">
        <v>0</v>
      </c>
      <c r="AU115">
        <v>0</v>
      </c>
      <c r="AV115">
        <v>0</v>
      </c>
      <c r="AW115">
        <v>0</v>
      </c>
      <c r="AX115">
        <v>0</v>
      </c>
      <c r="AY115">
        <v>0</v>
      </c>
      <c r="AZ115">
        <v>0</v>
      </c>
      <c r="BA115">
        <v>0</v>
      </c>
      <c r="BB115">
        <v>0</v>
      </c>
      <c r="BC115">
        <v>0</v>
      </c>
      <c r="BD115">
        <v>0</v>
      </c>
      <c r="BE115">
        <v>0</v>
      </c>
      <c r="BF115">
        <v>0</v>
      </c>
      <c r="BG115">
        <v>0</v>
      </c>
      <c r="BH115">
        <v>0</v>
      </c>
      <c r="BI115">
        <v>0</v>
      </c>
      <c r="BJ115">
        <v>0</v>
      </c>
      <c r="BK115">
        <v>0</v>
      </c>
      <c r="BL115">
        <v>0</v>
      </c>
      <c r="BM115">
        <v>0</v>
      </c>
      <c r="BN115">
        <v>0</v>
      </c>
      <c r="BO115">
        <v>0</v>
      </c>
      <c r="BP115">
        <v>0</v>
      </c>
      <c r="BQ115">
        <v>0</v>
      </c>
      <c r="BR115">
        <v>0</v>
      </c>
      <c r="BS115">
        <v>0</v>
      </c>
      <c r="BT115">
        <v>0</v>
      </c>
      <c r="BU115">
        <v>0</v>
      </c>
      <c r="BV115">
        <v>0</v>
      </c>
      <c r="BW115">
        <v>0</v>
      </c>
      <c r="BX115">
        <v>0</v>
      </c>
      <c r="BY115">
        <v>0</v>
      </c>
      <c r="BZ115">
        <v>0</v>
      </c>
      <c r="CA115">
        <v>0</v>
      </c>
      <c r="CB115">
        <v>0</v>
      </c>
      <c r="CC115">
        <v>0</v>
      </c>
      <c r="CD115">
        <v>0</v>
      </c>
      <c r="CE115">
        <v>0</v>
      </c>
      <c r="CF115">
        <v>0</v>
      </c>
      <c r="CG115">
        <v>0</v>
      </c>
      <c r="CH115">
        <v>0</v>
      </c>
      <c r="CI115">
        <v>0</v>
      </c>
      <c r="CJ115">
        <v>0</v>
      </c>
      <c r="CK115">
        <v>0</v>
      </c>
      <c r="CL115">
        <v>0</v>
      </c>
      <c r="CM115">
        <v>0</v>
      </c>
      <c r="CN115">
        <v>0</v>
      </c>
      <c r="CO115">
        <v>0</v>
      </c>
      <c r="CP115">
        <v>0</v>
      </c>
      <c r="CQ115">
        <v>0</v>
      </c>
      <c r="CR115">
        <v>0</v>
      </c>
      <c r="CS115">
        <v>0</v>
      </c>
      <c r="CT115">
        <v>0</v>
      </c>
      <c r="CU115">
        <v>0</v>
      </c>
      <c r="CV115">
        <v>0</v>
      </c>
      <c r="CW115">
        <v>0</v>
      </c>
      <c r="CX115">
        <v>0</v>
      </c>
      <c r="CY115">
        <v>0</v>
      </c>
      <c r="CZ115">
        <v>0</v>
      </c>
      <c r="DA115">
        <v>0</v>
      </c>
      <c r="DB115">
        <v>0</v>
      </c>
      <c r="DC115">
        <v>693</v>
      </c>
      <c r="DD115">
        <v>0</v>
      </c>
      <c r="DE115">
        <v>73</v>
      </c>
      <c r="DF115">
        <v>211</v>
      </c>
      <c r="DG115">
        <v>0</v>
      </c>
      <c r="DH115">
        <v>0</v>
      </c>
      <c r="DI115">
        <v>128</v>
      </c>
      <c r="DJ115">
        <v>384</v>
      </c>
      <c r="DK115">
        <v>0</v>
      </c>
      <c r="DL115">
        <v>0</v>
      </c>
      <c r="DM115">
        <v>190</v>
      </c>
      <c r="DN115">
        <v>230</v>
      </c>
      <c r="DO115">
        <v>269</v>
      </c>
      <c r="DP115">
        <v>1201</v>
      </c>
      <c r="DQ115">
        <v>19</v>
      </c>
      <c r="DR115">
        <v>0</v>
      </c>
      <c r="DS115">
        <v>0</v>
      </c>
      <c r="DT115">
        <v>882</v>
      </c>
      <c r="DU115">
        <v>0</v>
      </c>
      <c r="DV115">
        <v>0</v>
      </c>
      <c r="DW115">
        <v>0</v>
      </c>
      <c r="DX115">
        <v>3079</v>
      </c>
      <c r="DY115">
        <v>0</v>
      </c>
      <c r="DZ115">
        <v>0</v>
      </c>
      <c r="EA115">
        <v>0</v>
      </c>
      <c r="EB115">
        <v>0</v>
      </c>
      <c r="EC115">
        <v>0</v>
      </c>
      <c r="ED115">
        <v>0</v>
      </c>
      <c r="EE115">
        <v>0</v>
      </c>
      <c r="EF115">
        <v>0</v>
      </c>
      <c r="EG115">
        <v>0</v>
      </c>
      <c r="EH115">
        <v>0</v>
      </c>
      <c r="EI115">
        <v>0</v>
      </c>
      <c r="EJ115">
        <v>0</v>
      </c>
      <c r="EK115">
        <v>0</v>
      </c>
      <c r="EL115">
        <v>0</v>
      </c>
      <c r="EM115">
        <v>0</v>
      </c>
      <c r="EN115">
        <v>0</v>
      </c>
      <c r="EO115">
        <v>0</v>
      </c>
      <c r="EP115">
        <v>0</v>
      </c>
      <c r="EQ115">
        <v>0</v>
      </c>
      <c r="ER115">
        <v>0</v>
      </c>
      <c r="ES115">
        <v>0</v>
      </c>
      <c r="ET115">
        <v>0</v>
      </c>
      <c r="EU115">
        <v>0</v>
      </c>
      <c r="EV115">
        <v>0</v>
      </c>
      <c r="EW115">
        <v>0</v>
      </c>
      <c r="EX115">
        <v>0</v>
      </c>
      <c r="EY115">
        <v>617</v>
      </c>
      <c r="EZ115">
        <v>20</v>
      </c>
      <c r="FA115">
        <v>0</v>
      </c>
      <c r="FB115">
        <v>83</v>
      </c>
      <c r="FC115">
        <v>682</v>
      </c>
      <c r="FD115">
        <v>1224</v>
      </c>
      <c r="FE115">
        <v>9</v>
      </c>
      <c r="FF115">
        <v>9</v>
      </c>
      <c r="FG115">
        <v>0</v>
      </c>
      <c r="FH115">
        <v>2644</v>
      </c>
      <c r="FI115">
        <v>0</v>
      </c>
      <c r="FJ115">
        <v>0</v>
      </c>
      <c r="FK115">
        <v>24</v>
      </c>
      <c r="FL115">
        <v>314</v>
      </c>
      <c r="FM115">
        <v>392</v>
      </c>
      <c r="FN115">
        <v>51</v>
      </c>
      <c r="FO115">
        <v>59</v>
      </c>
      <c r="FP115">
        <v>0</v>
      </c>
      <c r="FQ115">
        <v>0</v>
      </c>
      <c r="FR115">
        <v>28</v>
      </c>
      <c r="FS115">
        <v>28</v>
      </c>
      <c r="FT115">
        <v>218</v>
      </c>
      <c r="FU115">
        <v>180</v>
      </c>
      <c r="FV115">
        <v>101</v>
      </c>
      <c r="FW115">
        <v>31</v>
      </c>
      <c r="FX115">
        <v>91</v>
      </c>
      <c r="FY115">
        <v>57</v>
      </c>
      <c r="FZ115">
        <v>0</v>
      </c>
      <c r="GA115">
        <v>0</v>
      </c>
      <c r="GB115">
        <v>0</v>
      </c>
      <c r="GC115">
        <v>0</v>
      </c>
      <c r="GD115">
        <v>737</v>
      </c>
      <c r="GE115">
        <v>1194</v>
      </c>
      <c r="GF115">
        <v>0</v>
      </c>
      <c r="GG115">
        <v>-309</v>
      </c>
      <c r="GH115">
        <v>1149</v>
      </c>
      <c r="GI115">
        <v>0</v>
      </c>
      <c r="GJ115">
        <v>0</v>
      </c>
      <c r="GK115">
        <v>4345</v>
      </c>
      <c r="GL115">
        <v>151</v>
      </c>
      <c r="GM115">
        <v>1458</v>
      </c>
      <c r="GN115">
        <v>89</v>
      </c>
      <c r="GO115">
        <v>1245</v>
      </c>
      <c r="GP115">
        <v>0</v>
      </c>
      <c r="GQ115">
        <v>400</v>
      </c>
      <c r="GR115">
        <v>0</v>
      </c>
      <c r="GS115">
        <v>96</v>
      </c>
      <c r="GT115">
        <v>72</v>
      </c>
      <c r="GU115">
        <v>3511</v>
      </c>
      <c r="GV115">
        <v>10500</v>
      </c>
      <c r="GW115">
        <v>0</v>
      </c>
      <c r="GX115">
        <v>0</v>
      </c>
      <c r="GY115">
        <v>0</v>
      </c>
      <c r="GZ115">
        <v>0</v>
      </c>
      <c r="HA115">
        <v>0</v>
      </c>
      <c r="HB115">
        <v>2431</v>
      </c>
      <c r="HC115">
        <v>1206</v>
      </c>
      <c r="HD115">
        <v>0</v>
      </c>
      <c r="HE115">
        <v>0</v>
      </c>
      <c r="HF115">
        <v>956</v>
      </c>
      <c r="HG115">
        <v>134</v>
      </c>
      <c r="HH115">
        <v>0</v>
      </c>
      <c r="HI115">
        <v>0</v>
      </c>
      <c r="HJ115">
        <v>278</v>
      </c>
      <c r="HK115">
        <v>-10</v>
      </c>
      <c r="HL115">
        <v>11</v>
      </c>
      <c r="HM115">
        <v>0</v>
      </c>
      <c r="HN115">
        <v>0</v>
      </c>
      <c r="HO115">
        <v>440</v>
      </c>
      <c r="HP115">
        <v>0</v>
      </c>
      <c r="HQ115">
        <v>0</v>
      </c>
      <c r="HR115">
        <v>0</v>
      </c>
      <c r="HS115">
        <v>0</v>
      </c>
      <c r="HT115">
        <v>0</v>
      </c>
      <c r="HU115">
        <v>-585</v>
      </c>
      <c r="HV115">
        <v>4861</v>
      </c>
      <c r="HW115">
        <v>7110</v>
      </c>
      <c r="HX115">
        <v>17939</v>
      </c>
      <c r="HY115">
        <v>197</v>
      </c>
      <c r="HZ115">
        <v>78</v>
      </c>
      <c r="IA115">
        <v>2674</v>
      </c>
      <c r="IB115">
        <v>0</v>
      </c>
      <c r="IC115">
        <v>0</v>
      </c>
      <c r="ID115">
        <v>-748</v>
      </c>
      <c r="IE115">
        <v>0</v>
      </c>
      <c r="IF115">
        <v>0</v>
      </c>
      <c r="IG115">
        <v>0</v>
      </c>
      <c r="IH115">
        <v>3079</v>
      </c>
      <c r="II115">
        <v>2644</v>
      </c>
      <c r="IJ115">
        <v>4345</v>
      </c>
      <c r="IK115">
        <v>3511</v>
      </c>
      <c r="IL115">
        <v>0</v>
      </c>
      <c r="IM115">
        <v>0</v>
      </c>
      <c r="IN115">
        <v>4861</v>
      </c>
      <c r="IO115">
        <v>0</v>
      </c>
      <c r="IP115">
        <v>17692</v>
      </c>
      <c r="IQ115">
        <v>23946</v>
      </c>
      <c r="IR115">
        <v>0</v>
      </c>
      <c r="IS115">
        <v>0</v>
      </c>
      <c r="IT115">
        <v>0</v>
      </c>
      <c r="IU115">
        <v>0</v>
      </c>
      <c r="IV115">
        <v>4892</v>
      </c>
      <c r="IW115">
        <v>0</v>
      </c>
      <c r="IX115">
        <v>0</v>
      </c>
      <c r="IY115">
        <v>0</v>
      </c>
      <c r="IZ115">
        <v>0</v>
      </c>
      <c r="JA115">
        <v>39</v>
      </c>
      <c r="JB115">
        <v>-549</v>
      </c>
      <c r="JC115">
        <v>-1</v>
      </c>
      <c r="JD115">
        <v>-82</v>
      </c>
      <c r="JE115">
        <v>94</v>
      </c>
      <c r="JF115">
        <v>0</v>
      </c>
      <c r="JG115">
        <v>46031</v>
      </c>
      <c r="JH115">
        <v>0</v>
      </c>
      <c r="JI115">
        <v>0</v>
      </c>
      <c r="JJ115">
        <v>0</v>
      </c>
      <c r="JK115">
        <v>0</v>
      </c>
      <c r="JL115">
        <v>0</v>
      </c>
      <c r="JM115">
        <v>333</v>
      </c>
      <c r="JN115">
        <v>0</v>
      </c>
      <c r="JO115">
        <v>0</v>
      </c>
      <c r="JP115">
        <v>141</v>
      </c>
      <c r="JQ115">
        <v>0</v>
      </c>
      <c r="JR115">
        <v>46505</v>
      </c>
      <c r="JS115">
        <v>-944</v>
      </c>
      <c r="JT115">
        <v>0</v>
      </c>
      <c r="JU115">
        <v>0</v>
      </c>
      <c r="JV115">
        <v>0</v>
      </c>
      <c r="JW115">
        <v>-23560</v>
      </c>
      <c r="JX115">
        <v>0</v>
      </c>
      <c r="JY115">
        <v>0</v>
      </c>
      <c r="JZ115">
        <v>0</v>
      </c>
      <c r="KA115">
        <v>0</v>
      </c>
      <c r="KB115">
        <v>0</v>
      </c>
      <c r="KC115">
        <v>22001</v>
      </c>
      <c r="KD115">
        <v>0</v>
      </c>
      <c r="KE115">
        <v>-4286</v>
      </c>
      <c r="KF115">
        <v>17715</v>
      </c>
      <c r="KG115">
        <v>0</v>
      </c>
      <c r="KH115">
        <v>0</v>
      </c>
      <c r="KI115">
        <v>0</v>
      </c>
      <c r="KJ115">
        <v>0</v>
      </c>
      <c r="KK115">
        <v>-1400</v>
      </c>
      <c r="KL115">
        <v>92</v>
      </c>
      <c r="KM115">
        <v>0</v>
      </c>
      <c r="KN115">
        <v>0</v>
      </c>
      <c r="KO115">
        <v>-101</v>
      </c>
      <c r="KP115">
        <v>7397</v>
      </c>
      <c r="KQ115">
        <v>0</v>
      </c>
      <c r="KR115">
        <v>15948</v>
      </c>
      <c r="KS115">
        <v>0</v>
      </c>
      <c r="KT115">
        <v>0</v>
      </c>
      <c r="KU115">
        <v>0</v>
      </c>
      <c r="KV115">
        <v>23336</v>
      </c>
      <c r="KW115">
        <v>974</v>
      </c>
      <c r="KX115">
        <v>0</v>
      </c>
      <c r="KY115">
        <v>0</v>
      </c>
      <c r="KZ115">
        <v>0</v>
      </c>
      <c r="LA115">
        <v>21936</v>
      </c>
      <c r="LB115">
        <v>1066</v>
      </c>
      <c r="LC115">
        <v>0</v>
      </c>
      <c r="LD115">
        <v>1771</v>
      </c>
      <c r="LE115">
        <v>0</v>
      </c>
      <c r="LF115">
        <v>731</v>
      </c>
      <c r="LG115">
        <v>0</v>
      </c>
      <c r="LH115">
        <v>0</v>
      </c>
      <c r="LI115">
        <v>2502</v>
      </c>
      <c r="LJ115">
        <v>2927</v>
      </c>
      <c r="LK115">
        <v>3618</v>
      </c>
      <c r="LL115">
        <v>6545</v>
      </c>
      <c r="LM115">
        <v>0</v>
      </c>
      <c r="LN115">
        <v>0</v>
      </c>
      <c r="LO115">
        <v>0</v>
      </c>
      <c r="LP115">
        <v>0</v>
      </c>
      <c r="LQ115">
        <v>0</v>
      </c>
      <c r="LR115">
        <v>0</v>
      </c>
      <c r="LS115">
        <v>0</v>
      </c>
      <c r="LT115">
        <v>0</v>
      </c>
      <c r="LU115">
        <v>0</v>
      </c>
      <c r="LV115">
        <v>-748</v>
      </c>
      <c r="LW115">
        <v>0</v>
      </c>
      <c r="LX115">
        <v>0</v>
      </c>
      <c r="LY115">
        <v>0</v>
      </c>
      <c r="LZ115">
        <v>3079</v>
      </c>
      <c r="MA115">
        <v>2644</v>
      </c>
      <c r="MB115">
        <v>4345</v>
      </c>
      <c r="MC115">
        <v>3511</v>
      </c>
      <c r="MD115">
        <v>0</v>
      </c>
      <c r="ME115">
        <v>0</v>
      </c>
      <c r="MF115">
        <v>4861</v>
      </c>
      <c r="MG115">
        <v>0</v>
      </c>
      <c r="MH115">
        <v>17692</v>
      </c>
      <c r="MI115">
        <v>0</v>
      </c>
      <c r="MJ115">
        <v>0</v>
      </c>
      <c r="MK115">
        <v>0</v>
      </c>
      <c r="ML115">
        <v>0</v>
      </c>
      <c r="MM115">
        <v>0</v>
      </c>
      <c r="MN115">
        <v>0</v>
      </c>
      <c r="MO115">
        <v>0</v>
      </c>
      <c r="MP115">
        <v>0</v>
      </c>
      <c r="MQ115">
        <v>0</v>
      </c>
      <c r="MR115">
        <v>0</v>
      </c>
      <c r="MS115">
        <v>0</v>
      </c>
      <c r="MT115">
        <v>0</v>
      </c>
      <c r="MU115">
        <v>0</v>
      </c>
      <c r="MV115">
        <v>0</v>
      </c>
      <c r="MW115">
        <v>0</v>
      </c>
      <c r="MX115">
        <v>0</v>
      </c>
      <c r="MY115">
        <v>0</v>
      </c>
      <c r="MZ115">
        <v>38</v>
      </c>
      <c r="NA115">
        <v>38</v>
      </c>
      <c r="NB115">
        <v>1</v>
      </c>
      <c r="NC115">
        <v>39</v>
      </c>
      <c r="ND115">
        <v>0</v>
      </c>
      <c r="NE115">
        <v>0</v>
      </c>
      <c r="NF115">
        <v>0</v>
      </c>
      <c r="NG115">
        <v>0</v>
      </c>
      <c r="NH115">
        <v>0</v>
      </c>
      <c r="NI115">
        <v>0</v>
      </c>
      <c r="NJ115">
        <v>0</v>
      </c>
      <c r="NK115">
        <v>0</v>
      </c>
      <c r="NL115">
        <v>0</v>
      </c>
      <c r="NM115">
        <v>0</v>
      </c>
      <c r="NN115">
        <v>0</v>
      </c>
      <c r="NO115">
        <v>0</v>
      </c>
      <c r="NP115">
        <v>0</v>
      </c>
      <c r="NQ115">
        <v>0</v>
      </c>
      <c r="NR115">
        <v>0</v>
      </c>
      <c r="NS115">
        <v>0</v>
      </c>
      <c r="NT115">
        <v>0</v>
      </c>
      <c r="NU115">
        <v>0</v>
      </c>
      <c r="NV115">
        <v>0</v>
      </c>
      <c r="NW115">
        <v>0</v>
      </c>
      <c r="NX115">
        <v>0</v>
      </c>
      <c r="NY115">
        <v>0</v>
      </c>
      <c r="NZ115">
        <v>-631</v>
      </c>
      <c r="OA115">
        <v>82</v>
      </c>
      <c r="OB115">
        <v>-549</v>
      </c>
      <c r="OC115">
        <v>1</v>
      </c>
      <c r="OD115">
        <v>0</v>
      </c>
      <c r="OE115">
        <v>0</v>
      </c>
      <c r="OF115">
        <v>0</v>
      </c>
      <c r="OG115">
        <v>0</v>
      </c>
      <c r="OH115">
        <v>1</v>
      </c>
      <c r="OI115">
        <v>76</v>
      </c>
      <c r="OJ115">
        <v>0</v>
      </c>
      <c r="OK115">
        <v>6</v>
      </c>
      <c r="OL115">
        <v>0</v>
      </c>
      <c r="OM115">
        <v>0</v>
      </c>
      <c r="ON115">
        <v>82</v>
      </c>
    </row>
    <row r="116" spans="1:404" x14ac:dyDescent="0.25">
      <c r="A116" t="s">
        <v>412</v>
      </c>
      <c r="B116" t="s">
        <v>413</v>
      </c>
      <c r="C116" t="s">
        <v>411</v>
      </c>
      <c r="E116" t="s">
        <v>61</v>
      </c>
      <c r="F116">
        <v>0</v>
      </c>
      <c r="G116">
        <v>0</v>
      </c>
      <c r="H116">
        <v>0</v>
      </c>
      <c r="I116">
        <v>0</v>
      </c>
      <c r="J116">
        <v>0</v>
      </c>
      <c r="K116">
        <v>0</v>
      </c>
      <c r="L116">
        <v>0</v>
      </c>
      <c r="M116">
        <v>0</v>
      </c>
      <c r="N116">
        <v>0</v>
      </c>
      <c r="O116">
        <v>0</v>
      </c>
      <c r="P116">
        <v>0</v>
      </c>
      <c r="Q116">
        <v>0</v>
      </c>
      <c r="R116">
        <v>0</v>
      </c>
      <c r="S116">
        <v>0</v>
      </c>
      <c r="T116">
        <v>0</v>
      </c>
      <c r="U116">
        <v>0</v>
      </c>
      <c r="V116">
        <v>0</v>
      </c>
      <c r="W116">
        <v>0</v>
      </c>
      <c r="X116">
        <v>0</v>
      </c>
      <c r="Y116">
        <v>0</v>
      </c>
      <c r="Z116">
        <v>0</v>
      </c>
      <c r="AA116">
        <v>-1941</v>
      </c>
      <c r="AB116">
        <v>0</v>
      </c>
      <c r="AC116">
        <v>0</v>
      </c>
      <c r="AD116">
        <v>0</v>
      </c>
      <c r="AE116">
        <v>0</v>
      </c>
      <c r="AF116">
        <v>0</v>
      </c>
      <c r="AG116">
        <v>35</v>
      </c>
      <c r="AH116">
        <v>0</v>
      </c>
      <c r="AI116">
        <v>-1906</v>
      </c>
      <c r="AJ116">
        <v>0</v>
      </c>
      <c r="AK116">
        <v>0</v>
      </c>
      <c r="AL116">
        <v>0</v>
      </c>
      <c r="AM116">
        <v>0</v>
      </c>
      <c r="AN116">
        <v>0</v>
      </c>
      <c r="AO116">
        <v>0</v>
      </c>
      <c r="AP116">
        <v>0</v>
      </c>
      <c r="AQ116">
        <v>0</v>
      </c>
      <c r="AR116">
        <v>0</v>
      </c>
      <c r="AS116">
        <v>0</v>
      </c>
      <c r="AT116">
        <v>0</v>
      </c>
      <c r="AU116">
        <v>0</v>
      </c>
      <c r="AV116">
        <v>0</v>
      </c>
      <c r="AW116">
        <v>0</v>
      </c>
      <c r="AX116">
        <v>0</v>
      </c>
      <c r="AY116">
        <v>0</v>
      </c>
      <c r="AZ116">
        <v>0</v>
      </c>
      <c r="BA116">
        <v>0</v>
      </c>
      <c r="BB116">
        <v>0</v>
      </c>
      <c r="BC116">
        <v>0</v>
      </c>
      <c r="BD116">
        <v>0</v>
      </c>
      <c r="BE116">
        <v>0</v>
      </c>
      <c r="BF116">
        <v>0</v>
      </c>
      <c r="BG116">
        <v>0</v>
      </c>
      <c r="BH116">
        <v>0</v>
      </c>
      <c r="BI116">
        <v>0</v>
      </c>
      <c r="BJ116">
        <v>0</v>
      </c>
      <c r="BK116">
        <v>0</v>
      </c>
      <c r="BL116">
        <v>0</v>
      </c>
      <c r="BM116">
        <v>0</v>
      </c>
      <c r="BN116">
        <v>0</v>
      </c>
      <c r="BO116">
        <v>0</v>
      </c>
      <c r="BP116">
        <v>0</v>
      </c>
      <c r="BQ116">
        <v>0</v>
      </c>
      <c r="BR116">
        <v>0</v>
      </c>
      <c r="BS116">
        <v>0</v>
      </c>
      <c r="BT116">
        <v>0</v>
      </c>
      <c r="BU116">
        <v>0</v>
      </c>
      <c r="BV116">
        <v>0</v>
      </c>
      <c r="BW116">
        <v>0</v>
      </c>
      <c r="BX116">
        <v>0</v>
      </c>
      <c r="BY116">
        <v>0</v>
      </c>
      <c r="BZ116">
        <v>0</v>
      </c>
      <c r="CA116">
        <v>0</v>
      </c>
      <c r="CB116">
        <v>0</v>
      </c>
      <c r="CC116">
        <v>0</v>
      </c>
      <c r="CD116">
        <v>0</v>
      </c>
      <c r="CE116">
        <v>0</v>
      </c>
      <c r="CF116">
        <v>0</v>
      </c>
      <c r="CG116">
        <v>0</v>
      </c>
      <c r="CH116">
        <v>0</v>
      </c>
      <c r="CI116">
        <v>0</v>
      </c>
      <c r="CJ116">
        <v>0</v>
      </c>
      <c r="CK116">
        <v>0</v>
      </c>
      <c r="CL116">
        <v>0</v>
      </c>
      <c r="CM116">
        <v>0</v>
      </c>
      <c r="CN116">
        <v>0</v>
      </c>
      <c r="CO116">
        <v>0</v>
      </c>
      <c r="CP116">
        <v>0</v>
      </c>
      <c r="CQ116">
        <v>0</v>
      </c>
      <c r="CR116">
        <v>0</v>
      </c>
      <c r="CS116">
        <v>0</v>
      </c>
      <c r="CT116">
        <v>0</v>
      </c>
      <c r="CU116">
        <v>0</v>
      </c>
      <c r="CV116">
        <v>0</v>
      </c>
      <c r="CW116">
        <v>0</v>
      </c>
      <c r="CX116">
        <v>0</v>
      </c>
      <c r="CY116">
        <v>0</v>
      </c>
      <c r="CZ116">
        <v>0</v>
      </c>
      <c r="DA116">
        <v>0</v>
      </c>
      <c r="DB116">
        <v>0</v>
      </c>
      <c r="DC116">
        <v>693</v>
      </c>
      <c r="DD116">
        <v>0</v>
      </c>
      <c r="DE116">
        <v>12</v>
      </c>
      <c r="DF116">
        <v>0</v>
      </c>
      <c r="DG116">
        <v>0</v>
      </c>
      <c r="DH116">
        <v>0</v>
      </c>
      <c r="DI116">
        <v>0</v>
      </c>
      <c r="DJ116">
        <v>0</v>
      </c>
      <c r="DK116">
        <v>0</v>
      </c>
      <c r="DL116">
        <v>0</v>
      </c>
      <c r="DM116">
        <v>916</v>
      </c>
      <c r="DN116">
        <v>560</v>
      </c>
      <c r="DO116">
        <v>0</v>
      </c>
      <c r="DP116">
        <v>1476</v>
      </c>
      <c r="DQ116">
        <v>-227</v>
      </c>
      <c r="DR116">
        <v>0</v>
      </c>
      <c r="DS116">
        <v>0</v>
      </c>
      <c r="DT116">
        <v>503</v>
      </c>
      <c r="DU116">
        <v>0</v>
      </c>
      <c r="DV116">
        <v>-64</v>
      </c>
      <c r="DW116">
        <v>0</v>
      </c>
      <c r="DX116">
        <v>2393</v>
      </c>
      <c r="DY116">
        <v>0</v>
      </c>
      <c r="DZ116">
        <v>0</v>
      </c>
      <c r="EA116">
        <v>0</v>
      </c>
      <c r="EB116">
        <v>0</v>
      </c>
      <c r="EC116">
        <v>0</v>
      </c>
      <c r="ED116">
        <v>0</v>
      </c>
      <c r="EE116">
        <v>0</v>
      </c>
      <c r="EF116">
        <v>0</v>
      </c>
      <c r="EG116">
        <v>0</v>
      </c>
      <c r="EH116">
        <v>0</v>
      </c>
      <c r="EI116">
        <v>0</v>
      </c>
      <c r="EJ116">
        <v>0</v>
      </c>
      <c r="EK116">
        <v>0</v>
      </c>
      <c r="EL116">
        <v>0</v>
      </c>
      <c r="EM116">
        <v>0</v>
      </c>
      <c r="EN116">
        <v>0</v>
      </c>
      <c r="EO116">
        <v>0</v>
      </c>
      <c r="EP116">
        <v>0</v>
      </c>
      <c r="EQ116">
        <v>0</v>
      </c>
      <c r="ER116">
        <v>0</v>
      </c>
      <c r="ES116">
        <v>0</v>
      </c>
      <c r="ET116">
        <v>0</v>
      </c>
      <c r="EU116">
        <v>0</v>
      </c>
      <c r="EV116">
        <v>613</v>
      </c>
      <c r="EW116">
        <v>6</v>
      </c>
      <c r="EX116">
        <v>0</v>
      </c>
      <c r="EY116">
        <v>146</v>
      </c>
      <c r="EZ116">
        <v>0</v>
      </c>
      <c r="FA116">
        <v>-844</v>
      </c>
      <c r="FB116">
        <v>482</v>
      </c>
      <c r="FC116">
        <v>1167</v>
      </c>
      <c r="FD116">
        <v>1379</v>
      </c>
      <c r="FE116">
        <v>0</v>
      </c>
      <c r="FF116">
        <v>432</v>
      </c>
      <c r="FG116">
        <v>0</v>
      </c>
      <c r="FH116">
        <v>3381</v>
      </c>
      <c r="FI116">
        <v>2</v>
      </c>
      <c r="FJ116">
        <v>0</v>
      </c>
      <c r="FK116">
        <v>1</v>
      </c>
      <c r="FL116">
        <v>292</v>
      </c>
      <c r="FM116">
        <v>847</v>
      </c>
      <c r="FN116">
        <v>137</v>
      </c>
      <c r="FO116">
        <v>51</v>
      </c>
      <c r="FP116">
        <v>0</v>
      </c>
      <c r="FQ116">
        <v>0</v>
      </c>
      <c r="FR116">
        <v>0</v>
      </c>
      <c r="FS116">
        <v>542</v>
      </c>
      <c r="FT116">
        <v>0</v>
      </c>
      <c r="FU116">
        <v>137</v>
      </c>
      <c r="FV116">
        <v>0</v>
      </c>
      <c r="FW116">
        <v>154</v>
      </c>
      <c r="FX116">
        <v>380</v>
      </c>
      <c r="FY116">
        <v>0</v>
      </c>
      <c r="FZ116">
        <v>0</v>
      </c>
      <c r="GA116">
        <v>3807</v>
      </c>
      <c r="GB116">
        <v>0</v>
      </c>
      <c r="GC116">
        <v>0</v>
      </c>
      <c r="GD116">
        <v>1474</v>
      </c>
      <c r="GE116">
        <v>2963</v>
      </c>
      <c r="GF116">
        <v>0</v>
      </c>
      <c r="GG116">
        <v>0</v>
      </c>
      <c r="GH116">
        <v>-475</v>
      </c>
      <c r="GI116">
        <v>0</v>
      </c>
      <c r="GJ116">
        <v>110</v>
      </c>
      <c r="GK116">
        <v>10422</v>
      </c>
      <c r="GL116">
        <v>97</v>
      </c>
      <c r="GM116">
        <v>246</v>
      </c>
      <c r="GN116">
        <v>0</v>
      </c>
      <c r="GO116">
        <v>649</v>
      </c>
      <c r="GP116">
        <v>0</v>
      </c>
      <c r="GQ116">
        <v>210</v>
      </c>
      <c r="GR116">
        <v>0</v>
      </c>
      <c r="GS116">
        <v>469</v>
      </c>
      <c r="GT116">
        <v>0</v>
      </c>
      <c r="GU116">
        <v>1671</v>
      </c>
      <c r="GV116">
        <v>15474</v>
      </c>
      <c r="GW116">
        <v>0</v>
      </c>
      <c r="GX116">
        <v>0</v>
      </c>
      <c r="GY116">
        <v>0</v>
      </c>
      <c r="GZ116">
        <v>0</v>
      </c>
      <c r="HA116">
        <v>0</v>
      </c>
      <c r="HB116">
        <v>2872</v>
      </c>
      <c r="HC116">
        <v>467</v>
      </c>
      <c r="HD116">
        <v>0</v>
      </c>
      <c r="HE116">
        <v>0</v>
      </c>
      <c r="HF116">
        <v>891</v>
      </c>
      <c r="HG116">
        <v>30</v>
      </c>
      <c r="HH116">
        <v>0</v>
      </c>
      <c r="HI116">
        <v>0</v>
      </c>
      <c r="HJ116">
        <v>198</v>
      </c>
      <c r="HK116">
        <v>180</v>
      </c>
      <c r="HL116">
        <v>3034</v>
      </c>
      <c r="HM116">
        <v>-63</v>
      </c>
      <c r="HN116">
        <v>0</v>
      </c>
      <c r="HO116">
        <v>60</v>
      </c>
      <c r="HP116">
        <v>0</v>
      </c>
      <c r="HQ116">
        <v>0</v>
      </c>
      <c r="HR116">
        <v>1096</v>
      </c>
      <c r="HS116">
        <v>29</v>
      </c>
      <c r="HT116">
        <v>0</v>
      </c>
      <c r="HU116">
        <v>0</v>
      </c>
      <c r="HV116">
        <v>8794</v>
      </c>
      <c r="HW116">
        <v>0</v>
      </c>
      <c r="HX116">
        <v>0</v>
      </c>
      <c r="HY116">
        <v>0</v>
      </c>
      <c r="HZ116">
        <v>0</v>
      </c>
      <c r="IA116">
        <v>0</v>
      </c>
      <c r="IB116">
        <v>260</v>
      </c>
      <c r="IC116">
        <v>0</v>
      </c>
      <c r="ID116">
        <v>-1906</v>
      </c>
      <c r="IE116">
        <v>0</v>
      </c>
      <c r="IF116">
        <v>0</v>
      </c>
      <c r="IG116">
        <v>0</v>
      </c>
      <c r="IH116">
        <v>2393</v>
      </c>
      <c r="II116">
        <v>3381</v>
      </c>
      <c r="IJ116">
        <v>10422</v>
      </c>
      <c r="IK116">
        <v>1671</v>
      </c>
      <c r="IL116">
        <v>0</v>
      </c>
      <c r="IM116">
        <v>0</v>
      </c>
      <c r="IN116">
        <v>8794</v>
      </c>
      <c r="IO116">
        <v>260</v>
      </c>
      <c r="IP116">
        <v>25015</v>
      </c>
      <c r="IQ116">
        <v>27871</v>
      </c>
      <c r="IR116">
        <v>93</v>
      </c>
      <c r="IS116">
        <v>0</v>
      </c>
      <c r="IT116">
        <v>0</v>
      </c>
      <c r="IU116">
        <v>0</v>
      </c>
      <c r="IV116">
        <v>3041</v>
      </c>
      <c r="IW116">
        <v>0</v>
      </c>
      <c r="IX116">
        <v>0</v>
      </c>
      <c r="IY116">
        <v>0</v>
      </c>
      <c r="IZ116">
        <v>0</v>
      </c>
      <c r="JA116">
        <v>0</v>
      </c>
      <c r="JB116">
        <v>0</v>
      </c>
      <c r="JC116">
        <v>0</v>
      </c>
      <c r="JD116">
        <v>0</v>
      </c>
      <c r="JE116">
        <v>0</v>
      </c>
      <c r="JF116">
        <v>0</v>
      </c>
      <c r="JG116">
        <v>56020</v>
      </c>
      <c r="JH116">
        <v>0</v>
      </c>
      <c r="JI116">
        <v>5760</v>
      </c>
      <c r="JJ116">
        <v>0</v>
      </c>
      <c r="JK116">
        <v>0</v>
      </c>
      <c r="JL116">
        <v>0</v>
      </c>
      <c r="JM116">
        <v>0</v>
      </c>
      <c r="JN116">
        <v>0</v>
      </c>
      <c r="JO116">
        <v>0</v>
      </c>
      <c r="JP116">
        <v>493</v>
      </c>
      <c r="JQ116">
        <v>0</v>
      </c>
      <c r="JR116">
        <v>62273</v>
      </c>
      <c r="JS116">
        <v>-1428</v>
      </c>
      <c r="JT116">
        <v>0</v>
      </c>
      <c r="JU116">
        <v>0</v>
      </c>
      <c r="JV116">
        <v>0</v>
      </c>
      <c r="JW116">
        <v>-30840</v>
      </c>
      <c r="JX116">
        <v>0</v>
      </c>
      <c r="JY116">
        <v>0</v>
      </c>
      <c r="JZ116">
        <v>0</v>
      </c>
      <c r="KA116">
        <v>0</v>
      </c>
      <c r="KB116">
        <v>0</v>
      </c>
      <c r="KC116">
        <v>30005</v>
      </c>
      <c r="KD116">
        <v>0</v>
      </c>
      <c r="KE116">
        <v>-5246</v>
      </c>
      <c r="KF116">
        <v>24759</v>
      </c>
      <c r="KG116">
        <v>0</v>
      </c>
      <c r="KH116">
        <v>0</v>
      </c>
      <c r="KI116">
        <v>0</v>
      </c>
      <c r="KJ116">
        <v>0</v>
      </c>
      <c r="KK116">
        <v>-6021</v>
      </c>
      <c r="KL116">
        <v>0</v>
      </c>
      <c r="KM116">
        <v>-935</v>
      </c>
      <c r="KN116">
        <v>0</v>
      </c>
      <c r="KO116">
        <v>-1027</v>
      </c>
      <c r="KP116">
        <v>70</v>
      </c>
      <c r="KQ116">
        <v>0</v>
      </c>
      <c r="KR116">
        <v>9879</v>
      </c>
      <c r="KS116">
        <v>0</v>
      </c>
      <c r="KT116">
        <v>0</v>
      </c>
      <c r="KU116">
        <v>0</v>
      </c>
      <c r="KV116">
        <v>35293</v>
      </c>
      <c r="KW116">
        <v>1822</v>
      </c>
      <c r="KX116">
        <v>0</v>
      </c>
      <c r="KY116">
        <v>0</v>
      </c>
      <c r="KZ116">
        <v>0</v>
      </c>
      <c r="LA116">
        <v>29272</v>
      </c>
      <c r="LB116">
        <v>1822</v>
      </c>
      <c r="LC116">
        <v>0</v>
      </c>
      <c r="LD116">
        <v>4110</v>
      </c>
      <c r="LE116">
        <v>0</v>
      </c>
      <c r="LF116">
        <v>60</v>
      </c>
      <c r="LG116">
        <v>-8171</v>
      </c>
      <c r="LH116">
        <v>2876</v>
      </c>
      <c r="LI116">
        <v>2789</v>
      </c>
      <c r="LJ116">
        <v>6174</v>
      </c>
      <c r="LK116">
        <v>5131</v>
      </c>
      <c r="LL116">
        <v>11305</v>
      </c>
      <c r="LM116">
        <v>0</v>
      </c>
      <c r="LN116">
        <v>0</v>
      </c>
      <c r="LO116">
        <v>0</v>
      </c>
      <c r="LP116">
        <v>0</v>
      </c>
      <c r="LQ116">
        <v>0</v>
      </c>
      <c r="LR116">
        <v>0</v>
      </c>
      <c r="LS116">
        <v>0</v>
      </c>
      <c r="LT116">
        <v>0</v>
      </c>
      <c r="LU116">
        <v>0</v>
      </c>
      <c r="LV116">
        <v>-1906</v>
      </c>
      <c r="LW116">
        <v>0</v>
      </c>
      <c r="LX116">
        <v>0</v>
      </c>
      <c r="LY116">
        <v>0</v>
      </c>
      <c r="LZ116">
        <v>2393</v>
      </c>
      <c r="MA116">
        <v>3381</v>
      </c>
      <c r="MB116">
        <v>10422</v>
      </c>
      <c r="MC116">
        <v>1671</v>
      </c>
      <c r="MD116">
        <v>0</v>
      </c>
      <c r="ME116">
        <v>0</v>
      </c>
      <c r="MF116">
        <v>8794</v>
      </c>
      <c r="MG116">
        <v>260</v>
      </c>
      <c r="MH116">
        <v>25015</v>
      </c>
      <c r="MI116">
        <v>0</v>
      </c>
      <c r="MJ116">
        <v>0</v>
      </c>
      <c r="MK116">
        <v>0</v>
      </c>
      <c r="ML116">
        <v>0</v>
      </c>
      <c r="MM116">
        <v>0</v>
      </c>
      <c r="MN116">
        <v>0</v>
      </c>
      <c r="MO116">
        <v>0</v>
      </c>
      <c r="MP116">
        <v>0</v>
      </c>
      <c r="MQ116">
        <v>0</v>
      </c>
      <c r="MR116">
        <v>0</v>
      </c>
      <c r="MS116">
        <v>0</v>
      </c>
      <c r="MT116">
        <v>0</v>
      </c>
      <c r="MU116">
        <v>0</v>
      </c>
      <c r="MV116">
        <v>0</v>
      </c>
      <c r="MW116">
        <v>0</v>
      </c>
      <c r="MX116">
        <v>0</v>
      </c>
      <c r="MY116">
        <v>0</v>
      </c>
      <c r="MZ116">
        <v>0</v>
      </c>
      <c r="NA116">
        <v>0</v>
      </c>
      <c r="NB116">
        <v>0</v>
      </c>
      <c r="NC116">
        <v>0</v>
      </c>
      <c r="ND116">
        <v>0</v>
      </c>
      <c r="NE116">
        <v>0</v>
      </c>
      <c r="NF116">
        <v>0</v>
      </c>
      <c r="NG116">
        <v>0</v>
      </c>
      <c r="NH116">
        <v>0</v>
      </c>
      <c r="NI116">
        <v>0</v>
      </c>
      <c r="NJ116">
        <v>0</v>
      </c>
      <c r="NK116">
        <v>0</v>
      </c>
      <c r="NL116">
        <v>0</v>
      </c>
      <c r="NM116">
        <v>0</v>
      </c>
      <c r="NN116">
        <v>0</v>
      </c>
      <c r="NO116">
        <v>0</v>
      </c>
      <c r="NP116">
        <v>0</v>
      </c>
      <c r="NQ116">
        <v>0</v>
      </c>
      <c r="NR116">
        <v>0</v>
      </c>
      <c r="NS116">
        <v>0</v>
      </c>
      <c r="NT116">
        <v>0</v>
      </c>
      <c r="NU116">
        <v>0</v>
      </c>
      <c r="NV116">
        <v>0</v>
      </c>
      <c r="NW116">
        <v>0</v>
      </c>
      <c r="NX116">
        <v>0</v>
      </c>
      <c r="NY116">
        <v>0</v>
      </c>
      <c r="NZ116">
        <v>0</v>
      </c>
      <c r="OA116">
        <v>0</v>
      </c>
      <c r="OB116">
        <v>0</v>
      </c>
      <c r="OC116">
        <v>0</v>
      </c>
      <c r="OD116">
        <v>0</v>
      </c>
      <c r="OE116">
        <v>0</v>
      </c>
      <c r="OF116">
        <v>0</v>
      </c>
      <c r="OG116">
        <v>0</v>
      </c>
      <c r="OH116">
        <v>0</v>
      </c>
      <c r="OI116">
        <v>0</v>
      </c>
      <c r="OJ116">
        <v>0</v>
      </c>
      <c r="OK116">
        <v>0</v>
      </c>
      <c r="OL116">
        <v>0</v>
      </c>
      <c r="OM116">
        <v>0</v>
      </c>
      <c r="ON116">
        <v>0</v>
      </c>
    </row>
    <row r="117" spans="1:404" x14ac:dyDescent="0.25">
      <c r="A117" t="s">
        <v>415</v>
      </c>
      <c r="B117" t="s">
        <v>416</v>
      </c>
      <c r="C117" t="s">
        <v>414</v>
      </c>
      <c r="E117" t="s">
        <v>5425</v>
      </c>
      <c r="F117">
        <v>0</v>
      </c>
      <c r="G117">
        <v>0</v>
      </c>
      <c r="H117">
        <v>0</v>
      </c>
      <c r="I117">
        <v>0</v>
      </c>
      <c r="J117">
        <v>0</v>
      </c>
      <c r="K117">
        <v>0</v>
      </c>
      <c r="L117">
        <v>0</v>
      </c>
      <c r="M117">
        <v>0</v>
      </c>
      <c r="N117">
        <v>0</v>
      </c>
      <c r="O117">
        <v>0</v>
      </c>
      <c r="P117">
        <v>0</v>
      </c>
      <c r="Q117">
        <v>0</v>
      </c>
      <c r="R117">
        <v>0</v>
      </c>
      <c r="S117">
        <v>0</v>
      </c>
      <c r="T117">
        <v>0</v>
      </c>
      <c r="U117">
        <v>0</v>
      </c>
      <c r="V117">
        <v>0</v>
      </c>
      <c r="W117">
        <v>0</v>
      </c>
      <c r="X117">
        <v>0</v>
      </c>
      <c r="Y117">
        <v>0</v>
      </c>
      <c r="Z117">
        <v>0</v>
      </c>
      <c r="AA117">
        <v>0</v>
      </c>
      <c r="AB117">
        <v>0</v>
      </c>
      <c r="AC117">
        <v>0</v>
      </c>
      <c r="AD117">
        <v>0</v>
      </c>
      <c r="AE117">
        <v>0</v>
      </c>
      <c r="AF117">
        <v>0</v>
      </c>
      <c r="AG117">
        <v>0</v>
      </c>
      <c r="AH117">
        <v>0</v>
      </c>
      <c r="AI117">
        <v>0</v>
      </c>
      <c r="AJ117">
        <v>0</v>
      </c>
      <c r="AK117">
        <v>0</v>
      </c>
      <c r="AL117">
        <v>0</v>
      </c>
      <c r="AM117">
        <v>0</v>
      </c>
      <c r="AN117">
        <v>0</v>
      </c>
      <c r="AO117">
        <v>0</v>
      </c>
      <c r="AP117">
        <v>0</v>
      </c>
      <c r="AQ117">
        <v>0</v>
      </c>
      <c r="AR117">
        <v>0</v>
      </c>
      <c r="AS117">
        <v>0</v>
      </c>
      <c r="AT117">
        <v>0</v>
      </c>
      <c r="AU117">
        <v>0</v>
      </c>
      <c r="AV117">
        <v>0</v>
      </c>
      <c r="AW117">
        <v>0</v>
      </c>
      <c r="AX117">
        <v>0</v>
      </c>
      <c r="AY117">
        <v>0</v>
      </c>
      <c r="AZ117">
        <v>0</v>
      </c>
      <c r="BA117">
        <v>0</v>
      </c>
      <c r="BB117">
        <v>0</v>
      </c>
      <c r="BC117">
        <v>0</v>
      </c>
      <c r="BD117">
        <v>0</v>
      </c>
      <c r="BE117">
        <v>0</v>
      </c>
      <c r="BF117">
        <v>0</v>
      </c>
      <c r="BG117">
        <v>0</v>
      </c>
      <c r="BH117">
        <v>0</v>
      </c>
      <c r="BI117">
        <v>0</v>
      </c>
      <c r="BJ117">
        <v>0</v>
      </c>
      <c r="BK117">
        <v>0</v>
      </c>
      <c r="BL117">
        <v>0</v>
      </c>
      <c r="BM117">
        <v>0</v>
      </c>
      <c r="BN117">
        <v>0</v>
      </c>
      <c r="BO117">
        <v>0</v>
      </c>
      <c r="BP117">
        <v>0</v>
      </c>
      <c r="BQ117">
        <v>0</v>
      </c>
      <c r="BR117">
        <v>0</v>
      </c>
      <c r="BS117">
        <v>0</v>
      </c>
      <c r="BT117">
        <v>0</v>
      </c>
      <c r="BU117">
        <v>0</v>
      </c>
      <c r="BV117">
        <v>0</v>
      </c>
      <c r="BW117">
        <v>0</v>
      </c>
      <c r="BX117">
        <v>0</v>
      </c>
      <c r="BY117">
        <v>0</v>
      </c>
      <c r="BZ117">
        <v>0</v>
      </c>
      <c r="CA117">
        <v>0</v>
      </c>
      <c r="CB117">
        <v>0</v>
      </c>
      <c r="CC117">
        <v>0</v>
      </c>
      <c r="CD117">
        <v>0</v>
      </c>
      <c r="CE117">
        <v>0</v>
      </c>
      <c r="CF117">
        <v>0</v>
      </c>
      <c r="CG117">
        <v>0</v>
      </c>
      <c r="CH117">
        <v>0</v>
      </c>
      <c r="CI117">
        <v>0</v>
      </c>
      <c r="CJ117">
        <v>0</v>
      </c>
      <c r="CK117">
        <v>0</v>
      </c>
      <c r="CL117">
        <v>0</v>
      </c>
      <c r="CM117">
        <v>0</v>
      </c>
      <c r="CN117">
        <v>0</v>
      </c>
      <c r="CO117">
        <v>0</v>
      </c>
      <c r="CP117">
        <v>0</v>
      </c>
      <c r="CQ117">
        <v>0</v>
      </c>
      <c r="CR117">
        <v>0</v>
      </c>
      <c r="CS117">
        <v>0</v>
      </c>
      <c r="CT117">
        <v>0</v>
      </c>
      <c r="CU117">
        <v>0</v>
      </c>
      <c r="CV117">
        <v>0</v>
      </c>
      <c r="CW117">
        <v>0</v>
      </c>
      <c r="CX117">
        <v>0</v>
      </c>
      <c r="CY117">
        <v>0</v>
      </c>
      <c r="CZ117">
        <v>0</v>
      </c>
      <c r="DA117">
        <v>0</v>
      </c>
      <c r="DB117">
        <v>0</v>
      </c>
      <c r="DC117">
        <v>0</v>
      </c>
      <c r="DD117">
        <v>0</v>
      </c>
      <c r="DE117">
        <v>0</v>
      </c>
      <c r="DF117">
        <v>0</v>
      </c>
      <c r="DG117">
        <v>0</v>
      </c>
      <c r="DH117">
        <v>0</v>
      </c>
      <c r="DI117">
        <v>0</v>
      </c>
      <c r="DJ117">
        <v>0</v>
      </c>
      <c r="DK117">
        <v>0</v>
      </c>
      <c r="DL117">
        <v>0</v>
      </c>
      <c r="DM117">
        <v>0</v>
      </c>
      <c r="DN117">
        <v>0</v>
      </c>
      <c r="DO117">
        <v>0</v>
      </c>
      <c r="DP117">
        <v>0</v>
      </c>
      <c r="DQ117">
        <v>0</v>
      </c>
      <c r="DR117">
        <v>0</v>
      </c>
      <c r="DS117">
        <v>0</v>
      </c>
      <c r="DT117">
        <v>0</v>
      </c>
      <c r="DU117">
        <v>0</v>
      </c>
      <c r="DV117">
        <v>0</v>
      </c>
      <c r="DW117">
        <v>0</v>
      </c>
      <c r="DX117">
        <v>0</v>
      </c>
      <c r="DY117">
        <v>0</v>
      </c>
      <c r="DZ117">
        <v>0</v>
      </c>
      <c r="EA117">
        <v>0</v>
      </c>
      <c r="EB117">
        <v>0</v>
      </c>
      <c r="EC117">
        <v>0</v>
      </c>
      <c r="ED117">
        <v>0</v>
      </c>
      <c r="EE117">
        <v>0</v>
      </c>
      <c r="EF117">
        <v>0</v>
      </c>
      <c r="EG117">
        <v>0</v>
      </c>
      <c r="EH117">
        <v>0</v>
      </c>
      <c r="EI117">
        <v>0</v>
      </c>
      <c r="EJ117">
        <v>0</v>
      </c>
      <c r="EK117">
        <v>0</v>
      </c>
      <c r="EL117">
        <v>0</v>
      </c>
      <c r="EM117">
        <v>0</v>
      </c>
      <c r="EN117">
        <v>0</v>
      </c>
      <c r="EO117">
        <v>0</v>
      </c>
      <c r="EP117">
        <v>0</v>
      </c>
      <c r="EQ117">
        <v>0</v>
      </c>
      <c r="ER117">
        <v>0</v>
      </c>
      <c r="ES117">
        <v>0</v>
      </c>
      <c r="ET117">
        <v>0</v>
      </c>
      <c r="EU117">
        <v>0</v>
      </c>
      <c r="EV117">
        <v>0</v>
      </c>
      <c r="EW117">
        <v>0</v>
      </c>
      <c r="EX117">
        <v>0</v>
      </c>
      <c r="EY117">
        <v>0</v>
      </c>
      <c r="EZ117">
        <v>0</v>
      </c>
      <c r="FA117">
        <v>0</v>
      </c>
      <c r="FB117">
        <v>0</v>
      </c>
      <c r="FC117">
        <v>0</v>
      </c>
      <c r="FD117">
        <v>0</v>
      </c>
      <c r="FE117">
        <v>0</v>
      </c>
      <c r="FF117">
        <v>0</v>
      </c>
      <c r="FG117">
        <v>0</v>
      </c>
      <c r="FH117">
        <v>0</v>
      </c>
      <c r="FI117">
        <v>0</v>
      </c>
      <c r="FJ117">
        <v>0</v>
      </c>
      <c r="FK117">
        <v>0</v>
      </c>
      <c r="FL117">
        <v>0</v>
      </c>
      <c r="FM117">
        <v>0</v>
      </c>
      <c r="FN117">
        <v>0</v>
      </c>
      <c r="FO117">
        <v>0</v>
      </c>
      <c r="FP117">
        <v>0</v>
      </c>
      <c r="FQ117">
        <v>0</v>
      </c>
      <c r="FR117">
        <v>0</v>
      </c>
      <c r="FS117">
        <v>0</v>
      </c>
      <c r="FT117">
        <v>0</v>
      </c>
      <c r="FU117">
        <v>0</v>
      </c>
      <c r="FV117">
        <v>0</v>
      </c>
      <c r="FW117">
        <v>0</v>
      </c>
      <c r="FX117">
        <v>0</v>
      </c>
      <c r="FY117">
        <v>0</v>
      </c>
      <c r="FZ117">
        <v>0</v>
      </c>
      <c r="GA117">
        <v>0</v>
      </c>
      <c r="GB117">
        <v>0</v>
      </c>
      <c r="GC117">
        <v>0</v>
      </c>
      <c r="GD117">
        <v>0</v>
      </c>
      <c r="GE117">
        <v>0</v>
      </c>
      <c r="GF117">
        <v>52341</v>
      </c>
      <c r="GG117">
        <v>0</v>
      </c>
      <c r="GH117">
        <v>0</v>
      </c>
      <c r="GI117">
        <v>0</v>
      </c>
      <c r="GJ117">
        <v>0</v>
      </c>
      <c r="GK117">
        <v>52341</v>
      </c>
      <c r="GL117">
        <v>0</v>
      </c>
      <c r="GM117">
        <v>0</v>
      </c>
      <c r="GN117">
        <v>0</v>
      </c>
      <c r="GO117">
        <v>0</v>
      </c>
      <c r="GP117">
        <v>0</v>
      </c>
      <c r="GQ117">
        <v>0</v>
      </c>
      <c r="GR117">
        <v>0</v>
      </c>
      <c r="GS117">
        <v>0</v>
      </c>
      <c r="GT117">
        <v>0</v>
      </c>
      <c r="GU117">
        <v>0</v>
      </c>
      <c r="GV117">
        <v>52341</v>
      </c>
      <c r="GW117">
        <v>0</v>
      </c>
      <c r="GX117">
        <v>0</v>
      </c>
      <c r="GY117">
        <v>0</v>
      </c>
      <c r="GZ117">
        <v>0</v>
      </c>
      <c r="HA117">
        <v>0</v>
      </c>
      <c r="HB117">
        <v>0</v>
      </c>
      <c r="HC117">
        <v>0</v>
      </c>
      <c r="HD117">
        <v>0</v>
      </c>
      <c r="HE117">
        <v>0</v>
      </c>
      <c r="HF117">
        <v>0</v>
      </c>
      <c r="HG117">
        <v>0</v>
      </c>
      <c r="HH117">
        <v>0</v>
      </c>
      <c r="HI117">
        <v>0</v>
      </c>
      <c r="HJ117">
        <v>0</v>
      </c>
      <c r="HK117">
        <v>0</v>
      </c>
      <c r="HL117">
        <v>0</v>
      </c>
      <c r="HM117">
        <v>0</v>
      </c>
      <c r="HN117">
        <v>0</v>
      </c>
      <c r="HO117">
        <v>0</v>
      </c>
      <c r="HP117">
        <v>0</v>
      </c>
      <c r="HQ117">
        <v>0</v>
      </c>
      <c r="HR117">
        <v>0</v>
      </c>
      <c r="HS117">
        <v>0</v>
      </c>
      <c r="HT117">
        <v>0</v>
      </c>
      <c r="HU117">
        <v>0</v>
      </c>
      <c r="HV117">
        <v>0</v>
      </c>
      <c r="HW117">
        <v>0</v>
      </c>
      <c r="HX117">
        <v>0</v>
      </c>
      <c r="HY117">
        <v>0</v>
      </c>
      <c r="HZ117">
        <v>0</v>
      </c>
      <c r="IA117">
        <v>0</v>
      </c>
      <c r="IB117">
        <v>0</v>
      </c>
      <c r="IC117">
        <v>0</v>
      </c>
      <c r="ID117">
        <v>0</v>
      </c>
      <c r="IE117">
        <v>0</v>
      </c>
      <c r="IF117">
        <v>0</v>
      </c>
      <c r="IG117">
        <v>0</v>
      </c>
      <c r="IH117">
        <v>0</v>
      </c>
      <c r="II117">
        <v>0</v>
      </c>
      <c r="IJ117">
        <v>52341</v>
      </c>
      <c r="IK117">
        <v>0</v>
      </c>
      <c r="IL117">
        <v>0</v>
      </c>
      <c r="IM117">
        <v>0</v>
      </c>
      <c r="IN117">
        <v>0</v>
      </c>
      <c r="IO117">
        <v>0</v>
      </c>
      <c r="IP117">
        <v>52341</v>
      </c>
      <c r="IQ117">
        <v>0</v>
      </c>
      <c r="IR117">
        <v>0</v>
      </c>
      <c r="IS117">
        <v>0</v>
      </c>
      <c r="IT117">
        <v>0</v>
      </c>
      <c r="IU117">
        <v>0</v>
      </c>
      <c r="IV117">
        <v>0</v>
      </c>
      <c r="IW117">
        <v>0</v>
      </c>
      <c r="IX117">
        <v>-47563</v>
      </c>
      <c r="IY117">
        <v>0</v>
      </c>
      <c r="IZ117">
        <v>0</v>
      </c>
      <c r="JA117">
        <v>0</v>
      </c>
      <c r="JB117">
        <v>0</v>
      </c>
      <c r="JC117">
        <v>0</v>
      </c>
      <c r="JD117">
        <v>0</v>
      </c>
      <c r="JE117">
        <v>4</v>
      </c>
      <c r="JF117">
        <v>0</v>
      </c>
      <c r="JG117">
        <v>4782</v>
      </c>
      <c r="JH117">
        <v>0</v>
      </c>
      <c r="JI117">
        <v>0</v>
      </c>
      <c r="JJ117">
        <v>0</v>
      </c>
      <c r="JK117">
        <v>0</v>
      </c>
      <c r="JL117">
        <v>0</v>
      </c>
      <c r="JM117">
        <v>0</v>
      </c>
      <c r="JN117">
        <v>4286</v>
      </c>
      <c r="JO117">
        <v>5774</v>
      </c>
      <c r="JP117">
        <v>3954</v>
      </c>
      <c r="JQ117">
        <v>0</v>
      </c>
      <c r="JR117">
        <v>18796</v>
      </c>
      <c r="JS117">
        <v>-42</v>
      </c>
      <c r="JT117">
        <v>2728</v>
      </c>
      <c r="JU117">
        <v>0</v>
      </c>
      <c r="JV117">
        <v>0</v>
      </c>
      <c r="JW117">
        <v>0</v>
      </c>
      <c r="JX117">
        <v>0</v>
      </c>
      <c r="JY117">
        <v>0</v>
      </c>
      <c r="JZ117">
        <v>0</v>
      </c>
      <c r="KA117">
        <v>0</v>
      </c>
      <c r="KB117">
        <v>0</v>
      </c>
      <c r="KC117">
        <v>21482</v>
      </c>
      <c r="KD117">
        <v>0</v>
      </c>
      <c r="KE117">
        <v>-3991</v>
      </c>
      <c r="KF117">
        <v>17491</v>
      </c>
      <c r="KG117">
        <v>0</v>
      </c>
      <c r="KH117">
        <v>0</v>
      </c>
      <c r="KI117">
        <v>0</v>
      </c>
      <c r="KJ117">
        <v>0</v>
      </c>
      <c r="KK117">
        <v>-17491</v>
      </c>
      <c r="KL117">
        <v>0</v>
      </c>
      <c r="KM117">
        <v>0</v>
      </c>
      <c r="KN117">
        <v>0</v>
      </c>
      <c r="KO117">
        <v>0</v>
      </c>
      <c r="KP117">
        <v>0</v>
      </c>
      <c r="KQ117">
        <v>0</v>
      </c>
      <c r="KR117">
        <v>0</v>
      </c>
      <c r="KS117">
        <v>0</v>
      </c>
      <c r="KT117">
        <v>0</v>
      </c>
      <c r="KU117">
        <v>0</v>
      </c>
      <c r="KV117">
        <v>23858</v>
      </c>
      <c r="KW117">
        <v>3000</v>
      </c>
      <c r="KX117">
        <v>0</v>
      </c>
      <c r="KY117">
        <v>0</v>
      </c>
      <c r="KZ117">
        <v>0</v>
      </c>
      <c r="LA117">
        <v>6367</v>
      </c>
      <c r="LB117">
        <v>3000</v>
      </c>
      <c r="LC117">
        <v>0</v>
      </c>
      <c r="LD117">
        <v>6347</v>
      </c>
      <c r="LE117">
        <v>-210</v>
      </c>
      <c r="LF117">
        <v>0</v>
      </c>
      <c r="LG117">
        <v>0</v>
      </c>
      <c r="LH117">
        <v>0</v>
      </c>
      <c r="LI117">
        <v>6137</v>
      </c>
      <c r="LJ117">
        <v>0</v>
      </c>
      <c r="LK117">
        <v>0</v>
      </c>
      <c r="LL117">
        <v>0</v>
      </c>
      <c r="LM117">
        <v>0</v>
      </c>
      <c r="LN117">
        <v>0</v>
      </c>
      <c r="LO117">
        <v>0</v>
      </c>
      <c r="LP117">
        <v>0</v>
      </c>
      <c r="LQ117">
        <v>0</v>
      </c>
      <c r="LR117">
        <v>0</v>
      </c>
      <c r="LS117">
        <v>0</v>
      </c>
      <c r="LT117">
        <v>0</v>
      </c>
      <c r="LU117">
        <v>0</v>
      </c>
      <c r="LV117">
        <v>0</v>
      </c>
      <c r="LW117">
        <v>0</v>
      </c>
      <c r="LX117">
        <v>0</v>
      </c>
      <c r="LY117">
        <v>0</v>
      </c>
      <c r="LZ117">
        <v>0</v>
      </c>
      <c r="MA117">
        <v>0</v>
      </c>
      <c r="MB117">
        <v>52341</v>
      </c>
      <c r="MC117">
        <v>0</v>
      </c>
      <c r="MD117">
        <v>0</v>
      </c>
      <c r="ME117">
        <v>0</v>
      </c>
      <c r="MF117">
        <v>0</v>
      </c>
      <c r="MG117">
        <v>0</v>
      </c>
      <c r="MH117">
        <v>52341</v>
      </c>
      <c r="MI117">
        <v>0</v>
      </c>
      <c r="MJ117">
        <v>0</v>
      </c>
      <c r="MK117">
        <v>0</v>
      </c>
      <c r="ML117">
        <v>0</v>
      </c>
      <c r="MM117">
        <v>0</v>
      </c>
      <c r="MN117">
        <v>0</v>
      </c>
      <c r="MO117">
        <v>0</v>
      </c>
      <c r="MP117">
        <v>0</v>
      </c>
      <c r="MQ117">
        <v>0</v>
      </c>
      <c r="MR117">
        <v>0</v>
      </c>
      <c r="MS117">
        <v>0</v>
      </c>
      <c r="MT117">
        <v>0</v>
      </c>
      <c r="MU117">
        <v>0</v>
      </c>
      <c r="MV117">
        <v>0</v>
      </c>
      <c r="MW117">
        <v>0</v>
      </c>
      <c r="MX117">
        <v>0</v>
      </c>
      <c r="MY117">
        <v>0</v>
      </c>
      <c r="MZ117">
        <v>0</v>
      </c>
      <c r="NA117">
        <v>0</v>
      </c>
      <c r="NB117">
        <v>0</v>
      </c>
      <c r="NC117">
        <v>0</v>
      </c>
      <c r="ND117">
        <v>0</v>
      </c>
      <c r="NE117">
        <v>0</v>
      </c>
      <c r="NF117">
        <v>0</v>
      </c>
      <c r="NG117">
        <v>0</v>
      </c>
      <c r="NH117">
        <v>0</v>
      </c>
      <c r="NI117">
        <v>0</v>
      </c>
      <c r="NJ117">
        <v>0</v>
      </c>
      <c r="NK117">
        <v>0</v>
      </c>
      <c r="NL117">
        <v>0</v>
      </c>
      <c r="NM117">
        <v>0</v>
      </c>
      <c r="NN117">
        <v>0</v>
      </c>
      <c r="NO117">
        <v>0</v>
      </c>
      <c r="NP117">
        <v>0</v>
      </c>
      <c r="NQ117">
        <v>0</v>
      </c>
      <c r="NR117">
        <v>0</v>
      </c>
      <c r="NS117">
        <v>0</v>
      </c>
      <c r="NT117">
        <v>0</v>
      </c>
      <c r="NU117">
        <v>0</v>
      </c>
      <c r="NV117">
        <v>0</v>
      </c>
      <c r="NW117">
        <v>0</v>
      </c>
      <c r="NX117">
        <v>0</v>
      </c>
      <c r="NY117">
        <v>0</v>
      </c>
      <c r="NZ117">
        <v>0</v>
      </c>
      <c r="OA117">
        <v>0</v>
      </c>
      <c r="OB117">
        <v>0</v>
      </c>
      <c r="OC117">
        <v>0</v>
      </c>
      <c r="OD117">
        <v>0</v>
      </c>
      <c r="OE117">
        <v>0</v>
      </c>
      <c r="OF117">
        <v>0</v>
      </c>
      <c r="OG117">
        <v>0</v>
      </c>
      <c r="OH117">
        <v>0</v>
      </c>
      <c r="OI117">
        <v>0</v>
      </c>
      <c r="OJ117">
        <v>0</v>
      </c>
      <c r="OK117">
        <v>0</v>
      </c>
      <c r="OL117">
        <v>0</v>
      </c>
      <c r="OM117">
        <v>0</v>
      </c>
      <c r="ON117">
        <v>0</v>
      </c>
    </row>
    <row r="118" spans="1:404" x14ac:dyDescent="0.25">
      <c r="A118" t="s">
        <v>418</v>
      </c>
      <c r="B118" t="s">
        <v>419</v>
      </c>
      <c r="C118" t="s">
        <v>417</v>
      </c>
      <c r="E118" t="s">
        <v>125</v>
      </c>
      <c r="F118">
        <v>19184</v>
      </c>
      <c r="G118">
        <v>103596</v>
      </c>
      <c r="H118">
        <v>44415</v>
      </c>
      <c r="I118">
        <v>24163</v>
      </c>
      <c r="J118">
        <v>1945</v>
      </c>
      <c r="K118">
        <v>25599</v>
      </c>
      <c r="L118">
        <v>218902</v>
      </c>
      <c r="M118">
        <v>929</v>
      </c>
      <c r="N118">
        <v>380</v>
      </c>
      <c r="O118">
        <v>26</v>
      </c>
      <c r="P118">
        <v>2076</v>
      </c>
      <c r="Q118">
        <v>49</v>
      </c>
      <c r="R118">
        <v>789</v>
      </c>
      <c r="S118">
        <v>6511</v>
      </c>
      <c r="T118">
        <v>1803</v>
      </c>
      <c r="U118">
        <v>2908</v>
      </c>
      <c r="V118">
        <v>0</v>
      </c>
      <c r="W118">
        <v>0</v>
      </c>
      <c r="X118">
        <v>416</v>
      </c>
      <c r="Y118">
        <v>500</v>
      </c>
      <c r="Z118">
        <v>1333</v>
      </c>
      <c r="AA118">
        <v>-2178</v>
      </c>
      <c r="AB118">
        <v>3078</v>
      </c>
      <c r="AC118">
        <v>0</v>
      </c>
      <c r="AD118">
        <v>1720</v>
      </c>
      <c r="AE118">
        <v>0</v>
      </c>
      <c r="AF118">
        <v>0</v>
      </c>
      <c r="AG118">
        <v>965</v>
      </c>
      <c r="AH118">
        <v>0</v>
      </c>
      <c r="AI118">
        <v>21305</v>
      </c>
      <c r="AJ118">
        <v>0</v>
      </c>
      <c r="AK118">
        <v>0</v>
      </c>
      <c r="AL118">
        <v>0</v>
      </c>
      <c r="AM118">
        <v>0</v>
      </c>
      <c r="AN118">
        <v>0</v>
      </c>
      <c r="AO118">
        <v>0</v>
      </c>
      <c r="AP118">
        <v>0</v>
      </c>
      <c r="AQ118">
        <v>0</v>
      </c>
      <c r="AR118">
        <v>882</v>
      </c>
      <c r="AS118">
        <v>0</v>
      </c>
      <c r="AT118">
        <v>0</v>
      </c>
      <c r="AU118">
        <v>0</v>
      </c>
      <c r="AV118">
        <v>4091</v>
      </c>
      <c r="AW118">
        <v>23724</v>
      </c>
      <c r="AX118">
        <v>2405</v>
      </c>
      <c r="AY118">
        <v>10471</v>
      </c>
      <c r="AZ118">
        <v>748</v>
      </c>
      <c r="BA118">
        <v>7017</v>
      </c>
      <c r="BB118">
        <v>156</v>
      </c>
      <c r="BC118">
        <v>1119</v>
      </c>
      <c r="BD118">
        <v>49731</v>
      </c>
      <c r="BE118">
        <v>6257</v>
      </c>
      <c r="BF118">
        <v>14346</v>
      </c>
      <c r="BG118">
        <v>0</v>
      </c>
      <c r="BH118">
        <v>0</v>
      </c>
      <c r="BI118">
        <v>2074</v>
      </c>
      <c r="BJ118">
        <v>17402</v>
      </c>
      <c r="BK118">
        <v>30036</v>
      </c>
      <c r="BL118">
        <v>4393</v>
      </c>
      <c r="BM118">
        <v>3979</v>
      </c>
      <c r="BN118">
        <v>3634</v>
      </c>
      <c r="BO118">
        <v>110</v>
      </c>
      <c r="BP118">
        <v>0</v>
      </c>
      <c r="BQ118">
        <v>0</v>
      </c>
      <c r="BR118">
        <v>493</v>
      </c>
      <c r="BS118">
        <v>1170</v>
      </c>
      <c r="BT118">
        <v>10389</v>
      </c>
      <c r="BU118">
        <v>1968</v>
      </c>
      <c r="BV118">
        <v>14945</v>
      </c>
      <c r="BW118">
        <v>128516</v>
      </c>
      <c r="BX118">
        <v>263</v>
      </c>
      <c r="BY118">
        <v>263</v>
      </c>
      <c r="BZ118">
        <v>118</v>
      </c>
      <c r="CA118">
        <v>11</v>
      </c>
      <c r="CB118">
        <v>54</v>
      </c>
      <c r="CC118">
        <v>9</v>
      </c>
      <c r="CD118">
        <v>191</v>
      </c>
      <c r="CE118">
        <v>222</v>
      </c>
      <c r="CF118">
        <v>72</v>
      </c>
      <c r="CG118">
        <v>520</v>
      </c>
      <c r="CH118">
        <v>388</v>
      </c>
      <c r="CI118">
        <v>614</v>
      </c>
      <c r="CJ118">
        <v>399</v>
      </c>
      <c r="CK118">
        <v>227</v>
      </c>
      <c r="CL118">
        <v>204</v>
      </c>
      <c r="CM118">
        <v>84</v>
      </c>
      <c r="CN118">
        <v>125</v>
      </c>
      <c r="CO118">
        <v>0</v>
      </c>
      <c r="CP118">
        <v>396</v>
      </c>
      <c r="CQ118">
        <v>1403</v>
      </c>
      <c r="CR118">
        <v>58</v>
      </c>
      <c r="CS118">
        <v>65</v>
      </c>
      <c r="CT118">
        <v>19</v>
      </c>
      <c r="CU118">
        <v>2374</v>
      </c>
      <c r="CV118">
        <v>19536</v>
      </c>
      <c r="CW118">
        <v>89</v>
      </c>
      <c r="CX118">
        <v>69</v>
      </c>
      <c r="CY118">
        <v>260</v>
      </c>
      <c r="CZ118">
        <v>0</v>
      </c>
      <c r="DA118">
        <v>0</v>
      </c>
      <c r="DB118">
        <v>0</v>
      </c>
      <c r="DC118">
        <v>425</v>
      </c>
      <c r="DD118">
        <v>0</v>
      </c>
      <c r="DE118">
        <v>77</v>
      </c>
      <c r="DF118">
        <v>23</v>
      </c>
      <c r="DG118">
        <v>0</v>
      </c>
      <c r="DH118">
        <v>0</v>
      </c>
      <c r="DI118">
        <v>0</v>
      </c>
      <c r="DJ118">
        <v>68</v>
      </c>
      <c r="DK118">
        <v>0</v>
      </c>
      <c r="DL118">
        <v>0</v>
      </c>
      <c r="DM118">
        <v>0</v>
      </c>
      <c r="DN118">
        <v>440</v>
      </c>
      <c r="DO118">
        <v>461</v>
      </c>
      <c r="DP118">
        <v>969</v>
      </c>
      <c r="DQ118">
        <v>85</v>
      </c>
      <c r="DR118">
        <v>0</v>
      </c>
      <c r="DS118">
        <v>0</v>
      </c>
      <c r="DT118">
        <v>1583</v>
      </c>
      <c r="DU118">
        <v>20</v>
      </c>
      <c r="DV118">
        <v>576</v>
      </c>
      <c r="DW118">
        <v>0</v>
      </c>
      <c r="DX118">
        <v>3758</v>
      </c>
      <c r="DY118">
        <v>48432</v>
      </c>
      <c r="DZ118">
        <v>638</v>
      </c>
      <c r="EA118">
        <v>279</v>
      </c>
      <c r="EB118">
        <v>1420</v>
      </c>
      <c r="EC118">
        <v>0</v>
      </c>
      <c r="ED118">
        <v>188</v>
      </c>
      <c r="EE118">
        <v>0</v>
      </c>
      <c r="EF118">
        <v>21000</v>
      </c>
      <c r="EG118">
        <v>-64</v>
      </c>
      <c r="EH118">
        <v>10523</v>
      </c>
      <c r="EI118">
        <v>6680</v>
      </c>
      <c r="EJ118">
        <v>2772</v>
      </c>
      <c r="EK118">
        <v>598</v>
      </c>
      <c r="EL118">
        <v>7814</v>
      </c>
      <c r="EM118">
        <v>9995</v>
      </c>
      <c r="EN118">
        <v>5105</v>
      </c>
      <c r="EO118">
        <v>77</v>
      </c>
      <c r="EP118">
        <v>21094</v>
      </c>
      <c r="EQ118">
        <v>6412</v>
      </c>
      <c r="ER118">
        <v>610</v>
      </c>
      <c r="ES118">
        <v>5397</v>
      </c>
      <c r="ET118">
        <v>5610</v>
      </c>
      <c r="EU118">
        <v>556</v>
      </c>
      <c r="EV118">
        <v>362</v>
      </c>
      <c r="EW118">
        <v>338</v>
      </c>
      <c r="EX118">
        <v>1078</v>
      </c>
      <c r="EY118">
        <v>1662</v>
      </c>
      <c r="EZ118">
        <v>0</v>
      </c>
      <c r="FA118">
        <v>523</v>
      </c>
      <c r="FB118">
        <v>383</v>
      </c>
      <c r="FC118">
        <v>8113</v>
      </c>
      <c r="FD118">
        <v>1038</v>
      </c>
      <c r="FE118">
        <v>17</v>
      </c>
      <c r="FF118">
        <v>1023</v>
      </c>
      <c r="FG118">
        <v>3411</v>
      </c>
      <c r="FH118">
        <v>18504</v>
      </c>
      <c r="FI118">
        <v>338</v>
      </c>
      <c r="FJ118">
        <v>1191</v>
      </c>
      <c r="FK118">
        <v>34</v>
      </c>
      <c r="FL118">
        <v>876</v>
      </c>
      <c r="FM118">
        <v>612</v>
      </c>
      <c r="FN118">
        <v>751</v>
      </c>
      <c r="FO118">
        <v>230</v>
      </c>
      <c r="FP118">
        <v>0</v>
      </c>
      <c r="FQ118">
        <v>36</v>
      </c>
      <c r="FR118">
        <v>29</v>
      </c>
      <c r="FS118">
        <v>793</v>
      </c>
      <c r="FT118">
        <v>536</v>
      </c>
      <c r="FU118">
        <v>270</v>
      </c>
      <c r="FV118">
        <v>280</v>
      </c>
      <c r="FW118">
        <v>0</v>
      </c>
      <c r="FX118">
        <v>147</v>
      </c>
      <c r="FY118">
        <v>1049</v>
      </c>
      <c r="FZ118">
        <v>0</v>
      </c>
      <c r="GA118">
        <v>1667</v>
      </c>
      <c r="GB118">
        <v>425</v>
      </c>
      <c r="GC118">
        <v>-452</v>
      </c>
      <c r="GD118">
        <v>4066</v>
      </c>
      <c r="GE118">
        <v>1500</v>
      </c>
      <c r="GF118">
        <v>14648</v>
      </c>
      <c r="GG118">
        <v>0</v>
      </c>
      <c r="GH118">
        <v>8622</v>
      </c>
      <c r="GI118">
        <v>0</v>
      </c>
      <c r="GJ118">
        <v>0</v>
      </c>
      <c r="GK118">
        <v>37648</v>
      </c>
      <c r="GL118">
        <v>405</v>
      </c>
      <c r="GM118">
        <v>1084</v>
      </c>
      <c r="GN118">
        <v>0</v>
      </c>
      <c r="GO118">
        <v>1235</v>
      </c>
      <c r="GP118">
        <v>34</v>
      </c>
      <c r="GQ118">
        <v>6560</v>
      </c>
      <c r="GR118">
        <v>0</v>
      </c>
      <c r="GS118">
        <v>323</v>
      </c>
      <c r="GT118">
        <v>-11</v>
      </c>
      <c r="GU118">
        <v>9630</v>
      </c>
      <c r="GV118">
        <v>65782</v>
      </c>
      <c r="GW118">
        <v>0</v>
      </c>
      <c r="GX118">
        <v>0</v>
      </c>
      <c r="GY118">
        <v>0</v>
      </c>
      <c r="GZ118">
        <v>0</v>
      </c>
      <c r="HA118">
        <v>0</v>
      </c>
      <c r="HB118">
        <v>4599</v>
      </c>
      <c r="HC118">
        <v>1263</v>
      </c>
      <c r="HD118">
        <v>0</v>
      </c>
      <c r="HE118">
        <v>2037</v>
      </c>
      <c r="HF118">
        <v>1642</v>
      </c>
      <c r="HG118">
        <v>151</v>
      </c>
      <c r="HH118">
        <v>0</v>
      </c>
      <c r="HI118">
        <v>115</v>
      </c>
      <c r="HJ118">
        <v>460</v>
      </c>
      <c r="HK118">
        <v>586</v>
      </c>
      <c r="HL118">
        <v>422</v>
      </c>
      <c r="HM118">
        <v>-257</v>
      </c>
      <c r="HN118">
        <v>88</v>
      </c>
      <c r="HO118">
        <v>35114</v>
      </c>
      <c r="HP118">
        <v>764</v>
      </c>
      <c r="HQ118">
        <v>0</v>
      </c>
      <c r="HR118">
        <v>3580</v>
      </c>
      <c r="HS118">
        <v>0</v>
      </c>
      <c r="HT118">
        <v>0</v>
      </c>
      <c r="HU118">
        <v>-8795</v>
      </c>
      <c r="HV118">
        <v>41769</v>
      </c>
      <c r="HW118">
        <v>0</v>
      </c>
      <c r="HX118">
        <v>66931</v>
      </c>
      <c r="HY118">
        <v>13218</v>
      </c>
      <c r="HZ118">
        <v>10644</v>
      </c>
      <c r="IA118">
        <v>6600</v>
      </c>
      <c r="IB118">
        <v>0</v>
      </c>
      <c r="IC118">
        <v>218902</v>
      </c>
      <c r="ID118">
        <v>21305</v>
      </c>
      <c r="IE118">
        <v>49731</v>
      </c>
      <c r="IF118">
        <v>128516</v>
      </c>
      <c r="IG118">
        <v>19536</v>
      </c>
      <c r="IH118">
        <v>3758</v>
      </c>
      <c r="II118">
        <v>18504</v>
      </c>
      <c r="IJ118">
        <v>37648</v>
      </c>
      <c r="IK118">
        <v>9630</v>
      </c>
      <c r="IL118">
        <v>0</v>
      </c>
      <c r="IM118">
        <v>0</v>
      </c>
      <c r="IN118">
        <v>41769</v>
      </c>
      <c r="IO118">
        <v>0</v>
      </c>
      <c r="IP118">
        <v>549299</v>
      </c>
      <c r="IQ118">
        <v>22395</v>
      </c>
      <c r="IR118">
        <v>245</v>
      </c>
      <c r="IS118">
        <v>18814</v>
      </c>
      <c r="IT118">
        <v>0</v>
      </c>
      <c r="IU118">
        <v>0</v>
      </c>
      <c r="IV118">
        <v>6419</v>
      </c>
      <c r="IW118">
        <v>0</v>
      </c>
      <c r="IX118">
        <v>0</v>
      </c>
      <c r="IY118">
        <v>0</v>
      </c>
      <c r="IZ118">
        <v>289</v>
      </c>
      <c r="JA118">
        <v>10</v>
      </c>
      <c r="JB118">
        <v>587</v>
      </c>
      <c r="JC118">
        <v>-1</v>
      </c>
      <c r="JD118">
        <v>-882</v>
      </c>
      <c r="JE118">
        <v>-430</v>
      </c>
      <c r="JF118">
        <v>0</v>
      </c>
      <c r="JG118">
        <v>596745</v>
      </c>
      <c r="JH118">
        <v>206</v>
      </c>
      <c r="JI118">
        <v>10064</v>
      </c>
      <c r="JJ118">
        <v>94</v>
      </c>
      <c r="JK118">
        <v>0</v>
      </c>
      <c r="JL118">
        <v>0</v>
      </c>
      <c r="JM118">
        <v>-117</v>
      </c>
      <c r="JN118">
        <v>9048</v>
      </c>
      <c r="JO118">
        <v>7</v>
      </c>
      <c r="JP118">
        <v>11522</v>
      </c>
      <c r="JQ118">
        <v>-7437</v>
      </c>
      <c r="JR118">
        <v>620132</v>
      </c>
      <c r="JS118">
        <v>-871</v>
      </c>
      <c r="JT118">
        <v>0</v>
      </c>
      <c r="JU118">
        <v>4</v>
      </c>
      <c r="JV118">
        <v>0</v>
      </c>
      <c r="JW118">
        <v>-49137</v>
      </c>
      <c r="JX118">
        <v>0</v>
      </c>
      <c r="JY118">
        <v>0</v>
      </c>
      <c r="JZ118">
        <v>0</v>
      </c>
      <c r="KA118">
        <v>0</v>
      </c>
      <c r="KB118">
        <v>-3169</v>
      </c>
      <c r="KC118">
        <v>566959</v>
      </c>
      <c r="KD118">
        <v>0</v>
      </c>
      <c r="KE118">
        <v>-288385</v>
      </c>
      <c r="KF118">
        <v>278574</v>
      </c>
      <c r="KG118">
        <v>0</v>
      </c>
      <c r="KH118">
        <v>-2228</v>
      </c>
      <c r="KI118">
        <v>0</v>
      </c>
      <c r="KJ118">
        <v>7125</v>
      </c>
      <c r="KK118">
        <v>-7594</v>
      </c>
      <c r="KL118">
        <v>-2808</v>
      </c>
      <c r="KM118">
        <v>-4876</v>
      </c>
      <c r="KN118">
        <v>0</v>
      </c>
      <c r="KO118">
        <v>-49529</v>
      </c>
      <c r="KP118">
        <v>-359</v>
      </c>
      <c r="KQ118">
        <v>0</v>
      </c>
      <c r="KR118">
        <v>189275</v>
      </c>
      <c r="KS118">
        <v>14342</v>
      </c>
      <c r="KT118">
        <v>0</v>
      </c>
      <c r="KU118">
        <v>2751</v>
      </c>
      <c r="KV118">
        <v>139920</v>
      </c>
      <c r="KW118">
        <v>37306</v>
      </c>
      <c r="KX118">
        <v>12114</v>
      </c>
      <c r="KY118">
        <v>0</v>
      </c>
      <c r="KZ118">
        <v>9876</v>
      </c>
      <c r="LA118">
        <v>132326</v>
      </c>
      <c r="LB118">
        <v>34498</v>
      </c>
      <c r="LC118">
        <v>0</v>
      </c>
      <c r="LD118">
        <v>39468</v>
      </c>
      <c r="LE118">
        <v>-8664</v>
      </c>
      <c r="LF118">
        <v>5402</v>
      </c>
      <c r="LG118">
        <v>-8215</v>
      </c>
      <c r="LH118">
        <v>9332</v>
      </c>
      <c r="LI118">
        <v>37323</v>
      </c>
      <c r="LJ118">
        <v>10516</v>
      </c>
      <c r="LK118">
        <v>7541</v>
      </c>
      <c r="LL118">
        <v>18057</v>
      </c>
      <c r="LM118">
        <v>0</v>
      </c>
      <c r="LN118">
        <v>0</v>
      </c>
      <c r="LO118">
        <v>0</v>
      </c>
      <c r="LP118">
        <v>71893</v>
      </c>
      <c r="LQ118">
        <v>71680</v>
      </c>
      <c r="LR118">
        <v>213</v>
      </c>
      <c r="LS118">
        <v>5397</v>
      </c>
      <c r="LT118">
        <v>5610</v>
      </c>
      <c r="LU118">
        <v>218902</v>
      </c>
      <c r="LV118">
        <v>21305</v>
      </c>
      <c r="LW118">
        <v>49731</v>
      </c>
      <c r="LX118">
        <v>128516</v>
      </c>
      <c r="LY118">
        <v>19536</v>
      </c>
      <c r="LZ118">
        <v>3758</v>
      </c>
      <c r="MA118">
        <v>18504</v>
      </c>
      <c r="MB118">
        <v>37648</v>
      </c>
      <c r="MC118">
        <v>9630</v>
      </c>
      <c r="MD118">
        <v>0</v>
      </c>
      <c r="ME118">
        <v>0</v>
      </c>
      <c r="MF118">
        <v>41769</v>
      </c>
      <c r="MG118">
        <v>0</v>
      </c>
      <c r="MH118">
        <v>549299</v>
      </c>
      <c r="MI118">
        <v>0</v>
      </c>
      <c r="MJ118">
        <v>0</v>
      </c>
      <c r="MK118">
        <v>0</v>
      </c>
      <c r="ML118">
        <v>0</v>
      </c>
      <c r="MM118">
        <v>0</v>
      </c>
      <c r="MN118">
        <v>0</v>
      </c>
      <c r="MO118">
        <v>0</v>
      </c>
      <c r="MP118">
        <v>0</v>
      </c>
      <c r="MQ118">
        <v>0</v>
      </c>
      <c r="MR118">
        <v>0</v>
      </c>
      <c r="MS118">
        <v>0</v>
      </c>
      <c r="MT118">
        <v>0</v>
      </c>
      <c r="MU118">
        <v>-93</v>
      </c>
      <c r="MV118">
        <v>0</v>
      </c>
      <c r="MW118">
        <v>0</v>
      </c>
      <c r="MX118">
        <v>0</v>
      </c>
      <c r="MY118">
        <v>0</v>
      </c>
      <c r="MZ118">
        <v>112</v>
      </c>
      <c r="NA118">
        <v>9</v>
      </c>
      <c r="NB118">
        <v>1</v>
      </c>
      <c r="NC118">
        <v>10</v>
      </c>
      <c r="ND118">
        <v>0</v>
      </c>
      <c r="NE118">
        <v>0</v>
      </c>
      <c r="NF118">
        <v>0</v>
      </c>
      <c r="NG118">
        <v>0</v>
      </c>
      <c r="NH118">
        <v>0</v>
      </c>
      <c r="NI118">
        <v>0</v>
      </c>
      <c r="NJ118">
        <v>0</v>
      </c>
      <c r="NK118">
        <v>0</v>
      </c>
      <c r="NL118">
        <v>0</v>
      </c>
      <c r="NM118">
        <v>0</v>
      </c>
      <c r="NN118">
        <v>77</v>
      </c>
      <c r="NO118">
        <v>219</v>
      </c>
      <c r="NP118">
        <v>-31</v>
      </c>
      <c r="NQ118">
        <v>0</v>
      </c>
      <c r="NR118">
        <v>-509</v>
      </c>
      <c r="NS118">
        <v>0</v>
      </c>
      <c r="NT118">
        <v>0</v>
      </c>
      <c r="NU118">
        <v>0</v>
      </c>
      <c r="NV118">
        <v>0</v>
      </c>
      <c r="NW118">
        <v>0</v>
      </c>
      <c r="NX118">
        <v>0</v>
      </c>
      <c r="NY118">
        <v>0</v>
      </c>
      <c r="NZ118">
        <v>-295</v>
      </c>
      <c r="OA118">
        <v>882</v>
      </c>
      <c r="OB118">
        <v>587</v>
      </c>
      <c r="OC118">
        <v>1</v>
      </c>
      <c r="OD118">
        <v>0</v>
      </c>
      <c r="OE118">
        <v>0</v>
      </c>
      <c r="OF118">
        <v>0</v>
      </c>
      <c r="OG118">
        <v>0</v>
      </c>
      <c r="OH118">
        <v>1</v>
      </c>
      <c r="OI118">
        <v>882</v>
      </c>
      <c r="OJ118">
        <v>0</v>
      </c>
      <c r="OK118">
        <v>0</v>
      </c>
      <c r="OL118">
        <v>0</v>
      </c>
      <c r="OM118">
        <v>0</v>
      </c>
      <c r="ON118">
        <v>882</v>
      </c>
    </row>
    <row r="119" spans="1:404" x14ac:dyDescent="0.25">
      <c r="A119" t="s">
        <v>421</v>
      </c>
      <c r="B119" t="s">
        <v>422</v>
      </c>
      <c r="C119" t="s">
        <v>420</v>
      </c>
      <c r="E119" t="s">
        <v>61</v>
      </c>
      <c r="F119">
        <v>0</v>
      </c>
      <c r="G119">
        <v>0</v>
      </c>
      <c r="H119">
        <v>0</v>
      </c>
      <c r="I119">
        <v>0</v>
      </c>
      <c r="J119">
        <v>0</v>
      </c>
      <c r="K119">
        <v>0</v>
      </c>
      <c r="L119">
        <v>0</v>
      </c>
      <c r="M119">
        <v>0</v>
      </c>
      <c r="N119">
        <v>0</v>
      </c>
      <c r="O119">
        <v>0</v>
      </c>
      <c r="P119">
        <v>0</v>
      </c>
      <c r="Q119">
        <v>0</v>
      </c>
      <c r="R119">
        <v>0</v>
      </c>
      <c r="S119">
        <v>0</v>
      </c>
      <c r="T119">
        <v>0</v>
      </c>
      <c r="U119">
        <v>0</v>
      </c>
      <c r="V119">
        <v>0</v>
      </c>
      <c r="W119">
        <v>0</v>
      </c>
      <c r="X119">
        <v>0</v>
      </c>
      <c r="Y119">
        <v>0</v>
      </c>
      <c r="Z119">
        <v>0</v>
      </c>
      <c r="AA119">
        <v>-108</v>
      </c>
      <c r="AB119">
        <v>0</v>
      </c>
      <c r="AC119">
        <v>0</v>
      </c>
      <c r="AD119">
        <v>0</v>
      </c>
      <c r="AE119">
        <v>0</v>
      </c>
      <c r="AF119">
        <v>0</v>
      </c>
      <c r="AG119">
        <v>0</v>
      </c>
      <c r="AH119">
        <v>0</v>
      </c>
      <c r="AI119">
        <v>-108</v>
      </c>
      <c r="AJ119">
        <v>0</v>
      </c>
      <c r="AK119">
        <v>0</v>
      </c>
      <c r="AL119">
        <v>0</v>
      </c>
      <c r="AM119">
        <v>0</v>
      </c>
      <c r="AN119">
        <v>0</v>
      </c>
      <c r="AO119">
        <v>0</v>
      </c>
      <c r="AP119">
        <v>0</v>
      </c>
      <c r="AQ119">
        <v>0</v>
      </c>
      <c r="AR119">
        <v>0</v>
      </c>
      <c r="AS119">
        <v>0</v>
      </c>
      <c r="AT119">
        <v>0</v>
      </c>
      <c r="AU119">
        <v>0</v>
      </c>
      <c r="AV119">
        <v>0</v>
      </c>
      <c r="AW119">
        <v>0</v>
      </c>
      <c r="AX119">
        <v>0</v>
      </c>
      <c r="AY119">
        <v>0</v>
      </c>
      <c r="AZ119">
        <v>0</v>
      </c>
      <c r="BA119">
        <v>0</v>
      </c>
      <c r="BB119">
        <v>0</v>
      </c>
      <c r="BC119">
        <v>0</v>
      </c>
      <c r="BD119">
        <v>0</v>
      </c>
      <c r="BE119">
        <v>0</v>
      </c>
      <c r="BF119">
        <v>0</v>
      </c>
      <c r="BG119">
        <v>0</v>
      </c>
      <c r="BH119">
        <v>0</v>
      </c>
      <c r="BI119">
        <v>0</v>
      </c>
      <c r="BJ119">
        <v>0</v>
      </c>
      <c r="BK119">
        <v>0</v>
      </c>
      <c r="BL119">
        <v>0</v>
      </c>
      <c r="BM119">
        <v>0</v>
      </c>
      <c r="BN119">
        <v>0</v>
      </c>
      <c r="BO119">
        <v>0</v>
      </c>
      <c r="BP119">
        <v>0</v>
      </c>
      <c r="BQ119">
        <v>0</v>
      </c>
      <c r="BR119">
        <v>0</v>
      </c>
      <c r="BS119">
        <v>0</v>
      </c>
      <c r="BT119">
        <v>0</v>
      </c>
      <c r="BU119">
        <v>0</v>
      </c>
      <c r="BV119">
        <v>0</v>
      </c>
      <c r="BW119">
        <v>0</v>
      </c>
      <c r="BX119">
        <v>0</v>
      </c>
      <c r="BY119">
        <v>0</v>
      </c>
      <c r="BZ119">
        <v>0</v>
      </c>
      <c r="CA119">
        <v>0</v>
      </c>
      <c r="CB119">
        <v>0</v>
      </c>
      <c r="CC119">
        <v>0</v>
      </c>
      <c r="CD119">
        <v>0</v>
      </c>
      <c r="CE119">
        <v>0</v>
      </c>
      <c r="CF119">
        <v>0</v>
      </c>
      <c r="CG119">
        <v>0</v>
      </c>
      <c r="CH119">
        <v>0</v>
      </c>
      <c r="CI119">
        <v>0</v>
      </c>
      <c r="CJ119">
        <v>0</v>
      </c>
      <c r="CK119">
        <v>0</v>
      </c>
      <c r="CL119">
        <v>0</v>
      </c>
      <c r="CM119">
        <v>0</v>
      </c>
      <c r="CN119">
        <v>0</v>
      </c>
      <c r="CO119">
        <v>0</v>
      </c>
      <c r="CP119">
        <v>0</v>
      </c>
      <c r="CQ119">
        <v>0</v>
      </c>
      <c r="CR119">
        <v>0</v>
      </c>
      <c r="CS119">
        <v>0</v>
      </c>
      <c r="CT119">
        <v>0</v>
      </c>
      <c r="CU119">
        <v>0</v>
      </c>
      <c r="CV119">
        <v>311</v>
      </c>
      <c r="CW119">
        <v>0</v>
      </c>
      <c r="CX119">
        <v>0</v>
      </c>
      <c r="CY119">
        <v>0</v>
      </c>
      <c r="CZ119">
        <v>0</v>
      </c>
      <c r="DA119">
        <v>0</v>
      </c>
      <c r="DB119">
        <v>0</v>
      </c>
      <c r="DC119">
        <v>100</v>
      </c>
      <c r="DD119">
        <v>0</v>
      </c>
      <c r="DE119">
        <v>121</v>
      </c>
      <c r="DF119">
        <v>2</v>
      </c>
      <c r="DG119">
        <v>0</v>
      </c>
      <c r="DH119">
        <v>9</v>
      </c>
      <c r="DI119">
        <v>0</v>
      </c>
      <c r="DJ119">
        <v>77</v>
      </c>
      <c r="DK119">
        <v>0</v>
      </c>
      <c r="DL119">
        <v>0</v>
      </c>
      <c r="DM119">
        <v>74</v>
      </c>
      <c r="DN119">
        <v>364</v>
      </c>
      <c r="DO119">
        <v>44</v>
      </c>
      <c r="DP119">
        <v>568</v>
      </c>
      <c r="DQ119">
        <v>172</v>
      </c>
      <c r="DR119">
        <v>0</v>
      </c>
      <c r="DS119">
        <v>0</v>
      </c>
      <c r="DT119">
        <v>284</v>
      </c>
      <c r="DU119">
        <v>0</v>
      </c>
      <c r="DV119">
        <v>0</v>
      </c>
      <c r="DW119">
        <v>0</v>
      </c>
      <c r="DX119">
        <v>1247</v>
      </c>
      <c r="DY119">
        <v>0</v>
      </c>
      <c r="DZ119">
        <v>0</v>
      </c>
      <c r="EA119">
        <v>0</v>
      </c>
      <c r="EB119">
        <v>0</v>
      </c>
      <c r="EC119">
        <v>0</v>
      </c>
      <c r="ED119">
        <v>0</v>
      </c>
      <c r="EE119">
        <v>0</v>
      </c>
      <c r="EF119">
        <v>0</v>
      </c>
      <c r="EG119">
        <v>0</v>
      </c>
      <c r="EH119">
        <v>0</v>
      </c>
      <c r="EI119">
        <v>0</v>
      </c>
      <c r="EJ119">
        <v>0</v>
      </c>
      <c r="EK119">
        <v>0</v>
      </c>
      <c r="EL119">
        <v>0</v>
      </c>
      <c r="EM119">
        <v>0</v>
      </c>
      <c r="EN119">
        <v>0</v>
      </c>
      <c r="EO119">
        <v>0</v>
      </c>
      <c r="EP119">
        <v>0</v>
      </c>
      <c r="EQ119">
        <v>0</v>
      </c>
      <c r="ER119">
        <v>0</v>
      </c>
      <c r="ES119">
        <v>0</v>
      </c>
      <c r="ET119">
        <v>0</v>
      </c>
      <c r="EU119">
        <v>0</v>
      </c>
      <c r="EV119">
        <v>62</v>
      </c>
      <c r="EW119">
        <v>0</v>
      </c>
      <c r="EX119">
        <v>0</v>
      </c>
      <c r="EY119">
        <v>716</v>
      </c>
      <c r="EZ119">
        <v>22</v>
      </c>
      <c r="FA119">
        <v>0</v>
      </c>
      <c r="FB119">
        <v>70</v>
      </c>
      <c r="FC119">
        <v>342</v>
      </c>
      <c r="FD119">
        <v>1508</v>
      </c>
      <c r="FE119">
        <v>0</v>
      </c>
      <c r="FF119">
        <v>60</v>
      </c>
      <c r="FG119">
        <v>0</v>
      </c>
      <c r="FH119">
        <v>2780</v>
      </c>
      <c r="FI119">
        <v>91</v>
      </c>
      <c r="FJ119">
        <v>0</v>
      </c>
      <c r="FK119">
        <v>0</v>
      </c>
      <c r="FL119">
        <v>163</v>
      </c>
      <c r="FM119">
        <v>499</v>
      </c>
      <c r="FN119">
        <v>0</v>
      </c>
      <c r="FO119">
        <v>54</v>
      </c>
      <c r="FP119">
        <v>0</v>
      </c>
      <c r="FQ119">
        <v>0</v>
      </c>
      <c r="FR119">
        <v>6</v>
      </c>
      <c r="FS119">
        <v>118</v>
      </c>
      <c r="FT119">
        <v>54</v>
      </c>
      <c r="FU119">
        <v>-77</v>
      </c>
      <c r="FV119">
        <v>130</v>
      </c>
      <c r="FW119">
        <v>130</v>
      </c>
      <c r="FX119">
        <v>74</v>
      </c>
      <c r="FY119">
        <v>0</v>
      </c>
      <c r="FZ119">
        <v>59</v>
      </c>
      <c r="GA119">
        <v>0</v>
      </c>
      <c r="GB119">
        <v>0</v>
      </c>
      <c r="GC119">
        <v>0</v>
      </c>
      <c r="GD119">
        <v>1249</v>
      </c>
      <c r="GE119">
        <v>1223</v>
      </c>
      <c r="GF119">
        <v>0</v>
      </c>
      <c r="GG119">
        <v>38</v>
      </c>
      <c r="GH119">
        <v>1400</v>
      </c>
      <c r="GI119">
        <v>0</v>
      </c>
      <c r="GJ119">
        <v>0</v>
      </c>
      <c r="GK119">
        <v>5211</v>
      </c>
      <c r="GL119">
        <v>27</v>
      </c>
      <c r="GM119">
        <v>217</v>
      </c>
      <c r="GN119">
        <v>0</v>
      </c>
      <c r="GO119">
        <v>203</v>
      </c>
      <c r="GP119">
        <v>5</v>
      </c>
      <c r="GQ119">
        <v>536</v>
      </c>
      <c r="GR119">
        <v>0</v>
      </c>
      <c r="GS119">
        <v>5</v>
      </c>
      <c r="GT119">
        <v>137</v>
      </c>
      <c r="GU119">
        <v>1130</v>
      </c>
      <c r="GV119">
        <v>9121</v>
      </c>
      <c r="GW119">
        <v>0</v>
      </c>
      <c r="GX119">
        <v>0</v>
      </c>
      <c r="GY119">
        <v>0</v>
      </c>
      <c r="GZ119">
        <v>0</v>
      </c>
      <c r="HA119">
        <v>0</v>
      </c>
      <c r="HB119">
        <v>1128</v>
      </c>
      <c r="HC119">
        <v>889</v>
      </c>
      <c r="HD119">
        <v>0</v>
      </c>
      <c r="HE119">
        <v>0</v>
      </c>
      <c r="HF119">
        <v>318</v>
      </c>
      <c r="HG119">
        <v>296</v>
      </c>
      <c r="HH119">
        <v>0</v>
      </c>
      <c r="HI119">
        <v>0</v>
      </c>
      <c r="HJ119">
        <v>232</v>
      </c>
      <c r="HK119">
        <v>28</v>
      </c>
      <c r="HL119">
        <v>167</v>
      </c>
      <c r="HM119">
        <v>30</v>
      </c>
      <c r="HN119">
        <v>0</v>
      </c>
      <c r="HO119">
        <v>0</v>
      </c>
      <c r="HP119">
        <v>0</v>
      </c>
      <c r="HQ119">
        <v>0</v>
      </c>
      <c r="HR119">
        <v>205</v>
      </c>
      <c r="HS119">
        <v>0</v>
      </c>
      <c r="HT119">
        <v>0</v>
      </c>
      <c r="HU119">
        <v>-122</v>
      </c>
      <c r="HV119">
        <v>3171</v>
      </c>
      <c r="HW119">
        <v>1860</v>
      </c>
      <c r="HX119">
        <v>2317</v>
      </c>
      <c r="HY119">
        <v>0</v>
      </c>
      <c r="HZ119">
        <v>0</v>
      </c>
      <c r="IA119">
        <v>27</v>
      </c>
      <c r="IB119">
        <v>0</v>
      </c>
      <c r="IC119">
        <v>0</v>
      </c>
      <c r="ID119">
        <v>-108</v>
      </c>
      <c r="IE119">
        <v>0</v>
      </c>
      <c r="IF119">
        <v>0</v>
      </c>
      <c r="IG119">
        <v>311</v>
      </c>
      <c r="IH119">
        <v>1247</v>
      </c>
      <c r="II119">
        <v>2780</v>
      </c>
      <c r="IJ119">
        <v>5211</v>
      </c>
      <c r="IK119">
        <v>1130</v>
      </c>
      <c r="IL119">
        <v>0</v>
      </c>
      <c r="IM119">
        <v>0</v>
      </c>
      <c r="IN119">
        <v>3171</v>
      </c>
      <c r="IO119">
        <v>0</v>
      </c>
      <c r="IP119">
        <v>13742</v>
      </c>
      <c r="IQ119">
        <v>17698</v>
      </c>
      <c r="IR119">
        <v>89</v>
      </c>
      <c r="IS119">
        <v>0</v>
      </c>
      <c r="IT119">
        <v>0</v>
      </c>
      <c r="IU119">
        <v>0</v>
      </c>
      <c r="IV119">
        <v>1223</v>
      </c>
      <c r="IW119">
        <v>0</v>
      </c>
      <c r="IX119">
        <v>0</v>
      </c>
      <c r="IY119">
        <v>0</v>
      </c>
      <c r="IZ119">
        <v>0</v>
      </c>
      <c r="JA119">
        <v>-798</v>
      </c>
      <c r="JB119">
        <v>0</v>
      </c>
      <c r="JC119">
        <v>277</v>
      </c>
      <c r="JD119">
        <v>0</v>
      </c>
      <c r="JE119">
        <v>57</v>
      </c>
      <c r="JF119">
        <v>0</v>
      </c>
      <c r="JG119">
        <v>32288</v>
      </c>
      <c r="JH119">
        <v>0</v>
      </c>
      <c r="JI119">
        <v>238</v>
      </c>
      <c r="JJ119">
        <v>0</v>
      </c>
      <c r="JK119">
        <v>0</v>
      </c>
      <c r="JL119">
        <v>0</v>
      </c>
      <c r="JM119">
        <v>0</v>
      </c>
      <c r="JN119">
        <v>497</v>
      </c>
      <c r="JO119">
        <v>0</v>
      </c>
      <c r="JP119">
        <v>568</v>
      </c>
      <c r="JQ119">
        <v>0</v>
      </c>
      <c r="JR119">
        <v>33591</v>
      </c>
      <c r="JS119">
        <v>-65</v>
      </c>
      <c r="JT119">
        <v>0</v>
      </c>
      <c r="JU119">
        <v>31</v>
      </c>
      <c r="JV119">
        <v>0</v>
      </c>
      <c r="JW119">
        <v>-17489</v>
      </c>
      <c r="JX119">
        <v>0</v>
      </c>
      <c r="JY119">
        <v>0</v>
      </c>
      <c r="JZ119">
        <v>0</v>
      </c>
      <c r="KA119">
        <v>0</v>
      </c>
      <c r="KB119">
        <v>0</v>
      </c>
      <c r="KC119">
        <v>16068</v>
      </c>
      <c r="KD119">
        <v>0</v>
      </c>
      <c r="KE119">
        <v>-4073</v>
      </c>
      <c r="KF119">
        <v>11995</v>
      </c>
      <c r="KG119">
        <v>0</v>
      </c>
      <c r="KH119">
        <v>0</v>
      </c>
      <c r="KI119">
        <v>0</v>
      </c>
      <c r="KJ119">
        <v>0</v>
      </c>
      <c r="KK119">
        <v>-1426</v>
      </c>
      <c r="KL119">
        <v>0</v>
      </c>
      <c r="KM119">
        <v>0</v>
      </c>
      <c r="KN119">
        <v>0</v>
      </c>
      <c r="KO119">
        <v>2424</v>
      </c>
      <c r="KP119">
        <v>-35</v>
      </c>
      <c r="KQ119">
        <v>0</v>
      </c>
      <c r="KR119">
        <v>8568</v>
      </c>
      <c r="KS119">
        <v>0</v>
      </c>
      <c r="KT119">
        <v>0</v>
      </c>
      <c r="KU119">
        <v>0</v>
      </c>
      <c r="KV119">
        <v>26500</v>
      </c>
      <c r="KW119">
        <v>1278</v>
      </c>
      <c r="KX119">
        <v>0</v>
      </c>
      <c r="KY119">
        <v>0</v>
      </c>
      <c r="KZ119">
        <v>0</v>
      </c>
      <c r="LA119">
        <v>25074</v>
      </c>
      <c r="LB119">
        <v>1278</v>
      </c>
      <c r="LC119">
        <v>0</v>
      </c>
      <c r="LD119">
        <v>951</v>
      </c>
      <c r="LE119">
        <v>-1</v>
      </c>
      <c r="LF119">
        <v>-1700</v>
      </c>
      <c r="LG119">
        <v>-1176</v>
      </c>
      <c r="LH119">
        <v>1058</v>
      </c>
      <c r="LI119">
        <v>-868</v>
      </c>
      <c r="LJ119">
        <v>2534</v>
      </c>
      <c r="LK119">
        <v>3581</v>
      </c>
      <c r="LL119">
        <v>6115</v>
      </c>
      <c r="LM119">
        <v>59</v>
      </c>
      <c r="LN119">
        <v>0</v>
      </c>
      <c r="LO119">
        <v>0</v>
      </c>
      <c r="LP119">
        <v>0</v>
      </c>
      <c r="LQ119">
        <v>0</v>
      </c>
      <c r="LR119">
        <v>0</v>
      </c>
      <c r="LS119">
        <v>0</v>
      </c>
      <c r="LT119">
        <v>0</v>
      </c>
      <c r="LU119">
        <v>0</v>
      </c>
      <c r="LV119">
        <v>-108</v>
      </c>
      <c r="LW119">
        <v>0</v>
      </c>
      <c r="LX119">
        <v>0</v>
      </c>
      <c r="LY119">
        <v>311</v>
      </c>
      <c r="LZ119">
        <v>1247</v>
      </c>
      <c r="MA119">
        <v>2780</v>
      </c>
      <c r="MB119">
        <v>5211</v>
      </c>
      <c r="MC119">
        <v>1130</v>
      </c>
      <c r="MD119">
        <v>0</v>
      </c>
      <c r="ME119">
        <v>0</v>
      </c>
      <c r="MF119">
        <v>3171</v>
      </c>
      <c r="MG119">
        <v>0</v>
      </c>
      <c r="MH119">
        <v>13742</v>
      </c>
      <c r="MI119">
        <v>0</v>
      </c>
      <c r="MJ119">
        <v>0</v>
      </c>
      <c r="MK119">
        <v>0</v>
      </c>
      <c r="ML119">
        <v>0</v>
      </c>
      <c r="MM119">
        <v>0</v>
      </c>
      <c r="MN119">
        <v>0</v>
      </c>
      <c r="MO119">
        <v>0</v>
      </c>
      <c r="MP119">
        <v>0</v>
      </c>
      <c r="MQ119">
        <v>0</v>
      </c>
      <c r="MR119">
        <v>0</v>
      </c>
      <c r="MS119">
        <v>0</v>
      </c>
      <c r="MT119">
        <v>0</v>
      </c>
      <c r="MU119">
        <v>0</v>
      </c>
      <c r="MV119">
        <v>0</v>
      </c>
      <c r="MW119">
        <v>0</v>
      </c>
      <c r="MX119">
        <v>0</v>
      </c>
      <c r="MY119">
        <v>-642</v>
      </c>
      <c r="MZ119">
        <v>121</v>
      </c>
      <c r="NA119">
        <v>-521</v>
      </c>
      <c r="NB119">
        <v>-277</v>
      </c>
      <c r="NC119">
        <v>-798</v>
      </c>
      <c r="ND119">
        <v>0</v>
      </c>
      <c r="NE119">
        <v>0</v>
      </c>
      <c r="NF119">
        <v>0</v>
      </c>
      <c r="NG119">
        <v>0</v>
      </c>
      <c r="NH119">
        <v>0</v>
      </c>
      <c r="NI119">
        <v>0</v>
      </c>
      <c r="NJ119">
        <v>0</v>
      </c>
      <c r="NK119">
        <v>0</v>
      </c>
      <c r="NL119">
        <v>0</v>
      </c>
      <c r="NM119">
        <v>0</v>
      </c>
      <c r="NN119">
        <v>0</v>
      </c>
      <c r="NO119">
        <v>0</v>
      </c>
      <c r="NP119">
        <v>0</v>
      </c>
      <c r="NQ119">
        <v>0</v>
      </c>
      <c r="NR119">
        <v>0</v>
      </c>
      <c r="NS119">
        <v>0</v>
      </c>
      <c r="NT119">
        <v>0</v>
      </c>
      <c r="NU119">
        <v>0</v>
      </c>
      <c r="NV119">
        <v>0</v>
      </c>
      <c r="NW119">
        <v>0</v>
      </c>
      <c r="NX119">
        <v>0</v>
      </c>
      <c r="NY119">
        <v>0</v>
      </c>
      <c r="NZ119">
        <v>0</v>
      </c>
      <c r="OA119">
        <v>0</v>
      </c>
      <c r="OB119">
        <v>0</v>
      </c>
      <c r="OC119">
        <v>61</v>
      </c>
      <c r="OD119">
        <v>0</v>
      </c>
      <c r="OE119">
        <v>-338</v>
      </c>
      <c r="OF119">
        <v>0</v>
      </c>
      <c r="OG119">
        <v>0</v>
      </c>
      <c r="OH119">
        <v>-277</v>
      </c>
      <c r="OI119">
        <v>0</v>
      </c>
      <c r="OJ119">
        <v>0</v>
      </c>
      <c r="OK119">
        <v>0</v>
      </c>
      <c r="OL119">
        <v>0</v>
      </c>
      <c r="OM119">
        <v>0</v>
      </c>
      <c r="ON119">
        <v>0</v>
      </c>
    </row>
    <row r="120" spans="1:404" x14ac:dyDescent="0.25">
      <c r="A120" t="s">
        <v>424</v>
      </c>
      <c r="B120" t="s">
        <v>425</v>
      </c>
      <c r="C120" t="s">
        <v>423</v>
      </c>
      <c r="E120" t="s">
        <v>61</v>
      </c>
      <c r="F120">
        <v>0</v>
      </c>
      <c r="G120">
        <v>0</v>
      </c>
      <c r="H120">
        <v>0</v>
      </c>
      <c r="I120">
        <v>0</v>
      </c>
      <c r="J120">
        <v>0</v>
      </c>
      <c r="K120">
        <v>0</v>
      </c>
      <c r="L120">
        <v>0</v>
      </c>
      <c r="M120">
        <v>0</v>
      </c>
      <c r="N120">
        <v>0</v>
      </c>
      <c r="O120">
        <v>0</v>
      </c>
      <c r="P120">
        <v>0</v>
      </c>
      <c r="Q120">
        <v>0</v>
      </c>
      <c r="R120">
        <v>518</v>
      </c>
      <c r="S120">
        <v>0</v>
      </c>
      <c r="T120">
        <v>0</v>
      </c>
      <c r="U120">
        <v>0</v>
      </c>
      <c r="V120">
        <v>0</v>
      </c>
      <c r="W120">
        <v>0</v>
      </c>
      <c r="X120">
        <v>0</v>
      </c>
      <c r="Y120">
        <v>0</v>
      </c>
      <c r="Z120">
        <v>1474</v>
      </c>
      <c r="AA120">
        <v>-2524</v>
      </c>
      <c r="AB120">
        <v>0</v>
      </c>
      <c r="AC120">
        <v>0</v>
      </c>
      <c r="AD120">
        <v>0</v>
      </c>
      <c r="AE120">
        <v>0</v>
      </c>
      <c r="AF120">
        <v>0</v>
      </c>
      <c r="AG120">
        <v>1</v>
      </c>
      <c r="AH120">
        <v>0</v>
      </c>
      <c r="AI120">
        <v>-531</v>
      </c>
      <c r="AJ120">
        <v>0</v>
      </c>
      <c r="AK120">
        <v>0</v>
      </c>
      <c r="AL120">
        <v>0</v>
      </c>
      <c r="AM120">
        <v>0</v>
      </c>
      <c r="AN120">
        <v>0</v>
      </c>
      <c r="AO120">
        <v>0</v>
      </c>
      <c r="AP120">
        <v>0</v>
      </c>
      <c r="AQ120">
        <v>347</v>
      </c>
      <c r="AR120">
        <v>68</v>
      </c>
      <c r="AS120">
        <v>0</v>
      </c>
      <c r="AT120">
        <v>0</v>
      </c>
      <c r="AU120">
        <v>0</v>
      </c>
      <c r="AV120">
        <v>0</v>
      </c>
      <c r="AW120">
        <v>0</v>
      </c>
      <c r="AX120">
        <v>0</v>
      </c>
      <c r="AY120">
        <v>0</v>
      </c>
      <c r="AZ120">
        <v>0</v>
      </c>
      <c r="BA120">
        <v>0</v>
      </c>
      <c r="BB120">
        <v>0</v>
      </c>
      <c r="BC120">
        <v>0</v>
      </c>
      <c r="BD120">
        <v>0</v>
      </c>
      <c r="BE120">
        <v>0</v>
      </c>
      <c r="BF120">
        <v>0</v>
      </c>
      <c r="BG120">
        <v>0</v>
      </c>
      <c r="BH120">
        <v>0</v>
      </c>
      <c r="BI120">
        <v>0</v>
      </c>
      <c r="BJ120">
        <v>0</v>
      </c>
      <c r="BK120">
        <v>0</v>
      </c>
      <c r="BL120">
        <v>0</v>
      </c>
      <c r="BM120">
        <v>0</v>
      </c>
      <c r="BN120">
        <v>0</v>
      </c>
      <c r="BO120">
        <v>0</v>
      </c>
      <c r="BP120">
        <v>0</v>
      </c>
      <c r="BQ120">
        <v>0</v>
      </c>
      <c r="BR120">
        <v>0</v>
      </c>
      <c r="BS120">
        <v>0</v>
      </c>
      <c r="BT120">
        <v>0</v>
      </c>
      <c r="BU120">
        <v>0</v>
      </c>
      <c r="BV120">
        <v>0</v>
      </c>
      <c r="BW120">
        <v>0</v>
      </c>
      <c r="BX120">
        <v>0</v>
      </c>
      <c r="BY120">
        <v>0</v>
      </c>
      <c r="BZ120">
        <v>0</v>
      </c>
      <c r="CA120">
        <v>0</v>
      </c>
      <c r="CB120">
        <v>0</v>
      </c>
      <c r="CC120">
        <v>0</v>
      </c>
      <c r="CD120">
        <v>0</v>
      </c>
      <c r="CE120">
        <v>0</v>
      </c>
      <c r="CF120">
        <v>0</v>
      </c>
      <c r="CG120">
        <v>0</v>
      </c>
      <c r="CH120">
        <v>0</v>
      </c>
      <c r="CI120">
        <v>0</v>
      </c>
      <c r="CJ120">
        <v>0</v>
      </c>
      <c r="CK120">
        <v>0</v>
      </c>
      <c r="CL120">
        <v>0</v>
      </c>
      <c r="CM120">
        <v>0</v>
      </c>
      <c r="CN120">
        <v>0</v>
      </c>
      <c r="CO120">
        <v>0</v>
      </c>
      <c r="CP120">
        <v>0</v>
      </c>
      <c r="CQ120">
        <v>0</v>
      </c>
      <c r="CR120">
        <v>0</v>
      </c>
      <c r="CS120">
        <v>0</v>
      </c>
      <c r="CT120">
        <v>0</v>
      </c>
      <c r="CU120">
        <v>0</v>
      </c>
      <c r="CV120">
        <v>1001</v>
      </c>
      <c r="CW120">
        <v>0</v>
      </c>
      <c r="CX120">
        <v>0</v>
      </c>
      <c r="CY120">
        <v>0</v>
      </c>
      <c r="CZ120">
        <v>0</v>
      </c>
      <c r="DA120">
        <v>0</v>
      </c>
      <c r="DB120">
        <v>0</v>
      </c>
      <c r="DC120">
        <v>205</v>
      </c>
      <c r="DD120">
        <v>0</v>
      </c>
      <c r="DE120">
        <v>443</v>
      </c>
      <c r="DF120">
        <v>-12</v>
      </c>
      <c r="DG120">
        <v>96</v>
      </c>
      <c r="DH120">
        <v>123</v>
      </c>
      <c r="DI120">
        <v>-155</v>
      </c>
      <c r="DJ120">
        <v>16</v>
      </c>
      <c r="DK120">
        <v>0</v>
      </c>
      <c r="DL120">
        <v>0</v>
      </c>
      <c r="DM120">
        <v>0</v>
      </c>
      <c r="DN120">
        <v>2454</v>
      </c>
      <c r="DO120">
        <v>10</v>
      </c>
      <c r="DP120">
        <v>2544</v>
      </c>
      <c r="DQ120">
        <v>0</v>
      </c>
      <c r="DR120">
        <v>0</v>
      </c>
      <c r="DS120">
        <v>0</v>
      </c>
      <c r="DT120">
        <v>2794</v>
      </c>
      <c r="DU120">
        <v>56</v>
      </c>
      <c r="DV120">
        <v>0</v>
      </c>
      <c r="DW120">
        <v>0</v>
      </c>
      <c r="DX120">
        <v>6030</v>
      </c>
      <c r="DY120">
        <v>19420</v>
      </c>
      <c r="DZ120">
        <v>171</v>
      </c>
      <c r="EA120">
        <v>1225</v>
      </c>
      <c r="EB120">
        <v>370</v>
      </c>
      <c r="EC120">
        <v>0</v>
      </c>
      <c r="ED120">
        <v>239</v>
      </c>
      <c r="EE120">
        <v>0</v>
      </c>
      <c r="EF120">
        <v>0</v>
      </c>
      <c r="EG120">
        <v>0</v>
      </c>
      <c r="EH120">
        <v>5209</v>
      </c>
      <c r="EI120">
        <v>3278</v>
      </c>
      <c r="EJ120">
        <v>2024</v>
      </c>
      <c r="EK120">
        <v>162</v>
      </c>
      <c r="EL120">
        <v>1972</v>
      </c>
      <c r="EM120">
        <v>0</v>
      </c>
      <c r="EN120">
        <v>854</v>
      </c>
      <c r="EO120">
        <v>0</v>
      </c>
      <c r="EP120">
        <v>194</v>
      </c>
      <c r="EQ120">
        <v>3558</v>
      </c>
      <c r="ER120">
        <v>22</v>
      </c>
      <c r="ES120">
        <v>25636</v>
      </c>
      <c r="ET120">
        <v>29788</v>
      </c>
      <c r="EU120">
        <v>0</v>
      </c>
      <c r="EV120">
        <v>0</v>
      </c>
      <c r="EW120">
        <v>-393</v>
      </c>
      <c r="EX120">
        <v>1</v>
      </c>
      <c r="EY120">
        <v>33</v>
      </c>
      <c r="EZ120">
        <v>0</v>
      </c>
      <c r="FA120">
        <v>-434</v>
      </c>
      <c r="FB120">
        <v>500</v>
      </c>
      <c r="FC120">
        <v>1843</v>
      </c>
      <c r="FD120">
        <v>1826</v>
      </c>
      <c r="FE120">
        <v>0</v>
      </c>
      <c r="FF120">
        <v>-71</v>
      </c>
      <c r="FG120">
        <v>0</v>
      </c>
      <c r="FH120">
        <v>3305</v>
      </c>
      <c r="FI120">
        <v>248</v>
      </c>
      <c r="FJ120">
        <v>0</v>
      </c>
      <c r="FK120">
        <v>-7</v>
      </c>
      <c r="FL120">
        <v>982</v>
      </c>
      <c r="FM120">
        <v>1360</v>
      </c>
      <c r="FN120">
        <v>0</v>
      </c>
      <c r="FO120">
        <v>-18</v>
      </c>
      <c r="FP120">
        <v>914</v>
      </c>
      <c r="FQ120">
        <v>0</v>
      </c>
      <c r="FR120">
        <v>14</v>
      </c>
      <c r="FS120">
        <v>811</v>
      </c>
      <c r="FT120">
        <v>28</v>
      </c>
      <c r="FU120">
        <v>-2</v>
      </c>
      <c r="FV120">
        <v>3</v>
      </c>
      <c r="FW120">
        <v>56</v>
      </c>
      <c r="FX120">
        <v>310</v>
      </c>
      <c r="FY120">
        <v>0</v>
      </c>
      <c r="FZ120">
        <v>0</v>
      </c>
      <c r="GA120">
        <v>140</v>
      </c>
      <c r="GB120">
        <v>23</v>
      </c>
      <c r="GC120">
        <v>0</v>
      </c>
      <c r="GD120">
        <v>1551</v>
      </c>
      <c r="GE120">
        <v>6161</v>
      </c>
      <c r="GF120">
        <v>0</v>
      </c>
      <c r="GG120">
        <v>0</v>
      </c>
      <c r="GH120">
        <v>0</v>
      </c>
      <c r="GI120">
        <v>0</v>
      </c>
      <c r="GJ120">
        <v>1</v>
      </c>
      <c r="GK120">
        <v>12575</v>
      </c>
      <c r="GL120">
        <v>186</v>
      </c>
      <c r="GM120">
        <v>396</v>
      </c>
      <c r="GN120">
        <v>10</v>
      </c>
      <c r="GO120">
        <v>2925</v>
      </c>
      <c r="GP120">
        <v>0</v>
      </c>
      <c r="GQ120">
        <v>2408</v>
      </c>
      <c r="GR120">
        <v>0</v>
      </c>
      <c r="GS120">
        <v>-395</v>
      </c>
      <c r="GT120">
        <v>2459</v>
      </c>
      <c r="GU120">
        <v>7989</v>
      </c>
      <c r="GV120">
        <v>23869</v>
      </c>
      <c r="GW120">
        <v>0</v>
      </c>
      <c r="GX120">
        <v>0</v>
      </c>
      <c r="GY120">
        <v>0</v>
      </c>
      <c r="GZ120">
        <v>0</v>
      </c>
      <c r="HA120">
        <v>0</v>
      </c>
      <c r="HB120">
        <v>9081</v>
      </c>
      <c r="HC120">
        <v>1808</v>
      </c>
      <c r="HD120">
        <v>0</v>
      </c>
      <c r="HE120">
        <v>0</v>
      </c>
      <c r="HF120">
        <v>0</v>
      </c>
      <c r="HG120">
        <v>11</v>
      </c>
      <c r="HH120">
        <v>0</v>
      </c>
      <c r="HI120">
        <v>0</v>
      </c>
      <c r="HJ120">
        <v>587</v>
      </c>
      <c r="HK120">
        <v>22</v>
      </c>
      <c r="HL120">
        <v>118</v>
      </c>
      <c r="HM120">
        <v>-221</v>
      </c>
      <c r="HN120">
        <v>0</v>
      </c>
      <c r="HO120">
        <v>1163</v>
      </c>
      <c r="HP120">
        <v>0</v>
      </c>
      <c r="HQ120">
        <v>0</v>
      </c>
      <c r="HR120">
        <v>0</v>
      </c>
      <c r="HS120">
        <v>0</v>
      </c>
      <c r="HT120">
        <v>0</v>
      </c>
      <c r="HU120">
        <v>-6169</v>
      </c>
      <c r="HV120">
        <v>6400</v>
      </c>
      <c r="HW120">
        <v>187</v>
      </c>
      <c r="HX120">
        <v>0</v>
      </c>
      <c r="HY120">
        <v>0</v>
      </c>
      <c r="HZ120">
        <v>0</v>
      </c>
      <c r="IA120">
        <v>0</v>
      </c>
      <c r="IB120">
        <v>13</v>
      </c>
      <c r="IC120">
        <v>0</v>
      </c>
      <c r="ID120">
        <v>-531</v>
      </c>
      <c r="IE120">
        <v>0</v>
      </c>
      <c r="IF120">
        <v>0</v>
      </c>
      <c r="IG120">
        <v>1001</v>
      </c>
      <c r="IH120">
        <v>6030</v>
      </c>
      <c r="II120">
        <v>3305</v>
      </c>
      <c r="IJ120">
        <v>12575</v>
      </c>
      <c r="IK120">
        <v>7989</v>
      </c>
      <c r="IL120">
        <v>0</v>
      </c>
      <c r="IM120">
        <v>0</v>
      </c>
      <c r="IN120">
        <v>6400</v>
      </c>
      <c r="IO120">
        <v>13</v>
      </c>
      <c r="IP120">
        <v>36782</v>
      </c>
      <c r="IQ120">
        <v>31784</v>
      </c>
      <c r="IR120">
        <v>0</v>
      </c>
      <c r="IS120">
        <v>7623</v>
      </c>
      <c r="IT120">
        <v>0</v>
      </c>
      <c r="IU120">
        <v>0</v>
      </c>
      <c r="IV120">
        <v>6398</v>
      </c>
      <c r="IW120">
        <v>0</v>
      </c>
      <c r="IX120">
        <v>0</v>
      </c>
      <c r="IY120">
        <v>0</v>
      </c>
      <c r="IZ120">
        <v>121</v>
      </c>
      <c r="JA120">
        <v>-117</v>
      </c>
      <c r="JB120">
        <v>0</v>
      </c>
      <c r="JC120">
        <v>0</v>
      </c>
      <c r="JD120">
        <v>0</v>
      </c>
      <c r="JE120">
        <v>0</v>
      </c>
      <c r="JF120">
        <v>0</v>
      </c>
      <c r="JG120">
        <v>82591</v>
      </c>
      <c r="JH120">
        <v>0</v>
      </c>
      <c r="JI120">
        <v>7011</v>
      </c>
      <c r="JJ120">
        <v>0</v>
      </c>
      <c r="JK120">
        <v>0</v>
      </c>
      <c r="JL120">
        <v>0</v>
      </c>
      <c r="JM120">
        <v>-297</v>
      </c>
      <c r="JN120">
        <v>1058</v>
      </c>
      <c r="JO120">
        <v>449</v>
      </c>
      <c r="JP120">
        <v>560</v>
      </c>
      <c r="JQ120">
        <v>45</v>
      </c>
      <c r="JR120">
        <v>91417</v>
      </c>
      <c r="JS120">
        <v>-2301</v>
      </c>
      <c r="JT120">
        <v>0</v>
      </c>
      <c r="JU120">
        <v>21</v>
      </c>
      <c r="JV120">
        <v>0</v>
      </c>
      <c r="JW120">
        <v>-39065</v>
      </c>
      <c r="JX120">
        <v>0</v>
      </c>
      <c r="JY120">
        <v>-2660</v>
      </c>
      <c r="JZ120">
        <v>0</v>
      </c>
      <c r="KA120">
        <v>0</v>
      </c>
      <c r="KB120">
        <v>0</v>
      </c>
      <c r="KC120">
        <v>47412</v>
      </c>
      <c r="KD120">
        <v>0</v>
      </c>
      <c r="KE120">
        <v>-5086</v>
      </c>
      <c r="KF120">
        <v>42326</v>
      </c>
      <c r="KG120">
        <v>0</v>
      </c>
      <c r="KH120">
        <v>0</v>
      </c>
      <c r="KI120">
        <v>0</v>
      </c>
      <c r="KJ120">
        <v>0</v>
      </c>
      <c r="KK120">
        <v>-11763</v>
      </c>
      <c r="KL120">
        <v>0</v>
      </c>
      <c r="KM120">
        <v>-330</v>
      </c>
      <c r="KN120">
        <v>0</v>
      </c>
      <c r="KO120">
        <v>-9515</v>
      </c>
      <c r="KP120">
        <v>107</v>
      </c>
      <c r="KQ120">
        <v>2674</v>
      </c>
      <c r="KR120">
        <v>21356</v>
      </c>
      <c r="KS120">
        <v>0</v>
      </c>
      <c r="KT120">
        <v>0</v>
      </c>
      <c r="KU120">
        <v>0</v>
      </c>
      <c r="KV120">
        <v>73645</v>
      </c>
      <c r="KW120">
        <v>6000</v>
      </c>
      <c r="KX120">
        <v>0</v>
      </c>
      <c r="KY120">
        <v>0</v>
      </c>
      <c r="KZ120">
        <v>0</v>
      </c>
      <c r="LA120">
        <v>61882</v>
      </c>
      <c r="LB120">
        <v>6000</v>
      </c>
      <c r="LC120">
        <v>0</v>
      </c>
      <c r="LD120">
        <v>6196</v>
      </c>
      <c r="LE120">
        <v>0</v>
      </c>
      <c r="LF120">
        <v>-272</v>
      </c>
      <c r="LG120">
        <v>-7361</v>
      </c>
      <c r="LH120">
        <v>4005</v>
      </c>
      <c r="LI120">
        <v>2279</v>
      </c>
      <c r="LJ120">
        <v>7379</v>
      </c>
      <c r="LK120">
        <v>8629</v>
      </c>
      <c r="LL120">
        <v>16008</v>
      </c>
      <c r="LM120">
        <v>110</v>
      </c>
      <c r="LN120">
        <v>0</v>
      </c>
      <c r="LO120">
        <v>0</v>
      </c>
      <c r="LP120">
        <v>21425</v>
      </c>
      <c r="LQ120">
        <v>17273</v>
      </c>
      <c r="LR120">
        <v>4152</v>
      </c>
      <c r="LS120">
        <v>25636</v>
      </c>
      <c r="LT120">
        <v>29788</v>
      </c>
      <c r="LU120">
        <v>0</v>
      </c>
      <c r="LV120">
        <v>-531</v>
      </c>
      <c r="LW120">
        <v>0</v>
      </c>
      <c r="LX120">
        <v>0</v>
      </c>
      <c r="LY120">
        <v>1001</v>
      </c>
      <c r="LZ120">
        <v>6030</v>
      </c>
      <c r="MA120">
        <v>3305</v>
      </c>
      <c r="MB120">
        <v>12575</v>
      </c>
      <c r="MC120">
        <v>7989</v>
      </c>
      <c r="MD120">
        <v>0</v>
      </c>
      <c r="ME120">
        <v>0</v>
      </c>
      <c r="MF120">
        <v>6400</v>
      </c>
      <c r="MG120">
        <v>13</v>
      </c>
      <c r="MH120">
        <v>36782</v>
      </c>
      <c r="MI120">
        <v>0</v>
      </c>
      <c r="MJ120">
        <v>0</v>
      </c>
      <c r="MK120">
        <v>0</v>
      </c>
      <c r="ML120">
        <v>0</v>
      </c>
      <c r="MM120">
        <v>-21</v>
      </c>
      <c r="MN120">
        <v>0</v>
      </c>
      <c r="MO120">
        <v>0</v>
      </c>
      <c r="MP120">
        <v>0</v>
      </c>
      <c r="MQ120">
        <v>0</v>
      </c>
      <c r="MR120">
        <v>0</v>
      </c>
      <c r="MS120">
        <v>0</v>
      </c>
      <c r="MT120">
        <v>-96</v>
      </c>
      <c r="MU120">
        <v>0</v>
      </c>
      <c r="MV120">
        <v>0</v>
      </c>
      <c r="MW120">
        <v>0</v>
      </c>
      <c r="MX120">
        <v>0</v>
      </c>
      <c r="MY120">
        <v>0</v>
      </c>
      <c r="MZ120">
        <v>0</v>
      </c>
      <c r="NA120">
        <v>-117</v>
      </c>
      <c r="NB120">
        <v>0</v>
      </c>
      <c r="NC120">
        <v>-117</v>
      </c>
      <c r="ND120">
        <v>0</v>
      </c>
      <c r="NE120">
        <v>0</v>
      </c>
      <c r="NF120">
        <v>0</v>
      </c>
      <c r="NG120">
        <v>0</v>
      </c>
      <c r="NH120">
        <v>0</v>
      </c>
      <c r="NI120">
        <v>0</v>
      </c>
      <c r="NJ120">
        <v>0</v>
      </c>
      <c r="NK120">
        <v>0</v>
      </c>
      <c r="NL120">
        <v>0</v>
      </c>
      <c r="NM120">
        <v>0</v>
      </c>
      <c r="NN120">
        <v>0</v>
      </c>
      <c r="NO120">
        <v>0</v>
      </c>
      <c r="NP120">
        <v>0</v>
      </c>
      <c r="NQ120">
        <v>0</v>
      </c>
      <c r="NR120">
        <v>0</v>
      </c>
      <c r="NS120">
        <v>0</v>
      </c>
      <c r="NT120">
        <v>0</v>
      </c>
      <c r="NU120">
        <v>0</v>
      </c>
      <c r="NV120">
        <v>0</v>
      </c>
      <c r="NW120">
        <v>0</v>
      </c>
      <c r="NX120">
        <v>0</v>
      </c>
      <c r="NY120">
        <v>0</v>
      </c>
      <c r="NZ120">
        <v>0</v>
      </c>
      <c r="OA120">
        <v>0</v>
      </c>
      <c r="OB120">
        <v>0</v>
      </c>
      <c r="OC120">
        <v>0</v>
      </c>
      <c r="OD120">
        <v>0</v>
      </c>
      <c r="OE120">
        <v>0</v>
      </c>
      <c r="OF120">
        <v>0</v>
      </c>
      <c r="OG120">
        <v>0</v>
      </c>
      <c r="OH120">
        <v>0</v>
      </c>
      <c r="OI120">
        <v>0</v>
      </c>
      <c r="OJ120">
        <v>0</v>
      </c>
      <c r="OK120">
        <v>0</v>
      </c>
      <c r="OL120">
        <v>0</v>
      </c>
      <c r="OM120">
        <v>0</v>
      </c>
      <c r="ON120">
        <v>0</v>
      </c>
    </row>
    <row r="121" spans="1:404" x14ac:dyDescent="0.25">
      <c r="A121" t="s">
        <v>427</v>
      </c>
      <c r="B121" t="s">
        <v>428</v>
      </c>
      <c r="C121" t="s">
        <v>426</v>
      </c>
      <c r="E121" t="s">
        <v>1942</v>
      </c>
      <c r="F121">
        <v>23239</v>
      </c>
      <c r="G121">
        <v>131075</v>
      </c>
      <c r="H121">
        <v>60297</v>
      </c>
      <c r="I121">
        <v>31255</v>
      </c>
      <c r="J121">
        <v>1676</v>
      </c>
      <c r="K121">
        <v>47146</v>
      </c>
      <c r="L121">
        <v>294688</v>
      </c>
      <c r="M121">
        <v>-22</v>
      </c>
      <c r="N121">
        <v>2340</v>
      </c>
      <c r="O121">
        <v>2862</v>
      </c>
      <c r="P121">
        <v>1564</v>
      </c>
      <c r="Q121">
        <v>877</v>
      </c>
      <c r="R121">
        <v>1981</v>
      </c>
      <c r="S121">
        <v>1302</v>
      </c>
      <c r="T121">
        <v>2757</v>
      </c>
      <c r="U121">
        <v>1940</v>
      </c>
      <c r="V121">
        <v>0</v>
      </c>
      <c r="W121">
        <v>0</v>
      </c>
      <c r="X121">
        <v>1062</v>
      </c>
      <c r="Y121">
        <v>0</v>
      </c>
      <c r="Z121">
        <v>-278</v>
      </c>
      <c r="AA121">
        <v>-31</v>
      </c>
      <c r="AB121">
        <v>6029</v>
      </c>
      <c r="AC121">
        <v>0</v>
      </c>
      <c r="AD121">
        <v>2472</v>
      </c>
      <c r="AE121">
        <v>0</v>
      </c>
      <c r="AF121">
        <v>0</v>
      </c>
      <c r="AG121">
        <v>1156</v>
      </c>
      <c r="AH121">
        <v>0</v>
      </c>
      <c r="AI121">
        <v>26011</v>
      </c>
      <c r="AJ121">
        <v>0</v>
      </c>
      <c r="AK121">
        <v>0</v>
      </c>
      <c r="AL121">
        <v>0</v>
      </c>
      <c r="AM121">
        <v>0</v>
      </c>
      <c r="AN121">
        <v>0</v>
      </c>
      <c r="AO121">
        <v>0</v>
      </c>
      <c r="AP121">
        <v>0</v>
      </c>
      <c r="AQ121">
        <v>0</v>
      </c>
      <c r="AR121">
        <v>5416</v>
      </c>
      <c r="AS121">
        <v>0</v>
      </c>
      <c r="AT121">
        <v>0</v>
      </c>
      <c r="AU121">
        <v>0</v>
      </c>
      <c r="AV121">
        <v>1670</v>
      </c>
      <c r="AW121">
        <v>56878</v>
      </c>
      <c r="AX121">
        <v>2717</v>
      </c>
      <c r="AY121">
        <v>16458</v>
      </c>
      <c r="AZ121">
        <v>1507</v>
      </c>
      <c r="BA121">
        <v>11577</v>
      </c>
      <c r="BB121">
        <v>3739</v>
      </c>
      <c r="BC121">
        <v>6499</v>
      </c>
      <c r="BD121">
        <v>101045</v>
      </c>
      <c r="BE121">
        <v>18283</v>
      </c>
      <c r="BF121">
        <v>34667</v>
      </c>
      <c r="BG121">
        <v>627</v>
      </c>
      <c r="BH121">
        <v>395</v>
      </c>
      <c r="BI121">
        <v>1383</v>
      </c>
      <c r="BJ121">
        <v>12386</v>
      </c>
      <c r="BK121">
        <v>57953</v>
      </c>
      <c r="BL121">
        <v>6325</v>
      </c>
      <c r="BM121">
        <v>9516</v>
      </c>
      <c r="BN121">
        <v>8019</v>
      </c>
      <c r="BO121">
        <v>938</v>
      </c>
      <c r="BP121">
        <v>0</v>
      </c>
      <c r="BQ121">
        <v>1544</v>
      </c>
      <c r="BR121">
        <v>1361</v>
      </c>
      <c r="BS121">
        <v>2808</v>
      </c>
      <c r="BT121">
        <v>26492</v>
      </c>
      <c r="BU121">
        <v>892</v>
      </c>
      <c r="BV121">
        <v>23469</v>
      </c>
      <c r="BW121">
        <v>229675</v>
      </c>
      <c r="BX121">
        <v>2234</v>
      </c>
      <c r="BY121">
        <v>2118</v>
      </c>
      <c r="BZ121">
        <v>201</v>
      </c>
      <c r="CA121">
        <v>781</v>
      </c>
      <c r="CB121">
        <v>151</v>
      </c>
      <c r="CC121">
        <v>438</v>
      </c>
      <c r="CD121">
        <v>956</v>
      </c>
      <c r="CE121">
        <v>600</v>
      </c>
      <c r="CF121">
        <v>42</v>
      </c>
      <c r="CG121">
        <v>388</v>
      </c>
      <c r="CH121">
        <v>84</v>
      </c>
      <c r="CI121">
        <v>3921</v>
      </c>
      <c r="CJ121">
        <v>2640</v>
      </c>
      <c r="CK121">
        <v>680</v>
      </c>
      <c r="CL121">
        <v>219</v>
      </c>
      <c r="CM121">
        <v>87</v>
      </c>
      <c r="CN121">
        <v>1094</v>
      </c>
      <c r="CO121">
        <v>226</v>
      </c>
      <c r="CP121">
        <v>1690</v>
      </c>
      <c r="CQ121">
        <v>3952</v>
      </c>
      <c r="CR121">
        <v>3021</v>
      </c>
      <c r="CS121">
        <v>155</v>
      </c>
      <c r="CT121">
        <v>1223</v>
      </c>
      <c r="CU121">
        <v>1531</v>
      </c>
      <c r="CV121">
        <v>29916</v>
      </c>
      <c r="CW121">
        <v>561</v>
      </c>
      <c r="CX121">
        <v>33</v>
      </c>
      <c r="CY121">
        <v>25</v>
      </c>
      <c r="CZ121">
        <v>0</v>
      </c>
      <c r="DA121">
        <v>0</v>
      </c>
      <c r="DB121">
        <v>0</v>
      </c>
      <c r="DC121">
        <v>0</v>
      </c>
      <c r="DD121">
        <v>0</v>
      </c>
      <c r="DE121">
        <v>0</v>
      </c>
      <c r="DF121">
        <v>0</v>
      </c>
      <c r="DG121">
        <v>0</v>
      </c>
      <c r="DH121">
        <v>0</v>
      </c>
      <c r="DI121">
        <v>0</v>
      </c>
      <c r="DJ121">
        <v>0</v>
      </c>
      <c r="DK121">
        <v>0</v>
      </c>
      <c r="DL121">
        <v>0</v>
      </c>
      <c r="DM121">
        <v>0</v>
      </c>
      <c r="DN121">
        <v>0</v>
      </c>
      <c r="DO121">
        <v>0</v>
      </c>
      <c r="DP121">
        <v>0</v>
      </c>
      <c r="DQ121">
        <v>0</v>
      </c>
      <c r="DR121">
        <v>0</v>
      </c>
      <c r="DS121">
        <v>0</v>
      </c>
      <c r="DT121">
        <v>0</v>
      </c>
      <c r="DU121">
        <v>144</v>
      </c>
      <c r="DV121">
        <v>5657</v>
      </c>
      <c r="DW121">
        <v>0</v>
      </c>
      <c r="DX121">
        <v>5801</v>
      </c>
      <c r="DY121">
        <v>0</v>
      </c>
      <c r="DZ121">
        <v>0</v>
      </c>
      <c r="EA121">
        <v>0</v>
      </c>
      <c r="EB121">
        <v>0</v>
      </c>
      <c r="EC121">
        <v>0</v>
      </c>
      <c r="ED121">
        <v>0</v>
      </c>
      <c r="EE121">
        <v>0</v>
      </c>
      <c r="EF121">
        <v>0</v>
      </c>
      <c r="EG121">
        <v>0</v>
      </c>
      <c r="EH121">
        <v>0</v>
      </c>
      <c r="EI121">
        <v>0</v>
      </c>
      <c r="EJ121">
        <v>0</v>
      </c>
      <c r="EK121">
        <v>0</v>
      </c>
      <c r="EL121">
        <v>0</v>
      </c>
      <c r="EM121">
        <v>0</v>
      </c>
      <c r="EN121">
        <v>0</v>
      </c>
      <c r="EO121">
        <v>0</v>
      </c>
      <c r="EP121">
        <v>0</v>
      </c>
      <c r="EQ121">
        <v>0</v>
      </c>
      <c r="ER121">
        <v>0</v>
      </c>
      <c r="ES121">
        <v>0</v>
      </c>
      <c r="ET121">
        <v>0</v>
      </c>
      <c r="EU121">
        <v>1237</v>
      </c>
      <c r="EV121">
        <v>177</v>
      </c>
      <c r="EW121">
        <v>362</v>
      </c>
      <c r="EX121">
        <v>0</v>
      </c>
      <c r="EY121">
        <v>0</v>
      </c>
      <c r="EZ121">
        <v>0</v>
      </c>
      <c r="FA121">
        <v>0</v>
      </c>
      <c r="FB121">
        <v>0</v>
      </c>
      <c r="FC121">
        <v>0</v>
      </c>
      <c r="FD121">
        <v>1324</v>
      </c>
      <c r="FE121">
        <v>0</v>
      </c>
      <c r="FF121">
        <v>0</v>
      </c>
      <c r="FG121">
        <v>5213</v>
      </c>
      <c r="FH121">
        <v>8313</v>
      </c>
      <c r="FI121">
        <v>0</v>
      </c>
      <c r="FJ121">
        <v>1043</v>
      </c>
      <c r="FK121">
        <v>0</v>
      </c>
      <c r="FL121">
        <v>0</v>
      </c>
      <c r="FM121">
        <v>0</v>
      </c>
      <c r="FN121">
        <v>0</v>
      </c>
      <c r="FO121">
        <v>0</v>
      </c>
      <c r="FP121">
        <v>0</v>
      </c>
      <c r="FQ121">
        <v>0</v>
      </c>
      <c r="FR121">
        <v>0</v>
      </c>
      <c r="FS121">
        <v>0</v>
      </c>
      <c r="FT121">
        <v>0</v>
      </c>
      <c r="FU121">
        <v>0</v>
      </c>
      <c r="FV121">
        <v>820</v>
      </c>
      <c r="FW121">
        <v>0</v>
      </c>
      <c r="FX121">
        <v>0</v>
      </c>
      <c r="FY121">
        <v>619</v>
      </c>
      <c r="FZ121">
        <v>0</v>
      </c>
      <c r="GA121">
        <v>0</v>
      </c>
      <c r="GB121">
        <v>6</v>
      </c>
      <c r="GC121">
        <v>0</v>
      </c>
      <c r="GD121">
        <v>0</v>
      </c>
      <c r="GE121">
        <v>0</v>
      </c>
      <c r="GF121">
        <v>32085</v>
      </c>
      <c r="GG121">
        <v>0</v>
      </c>
      <c r="GH121">
        <v>0</v>
      </c>
      <c r="GI121">
        <v>0</v>
      </c>
      <c r="GJ121">
        <v>0</v>
      </c>
      <c r="GK121">
        <v>34573</v>
      </c>
      <c r="GL121">
        <v>0</v>
      </c>
      <c r="GM121">
        <v>378</v>
      </c>
      <c r="GN121">
        <v>0</v>
      </c>
      <c r="GO121">
        <v>0</v>
      </c>
      <c r="GP121">
        <v>705</v>
      </c>
      <c r="GQ121">
        <v>649</v>
      </c>
      <c r="GR121">
        <v>0</v>
      </c>
      <c r="GS121">
        <v>40</v>
      </c>
      <c r="GT121">
        <v>396</v>
      </c>
      <c r="GU121">
        <v>2168</v>
      </c>
      <c r="GV121">
        <v>45054</v>
      </c>
      <c r="GW121">
        <v>0</v>
      </c>
      <c r="GX121">
        <v>0</v>
      </c>
      <c r="GY121">
        <v>0</v>
      </c>
      <c r="GZ121">
        <v>0</v>
      </c>
      <c r="HA121">
        <v>0</v>
      </c>
      <c r="HB121">
        <v>3267</v>
      </c>
      <c r="HC121">
        <v>0</v>
      </c>
      <c r="HD121">
        <v>0</v>
      </c>
      <c r="HE121">
        <v>0</v>
      </c>
      <c r="HF121">
        <v>304</v>
      </c>
      <c r="HG121">
        <v>0</v>
      </c>
      <c r="HH121">
        <v>0</v>
      </c>
      <c r="HI121">
        <v>470</v>
      </c>
      <c r="HJ121">
        <v>0</v>
      </c>
      <c r="HK121">
        <v>651</v>
      </c>
      <c r="HL121">
        <v>302</v>
      </c>
      <c r="HM121">
        <v>0</v>
      </c>
      <c r="HN121">
        <v>2035</v>
      </c>
      <c r="HO121">
        <v>0</v>
      </c>
      <c r="HP121">
        <v>1227</v>
      </c>
      <c r="HQ121">
        <v>0</v>
      </c>
      <c r="HR121">
        <v>8387</v>
      </c>
      <c r="HS121">
        <v>0</v>
      </c>
      <c r="HT121">
        <v>103</v>
      </c>
      <c r="HU121">
        <v>0</v>
      </c>
      <c r="HV121">
        <v>16746</v>
      </c>
      <c r="HW121">
        <v>0</v>
      </c>
      <c r="HX121">
        <v>50198</v>
      </c>
      <c r="HY121">
        <v>0</v>
      </c>
      <c r="HZ121">
        <v>0</v>
      </c>
      <c r="IA121">
        <v>0</v>
      </c>
      <c r="IB121">
        <v>0</v>
      </c>
      <c r="IC121">
        <v>294688</v>
      </c>
      <c r="ID121">
        <v>26011</v>
      </c>
      <c r="IE121">
        <v>101045</v>
      </c>
      <c r="IF121">
        <v>229675</v>
      </c>
      <c r="IG121">
        <v>29916</v>
      </c>
      <c r="IH121">
        <v>5801</v>
      </c>
      <c r="II121">
        <v>8313</v>
      </c>
      <c r="IJ121">
        <v>34573</v>
      </c>
      <c r="IK121">
        <v>2168</v>
      </c>
      <c r="IL121">
        <v>0</v>
      </c>
      <c r="IM121">
        <v>0</v>
      </c>
      <c r="IN121">
        <v>16746</v>
      </c>
      <c r="IO121">
        <v>0</v>
      </c>
      <c r="IP121">
        <v>748936</v>
      </c>
      <c r="IQ121">
        <v>0</v>
      </c>
      <c r="IR121">
        <v>0</v>
      </c>
      <c r="IS121">
        <v>0</v>
      </c>
      <c r="IT121">
        <v>0</v>
      </c>
      <c r="IU121">
        <v>0</v>
      </c>
      <c r="IV121">
        <v>0</v>
      </c>
      <c r="IW121">
        <v>0</v>
      </c>
      <c r="IX121">
        <v>0</v>
      </c>
      <c r="IY121">
        <v>0</v>
      </c>
      <c r="IZ121">
        <v>431</v>
      </c>
      <c r="JA121">
        <v>0</v>
      </c>
      <c r="JB121">
        <v>68</v>
      </c>
      <c r="JC121">
        <v>0</v>
      </c>
      <c r="JD121">
        <v>0</v>
      </c>
      <c r="JE121">
        <v>-463</v>
      </c>
      <c r="JF121">
        <v>0</v>
      </c>
      <c r="JG121">
        <v>748972</v>
      </c>
      <c r="JH121">
        <v>164</v>
      </c>
      <c r="JI121">
        <v>6369</v>
      </c>
      <c r="JJ121">
        <v>0</v>
      </c>
      <c r="JK121">
        <v>0</v>
      </c>
      <c r="JL121">
        <v>0</v>
      </c>
      <c r="JM121">
        <v>79</v>
      </c>
      <c r="JN121">
        <v>6552</v>
      </c>
      <c r="JO121">
        <v>0</v>
      </c>
      <c r="JP121">
        <v>11371</v>
      </c>
      <c r="JQ121">
        <v>0</v>
      </c>
      <c r="JR121">
        <v>773507</v>
      </c>
      <c r="JS121">
        <v>-1255</v>
      </c>
      <c r="JT121">
        <v>0</v>
      </c>
      <c r="JU121">
        <v>0</v>
      </c>
      <c r="JV121">
        <v>0</v>
      </c>
      <c r="JW121">
        <v>-5194</v>
      </c>
      <c r="JX121">
        <v>0</v>
      </c>
      <c r="JY121">
        <v>0</v>
      </c>
      <c r="JZ121">
        <v>0</v>
      </c>
      <c r="KA121">
        <v>0</v>
      </c>
      <c r="KB121">
        <v>0</v>
      </c>
      <c r="KC121">
        <v>767058</v>
      </c>
      <c r="KD121">
        <v>0</v>
      </c>
      <c r="KE121">
        <v>-377965</v>
      </c>
      <c r="KF121">
        <v>389093</v>
      </c>
      <c r="KG121">
        <v>0</v>
      </c>
      <c r="KH121">
        <v>816</v>
      </c>
      <c r="KI121">
        <v>2289</v>
      </c>
      <c r="KJ121">
        <v>1123</v>
      </c>
      <c r="KK121">
        <v>22969</v>
      </c>
      <c r="KL121">
        <v>0</v>
      </c>
      <c r="KM121">
        <v>-3568</v>
      </c>
      <c r="KN121">
        <v>0</v>
      </c>
      <c r="KO121">
        <v>-80496</v>
      </c>
      <c r="KP121">
        <v>-1146</v>
      </c>
      <c r="KQ121">
        <v>0</v>
      </c>
      <c r="KR121">
        <v>310355</v>
      </c>
      <c r="KS121">
        <v>20512</v>
      </c>
      <c r="KT121">
        <v>12135</v>
      </c>
      <c r="KU121">
        <v>5734</v>
      </c>
      <c r="KV121">
        <v>162182</v>
      </c>
      <c r="KW121">
        <v>9999</v>
      </c>
      <c r="KX121">
        <v>21328</v>
      </c>
      <c r="KY121">
        <v>14424</v>
      </c>
      <c r="KZ121">
        <v>6857</v>
      </c>
      <c r="LA121">
        <v>185151</v>
      </c>
      <c r="LB121">
        <v>9999</v>
      </c>
      <c r="LC121">
        <v>0</v>
      </c>
      <c r="LD121">
        <v>48888</v>
      </c>
      <c r="LE121">
        <v>0</v>
      </c>
      <c r="LF121">
        <v>-1827</v>
      </c>
      <c r="LG121">
        <v>-34818</v>
      </c>
      <c r="LH121">
        <v>28926</v>
      </c>
      <c r="LI121">
        <v>41609</v>
      </c>
      <c r="LJ121">
        <v>0</v>
      </c>
      <c r="LK121">
        <v>0</v>
      </c>
      <c r="LL121">
        <v>0</v>
      </c>
      <c r="LM121">
        <v>0</v>
      </c>
      <c r="LN121">
        <v>0</v>
      </c>
      <c r="LO121">
        <v>0</v>
      </c>
      <c r="LP121">
        <v>0</v>
      </c>
      <c r="LQ121">
        <v>0</v>
      </c>
      <c r="LR121">
        <v>0</v>
      </c>
      <c r="LS121">
        <v>0</v>
      </c>
      <c r="LT121">
        <v>0</v>
      </c>
      <c r="LU121">
        <v>294688</v>
      </c>
      <c r="LV121">
        <v>26011</v>
      </c>
      <c r="LW121">
        <v>101045</v>
      </c>
      <c r="LX121">
        <v>229675</v>
      </c>
      <c r="LY121">
        <v>29916</v>
      </c>
      <c r="LZ121">
        <v>5801</v>
      </c>
      <c r="MA121">
        <v>8313</v>
      </c>
      <c r="MB121">
        <v>34573</v>
      </c>
      <c r="MC121">
        <v>2168</v>
      </c>
      <c r="MD121">
        <v>0</v>
      </c>
      <c r="ME121">
        <v>0</v>
      </c>
      <c r="MF121">
        <v>16746</v>
      </c>
      <c r="MG121">
        <v>0</v>
      </c>
      <c r="MH121">
        <v>748936</v>
      </c>
      <c r="MI121">
        <v>0</v>
      </c>
      <c r="MJ121">
        <v>0</v>
      </c>
      <c r="MK121">
        <v>0</v>
      </c>
      <c r="ML121">
        <v>0</v>
      </c>
      <c r="MM121">
        <v>0</v>
      </c>
      <c r="MN121">
        <v>0</v>
      </c>
      <c r="MO121">
        <v>0</v>
      </c>
      <c r="MP121">
        <v>0</v>
      </c>
      <c r="MQ121">
        <v>0</v>
      </c>
      <c r="MR121">
        <v>0</v>
      </c>
      <c r="MS121">
        <v>0</v>
      </c>
      <c r="MT121">
        <v>0</v>
      </c>
      <c r="MU121">
        <v>0</v>
      </c>
      <c r="MV121">
        <v>0</v>
      </c>
      <c r="MW121">
        <v>0</v>
      </c>
      <c r="MX121">
        <v>0</v>
      </c>
      <c r="MY121">
        <v>0</v>
      </c>
      <c r="MZ121">
        <v>0</v>
      </c>
      <c r="NA121">
        <v>0</v>
      </c>
      <c r="NB121">
        <v>0</v>
      </c>
      <c r="NC121">
        <v>0</v>
      </c>
      <c r="ND121">
        <v>0</v>
      </c>
      <c r="NE121">
        <v>0</v>
      </c>
      <c r="NF121">
        <v>0</v>
      </c>
      <c r="NG121">
        <v>0</v>
      </c>
      <c r="NH121">
        <v>0</v>
      </c>
      <c r="NI121">
        <v>0</v>
      </c>
      <c r="NJ121">
        <v>0</v>
      </c>
      <c r="NK121">
        <v>0</v>
      </c>
      <c r="NL121">
        <v>0</v>
      </c>
      <c r="NM121">
        <v>0</v>
      </c>
      <c r="NN121">
        <v>0</v>
      </c>
      <c r="NO121">
        <v>0</v>
      </c>
      <c r="NP121">
        <v>0</v>
      </c>
      <c r="NQ121">
        <v>0</v>
      </c>
      <c r="NR121">
        <v>-89</v>
      </c>
      <c r="NS121">
        <v>0</v>
      </c>
      <c r="NT121">
        <v>157</v>
      </c>
      <c r="NU121">
        <v>0</v>
      </c>
      <c r="NV121">
        <v>0</v>
      </c>
      <c r="NW121">
        <v>0</v>
      </c>
      <c r="NX121">
        <v>0</v>
      </c>
      <c r="NY121">
        <v>0</v>
      </c>
      <c r="NZ121">
        <v>68</v>
      </c>
      <c r="OA121">
        <v>0</v>
      </c>
      <c r="OB121">
        <v>68</v>
      </c>
      <c r="OC121">
        <v>0</v>
      </c>
      <c r="OD121">
        <v>0</v>
      </c>
      <c r="OE121">
        <v>0</v>
      </c>
      <c r="OF121">
        <v>0</v>
      </c>
      <c r="OG121">
        <v>0</v>
      </c>
      <c r="OH121">
        <v>0</v>
      </c>
      <c r="OI121">
        <v>0</v>
      </c>
      <c r="OJ121">
        <v>0</v>
      </c>
      <c r="OK121">
        <v>0</v>
      </c>
      <c r="OL121">
        <v>0</v>
      </c>
      <c r="OM121">
        <v>0</v>
      </c>
      <c r="ON121">
        <v>0</v>
      </c>
    </row>
    <row r="122" spans="1:404" x14ac:dyDescent="0.25">
      <c r="A122" t="s">
        <v>430</v>
      </c>
      <c r="B122" t="s">
        <v>431</v>
      </c>
      <c r="C122" t="s">
        <v>5426</v>
      </c>
      <c r="E122" t="s">
        <v>5408</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AJ122">
        <v>0</v>
      </c>
      <c r="AK122">
        <v>0</v>
      </c>
      <c r="AL122">
        <v>0</v>
      </c>
      <c r="AM122">
        <v>0</v>
      </c>
      <c r="AN122">
        <v>0</v>
      </c>
      <c r="AO122">
        <v>0</v>
      </c>
      <c r="AP122">
        <v>0</v>
      </c>
      <c r="AQ122">
        <v>0</v>
      </c>
      <c r="AR122">
        <v>0</v>
      </c>
      <c r="AS122">
        <v>0</v>
      </c>
      <c r="AT122">
        <v>0</v>
      </c>
      <c r="AU122">
        <v>0</v>
      </c>
      <c r="AV122">
        <v>0</v>
      </c>
      <c r="AW122">
        <v>0</v>
      </c>
      <c r="AX122">
        <v>0</v>
      </c>
      <c r="AY122">
        <v>0</v>
      </c>
      <c r="AZ122">
        <v>0</v>
      </c>
      <c r="BA122">
        <v>0</v>
      </c>
      <c r="BB122">
        <v>0</v>
      </c>
      <c r="BC122">
        <v>0</v>
      </c>
      <c r="BD122">
        <v>0</v>
      </c>
      <c r="BE122">
        <v>0</v>
      </c>
      <c r="BF122">
        <v>0</v>
      </c>
      <c r="BG122">
        <v>0</v>
      </c>
      <c r="BH122">
        <v>0</v>
      </c>
      <c r="BI122">
        <v>0</v>
      </c>
      <c r="BJ122">
        <v>0</v>
      </c>
      <c r="BK122">
        <v>0</v>
      </c>
      <c r="BL122">
        <v>0</v>
      </c>
      <c r="BM122">
        <v>0</v>
      </c>
      <c r="BN122">
        <v>0</v>
      </c>
      <c r="BO122">
        <v>0</v>
      </c>
      <c r="BP122">
        <v>0</v>
      </c>
      <c r="BQ122">
        <v>0</v>
      </c>
      <c r="BR122">
        <v>0</v>
      </c>
      <c r="BS122">
        <v>0</v>
      </c>
      <c r="BT122">
        <v>0</v>
      </c>
      <c r="BU122">
        <v>0</v>
      </c>
      <c r="BV122">
        <v>0</v>
      </c>
      <c r="BW122">
        <v>0</v>
      </c>
      <c r="BX122">
        <v>0</v>
      </c>
      <c r="BY122">
        <v>0</v>
      </c>
      <c r="BZ122">
        <v>0</v>
      </c>
      <c r="CA122">
        <v>0</v>
      </c>
      <c r="CB122">
        <v>0</v>
      </c>
      <c r="CC122">
        <v>0</v>
      </c>
      <c r="CD122">
        <v>0</v>
      </c>
      <c r="CE122">
        <v>0</v>
      </c>
      <c r="CF122">
        <v>0</v>
      </c>
      <c r="CG122">
        <v>0</v>
      </c>
      <c r="CH122">
        <v>0</v>
      </c>
      <c r="CI122">
        <v>0</v>
      </c>
      <c r="CJ122">
        <v>0</v>
      </c>
      <c r="CK122">
        <v>0</v>
      </c>
      <c r="CL122">
        <v>0</v>
      </c>
      <c r="CM122">
        <v>0</v>
      </c>
      <c r="CN122">
        <v>0</v>
      </c>
      <c r="CO122">
        <v>0</v>
      </c>
      <c r="CP122">
        <v>0</v>
      </c>
      <c r="CQ122">
        <v>0</v>
      </c>
      <c r="CR122">
        <v>0</v>
      </c>
      <c r="CS122">
        <v>0</v>
      </c>
      <c r="CT122">
        <v>0</v>
      </c>
      <c r="CU122">
        <v>0</v>
      </c>
      <c r="CV122">
        <v>0</v>
      </c>
      <c r="CW122">
        <v>0</v>
      </c>
      <c r="CX122">
        <v>0</v>
      </c>
      <c r="CY122">
        <v>0</v>
      </c>
      <c r="CZ122">
        <v>0</v>
      </c>
      <c r="DA122">
        <v>0</v>
      </c>
      <c r="DB122">
        <v>0</v>
      </c>
      <c r="DC122">
        <v>0</v>
      </c>
      <c r="DD122">
        <v>0</v>
      </c>
      <c r="DE122">
        <v>0</v>
      </c>
      <c r="DF122">
        <v>0</v>
      </c>
      <c r="DG122">
        <v>0</v>
      </c>
      <c r="DH122">
        <v>0</v>
      </c>
      <c r="DI122">
        <v>0</v>
      </c>
      <c r="DJ122">
        <v>0</v>
      </c>
      <c r="DK122">
        <v>0</v>
      </c>
      <c r="DL122">
        <v>0</v>
      </c>
      <c r="DM122">
        <v>0</v>
      </c>
      <c r="DN122">
        <v>0</v>
      </c>
      <c r="DO122">
        <v>0</v>
      </c>
      <c r="DP122">
        <v>0</v>
      </c>
      <c r="DQ122">
        <v>0</v>
      </c>
      <c r="DR122">
        <v>0</v>
      </c>
      <c r="DS122">
        <v>0</v>
      </c>
      <c r="DT122">
        <v>0</v>
      </c>
      <c r="DU122">
        <v>0</v>
      </c>
      <c r="DV122">
        <v>0</v>
      </c>
      <c r="DW122">
        <v>0</v>
      </c>
      <c r="DX122">
        <v>0</v>
      </c>
      <c r="DY122">
        <v>0</v>
      </c>
      <c r="DZ122">
        <v>0</v>
      </c>
      <c r="EA122">
        <v>0</v>
      </c>
      <c r="EB122">
        <v>0</v>
      </c>
      <c r="EC122">
        <v>0</v>
      </c>
      <c r="ED122">
        <v>0</v>
      </c>
      <c r="EE122">
        <v>0</v>
      </c>
      <c r="EF122">
        <v>0</v>
      </c>
      <c r="EG122">
        <v>0</v>
      </c>
      <c r="EH122">
        <v>0</v>
      </c>
      <c r="EI122">
        <v>0</v>
      </c>
      <c r="EJ122">
        <v>0</v>
      </c>
      <c r="EK122">
        <v>0</v>
      </c>
      <c r="EL122">
        <v>0</v>
      </c>
      <c r="EM122">
        <v>0</v>
      </c>
      <c r="EN122">
        <v>0</v>
      </c>
      <c r="EO122">
        <v>0</v>
      </c>
      <c r="EP122">
        <v>0</v>
      </c>
      <c r="EQ122">
        <v>0</v>
      </c>
      <c r="ER122">
        <v>0</v>
      </c>
      <c r="ES122">
        <v>0</v>
      </c>
      <c r="ET122">
        <v>0</v>
      </c>
      <c r="EU122">
        <v>0</v>
      </c>
      <c r="EV122">
        <v>0</v>
      </c>
      <c r="EW122">
        <v>0</v>
      </c>
      <c r="EX122">
        <v>0</v>
      </c>
      <c r="EY122">
        <v>0</v>
      </c>
      <c r="EZ122">
        <v>0</v>
      </c>
      <c r="FA122">
        <v>0</v>
      </c>
      <c r="FB122">
        <v>0</v>
      </c>
      <c r="FC122">
        <v>0</v>
      </c>
      <c r="FD122">
        <v>0</v>
      </c>
      <c r="FE122">
        <v>0</v>
      </c>
      <c r="FF122">
        <v>0</v>
      </c>
      <c r="FG122">
        <v>0</v>
      </c>
      <c r="FH122">
        <v>0</v>
      </c>
      <c r="FI122">
        <v>0</v>
      </c>
      <c r="FJ122">
        <v>0</v>
      </c>
      <c r="FK122">
        <v>0</v>
      </c>
      <c r="FL122">
        <v>0</v>
      </c>
      <c r="FM122">
        <v>0</v>
      </c>
      <c r="FN122">
        <v>0</v>
      </c>
      <c r="FO122">
        <v>0</v>
      </c>
      <c r="FP122">
        <v>0</v>
      </c>
      <c r="FQ122">
        <v>0</v>
      </c>
      <c r="FR122">
        <v>0</v>
      </c>
      <c r="FS122">
        <v>0</v>
      </c>
      <c r="FT122">
        <v>0</v>
      </c>
      <c r="FU122">
        <v>0</v>
      </c>
      <c r="FV122">
        <v>0</v>
      </c>
      <c r="FW122">
        <v>0</v>
      </c>
      <c r="FX122">
        <v>0</v>
      </c>
      <c r="FY122">
        <v>0</v>
      </c>
      <c r="FZ122">
        <v>0</v>
      </c>
      <c r="GA122">
        <v>0</v>
      </c>
      <c r="GB122">
        <v>0</v>
      </c>
      <c r="GC122">
        <v>0</v>
      </c>
      <c r="GD122">
        <v>0</v>
      </c>
      <c r="GE122">
        <v>0</v>
      </c>
      <c r="GF122">
        <v>0</v>
      </c>
      <c r="GG122">
        <v>0</v>
      </c>
      <c r="GH122">
        <v>0</v>
      </c>
      <c r="GI122">
        <v>0</v>
      </c>
      <c r="GJ122">
        <v>0</v>
      </c>
      <c r="GK122">
        <v>0</v>
      </c>
      <c r="GL122">
        <v>0</v>
      </c>
      <c r="GM122">
        <v>0</v>
      </c>
      <c r="GN122">
        <v>0</v>
      </c>
      <c r="GO122">
        <v>0</v>
      </c>
      <c r="GP122">
        <v>0</v>
      </c>
      <c r="GQ122">
        <v>0</v>
      </c>
      <c r="GR122">
        <v>0</v>
      </c>
      <c r="GS122">
        <v>0</v>
      </c>
      <c r="GT122">
        <v>0</v>
      </c>
      <c r="GU122">
        <v>0</v>
      </c>
      <c r="GV122">
        <v>0</v>
      </c>
      <c r="GW122">
        <v>0</v>
      </c>
      <c r="GX122">
        <v>3018</v>
      </c>
      <c r="GY122">
        <v>40431</v>
      </c>
      <c r="GZ122">
        <v>0</v>
      </c>
      <c r="HA122">
        <v>43449</v>
      </c>
      <c r="HB122">
        <v>1078</v>
      </c>
      <c r="HC122">
        <v>0</v>
      </c>
      <c r="HD122">
        <v>0</v>
      </c>
      <c r="HE122">
        <v>0</v>
      </c>
      <c r="HF122">
        <v>0</v>
      </c>
      <c r="HG122">
        <v>0</v>
      </c>
      <c r="HH122">
        <v>0</v>
      </c>
      <c r="HI122">
        <v>0</v>
      </c>
      <c r="HJ122">
        <v>0</v>
      </c>
      <c r="HK122">
        <v>0</v>
      </c>
      <c r="HL122">
        <v>0</v>
      </c>
      <c r="HM122">
        <v>0</v>
      </c>
      <c r="HN122">
        <v>0</v>
      </c>
      <c r="HO122">
        <v>0</v>
      </c>
      <c r="HP122">
        <v>0</v>
      </c>
      <c r="HQ122">
        <v>0</v>
      </c>
      <c r="HR122">
        <v>0</v>
      </c>
      <c r="HS122">
        <v>0</v>
      </c>
      <c r="HT122">
        <v>0</v>
      </c>
      <c r="HU122">
        <v>0</v>
      </c>
      <c r="HV122">
        <v>1078</v>
      </c>
      <c r="HW122">
        <v>0</v>
      </c>
      <c r="HX122">
        <v>0</v>
      </c>
      <c r="HY122">
        <v>0</v>
      </c>
      <c r="HZ122">
        <v>0</v>
      </c>
      <c r="IA122">
        <v>0</v>
      </c>
      <c r="IB122">
        <v>0</v>
      </c>
      <c r="IC122">
        <v>0</v>
      </c>
      <c r="ID122">
        <v>0</v>
      </c>
      <c r="IE122">
        <v>0</v>
      </c>
      <c r="IF122">
        <v>0</v>
      </c>
      <c r="IG122">
        <v>0</v>
      </c>
      <c r="IH122">
        <v>0</v>
      </c>
      <c r="II122">
        <v>0</v>
      </c>
      <c r="IJ122">
        <v>0</v>
      </c>
      <c r="IK122">
        <v>0</v>
      </c>
      <c r="IL122">
        <v>0</v>
      </c>
      <c r="IM122">
        <v>43449</v>
      </c>
      <c r="IN122">
        <v>1078</v>
      </c>
      <c r="IO122">
        <v>0</v>
      </c>
      <c r="IP122">
        <v>44527</v>
      </c>
      <c r="IQ122">
        <v>0</v>
      </c>
      <c r="IR122">
        <v>0</v>
      </c>
      <c r="IS122">
        <v>0</v>
      </c>
      <c r="IT122">
        <v>0</v>
      </c>
      <c r="IU122">
        <v>0</v>
      </c>
      <c r="IV122">
        <v>0</v>
      </c>
      <c r="IW122">
        <v>0</v>
      </c>
      <c r="IX122">
        <v>0</v>
      </c>
      <c r="IY122">
        <v>0</v>
      </c>
      <c r="IZ122">
        <v>0</v>
      </c>
      <c r="JA122">
        <v>0</v>
      </c>
      <c r="JB122">
        <v>0</v>
      </c>
      <c r="JC122">
        <v>0</v>
      </c>
      <c r="JD122">
        <v>0</v>
      </c>
      <c r="JE122">
        <v>-3</v>
      </c>
      <c r="JF122">
        <v>0</v>
      </c>
      <c r="JG122">
        <v>44524</v>
      </c>
      <c r="JH122">
        <v>0</v>
      </c>
      <c r="JI122">
        <v>93</v>
      </c>
      <c r="JJ122">
        <v>0</v>
      </c>
      <c r="JK122">
        <v>0</v>
      </c>
      <c r="JL122">
        <v>0</v>
      </c>
      <c r="JM122">
        <v>-3</v>
      </c>
      <c r="JN122">
        <v>428</v>
      </c>
      <c r="JO122">
        <v>0</v>
      </c>
      <c r="JP122">
        <v>483</v>
      </c>
      <c r="JQ122">
        <v>0</v>
      </c>
      <c r="JR122">
        <v>45525</v>
      </c>
      <c r="JS122">
        <v>-58</v>
      </c>
      <c r="JT122">
        <v>0</v>
      </c>
      <c r="JU122">
        <v>0</v>
      </c>
      <c r="JV122">
        <v>0</v>
      </c>
      <c r="JW122">
        <v>0</v>
      </c>
      <c r="JX122">
        <v>0</v>
      </c>
      <c r="JY122">
        <v>0</v>
      </c>
      <c r="JZ122">
        <v>0</v>
      </c>
      <c r="KA122">
        <v>0</v>
      </c>
      <c r="KB122">
        <v>0</v>
      </c>
      <c r="KC122">
        <v>45467</v>
      </c>
      <c r="KD122">
        <v>0</v>
      </c>
      <c r="KE122">
        <v>-3270</v>
      </c>
      <c r="KF122">
        <v>42197</v>
      </c>
      <c r="KG122">
        <v>0</v>
      </c>
      <c r="KH122">
        <v>0</v>
      </c>
      <c r="KI122">
        <v>0</v>
      </c>
      <c r="KJ122">
        <v>0</v>
      </c>
      <c r="KK122">
        <v>-1980</v>
      </c>
      <c r="KL122">
        <v>-47</v>
      </c>
      <c r="KM122">
        <v>-3226</v>
      </c>
      <c r="KN122">
        <v>0</v>
      </c>
      <c r="KO122">
        <v>-8275</v>
      </c>
      <c r="KP122">
        <v>76</v>
      </c>
      <c r="KQ122">
        <v>1200</v>
      </c>
      <c r="KR122">
        <v>28303</v>
      </c>
      <c r="KS122">
        <v>0</v>
      </c>
      <c r="KT122">
        <v>0</v>
      </c>
      <c r="KU122">
        <v>0</v>
      </c>
      <c r="KV122">
        <v>14973</v>
      </c>
      <c r="KW122">
        <v>1960</v>
      </c>
      <c r="KX122">
        <v>0</v>
      </c>
      <c r="KY122">
        <v>0</v>
      </c>
      <c r="KZ122">
        <v>0</v>
      </c>
      <c r="LA122">
        <v>12993</v>
      </c>
      <c r="LB122">
        <v>1913</v>
      </c>
      <c r="LC122">
        <v>0</v>
      </c>
      <c r="LD122">
        <v>2738</v>
      </c>
      <c r="LE122">
        <v>0</v>
      </c>
      <c r="LF122">
        <v>-546</v>
      </c>
      <c r="LG122">
        <v>0</v>
      </c>
      <c r="LH122">
        <v>0</v>
      </c>
      <c r="LI122">
        <v>2192</v>
      </c>
      <c r="LJ122">
        <v>0</v>
      </c>
      <c r="LK122">
        <v>0</v>
      </c>
      <c r="LL122">
        <v>0</v>
      </c>
      <c r="LM122">
        <v>0</v>
      </c>
      <c r="LN122">
        <v>0</v>
      </c>
      <c r="LO122">
        <v>0</v>
      </c>
      <c r="LP122">
        <v>0</v>
      </c>
      <c r="LQ122">
        <v>0</v>
      </c>
      <c r="LR122">
        <v>0</v>
      </c>
      <c r="LS122">
        <v>0</v>
      </c>
      <c r="LT122">
        <v>0</v>
      </c>
      <c r="LU122">
        <v>0</v>
      </c>
      <c r="LV122">
        <v>0</v>
      </c>
      <c r="LW122">
        <v>0</v>
      </c>
      <c r="LX122">
        <v>0</v>
      </c>
      <c r="LY122">
        <v>0</v>
      </c>
      <c r="LZ122">
        <v>0</v>
      </c>
      <c r="MA122">
        <v>0</v>
      </c>
      <c r="MB122">
        <v>0</v>
      </c>
      <c r="MC122">
        <v>0</v>
      </c>
      <c r="MD122">
        <v>0</v>
      </c>
      <c r="ME122">
        <v>43449</v>
      </c>
      <c r="MF122">
        <v>1078</v>
      </c>
      <c r="MG122">
        <v>0</v>
      </c>
      <c r="MH122">
        <v>44527</v>
      </c>
      <c r="MI122">
        <v>0</v>
      </c>
      <c r="MJ122">
        <v>0</v>
      </c>
      <c r="MK122">
        <v>0</v>
      </c>
      <c r="ML122">
        <v>0</v>
      </c>
      <c r="MM122">
        <v>0</v>
      </c>
      <c r="MN122">
        <v>0</v>
      </c>
      <c r="MO122">
        <v>0</v>
      </c>
      <c r="MP122">
        <v>0</v>
      </c>
      <c r="MQ122">
        <v>0</v>
      </c>
      <c r="MR122">
        <v>0</v>
      </c>
      <c r="MS122">
        <v>0</v>
      </c>
      <c r="MT122">
        <v>0</v>
      </c>
      <c r="MU122">
        <v>0</v>
      </c>
      <c r="MV122">
        <v>0</v>
      </c>
      <c r="MW122">
        <v>0</v>
      </c>
      <c r="MX122">
        <v>0</v>
      </c>
      <c r="MY122">
        <v>0</v>
      </c>
      <c r="MZ122">
        <v>0</v>
      </c>
      <c r="NA122">
        <v>0</v>
      </c>
      <c r="NB122">
        <v>0</v>
      </c>
      <c r="NC122">
        <v>0</v>
      </c>
      <c r="ND122">
        <v>0</v>
      </c>
      <c r="NE122">
        <v>0</v>
      </c>
      <c r="NF122">
        <v>0</v>
      </c>
      <c r="NG122">
        <v>0</v>
      </c>
      <c r="NH122">
        <v>0</v>
      </c>
      <c r="NI122">
        <v>0</v>
      </c>
      <c r="NJ122">
        <v>0</v>
      </c>
      <c r="NK122">
        <v>0</v>
      </c>
      <c r="NL122">
        <v>0</v>
      </c>
      <c r="NM122">
        <v>0</v>
      </c>
      <c r="NN122">
        <v>0</v>
      </c>
      <c r="NO122">
        <v>0</v>
      </c>
      <c r="NP122">
        <v>0</v>
      </c>
      <c r="NQ122">
        <v>0</v>
      </c>
      <c r="NR122">
        <v>0</v>
      </c>
      <c r="NS122">
        <v>0</v>
      </c>
      <c r="NT122">
        <v>0</v>
      </c>
      <c r="NU122">
        <v>0</v>
      </c>
      <c r="NV122">
        <v>0</v>
      </c>
      <c r="NW122">
        <v>0</v>
      </c>
      <c r="NX122">
        <v>0</v>
      </c>
      <c r="NY122">
        <v>0</v>
      </c>
      <c r="NZ122">
        <v>0</v>
      </c>
      <c r="OA122">
        <v>0</v>
      </c>
      <c r="OB122">
        <v>0</v>
      </c>
      <c r="OC122">
        <v>0</v>
      </c>
      <c r="OD122">
        <v>0</v>
      </c>
      <c r="OE122">
        <v>0</v>
      </c>
      <c r="OF122">
        <v>0</v>
      </c>
      <c r="OG122">
        <v>0</v>
      </c>
      <c r="OH122">
        <v>0</v>
      </c>
      <c r="OI122">
        <v>0</v>
      </c>
      <c r="OJ122">
        <v>0</v>
      </c>
      <c r="OK122">
        <v>0</v>
      </c>
      <c r="OL122">
        <v>0</v>
      </c>
      <c r="OM122">
        <v>0</v>
      </c>
      <c r="ON122">
        <v>0</v>
      </c>
    </row>
    <row r="123" spans="1:404" x14ac:dyDescent="0.25">
      <c r="A123" t="s">
        <v>433</v>
      </c>
      <c r="B123" t="s">
        <v>434</v>
      </c>
      <c r="C123" t="s">
        <v>432</v>
      </c>
      <c r="E123" t="s">
        <v>61</v>
      </c>
      <c r="F123">
        <v>0</v>
      </c>
      <c r="G123">
        <v>0</v>
      </c>
      <c r="H123">
        <v>0</v>
      </c>
      <c r="I123">
        <v>0</v>
      </c>
      <c r="J123">
        <v>0</v>
      </c>
      <c r="K123">
        <v>0</v>
      </c>
      <c r="L123">
        <v>0</v>
      </c>
      <c r="M123">
        <v>0</v>
      </c>
      <c r="N123">
        <v>0</v>
      </c>
      <c r="O123">
        <v>0</v>
      </c>
      <c r="P123">
        <v>0</v>
      </c>
      <c r="Q123">
        <v>0</v>
      </c>
      <c r="R123">
        <v>0</v>
      </c>
      <c r="S123">
        <v>35</v>
      </c>
      <c r="T123">
        <v>0</v>
      </c>
      <c r="U123">
        <v>31</v>
      </c>
      <c r="V123">
        <v>0</v>
      </c>
      <c r="W123">
        <v>0</v>
      </c>
      <c r="X123">
        <v>0</v>
      </c>
      <c r="Y123">
        <v>0</v>
      </c>
      <c r="Z123">
        <v>0</v>
      </c>
      <c r="AA123">
        <v>-174</v>
      </c>
      <c r="AB123">
        <v>0</v>
      </c>
      <c r="AC123">
        <v>0</v>
      </c>
      <c r="AD123">
        <v>0</v>
      </c>
      <c r="AE123">
        <v>0</v>
      </c>
      <c r="AF123">
        <v>0</v>
      </c>
      <c r="AG123">
        <v>0</v>
      </c>
      <c r="AH123">
        <v>0</v>
      </c>
      <c r="AI123">
        <v>-108</v>
      </c>
      <c r="AJ123">
        <v>0</v>
      </c>
      <c r="AK123">
        <v>0</v>
      </c>
      <c r="AL123">
        <v>0</v>
      </c>
      <c r="AM123">
        <v>0</v>
      </c>
      <c r="AN123">
        <v>0</v>
      </c>
      <c r="AO123">
        <v>0</v>
      </c>
      <c r="AP123">
        <v>0</v>
      </c>
      <c r="AQ123">
        <v>0</v>
      </c>
      <c r="AR123">
        <v>0</v>
      </c>
      <c r="AS123">
        <v>0</v>
      </c>
      <c r="AT123">
        <v>0</v>
      </c>
      <c r="AU123">
        <v>0</v>
      </c>
      <c r="AV123">
        <v>0</v>
      </c>
      <c r="AW123">
        <v>0</v>
      </c>
      <c r="AX123">
        <v>0</v>
      </c>
      <c r="AY123">
        <v>0</v>
      </c>
      <c r="AZ123">
        <v>0</v>
      </c>
      <c r="BA123">
        <v>0</v>
      </c>
      <c r="BB123">
        <v>0</v>
      </c>
      <c r="BC123">
        <v>0</v>
      </c>
      <c r="BD123">
        <v>0</v>
      </c>
      <c r="BE123">
        <v>0</v>
      </c>
      <c r="BF123">
        <v>0</v>
      </c>
      <c r="BG123">
        <v>0</v>
      </c>
      <c r="BH123">
        <v>0</v>
      </c>
      <c r="BI123">
        <v>0</v>
      </c>
      <c r="BJ123">
        <v>0</v>
      </c>
      <c r="BK123">
        <v>0</v>
      </c>
      <c r="BL123">
        <v>0</v>
      </c>
      <c r="BM123">
        <v>0</v>
      </c>
      <c r="BN123">
        <v>0</v>
      </c>
      <c r="BO123">
        <v>0</v>
      </c>
      <c r="BP123">
        <v>126</v>
      </c>
      <c r="BQ123">
        <v>0</v>
      </c>
      <c r="BR123">
        <v>0</v>
      </c>
      <c r="BS123">
        <v>0</v>
      </c>
      <c r="BT123">
        <v>0</v>
      </c>
      <c r="BU123">
        <v>0</v>
      </c>
      <c r="BV123">
        <v>0</v>
      </c>
      <c r="BW123">
        <v>126</v>
      </c>
      <c r="BX123">
        <v>0</v>
      </c>
      <c r="BY123">
        <v>0</v>
      </c>
      <c r="BZ123">
        <v>0</v>
      </c>
      <c r="CA123">
        <v>0</v>
      </c>
      <c r="CB123">
        <v>0</v>
      </c>
      <c r="CC123">
        <v>0</v>
      </c>
      <c r="CD123">
        <v>0</v>
      </c>
      <c r="CE123">
        <v>0</v>
      </c>
      <c r="CF123">
        <v>0</v>
      </c>
      <c r="CG123">
        <v>0</v>
      </c>
      <c r="CH123">
        <v>0</v>
      </c>
      <c r="CI123">
        <v>0</v>
      </c>
      <c r="CJ123">
        <v>0</v>
      </c>
      <c r="CK123">
        <v>0</v>
      </c>
      <c r="CL123">
        <v>0</v>
      </c>
      <c r="CM123">
        <v>0</v>
      </c>
      <c r="CN123">
        <v>0</v>
      </c>
      <c r="CO123">
        <v>0</v>
      </c>
      <c r="CP123">
        <v>0</v>
      </c>
      <c r="CQ123">
        <v>0</v>
      </c>
      <c r="CR123">
        <v>0</v>
      </c>
      <c r="CS123">
        <v>0</v>
      </c>
      <c r="CT123">
        <v>0</v>
      </c>
      <c r="CU123">
        <v>0</v>
      </c>
      <c r="CV123">
        <v>0</v>
      </c>
      <c r="CW123">
        <v>0</v>
      </c>
      <c r="CX123">
        <v>0</v>
      </c>
      <c r="CY123">
        <v>0</v>
      </c>
      <c r="CZ123">
        <v>0</v>
      </c>
      <c r="DA123">
        <v>0</v>
      </c>
      <c r="DB123">
        <v>0</v>
      </c>
      <c r="DC123">
        <v>14</v>
      </c>
      <c r="DD123">
        <v>0</v>
      </c>
      <c r="DE123">
        <v>-733</v>
      </c>
      <c r="DF123">
        <v>0</v>
      </c>
      <c r="DG123">
        <v>0</v>
      </c>
      <c r="DH123">
        <v>5</v>
      </c>
      <c r="DI123">
        <v>0</v>
      </c>
      <c r="DJ123">
        <v>239</v>
      </c>
      <c r="DK123">
        <v>0</v>
      </c>
      <c r="DL123">
        <v>40</v>
      </c>
      <c r="DM123">
        <v>0</v>
      </c>
      <c r="DN123">
        <v>0</v>
      </c>
      <c r="DO123">
        <v>582</v>
      </c>
      <c r="DP123">
        <v>866</v>
      </c>
      <c r="DQ123">
        <v>341</v>
      </c>
      <c r="DR123">
        <v>0</v>
      </c>
      <c r="DS123">
        <v>0</v>
      </c>
      <c r="DT123">
        <v>162</v>
      </c>
      <c r="DU123">
        <v>-24</v>
      </c>
      <c r="DV123">
        <v>0</v>
      </c>
      <c r="DW123">
        <v>0</v>
      </c>
      <c r="DX123">
        <v>626</v>
      </c>
      <c r="DY123">
        <v>14439</v>
      </c>
      <c r="DZ123">
        <v>109</v>
      </c>
      <c r="EA123">
        <v>1078</v>
      </c>
      <c r="EB123">
        <v>0</v>
      </c>
      <c r="EC123">
        <v>0</v>
      </c>
      <c r="ED123">
        <v>0</v>
      </c>
      <c r="EE123">
        <v>0</v>
      </c>
      <c r="EF123">
        <v>0</v>
      </c>
      <c r="EG123">
        <v>0</v>
      </c>
      <c r="EH123">
        <v>0</v>
      </c>
      <c r="EI123">
        <v>8378</v>
      </c>
      <c r="EJ123">
        <v>225</v>
      </c>
      <c r="EK123">
        <v>0</v>
      </c>
      <c r="EL123">
        <v>1632</v>
      </c>
      <c r="EM123">
        <v>4995</v>
      </c>
      <c r="EN123">
        <v>576</v>
      </c>
      <c r="EO123">
        <v>15</v>
      </c>
      <c r="EP123">
        <v>0</v>
      </c>
      <c r="EQ123">
        <v>364</v>
      </c>
      <c r="ER123">
        <v>8</v>
      </c>
      <c r="ES123">
        <v>9481</v>
      </c>
      <c r="ET123">
        <v>8914</v>
      </c>
      <c r="EU123">
        <v>0</v>
      </c>
      <c r="EV123">
        <v>0</v>
      </c>
      <c r="EW123">
        <v>0</v>
      </c>
      <c r="EX123">
        <v>638</v>
      </c>
      <c r="EY123">
        <v>1681</v>
      </c>
      <c r="EZ123">
        <v>15</v>
      </c>
      <c r="FA123">
        <v>-222</v>
      </c>
      <c r="FB123">
        <v>-55</v>
      </c>
      <c r="FC123">
        <v>1268</v>
      </c>
      <c r="FD123">
        <v>1313</v>
      </c>
      <c r="FE123">
        <v>0</v>
      </c>
      <c r="FF123">
        <v>681</v>
      </c>
      <c r="FG123">
        <v>0</v>
      </c>
      <c r="FH123">
        <v>5319</v>
      </c>
      <c r="FI123">
        <v>-966</v>
      </c>
      <c r="FJ123">
        <v>0</v>
      </c>
      <c r="FK123">
        <v>0</v>
      </c>
      <c r="FL123">
        <v>13</v>
      </c>
      <c r="FM123">
        <v>12</v>
      </c>
      <c r="FN123">
        <v>9</v>
      </c>
      <c r="FO123">
        <v>0</v>
      </c>
      <c r="FP123">
        <v>0</v>
      </c>
      <c r="FQ123">
        <v>0</v>
      </c>
      <c r="FR123">
        <v>5</v>
      </c>
      <c r="FS123">
        <v>325</v>
      </c>
      <c r="FT123">
        <v>64</v>
      </c>
      <c r="FU123">
        <v>14</v>
      </c>
      <c r="FV123">
        <v>-14</v>
      </c>
      <c r="FW123">
        <v>-1</v>
      </c>
      <c r="FX123">
        <v>10</v>
      </c>
      <c r="FY123">
        <v>0</v>
      </c>
      <c r="FZ123">
        <v>10</v>
      </c>
      <c r="GA123">
        <v>238</v>
      </c>
      <c r="GB123">
        <v>106</v>
      </c>
      <c r="GC123">
        <v>-163</v>
      </c>
      <c r="GD123">
        <v>3</v>
      </c>
      <c r="GE123">
        <v>4139</v>
      </c>
      <c r="GF123">
        <v>0</v>
      </c>
      <c r="GG123">
        <v>0</v>
      </c>
      <c r="GH123">
        <v>-724</v>
      </c>
      <c r="GI123">
        <v>0</v>
      </c>
      <c r="GJ123">
        <v>0</v>
      </c>
      <c r="GK123">
        <v>3080</v>
      </c>
      <c r="GL123">
        <v>42</v>
      </c>
      <c r="GM123">
        <v>68</v>
      </c>
      <c r="GN123">
        <v>0</v>
      </c>
      <c r="GO123">
        <v>173</v>
      </c>
      <c r="GP123">
        <v>112</v>
      </c>
      <c r="GQ123">
        <v>110</v>
      </c>
      <c r="GR123">
        <v>0</v>
      </c>
      <c r="GS123">
        <v>2</v>
      </c>
      <c r="GT123">
        <v>42</v>
      </c>
      <c r="GU123">
        <v>549</v>
      </c>
      <c r="GV123">
        <v>8948</v>
      </c>
      <c r="GW123">
        <v>0</v>
      </c>
      <c r="GX123">
        <v>0</v>
      </c>
      <c r="GY123">
        <v>0</v>
      </c>
      <c r="GZ123">
        <v>0</v>
      </c>
      <c r="HA123">
        <v>0</v>
      </c>
      <c r="HB123">
        <v>733</v>
      </c>
      <c r="HC123">
        <v>-387</v>
      </c>
      <c r="HD123">
        <v>0</v>
      </c>
      <c r="HE123">
        <v>0</v>
      </c>
      <c r="HF123">
        <v>0</v>
      </c>
      <c r="HG123">
        <v>-142</v>
      </c>
      <c r="HH123">
        <v>0</v>
      </c>
      <c r="HI123">
        <v>0</v>
      </c>
      <c r="HJ123">
        <v>205</v>
      </c>
      <c r="HK123">
        <v>23</v>
      </c>
      <c r="HL123">
        <v>-551</v>
      </c>
      <c r="HM123">
        <v>-98</v>
      </c>
      <c r="HN123">
        <v>0</v>
      </c>
      <c r="HO123">
        <v>336</v>
      </c>
      <c r="HP123">
        <v>0</v>
      </c>
      <c r="HQ123">
        <v>0</v>
      </c>
      <c r="HR123">
        <v>303</v>
      </c>
      <c r="HS123">
        <v>0</v>
      </c>
      <c r="HT123">
        <v>0</v>
      </c>
      <c r="HU123">
        <v>7204</v>
      </c>
      <c r="HV123">
        <v>7626</v>
      </c>
      <c r="HW123">
        <v>0</v>
      </c>
      <c r="HX123">
        <v>0</v>
      </c>
      <c r="HY123">
        <v>0</v>
      </c>
      <c r="HZ123">
        <v>0</v>
      </c>
      <c r="IA123">
        <v>0</v>
      </c>
      <c r="IB123">
        <v>0</v>
      </c>
      <c r="IC123">
        <v>0</v>
      </c>
      <c r="ID123">
        <v>-108</v>
      </c>
      <c r="IE123">
        <v>0</v>
      </c>
      <c r="IF123">
        <v>126</v>
      </c>
      <c r="IG123">
        <v>0</v>
      </c>
      <c r="IH123">
        <v>626</v>
      </c>
      <c r="II123">
        <v>5319</v>
      </c>
      <c r="IJ123">
        <v>3080</v>
      </c>
      <c r="IK123">
        <v>549</v>
      </c>
      <c r="IL123">
        <v>0</v>
      </c>
      <c r="IM123">
        <v>0</v>
      </c>
      <c r="IN123">
        <v>7626</v>
      </c>
      <c r="IO123">
        <v>0</v>
      </c>
      <c r="IP123">
        <v>17218</v>
      </c>
      <c r="IQ123">
        <v>23339</v>
      </c>
      <c r="IR123">
        <v>2988</v>
      </c>
      <c r="IS123">
        <v>6088</v>
      </c>
      <c r="IT123">
        <v>0</v>
      </c>
      <c r="IU123">
        <v>0</v>
      </c>
      <c r="IV123">
        <v>0</v>
      </c>
      <c r="IW123">
        <v>0</v>
      </c>
      <c r="IX123">
        <v>0</v>
      </c>
      <c r="IY123">
        <v>0</v>
      </c>
      <c r="IZ123">
        <v>0</v>
      </c>
      <c r="JA123">
        <v>-1392</v>
      </c>
      <c r="JB123">
        <v>0</v>
      </c>
      <c r="JC123">
        <v>0</v>
      </c>
      <c r="JD123">
        <v>0</v>
      </c>
      <c r="JE123">
        <v>0</v>
      </c>
      <c r="JF123">
        <v>0</v>
      </c>
      <c r="JG123">
        <v>48241</v>
      </c>
      <c r="JH123">
        <v>0</v>
      </c>
      <c r="JI123">
        <v>0</v>
      </c>
      <c r="JJ123">
        <v>0</v>
      </c>
      <c r="JK123">
        <v>0</v>
      </c>
      <c r="JL123">
        <v>-2559</v>
      </c>
      <c r="JM123">
        <v>195</v>
      </c>
      <c r="JN123">
        <v>1012</v>
      </c>
      <c r="JO123">
        <v>0</v>
      </c>
      <c r="JP123">
        <v>3109</v>
      </c>
      <c r="JQ123">
        <v>-1647</v>
      </c>
      <c r="JR123">
        <v>48351</v>
      </c>
      <c r="JS123">
        <v>-1282</v>
      </c>
      <c r="JT123">
        <v>0</v>
      </c>
      <c r="JU123">
        <v>0</v>
      </c>
      <c r="JV123">
        <v>0</v>
      </c>
      <c r="JW123">
        <v>-31810</v>
      </c>
      <c r="JX123">
        <v>0</v>
      </c>
      <c r="JY123">
        <v>-18</v>
      </c>
      <c r="JZ123">
        <v>0</v>
      </c>
      <c r="KA123">
        <v>0</v>
      </c>
      <c r="KB123">
        <v>0</v>
      </c>
      <c r="KC123">
        <v>15241</v>
      </c>
      <c r="KD123">
        <v>0</v>
      </c>
      <c r="KE123">
        <v>-5312</v>
      </c>
      <c r="KF123">
        <v>9929</v>
      </c>
      <c r="KG123">
        <v>0</v>
      </c>
      <c r="KH123">
        <v>0</v>
      </c>
      <c r="KI123">
        <v>0</v>
      </c>
      <c r="KJ123">
        <v>0</v>
      </c>
      <c r="KK123">
        <v>4535</v>
      </c>
      <c r="KL123">
        <v>-56</v>
      </c>
      <c r="KM123">
        <v>0</v>
      </c>
      <c r="KN123">
        <v>0</v>
      </c>
      <c r="KO123">
        <v>-4452</v>
      </c>
      <c r="KP123">
        <v>6129</v>
      </c>
      <c r="KQ123">
        <v>0</v>
      </c>
      <c r="KR123">
        <v>8911</v>
      </c>
      <c r="KS123">
        <v>0</v>
      </c>
      <c r="KT123">
        <v>0</v>
      </c>
      <c r="KU123">
        <v>0</v>
      </c>
      <c r="KV123">
        <v>14139</v>
      </c>
      <c r="KW123">
        <v>3228</v>
      </c>
      <c r="KX123">
        <v>0</v>
      </c>
      <c r="KY123">
        <v>0</v>
      </c>
      <c r="KZ123">
        <v>0</v>
      </c>
      <c r="LA123">
        <v>18674</v>
      </c>
      <c r="LB123">
        <v>3172</v>
      </c>
      <c r="LC123">
        <v>0</v>
      </c>
      <c r="LD123">
        <v>0</v>
      </c>
      <c r="LE123">
        <v>0</v>
      </c>
      <c r="LF123">
        <v>0</v>
      </c>
      <c r="LG123">
        <v>0</v>
      </c>
      <c r="LH123">
        <v>0</v>
      </c>
      <c r="LI123">
        <v>0</v>
      </c>
      <c r="LJ123">
        <v>3939</v>
      </c>
      <c r="LK123">
        <v>4328</v>
      </c>
      <c r="LL123">
        <v>8267</v>
      </c>
      <c r="LM123">
        <v>0</v>
      </c>
      <c r="LN123">
        <v>0</v>
      </c>
      <c r="LO123">
        <v>0</v>
      </c>
      <c r="LP123">
        <v>15626</v>
      </c>
      <c r="LQ123">
        <v>16193</v>
      </c>
      <c r="LR123">
        <v>-567</v>
      </c>
      <c r="LS123">
        <v>9481</v>
      </c>
      <c r="LT123">
        <v>8914</v>
      </c>
      <c r="LU123">
        <v>0</v>
      </c>
      <c r="LV123">
        <v>-108</v>
      </c>
      <c r="LW123">
        <v>0</v>
      </c>
      <c r="LX123">
        <v>126</v>
      </c>
      <c r="LY123">
        <v>0</v>
      </c>
      <c r="LZ123">
        <v>626</v>
      </c>
      <c r="MA123">
        <v>5319</v>
      </c>
      <c r="MB123">
        <v>3080</v>
      </c>
      <c r="MC123">
        <v>549</v>
      </c>
      <c r="MD123">
        <v>0</v>
      </c>
      <c r="ME123">
        <v>0</v>
      </c>
      <c r="MF123">
        <v>7626</v>
      </c>
      <c r="MG123">
        <v>0</v>
      </c>
      <c r="MH123">
        <v>17218</v>
      </c>
      <c r="MI123">
        <v>0</v>
      </c>
      <c r="MJ123">
        <v>0</v>
      </c>
      <c r="MK123">
        <v>0</v>
      </c>
      <c r="ML123">
        <v>0</v>
      </c>
      <c r="MM123">
        <v>0</v>
      </c>
      <c r="MN123">
        <v>0</v>
      </c>
      <c r="MO123">
        <v>0</v>
      </c>
      <c r="MP123">
        <v>0</v>
      </c>
      <c r="MQ123">
        <v>0</v>
      </c>
      <c r="MR123">
        <v>0</v>
      </c>
      <c r="MS123">
        <v>0</v>
      </c>
      <c r="MT123">
        <v>0</v>
      </c>
      <c r="MU123">
        <v>0</v>
      </c>
      <c r="MV123">
        <v>0</v>
      </c>
      <c r="MW123">
        <v>0</v>
      </c>
      <c r="MX123">
        <v>0</v>
      </c>
      <c r="MY123">
        <v>-1239</v>
      </c>
      <c r="MZ123">
        <v>0</v>
      </c>
      <c r="NA123">
        <v>-1392</v>
      </c>
      <c r="NB123">
        <v>0</v>
      </c>
      <c r="NC123">
        <v>-1392</v>
      </c>
      <c r="ND123">
        <v>0</v>
      </c>
      <c r="NE123">
        <v>0</v>
      </c>
      <c r="NF123">
        <v>0</v>
      </c>
      <c r="NG123">
        <v>0</v>
      </c>
      <c r="NH123">
        <v>0</v>
      </c>
      <c r="NI123">
        <v>0</v>
      </c>
      <c r="NJ123">
        <v>0</v>
      </c>
      <c r="NK123">
        <v>0</v>
      </c>
      <c r="NL123">
        <v>0</v>
      </c>
      <c r="NM123">
        <v>0</v>
      </c>
      <c r="NN123">
        <v>0</v>
      </c>
      <c r="NO123">
        <v>0</v>
      </c>
      <c r="NP123">
        <v>0</v>
      </c>
      <c r="NQ123">
        <v>0</v>
      </c>
      <c r="NR123">
        <v>0</v>
      </c>
      <c r="NS123">
        <v>0</v>
      </c>
      <c r="NT123">
        <v>0</v>
      </c>
      <c r="NU123">
        <v>0</v>
      </c>
      <c r="NV123">
        <v>0</v>
      </c>
      <c r="NW123">
        <v>0</v>
      </c>
      <c r="NX123">
        <v>0</v>
      </c>
      <c r="NY123">
        <v>0</v>
      </c>
      <c r="NZ123">
        <v>0</v>
      </c>
      <c r="OA123">
        <v>0</v>
      </c>
      <c r="OB123">
        <v>0</v>
      </c>
      <c r="OC123">
        <v>0</v>
      </c>
      <c r="OD123">
        <v>0</v>
      </c>
      <c r="OE123">
        <v>0</v>
      </c>
      <c r="OF123">
        <v>0</v>
      </c>
      <c r="OG123">
        <v>0</v>
      </c>
      <c r="OH123">
        <v>0</v>
      </c>
      <c r="OI123">
        <v>0</v>
      </c>
      <c r="OJ123">
        <v>0</v>
      </c>
      <c r="OK123">
        <v>0</v>
      </c>
      <c r="OL123">
        <v>0</v>
      </c>
      <c r="OM123">
        <v>0</v>
      </c>
      <c r="ON123">
        <v>0</v>
      </c>
    </row>
    <row r="124" spans="1:404" x14ac:dyDescent="0.25">
      <c r="A124" t="s">
        <v>436</v>
      </c>
      <c r="B124" t="s">
        <v>437</v>
      </c>
      <c r="C124" t="s">
        <v>435</v>
      </c>
      <c r="E124" t="s">
        <v>61</v>
      </c>
      <c r="F124">
        <v>0</v>
      </c>
      <c r="G124">
        <v>0</v>
      </c>
      <c r="H124">
        <v>0</v>
      </c>
      <c r="I124">
        <v>0</v>
      </c>
      <c r="J124">
        <v>0</v>
      </c>
      <c r="K124">
        <v>0</v>
      </c>
      <c r="L124">
        <v>0</v>
      </c>
      <c r="M124">
        <v>10</v>
      </c>
      <c r="N124">
        <v>-16</v>
      </c>
      <c r="O124">
        <v>0</v>
      </c>
      <c r="P124">
        <v>0</v>
      </c>
      <c r="Q124">
        <v>0</v>
      </c>
      <c r="R124">
        <v>231</v>
      </c>
      <c r="S124">
        <v>133</v>
      </c>
      <c r="T124">
        <v>0</v>
      </c>
      <c r="U124">
        <v>12</v>
      </c>
      <c r="V124">
        <v>0</v>
      </c>
      <c r="W124">
        <v>0</v>
      </c>
      <c r="X124">
        <v>0</v>
      </c>
      <c r="Y124">
        <v>0</v>
      </c>
      <c r="Z124">
        <v>0</v>
      </c>
      <c r="AA124">
        <v>-745</v>
      </c>
      <c r="AB124">
        <v>0</v>
      </c>
      <c r="AC124">
        <v>0</v>
      </c>
      <c r="AD124">
        <v>0</v>
      </c>
      <c r="AE124">
        <v>82</v>
      </c>
      <c r="AF124">
        <v>0</v>
      </c>
      <c r="AG124">
        <v>94</v>
      </c>
      <c r="AH124">
        <v>0</v>
      </c>
      <c r="AI124">
        <v>-199</v>
      </c>
      <c r="AJ124">
        <v>0</v>
      </c>
      <c r="AK124">
        <v>0</v>
      </c>
      <c r="AL124">
        <v>0</v>
      </c>
      <c r="AM124">
        <v>0</v>
      </c>
      <c r="AN124">
        <v>0</v>
      </c>
      <c r="AO124">
        <v>0</v>
      </c>
      <c r="AP124">
        <v>0</v>
      </c>
      <c r="AQ124">
        <v>0</v>
      </c>
      <c r="AR124">
        <v>0</v>
      </c>
      <c r="AS124">
        <v>0</v>
      </c>
      <c r="AT124">
        <v>0</v>
      </c>
      <c r="AU124">
        <v>0</v>
      </c>
      <c r="AV124">
        <v>0</v>
      </c>
      <c r="AW124">
        <v>0</v>
      </c>
      <c r="AX124">
        <v>0</v>
      </c>
      <c r="AY124">
        <v>0</v>
      </c>
      <c r="AZ124">
        <v>0</v>
      </c>
      <c r="BA124">
        <v>0</v>
      </c>
      <c r="BB124">
        <v>0</v>
      </c>
      <c r="BC124">
        <v>0</v>
      </c>
      <c r="BD124">
        <v>0</v>
      </c>
      <c r="BE124">
        <v>0</v>
      </c>
      <c r="BF124">
        <v>0</v>
      </c>
      <c r="BG124">
        <v>0</v>
      </c>
      <c r="BH124">
        <v>0</v>
      </c>
      <c r="BI124">
        <v>0</v>
      </c>
      <c r="BJ124">
        <v>0</v>
      </c>
      <c r="BK124">
        <v>0</v>
      </c>
      <c r="BL124">
        <v>0</v>
      </c>
      <c r="BM124">
        <v>0</v>
      </c>
      <c r="BN124">
        <v>0</v>
      </c>
      <c r="BO124">
        <v>0</v>
      </c>
      <c r="BP124">
        <v>0</v>
      </c>
      <c r="BQ124">
        <v>0</v>
      </c>
      <c r="BR124">
        <v>0</v>
      </c>
      <c r="BS124">
        <v>0</v>
      </c>
      <c r="BT124">
        <v>0</v>
      </c>
      <c r="BU124">
        <v>0</v>
      </c>
      <c r="BV124">
        <v>0</v>
      </c>
      <c r="BW124">
        <v>0</v>
      </c>
      <c r="BX124">
        <v>0</v>
      </c>
      <c r="BY124">
        <v>0</v>
      </c>
      <c r="BZ124">
        <v>0</v>
      </c>
      <c r="CA124">
        <v>0</v>
      </c>
      <c r="CB124">
        <v>0</v>
      </c>
      <c r="CC124">
        <v>0</v>
      </c>
      <c r="CD124">
        <v>0</v>
      </c>
      <c r="CE124">
        <v>0</v>
      </c>
      <c r="CF124">
        <v>0</v>
      </c>
      <c r="CG124">
        <v>0</v>
      </c>
      <c r="CH124">
        <v>0</v>
      </c>
      <c r="CI124">
        <v>0</v>
      </c>
      <c r="CJ124">
        <v>0</v>
      </c>
      <c r="CK124">
        <v>0</v>
      </c>
      <c r="CL124">
        <v>0</v>
      </c>
      <c r="CM124">
        <v>0</v>
      </c>
      <c r="CN124">
        <v>0</v>
      </c>
      <c r="CO124">
        <v>0</v>
      </c>
      <c r="CP124">
        <v>0</v>
      </c>
      <c r="CQ124">
        <v>0</v>
      </c>
      <c r="CR124">
        <v>0</v>
      </c>
      <c r="CS124">
        <v>0</v>
      </c>
      <c r="CT124">
        <v>0</v>
      </c>
      <c r="CU124">
        <v>0</v>
      </c>
      <c r="CV124">
        <v>0</v>
      </c>
      <c r="CW124">
        <v>0</v>
      </c>
      <c r="CX124">
        <v>0</v>
      </c>
      <c r="CY124">
        <v>0</v>
      </c>
      <c r="CZ124">
        <v>0</v>
      </c>
      <c r="DA124">
        <v>0</v>
      </c>
      <c r="DB124">
        <v>0</v>
      </c>
      <c r="DC124">
        <v>365</v>
      </c>
      <c r="DD124">
        <v>-4213</v>
      </c>
      <c r="DE124">
        <v>8</v>
      </c>
      <c r="DF124">
        <v>-6</v>
      </c>
      <c r="DG124">
        <v>0</v>
      </c>
      <c r="DH124">
        <v>0</v>
      </c>
      <c r="DI124">
        <v>0</v>
      </c>
      <c r="DJ124">
        <v>85</v>
      </c>
      <c r="DK124">
        <v>0</v>
      </c>
      <c r="DL124">
        <v>0</v>
      </c>
      <c r="DM124">
        <v>-117</v>
      </c>
      <c r="DN124">
        <v>0</v>
      </c>
      <c r="DO124">
        <v>0</v>
      </c>
      <c r="DP124">
        <v>-32</v>
      </c>
      <c r="DQ124">
        <v>0</v>
      </c>
      <c r="DR124">
        <v>0</v>
      </c>
      <c r="DS124">
        <v>0</v>
      </c>
      <c r="DT124">
        <v>-17</v>
      </c>
      <c r="DU124">
        <v>0</v>
      </c>
      <c r="DV124">
        <v>0</v>
      </c>
      <c r="DW124">
        <v>0</v>
      </c>
      <c r="DX124">
        <v>-3895</v>
      </c>
      <c r="DY124">
        <v>0</v>
      </c>
      <c r="DZ124">
        <v>0</v>
      </c>
      <c r="EA124">
        <v>0</v>
      </c>
      <c r="EB124">
        <v>0</v>
      </c>
      <c r="EC124">
        <v>0</v>
      </c>
      <c r="ED124">
        <v>0</v>
      </c>
      <c r="EE124">
        <v>0</v>
      </c>
      <c r="EF124">
        <v>0</v>
      </c>
      <c r="EG124">
        <v>0</v>
      </c>
      <c r="EH124">
        <v>0</v>
      </c>
      <c r="EI124">
        <v>0</v>
      </c>
      <c r="EJ124">
        <v>0</v>
      </c>
      <c r="EK124">
        <v>0</v>
      </c>
      <c r="EL124">
        <v>0</v>
      </c>
      <c r="EM124">
        <v>0</v>
      </c>
      <c r="EN124">
        <v>0</v>
      </c>
      <c r="EO124">
        <v>0</v>
      </c>
      <c r="EP124">
        <v>0</v>
      </c>
      <c r="EQ124">
        <v>0</v>
      </c>
      <c r="ER124">
        <v>0</v>
      </c>
      <c r="ES124">
        <v>0</v>
      </c>
      <c r="ET124">
        <v>0</v>
      </c>
      <c r="EU124">
        <v>0</v>
      </c>
      <c r="EV124">
        <v>794</v>
      </c>
      <c r="EW124">
        <v>0</v>
      </c>
      <c r="EX124">
        <v>0</v>
      </c>
      <c r="EY124">
        <v>0</v>
      </c>
      <c r="EZ124">
        <v>0</v>
      </c>
      <c r="FA124">
        <v>0</v>
      </c>
      <c r="FB124">
        <v>339</v>
      </c>
      <c r="FC124">
        <v>-738</v>
      </c>
      <c r="FD124">
        <v>938</v>
      </c>
      <c r="FE124">
        <v>0</v>
      </c>
      <c r="FF124">
        <v>0</v>
      </c>
      <c r="FG124">
        <v>0</v>
      </c>
      <c r="FH124">
        <v>1333</v>
      </c>
      <c r="FI124">
        <v>-17</v>
      </c>
      <c r="FJ124">
        <v>0</v>
      </c>
      <c r="FK124">
        <v>0</v>
      </c>
      <c r="FL124">
        <v>-55</v>
      </c>
      <c r="FM124">
        <v>0</v>
      </c>
      <c r="FN124">
        <v>0</v>
      </c>
      <c r="FO124">
        <v>0</v>
      </c>
      <c r="FP124">
        <v>0</v>
      </c>
      <c r="FQ124">
        <v>0</v>
      </c>
      <c r="FR124">
        <v>14</v>
      </c>
      <c r="FS124">
        <v>630</v>
      </c>
      <c r="FT124">
        <v>0</v>
      </c>
      <c r="FU124">
        <v>0</v>
      </c>
      <c r="FV124">
        <v>343</v>
      </c>
      <c r="FW124">
        <v>0</v>
      </c>
      <c r="FX124">
        <v>0</v>
      </c>
      <c r="FY124">
        <v>1</v>
      </c>
      <c r="FZ124">
        <v>0</v>
      </c>
      <c r="GA124">
        <v>0</v>
      </c>
      <c r="GB124">
        <v>1</v>
      </c>
      <c r="GC124">
        <v>0</v>
      </c>
      <c r="GD124">
        <v>1076</v>
      </c>
      <c r="GE124">
        <v>3581</v>
      </c>
      <c r="GF124">
        <v>0</v>
      </c>
      <c r="GG124">
        <v>0</v>
      </c>
      <c r="GH124">
        <v>0</v>
      </c>
      <c r="GI124">
        <v>0</v>
      </c>
      <c r="GJ124">
        <v>0</v>
      </c>
      <c r="GK124">
        <v>5574</v>
      </c>
      <c r="GL124">
        <v>37</v>
      </c>
      <c r="GM124">
        <v>954</v>
      </c>
      <c r="GN124">
        <v>0</v>
      </c>
      <c r="GO124">
        <v>181</v>
      </c>
      <c r="GP124">
        <v>193</v>
      </c>
      <c r="GQ124">
        <v>260</v>
      </c>
      <c r="GR124">
        <v>0</v>
      </c>
      <c r="GS124">
        <v>0</v>
      </c>
      <c r="GT124">
        <v>321</v>
      </c>
      <c r="GU124">
        <v>1946</v>
      </c>
      <c r="GV124">
        <v>8853</v>
      </c>
      <c r="GW124">
        <v>0</v>
      </c>
      <c r="GX124">
        <v>0</v>
      </c>
      <c r="GY124">
        <v>0</v>
      </c>
      <c r="GZ124">
        <v>0</v>
      </c>
      <c r="HA124">
        <v>0</v>
      </c>
      <c r="HB124">
        <v>7606</v>
      </c>
      <c r="HC124">
        <v>46</v>
      </c>
      <c r="HD124">
        <v>0</v>
      </c>
      <c r="HE124">
        <v>0</v>
      </c>
      <c r="HF124">
        <v>-11</v>
      </c>
      <c r="HG124">
        <v>-289</v>
      </c>
      <c r="HH124">
        <v>0</v>
      </c>
      <c r="HI124">
        <v>0</v>
      </c>
      <c r="HJ124">
        <v>217</v>
      </c>
      <c r="HK124">
        <v>107</v>
      </c>
      <c r="HL124">
        <v>0</v>
      </c>
      <c r="HM124">
        <v>-27</v>
      </c>
      <c r="HN124">
        <v>0</v>
      </c>
      <c r="HO124">
        <v>0</v>
      </c>
      <c r="HP124">
        <v>0</v>
      </c>
      <c r="HQ124">
        <v>0</v>
      </c>
      <c r="HR124">
        <v>0</v>
      </c>
      <c r="HS124">
        <v>0</v>
      </c>
      <c r="HT124">
        <v>0</v>
      </c>
      <c r="HU124">
        <v>1556</v>
      </c>
      <c r="HV124">
        <v>9205</v>
      </c>
      <c r="HW124">
        <v>680</v>
      </c>
      <c r="HX124">
        <v>0</v>
      </c>
      <c r="HY124">
        <v>0</v>
      </c>
      <c r="HZ124">
        <v>0</v>
      </c>
      <c r="IA124">
        <v>0</v>
      </c>
      <c r="IB124">
        <v>3687</v>
      </c>
      <c r="IC124">
        <v>0</v>
      </c>
      <c r="ID124">
        <v>-199</v>
      </c>
      <c r="IE124">
        <v>0</v>
      </c>
      <c r="IF124">
        <v>0</v>
      </c>
      <c r="IG124">
        <v>0</v>
      </c>
      <c r="IH124">
        <v>-3895</v>
      </c>
      <c r="II124">
        <v>1333</v>
      </c>
      <c r="IJ124">
        <v>5574</v>
      </c>
      <c r="IK124">
        <v>1946</v>
      </c>
      <c r="IL124">
        <v>0</v>
      </c>
      <c r="IM124">
        <v>0</v>
      </c>
      <c r="IN124">
        <v>9205</v>
      </c>
      <c r="IO124">
        <v>3687</v>
      </c>
      <c r="IP124">
        <v>17651</v>
      </c>
      <c r="IQ124">
        <v>18198</v>
      </c>
      <c r="IR124">
        <v>45</v>
      </c>
      <c r="IS124">
        <v>0</v>
      </c>
      <c r="IT124">
        <v>0</v>
      </c>
      <c r="IU124">
        <v>0</v>
      </c>
      <c r="IV124">
        <v>3476</v>
      </c>
      <c r="IW124">
        <v>0</v>
      </c>
      <c r="IX124">
        <v>0</v>
      </c>
      <c r="IY124">
        <v>0</v>
      </c>
      <c r="IZ124">
        <v>0</v>
      </c>
      <c r="JA124">
        <v>-9117</v>
      </c>
      <c r="JB124">
        <v>-453</v>
      </c>
      <c r="JC124">
        <v>-1736</v>
      </c>
      <c r="JD124">
        <v>-664</v>
      </c>
      <c r="JE124">
        <v>0</v>
      </c>
      <c r="JF124">
        <v>0</v>
      </c>
      <c r="JG124">
        <v>27400</v>
      </c>
      <c r="JH124">
        <v>0</v>
      </c>
      <c r="JI124">
        <v>0</v>
      </c>
      <c r="JJ124">
        <v>0</v>
      </c>
      <c r="JK124">
        <v>0</v>
      </c>
      <c r="JL124">
        <v>0</v>
      </c>
      <c r="JM124">
        <v>118</v>
      </c>
      <c r="JN124">
        <v>6590</v>
      </c>
      <c r="JO124">
        <v>0</v>
      </c>
      <c r="JP124">
        <v>6720</v>
      </c>
      <c r="JQ124">
        <v>0</v>
      </c>
      <c r="JR124">
        <v>40828</v>
      </c>
      <c r="JS124">
        <v>-2435</v>
      </c>
      <c r="JT124">
        <v>0</v>
      </c>
      <c r="JU124">
        <v>0</v>
      </c>
      <c r="JV124">
        <v>0</v>
      </c>
      <c r="JW124">
        <v>-19539</v>
      </c>
      <c r="JX124">
        <v>0</v>
      </c>
      <c r="JY124">
        <v>0</v>
      </c>
      <c r="JZ124">
        <v>0</v>
      </c>
      <c r="KA124">
        <v>0</v>
      </c>
      <c r="KB124">
        <v>0</v>
      </c>
      <c r="KC124">
        <v>18854</v>
      </c>
      <c r="KD124">
        <v>0</v>
      </c>
      <c r="KE124">
        <v>-6426</v>
      </c>
      <c r="KF124">
        <v>12428</v>
      </c>
      <c r="KG124">
        <v>0</v>
      </c>
      <c r="KH124">
        <v>0</v>
      </c>
      <c r="KI124">
        <v>0</v>
      </c>
      <c r="KJ124">
        <v>0</v>
      </c>
      <c r="KK124">
        <v>2243</v>
      </c>
      <c r="KL124">
        <v>7670</v>
      </c>
      <c r="KM124">
        <v>0</v>
      </c>
      <c r="KN124">
        <v>0</v>
      </c>
      <c r="KO124">
        <v>-3563</v>
      </c>
      <c r="KP124">
        <v>-920</v>
      </c>
      <c r="KQ124">
        <v>0</v>
      </c>
      <c r="KR124">
        <v>9658</v>
      </c>
      <c r="KS124">
        <v>0</v>
      </c>
      <c r="KT124">
        <v>0</v>
      </c>
      <c r="KU124">
        <v>0</v>
      </c>
      <c r="KV124">
        <v>50765</v>
      </c>
      <c r="KW124">
        <v>3811</v>
      </c>
      <c r="KX124">
        <v>0</v>
      </c>
      <c r="KY124">
        <v>0</v>
      </c>
      <c r="KZ124">
        <v>0</v>
      </c>
      <c r="LA124">
        <v>53008</v>
      </c>
      <c r="LB124">
        <v>11481</v>
      </c>
      <c r="LC124">
        <v>0</v>
      </c>
      <c r="LD124">
        <v>20233</v>
      </c>
      <c r="LE124">
        <v>0</v>
      </c>
      <c r="LF124">
        <v>0</v>
      </c>
      <c r="LG124">
        <v>0</v>
      </c>
      <c r="LH124">
        <v>0</v>
      </c>
      <c r="LI124">
        <v>20233</v>
      </c>
      <c r="LJ124">
        <v>2254</v>
      </c>
      <c r="LK124">
        <v>2946</v>
      </c>
      <c r="LL124">
        <v>5200</v>
      </c>
      <c r="LM124">
        <v>0</v>
      </c>
      <c r="LN124">
        <v>0</v>
      </c>
      <c r="LO124">
        <v>0</v>
      </c>
      <c r="LP124">
        <v>0</v>
      </c>
      <c r="LQ124">
        <v>0</v>
      </c>
      <c r="LR124">
        <v>0</v>
      </c>
      <c r="LS124">
        <v>0</v>
      </c>
      <c r="LT124">
        <v>0</v>
      </c>
      <c r="LU124">
        <v>0</v>
      </c>
      <c r="LV124">
        <v>-199</v>
      </c>
      <c r="LW124">
        <v>0</v>
      </c>
      <c r="LX124">
        <v>0</v>
      </c>
      <c r="LY124">
        <v>0</v>
      </c>
      <c r="LZ124">
        <v>-3895</v>
      </c>
      <c r="MA124">
        <v>1333</v>
      </c>
      <c r="MB124">
        <v>5574</v>
      </c>
      <c r="MC124">
        <v>1946</v>
      </c>
      <c r="MD124">
        <v>0</v>
      </c>
      <c r="ME124">
        <v>0</v>
      </c>
      <c r="MF124">
        <v>9205</v>
      </c>
      <c r="MG124">
        <v>3687</v>
      </c>
      <c r="MH124">
        <v>17651</v>
      </c>
      <c r="MI124">
        <v>0</v>
      </c>
      <c r="MJ124">
        <v>0</v>
      </c>
      <c r="MK124">
        <v>0</v>
      </c>
      <c r="ML124">
        <v>0</v>
      </c>
      <c r="MM124">
        <v>0</v>
      </c>
      <c r="MN124">
        <v>0</v>
      </c>
      <c r="MO124">
        <v>229</v>
      </c>
      <c r="MP124">
        <v>0</v>
      </c>
      <c r="MQ124">
        <v>0</v>
      </c>
      <c r="MR124">
        <v>0</v>
      </c>
      <c r="MS124">
        <v>0</v>
      </c>
      <c r="MT124">
        <v>0</v>
      </c>
      <c r="MU124">
        <v>0</v>
      </c>
      <c r="MV124">
        <v>0</v>
      </c>
      <c r="MW124">
        <v>-5392</v>
      </c>
      <c r="MX124">
        <v>-663</v>
      </c>
      <c r="MY124">
        <v>-5023</v>
      </c>
      <c r="MZ124">
        <v>-4</v>
      </c>
      <c r="NA124">
        <v>-10853</v>
      </c>
      <c r="NB124">
        <v>1736</v>
      </c>
      <c r="NC124">
        <v>-9117</v>
      </c>
      <c r="ND124">
        <v>0</v>
      </c>
      <c r="NE124">
        <v>0</v>
      </c>
      <c r="NF124">
        <v>0</v>
      </c>
      <c r="NG124">
        <v>-37</v>
      </c>
      <c r="NH124">
        <v>0</v>
      </c>
      <c r="NI124">
        <v>0</v>
      </c>
      <c r="NJ124">
        <v>0</v>
      </c>
      <c r="NK124">
        <v>0</v>
      </c>
      <c r="NL124">
        <v>0</v>
      </c>
      <c r="NM124">
        <v>0</v>
      </c>
      <c r="NN124">
        <v>0</v>
      </c>
      <c r="NO124">
        <v>0</v>
      </c>
      <c r="NP124">
        <v>232</v>
      </c>
      <c r="NQ124">
        <v>67</v>
      </c>
      <c r="NR124">
        <v>-1379</v>
      </c>
      <c r="NS124">
        <v>0</v>
      </c>
      <c r="NT124">
        <v>0</v>
      </c>
      <c r="NU124">
        <v>0</v>
      </c>
      <c r="NV124">
        <v>0</v>
      </c>
      <c r="NW124">
        <v>0</v>
      </c>
      <c r="NX124">
        <v>0</v>
      </c>
      <c r="NY124">
        <v>0</v>
      </c>
      <c r="NZ124">
        <v>-1117</v>
      </c>
      <c r="OA124">
        <v>664</v>
      </c>
      <c r="OB124">
        <v>-453</v>
      </c>
      <c r="OC124">
        <v>1736</v>
      </c>
      <c r="OD124">
        <v>0</v>
      </c>
      <c r="OE124">
        <v>0</v>
      </c>
      <c r="OF124">
        <v>0</v>
      </c>
      <c r="OG124">
        <v>0</v>
      </c>
      <c r="OH124">
        <v>1736</v>
      </c>
      <c r="OI124">
        <v>664</v>
      </c>
      <c r="OJ124">
        <v>0</v>
      </c>
      <c r="OK124">
        <v>0</v>
      </c>
      <c r="OL124">
        <v>0</v>
      </c>
      <c r="OM124">
        <v>0</v>
      </c>
      <c r="ON124">
        <v>664</v>
      </c>
    </row>
    <row r="125" spans="1:404" x14ac:dyDescent="0.25">
      <c r="A125" t="s">
        <v>439</v>
      </c>
      <c r="B125" t="s">
        <v>440</v>
      </c>
      <c r="C125" t="s">
        <v>438</v>
      </c>
      <c r="E125" t="s">
        <v>61</v>
      </c>
    </row>
    <row r="126" spans="1:404" x14ac:dyDescent="0.25">
      <c r="A126" t="s">
        <v>442</v>
      </c>
      <c r="B126" t="s">
        <v>443</v>
      </c>
      <c r="C126" t="s">
        <v>441</v>
      </c>
      <c r="E126" t="s">
        <v>61</v>
      </c>
      <c r="F126">
        <v>0</v>
      </c>
      <c r="G126">
        <v>0</v>
      </c>
      <c r="H126">
        <v>0</v>
      </c>
      <c r="I126">
        <v>0</v>
      </c>
      <c r="J126">
        <v>0</v>
      </c>
      <c r="K126">
        <v>0</v>
      </c>
      <c r="L126">
        <v>0</v>
      </c>
      <c r="M126">
        <v>0</v>
      </c>
      <c r="N126">
        <v>0</v>
      </c>
      <c r="O126">
        <v>0</v>
      </c>
      <c r="P126">
        <v>0</v>
      </c>
      <c r="Q126">
        <v>0</v>
      </c>
      <c r="R126">
        <v>1</v>
      </c>
      <c r="S126">
        <v>125</v>
      </c>
      <c r="T126">
        <v>0</v>
      </c>
      <c r="U126">
        <v>0</v>
      </c>
      <c r="V126">
        <v>0</v>
      </c>
      <c r="W126">
        <v>0</v>
      </c>
      <c r="X126">
        <v>0</v>
      </c>
      <c r="Y126">
        <v>0</v>
      </c>
      <c r="Z126">
        <v>-56</v>
      </c>
      <c r="AA126">
        <v>-1495</v>
      </c>
      <c r="AB126">
        <v>0</v>
      </c>
      <c r="AC126">
        <v>-91</v>
      </c>
      <c r="AD126">
        <v>0</v>
      </c>
      <c r="AE126">
        <v>0</v>
      </c>
      <c r="AF126">
        <v>0</v>
      </c>
      <c r="AG126">
        <v>221</v>
      </c>
      <c r="AH126">
        <v>0</v>
      </c>
      <c r="AI126">
        <v>-1295</v>
      </c>
      <c r="AJ126">
        <v>0</v>
      </c>
      <c r="AK126">
        <v>0</v>
      </c>
      <c r="AL126">
        <v>0</v>
      </c>
      <c r="AM126">
        <v>0</v>
      </c>
      <c r="AN126">
        <v>0</v>
      </c>
      <c r="AO126">
        <v>0</v>
      </c>
      <c r="AP126">
        <v>0</v>
      </c>
      <c r="AQ126">
        <v>0</v>
      </c>
      <c r="AR126">
        <v>869</v>
      </c>
      <c r="AS126">
        <v>0</v>
      </c>
      <c r="AT126">
        <v>0</v>
      </c>
      <c r="AU126">
        <v>0</v>
      </c>
      <c r="AV126">
        <v>0</v>
      </c>
      <c r="AW126">
        <v>0</v>
      </c>
      <c r="AX126">
        <v>0</v>
      </c>
      <c r="AY126">
        <v>0</v>
      </c>
      <c r="AZ126">
        <v>0</v>
      </c>
      <c r="BA126">
        <v>0</v>
      </c>
      <c r="BB126">
        <v>0</v>
      </c>
      <c r="BC126">
        <v>0</v>
      </c>
      <c r="BD126">
        <v>0</v>
      </c>
      <c r="BE126">
        <v>0</v>
      </c>
      <c r="BF126">
        <v>0</v>
      </c>
      <c r="BG126">
        <v>0</v>
      </c>
      <c r="BH126">
        <v>2780</v>
      </c>
      <c r="BI126">
        <v>0</v>
      </c>
      <c r="BJ126">
        <v>0</v>
      </c>
      <c r="BK126">
        <v>-87</v>
      </c>
      <c r="BL126">
        <v>0</v>
      </c>
      <c r="BM126">
        <v>0</v>
      </c>
      <c r="BN126">
        <v>0</v>
      </c>
      <c r="BO126">
        <v>0</v>
      </c>
      <c r="BP126">
        <v>0</v>
      </c>
      <c r="BQ126">
        <v>0</v>
      </c>
      <c r="BR126">
        <v>69</v>
      </c>
      <c r="BS126">
        <v>49</v>
      </c>
      <c r="BT126">
        <v>0</v>
      </c>
      <c r="BU126">
        <v>0</v>
      </c>
      <c r="BV126">
        <v>0</v>
      </c>
      <c r="BW126">
        <v>2811</v>
      </c>
      <c r="BX126">
        <v>0</v>
      </c>
      <c r="BY126">
        <v>0</v>
      </c>
      <c r="BZ126">
        <v>0</v>
      </c>
      <c r="CA126">
        <v>0</v>
      </c>
      <c r="CB126">
        <v>0</v>
      </c>
      <c r="CC126">
        <v>0</v>
      </c>
      <c r="CD126">
        <v>0</v>
      </c>
      <c r="CE126">
        <v>0</v>
      </c>
      <c r="CF126">
        <v>0</v>
      </c>
      <c r="CG126">
        <v>0</v>
      </c>
      <c r="CH126">
        <v>0</v>
      </c>
      <c r="CI126">
        <v>0</v>
      </c>
      <c r="CJ126">
        <v>0</v>
      </c>
      <c r="CK126">
        <v>0</v>
      </c>
      <c r="CL126">
        <v>0</v>
      </c>
      <c r="CM126">
        <v>0</v>
      </c>
      <c r="CN126">
        <v>0</v>
      </c>
      <c r="CO126">
        <v>0</v>
      </c>
      <c r="CP126">
        <v>0</v>
      </c>
      <c r="CQ126">
        <v>0</v>
      </c>
      <c r="CR126">
        <v>0</v>
      </c>
      <c r="CS126">
        <v>0</v>
      </c>
      <c r="CT126">
        <v>0</v>
      </c>
      <c r="CU126">
        <v>0</v>
      </c>
      <c r="CV126">
        <v>0</v>
      </c>
      <c r="CW126">
        <v>0</v>
      </c>
      <c r="CX126">
        <v>0</v>
      </c>
      <c r="CY126">
        <v>0</v>
      </c>
      <c r="CZ126">
        <v>0</v>
      </c>
      <c r="DA126">
        <v>0</v>
      </c>
      <c r="DB126">
        <v>0</v>
      </c>
      <c r="DC126">
        <v>1981</v>
      </c>
      <c r="DD126">
        <v>0</v>
      </c>
      <c r="DE126">
        <v>350</v>
      </c>
      <c r="DF126">
        <v>169</v>
      </c>
      <c r="DG126">
        <v>0</v>
      </c>
      <c r="DH126">
        <v>0</v>
      </c>
      <c r="DI126">
        <v>0</v>
      </c>
      <c r="DJ126">
        <v>904</v>
      </c>
      <c r="DK126">
        <v>0</v>
      </c>
      <c r="DL126">
        <v>0</v>
      </c>
      <c r="DM126">
        <v>275</v>
      </c>
      <c r="DN126">
        <v>0</v>
      </c>
      <c r="DO126">
        <v>0</v>
      </c>
      <c r="DP126">
        <v>1179</v>
      </c>
      <c r="DQ126">
        <v>274</v>
      </c>
      <c r="DR126">
        <v>0</v>
      </c>
      <c r="DS126">
        <v>0</v>
      </c>
      <c r="DT126">
        <v>1297</v>
      </c>
      <c r="DU126">
        <v>0</v>
      </c>
      <c r="DV126">
        <v>0</v>
      </c>
      <c r="DW126">
        <v>0</v>
      </c>
      <c r="DX126">
        <v>5250</v>
      </c>
      <c r="DY126">
        <v>0</v>
      </c>
      <c r="DZ126">
        <v>0</v>
      </c>
      <c r="EA126">
        <v>0</v>
      </c>
      <c r="EB126">
        <v>0</v>
      </c>
      <c r="EC126">
        <v>0</v>
      </c>
      <c r="ED126">
        <v>0</v>
      </c>
      <c r="EE126">
        <v>0</v>
      </c>
      <c r="EF126">
        <v>0</v>
      </c>
      <c r="EG126">
        <v>0</v>
      </c>
      <c r="EH126">
        <v>0</v>
      </c>
      <c r="EI126">
        <v>0</v>
      </c>
      <c r="EJ126">
        <v>0</v>
      </c>
      <c r="EK126">
        <v>0</v>
      </c>
      <c r="EL126">
        <v>0</v>
      </c>
      <c r="EM126">
        <v>0</v>
      </c>
      <c r="EN126">
        <v>0</v>
      </c>
      <c r="EO126">
        <v>0</v>
      </c>
      <c r="EP126">
        <v>0</v>
      </c>
      <c r="EQ126">
        <v>0</v>
      </c>
      <c r="ER126">
        <v>0</v>
      </c>
      <c r="ES126">
        <v>0</v>
      </c>
      <c r="ET126">
        <v>0</v>
      </c>
      <c r="EU126">
        <v>0</v>
      </c>
      <c r="EV126">
        <v>91</v>
      </c>
      <c r="EW126">
        <v>0</v>
      </c>
      <c r="EX126">
        <v>273</v>
      </c>
      <c r="EY126">
        <v>0</v>
      </c>
      <c r="EZ126">
        <v>195</v>
      </c>
      <c r="FA126">
        <v>0</v>
      </c>
      <c r="FB126">
        <v>354</v>
      </c>
      <c r="FC126">
        <v>1161</v>
      </c>
      <c r="FD126">
        <v>1297</v>
      </c>
      <c r="FE126">
        <v>0</v>
      </c>
      <c r="FF126">
        <v>0</v>
      </c>
      <c r="FG126">
        <v>0</v>
      </c>
      <c r="FH126">
        <v>3371</v>
      </c>
      <c r="FI126">
        <v>199</v>
      </c>
      <c r="FJ126">
        <v>0</v>
      </c>
      <c r="FK126">
        <v>0</v>
      </c>
      <c r="FL126">
        <v>347</v>
      </c>
      <c r="FM126">
        <v>504</v>
      </c>
      <c r="FN126">
        <v>0</v>
      </c>
      <c r="FO126">
        <v>53</v>
      </c>
      <c r="FP126">
        <v>0</v>
      </c>
      <c r="FQ126">
        <v>0</v>
      </c>
      <c r="FR126">
        <v>0</v>
      </c>
      <c r="FS126">
        <v>280</v>
      </c>
      <c r="FT126">
        <v>54</v>
      </c>
      <c r="FU126">
        <v>163</v>
      </c>
      <c r="FV126">
        <v>160</v>
      </c>
      <c r="FW126">
        <v>0</v>
      </c>
      <c r="FX126">
        <v>86</v>
      </c>
      <c r="FY126">
        <v>43</v>
      </c>
      <c r="FZ126">
        <v>0</v>
      </c>
      <c r="GA126">
        <v>0</v>
      </c>
      <c r="GB126">
        <v>0</v>
      </c>
      <c r="GC126">
        <v>0</v>
      </c>
      <c r="GD126">
        <v>1715</v>
      </c>
      <c r="GE126">
        <v>1220</v>
      </c>
      <c r="GF126">
        <v>0</v>
      </c>
      <c r="GG126">
        <v>0</v>
      </c>
      <c r="GH126">
        <v>1864</v>
      </c>
      <c r="GI126">
        <v>0</v>
      </c>
      <c r="GJ126">
        <v>0</v>
      </c>
      <c r="GK126">
        <v>6688</v>
      </c>
      <c r="GL126">
        <v>54</v>
      </c>
      <c r="GM126">
        <v>1625</v>
      </c>
      <c r="GN126">
        <v>217</v>
      </c>
      <c r="GO126">
        <v>761</v>
      </c>
      <c r="GP126">
        <v>0</v>
      </c>
      <c r="GQ126">
        <v>-93</v>
      </c>
      <c r="GR126">
        <v>0</v>
      </c>
      <c r="GS126">
        <v>0</v>
      </c>
      <c r="GT126">
        <v>0</v>
      </c>
      <c r="GU126">
        <v>2564</v>
      </c>
      <c r="GV126">
        <v>12623</v>
      </c>
      <c r="GW126">
        <v>0</v>
      </c>
      <c r="GX126">
        <v>0</v>
      </c>
      <c r="GY126">
        <v>0</v>
      </c>
      <c r="GZ126">
        <v>0</v>
      </c>
      <c r="HA126">
        <v>0</v>
      </c>
      <c r="HB126">
        <v>2059</v>
      </c>
      <c r="HC126">
        <v>618</v>
      </c>
      <c r="HD126">
        <v>0</v>
      </c>
      <c r="HE126">
        <v>0</v>
      </c>
      <c r="HF126">
        <v>0</v>
      </c>
      <c r="HG126">
        <v>192</v>
      </c>
      <c r="HH126">
        <v>0</v>
      </c>
      <c r="HI126">
        <v>0</v>
      </c>
      <c r="HJ126">
        <v>332</v>
      </c>
      <c r="HK126">
        <v>44</v>
      </c>
      <c r="HL126">
        <v>49</v>
      </c>
      <c r="HM126">
        <v>44</v>
      </c>
      <c r="HN126">
        <v>0</v>
      </c>
      <c r="HO126">
        <v>1294</v>
      </c>
      <c r="HP126">
        <v>0</v>
      </c>
      <c r="HQ126">
        <v>0</v>
      </c>
      <c r="HR126">
        <v>1853</v>
      </c>
      <c r="HS126">
        <v>0</v>
      </c>
      <c r="HT126">
        <v>0</v>
      </c>
      <c r="HU126">
        <v>-1024</v>
      </c>
      <c r="HV126">
        <v>5461</v>
      </c>
      <c r="HW126">
        <v>1294</v>
      </c>
      <c r="HX126">
        <v>12088</v>
      </c>
      <c r="HY126">
        <v>0</v>
      </c>
      <c r="HZ126">
        <v>0</v>
      </c>
      <c r="IA126">
        <v>378</v>
      </c>
      <c r="IB126">
        <v>916</v>
      </c>
      <c r="IC126">
        <v>0</v>
      </c>
      <c r="ID126">
        <v>-1295</v>
      </c>
      <c r="IE126">
        <v>0</v>
      </c>
      <c r="IF126">
        <v>2811</v>
      </c>
      <c r="IG126">
        <v>0</v>
      </c>
      <c r="IH126">
        <v>5250</v>
      </c>
      <c r="II126">
        <v>3371</v>
      </c>
      <c r="IJ126">
        <v>6688</v>
      </c>
      <c r="IK126">
        <v>2564</v>
      </c>
      <c r="IL126">
        <v>0</v>
      </c>
      <c r="IM126">
        <v>0</v>
      </c>
      <c r="IN126">
        <v>5461</v>
      </c>
      <c r="IO126">
        <v>916</v>
      </c>
      <c r="IP126">
        <v>25766</v>
      </c>
      <c r="IQ126">
        <v>28907</v>
      </c>
      <c r="IR126">
        <v>0</v>
      </c>
      <c r="IS126">
        <v>0</v>
      </c>
      <c r="IT126">
        <v>0</v>
      </c>
      <c r="IU126">
        <v>0</v>
      </c>
      <c r="IV126">
        <v>49</v>
      </c>
      <c r="IW126">
        <v>0</v>
      </c>
      <c r="IX126">
        <v>0</v>
      </c>
      <c r="IY126">
        <v>0</v>
      </c>
      <c r="IZ126">
        <v>48</v>
      </c>
      <c r="JA126">
        <v>0</v>
      </c>
      <c r="JB126">
        <v>0</v>
      </c>
      <c r="JC126">
        <v>0</v>
      </c>
      <c r="JD126">
        <v>0</v>
      </c>
      <c r="JE126">
        <v>0</v>
      </c>
      <c r="JF126">
        <v>0</v>
      </c>
      <c r="JG126">
        <v>54770</v>
      </c>
      <c r="JH126">
        <v>0</v>
      </c>
      <c r="JI126">
        <v>404</v>
      </c>
      <c r="JJ126">
        <v>0</v>
      </c>
      <c r="JK126">
        <v>0</v>
      </c>
      <c r="JL126">
        <v>0</v>
      </c>
      <c r="JM126">
        <v>78</v>
      </c>
      <c r="JN126">
        <v>1590</v>
      </c>
      <c r="JO126">
        <v>0</v>
      </c>
      <c r="JP126">
        <v>1323</v>
      </c>
      <c r="JQ126">
        <v>0</v>
      </c>
      <c r="JR126">
        <v>58165</v>
      </c>
      <c r="JS126">
        <v>-4350</v>
      </c>
      <c r="JT126">
        <v>0</v>
      </c>
      <c r="JU126">
        <v>0</v>
      </c>
      <c r="JV126">
        <v>0</v>
      </c>
      <c r="JW126">
        <v>-29373</v>
      </c>
      <c r="JX126">
        <v>0</v>
      </c>
      <c r="JY126">
        <v>-342</v>
      </c>
      <c r="JZ126">
        <v>0</v>
      </c>
      <c r="KA126">
        <v>0</v>
      </c>
      <c r="KB126">
        <v>0</v>
      </c>
      <c r="KC126">
        <v>24100</v>
      </c>
      <c r="KD126">
        <v>0</v>
      </c>
      <c r="KE126">
        <v>-2843</v>
      </c>
      <c r="KF126">
        <v>21257</v>
      </c>
      <c r="KG126">
        <v>0</v>
      </c>
      <c r="KH126">
        <v>0</v>
      </c>
      <c r="KI126">
        <v>0</v>
      </c>
      <c r="KJ126">
        <v>0</v>
      </c>
      <c r="KK126">
        <v>-11341</v>
      </c>
      <c r="KL126">
        <v>0</v>
      </c>
      <c r="KM126">
        <v>0</v>
      </c>
      <c r="KN126">
        <v>0</v>
      </c>
      <c r="KO126">
        <v>14299</v>
      </c>
      <c r="KP126">
        <v>147</v>
      </c>
      <c r="KQ126">
        <v>0</v>
      </c>
      <c r="KR126">
        <v>14972</v>
      </c>
      <c r="KS126">
        <v>0</v>
      </c>
      <c r="KT126">
        <v>0</v>
      </c>
      <c r="KU126">
        <v>0</v>
      </c>
      <c r="KV126">
        <v>62361</v>
      </c>
      <c r="KW126">
        <v>4000</v>
      </c>
      <c r="KX126">
        <v>0</v>
      </c>
      <c r="KY126">
        <v>0</v>
      </c>
      <c r="KZ126">
        <v>0</v>
      </c>
      <c r="LA126">
        <v>51020</v>
      </c>
      <c r="LB126">
        <v>4000</v>
      </c>
      <c r="LC126">
        <v>0</v>
      </c>
      <c r="LD126">
        <v>3908</v>
      </c>
      <c r="LE126">
        <v>0</v>
      </c>
      <c r="LF126">
        <v>798</v>
      </c>
      <c r="LG126">
        <v>0</v>
      </c>
      <c r="LH126">
        <v>1014</v>
      </c>
      <c r="LI126">
        <v>-1538</v>
      </c>
      <c r="LJ126">
        <v>2931</v>
      </c>
      <c r="LK126">
        <v>4694</v>
      </c>
      <c r="LL126">
        <v>7625</v>
      </c>
      <c r="LM126">
        <v>3</v>
      </c>
      <c r="LN126">
        <v>0</v>
      </c>
      <c r="LO126">
        <v>0</v>
      </c>
      <c r="LP126">
        <v>0</v>
      </c>
      <c r="LQ126">
        <v>0</v>
      </c>
      <c r="LR126">
        <v>0</v>
      </c>
      <c r="LS126">
        <v>0</v>
      </c>
      <c r="LT126">
        <v>0</v>
      </c>
      <c r="LU126">
        <v>0</v>
      </c>
      <c r="LV126">
        <v>-1295</v>
      </c>
      <c r="LW126">
        <v>0</v>
      </c>
      <c r="LX126">
        <v>2811</v>
      </c>
      <c r="LY126">
        <v>0</v>
      </c>
      <c r="LZ126">
        <v>5250</v>
      </c>
      <c r="MA126">
        <v>3371</v>
      </c>
      <c r="MB126">
        <v>6688</v>
      </c>
      <c r="MC126">
        <v>2564</v>
      </c>
      <c r="MD126">
        <v>0</v>
      </c>
      <c r="ME126">
        <v>0</v>
      </c>
      <c r="MF126">
        <v>5461</v>
      </c>
      <c r="MG126">
        <v>916</v>
      </c>
      <c r="MH126">
        <v>25766</v>
      </c>
      <c r="MI126">
        <v>0</v>
      </c>
      <c r="MJ126">
        <v>0</v>
      </c>
      <c r="MK126">
        <v>0</v>
      </c>
      <c r="ML126">
        <v>0</v>
      </c>
      <c r="MM126">
        <v>0</v>
      </c>
      <c r="MN126">
        <v>0</v>
      </c>
      <c r="MO126">
        <v>0</v>
      </c>
      <c r="MP126">
        <v>0</v>
      </c>
      <c r="MQ126">
        <v>0</v>
      </c>
      <c r="MR126">
        <v>0</v>
      </c>
      <c r="MS126">
        <v>0</v>
      </c>
      <c r="MT126">
        <v>0</v>
      </c>
      <c r="MU126">
        <v>0</v>
      </c>
      <c r="MV126">
        <v>0</v>
      </c>
      <c r="MW126">
        <v>0</v>
      </c>
      <c r="MX126">
        <v>0</v>
      </c>
      <c r="MY126">
        <v>0</v>
      </c>
      <c r="MZ126">
        <v>0</v>
      </c>
      <c r="NA126">
        <v>0</v>
      </c>
      <c r="NB126">
        <v>0</v>
      </c>
      <c r="NC126">
        <v>0</v>
      </c>
      <c r="ND126">
        <v>0</v>
      </c>
      <c r="NE126">
        <v>0</v>
      </c>
      <c r="NF126">
        <v>0</v>
      </c>
      <c r="NG126">
        <v>0</v>
      </c>
      <c r="NH126">
        <v>0</v>
      </c>
      <c r="NI126">
        <v>0</v>
      </c>
      <c r="NJ126">
        <v>0</v>
      </c>
      <c r="NK126">
        <v>0</v>
      </c>
      <c r="NL126">
        <v>0</v>
      </c>
      <c r="NM126">
        <v>0</v>
      </c>
      <c r="NN126">
        <v>0</v>
      </c>
      <c r="NO126">
        <v>0</v>
      </c>
      <c r="NP126">
        <v>0</v>
      </c>
      <c r="NQ126">
        <v>0</v>
      </c>
      <c r="NR126">
        <v>0</v>
      </c>
      <c r="NS126">
        <v>0</v>
      </c>
      <c r="NT126">
        <v>0</v>
      </c>
      <c r="NU126">
        <v>0</v>
      </c>
      <c r="NV126">
        <v>0</v>
      </c>
      <c r="NW126">
        <v>0</v>
      </c>
      <c r="NX126">
        <v>0</v>
      </c>
      <c r="NY126">
        <v>0</v>
      </c>
      <c r="NZ126">
        <v>0</v>
      </c>
      <c r="OA126">
        <v>0</v>
      </c>
      <c r="OB126">
        <v>0</v>
      </c>
      <c r="OC126">
        <v>0</v>
      </c>
      <c r="OD126">
        <v>0</v>
      </c>
      <c r="OE126">
        <v>0</v>
      </c>
      <c r="OF126">
        <v>0</v>
      </c>
      <c r="OG126">
        <v>0</v>
      </c>
      <c r="OH126">
        <v>0</v>
      </c>
      <c r="OI126">
        <v>0</v>
      </c>
      <c r="OJ126">
        <v>0</v>
      </c>
      <c r="OK126">
        <v>0</v>
      </c>
      <c r="OL126">
        <v>0</v>
      </c>
      <c r="OM126">
        <v>0</v>
      </c>
      <c r="ON126">
        <v>0</v>
      </c>
    </row>
    <row r="127" spans="1:404" x14ac:dyDescent="0.25">
      <c r="A127" t="s">
        <v>445</v>
      </c>
      <c r="B127" t="s">
        <v>446</v>
      </c>
      <c r="C127" t="s">
        <v>444</v>
      </c>
      <c r="E127" t="s">
        <v>1940</v>
      </c>
      <c r="F127">
        <v>18748</v>
      </c>
      <c r="G127">
        <v>107935</v>
      </c>
      <c r="H127">
        <v>73817</v>
      </c>
      <c r="I127">
        <v>57072</v>
      </c>
      <c r="J127">
        <v>3661</v>
      </c>
      <c r="K127">
        <v>13217</v>
      </c>
      <c r="L127">
        <v>274450</v>
      </c>
      <c r="M127">
        <v>0</v>
      </c>
      <c r="N127">
        <v>0</v>
      </c>
      <c r="O127">
        <v>0</v>
      </c>
      <c r="P127">
        <v>0</v>
      </c>
      <c r="Q127">
        <v>90</v>
      </c>
      <c r="R127">
        <v>6</v>
      </c>
      <c r="S127">
        <v>1538</v>
      </c>
      <c r="T127">
        <v>149</v>
      </c>
      <c r="U127">
        <v>4333</v>
      </c>
      <c r="V127">
        <v>0</v>
      </c>
      <c r="W127">
        <v>-3588</v>
      </c>
      <c r="X127">
        <v>0</v>
      </c>
      <c r="Y127">
        <v>260</v>
      </c>
      <c r="Z127">
        <v>-1988</v>
      </c>
      <c r="AA127">
        <v>-304</v>
      </c>
      <c r="AB127">
        <v>9893</v>
      </c>
      <c r="AC127">
        <v>0</v>
      </c>
      <c r="AD127">
        <v>0</v>
      </c>
      <c r="AE127">
        <v>0</v>
      </c>
      <c r="AF127">
        <v>0</v>
      </c>
      <c r="AG127">
        <v>0</v>
      </c>
      <c r="AH127">
        <v>0</v>
      </c>
      <c r="AI127">
        <v>10389</v>
      </c>
      <c r="AJ127">
        <v>0</v>
      </c>
      <c r="AK127">
        <v>0</v>
      </c>
      <c r="AL127">
        <v>0</v>
      </c>
      <c r="AM127">
        <v>-103</v>
      </c>
      <c r="AN127">
        <v>0</v>
      </c>
      <c r="AO127">
        <v>0</v>
      </c>
      <c r="AP127">
        <v>0</v>
      </c>
      <c r="AQ127">
        <v>2164</v>
      </c>
      <c r="AR127">
        <v>2321</v>
      </c>
      <c r="AS127">
        <v>0</v>
      </c>
      <c r="AT127">
        <v>0</v>
      </c>
      <c r="AU127">
        <v>0</v>
      </c>
      <c r="AV127">
        <v>0</v>
      </c>
      <c r="AW127">
        <v>26192</v>
      </c>
      <c r="AX127">
        <v>0</v>
      </c>
      <c r="AY127">
        <v>10389</v>
      </c>
      <c r="AZ127">
        <v>3675</v>
      </c>
      <c r="BA127">
        <v>19661</v>
      </c>
      <c r="BB127">
        <v>0</v>
      </c>
      <c r="BC127">
        <v>2241</v>
      </c>
      <c r="BD127">
        <v>62158</v>
      </c>
      <c r="BE127">
        <v>6295</v>
      </c>
      <c r="BF127">
        <v>15128</v>
      </c>
      <c r="BG127">
        <v>4334</v>
      </c>
      <c r="BH127">
        <v>5849</v>
      </c>
      <c r="BI127">
        <v>1742</v>
      </c>
      <c r="BJ127">
        <v>5197</v>
      </c>
      <c r="BK127">
        <v>30796</v>
      </c>
      <c r="BL127">
        <v>1277</v>
      </c>
      <c r="BM127">
        <v>1799</v>
      </c>
      <c r="BN127">
        <v>934</v>
      </c>
      <c r="BO127">
        <v>0</v>
      </c>
      <c r="BP127">
        <v>972</v>
      </c>
      <c r="BQ127">
        <v>0</v>
      </c>
      <c r="BR127">
        <v>301</v>
      </c>
      <c r="BS127">
        <v>2307</v>
      </c>
      <c r="BT127">
        <v>8322</v>
      </c>
      <c r="BU127">
        <v>7629</v>
      </c>
      <c r="BV127">
        <v>8231</v>
      </c>
      <c r="BW127">
        <v>107179</v>
      </c>
      <c r="BX127">
        <v>2438</v>
      </c>
      <c r="BY127">
        <v>1107</v>
      </c>
      <c r="BZ127">
        <v>190</v>
      </c>
      <c r="CA127">
        <v>49</v>
      </c>
      <c r="CB127">
        <v>163</v>
      </c>
      <c r="CC127">
        <v>18</v>
      </c>
      <c r="CD127">
        <v>53</v>
      </c>
      <c r="CE127">
        <v>356</v>
      </c>
      <c r="CF127">
        <v>572</v>
      </c>
      <c r="CG127">
        <v>558</v>
      </c>
      <c r="CH127">
        <v>408</v>
      </c>
      <c r="CI127">
        <v>1852</v>
      </c>
      <c r="CJ127">
        <v>337</v>
      </c>
      <c r="CK127">
        <v>368</v>
      </c>
      <c r="CL127">
        <v>129</v>
      </c>
      <c r="CM127">
        <v>330</v>
      </c>
      <c r="CN127">
        <v>97</v>
      </c>
      <c r="CO127">
        <v>104</v>
      </c>
      <c r="CP127">
        <v>1009</v>
      </c>
      <c r="CQ127">
        <v>3858</v>
      </c>
      <c r="CR127">
        <v>253</v>
      </c>
      <c r="CS127">
        <v>33</v>
      </c>
      <c r="CT127">
        <v>1217</v>
      </c>
      <c r="CU127">
        <v>931</v>
      </c>
      <c r="CV127">
        <v>16430</v>
      </c>
      <c r="CW127">
        <v>104</v>
      </c>
      <c r="CX127">
        <v>82</v>
      </c>
      <c r="CY127">
        <v>63</v>
      </c>
      <c r="CZ127">
        <v>0</v>
      </c>
      <c r="DA127">
        <v>0</v>
      </c>
      <c r="DB127">
        <v>0</v>
      </c>
      <c r="DC127">
        <v>4451</v>
      </c>
      <c r="DD127">
        <v>0</v>
      </c>
      <c r="DE127">
        <v>0</v>
      </c>
      <c r="DF127">
        <v>-124</v>
      </c>
      <c r="DG127">
        <v>9241</v>
      </c>
      <c r="DH127">
        <v>903</v>
      </c>
      <c r="DI127">
        <v>321</v>
      </c>
      <c r="DJ127">
        <v>0</v>
      </c>
      <c r="DK127">
        <v>0</v>
      </c>
      <c r="DL127">
        <v>0</v>
      </c>
      <c r="DM127">
        <v>1359</v>
      </c>
      <c r="DN127">
        <v>1746</v>
      </c>
      <c r="DO127">
        <v>0</v>
      </c>
      <c r="DP127">
        <v>13570</v>
      </c>
      <c r="DQ127">
        <v>0</v>
      </c>
      <c r="DR127">
        <v>0</v>
      </c>
      <c r="DS127">
        <v>0</v>
      </c>
      <c r="DT127">
        <v>7119</v>
      </c>
      <c r="DU127">
        <v>0</v>
      </c>
      <c r="DV127">
        <v>2632</v>
      </c>
      <c r="DW127">
        <v>0</v>
      </c>
      <c r="DX127">
        <v>27648</v>
      </c>
      <c r="DY127">
        <v>54927</v>
      </c>
      <c r="DZ127">
        <v>1218</v>
      </c>
      <c r="EA127">
        <v>11153</v>
      </c>
      <c r="EB127">
        <v>398</v>
      </c>
      <c r="EC127">
        <v>0</v>
      </c>
      <c r="ED127">
        <v>0</v>
      </c>
      <c r="EE127">
        <v>0</v>
      </c>
      <c r="EF127">
        <v>0</v>
      </c>
      <c r="EG127">
        <v>0</v>
      </c>
      <c r="EH127">
        <v>12097</v>
      </c>
      <c r="EI127">
        <v>31960</v>
      </c>
      <c r="EJ127">
        <v>0</v>
      </c>
      <c r="EK127">
        <v>1997</v>
      </c>
      <c r="EL127">
        <v>9833</v>
      </c>
      <c r="EM127">
        <v>0</v>
      </c>
      <c r="EN127">
        <v>12028</v>
      </c>
      <c r="EO127">
        <v>0</v>
      </c>
      <c r="EP127">
        <v>0</v>
      </c>
      <c r="EQ127">
        <v>12175</v>
      </c>
      <c r="ER127">
        <v>-49</v>
      </c>
      <c r="ES127">
        <v>6507</v>
      </c>
      <c r="ET127">
        <v>-5838</v>
      </c>
      <c r="EU127">
        <v>0</v>
      </c>
      <c r="EV127">
        <v>521</v>
      </c>
      <c r="EW127">
        <v>0</v>
      </c>
      <c r="EX127">
        <v>135</v>
      </c>
      <c r="EY127">
        <v>-34</v>
      </c>
      <c r="EZ127">
        <v>-182</v>
      </c>
      <c r="FA127">
        <v>0</v>
      </c>
      <c r="FB127">
        <v>0</v>
      </c>
      <c r="FC127">
        <v>152</v>
      </c>
      <c r="FD127">
        <v>5732</v>
      </c>
      <c r="FE127">
        <v>0</v>
      </c>
      <c r="FF127">
        <v>0</v>
      </c>
      <c r="FG127">
        <v>2798</v>
      </c>
      <c r="FH127">
        <v>9122</v>
      </c>
      <c r="FI127">
        <v>-1202</v>
      </c>
      <c r="FJ127">
        <v>398</v>
      </c>
      <c r="FK127">
        <v>0</v>
      </c>
      <c r="FL127">
        <v>526</v>
      </c>
      <c r="FM127">
        <v>619</v>
      </c>
      <c r="FN127">
        <v>-1515</v>
      </c>
      <c r="FO127">
        <v>0</v>
      </c>
      <c r="FP127">
        <v>0</v>
      </c>
      <c r="FQ127">
        <v>0</v>
      </c>
      <c r="FR127">
        <v>-145</v>
      </c>
      <c r="FS127">
        <v>0</v>
      </c>
      <c r="FT127">
        <v>747</v>
      </c>
      <c r="FU127">
        <v>509</v>
      </c>
      <c r="FV127">
        <v>0</v>
      </c>
      <c r="FW127">
        <v>1387</v>
      </c>
      <c r="FX127">
        <v>738</v>
      </c>
      <c r="FY127">
        <v>0</v>
      </c>
      <c r="FZ127">
        <v>0</v>
      </c>
      <c r="GA127">
        <v>0</v>
      </c>
      <c r="GB127">
        <v>0</v>
      </c>
      <c r="GC127">
        <v>0</v>
      </c>
      <c r="GD127">
        <v>7248</v>
      </c>
      <c r="GE127">
        <v>8129</v>
      </c>
      <c r="GF127">
        <v>0</v>
      </c>
      <c r="GG127">
        <v>-147</v>
      </c>
      <c r="GH127">
        <v>338</v>
      </c>
      <c r="GI127">
        <v>503</v>
      </c>
      <c r="GJ127">
        <v>1</v>
      </c>
      <c r="GK127">
        <v>18134</v>
      </c>
      <c r="GL127">
        <v>258</v>
      </c>
      <c r="GM127">
        <v>2121</v>
      </c>
      <c r="GN127">
        <v>0</v>
      </c>
      <c r="GO127">
        <v>2995</v>
      </c>
      <c r="GP127">
        <v>0</v>
      </c>
      <c r="GQ127">
        <v>10</v>
      </c>
      <c r="GR127">
        <v>0</v>
      </c>
      <c r="GS127">
        <v>0</v>
      </c>
      <c r="GT127">
        <v>0</v>
      </c>
      <c r="GU127">
        <v>5384</v>
      </c>
      <c r="GV127">
        <v>32640</v>
      </c>
      <c r="GW127">
        <v>0</v>
      </c>
      <c r="GX127">
        <v>0</v>
      </c>
      <c r="GY127">
        <v>0</v>
      </c>
      <c r="GZ127">
        <v>0</v>
      </c>
      <c r="HA127">
        <v>0</v>
      </c>
      <c r="HB127">
        <v>3245</v>
      </c>
      <c r="HC127">
        <v>0</v>
      </c>
      <c r="HD127">
        <v>0</v>
      </c>
      <c r="HE127">
        <v>0</v>
      </c>
      <c r="HF127">
        <v>0</v>
      </c>
      <c r="HG127">
        <v>0</v>
      </c>
      <c r="HH127">
        <v>0</v>
      </c>
      <c r="HI127">
        <v>11</v>
      </c>
      <c r="HJ127">
        <v>1632</v>
      </c>
      <c r="HK127">
        <v>184</v>
      </c>
      <c r="HL127">
        <v>267</v>
      </c>
      <c r="HM127">
        <v>-408</v>
      </c>
      <c r="HN127">
        <v>0</v>
      </c>
      <c r="HO127">
        <v>248</v>
      </c>
      <c r="HP127">
        <v>308</v>
      </c>
      <c r="HQ127">
        <v>0</v>
      </c>
      <c r="HR127">
        <v>3205</v>
      </c>
      <c r="HS127">
        <v>0</v>
      </c>
      <c r="HT127">
        <v>114</v>
      </c>
      <c r="HU127">
        <v>25337</v>
      </c>
      <c r="HV127">
        <v>34143</v>
      </c>
      <c r="HW127">
        <v>0</v>
      </c>
      <c r="HX127">
        <v>0</v>
      </c>
      <c r="HY127">
        <v>0</v>
      </c>
      <c r="HZ127">
        <v>0</v>
      </c>
      <c r="IA127">
        <v>6203</v>
      </c>
      <c r="IB127">
        <v>-8741</v>
      </c>
      <c r="IC127">
        <v>274450</v>
      </c>
      <c r="ID127">
        <v>10389</v>
      </c>
      <c r="IE127">
        <v>62158</v>
      </c>
      <c r="IF127">
        <v>107179</v>
      </c>
      <c r="IG127">
        <v>16430</v>
      </c>
      <c r="IH127">
        <v>27648</v>
      </c>
      <c r="II127">
        <v>9122</v>
      </c>
      <c r="IJ127">
        <v>18134</v>
      </c>
      <c r="IK127">
        <v>5384</v>
      </c>
      <c r="IL127">
        <v>0</v>
      </c>
      <c r="IM127">
        <v>0</v>
      </c>
      <c r="IN127">
        <v>34143</v>
      </c>
      <c r="IO127">
        <v>-8741</v>
      </c>
      <c r="IP127">
        <v>556296</v>
      </c>
      <c r="IQ127">
        <v>199081</v>
      </c>
      <c r="IR127">
        <v>21919</v>
      </c>
      <c r="IS127">
        <v>32879</v>
      </c>
      <c r="IT127">
        <v>0</v>
      </c>
      <c r="IU127">
        <v>0</v>
      </c>
      <c r="IV127">
        <v>0</v>
      </c>
      <c r="IW127">
        <v>0</v>
      </c>
      <c r="IX127">
        <v>7680</v>
      </c>
      <c r="IY127">
        <v>396</v>
      </c>
      <c r="IZ127">
        <v>224</v>
      </c>
      <c r="JA127">
        <v>0</v>
      </c>
      <c r="JB127">
        <v>2303</v>
      </c>
      <c r="JC127">
        <v>0</v>
      </c>
      <c r="JD127">
        <v>0</v>
      </c>
      <c r="JE127">
        <v>0</v>
      </c>
      <c r="JF127">
        <v>0</v>
      </c>
      <c r="JG127">
        <v>820778</v>
      </c>
      <c r="JH127">
        <v>218</v>
      </c>
      <c r="JI127">
        <v>14894</v>
      </c>
      <c r="JJ127">
        <v>0</v>
      </c>
      <c r="JK127">
        <v>0</v>
      </c>
      <c r="JL127">
        <v>0</v>
      </c>
      <c r="JM127">
        <v>1712</v>
      </c>
      <c r="JN127">
        <v>15574</v>
      </c>
      <c r="JO127">
        <v>0</v>
      </c>
      <c r="JP127">
        <v>7580</v>
      </c>
      <c r="JQ127">
        <v>0</v>
      </c>
      <c r="JR127">
        <v>860756</v>
      </c>
      <c r="JS127">
        <v>-3888</v>
      </c>
      <c r="JT127">
        <v>0</v>
      </c>
      <c r="JU127">
        <v>0</v>
      </c>
      <c r="JV127">
        <v>0</v>
      </c>
      <c r="JW127">
        <v>-267458</v>
      </c>
      <c r="JX127">
        <v>0</v>
      </c>
      <c r="JY127">
        <v>-1839</v>
      </c>
      <c r="JZ127">
        <v>0</v>
      </c>
      <c r="KA127">
        <v>0</v>
      </c>
      <c r="KB127">
        <v>0</v>
      </c>
      <c r="KC127">
        <v>587571</v>
      </c>
      <c r="KD127">
        <v>0</v>
      </c>
      <c r="KE127">
        <v>-318108</v>
      </c>
      <c r="KF127">
        <v>269463</v>
      </c>
      <c r="KG127">
        <v>0</v>
      </c>
      <c r="KH127">
        <v>0</v>
      </c>
      <c r="KI127">
        <v>-4571</v>
      </c>
      <c r="KJ127">
        <v>1102</v>
      </c>
      <c r="KK127">
        <v>-1690</v>
      </c>
      <c r="KL127">
        <v>0</v>
      </c>
      <c r="KM127">
        <v>-17668</v>
      </c>
      <c r="KN127">
        <v>0</v>
      </c>
      <c r="KO127">
        <v>-80667</v>
      </c>
      <c r="KP127">
        <v>0</v>
      </c>
      <c r="KQ127">
        <v>0</v>
      </c>
      <c r="KR127">
        <v>133108</v>
      </c>
      <c r="KS127">
        <v>-242</v>
      </c>
      <c r="KT127">
        <v>-8047</v>
      </c>
      <c r="KU127">
        <v>2046</v>
      </c>
      <c r="KV127">
        <v>95980</v>
      </c>
      <c r="KW127">
        <v>13949</v>
      </c>
      <c r="KX127">
        <v>-242</v>
      </c>
      <c r="KY127">
        <v>-12618</v>
      </c>
      <c r="KZ127">
        <v>3148</v>
      </c>
      <c r="LA127">
        <v>94290</v>
      </c>
      <c r="LB127">
        <v>13949</v>
      </c>
      <c r="LC127">
        <v>0</v>
      </c>
      <c r="LD127">
        <v>47590</v>
      </c>
      <c r="LE127">
        <v>-29765</v>
      </c>
      <c r="LF127">
        <v>82543</v>
      </c>
      <c r="LG127">
        <v>-62494</v>
      </c>
      <c r="LH127">
        <v>-49934</v>
      </c>
      <c r="LI127">
        <v>-22924</v>
      </c>
      <c r="LJ127">
        <v>10993</v>
      </c>
      <c r="LK127">
        <v>27599</v>
      </c>
      <c r="LL127">
        <v>38592</v>
      </c>
      <c r="LM127">
        <v>0</v>
      </c>
      <c r="LN127">
        <v>0</v>
      </c>
      <c r="LO127">
        <v>0</v>
      </c>
      <c r="LP127">
        <v>67696</v>
      </c>
      <c r="LQ127">
        <v>80041</v>
      </c>
      <c r="LR127">
        <v>-12345</v>
      </c>
      <c r="LS127">
        <v>6507</v>
      </c>
      <c r="LT127">
        <v>-5838</v>
      </c>
      <c r="LU127">
        <v>274450</v>
      </c>
      <c r="LV127">
        <v>10389</v>
      </c>
      <c r="LW127">
        <v>62158</v>
      </c>
      <c r="LX127">
        <v>107179</v>
      </c>
      <c r="LY127">
        <v>16430</v>
      </c>
      <c r="LZ127">
        <v>27648</v>
      </c>
      <c r="MA127">
        <v>9122</v>
      </c>
      <c r="MB127">
        <v>18134</v>
      </c>
      <c r="MC127">
        <v>5384</v>
      </c>
      <c r="MD127">
        <v>0</v>
      </c>
      <c r="ME127">
        <v>0</v>
      </c>
      <c r="MF127">
        <v>34143</v>
      </c>
      <c r="MG127">
        <v>-8741</v>
      </c>
      <c r="MH127">
        <v>556296</v>
      </c>
      <c r="MI127">
        <v>0</v>
      </c>
      <c r="MJ127">
        <v>0</v>
      </c>
      <c r="MK127">
        <v>0</v>
      </c>
      <c r="ML127">
        <v>0</v>
      </c>
      <c r="MM127">
        <v>0</v>
      </c>
      <c r="MN127">
        <v>0</v>
      </c>
      <c r="MO127">
        <v>0</v>
      </c>
      <c r="MP127">
        <v>0</v>
      </c>
      <c r="MQ127">
        <v>0</v>
      </c>
      <c r="MR127">
        <v>0</v>
      </c>
      <c r="MS127">
        <v>0</v>
      </c>
      <c r="MT127">
        <v>0</v>
      </c>
      <c r="MU127">
        <v>0</v>
      </c>
      <c r="MV127">
        <v>0</v>
      </c>
      <c r="MW127">
        <v>0</v>
      </c>
      <c r="MX127">
        <v>0</v>
      </c>
      <c r="MY127">
        <v>0</v>
      </c>
      <c r="MZ127">
        <v>0</v>
      </c>
      <c r="NA127">
        <v>0</v>
      </c>
      <c r="NB127">
        <v>0</v>
      </c>
      <c r="NC127">
        <v>0</v>
      </c>
      <c r="ND127">
        <v>0</v>
      </c>
      <c r="NE127">
        <v>0</v>
      </c>
      <c r="NF127">
        <v>0</v>
      </c>
      <c r="NG127">
        <v>0</v>
      </c>
      <c r="NH127">
        <v>0</v>
      </c>
      <c r="NI127">
        <v>0</v>
      </c>
      <c r="NJ127">
        <v>0</v>
      </c>
      <c r="NK127">
        <v>0</v>
      </c>
      <c r="NL127">
        <v>0</v>
      </c>
      <c r="NM127">
        <v>0</v>
      </c>
      <c r="NN127">
        <v>0</v>
      </c>
      <c r="NO127">
        <v>0</v>
      </c>
      <c r="NP127">
        <v>0</v>
      </c>
      <c r="NQ127">
        <v>0</v>
      </c>
      <c r="NR127">
        <v>0</v>
      </c>
      <c r="NS127">
        <v>0</v>
      </c>
      <c r="NT127">
        <v>2226</v>
      </c>
      <c r="NU127">
        <v>77</v>
      </c>
      <c r="NV127">
        <v>0</v>
      </c>
      <c r="NW127">
        <v>0</v>
      </c>
      <c r="NX127">
        <v>0</v>
      </c>
      <c r="NY127">
        <v>0</v>
      </c>
      <c r="NZ127">
        <v>2303</v>
      </c>
      <c r="OA127">
        <v>0</v>
      </c>
      <c r="OB127">
        <v>2303</v>
      </c>
      <c r="OC127">
        <v>0</v>
      </c>
      <c r="OD127">
        <v>0</v>
      </c>
      <c r="OE127">
        <v>0</v>
      </c>
      <c r="OF127">
        <v>0</v>
      </c>
      <c r="OG127">
        <v>0</v>
      </c>
      <c r="OH127">
        <v>0</v>
      </c>
      <c r="OI127">
        <v>0</v>
      </c>
      <c r="OJ127">
        <v>0</v>
      </c>
      <c r="OK127">
        <v>0</v>
      </c>
      <c r="OL127">
        <v>0</v>
      </c>
      <c r="OM127">
        <v>0</v>
      </c>
      <c r="ON127">
        <v>0</v>
      </c>
    </row>
    <row r="128" spans="1:404" x14ac:dyDescent="0.25">
      <c r="A128" t="s">
        <v>448</v>
      </c>
      <c r="B128" t="s">
        <v>449</v>
      </c>
      <c r="C128" t="s">
        <v>447</v>
      </c>
      <c r="E128" t="s">
        <v>61</v>
      </c>
      <c r="F128">
        <v>0</v>
      </c>
      <c r="G128">
        <v>0</v>
      </c>
      <c r="H128">
        <v>0</v>
      </c>
      <c r="I128">
        <v>0</v>
      </c>
      <c r="J128">
        <v>0</v>
      </c>
      <c r="K128">
        <v>0</v>
      </c>
      <c r="L128">
        <v>0</v>
      </c>
      <c r="M128">
        <v>387</v>
      </c>
      <c r="N128">
        <v>0</v>
      </c>
      <c r="O128">
        <v>0</v>
      </c>
      <c r="P128">
        <v>114</v>
      </c>
      <c r="Q128">
        <v>0</v>
      </c>
      <c r="R128">
        <v>0</v>
      </c>
      <c r="S128">
        <v>174</v>
      </c>
      <c r="T128">
        <v>0</v>
      </c>
      <c r="U128">
        <v>0</v>
      </c>
      <c r="V128">
        <v>0</v>
      </c>
      <c r="W128">
        <v>0</v>
      </c>
      <c r="X128">
        <v>0</v>
      </c>
      <c r="Y128">
        <v>20</v>
      </c>
      <c r="Z128">
        <v>0</v>
      </c>
      <c r="AA128">
        <v>-257</v>
      </c>
      <c r="AB128">
        <v>5</v>
      </c>
      <c r="AC128">
        <v>0</v>
      </c>
      <c r="AD128">
        <v>0</v>
      </c>
      <c r="AE128">
        <v>16</v>
      </c>
      <c r="AF128">
        <v>0</v>
      </c>
      <c r="AG128">
        <v>0</v>
      </c>
      <c r="AH128">
        <v>0</v>
      </c>
      <c r="AI128">
        <v>460</v>
      </c>
      <c r="AJ128">
        <v>0</v>
      </c>
      <c r="AK128">
        <v>0</v>
      </c>
      <c r="AL128">
        <v>0</v>
      </c>
      <c r="AM128">
        <v>0</v>
      </c>
      <c r="AN128">
        <v>0</v>
      </c>
      <c r="AO128">
        <v>0</v>
      </c>
      <c r="AP128">
        <v>0</v>
      </c>
      <c r="AQ128">
        <v>0</v>
      </c>
      <c r="AR128">
        <v>0</v>
      </c>
      <c r="AS128">
        <v>0</v>
      </c>
      <c r="AT128">
        <v>0</v>
      </c>
      <c r="AU128">
        <v>0</v>
      </c>
      <c r="AV128">
        <v>0</v>
      </c>
      <c r="AW128">
        <v>0</v>
      </c>
      <c r="AX128">
        <v>0</v>
      </c>
      <c r="AY128">
        <v>0</v>
      </c>
      <c r="AZ128">
        <v>0</v>
      </c>
      <c r="BA128">
        <v>0</v>
      </c>
      <c r="BB128">
        <v>0</v>
      </c>
      <c r="BC128">
        <v>0</v>
      </c>
      <c r="BD128">
        <v>0</v>
      </c>
      <c r="BE128">
        <v>0</v>
      </c>
      <c r="BF128">
        <v>0</v>
      </c>
      <c r="BG128">
        <v>0</v>
      </c>
      <c r="BH128">
        <v>0</v>
      </c>
      <c r="BI128">
        <v>0</v>
      </c>
      <c r="BJ128">
        <v>0</v>
      </c>
      <c r="BK128">
        <v>0</v>
      </c>
      <c r="BL128">
        <v>0</v>
      </c>
      <c r="BM128">
        <v>0</v>
      </c>
      <c r="BN128">
        <v>0</v>
      </c>
      <c r="BO128">
        <v>0</v>
      </c>
      <c r="BP128">
        <v>0</v>
      </c>
      <c r="BQ128">
        <v>0</v>
      </c>
      <c r="BR128">
        <v>0</v>
      </c>
      <c r="BS128">
        <v>0</v>
      </c>
      <c r="BT128">
        <v>0</v>
      </c>
      <c r="BU128">
        <v>0</v>
      </c>
      <c r="BV128">
        <v>0</v>
      </c>
      <c r="BW128">
        <v>0</v>
      </c>
      <c r="BX128">
        <v>0</v>
      </c>
      <c r="BY128">
        <v>0</v>
      </c>
      <c r="BZ128">
        <v>0</v>
      </c>
      <c r="CA128">
        <v>0</v>
      </c>
      <c r="CB128">
        <v>0</v>
      </c>
      <c r="CC128">
        <v>0</v>
      </c>
      <c r="CD128">
        <v>0</v>
      </c>
      <c r="CE128">
        <v>0</v>
      </c>
      <c r="CF128">
        <v>0</v>
      </c>
      <c r="CG128">
        <v>0</v>
      </c>
      <c r="CH128">
        <v>0</v>
      </c>
      <c r="CI128">
        <v>0</v>
      </c>
      <c r="CJ128">
        <v>0</v>
      </c>
      <c r="CK128">
        <v>0</v>
      </c>
      <c r="CL128">
        <v>0</v>
      </c>
      <c r="CM128">
        <v>0</v>
      </c>
      <c r="CN128">
        <v>0</v>
      </c>
      <c r="CO128">
        <v>0</v>
      </c>
      <c r="CP128">
        <v>0</v>
      </c>
      <c r="CQ128">
        <v>0</v>
      </c>
      <c r="CR128">
        <v>0</v>
      </c>
      <c r="CS128">
        <v>0</v>
      </c>
      <c r="CT128">
        <v>0</v>
      </c>
      <c r="CU128">
        <v>0</v>
      </c>
      <c r="CV128">
        <v>0</v>
      </c>
      <c r="CW128">
        <v>0</v>
      </c>
      <c r="CX128">
        <v>0</v>
      </c>
      <c r="CY128">
        <v>0</v>
      </c>
      <c r="CZ128">
        <v>0</v>
      </c>
      <c r="DA128">
        <v>0</v>
      </c>
      <c r="DB128">
        <v>0</v>
      </c>
      <c r="DC128">
        <v>367</v>
      </c>
      <c r="DD128">
        <v>0</v>
      </c>
      <c r="DE128">
        <v>-91</v>
      </c>
      <c r="DF128">
        <v>493</v>
      </c>
      <c r="DG128">
        <v>0</v>
      </c>
      <c r="DH128">
        <v>0</v>
      </c>
      <c r="DI128">
        <v>0</v>
      </c>
      <c r="DJ128">
        <v>1162</v>
      </c>
      <c r="DK128">
        <v>0</v>
      </c>
      <c r="DL128">
        <v>0</v>
      </c>
      <c r="DM128">
        <v>0</v>
      </c>
      <c r="DN128">
        <v>136</v>
      </c>
      <c r="DO128">
        <v>0</v>
      </c>
      <c r="DP128">
        <v>1298</v>
      </c>
      <c r="DQ128">
        <v>0</v>
      </c>
      <c r="DR128">
        <v>0</v>
      </c>
      <c r="DS128">
        <v>0</v>
      </c>
      <c r="DT128">
        <v>1416</v>
      </c>
      <c r="DU128">
        <v>0</v>
      </c>
      <c r="DV128">
        <v>0</v>
      </c>
      <c r="DW128">
        <v>0</v>
      </c>
      <c r="DX128">
        <v>3483</v>
      </c>
      <c r="DY128">
        <v>33958</v>
      </c>
      <c r="DZ128">
        <v>783</v>
      </c>
      <c r="EA128">
        <v>2025</v>
      </c>
      <c r="EB128">
        <v>416</v>
      </c>
      <c r="EC128">
        <v>0</v>
      </c>
      <c r="ED128">
        <v>65</v>
      </c>
      <c r="EE128">
        <v>0</v>
      </c>
      <c r="EF128">
        <v>0</v>
      </c>
      <c r="EG128">
        <v>171</v>
      </c>
      <c r="EH128">
        <v>8841</v>
      </c>
      <c r="EI128">
        <v>7056</v>
      </c>
      <c r="EJ128">
        <v>3102</v>
      </c>
      <c r="EK128">
        <v>600</v>
      </c>
      <c r="EL128">
        <v>5476</v>
      </c>
      <c r="EM128">
        <v>0</v>
      </c>
      <c r="EN128">
        <v>13153</v>
      </c>
      <c r="EO128">
        <v>22</v>
      </c>
      <c r="EP128">
        <v>0</v>
      </c>
      <c r="EQ128">
        <v>9705</v>
      </c>
      <c r="ER128">
        <v>124</v>
      </c>
      <c r="ES128">
        <v>14825</v>
      </c>
      <c r="ET128">
        <v>4164</v>
      </c>
      <c r="EU128">
        <v>0</v>
      </c>
      <c r="EV128">
        <v>23</v>
      </c>
      <c r="EW128">
        <v>0</v>
      </c>
      <c r="EX128">
        <v>1143</v>
      </c>
      <c r="EY128">
        <v>0</v>
      </c>
      <c r="EZ128">
        <v>943</v>
      </c>
      <c r="FA128">
        <v>0</v>
      </c>
      <c r="FB128">
        <v>-33</v>
      </c>
      <c r="FC128">
        <v>-571</v>
      </c>
      <c r="FD128">
        <v>2163</v>
      </c>
      <c r="FE128">
        <v>0</v>
      </c>
      <c r="FF128">
        <v>15</v>
      </c>
      <c r="FG128">
        <v>0</v>
      </c>
      <c r="FH128">
        <v>3682</v>
      </c>
      <c r="FI128">
        <v>-2</v>
      </c>
      <c r="FJ128">
        <v>0</v>
      </c>
      <c r="FK128">
        <v>28</v>
      </c>
      <c r="FL128">
        <v>6</v>
      </c>
      <c r="FM128">
        <v>1233</v>
      </c>
      <c r="FN128">
        <v>0</v>
      </c>
      <c r="FO128">
        <v>-9</v>
      </c>
      <c r="FP128">
        <v>0</v>
      </c>
      <c r="FQ128">
        <v>0</v>
      </c>
      <c r="FR128">
        <v>0</v>
      </c>
      <c r="FS128">
        <v>177</v>
      </c>
      <c r="FT128">
        <v>18</v>
      </c>
      <c r="FU128">
        <v>321</v>
      </c>
      <c r="FV128">
        <v>668</v>
      </c>
      <c r="FW128">
        <v>0</v>
      </c>
      <c r="FX128">
        <v>15</v>
      </c>
      <c r="FY128">
        <v>0</v>
      </c>
      <c r="FZ128">
        <v>854</v>
      </c>
      <c r="GA128">
        <v>0</v>
      </c>
      <c r="GB128">
        <v>0</v>
      </c>
      <c r="GC128">
        <v>0</v>
      </c>
      <c r="GD128">
        <v>1060</v>
      </c>
      <c r="GE128">
        <v>1937</v>
      </c>
      <c r="GF128">
        <v>0</v>
      </c>
      <c r="GG128">
        <v>0</v>
      </c>
      <c r="GH128">
        <v>1963</v>
      </c>
      <c r="GI128">
        <v>0</v>
      </c>
      <c r="GJ128">
        <v>0</v>
      </c>
      <c r="GK128">
        <v>8271</v>
      </c>
      <c r="GL128">
        <v>553</v>
      </c>
      <c r="GM128">
        <v>3085</v>
      </c>
      <c r="GN128">
        <v>22</v>
      </c>
      <c r="GO128">
        <v>908</v>
      </c>
      <c r="GP128">
        <v>0</v>
      </c>
      <c r="GQ128">
        <v>81</v>
      </c>
      <c r="GR128">
        <v>0</v>
      </c>
      <c r="GS128">
        <v>-157</v>
      </c>
      <c r="GT128">
        <v>1127</v>
      </c>
      <c r="GU128">
        <v>5619</v>
      </c>
      <c r="GV128">
        <v>17572</v>
      </c>
      <c r="GW128">
        <v>0</v>
      </c>
      <c r="GX128">
        <v>0</v>
      </c>
      <c r="GY128">
        <v>0</v>
      </c>
      <c r="GZ128">
        <v>0</v>
      </c>
      <c r="HA128">
        <v>0</v>
      </c>
      <c r="HB128">
        <v>4238</v>
      </c>
      <c r="HC128">
        <v>-1241</v>
      </c>
      <c r="HD128">
        <v>0</v>
      </c>
      <c r="HE128">
        <v>0</v>
      </c>
      <c r="HF128">
        <v>0</v>
      </c>
      <c r="HG128">
        <v>709</v>
      </c>
      <c r="HH128">
        <v>0</v>
      </c>
      <c r="HI128">
        <v>0</v>
      </c>
      <c r="HJ128">
        <v>179</v>
      </c>
      <c r="HK128">
        <v>72</v>
      </c>
      <c r="HL128">
        <v>177</v>
      </c>
      <c r="HM128">
        <v>456</v>
      </c>
      <c r="HN128">
        <v>0</v>
      </c>
      <c r="HO128">
        <v>300</v>
      </c>
      <c r="HP128">
        <v>0</v>
      </c>
      <c r="HQ128">
        <v>0</v>
      </c>
      <c r="HR128">
        <v>0</v>
      </c>
      <c r="HS128">
        <v>-15</v>
      </c>
      <c r="HT128">
        <v>0</v>
      </c>
      <c r="HU128">
        <v>-5453</v>
      </c>
      <c r="HV128">
        <v>-577</v>
      </c>
      <c r="HW128">
        <v>0</v>
      </c>
      <c r="HX128">
        <v>0</v>
      </c>
      <c r="HY128">
        <v>0</v>
      </c>
      <c r="HZ128">
        <v>5585</v>
      </c>
      <c r="IA128">
        <v>0</v>
      </c>
      <c r="IB128">
        <v>0</v>
      </c>
      <c r="IC128">
        <v>0</v>
      </c>
      <c r="ID128">
        <v>460</v>
      </c>
      <c r="IE128">
        <v>0</v>
      </c>
      <c r="IF128">
        <v>0</v>
      </c>
      <c r="IG128">
        <v>0</v>
      </c>
      <c r="IH128">
        <v>3483</v>
      </c>
      <c r="II128">
        <v>3682</v>
      </c>
      <c r="IJ128">
        <v>8271</v>
      </c>
      <c r="IK128">
        <v>5619</v>
      </c>
      <c r="IL128">
        <v>0</v>
      </c>
      <c r="IM128">
        <v>0</v>
      </c>
      <c r="IN128">
        <v>-577</v>
      </c>
      <c r="IO128">
        <v>0</v>
      </c>
      <c r="IP128">
        <v>20937</v>
      </c>
      <c r="IQ128">
        <v>11469</v>
      </c>
      <c r="IR128">
        <v>126</v>
      </c>
      <c r="IS128">
        <v>11153</v>
      </c>
      <c r="IT128">
        <v>0</v>
      </c>
      <c r="IU128">
        <v>376</v>
      </c>
      <c r="IV128">
        <v>3764</v>
      </c>
      <c r="IW128">
        <v>0</v>
      </c>
      <c r="IX128">
        <v>0</v>
      </c>
      <c r="IY128">
        <v>0</v>
      </c>
      <c r="IZ128">
        <v>0</v>
      </c>
      <c r="JA128">
        <v>-7491</v>
      </c>
      <c r="JB128">
        <v>-11</v>
      </c>
      <c r="JC128">
        <v>0</v>
      </c>
      <c r="JD128">
        <v>0</v>
      </c>
      <c r="JE128">
        <v>-132</v>
      </c>
      <c r="JF128">
        <v>0</v>
      </c>
      <c r="JG128">
        <v>40192</v>
      </c>
      <c r="JH128">
        <v>0</v>
      </c>
      <c r="JI128">
        <v>12720</v>
      </c>
      <c r="JJ128">
        <v>0</v>
      </c>
      <c r="JK128">
        <v>0</v>
      </c>
      <c r="JL128">
        <v>0</v>
      </c>
      <c r="JM128">
        <v>366</v>
      </c>
      <c r="JN128">
        <v>883</v>
      </c>
      <c r="JO128">
        <v>0</v>
      </c>
      <c r="JP128">
        <v>6573</v>
      </c>
      <c r="JQ128">
        <v>-5476</v>
      </c>
      <c r="JR128">
        <v>55258</v>
      </c>
      <c r="JS128">
        <v>-3119</v>
      </c>
      <c r="JT128">
        <v>0</v>
      </c>
      <c r="JU128">
        <v>0</v>
      </c>
      <c r="JV128">
        <v>0</v>
      </c>
      <c r="JW128">
        <v>-22960</v>
      </c>
      <c r="JX128">
        <v>0</v>
      </c>
      <c r="JY128">
        <v>0</v>
      </c>
      <c r="JZ128">
        <v>0</v>
      </c>
      <c r="KA128">
        <v>0</v>
      </c>
      <c r="KB128">
        <v>0</v>
      </c>
      <c r="KC128">
        <v>29179</v>
      </c>
      <c r="KD128">
        <v>0</v>
      </c>
      <c r="KE128">
        <v>-3295</v>
      </c>
      <c r="KF128">
        <v>25884</v>
      </c>
      <c r="KG128">
        <v>0</v>
      </c>
      <c r="KH128">
        <v>0</v>
      </c>
      <c r="KI128">
        <v>0</v>
      </c>
      <c r="KJ128">
        <v>0</v>
      </c>
      <c r="KK128">
        <v>-3722</v>
      </c>
      <c r="KL128">
        <v>53</v>
      </c>
      <c r="KM128">
        <v>0</v>
      </c>
      <c r="KN128">
        <v>0</v>
      </c>
      <c r="KO128">
        <v>-5162</v>
      </c>
      <c r="KP128">
        <v>-99</v>
      </c>
      <c r="KQ128">
        <v>0</v>
      </c>
      <c r="KR128">
        <v>12000</v>
      </c>
      <c r="KS128">
        <v>0</v>
      </c>
      <c r="KT128">
        <v>0</v>
      </c>
      <c r="KU128">
        <v>0</v>
      </c>
      <c r="KV128">
        <v>11091</v>
      </c>
      <c r="KW128">
        <v>4017</v>
      </c>
      <c r="KX128">
        <v>0</v>
      </c>
      <c r="KY128">
        <v>0</v>
      </c>
      <c r="KZ128">
        <v>0</v>
      </c>
      <c r="LA128">
        <v>7369</v>
      </c>
      <c r="LB128">
        <v>4070</v>
      </c>
      <c r="LC128">
        <v>0</v>
      </c>
      <c r="LD128">
        <v>12200</v>
      </c>
      <c r="LE128">
        <v>5690</v>
      </c>
      <c r="LF128">
        <v>-1939</v>
      </c>
      <c r="LG128">
        <v>-2147</v>
      </c>
      <c r="LH128">
        <v>796</v>
      </c>
      <c r="LI128">
        <v>1340</v>
      </c>
      <c r="LJ128">
        <v>3</v>
      </c>
      <c r="LK128">
        <v>6</v>
      </c>
      <c r="LL128">
        <v>9</v>
      </c>
      <c r="LM128">
        <v>0</v>
      </c>
      <c r="LN128">
        <v>0</v>
      </c>
      <c r="LO128">
        <v>0</v>
      </c>
      <c r="LP128">
        <v>37418</v>
      </c>
      <c r="LQ128">
        <v>48079</v>
      </c>
      <c r="LR128">
        <v>-10661</v>
      </c>
      <c r="LS128">
        <v>14825</v>
      </c>
      <c r="LT128">
        <v>4164</v>
      </c>
      <c r="LU128">
        <v>0</v>
      </c>
      <c r="LV128">
        <v>460</v>
      </c>
      <c r="LW128">
        <v>0</v>
      </c>
      <c r="LX128">
        <v>0</v>
      </c>
      <c r="LY128">
        <v>0</v>
      </c>
      <c r="LZ128">
        <v>3483</v>
      </c>
      <c r="MA128">
        <v>3682</v>
      </c>
      <c r="MB128">
        <v>8271</v>
      </c>
      <c r="MC128">
        <v>5619</v>
      </c>
      <c r="MD128">
        <v>0</v>
      </c>
      <c r="ME128">
        <v>0</v>
      </c>
      <c r="MF128">
        <v>-577</v>
      </c>
      <c r="MG128">
        <v>0</v>
      </c>
      <c r="MH128">
        <v>20937</v>
      </c>
      <c r="MI128">
        <v>0</v>
      </c>
      <c r="MJ128">
        <v>0</v>
      </c>
      <c r="MK128">
        <v>0</v>
      </c>
      <c r="ML128">
        <v>0</v>
      </c>
      <c r="MM128">
        <v>0</v>
      </c>
      <c r="MN128">
        <v>0</v>
      </c>
      <c r="MO128">
        <v>0</v>
      </c>
      <c r="MP128">
        <v>0</v>
      </c>
      <c r="MQ128">
        <v>0</v>
      </c>
      <c r="MR128">
        <v>0</v>
      </c>
      <c r="MS128">
        <v>0</v>
      </c>
      <c r="MT128">
        <v>0</v>
      </c>
      <c r="MU128">
        <v>0</v>
      </c>
      <c r="MV128">
        <v>0</v>
      </c>
      <c r="MW128">
        <v>0</v>
      </c>
      <c r="MX128">
        <v>-1592</v>
      </c>
      <c r="MY128">
        <v>-5899</v>
      </c>
      <c r="MZ128">
        <v>0</v>
      </c>
      <c r="NA128">
        <v>-7491</v>
      </c>
      <c r="NB128">
        <v>0</v>
      </c>
      <c r="NC128">
        <v>-7491</v>
      </c>
      <c r="ND128">
        <v>0</v>
      </c>
      <c r="NE128">
        <v>0</v>
      </c>
      <c r="NF128">
        <v>0</v>
      </c>
      <c r="NG128">
        <v>0</v>
      </c>
      <c r="NH128">
        <v>0</v>
      </c>
      <c r="NI128">
        <v>0</v>
      </c>
      <c r="NJ128">
        <v>0</v>
      </c>
      <c r="NK128">
        <v>0</v>
      </c>
      <c r="NL128">
        <v>0</v>
      </c>
      <c r="NM128">
        <v>0</v>
      </c>
      <c r="NN128">
        <v>0</v>
      </c>
      <c r="NO128">
        <v>0</v>
      </c>
      <c r="NP128">
        <v>0</v>
      </c>
      <c r="NQ128">
        <v>-11</v>
      </c>
      <c r="NR128">
        <v>0</v>
      </c>
      <c r="NS128">
        <v>0</v>
      </c>
      <c r="NT128">
        <v>0</v>
      </c>
      <c r="NU128">
        <v>0</v>
      </c>
      <c r="NV128">
        <v>0</v>
      </c>
      <c r="NW128">
        <v>0</v>
      </c>
      <c r="NX128">
        <v>0</v>
      </c>
      <c r="NY128">
        <v>0</v>
      </c>
      <c r="NZ128">
        <v>-11</v>
      </c>
      <c r="OA128">
        <v>0</v>
      </c>
      <c r="OB128">
        <v>-11</v>
      </c>
      <c r="OC128">
        <v>0</v>
      </c>
      <c r="OD128">
        <v>0</v>
      </c>
      <c r="OE128">
        <v>0</v>
      </c>
      <c r="OF128">
        <v>0</v>
      </c>
      <c r="OG128">
        <v>0</v>
      </c>
      <c r="OH128">
        <v>0</v>
      </c>
      <c r="OI128">
        <v>0</v>
      </c>
      <c r="OJ128">
        <v>0</v>
      </c>
      <c r="OK128">
        <v>0</v>
      </c>
      <c r="OL128">
        <v>0</v>
      </c>
      <c r="OM128">
        <v>0</v>
      </c>
      <c r="ON128">
        <v>0</v>
      </c>
    </row>
    <row r="129" spans="1:404" x14ac:dyDescent="0.25">
      <c r="A129" t="s">
        <v>451</v>
      </c>
      <c r="B129" t="s">
        <v>452</v>
      </c>
      <c r="C129" t="s">
        <v>450</v>
      </c>
      <c r="E129" t="s">
        <v>61</v>
      </c>
      <c r="F129">
        <v>0</v>
      </c>
      <c r="G129">
        <v>0</v>
      </c>
      <c r="H129">
        <v>0</v>
      </c>
      <c r="I129">
        <v>0</v>
      </c>
      <c r="J129">
        <v>0</v>
      </c>
      <c r="K129">
        <v>0</v>
      </c>
      <c r="L129">
        <v>0</v>
      </c>
      <c r="M129">
        <v>0</v>
      </c>
      <c r="N129">
        <v>0</v>
      </c>
      <c r="O129">
        <v>0</v>
      </c>
      <c r="P129">
        <v>0</v>
      </c>
      <c r="Q129">
        <v>0</v>
      </c>
      <c r="R129">
        <v>0</v>
      </c>
      <c r="S129">
        <v>415</v>
      </c>
      <c r="T129">
        <v>0</v>
      </c>
      <c r="U129">
        <v>0</v>
      </c>
      <c r="V129">
        <v>0</v>
      </c>
      <c r="W129">
        <v>0</v>
      </c>
      <c r="X129">
        <v>0</v>
      </c>
      <c r="Y129">
        <v>0</v>
      </c>
      <c r="Z129">
        <v>-16</v>
      </c>
      <c r="AA129">
        <v>-1471</v>
      </c>
      <c r="AB129">
        <v>0</v>
      </c>
      <c r="AC129">
        <v>0</v>
      </c>
      <c r="AD129">
        <v>0</v>
      </c>
      <c r="AE129">
        <v>0</v>
      </c>
      <c r="AF129">
        <v>0</v>
      </c>
      <c r="AG129">
        <v>0</v>
      </c>
      <c r="AH129">
        <v>0</v>
      </c>
      <c r="AI129">
        <v>-1072</v>
      </c>
      <c r="AJ129">
        <v>0</v>
      </c>
      <c r="AK129">
        <v>0</v>
      </c>
      <c r="AL129">
        <v>0</v>
      </c>
      <c r="AM129">
        <v>0</v>
      </c>
      <c r="AN129">
        <v>0</v>
      </c>
      <c r="AO129">
        <v>0</v>
      </c>
      <c r="AP129">
        <v>0</v>
      </c>
      <c r="AQ129">
        <v>261</v>
      </c>
      <c r="AR129">
        <v>122</v>
      </c>
      <c r="AS129">
        <v>0</v>
      </c>
      <c r="AT129">
        <v>0</v>
      </c>
      <c r="AU129">
        <v>0</v>
      </c>
      <c r="AV129">
        <v>0</v>
      </c>
      <c r="AW129">
        <v>0</v>
      </c>
      <c r="AX129">
        <v>0</v>
      </c>
      <c r="AY129">
        <v>0</v>
      </c>
      <c r="AZ129">
        <v>0</v>
      </c>
      <c r="BA129">
        <v>0</v>
      </c>
      <c r="BB129">
        <v>0</v>
      </c>
      <c r="BC129">
        <v>0</v>
      </c>
      <c r="BD129">
        <v>0</v>
      </c>
      <c r="BE129">
        <v>0</v>
      </c>
      <c r="BF129">
        <v>655</v>
      </c>
      <c r="BG129">
        <v>0</v>
      </c>
      <c r="BH129">
        <v>0</v>
      </c>
      <c r="BI129">
        <v>0</v>
      </c>
      <c r="BJ129">
        <v>0</v>
      </c>
      <c r="BK129">
        <v>0</v>
      </c>
      <c r="BL129">
        <v>0</v>
      </c>
      <c r="BM129">
        <v>0</v>
      </c>
      <c r="BN129">
        <v>0</v>
      </c>
      <c r="BO129">
        <v>0</v>
      </c>
      <c r="BP129">
        <v>0</v>
      </c>
      <c r="BQ129">
        <v>0</v>
      </c>
      <c r="BR129">
        <v>0</v>
      </c>
      <c r="BS129">
        <v>64</v>
      </c>
      <c r="BT129">
        <v>0</v>
      </c>
      <c r="BU129">
        <v>0</v>
      </c>
      <c r="BV129">
        <v>0</v>
      </c>
      <c r="BW129">
        <v>719</v>
      </c>
      <c r="BX129">
        <v>0</v>
      </c>
      <c r="BY129">
        <v>0</v>
      </c>
      <c r="BZ129">
        <v>0</v>
      </c>
      <c r="CA129">
        <v>0</v>
      </c>
      <c r="CB129">
        <v>0</v>
      </c>
      <c r="CC129">
        <v>0</v>
      </c>
      <c r="CD129">
        <v>0</v>
      </c>
      <c r="CE129">
        <v>0</v>
      </c>
      <c r="CF129">
        <v>0</v>
      </c>
      <c r="CG129">
        <v>0</v>
      </c>
      <c r="CH129">
        <v>0</v>
      </c>
      <c r="CI129">
        <v>0</v>
      </c>
      <c r="CJ129">
        <v>0</v>
      </c>
      <c r="CK129">
        <v>0</v>
      </c>
      <c r="CL129">
        <v>0</v>
      </c>
      <c r="CM129">
        <v>0</v>
      </c>
      <c r="CN129">
        <v>0</v>
      </c>
      <c r="CO129">
        <v>0</v>
      </c>
      <c r="CP129">
        <v>0</v>
      </c>
      <c r="CQ129">
        <v>0</v>
      </c>
      <c r="CR129">
        <v>0</v>
      </c>
      <c r="CS129">
        <v>0</v>
      </c>
      <c r="CT129">
        <v>0</v>
      </c>
      <c r="CU129">
        <v>67</v>
      </c>
      <c r="CV129">
        <v>67</v>
      </c>
      <c r="CW129">
        <v>0</v>
      </c>
      <c r="CX129">
        <v>0</v>
      </c>
      <c r="CY129">
        <v>0</v>
      </c>
      <c r="CZ129">
        <v>0</v>
      </c>
      <c r="DA129">
        <v>0</v>
      </c>
      <c r="DB129">
        <v>0</v>
      </c>
      <c r="DC129">
        <v>68</v>
      </c>
      <c r="DD129">
        <v>0</v>
      </c>
      <c r="DE129">
        <v>8</v>
      </c>
      <c r="DF129">
        <v>40</v>
      </c>
      <c r="DG129">
        <v>0</v>
      </c>
      <c r="DH129">
        <v>68</v>
      </c>
      <c r="DI129">
        <v>0</v>
      </c>
      <c r="DJ129">
        <v>1149</v>
      </c>
      <c r="DK129">
        <v>-31</v>
      </c>
      <c r="DL129">
        <v>-12</v>
      </c>
      <c r="DM129">
        <v>0</v>
      </c>
      <c r="DN129">
        <v>1637</v>
      </c>
      <c r="DO129">
        <v>0</v>
      </c>
      <c r="DP129">
        <v>2811</v>
      </c>
      <c r="DQ129">
        <v>0</v>
      </c>
      <c r="DR129">
        <v>0</v>
      </c>
      <c r="DS129">
        <v>0</v>
      </c>
      <c r="DT129">
        <v>875</v>
      </c>
      <c r="DU129">
        <v>0</v>
      </c>
      <c r="DV129">
        <v>0</v>
      </c>
      <c r="DW129">
        <v>0</v>
      </c>
      <c r="DX129">
        <v>3802</v>
      </c>
      <c r="DY129">
        <v>0</v>
      </c>
      <c r="DZ129">
        <v>0</v>
      </c>
      <c r="EA129">
        <v>0</v>
      </c>
      <c r="EB129">
        <v>0</v>
      </c>
      <c r="EC129">
        <v>0</v>
      </c>
      <c r="ED129">
        <v>0</v>
      </c>
      <c r="EE129">
        <v>0</v>
      </c>
      <c r="EF129">
        <v>0</v>
      </c>
      <c r="EG129">
        <v>0</v>
      </c>
      <c r="EH129">
        <v>0</v>
      </c>
      <c r="EI129">
        <v>0</v>
      </c>
      <c r="EJ129">
        <v>0</v>
      </c>
      <c r="EK129">
        <v>0</v>
      </c>
      <c r="EL129">
        <v>0</v>
      </c>
      <c r="EM129">
        <v>0</v>
      </c>
      <c r="EN129">
        <v>0</v>
      </c>
      <c r="EO129">
        <v>0</v>
      </c>
      <c r="EP129">
        <v>0</v>
      </c>
      <c r="EQ129">
        <v>0</v>
      </c>
      <c r="ER129">
        <v>0</v>
      </c>
      <c r="ES129">
        <v>0</v>
      </c>
      <c r="ET129">
        <v>0</v>
      </c>
      <c r="EU129">
        <v>0</v>
      </c>
      <c r="EV129">
        <v>0</v>
      </c>
      <c r="EW129">
        <v>0</v>
      </c>
      <c r="EX129">
        <v>216</v>
      </c>
      <c r="EY129">
        <v>476</v>
      </c>
      <c r="EZ129">
        <v>400</v>
      </c>
      <c r="FA129">
        <v>0</v>
      </c>
      <c r="FB129">
        <v>127</v>
      </c>
      <c r="FC129">
        <v>-234</v>
      </c>
      <c r="FD129">
        <v>1801</v>
      </c>
      <c r="FE129">
        <v>21</v>
      </c>
      <c r="FF129">
        <v>0</v>
      </c>
      <c r="FG129">
        <v>0</v>
      </c>
      <c r="FH129">
        <v>2807</v>
      </c>
      <c r="FI129">
        <v>-170</v>
      </c>
      <c r="FJ129">
        <v>0</v>
      </c>
      <c r="FK129">
        <v>0</v>
      </c>
      <c r="FL129">
        <v>0</v>
      </c>
      <c r="FM129">
        <v>360</v>
      </c>
      <c r="FN129">
        <v>0</v>
      </c>
      <c r="FO129">
        <v>0</v>
      </c>
      <c r="FP129">
        <v>0</v>
      </c>
      <c r="FQ129">
        <v>0</v>
      </c>
      <c r="FR129">
        <v>-5</v>
      </c>
      <c r="FS129">
        <v>0</v>
      </c>
      <c r="FT129">
        <v>47</v>
      </c>
      <c r="FU129">
        <v>-243</v>
      </c>
      <c r="FV129">
        <v>0</v>
      </c>
      <c r="FW129">
        <v>114</v>
      </c>
      <c r="FX129">
        <v>34</v>
      </c>
      <c r="FY129">
        <v>0</v>
      </c>
      <c r="FZ129">
        <v>82</v>
      </c>
      <c r="GA129">
        <v>0</v>
      </c>
      <c r="GB129">
        <v>0</v>
      </c>
      <c r="GC129">
        <v>0</v>
      </c>
      <c r="GD129">
        <v>893</v>
      </c>
      <c r="GE129">
        <v>1634</v>
      </c>
      <c r="GF129">
        <v>46</v>
      </c>
      <c r="GG129">
        <v>-17</v>
      </c>
      <c r="GH129">
        <v>0</v>
      </c>
      <c r="GI129">
        <v>0</v>
      </c>
      <c r="GJ129">
        <v>0</v>
      </c>
      <c r="GK129">
        <v>2775</v>
      </c>
      <c r="GL129">
        <v>240</v>
      </c>
      <c r="GM129">
        <v>663</v>
      </c>
      <c r="GN129">
        <v>0</v>
      </c>
      <c r="GO129">
        <v>397</v>
      </c>
      <c r="GP129">
        <v>0</v>
      </c>
      <c r="GQ129">
        <v>-18</v>
      </c>
      <c r="GR129">
        <v>0</v>
      </c>
      <c r="GS129">
        <v>0</v>
      </c>
      <c r="GT129">
        <v>0</v>
      </c>
      <c r="GU129">
        <v>1282</v>
      </c>
      <c r="GV129">
        <v>6864</v>
      </c>
      <c r="GW129">
        <v>0</v>
      </c>
      <c r="GX129">
        <v>0</v>
      </c>
      <c r="GY129">
        <v>0</v>
      </c>
      <c r="GZ129">
        <v>0</v>
      </c>
      <c r="HA129">
        <v>0</v>
      </c>
      <c r="HB129">
        <v>1070</v>
      </c>
      <c r="HC129">
        <v>345</v>
      </c>
      <c r="HD129">
        <v>0</v>
      </c>
      <c r="HE129">
        <v>0</v>
      </c>
      <c r="HF129">
        <v>278</v>
      </c>
      <c r="HG129">
        <v>66</v>
      </c>
      <c r="HH129">
        <v>0</v>
      </c>
      <c r="HI129">
        <v>0</v>
      </c>
      <c r="HJ129">
        <v>64</v>
      </c>
      <c r="HK129">
        <v>42</v>
      </c>
      <c r="HL129">
        <v>0</v>
      </c>
      <c r="HM129">
        <v>-11</v>
      </c>
      <c r="HN129">
        <v>0</v>
      </c>
      <c r="HO129">
        <v>253</v>
      </c>
      <c r="HP129">
        <v>0</v>
      </c>
      <c r="HQ129">
        <v>0</v>
      </c>
      <c r="HR129">
        <v>1647</v>
      </c>
      <c r="HS129">
        <v>0</v>
      </c>
      <c r="HT129">
        <v>0</v>
      </c>
      <c r="HU129">
        <v>-7</v>
      </c>
      <c r="HV129">
        <v>3747</v>
      </c>
      <c r="HW129">
        <v>0</v>
      </c>
      <c r="HX129">
        <v>4922</v>
      </c>
      <c r="HY129">
        <v>0</v>
      </c>
      <c r="HZ129">
        <v>0</v>
      </c>
      <c r="IA129">
        <v>1463</v>
      </c>
      <c r="IB129">
        <v>-106</v>
      </c>
      <c r="IC129">
        <v>0</v>
      </c>
      <c r="ID129">
        <v>-1072</v>
      </c>
      <c r="IE129">
        <v>0</v>
      </c>
      <c r="IF129">
        <v>719</v>
      </c>
      <c r="IG129">
        <v>67</v>
      </c>
      <c r="IH129">
        <v>3802</v>
      </c>
      <c r="II129">
        <v>2807</v>
      </c>
      <c r="IJ129">
        <v>2775</v>
      </c>
      <c r="IK129">
        <v>1282</v>
      </c>
      <c r="IL129">
        <v>0</v>
      </c>
      <c r="IM129">
        <v>0</v>
      </c>
      <c r="IN129">
        <v>3747</v>
      </c>
      <c r="IO129">
        <v>-106</v>
      </c>
      <c r="IP129">
        <v>14021</v>
      </c>
      <c r="IQ129">
        <v>15073</v>
      </c>
      <c r="IR129">
        <v>890</v>
      </c>
      <c r="IS129">
        <v>0</v>
      </c>
      <c r="IT129">
        <v>0</v>
      </c>
      <c r="IU129">
        <v>0</v>
      </c>
      <c r="IV129">
        <v>0</v>
      </c>
      <c r="IW129">
        <v>0</v>
      </c>
      <c r="IX129">
        <v>0</v>
      </c>
      <c r="IY129">
        <v>0</v>
      </c>
      <c r="IZ129">
        <v>0</v>
      </c>
      <c r="JA129">
        <v>-5524</v>
      </c>
      <c r="JB129">
        <v>0</v>
      </c>
      <c r="JC129">
        <v>0</v>
      </c>
      <c r="JD129">
        <v>0</v>
      </c>
      <c r="JE129">
        <v>0</v>
      </c>
      <c r="JF129">
        <v>0</v>
      </c>
      <c r="JG129">
        <v>24460</v>
      </c>
      <c r="JH129">
        <v>0</v>
      </c>
      <c r="JI129">
        <v>398</v>
      </c>
      <c r="JJ129">
        <v>0</v>
      </c>
      <c r="JK129">
        <v>0</v>
      </c>
      <c r="JL129">
        <v>0</v>
      </c>
      <c r="JM129">
        <v>97</v>
      </c>
      <c r="JN129">
        <v>1003</v>
      </c>
      <c r="JO129">
        <v>0</v>
      </c>
      <c r="JP129">
        <v>1625</v>
      </c>
      <c r="JQ129">
        <v>0</v>
      </c>
      <c r="JR129">
        <v>27583</v>
      </c>
      <c r="JS129">
        <v>-2488</v>
      </c>
      <c r="JT129">
        <v>0</v>
      </c>
      <c r="JU129">
        <v>0</v>
      </c>
      <c r="JV129">
        <v>0</v>
      </c>
      <c r="JW129">
        <v>-15964</v>
      </c>
      <c r="JX129">
        <v>0</v>
      </c>
      <c r="JY129">
        <v>-2084</v>
      </c>
      <c r="JZ129">
        <v>0</v>
      </c>
      <c r="KA129">
        <v>0</v>
      </c>
      <c r="KB129">
        <v>0</v>
      </c>
      <c r="KC129">
        <v>7047</v>
      </c>
      <c r="KD129">
        <v>0</v>
      </c>
      <c r="KE129">
        <v>-2690</v>
      </c>
      <c r="KF129">
        <v>4357</v>
      </c>
      <c r="KG129">
        <v>0</v>
      </c>
      <c r="KH129">
        <v>0</v>
      </c>
      <c r="KI129">
        <v>0</v>
      </c>
      <c r="KJ129">
        <v>0</v>
      </c>
      <c r="KK129">
        <v>-996</v>
      </c>
      <c r="KL129">
        <v>-530</v>
      </c>
      <c r="KM129">
        <v>0</v>
      </c>
      <c r="KN129">
        <v>0</v>
      </c>
      <c r="KO129">
        <v>-1350</v>
      </c>
      <c r="KP129">
        <v>6</v>
      </c>
      <c r="KQ129">
        <v>11576</v>
      </c>
      <c r="KR129">
        <v>6904</v>
      </c>
      <c r="KS129">
        <v>0</v>
      </c>
      <c r="KT129">
        <v>0</v>
      </c>
      <c r="KU129">
        <v>0</v>
      </c>
      <c r="KV129">
        <v>33571</v>
      </c>
      <c r="KW129">
        <v>3383</v>
      </c>
      <c r="KX129">
        <v>0</v>
      </c>
      <c r="KY129">
        <v>0</v>
      </c>
      <c r="KZ129">
        <v>0</v>
      </c>
      <c r="LA129">
        <v>32575</v>
      </c>
      <c r="LB129">
        <v>2853</v>
      </c>
      <c r="LC129">
        <v>0</v>
      </c>
      <c r="LD129">
        <v>2408</v>
      </c>
      <c r="LE129">
        <v>1139</v>
      </c>
      <c r="LF129">
        <v>-395</v>
      </c>
      <c r="LG129">
        <v>-2763</v>
      </c>
      <c r="LH129">
        <v>1513</v>
      </c>
      <c r="LI129">
        <v>-2409</v>
      </c>
      <c r="LJ129">
        <v>1383</v>
      </c>
      <c r="LK129">
        <v>1671</v>
      </c>
      <c r="LL129">
        <v>3054</v>
      </c>
      <c r="LM129">
        <v>0</v>
      </c>
      <c r="LN129">
        <v>0</v>
      </c>
      <c r="LO129">
        <v>0</v>
      </c>
      <c r="LP129">
        <v>0</v>
      </c>
      <c r="LQ129">
        <v>0</v>
      </c>
      <c r="LR129">
        <v>0</v>
      </c>
      <c r="LS129">
        <v>0</v>
      </c>
      <c r="LT129">
        <v>0</v>
      </c>
      <c r="LU129">
        <v>0</v>
      </c>
      <c r="LV129">
        <v>-1072</v>
      </c>
      <c r="LW129">
        <v>0</v>
      </c>
      <c r="LX129">
        <v>719</v>
      </c>
      <c r="LY129">
        <v>67</v>
      </c>
      <c r="LZ129">
        <v>3802</v>
      </c>
      <c r="MA129">
        <v>2807</v>
      </c>
      <c r="MB129">
        <v>2775</v>
      </c>
      <c r="MC129">
        <v>1282</v>
      </c>
      <c r="MD129">
        <v>0</v>
      </c>
      <c r="ME129">
        <v>0</v>
      </c>
      <c r="MF129">
        <v>3747</v>
      </c>
      <c r="MG129">
        <v>-106</v>
      </c>
      <c r="MH129">
        <v>14021</v>
      </c>
      <c r="MI129">
        <v>0</v>
      </c>
      <c r="MJ129">
        <v>0</v>
      </c>
      <c r="MK129">
        <v>0</v>
      </c>
      <c r="ML129">
        <v>0</v>
      </c>
      <c r="MM129">
        <v>0</v>
      </c>
      <c r="MN129">
        <v>0</v>
      </c>
      <c r="MO129">
        <v>0</v>
      </c>
      <c r="MP129">
        <v>0</v>
      </c>
      <c r="MQ129">
        <v>0</v>
      </c>
      <c r="MR129">
        <v>0</v>
      </c>
      <c r="MS129">
        <v>0</v>
      </c>
      <c r="MT129">
        <v>0</v>
      </c>
      <c r="MU129">
        <v>0</v>
      </c>
      <c r="MV129">
        <v>0</v>
      </c>
      <c r="MW129">
        <v>-587</v>
      </c>
      <c r="MX129">
        <v>-1556</v>
      </c>
      <c r="MY129">
        <v>-3381</v>
      </c>
      <c r="MZ129">
        <v>0</v>
      </c>
      <c r="NA129">
        <v>-5524</v>
      </c>
      <c r="NB129">
        <v>0</v>
      </c>
      <c r="NC129">
        <v>-5524</v>
      </c>
      <c r="ND129">
        <v>0</v>
      </c>
      <c r="NE129">
        <v>0</v>
      </c>
      <c r="NF129">
        <v>0</v>
      </c>
      <c r="NG129">
        <v>0</v>
      </c>
      <c r="NH129">
        <v>0</v>
      </c>
      <c r="NI129">
        <v>0</v>
      </c>
      <c r="NJ129">
        <v>0</v>
      </c>
      <c r="NK129">
        <v>0</v>
      </c>
      <c r="NL129">
        <v>0</v>
      </c>
      <c r="NM129">
        <v>0</v>
      </c>
      <c r="NN129">
        <v>0</v>
      </c>
      <c r="NO129">
        <v>0</v>
      </c>
      <c r="NP129">
        <v>0</v>
      </c>
      <c r="NQ129">
        <v>0</v>
      </c>
      <c r="NR129">
        <v>0</v>
      </c>
      <c r="NS129">
        <v>0</v>
      </c>
      <c r="NT129">
        <v>0</v>
      </c>
      <c r="NU129">
        <v>0</v>
      </c>
      <c r="NV129">
        <v>0</v>
      </c>
      <c r="NW129">
        <v>0</v>
      </c>
      <c r="NX129">
        <v>0</v>
      </c>
      <c r="NY129">
        <v>0</v>
      </c>
      <c r="NZ129">
        <v>0</v>
      </c>
      <c r="OA129">
        <v>0</v>
      </c>
      <c r="OB129">
        <v>0</v>
      </c>
      <c r="OC129">
        <v>0</v>
      </c>
      <c r="OD129">
        <v>0</v>
      </c>
      <c r="OE129">
        <v>0</v>
      </c>
      <c r="OF129">
        <v>0</v>
      </c>
      <c r="OG129">
        <v>0</v>
      </c>
      <c r="OH129">
        <v>0</v>
      </c>
      <c r="OI129">
        <v>0</v>
      </c>
      <c r="OJ129">
        <v>0</v>
      </c>
      <c r="OK129">
        <v>0</v>
      </c>
      <c r="OL129">
        <v>0</v>
      </c>
      <c r="OM129">
        <v>0</v>
      </c>
      <c r="ON129">
        <v>0</v>
      </c>
    </row>
    <row r="130" spans="1:404" x14ac:dyDescent="0.25">
      <c r="A130" t="s">
        <v>454</v>
      </c>
      <c r="B130" t="s">
        <v>455</v>
      </c>
      <c r="C130" t="s">
        <v>453</v>
      </c>
      <c r="E130" t="s">
        <v>61</v>
      </c>
      <c r="F130">
        <v>0</v>
      </c>
      <c r="G130">
        <v>0</v>
      </c>
      <c r="H130">
        <v>0</v>
      </c>
      <c r="I130">
        <v>0</v>
      </c>
      <c r="J130">
        <v>0</v>
      </c>
      <c r="K130">
        <v>0</v>
      </c>
      <c r="L130">
        <v>0</v>
      </c>
      <c r="M130">
        <v>0</v>
      </c>
      <c r="N130">
        <v>0</v>
      </c>
      <c r="O130">
        <v>0</v>
      </c>
      <c r="P130">
        <v>0</v>
      </c>
      <c r="Q130">
        <v>0</v>
      </c>
      <c r="R130">
        <v>0</v>
      </c>
      <c r="S130">
        <v>49</v>
      </c>
      <c r="T130">
        <v>0</v>
      </c>
      <c r="U130">
        <v>49</v>
      </c>
      <c r="V130">
        <v>0</v>
      </c>
      <c r="W130">
        <v>0</v>
      </c>
      <c r="X130">
        <v>0</v>
      </c>
      <c r="Y130">
        <v>0</v>
      </c>
      <c r="Z130">
        <v>7</v>
      </c>
      <c r="AA130">
        <v>-157</v>
      </c>
      <c r="AB130">
        <v>0</v>
      </c>
      <c r="AC130">
        <v>0</v>
      </c>
      <c r="AD130">
        <v>0</v>
      </c>
      <c r="AE130">
        <v>0</v>
      </c>
      <c r="AF130">
        <v>0</v>
      </c>
      <c r="AG130">
        <v>0</v>
      </c>
      <c r="AH130">
        <v>0</v>
      </c>
      <c r="AI130">
        <v>-52</v>
      </c>
      <c r="AJ130">
        <v>0</v>
      </c>
      <c r="AK130">
        <v>0</v>
      </c>
      <c r="AL130">
        <v>0</v>
      </c>
      <c r="AM130">
        <v>0</v>
      </c>
      <c r="AN130">
        <v>0</v>
      </c>
      <c r="AO130">
        <v>0</v>
      </c>
      <c r="AP130">
        <v>0</v>
      </c>
      <c r="AQ130">
        <v>0</v>
      </c>
      <c r="AR130">
        <v>8</v>
      </c>
      <c r="AS130">
        <v>0</v>
      </c>
      <c r="AT130">
        <v>0</v>
      </c>
      <c r="AU130">
        <v>0</v>
      </c>
      <c r="AV130">
        <v>0</v>
      </c>
      <c r="AW130">
        <v>0</v>
      </c>
      <c r="AX130">
        <v>0</v>
      </c>
      <c r="AY130">
        <v>0</v>
      </c>
      <c r="AZ130">
        <v>0</v>
      </c>
      <c r="BA130">
        <v>0</v>
      </c>
      <c r="BB130">
        <v>0</v>
      </c>
      <c r="BC130">
        <v>0</v>
      </c>
      <c r="BD130">
        <v>0</v>
      </c>
      <c r="BE130">
        <v>0</v>
      </c>
      <c r="BF130">
        <v>0</v>
      </c>
      <c r="BG130">
        <v>0</v>
      </c>
      <c r="BH130">
        <v>0</v>
      </c>
      <c r="BI130">
        <v>0</v>
      </c>
      <c r="BJ130">
        <v>0</v>
      </c>
      <c r="BK130">
        <v>0</v>
      </c>
      <c r="BL130">
        <v>0</v>
      </c>
      <c r="BM130">
        <v>0</v>
      </c>
      <c r="BN130">
        <v>0</v>
      </c>
      <c r="BO130">
        <v>0</v>
      </c>
      <c r="BP130">
        <v>0</v>
      </c>
      <c r="BQ130">
        <v>0</v>
      </c>
      <c r="BR130">
        <v>0</v>
      </c>
      <c r="BS130">
        <v>0</v>
      </c>
      <c r="BT130">
        <v>0</v>
      </c>
      <c r="BU130">
        <v>0</v>
      </c>
      <c r="BV130">
        <v>0</v>
      </c>
      <c r="BW130">
        <v>0</v>
      </c>
      <c r="BX130">
        <v>0</v>
      </c>
      <c r="BY130">
        <v>0</v>
      </c>
      <c r="BZ130">
        <v>0</v>
      </c>
      <c r="CA130">
        <v>0</v>
      </c>
      <c r="CB130">
        <v>0</v>
      </c>
      <c r="CC130">
        <v>0</v>
      </c>
      <c r="CD130">
        <v>0</v>
      </c>
      <c r="CE130">
        <v>0</v>
      </c>
      <c r="CF130">
        <v>0</v>
      </c>
      <c r="CG130">
        <v>0</v>
      </c>
      <c r="CH130">
        <v>0</v>
      </c>
      <c r="CI130">
        <v>0</v>
      </c>
      <c r="CJ130">
        <v>0</v>
      </c>
      <c r="CK130">
        <v>0</v>
      </c>
      <c r="CL130">
        <v>0</v>
      </c>
      <c r="CM130">
        <v>0</v>
      </c>
      <c r="CN130">
        <v>0</v>
      </c>
      <c r="CO130">
        <v>0</v>
      </c>
      <c r="CP130">
        <v>0</v>
      </c>
      <c r="CQ130">
        <v>0</v>
      </c>
      <c r="CR130">
        <v>0</v>
      </c>
      <c r="CS130">
        <v>0</v>
      </c>
      <c r="CT130">
        <v>0</v>
      </c>
      <c r="CU130">
        <v>0</v>
      </c>
      <c r="CV130">
        <v>0</v>
      </c>
      <c r="CW130">
        <v>0</v>
      </c>
      <c r="CX130">
        <v>0</v>
      </c>
      <c r="CY130">
        <v>0</v>
      </c>
      <c r="CZ130">
        <v>0</v>
      </c>
      <c r="DA130">
        <v>0</v>
      </c>
      <c r="DB130">
        <v>0</v>
      </c>
      <c r="DC130">
        <v>172</v>
      </c>
      <c r="DD130">
        <v>0</v>
      </c>
      <c r="DE130">
        <v>44</v>
      </c>
      <c r="DF130">
        <v>0</v>
      </c>
      <c r="DG130">
        <v>0</v>
      </c>
      <c r="DH130">
        <v>11</v>
      </c>
      <c r="DI130">
        <v>0</v>
      </c>
      <c r="DJ130">
        <v>68</v>
      </c>
      <c r="DK130">
        <v>51</v>
      </c>
      <c r="DL130">
        <v>0</v>
      </c>
      <c r="DM130">
        <v>262</v>
      </c>
      <c r="DN130">
        <v>93</v>
      </c>
      <c r="DO130">
        <v>0</v>
      </c>
      <c r="DP130">
        <v>485</v>
      </c>
      <c r="DQ130">
        <v>0</v>
      </c>
      <c r="DR130">
        <v>164</v>
      </c>
      <c r="DS130">
        <v>0</v>
      </c>
      <c r="DT130">
        <v>532</v>
      </c>
      <c r="DU130">
        <v>0</v>
      </c>
      <c r="DV130">
        <v>-13</v>
      </c>
      <c r="DW130">
        <v>0</v>
      </c>
      <c r="DX130">
        <v>1384</v>
      </c>
      <c r="DY130">
        <v>0</v>
      </c>
      <c r="DZ130">
        <v>0</v>
      </c>
      <c r="EA130">
        <v>0</v>
      </c>
      <c r="EB130">
        <v>0</v>
      </c>
      <c r="EC130">
        <v>0</v>
      </c>
      <c r="ED130">
        <v>0</v>
      </c>
      <c r="EE130">
        <v>0</v>
      </c>
      <c r="EF130">
        <v>0</v>
      </c>
      <c r="EG130">
        <v>0</v>
      </c>
      <c r="EH130">
        <v>0</v>
      </c>
      <c r="EI130">
        <v>0</v>
      </c>
      <c r="EJ130">
        <v>0</v>
      </c>
      <c r="EK130">
        <v>0</v>
      </c>
      <c r="EL130">
        <v>0</v>
      </c>
      <c r="EM130">
        <v>0</v>
      </c>
      <c r="EN130">
        <v>0</v>
      </c>
      <c r="EO130">
        <v>0</v>
      </c>
      <c r="EP130">
        <v>0</v>
      </c>
      <c r="EQ130">
        <v>0</v>
      </c>
      <c r="ER130">
        <v>0</v>
      </c>
      <c r="ES130">
        <v>0</v>
      </c>
      <c r="ET130">
        <v>0</v>
      </c>
      <c r="EU130">
        <v>0</v>
      </c>
      <c r="EV130">
        <v>40</v>
      </c>
      <c r="EW130">
        <v>0</v>
      </c>
      <c r="EX130">
        <v>249</v>
      </c>
      <c r="EY130">
        <v>28</v>
      </c>
      <c r="EZ130">
        <v>0</v>
      </c>
      <c r="FA130">
        <v>0</v>
      </c>
      <c r="FB130">
        <v>148</v>
      </c>
      <c r="FC130">
        <v>532</v>
      </c>
      <c r="FD130">
        <v>1947</v>
      </c>
      <c r="FE130">
        <v>32</v>
      </c>
      <c r="FF130">
        <v>0</v>
      </c>
      <c r="FG130">
        <v>0</v>
      </c>
      <c r="FH130">
        <v>2976</v>
      </c>
      <c r="FI130">
        <v>-391</v>
      </c>
      <c r="FJ130">
        <v>0</v>
      </c>
      <c r="FK130">
        <v>0</v>
      </c>
      <c r="FL130">
        <v>222</v>
      </c>
      <c r="FM130">
        <v>297</v>
      </c>
      <c r="FN130">
        <v>163</v>
      </c>
      <c r="FO130">
        <v>52</v>
      </c>
      <c r="FP130">
        <v>0</v>
      </c>
      <c r="FQ130">
        <v>0</v>
      </c>
      <c r="FR130">
        <v>0</v>
      </c>
      <c r="FS130">
        <v>89</v>
      </c>
      <c r="FT130">
        <v>73</v>
      </c>
      <c r="FU130">
        <v>120</v>
      </c>
      <c r="FV130">
        <v>0</v>
      </c>
      <c r="FW130">
        <v>363</v>
      </c>
      <c r="FX130">
        <v>65</v>
      </c>
      <c r="FY130">
        <v>0</v>
      </c>
      <c r="FZ130">
        <v>22</v>
      </c>
      <c r="GA130">
        <v>0</v>
      </c>
      <c r="GB130">
        <v>0</v>
      </c>
      <c r="GC130">
        <v>0</v>
      </c>
      <c r="GD130">
        <v>912</v>
      </c>
      <c r="GE130">
        <v>1526</v>
      </c>
      <c r="GF130">
        <v>0</v>
      </c>
      <c r="GG130">
        <v>24</v>
      </c>
      <c r="GH130">
        <v>521</v>
      </c>
      <c r="GI130">
        <v>0</v>
      </c>
      <c r="GJ130">
        <v>0</v>
      </c>
      <c r="GK130">
        <v>4058</v>
      </c>
      <c r="GL130">
        <v>-15</v>
      </c>
      <c r="GM130">
        <v>242</v>
      </c>
      <c r="GN130">
        <v>0</v>
      </c>
      <c r="GO130">
        <v>505</v>
      </c>
      <c r="GP130">
        <v>24</v>
      </c>
      <c r="GQ130">
        <v>287</v>
      </c>
      <c r="GR130">
        <v>0</v>
      </c>
      <c r="GS130">
        <v>8</v>
      </c>
      <c r="GT130">
        <v>169</v>
      </c>
      <c r="GU130">
        <v>1220</v>
      </c>
      <c r="GV130">
        <v>8254</v>
      </c>
      <c r="GW130">
        <v>0</v>
      </c>
      <c r="GX130">
        <v>0</v>
      </c>
      <c r="GY130">
        <v>0</v>
      </c>
      <c r="GZ130">
        <v>0</v>
      </c>
      <c r="HA130">
        <v>0</v>
      </c>
      <c r="HB130">
        <v>2064</v>
      </c>
      <c r="HC130">
        <v>911</v>
      </c>
      <c r="HD130">
        <v>0</v>
      </c>
      <c r="HE130">
        <v>317</v>
      </c>
      <c r="HF130">
        <v>408</v>
      </c>
      <c r="HG130">
        <v>15</v>
      </c>
      <c r="HH130">
        <v>0</v>
      </c>
      <c r="HI130">
        <v>0</v>
      </c>
      <c r="HJ130">
        <v>133</v>
      </c>
      <c r="HK130">
        <v>40</v>
      </c>
      <c r="HL130">
        <v>31</v>
      </c>
      <c r="HM130">
        <v>-42</v>
      </c>
      <c r="HN130">
        <v>0</v>
      </c>
      <c r="HO130">
        <v>62</v>
      </c>
      <c r="HP130">
        <v>0</v>
      </c>
      <c r="HQ130">
        <v>0</v>
      </c>
      <c r="HR130">
        <v>75</v>
      </c>
      <c r="HS130">
        <v>0</v>
      </c>
      <c r="HT130">
        <v>0</v>
      </c>
      <c r="HU130">
        <v>-138</v>
      </c>
      <c r="HV130">
        <v>3876</v>
      </c>
      <c r="HW130">
        <v>2775</v>
      </c>
      <c r="HX130">
        <v>2843</v>
      </c>
      <c r="HY130">
        <v>0</v>
      </c>
      <c r="HZ130">
        <v>0</v>
      </c>
      <c r="IA130">
        <v>0</v>
      </c>
      <c r="IB130">
        <v>0</v>
      </c>
      <c r="IC130">
        <v>0</v>
      </c>
      <c r="ID130">
        <v>-52</v>
      </c>
      <c r="IE130">
        <v>0</v>
      </c>
      <c r="IF130">
        <v>0</v>
      </c>
      <c r="IG130">
        <v>0</v>
      </c>
      <c r="IH130">
        <v>1384</v>
      </c>
      <c r="II130">
        <v>2976</v>
      </c>
      <c r="IJ130">
        <v>4058</v>
      </c>
      <c r="IK130">
        <v>1220</v>
      </c>
      <c r="IL130">
        <v>0</v>
      </c>
      <c r="IM130">
        <v>0</v>
      </c>
      <c r="IN130">
        <v>3876</v>
      </c>
      <c r="IO130">
        <v>0</v>
      </c>
      <c r="IP130">
        <v>13462</v>
      </c>
      <c r="IQ130">
        <v>19430</v>
      </c>
      <c r="IR130">
        <v>79</v>
      </c>
      <c r="IS130">
        <v>0</v>
      </c>
      <c r="IT130">
        <v>0</v>
      </c>
      <c r="IU130">
        <v>0</v>
      </c>
      <c r="IV130">
        <v>414</v>
      </c>
      <c r="IW130">
        <v>0</v>
      </c>
      <c r="IX130">
        <v>0</v>
      </c>
      <c r="IY130">
        <v>0</v>
      </c>
      <c r="IZ130">
        <v>0</v>
      </c>
      <c r="JA130">
        <v>0</v>
      </c>
      <c r="JB130">
        <v>0</v>
      </c>
      <c r="JC130">
        <v>0</v>
      </c>
      <c r="JD130">
        <v>0</v>
      </c>
      <c r="JE130">
        <v>-7</v>
      </c>
      <c r="JF130">
        <v>0</v>
      </c>
      <c r="JG130">
        <v>33378</v>
      </c>
      <c r="JH130">
        <v>0</v>
      </c>
      <c r="JI130">
        <v>23</v>
      </c>
      <c r="JJ130">
        <v>0</v>
      </c>
      <c r="JK130">
        <v>0</v>
      </c>
      <c r="JL130">
        <v>0</v>
      </c>
      <c r="JM130">
        <v>113</v>
      </c>
      <c r="JN130">
        <v>0</v>
      </c>
      <c r="JO130">
        <v>0</v>
      </c>
      <c r="JP130">
        <v>0</v>
      </c>
      <c r="JQ130">
        <v>0</v>
      </c>
      <c r="JR130">
        <v>33514</v>
      </c>
      <c r="JS130">
        <v>-114</v>
      </c>
      <c r="JT130">
        <v>0</v>
      </c>
      <c r="JU130">
        <v>0</v>
      </c>
      <c r="JV130">
        <v>0</v>
      </c>
      <c r="JW130">
        <v>-19389</v>
      </c>
      <c r="JX130">
        <v>0</v>
      </c>
      <c r="JY130">
        <v>0</v>
      </c>
      <c r="JZ130">
        <v>0</v>
      </c>
      <c r="KA130">
        <v>0</v>
      </c>
      <c r="KB130">
        <v>0</v>
      </c>
      <c r="KC130">
        <v>14011</v>
      </c>
      <c r="KD130">
        <v>0</v>
      </c>
      <c r="KE130">
        <v>-1363</v>
      </c>
      <c r="KF130">
        <v>12648</v>
      </c>
      <c r="KG130">
        <v>0</v>
      </c>
      <c r="KH130">
        <v>0</v>
      </c>
      <c r="KI130">
        <v>0</v>
      </c>
      <c r="KJ130">
        <v>0</v>
      </c>
      <c r="KK130">
        <v>-197</v>
      </c>
      <c r="KL130">
        <v>-553</v>
      </c>
      <c r="KM130">
        <v>-106</v>
      </c>
      <c r="KN130">
        <v>0</v>
      </c>
      <c r="KO130">
        <v>-1918</v>
      </c>
      <c r="KP130">
        <v>-77</v>
      </c>
      <c r="KQ130">
        <v>38</v>
      </c>
      <c r="KR130">
        <v>7041</v>
      </c>
      <c r="KS130">
        <v>0</v>
      </c>
      <c r="KT130">
        <v>0</v>
      </c>
      <c r="KU130">
        <v>0</v>
      </c>
      <c r="KV130">
        <v>5904</v>
      </c>
      <c r="KW130">
        <v>5502</v>
      </c>
      <c r="KX130">
        <v>0</v>
      </c>
      <c r="KY130">
        <v>0</v>
      </c>
      <c r="KZ130">
        <v>0</v>
      </c>
      <c r="LA130">
        <v>5707</v>
      </c>
      <c r="LB130">
        <v>4949</v>
      </c>
      <c r="LC130">
        <v>0</v>
      </c>
      <c r="LD130">
        <v>1265</v>
      </c>
      <c r="LE130">
        <v>0</v>
      </c>
      <c r="LF130">
        <v>-204</v>
      </c>
      <c r="LG130">
        <v>0</v>
      </c>
      <c r="LH130">
        <v>0</v>
      </c>
      <c r="LI130">
        <v>459</v>
      </c>
      <c r="LJ130">
        <v>3227</v>
      </c>
      <c r="LK130">
        <v>4281</v>
      </c>
      <c r="LL130">
        <v>7508</v>
      </c>
      <c r="LM130">
        <v>0</v>
      </c>
      <c r="LN130">
        <v>0</v>
      </c>
      <c r="LO130">
        <v>0</v>
      </c>
      <c r="LP130">
        <v>0</v>
      </c>
      <c r="LQ130">
        <v>0</v>
      </c>
      <c r="LR130">
        <v>0</v>
      </c>
      <c r="LS130">
        <v>0</v>
      </c>
      <c r="LT130">
        <v>0</v>
      </c>
      <c r="LU130">
        <v>0</v>
      </c>
      <c r="LV130">
        <v>-52</v>
      </c>
      <c r="LW130">
        <v>0</v>
      </c>
      <c r="LX130">
        <v>0</v>
      </c>
      <c r="LY130">
        <v>0</v>
      </c>
      <c r="LZ130">
        <v>1384</v>
      </c>
      <c r="MA130">
        <v>2976</v>
      </c>
      <c r="MB130">
        <v>4058</v>
      </c>
      <c r="MC130">
        <v>1220</v>
      </c>
      <c r="MD130">
        <v>0</v>
      </c>
      <c r="ME130">
        <v>0</v>
      </c>
      <c r="MF130">
        <v>3876</v>
      </c>
      <c r="MG130">
        <v>0</v>
      </c>
      <c r="MH130">
        <v>13462</v>
      </c>
      <c r="MI130">
        <v>0</v>
      </c>
      <c r="MJ130">
        <v>0</v>
      </c>
      <c r="MK130">
        <v>0</v>
      </c>
      <c r="ML130">
        <v>0</v>
      </c>
      <c r="MM130">
        <v>0</v>
      </c>
      <c r="MN130">
        <v>0</v>
      </c>
      <c r="MO130">
        <v>0</v>
      </c>
      <c r="MP130">
        <v>0</v>
      </c>
      <c r="MQ130">
        <v>0</v>
      </c>
      <c r="MR130">
        <v>0</v>
      </c>
      <c r="MS130">
        <v>0</v>
      </c>
      <c r="MT130">
        <v>0</v>
      </c>
      <c r="MU130">
        <v>0</v>
      </c>
      <c r="MV130">
        <v>0</v>
      </c>
      <c r="MW130">
        <v>0</v>
      </c>
      <c r="MX130">
        <v>0</v>
      </c>
      <c r="MY130">
        <v>0</v>
      </c>
      <c r="MZ130">
        <v>0</v>
      </c>
      <c r="NA130">
        <v>0</v>
      </c>
      <c r="NB130">
        <v>0</v>
      </c>
      <c r="NC130">
        <v>0</v>
      </c>
      <c r="ND130">
        <v>0</v>
      </c>
      <c r="NE130">
        <v>0</v>
      </c>
      <c r="NF130">
        <v>0</v>
      </c>
      <c r="NG130">
        <v>0</v>
      </c>
      <c r="NH130">
        <v>0</v>
      </c>
      <c r="NI130">
        <v>0</v>
      </c>
      <c r="NJ130">
        <v>0</v>
      </c>
      <c r="NK130">
        <v>0</v>
      </c>
      <c r="NL130">
        <v>0</v>
      </c>
      <c r="NM130">
        <v>0</v>
      </c>
      <c r="NN130">
        <v>0</v>
      </c>
      <c r="NO130">
        <v>0</v>
      </c>
      <c r="NP130">
        <v>0</v>
      </c>
      <c r="NQ130">
        <v>0</v>
      </c>
      <c r="NR130">
        <v>0</v>
      </c>
      <c r="NS130">
        <v>0</v>
      </c>
      <c r="NT130">
        <v>0</v>
      </c>
      <c r="NU130">
        <v>0</v>
      </c>
      <c r="NV130">
        <v>0</v>
      </c>
      <c r="NW130">
        <v>0</v>
      </c>
      <c r="NX130">
        <v>0</v>
      </c>
      <c r="NY130">
        <v>0</v>
      </c>
      <c r="NZ130">
        <v>0</v>
      </c>
      <c r="OA130">
        <v>0</v>
      </c>
      <c r="OB130">
        <v>0</v>
      </c>
      <c r="OC130">
        <v>0</v>
      </c>
      <c r="OD130">
        <v>0</v>
      </c>
      <c r="OE130">
        <v>0</v>
      </c>
      <c r="OF130">
        <v>0</v>
      </c>
      <c r="OG130">
        <v>0</v>
      </c>
      <c r="OH130">
        <v>0</v>
      </c>
      <c r="OI130">
        <v>0</v>
      </c>
      <c r="OJ130">
        <v>0</v>
      </c>
      <c r="OK130">
        <v>0</v>
      </c>
      <c r="OL130">
        <v>0</v>
      </c>
      <c r="OM130">
        <v>0</v>
      </c>
      <c r="ON130">
        <v>0</v>
      </c>
    </row>
    <row r="131" spans="1:404" x14ac:dyDescent="0.25">
      <c r="A131" t="s">
        <v>457</v>
      </c>
      <c r="B131" t="s">
        <v>458</v>
      </c>
      <c r="C131" t="s">
        <v>456</v>
      </c>
      <c r="E131" t="s">
        <v>1942</v>
      </c>
      <c r="F131">
        <v>97454</v>
      </c>
      <c r="G131">
        <v>314056</v>
      </c>
      <c r="H131">
        <v>57996</v>
      </c>
      <c r="I131">
        <v>111400</v>
      </c>
      <c r="J131">
        <v>6516</v>
      </c>
      <c r="K131">
        <v>46668</v>
      </c>
      <c r="L131">
        <v>634090</v>
      </c>
      <c r="M131">
        <v>-1926</v>
      </c>
      <c r="N131">
        <v>6499</v>
      </c>
      <c r="O131">
        <v>17908</v>
      </c>
      <c r="P131">
        <v>1479</v>
      </c>
      <c r="Q131">
        <v>1434</v>
      </c>
      <c r="R131">
        <v>0</v>
      </c>
      <c r="S131">
        <v>14308</v>
      </c>
      <c r="T131">
        <v>3440</v>
      </c>
      <c r="U131">
        <v>6813</v>
      </c>
      <c r="V131">
        <v>0</v>
      </c>
      <c r="W131">
        <v>-1450</v>
      </c>
      <c r="X131">
        <v>5742</v>
      </c>
      <c r="Y131">
        <v>893</v>
      </c>
      <c r="Z131">
        <v>34</v>
      </c>
      <c r="AA131">
        <v>0</v>
      </c>
      <c r="AB131">
        <v>17364</v>
      </c>
      <c r="AC131">
        <v>0</v>
      </c>
      <c r="AD131">
        <v>11278</v>
      </c>
      <c r="AE131">
        <v>0</v>
      </c>
      <c r="AF131">
        <v>0</v>
      </c>
      <c r="AG131">
        <v>4251</v>
      </c>
      <c r="AH131">
        <v>0</v>
      </c>
      <c r="AI131">
        <v>88067</v>
      </c>
      <c r="AJ131">
        <v>0</v>
      </c>
      <c r="AK131">
        <v>0</v>
      </c>
      <c r="AL131">
        <v>0</v>
      </c>
      <c r="AM131">
        <v>0</v>
      </c>
      <c r="AN131">
        <v>-121</v>
      </c>
      <c r="AO131">
        <v>0</v>
      </c>
      <c r="AP131">
        <v>0</v>
      </c>
      <c r="AQ131">
        <v>5648</v>
      </c>
      <c r="AR131">
        <v>0</v>
      </c>
      <c r="AS131">
        <v>0</v>
      </c>
      <c r="AT131">
        <v>0</v>
      </c>
      <c r="AU131">
        <v>0</v>
      </c>
      <c r="AV131">
        <v>0</v>
      </c>
      <c r="AW131">
        <v>77968</v>
      </c>
      <c r="AX131">
        <v>6571</v>
      </c>
      <c r="AY131">
        <v>51580</v>
      </c>
      <c r="AZ131">
        <v>5642</v>
      </c>
      <c r="BA131">
        <v>43065</v>
      </c>
      <c r="BB131">
        <v>5324</v>
      </c>
      <c r="BC131">
        <v>0</v>
      </c>
      <c r="BD131">
        <v>190150</v>
      </c>
      <c r="BE131">
        <v>41412</v>
      </c>
      <c r="BF131">
        <v>81797</v>
      </c>
      <c r="BG131">
        <v>715</v>
      </c>
      <c r="BH131">
        <v>3662</v>
      </c>
      <c r="BI131">
        <v>1747</v>
      </c>
      <c r="BJ131">
        <v>40091</v>
      </c>
      <c r="BK131">
        <v>175490</v>
      </c>
      <c r="BL131">
        <v>25471</v>
      </c>
      <c r="BM131">
        <v>10452</v>
      </c>
      <c r="BN131">
        <v>15788</v>
      </c>
      <c r="BO131">
        <v>118</v>
      </c>
      <c r="BP131">
        <v>3132</v>
      </c>
      <c r="BQ131">
        <v>500</v>
      </c>
      <c r="BR131">
        <v>-14</v>
      </c>
      <c r="BS131">
        <v>11468</v>
      </c>
      <c r="BT131">
        <v>79729</v>
      </c>
      <c r="BU131">
        <v>1903</v>
      </c>
      <c r="BV131">
        <v>52</v>
      </c>
      <c r="BW131">
        <v>551137</v>
      </c>
      <c r="BX131">
        <v>5585</v>
      </c>
      <c r="BY131">
        <v>2053</v>
      </c>
      <c r="BZ131">
        <v>575</v>
      </c>
      <c r="CA131">
        <v>1996</v>
      </c>
      <c r="CB131">
        <v>34</v>
      </c>
      <c r="CC131">
        <v>5</v>
      </c>
      <c r="CD131">
        <v>1892</v>
      </c>
      <c r="CE131">
        <v>989</v>
      </c>
      <c r="CF131">
        <v>330</v>
      </c>
      <c r="CG131">
        <v>57</v>
      </c>
      <c r="CH131">
        <v>11</v>
      </c>
      <c r="CI131">
        <v>4515</v>
      </c>
      <c r="CJ131">
        <v>4698</v>
      </c>
      <c r="CK131">
        <v>2464</v>
      </c>
      <c r="CL131">
        <v>2564</v>
      </c>
      <c r="CM131">
        <v>1005</v>
      </c>
      <c r="CN131">
        <v>557</v>
      </c>
      <c r="CO131">
        <v>157</v>
      </c>
      <c r="CP131">
        <v>4149</v>
      </c>
      <c r="CQ131">
        <v>19167</v>
      </c>
      <c r="CR131">
        <v>652</v>
      </c>
      <c r="CS131">
        <v>0</v>
      </c>
      <c r="CT131">
        <v>502</v>
      </c>
      <c r="CU131">
        <v>12119</v>
      </c>
      <c r="CV131">
        <v>81965</v>
      </c>
      <c r="CW131">
        <v>160</v>
      </c>
      <c r="CX131">
        <v>0</v>
      </c>
      <c r="CY131">
        <v>249</v>
      </c>
      <c r="CZ131">
        <v>0</v>
      </c>
      <c r="DA131">
        <v>2629</v>
      </c>
      <c r="DB131">
        <v>2428</v>
      </c>
      <c r="DC131">
        <v>654</v>
      </c>
      <c r="DD131">
        <v>0</v>
      </c>
      <c r="DE131">
        <v>0</v>
      </c>
      <c r="DF131">
        <v>0</v>
      </c>
      <c r="DG131">
        <v>0</v>
      </c>
      <c r="DH131">
        <v>0</v>
      </c>
      <c r="DI131">
        <v>0</v>
      </c>
      <c r="DJ131">
        <v>0</v>
      </c>
      <c r="DK131">
        <v>0</v>
      </c>
      <c r="DL131">
        <v>0</v>
      </c>
      <c r="DM131">
        <v>0</v>
      </c>
      <c r="DN131">
        <v>0</v>
      </c>
      <c r="DO131">
        <v>0</v>
      </c>
      <c r="DP131">
        <v>0</v>
      </c>
      <c r="DQ131">
        <v>0</v>
      </c>
      <c r="DR131">
        <v>0</v>
      </c>
      <c r="DS131">
        <v>0</v>
      </c>
      <c r="DT131">
        <v>0</v>
      </c>
      <c r="DU131">
        <v>558</v>
      </c>
      <c r="DV131">
        <v>0</v>
      </c>
      <c r="DW131">
        <v>0</v>
      </c>
      <c r="DX131">
        <v>1212</v>
      </c>
      <c r="DY131">
        <v>0</v>
      </c>
      <c r="DZ131">
        <v>0</v>
      </c>
      <c r="EA131">
        <v>0</v>
      </c>
      <c r="EB131">
        <v>0</v>
      </c>
      <c r="EC131">
        <v>0</v>
      </c>
      <c r="ED131">
        <v>0</v>
      </c>
      <c r="EE131">
        <v>0</v>
      </c>
      <c r="EF131">
        <v>0</v>
      </c>
      <c r="EG131">
        <v>0</v>
      </c>
      <c r="EH131">
        <v>0</v>
      </c>
      <c r="EI131">
        <v>0</v>
      </c>
      <c r="EJ131">
        <v>0</v>
      </c>
      <c r="EK131">
        <v>0</v>
      </c>
      <c r="EL131">
        <v>0</v>
      </c>
      <c r="EM131">
        <v>0</v>
      </c>
      <c r="EN131">
        <v>0</v>
      </c>
      <c r="EO131">
        <v>0</v>
      </c>
      <c r="EP131">
        <v>0</v>
      </c>
      <c r="EQ131">
        <v>0</v>
      </c>
      <c r="ER131">
        <v>0</v>
      </c>
      <c r="ES131">
        <v>0</v>
      </c>
      <c r="ET131">
        <v>0</v>
      </c>
      <c r="EU131">
        <v>1054</v>
      </c>
      <c r="EV131">
        <v>122</v>
      </c>
      <c r="EW131">
        <v>72</v>
      </c>
      <c r="EX131">
        <v>459</v>
      </c>
      <c r="EY131">
        <v>0</v>
      </c>
      <c r="EZ131">
        <v>0</v>
      </c>
      <c r="FA131">
        <v>0</v>
      </c>
      <c r="FB131">
        <v>2907</v>
      </c>
      <c r="FC131">
        <v>0</v>
      </c>
      <c r="FD131">
        <v>2268</v>
      </c>
      <c r="FE131">
        <v>0</v>
      </c>
      <c r="FF131">
        <v>536</v>
      </c>
      <c r="FG131">
        <v>22825</v>
      </c>
      <c r="FH131">
        <v>30243</v>
      </c>
      <c r="FI131">
        <v>0</v>
      </c>
      <c r="FJ131">
        <v>1497</v>
      </c>
      <c r="FK131">
        <v>0</v>
      </c>
      <c r="FL131">
        <v>0</v>
      </c>
      <c r="FM131">
        <v>0</v>
      </c>
      <c r="FN131">
        <v>0</v>
      </c>
      <c r="FO131">
        <v>0</v>
      </c>
      <c r="FP131">
        <v>0</v>
      </c>
      <c r="FQ131">
        <v>0</v>
      </c>
      <c r="FR131">
        <v>0</v>
      </c>
      <c r="FS131">
        <v>0</v>
      </c>
      <c r="FT131">
        <v>0</v>
      </c>
      <c r="FU131">
        <v>0</v>
      </c>
      <c r="FV131">
        <v>1884</v>
      </c>
      <c r="FW131">
        <v>0</v>
      </c>
      <c r="FX131">
        <v>0</v>
      </c>
      <c r="FY131">
        <v>0</v>
      </c>
      <c r="FZ131">
        <v>0</v>
      </c>
      <c r="GA131">
        <v>0</v>
      </c>
      <c r="GB131">
        <v>0</v>
      </c>
      <c r="GC131">
        <v>0</v>
      </c>
      <c r="GD131">
        <v>0</v>
      </c>
      <c r="GE131">
        <v>0</v>
      </c>
      <c r="GF131">
        <v>59755</v>
      </c>
      <c r="GG131">
        <v>-2560</v>
      </c>
      <c r="GH131">
        <v>24310</v>
      </c>
      <c r="GI131">
        <v>1065</v>
      </c>
      <c r="GJ131">
        <v>0</v>
      </c>
      <c r="GK131">
        <v>85951</v>
      </c>
      <c r="GL131">
        <v>0</v>
      </c>
      <c r="GM131">
        <v>1699</v>
      </c>
      <c r="GN131">
        <v>63</v>
      </c>
      <c r="GO131">
        <v>777</v>
      </c>
      <c r="GP131">
        <v>1444</v>
      </c>
      <c r="GQ131">
        <v>3387</v>
      </c>
      <c r="GR131">
        <v>0</v>
      </c>
      <c r="GS131">
        <v>16806</v>
      </c>
      <c r="GT131">
        <v>3268</v>
      </c>
      <c r="GU131">
        <v>27444</v>
      </c>
      <c r="GV131">
        <v>143638</v>
      </c>
      <c r="GW131">
        <v>0</v>
      </c>
      <c r="GX131">
        <v>0</v>
      </c>
      <c r="GY131">
        <v>0</v>
      </c>
      <c r="GZ131">
        <v>0</v>
      </c>
      <c r="HA131">
        <v>0</v>
      </c>
      <c r="HB131">
        <v>19138</v>
      </c>
      <c r="HC131">
        <v>0</v>
      </c>
      <c r="HD131">
        <v>0</v>
      </c>
      <c r="HE131">
        <v>0</v>
      </c>
      <c r="HF131">
        <v>0</v>
      </c>
      <c r="HG131">
        <v>0</v>
      </c>
      <c r="HH131">
        <v>0</v>
      </c>
      <c r="HI131">
        <v>-134</v>
      </c>
      <c r="HJ131">
        <v>0</v>
      </c>
      <c r="HK131">
        <v>429</v>
      </c>
      <c r="HL131">
        <v>597</v>
      </c>
      <c r="HM131">
        <v>0</v>
      </c>
      <c r="HN131">
        <v>0</v>
      </c>
      <c r="HO131">
        <v>206</v>
      </c>
      <c r="HP131">
        <v>3907</v>
      </c>
      <c r="HQ131">
        <v>0</v>
      </c>
      <c r="HR131">
        <v>627</v>
      </c>
      <c r="HS131">
        <v>121</v>
      </c>
      <c r="HT131">
        <v>0</v>
      </c>
      <c r="HU131">
        <v>1</v>
      </c>
      <c r="HV131">
        <v>24892</v>
      </c>
      <c r="HW131">
        <v>9571</v>
      </c>
      <c r="HX131">
        <v>96473</v>
      </c>
      <c r="HY131">
        <v>0</v>
      </c>
      <c r="HZ131">
        <v>0</v>
      </c>
      <c r="IA131">
        <v>19906</v>
      </c>
      <c r="IB131">
        <v>0</v>
      </c>
      <c r="IC131">
        <v>634090</v>
      </c>
      <c r="ID131">
        <v>88067</v>
      </c>
      <c r="IE131">
        <v>190150</v>
      </c>
      <c r="IF131">
        <v>551137</v>
      </c>
      <c r="IG131">
        <v>81965</v>
      </c>
      <c r="IH131">
        <v>1212</v>
      </c>
      <c r="II131">
        <v>30243</v>
      </c>
      <c r="IJ131">
        <v>85951</v>
      </c>
      <c r="IK131">
        <v>27444</v>
      </c>
      <c r="IL131">
        <v>0</v>
      </c>
      <c r="IM131">
        <v>0</v>
      </c>
      <c r="IN131">
        <v>24892</v>
      </c>
      <c r="IO131">
        <v>0</v>
      </c>
      <c r="IP131">
        <v>1715151</v>
      </c>
      <c r="IQ131">
        <v>0</v>
      </c>
      <c r="IR131">
        <v>0</v>
      </c>
      <c r="IS131">
        <v>0</v>
      </c>
      <c r="IT131">
        <v>0</v>
      </c>
      <c r="IU131">
        <v>0</v>
      </c>
      <c r="IV131">
        <v>0</v>
      </c>
      <c r="IW131">
        <v>0</v>
      </c>
      <c r="IX131">
        <v>0</v>
      </c>
      <c r="IY131">
        <v>0</v>
      </c>
      <c r="IZ131">
        <v>1678</v>
      </c>
      <c r="JA131">
        <v>0</v>
      </c>
      <c r="JB131">
        <v>-451</v>
      </c>
      <c r="JC131">
        <v>0</v>
      </c>
      <c r="JD131">
        <v>0</v>
      </c>
      <c r="JE131">
        <v>-5157</v>
      </c>
      <c r="JF131">
        <v>0</v>
      </c>
      <c r="JG131">
        <v>1711221</v>
      </c>
      <c r="JH131">
        <v>1761</v>
      </c>
      <c r="JI131">
        <v>8376</v>
      </c>
      <c r="JJ131">
        <v>0</v>
      </c>
      <c r="JK131">
        <v>-1300</v>
      </c>
      <c r="JL131">
        <v>0</v>
      </c>
      <c r="JM131">
        <v>0</v>
      </c>
      <c r="JN131">
        <v>33679</v>
      </c>
      <c r="JO131">
        <v>279</v>
      </c>
      <c r="JP131">
        <v>18803</v>
      </c>
      <c r="JQ131">
        <v>0</v>
      </c>
      <c r="JR131">
        <v>1772819</v>
      </c>
      <c r="JS131">
        <v>-5469</v>
      </c>
      <c r="JT131">
        <v>0</v>
      </c>
      <c r="JU131">
        <v>2696</v>
      </c>
      <c r="JV131">
        <v>0</v>
      </c>
      <c r="JW131">
        <v>-10398</v>
      </c>
      <c r="JX131">
        <v>0</v>
      </c>
      <c r="JY131">
        <v>0</v>
      </c>
      <c r="JZ131">
        <v>0</v>
      </c>
      <c r="KA131">
        <v>0</v>
      </c>
      <c r="KB131">
        <v>0</v>
      </c>
      <c r="KC131">
        <v>1759648</v>
      </c>
      <c r="KD131">
        <v>-1361</v>
      </c>
      <c r="KE131">
        <v>-847631</v>
      </c>
      <c r="KF131">
        <v>910656</v>
      </c>
      <c r="KG131">
        <v>0</v>
      </c>
      <c r="KH131">
        <v>5611</v>
      </c>
      <c r="KI131">
        <v>0</v>
      </c>
      <c r="KJ131">
        <v>3649</v>
      </c>
      <c r="KK131">
        <v>48560</v>
      </c>
      <c r="KL131">
        <v>0</v>
      </c>
      <c r="KM131">
        <v>-18701</v>
      </c>
      <c r="KN131">
        <v>0</v>
      </c>
      <c r="KO131">
        <v>-191567</v>
      </c>
      <c r="KP131">
        <v>345</v>
      </c>
      <c r="KQ131">
        <v>0</v>
      </c>
      <c r="KR131">
        <v>717510</v>
      </c>
      <c r="KS131">
        <v>43601</v>
      </c>
      <c r="KT131">
        <v>0</v>
      </c>
      <c r="KU131">
        <v>4516</v>
      </c>
      <c r="KV131">
        <v>445438</v>
      </c>
      <c r="KW131">
        <v>68096</v>
      </c>
      <c r="KX131">
        <v>49212</v>
      </c>
      <c r="KY131">
        <v>0</v>
      </c>
      <c r="KZ131">
        <v>8165</v>
      </c>
      <c r="LA131">
        <v>493998</v>
      </c>
      <c r="LB131">
        <v>68096</v>
      </c>
      <c r="LC131">
        <v>0</v>
      </c>
      <c r="LD131">
        <v>81534</v>
      </c>
      <c r="LE131">
        <v>6490</v>
      </c>
      <c r="LF131">
        <v>0</v>
      </c>
      <c r="LG131">
        <v>-114192</v>
      </c>
      <c r="LH131">
        <v>49051</v>
      </c>
      <c r="LI131">
        <v>19132</v>
      </c>
      <c r="LJ131">
        <v>0</v>
      </c>
      <c r="LK131">
        <v>0</v>
      </c>
      <c r="LL131">
        <v>0</v>
      </c>
      <c r="LM131">
        <v>0</v>
      </c>
      <c r="LN131">
        <v>0</v>
      </c>
      <c r="LO131">
        <v>0</v>
      </c>
      <c r="LP131">
        <v>0</v>
      </c>
      <c r="LQ131">
        <v>0</v>
      </c>
      <c r="LR131">
        <v>0</v>
      </c>
      <c r="LS131">
        <v>0</v>
      </c>
      <c r="LT131">
        <v>0</v>
      </c>
      <c r="LU131">
        <v>634090</v>
      </c>
      <c r="LV131">
        <v>88067</v>
      </c>
      <c r="LW131">
        <v>190150</v>
      </c>
      <c r="LX131">
        <v>551137</v>
      </c>
      <c r="LY131">
        <v>81965</v>
      </c>
      <c r="LZ131">
        <v>1212</v>
      </c>
      <c r="MA131">
        <v>30243</v>
      </c>
      <c r="MB131">
        <v>85951</v>
      </c>
      <c r="MC131">
        <v>27444</v>
      </c>
      <c r="MD131">
        <v>0</v>
      </c>
      <c r="ME131">
        <v>0</v>
      </c>
      <c r="MF131">
        <v>24892</v>
      </c>
      <c r="MG131">
        <v>0</v>
      </c>
      <c r="MH131">
        <v>1715151</v>
      </c>
      <c r="MI131">
        <v>0</v>
      </c>
      <c r="MJ131">
        <v>0</v>
      </c>
      <c r="MK131">
        <v>0</v>
      </c>
      <c r="ML131">
        <v>0</v>
      </c>
      <c r="MM131">
        <v>0</v>
      </c>
      <c r="MN131">
        <v>0</v>
      </c>
      <c r="MO131">
        <v>0</v>
      </c>
      <c r="MP131">
        <v>0</v>
      </c>
      <c r="MQ131">
        <v>0</v>
      </c>
      <c r="MR131">
        <v>0</v>
      </c>
      <c r="MS131">
        <v>0</v>
      </c>
      <c r="MT131">
        <v>0</v>
      </c>
      <c r="MU131">
        <v>0</v>
      </c>
      <c r="MV131">
        <v>0</v>
      </c>
      <c r="MW131">
        <v>0</v>
      </c>
      <c r="MX131">
        <v>0</v>
      </c>
      <c r="MY131">
        <v>0</v>
      </c>
      <c r="MZ131">
        <v>0</v>
      </c>
      <c r="NA131">
        <v>0</v>
      </c>
      <c r="NB131">
        <v>0</v>
      </c>
      <c r="NC131">
        <v>0</v>
      </c>
      <c r="ND131">
        <v>0</v>
      </c>
      <c r="NE131">
        <v>0</v>
      </c>
      <c r="NF131">
        <v>0</v>
      </c>
      <c r="NG131">
        <v>0</v>
      </c>
      <c r="NH131">
        <v>0</v>
      </c>
      <c r="NI131">
        <v>0</v>
      </c>
      <c r="NJ131">
        <v>0</v>
      </c>
      <c r="NK131">
        <v>0</v>
      </c>
      <c r="NL131">
        <v>0</v>
      </c>
      <c r="NM131">
        <v>0</v>
      </c>
      <c r="NN131">
        <v>0</v>
      </c>
      <c r="NO131">
        <v>0</v>
      </c>
      <c r="NP131">
        <v>0</v>
      </c>
      <c r="NQ131">
        <v>0</v>
      </c>
      <c r="NR131">
        <v>0</v>
      </c>
      <c r="NS131">
        <v>0</v>
      </c>
      <c r="NT131">
        <v>0</v>
      </c>
      <c r="NU131">
        <v>0</v>
      </c>
      <c r="NV131">
        <v>0</v>
      </c>
      <c r="NW131">
        <v>0</v>
      </c>
      <c r="NX131">
        <v>0</v>
      </c>
      <c r="NY131">
        <v>0</v>
      </c>
      <c r="NZ131">
        <v>-451</v>
      </c>
      <c r="OA131">
        <v>0</v>
      </c>
      <c r="OB131">
        <v>-451</v>
      </c>
      <c r="OC131">
        <v>0</v>
      </c>
      <c r="OD131">
        <v>0</v>
      </c>
      <c r="OE131">
        <v>0</v>
      </c>
      <c r="OF131">
        <v>0</v>
      </c>
      <c r="OG131">
        <v>0</v>
      </c>
      <c r="OH131">
        <v>0</v>
      </c>
      <c r="OI131">
        <v>0</v>
      </c>
      <c r="OJ131">
        <v>0</v>
      </c>
      <c r="OK131">
        <v>0</v>
      </c>
      <c r="OL131">
        <v>0</v>
      </c>
      <c r="OM131">
        <v>0</v>
      </c>
      <c r="ON131">
        <v>0</v>
      </c>
    </row>
    <row r="132" spans="1:404" x14ac:dyDescent="0.25">
      <c r="A132" t="s">
        <v>460</v>
      </c>
      <c r="B132" t="s">
        <v>461</v>
      </c>
      <c r="C132" t="s">
        <v>5427</v>
      </c>
      <c r="E132" t="s">
        <v>5408</v>
      </c>
      <c r="F132">
        <v>0</v>
      </c>
      <c r="G132">
        <v>0</v>
      </c>
      <c r="H132">
        <v>0</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0</v>
      </c>
      <c r="AZ132">
        <v>0</v>
      </c>
      <c r="BA132">
        <v>0</v>
      </c>
      <c r="BB132">
        <v>0</v>
      </c>
      <c r="BC132">
        <v>0</v>
      </c>
      <c r="BD132">
        <v>0</v>
      </c>
      <c r="BE132">
        <v>0</v>
      </c>
      <c r="BF132">
        <v>0</v>
      </c>
      <c r="BG132">
        <v>0</v>
      </c>
      <c r="BH132">
        <v>0</v>
      </c>
      <c r="BI132">
        <v>0</v>
      </c>
      <c r="BJ132">
        <v>0</v>
      </c>
      <c r="BK132">
        <v>0</v>
      </c>
      <c r="BL132">
        <v>0</v>
      </c>
      <c r="BM132">
        <v>0</v>
      </c>
      <c r="BN132">
        <v>0</v>
      </c>
      <c r="BO132">
        <v>0</v>
      </c>
      <c r="BP132">
        <v>0</v>
      </c>
      <c r="BQ132">
        <v>0</v>
      </c>
      <c r="BR132">
        <v>0</v>
      </c>
      <c r="BS132">
        <v>0</v>
      </c>
      <c r="BT132">
        <v>0</v>
      </c>
      <c r="BU132">
        <v>0</v>
      </c>
      <c r="BV132">
        <v>0</v>
      </c>
      <c r="BW132">
        <v>0</v>
      </c>
      <c r="BX132">
        <v>0</v>
      </c>
      <c r="BY132">
        <v>0</v>
      </c>
      <c r="BZ132">
        <v>0</v>
      </c>
      <c r="CA132">
        <v>0</v>
      </c>
      <c r="CB132">
        <v>0</v>
      </c>
      <c r="CC132">
        <v>0</v>
      </c>
      <c r="CD132">
        <v>0</v>
      </c>
      <c r="CE132">
        <v>0</v>
      </c>
      <c r="CF132">
        <v>0</v>
      </c>
      <c r="CG132">
        <v>0</v>
      </c>
      <c r="CH132">
        <v>0</v>
      </c>
      <c r="CI132">
        <v>0</v>
      </c>
      <c r="CJ132">
        <v>0</v>
      </c>
      <c r="CK132">
        <v>0</v>
      </c>
      <c r="CL132">
        <v>0</v>
      </c>
      <c r="CM132">
        <v>0</v>
      </c>
      <c r="CN132">
        <v>0</v>
      </c>
      <c r="CO132">
        <v>0</v>
      </c>
      <c r="CP132">
        <v>0</v>
      </c>
      <c r="CQ132">
        <v>0</v>
      </c>
      <c r="CR132">
        <v>0</v>
      </c>
      <c r="CS132">
        <v>0</v>
      </c>
      <c r="CT132">
        <v>0</v>
      </c>
      <c r="CU132">
        <v>0</v>
      </c>
      <c r="CV132">
        <v>0</v>
      </c>
      <c r="CW132">
        <v>0</v>
      </c>
      <c r="CX132">
        <v>0</v>
      </c>
      <c r="CY132">
        <v>0</v>
      </c>
      <c r="CZ132">
        <v>0</v>
      </c>
      <c r="DA132">
        <v>0</v>
      </c>
      <c r="DB132">
        <v>0</v>
      </c>
      <c r="DC132">
        <v>0</v>
      </c>
      <c r="DD132">
        <v>0</v>
      </c>
      <c r="DE132">
        <v>0</v>
      </c>
      <c r="DF132">
        <v>0</v>
      </c>
      <c r="DG132">
        <v>0</v>
      </c>
      <c r="DH132">
        <v>0</v>
      </c>
      <c r="DI132">
        <v>0</v>
      </c>
      <c r="DJ132">
        <v>0</v>
      </c>
      <c r="DK132">
        <v>0</v>
      </c>
      <c r="DL132">
        <v>0</v>
      </c>
      <c r="DM132">
        <v>0</v>
      </c>
      <c r="DN132">
        <v>0</v>
      </c>
      <c r="DO132">
        <v>0</v>
      </c>
      <c r="DP132">
        <v>0</v>
      </c>
      <c r="DQ132">
        <v>0</v>
      </c>
      <c r="DR132">
        <v>0</v>
      </c>
      <c r="DS132">
        <v>0</v>
      </c>
      <c r="DT132">
        <v>0</v>
      </c>
      <c r="DU132">
        <v>0</v>
      </c>
      <c r="DV132">
        <v>0</v>
      </c>
      <c r="DW132">
        <v>0</v>
      </c>
      <c r="DX132">
        <v>0</v>
      </c>
      <c r="DY132">
        <v>0</v>
      </c>
      <c r="DZ132">
        <v>0</v>
      </c>
      <c r="EA132">
        <v>0</v>
      </c>
      <c r="EB132">
        <v>0</v>
      </c>
      <c r="EC132">
        <v>0</v>
      </c>
      <c r="ED132">
        <v>0</v>
      </c>
      <c r="EE132">
        <v>0</v>
      </c>
      <c r="EF132">
        <v>0</v>
      </c>
      <c r="EG132">
        <v>0</v>
      </c>
      <c r="EH132">
        <v>0</v>
      </c>
      <c r="EI132">
        <v>0</v>
      </c>
      <c r="EJ132">
        <v>0</v>
      </c>
      <c r="EK132">
        <v>0</v>
      </c>
      <c r="EL132">
        <v>0</v>
      </c>
      <c r="EM132">
        <v>0</v>
      </c>
      <c r="EN132">
        <v>0</v>
      </c>
      <c r="EO132">
        <v>0</v>
      </c>
      <c r="EP132">
        <v>0</v>
      </c>
      <c r="EQ132">
        <v>0</v>
      </c>
      <c r="ER132">
        <v>0</v>
      </c>
      <c r="ES132">
        <v>0</v>
      </c>
      <c r="ET132">
        <v>0</v>
      </c>
      <c r="EU132">
        <v>0</v>
      </c>
      <c r="EV132">
        <v>0</v>
      </c>
      <c r="EW132">
        <v>0</v>
      </c>
      <c r="EX132">
        <v>0</v>
      </c>
      <c r="EY132">
        <v>0</v>
      </c>
      <c r="EZ132">
        <v>0</v>
      </c>
      <c r="FA132">
        <v>0</v>
      </c>
      <c r="FB132">
        <v>0</v>
      </c>
      <c r="FC132">
        <v>0</v>
      </c>
      <c r="FD132">
        <v>0</v>
      </c>
      <c r="FE132">
        <v>0</v>
      </c>
      <c r="FF132">
        <v>0</v>
      </c>
      <c r="FG132">
        <v>0</v>
      </c>
      <c r="FH132">
        <v>0</v>
      </c>
      <c r="FI132">
        <v>0</v>
      </c>
      <c r="FJ132">
        <v>0</v>
      </c>
      <c r="FK132">
        <v>0</v>
      </c>
      <c r="FL132">
        <v>0</v>
      </c>
      <c r="FM132">
        <v>0</v>
      </c>
      <c r="FN132">
        <v>0</v>
      </c>
      <c r="FO132">
        <v>0</v>
      </c>
      <c r="FP132">
        <v>0</v>
      </c>
      <c r="FQ132">
        <v>0</v>
      </c>
      <c r="FR132">
        <v>0</v>
      </c>
      <c r="FS132">
        <v>0</v>
      </c>
      <c r="FT132">
        <v>0</v>
      </c>
      <c r="FU132">
        <v>0</v>
      </c>
      <c r="FV132">
        <v>0</v>
      </c>
      <c r="FW132">
        <v>0</v>
      </c>
      <c r="FX132">
        <v>0</v>
      </c>
      <c r="FY132">
        <v>0</v>
      </c>
      <c r="FZ132">
        <v>0</v>
      </c>
      <c r="GA132">
        <v>0</v>
      </c>
      <c r="GB132">
        <v>0</v>
      </c>
      <c r="GC132">
        <v>0</v>
      </c>
      <c r="GD132">
        <v>0</v>
      </c>
      <c r="GE132">
        <v>0</v>
      </c>
      <c r="GF132">
        <v>0</v>
      </c>
      <c r="GG132">
        <v>0</v>
      </c>
      <c r="GH132">
        <v>0</v>
      </c>
      <c r="GI132">
        <v>0</v>
      </c>
      <c r="GJ132">
        <v>0</v>
      </c>
      <c r="GK132">
        <v>0</v>
      </c>
      <c r="GL132">
        <v>0</v>
      </c>
      <c r="GM132">
        <v>0</v>
      </c>
      <c r="GN132">
        <v>0</v>
      </c>
      <c r="GO132">
        <v>0</v>
      </c>
      <c r="GP132">
        <v>0</v>
      </c>
      <c r="GQ132">
        <v>0</v>
      </c>
      <c r="GR132">
        <v>0</v>
      </c>
      <c r="GS132">
        <v>0</v>
      </c>
      <c r="GT132">
        <v>0</v>
      </c>
      <c r="GU132">
        <v>0</v>
      </c>
      <c r="GV132">
        <v>0</v>
      </c>
      <c r="GW132">
        <v>0</v>
      </c>
      <c r="GX132">
        <v>14686</v>
      </c>
      <c r="GY132">
        <v>61050</v>
      </c>
      <c r="GZ132">
        <v>777</v>
      </c>
      <c r="HA132">
        <v>76513</v>
      </c>
      <c r="HB132">
        <v>1052</v>
      </c>
      <c r="HC132">
        <v>0</v>
      </c>
      <c r="HD132">
        <v>0</v>
      </c>
      <c r="HE132">
        <v>0</v>
      </c>
      <c r="HF132">
        <v>0</v>
      </c>
      <c r="HG132">
        <v>0</v>
      </c>
      <c r="HH132">
        <v>0</v>
      </c>
      <c r="HI132">
        <v>0</v>
      </c>
      <c r="HJ132">
        <v>0</v>
      </c>
      <c r="HK132">
        <v>0</v>
      </c>
      <c r="HL132">
        <v>0</v>
      </c>
      <c r="HM132">
        <v>0</v>
      </c>
      <c r="HN132">
        <v>0</v>
      </c>
      <c r="HO132">
        <v>0</v>
      </c>
      <c r="HP132">
        <v>0</v>
      </c>
      <c r="HQ132">
        <v>0</v>
      </c>
      <c r="HR132">
        <v>0</v>
      </c>
      <c r="HS132">
        <v>0</v>
      </c>
      <c r="HT132">
        <v>0</v>
      </c>
      <c r="HU132">
        <v>0</v>
      </c>
      <c r="HV132">
        <v>1052</v>
      </c>
      <c r="HW132">
        <v>0</v>
      </c>
      <c r="HX132">
        <v>0</v>
      </c>
      <c r="HY132">
        <v>0</v>
      </c>
      <c r="HZ132">
        <v>0</v>
      </c>
      <c r="IA132">
        <v>0</v>
      </c>
      <c r="IB132">
        <v>0</v>
      </c>
      <c r="IC132">
        <v>0</v>
      </c>
      <c r="ID132">
        <v>0</v>
      </c>
      <c r="IE132">
        <v>0</v>
      </c>
      <c r="IF132">
        <v>0</v>
      </c>
      <c r="IG132">
        <v>0</v>
      </c>
      <c r="IH132">
        <v>0</v>
      </c>
      <c r="II132">
        <v>0</v>
      </c>
      <c r="IJ132">
        <v>0</v>
      </c>
      <c r="IK132">
        <v>0</v>
      </c>
      <c r="IL132">
        <v>0</v>
      </c>
      <c r="IM132">
        <v>76513</v>
      </c>
      <c r="IN132">
        <v>1052</v>
      </c>
      <c r="IO132">
        <v>0</v>
      </c>
      <c r="IP132">
        <v>77565</v>
      </c>
      <c r="IQ132">
        <v>0</v>
      </c>
      <c r="IR132">
        <v>0</v>
      </c>
      <c r="IS132">
        <v>0</v>
      </c>
      <c r="IT132">
        <v>0</v>
      </c>
      <c r="IU132">
        <v>0</v>
      </c>
      <c r="IV132">
        <v>0</v>
      </c>
      <c r="IW132">
        <v>0</v>
      </c>
      <c r="IX132">
        <v>0</v>
      </c>
      <c r="IY132">
        <v>0</v>
      </c>
      <c r="IZ132">
        <v>0</v>
      </c>
      <c r="JA132">
        <v>0</v>
      </c>
      <c r="JB132">
        <v>0</v>
      </c>
      <c r="JC132">
        <v>0</v>
      </c>
      <c r="JD132">
        <v>0</v>
      </c>
      <c r="JE132">
        <v>441</v>
      </c>
      <c r="JF132">
        <v>528</v>
      </c>
      <c r="JG132">
        <v>78534</v>
      </c>
      <c r="JH132">
        <v>0</v>
      </c>
      <c r="JI132">
        <v>0</v>
      </c>
      <c r="JJ132">
        <v>0</v>
      </c>
      <c r="JK132">
        <v>0</v>
      </c>
      <c r="JL132">
        <v>0</v>
      </c>
      <c r="JM132">
        <v>-5</v>
      </c>
      <c r="JN132">
        <v>3950</v>
      </c>
      <c r="JO132">
        <v>0</v>
      </c>
      <c r="JP132">
        <v>1173</v>
      </c>
      <c r="JQ132">
        <v>0</v>
      </c>
      <c r="JR132">
        <v>83652</v>
      </c>
      <c r="JS132">
        <v>-35</v>
      </c>
      <c r="JT132">
        <v>0</v>
      </c>
      <c r="JU132">
        <v>0</v>
      </c>
      <c r="JV132">
        <v>0</v>
      </c>
      <c r="JW132">
        <v>0</v>
      </c>
      <c r="JX132">
        <v>0</v>
      </c>
      <c r="JY132">
        <v>0</v>
      </c>
      <c r="JZ132">
        <v>0</v>
      </c>
      <c r="KA132">
        <v>0</v>
      </c>
      <c r="KB132">
        <v>0</v>
      </c>
      <c r="KC132">
        <v>83617</v>
      </c>
      <c r="KD132">
        <v>0</v>
      </c>
      <c r="KE132">
        <v>-7772</v>
      </c>
      <c r="KF132">
        <v>75845</v>
      </c>
      <c r="KG132">
        <v>0</v>
      </c>
      <c r="KH132">
        <v>0</v>
      </c>
      <c r="KI132">
        <v>0</v>
      </c>
      <c r="KJ132">
        <v>0</v>
      </c>
      <c r="KK132">
        <v>-2446</v>
      </c>
      <c r="KL132">
        <v>-10</v>
      </c>
      <c r="KM132">
        <v>-8520</v>
      </c>
      <c r="KN132">
        <v>0</v>
      </c>
      <c r="KO132">
        <v>-16901</v>
      </c>
      <c r="KP132">
        <v>0</v>
      </c>
      <c r="KQ132">
        <v>801</v>
      </c>
      <c r="KR132">
        <v>47625</v>
      </c>
      <c r="KS132">
        <v>0</v>
      </c>
      <c r="KT132">
        <v>0</v>
      </c>
      <c r="KU132">
        <v>0</v>
      </c>
      <c r="KV132">
        <v>13481</v>
      </c>
      <c r="KW132">
        <v>4351</v>
      </c>
      <c r="KX132">
        <v>0</v>
      </c>
      <c r="KY132">
        <v>0</v>
      </c>
      <c r="KZ132">
        <v>0</v>
      </c>
      <c r="LA132">
        <v>11035</v>
      </c>
      <c r="LB132">
        <v>4341</v>
      </c>
      <c r="LC132">
        <v>0</v>
      </c>
      <c r="LD132">
        <v>4307</v>
      </c>
      <c r="LE132">
        <v>0</v>
      </c>
      <c r="LF132">
        <v>700</v>
      </c>
      <c r="LG132">
        <v>0</v>
      </c>
      <c r="LH132">
        <v>0</v>
      </c>
      <c r="LI132">
        <v>5007</v>
      </c>
      <c r="LJ132">
        <v>0</v>
      </c>
      <c r="LK132">
        <v>0</v>
      </c>
      <c r="LL132">
        <v>0</v>
      </c>
      <c r="LM132">
        <v>0</v>
      </c>
      <c r="LN132">
        <v>0</v>
      </c>
      <c r="LO132">
        <v>0</v>
      </c>
      <c r="LP132">
        <v>0</v>
      </c>
      <c r="LQ132">
        <v>0</v>
      </c>
      <c r="LR132">
        <v>0</v>
      </c>
      <c r="LS132">
        <v>0</v>
      </c>
      <c r="LT132">
        <v>0</v>
      </c>
      <c r="LU132">
        <v>0</v>
      </c>
      <c r="LV132">
        <v>0</v>
      </c>
      <c r="LW132">
        <v>0</v>
      </c>
      <c r="LX132">
        <v>0</v>
      </c>
      <c r="LY132">
        <v>0</v>
      </c>
      <c r="LZ132">
        <v>0</v>
      </c>
      <c r="MA132">
        <v>0</v>
      </c>
      <c r="MB132">
        <v>0</v>
      </c>
      <c r="MC132">
        <v>0</v>
      </c>
      <c r="MD132">
        <v>0</v>
      </c>
      <c r="ME132">
        <v>76513</v>
      </c>
      <c r="MF132">
        <v>1052</v>
      </c>
      <c r="MG132">
        <v>0</v>
      </c>
      <c r="MH132">
        <v>77565</v>
      </c>
      <c r="MI132">
        <v>0</v>
      </c>
      <c r="MJ132">
        <v>0</v>
      </c>
      <c r="MK132">
        <v>0</v>
      </c>
      <c r="ML132">
        <v>0</v>
      </c>
      <c r="MM132">
        <v>0</v>
      </c>
      <c r="MN132">
        <v>0</v>
      </c>
      <c r="MO132">
        <v>0</v>
      </c>
      <c r="MP132">
        <v>0</v>
      </c>
      <c r="MQ132">
        <v>0</v>
      </c>
      <c r="MR132">
        <v>0</v>
      </c>
      <c r="MS132">
        <v>0</v>
      </c>
      <c r="MT132">
        <v>0</v>
      </c>
      <c r="MU132">
        <v>0</v>
      </c>
      <c r="MV132">
        <v>0</v>
      </c>
      <c r="MW132">
        <v>0</v>
      </c>
      <c r="MX132">
        <v>0</v>
      </c>
      <c r="MY132">
        <v>0</v>
      </c>
      <c r="MZ132">
        <v>0</v>
      </c>
      <c r="NA132">
        <v>0</v>
      </c>
      <c r="NB132">
        <v>0</v>
      </c>
      <c r="NC132">
        <v>0</v>
      </c>
      <c r="ND132">
        <v>0</v>
      </c>
      <c r="NE132">
        <v>0</v>
      </c>
      <c r="NF132">
        <v>0</v>
      </c>
      <c r="NG132">
        <v>0</v>
      </c>
      <c r="NH132">
        <v>0</v>
      </c>
      <c r="NI132">
        <v>0</v>
      </c>
      <c r="NJ132">
        <v>0</v>
      </c>
      <c r="NK132">
        <v>0</v>
      </c>
      <c r="NL132">
        <v>0</v>
      </c>
      <c r="NM132">
        <v>0</v>
      </c>
      <c r="NN132">
        <v>0</v>
      </c>
      <c r="NO132">
        <v>0</v>
      </c>
      <c r="NP132">
        <v>0</v>
      </c>
      <c r="NQ132">
        <v>0</v>
      </c>
      <c r="NR132">
        <v>0</v>
      </c>
      <c r="NS132">
        <v>0</v>
      </c>
      <c r="NT132">
        <v>0</v>
      </c>
      <c r="NU132">
        <v>0</v>
      </c>
      <c r="NV132">
        <v>0</v>
      </c>
      <c r="NW132">
        <v>0</v>
      </c>
      <c r="NX132">
        <v>0</v>
      </c>
      <c r="NY132">
        <v>0</v>
      </c>
      <c r="NZ132">
        <v>0</v>
      </c>
      <c r="OA132">
        <v>0</v>
      </c>
      <c r="OB132">
        <v>0</v>
      </c>
      <c r="OC132">
        <v>0</v>
      </c>
      <c r="OD132">
        <v>0</v>
      </c>
      <c r="OE132">
        <v>0</v>
      </c>
      <c r="OF132">
        <v>0</v>
      </c>
      <c r="OG132">
        <v>0</v>
      </c>
      <c r="OH132">
        <v>0</v>
      </c>
      <c r="OI132">
        <v>0</v>
      </c>
      <c r="OJ132">
        <v>0</v>
      </c>
      <c r="OK132">
        <v>0</v>
      </c>
      <c r="OL132">
        <v>0</v>
      </c>
      <c r="OM132">
        <v>0</v>
      </c>
      <c r="ON132">
        <v>0</v>
      </c>
    </row>
    <row r="133" spans="1:404" x14ac:dyDescent="0.25">
      <c r="A133" t="s">
        <v>463</v>
      </c>
      <c r="B133" t="s">
        <v>464</v>
      </c>
      <c r="C133" t="s">
        <v>462</v>
      </c>
      <c r="E133" t="s">
        <v>71</v>
      </c>
      <c r="F133">
        <v>0</v>
      </c>
      <c r="G133">
        <v>0</v>
      </c>
      <c r="H133">
        <v>0</v>
      </c>
      <c r="I133">
        <v>0</v>
      </c>
      <c r="J133">
        <v>0</v>
      </c>
      <c r="K133">
        <v>0</v>
      </c>
      <c r="L133">
        <v>0</v>
      </c>
      <c r="M133">
        <v>0</v>
      </c>
      <c r="N133">
        <v>0</v>
      </c>
      <c r="O133">
        <v>0</v>
      </c>
      <c r="P133">
        <v>0</v>
      </c>
      <c r="Q133">
        <v>0</v>
      </c>
      <c r="R133">
        <v>0</v>
      </c>
      <c r="S133">
        <v>0</v>
      </c>
      <c r="T133">
        <v>0</v>
      </c>
      <c r="U133">
        <v>0</v>
      </c>
      <c r="V133">
        <v>0</v>
      </c>
      <c r="W133">
        <v>0</v>
      </c>
      <c r="X133">
        <v>0</v>
      </c>
      <c r="Y133">
        <v>0</v>
      </c>
      <c r="Z133">
        <v>0</v>
      </c>
      <c r="AA133">
        <v>0</v>
      </c>
      <c r="AB133">
        <v>0</v>
      </c>
      <c r="AC133">
        <v>0</v>
      </c>
      <c r="AD133">
        <v>0</v>
      </c>
      <c r="AE133">
        <v>0</v>
      </c>
      <c r="AF133">
        <v>0</v>
      </c>
      <c r="AG133">
        <v>0</v>
      </c>
      <c r="AH133">
        <v>0</v>
      </c>
      <c r="AI133">
        <v>0</v>
      </c>
      <c r="AJ133">
        <v>0</v>
      </c>
      <c r="AK133">
        <v>0</v>
      </c>
      <c r="AL133">
        <v>0</v>
      </c>
      <c r="AM133">
        <v>0</v>
      </c>
      <c r="AN133">
        <v>0</v>
      </c>
      <c r="AO133">
        <v>0</v>
      </c>
      <c r="AP133">
        <v>0</v>
      </c>
      <c r="AQ133">
        <v>0</v>
      </c>
      <c r="AR133">
        <v>0</v>
      </c>
      <c r="AS133">
        <v>0</v>
      </c>
      <c r="AT133">
        <v>0</v>
      </c>
      <c r="AU133">
        <v>0</v>
      </c>
      <c r="AV133">
        <v>0</v>
      </c>
      <c r="AW133">
        <v>0</v>
      </c>
      <c r="AX133">
        <v>0</v>
      </c>
      <c r="AY133">
        <v>0</v>
      </c>
      <c r="AZ133">
        <v>0</v>
      </c>
      <c r="BA133">
        <v>0</v>
      </c>
      <c r="BB133">
        <v>0</v>
      </c>
      <c r="BC133">
        <v>0</v>
      </c>
      <c r="BD133">
        <v>0</v>
      </c>
      <c r="BE133">
        <v>0</v>
      </c>
      <c r="BF133">
        <v>0</v>
      </c>
      <c r="BG133">
        <v>0</v>
      </c>
      <c r="BH133">
        <v>0</v>
      </c>
      <c r="BI133">
        <v>0</v>
      </c>
      <c r="BJ133">
        <v>0</v>
      </c>
      <c r="BK133">
        <v>0</v>
      </c>
      <c r="BL133">
        <v>0</v>
      </c>
      <c r="BM133">
        <v>0</v>
      </c>
      <c r="BN133">
        <v>0</v>
      </c>
      <c r="BO133">
        <v>0</v>
      </c>
      <c r="BP133">
        <v>0</v>
      </c>
      <c r="BQ133">
        <v>0</v>
      </c>
      <c r="BR133">
        <v>0</v>
      </c>
      <c r="BS133">
        <v>0</v>
      </c>
      <c r="BT133">
        <v>0</v>
      </c>
      <c r="BU133">
        <v>0</v>
      </c>
      <c r="BV133">
        <v>0</v>
      </c>
      <c r="BW133">
        <v>0</v>
      </c>
      <c r="BX133">
        <v>0</v>
      </c>
      <c r="BY133">
        <v>0</v>
      </c>
      <c r="BZ133">
        <v>0</v>
      </c>
      <c r="CA133">
        <v>0</v>
      </c>
      <c r="CB133">
        <v>0</v>
      </c>
      <c r="CC133">
        <v>0</v>
      </c>
      <c r="CD133">
        <v>0</v>
      </c>
      <c r="CE133">
        <v>0</v>
      </c>
      <c r="CF133">
        <v>0</v>
      </c>
      <c r="CG133">
        <v>0</v>
      </c>
      <c r="CH133">
        <v>0</v>
      </c>
      <c r="CI133">
        <v>0</v>
      </c>
      <c r="CJ133">
        <v>0</v>
      </c>
      <c r="CK133">
        <v>0</v>
      </c>
      <c r="CL133">
        <v>0</v>
      </c>
      <c r="CM133">
        <v>0</v>
      </c>
      <c r="CN133">
        <v>0</v>
      </c>
      <c r="CO133">
        <v>0</v>
      </c>
      <c r="CP133">
        <v>0</v>
      </c>
      <c r="CQ133">
        <v>0</v>
      </c>
      <c r="CR133">
        <v>0</v>
      </c>
      <c r="CS133">
        <v>0</v>
      </c>
      <c r="CT133">
        <v>0</v>
      </c>
      <c r="CU133">
        <v>0</v>
      </c>
      <c r="CV133">
        <v>0</v>
      </c>
      <c r="CW133">
        <v>0</v>
      </c>
      <c r="CX133">
        <v>0</v>
      </c>
      <c r="CY133">
        <v>0</v>
      </c>
      <c r="CZ133">
        <v>0</v>
      </c>
      <c r="DA133">
        <v>0</v>
      </c>
      <c r="DB133">
        <v>0</v>
      </c>
      <c r="DC133">
        <v>0</v>
      </c>
      <c r="DD133">
        <v>0</v>
      </c>
      <c r="DE133">
        <v>0</v>
      </c>
      <c r="DF133">
        <v>0</v>
      </c>
      <c r="DG133">
        <v>0</v>
      </c>
      <c r="DH133">
        <v>0</v>
      </c>
      <c r="DI133">
        <v>0</v>
      </c>
      <c r="DJ133">
        <v>0</v>
      </c>
      <c r="DK133">
        <v>0</v>
      </c>
      <c r="DL133">
        <v>0</v>
      </c>
      <c r="DM133">
        <v>0</v>
      </c>
      <c r="DN133">
        <v>0</v>
      </c>
      <c r="DO133">
        <v>0</v>
      </c>
      <c r="DP133">
        <v>0</v>
      </c>
      <c r="DQ133">
        <v>0</v>
      </c>
      <c r="DR133">
        <v>0</v>
      </c>
      <c r="DS133">
        <v>0</v>
      </c>
      <c r="DT133">
        <v>0</v>
      </c>
      <c r="DU133">
        <v>0</v>
      </c>
      <c r="DV133">
        <v>0</v>
      </c>
      <c r="DW133">
        <v>0</v>
      </c>
      <c r="DX133">
        <v>0</v>
      </c>
      <c r="DY133">
        <v>0</v>
      </c>
      <c r="DZ133">
        <v>0</v>
      </c>
      <c r="EA133">
        <v>0</v>
      </c>
      <c r="EB133">
        <v>0</v>
      </c>
      <c r="EC133">
        <v>0</v>
      </c>
      <c r="ED133">
        <v>0</v>
      </c>
      <c r="EE133">
        <v>0</v>
      </c>
      <c r="EF133">
        <v>0</v>
      </c>
      <c r="EG133">
        <v>0</v>
      </c>
      <c r="EH133">
        <v>0</v>
      </c>
      <c r="EI133">
        <v>0</v>
      </c>
      <c r="EJ133">
        <v>0</v>
      </c>
      <c r="EK133">
        <v>0</v>
      </c>
      <c r="EL133">
        <v>0</v>
      </c>
      <c r="EM133">
        <v>0</v>
      </c>
      <c r="EN133">
        <v>0</v>
      </c>
      <c r="EO133">
        <v>0</v>
      </c>
      <c r="EP133">
        <v>0</v>
      </c>
      <c r="EQ133">
        <v>0</v>
      </c>
      <c r="ER133">
        <v>0</v>
      </c>
      <c r="ES133">
        <v>0</v>
      </c>
      <c r="ET133">
        <v>0</v>
      </c>
      <c r="EU133">
        <v>0</v>
      </c>
      <c r="EV133">
        <v>0</v>
      </c>
      <c r="EW133">
        <v>0</v>
      </c>
      <c r="EX133">
        <v>0</v>
      </c>
      <c r="EY133">
        <v>0</v>
      </c>
      <c r="EZ133">
        <v>0</v>
      </c>
      <c r="FA133">
        <v>0</v>
      </c>
      <c r="FB133">
        <v>0</v>
      </c>
      <c r="FC133">
        <v>0</v>
      </c>
      <c r="FD133">
        <v>0</v>
      </c>
      <c r="FE133">
        <v>0</v>
      </c>
      <c r="FF133">
        <v>0</v>
      </c>
      <c r="FG133">
        <v>0</v>
      </c>
      <c r="FH133">
        <v>0</v>
      </c>
      <c r="FI133">
        <v>0</v>
      </c>
      <c r="FJ133">
        <v>0</v>
      </c>
      <c r="FK133">
        <v>0</v>
      </c>
      <c r="FL133">
        <v>0</v>
      </c>
      <c r="FM133">
        <v>0</v>
      </c>
      <c r="FN133">
        <v>0</v>
      </c>
      <c r="FO133">
        <v>0</v>
      </c>
      <c r="FP133">
        <v>0</v>
      </c>
      <c r="FQ133">
        <v>0</v>
      </c>
      <c r="FR133">
        <v>0</v>
      </c>
      <c r="FS133">
        <v>0</v>
      </c>
      <c r="FT133">
        <v>0</v>
      </c>
      <c r="FU133">
        <v>0</v>
      </c>
      <c r="FV133">
        <v>0</v>
      </c>
      <c r="FW133">
        <v>0</v>
      </c>
      <c r="FX133">
        <v>0</v>
      </c>
      <c r="FY133">
        <v>0</v>
      </c>
      <c r="FZ133">
        <v>0</v>
      </c>
      <c r="GA133">
        <v>0</v>
      </c>
      <c r="GB133">
        <v>0</v>
      </c>
      <c r="GC133">
        <v>0</v>
      </c>
      <c r="GD133">
        <v>0</v>
      </c>
      <c r="GE133">
        <v>0</v>
      </c>
      <c r="GF133">
        <v>0</v>
      </c>
      <c r="GG133">
        <v>0</v>
      </c>
      <c r="GH133">
        <v>0</v>
      </c>
      <c r="GI133">
        <v>0</v>
      </c>
      <c r="GJ133">
        <v>0</v>
      </c>
      <c r="GK133">
        <v>0</v>
      </c>
      <c r="GL133">
        <v>0</v>
      </c>
      <c r="GM133">
        <v>0</v>
      </c>
      <c r="GN133">
        <v>0</v>
      </c>
      <c r="GO133">
        <v>0</v>
      </c>
      <c r="GP133">
        <v>0</v>
      </c>
      <c r="GQ133">
        <v>0</v>
      </c>
      <c r="GR133">
        <v>0</v>
      </c>
      <c r="GS133">
        <v>0</v>
      </c>
      <c r="GT133">
        <v>0</v>
      </c>
      <c r="GU133">
        <v>0</v>
      </c>
      <c r="GV133">
        <v>0</v>
      </c>
      <c r="GW133">
        <v>344713</v>
      </c>
      <c r="GX133">
        <v>0</v>
      </c>
      <c r="GY133">
        <v>0</v>
      </c>
      <c r="GZ133">
        <v>0</v>
      </c>
      <c r="HA133">
        <v>0</v>
      </c>
      <c r="HB133">
        <v>1722</v>
      </c>
      <c r="HC133">
        <v>0</v>
      </c>
      <c r="HD133">
        <v>0</v>
      </c>
      <c r="HE133">
        <v>0</v>
      </c>
      <c r="HF133">
        <v>0</v>
      </c>
      <c r="HG133">
        <v>0</v>
      </c>
      <c r="HH133">
        <v>0</v>
      </c>
      <c r="HI133">
        <v>0</v>
      </c>
      <c r="HJ133">
        <v>0</v>
      </c>
      <c r="HK133">
        <v>0</v>
      </c>
      <c r="HL133">
        <v>0</v>
      </c>
      <c r="HM133">
        <v>0</v>
      </c>
      <c r="HN133">
        <v>0</v>
      </c>
      <c r="HO133">
        <v>0</v>
      </c>
      <c r="HP133">
        <v>0</v>
      </c>
      <c r="HQ133">
        <v>0</v>
      </c>
      <c r="HR133">
        <v>0</v>
      </c>
      <c r="HS133">
        <v>0</v>
      </c>
      <c r="HT133">
        <v>0</v>
      </c>
      <c r="HU133">
        <v>0</v>
      </c>
      <c r="HV133">
        <v>1722</v>
      </c>
      <c r="HW133">
        <v>0</v>
      </c>
      <c r="HX133">
        <v>0</v>
      </c>
      <c r="HY133">
        <v>0</v>
      </c>
      <c r="HZ133">
        <v>0</v>
      </c>
      <c r="IA133">
        <v>0</v>
      </c>
      <c r="IB133">
        <v>0</v>
      </c>
      <c r="IC133">
        <v>0</v>
      </c>
      <c r="ID133">
        <v>0</v>
      </c>
      <c r="IE133">
        <v>0</v>
      </c>
      <c r="IF133">
        <v>0</v>
      </c>
      <c r="IG133">
        <v>0</v>
      </c>
      <c r="IH133">
        <v>0</v>
      </c>
      <c r="II133">
        <v>0</v>
      </c>
      <c r="IJ133">
        <v>0</v>
      </c>
      <c r="IK133">
        <v>0</v>
      </c>
      <c r="IL133">
        <v>344713</v>
      </c>
      <c r="IM133">
        <v>0</v>
      </c>
      <c r="IN133">
        <v>1722</v>
      </c>
      <c r="IO133">
        <v>0</v>
      </c>
      <c r="IP133">
        <v>346435</v>
      </c>
      <c r="IQ133">
        <v>0</v>
      </c>
      <c r="IR133">
        <v>0</v>
      </c>
      <c r="IS133">
        <v>0</v>
      </c>
      <c r="IT133">
        <v>0</v>
      </c>
      <c r="IU133">
        <v>0</v>
      </c>
      <c r="IV133">
        <v>0</v>
      </c>
      <c r="IW133">
        <v>0</v>
      </c>
      <c r="IX133">
        <v>0</v>
      </c>
      <c r="IY133">
        <v>0</v>
      </c>
      <c r="IZ133">
        <v>0</v>
      </c>
      <c r="JA133">
        <v>0</v>
      </c>
      <c r="JB133">
        <v>0</v>
      </c>
      <c r="JC133">
        <v>0</v>
      </c>
      <c r="JD133">
        <v>0</v>
      </c>
      <c r="JE133">
        <v>1579</v>
      </c>
      <c r="JF133">
        <v>0</v>
      </c>
      <c r="JG133">
        <v>348014</v>
      </c>
      <c r="JH133">
        <v>0</v>
      </c>
      <c r="JI133">
        <v>0</v>
      </c>
      <c r="JJ133">
        <v>0</v>
      </c>
      <c r="JK133">
        <v>0</v>
      </c>
      <c r="JL133">
        <v>0</v>
      </c>
      <c r="JM133">
        <v>-39</v>
      </c>
      <c r="JN133">
        <v>588</v>
      </c>
      <c r="JO133">
        <v>0</v>
      </c>
      <c r="JP133">
        <v>0</v>
      </c>
      <c r="JQ133">
        <v>0</v>
      </c>
      <c r="JR133">
        <v>348563</v>
      </c>
      <c r="JS133">
        <v>-12</v>
      </c>
      <c r="JT133">
        <v>0</v>
      </c>
      <c r="JU133">
        <v>0</v>
      </c>
      <c r="JV133">
        <v>0</v>
      </c>
      <c r="JW133">
        <v>0</v>
      </c>
      <c r="JX133">
        <v>0</v>
      </c>
      <c r="JY133">
        <v>0</v>
      </c>
      <c r="JZ133">
        <v>0</v>
      </c>
      <c r="KA133">
        <v>0</v>
      </c>
      <c r="KB133">
        <v>0</v>
      </c>
      <c r="KC133">
        <v>348551</v>
      </c>
      <c r="KD133">
        <v>0</v>
      </c>
      <c r="KE133">
        <v>-22692</v>
      </c>
      <c r="KF133">
        <v>325859</v>
      </c>
      <c r="KG133">
        <v>0</v>
      </c>
      <c r="KH133">
        <v>0</v>
      </c>
      <c r="KI133">
        <v>0</v>
      </c>
      <c r="KJ133">
        <v>0</v>
      </c>
      <c r="KK133">
        <v>4806</v>
      </c>
      <c r="KL133">
        <v>1656</v>
      </c>
      <c r="KM133">
        <v>0</v>
      </c>
      <c r="KN133">
        <v>-195691</v>
      </c>
      <c r="KO133">
        <v>0</v>
      </c>
      <c r="KP133">
        <v>-203</v>
      </c>
      <c r="KQ133">
        <v>1</v>
      </c>
      <c r="KR133">
        <v>134406</v>
      </c>
      <c r="KS133">
        <v>0</v>
      </c>
      <c r="KT133">
        <v>0</v>
      </c>
      <c r="KU133">
        <v>0</v>
      </c>
      <c r="KV133">
        <v>12300</v>
      </c>
      <c r="KW133">
        <v>13162</v>
      </c>
      <c r="KX133">
        <v>0</v>
      </c>
      <c r="KY133">
        <v>0</v>
      </c>
      <c r="KZ133">
        <v>0</v>
      </c>
      <c r="LA133">
        <v>17106</v>
      </c>
      <c r="LB133">
        <v>14818</v>
      </c>
      <c r="LC133">
        <v>0</v>
      </c>
      <c r="LD133">
        <v>6423</v>
      </c>
      <c r="LE133">
        <v>0</v>
      </c>
      <c r="LF133">
        <v>7545</v>
      </c>
      <c r="LG133">
        <v>-251</v>
      </c>
      <c r="LH133">
        <v>0</v>
      </c>
      <c r="LI133">
        <v>13717</v>
      </c>
      <c r="LJ133">
        <v>0</v>
      </c>
      <c r="LK133">
        <v>0</v>
      </c>
      <c r="LL133">
        <v>0</v>
      </c>
      <c r="LM133">
        <v>0</v>
      </c>
      <c r="LN133">
        <v>0</v>
      </c>
      <c r="LO133">
        <v>0</v>
      </c>
      <c r="LP133">
        <v>0</v>
      </c>
      <c r="LQ133">
        <v>0</v>
      </c>
      <c r="LR133">
        <v>0</v>
      </c>
      <c r="LS133">
        <v>0</v>
      </c>
      <c r="LT133">
        <v>0</v>
      </c>
      <c r="LU133">
        <v>0</v>
      </c>
      <c r="LV133">
        <v>0</v>
      </c>
      <c r="LW133">
        <v>0</v>
      </c>
      <c r="LX133">
        <v>0</v>
      </c>
      <c r="LY133">
        <v>0</v>
      </c>
      <c r="LZ133">
        <v>0</v>
      </c>
      <c r="MA133">
        <v>0</v>
      </c>
      <c r="MB133">
        <v>0</v>
      </c>
      <c r="MC133">
        <v>0</v>
      </c>
      <c r="MD133">
        <v>344713</v>
      </c>
      <c r="ME133">
        <v>0</v>
      </c>
      <c r="MF133">
        <v>1722</v>
      </c>
      <c r="MG133">
        <v>0</v>
      </c>
      <c r="MH133">
        <v>346435</v>
      </c>
      <c r="MI133">
        <v>0</v>
      </c>
      <c r="MJ133">
        <v>0</v>
      </c>
      <c r="MK133">
        <v>0</v>
      </c>
      <c r="ML133">
        <v>0</v>
      </c>
      <c r="MM133">
        <v>0</v>
      </c>
      <c r="MN133">
        <v>0</v>
      </c>
      <c r="MO133">
        <v>0</v>
      </c>
      <c r="MP133">
        <v>0</v>
      </c>
      <c r="MQ133">
        <v>0</v>
      </c>
      <c r="MR133">
        <v>0</v>
      </c>
      <c r="MS133">
        <v>0</v>
      </c>
      <c r="MT133">
        <v>0</v>
      </c>
      <c r="MU133">
        <v>0</v>
      </c>
      <c r="MV133">
        <v>0</v>
      </c>
      <c r="MW133">
        <v>0</v>
      </c>
      <c r="MX133">
        <v>0</v>
      </c>
      <c r="MY133">
        <v>0</v>
      </c>
      <c r="MZ133">
        <v>0</v>
      </c>
      <c r="NA133">
        <v>0</v>
      </c>
      <c r="NB133">
        <v>0</v>
      </c>
      <c r="NC133">
        <v>0</v>
      </c>
      <c r="ND133">
        <v>0</v>
      </c>
      <c r="NE133">
        <v>0</v>
      </c>
      <c r="NF133">
        <v>0</v>
      </c>
      <c r="NG133">
        <v>0</v>
      </c>
      <c r="NH133">
        <v>0</v>
      </c>
      <c r="NI133">
        <v>0</v>
      </c>
      <c r="NJ133">
        <v>0</v>
      </c>
      <c r="NK133">
        <v>0</v>
      </c>
      <c r="NL133">
        <v>0</v>
      </c>
      <c r="NM133">
        <v>0</v>
      </c>
      <c r="NN133">
        <v>0</v>
      </c>
      <c r="NO133">
        <v>0</v>
      </c>
      <c r="NP133">
        <v>0</v>
      </c>
      <c r="NQ133">
        <v>0</v>
      </c>
      <c r="NR133">
        <v>0</v>
      </c>
      <c r="NS133">
        <v>0</v>
      </c>
      <c r="NT133">
        <v>0</v>
      </c>
      <c r="NU133">
        <v>0</v>
      </c>
      <c r="NV133">
        <v>0</v>
      </c>
      <c r="NW133">
        <v>0</v>
      </c>
      <c r="NX133">
        <v>0</v>
      </c>
      <c r="NY133">
        <v>0</v>
      </c>
      <c r="NZ133">
        <v>0</v>
      </c>
      <c r="OA133">
        <v>0</v>
      </c>
      <c r="OB133">
        <v>0</v>
      </c>
      <c r="OC133">
        <v>0</v>
      </c>
      <c r="OD133">
        <v>0</v>
      </c>
      <c r="OE133">
        <v>0</v>
      </c>
      <c r="OF133">
        <v>0</v>
      </c>
      <c r="OG133">
        <v>0</v>
      </c>
      <c r="OH133">
        <v>0</v>
      </c>
      <c r="OI133">
        <v>0</v>
      </c>
      <c r="OJ133">
        <v>0</v>
      </c>
      <c r="OK133">
        <v>0</v>
      </c>
      <c r="OL133">
        <v>0</v>
      </c>
      <c r="OM133">
        <v>0</v>
      </c>
      <c r="ON133">
        <v>0</v>
      </c>
    </row>
    <row r="134" spans="1:404" x14ac:dyDescent="0.25">
      <c r="A134" t="s">
        <v>466</v>
      </c>
      <c r="B134" t="s">
        <v>467</v>
      </c>
      <c r="C134" t="s">
        <v>465</v>
      </c>
      <c r="E134" t="s">
        <v>61</v>
      </c>
      <c r="F134">
        <v>0</v>
      </c>
      <c r="G134">
        <v>0</v>
      </c>
      <c r="H134">
        <v>0</v>
      </c>
      <c r="I134">
        <v>0</v>
      </c>
      <c r="J134">
        <v>0</v>
      </c>
      <c r="K134">
        <v>0</v>
      </c>
      <c r="L134">
        <v>0</v>
      </c>
      <c r="M134">
        <v>0</v>
      </c>
      <c r="N134">
        <v>-39</v>
      </c>
      <c r="O134">
        <v>0</v>
      </c>
      <c r="P134">
        <v>0</v>
      </c>
      <c r="Q134">
        <v>19</v>
      </c>
      <c r="R134">
        <v>0</v>
      </c>
      <c r="S134">
        <v>55</v>
      </c>
      <c r="T134">
        <v>0</v>
      </c>
      <c r="U134">
        <v>51</v>
      </c>
      <c r="V134">
        <v>0</v>
      </c>
      <c r="W134">
        <v>0</v>
      </c>
      <c r="X134">
        <v>0</v>
      </c>
      <c r="Y134">
        <v>0</v>
      </c>
      <c r="Z134">
        <v>0</v>
      </c>
      <c r="AA134">
        <v>-4808</v>
      </c>
      <c r="AB134">
        <v>0</v>
      </c>
      <c r="AC134">
        <v>0</v>
      </c>
      <c r="AD134">
        <v>0</v>
      </c>
      <c r="AE134">
        <v>0</v>
      </c>
      <c r="AF134">
        <v>0</v>
      </c>
      <c r="AG134">
        <v>0</v>
      </c>
      <c r="AH134">
        <v>0</v>
      </c>
      <c r="AI134">
        <v>-4722</v>
      </c>
      <c r="AJ134">
        <v>0</v>
      </c>
      <c r="AK134">
        <v>0</v>
      </c>
      <c r="AL134">
        <v>0</v>
      </c>
      <c r="AM134">
        <v>0</v>
      </c>
      <c r="AN134">
        <v>0</v>
      </c>
      <c r="AO134">
        <v>0</v>
      </c>
      <c r="AP134">
        <v>0</v>
      </c>
      <c r="AQ134">
        <v>0</v>
      </c>
      <c r="AR134">
        <v>0</v>
      </c>
      <c r="AS134">
        <v>0</v>
      </c>
      <c r="AT134">
        <v>0</v>
      </c>
      <c r="AU134">
        <v>0</v>
      </c>
      <c r="AV134">
        <v>0</v>
      </c>
      <c r="AW134">
        <v>0</v>
      </c>
      <c r="AX134">
        <v>0</v>
      </c>
      <c r="AY134">
        <v>0</v>
      </c>
      <c r="AZ134">
        <v>0</v>
      </c>
      <c r="BA134">
        <v>0</v>
      </c>
      <c r="BB134">
        <v>0</v>
      </c>
      <c r="BC134">
        <v>0</v>
      </c>
      <c r="BD134">
        <v>0</v>
      </c>
      <c r="BE134">
        <v>0</v>
      </c>
      <c r="BF134">
        <v>0</v>
      </c>
      <c r="BG134">
        <v>0</v>
      </c>
      <c r="BH134">
        <v>0</v>
      </c>
      <c r="BI134">
        <v>0</v>
      </c>
      <c r="BJ134">
        <v>0</v>
      </c>
      <c r="BK134">
        <v>0</v>
      </c>
      <c r="BL134">
        <v>0</v>
      </c>
      <c r="BM134">
        <v>0</v>
      </c>
      <c r="BN134">
        <v>0</v>
      </c>
      <c r="BO134">
        <v>0</v>
      </c>
      <c r="BP134">
        <v>0</v>
      </c>
      <c r="BQ134">
        <v>0</v>
      </c>
      <c r="BR134">
        <v>0</v>
      </c>
      <c r="BS134">
        <v>0</v>
      </c>
      <c r="BT134">
        <v>0</v>
      </c>
      <c r="BU134">
        <v>0</v>
      </c>
      <c r="BV134">
        <v>0</v>
      </c>
      <c r="BW134">
        <v>0</v>
      </c>
      <c r="BX134">
        <v>0</v>
      </c>
      <c r="BY134">
        <v>0</v>
      </c>
      <c r="BZ134">
        <v>0</v>
      </c>
      <c r="CA134">
        <v>0</v>
      </c>
      <c r="CB134">
        <v>0</v>
      </c>
      <c r="CC134">
        <v>0</v>
      </c>
      <c r="CD134">
        <v>0</v>
      </c>
      <c r="CE134">
        <v>0</v>
      </c>
      <c r="CF134">
        <v>0</v>
      </c>
      <c r="CG134">
        <v>0</v>
      </c>
      <c r="CH134">
        <v>0</v>
      </c>
      <c r="CI134">
        <v>0</v>
      </c>
      <c r="CJ134">
        <v>0</v>
      </c>
      <c r="CK134">
        <v>0</v>
      </c>
      <c r="CL134">
        <v>0</v>
      </c>
      <c r="CM134">
        <v>0</v>
      </c>
      <c r="CN134">
        <v>0</v>
      </c>
      <c r="CO134">
        <v>0</v>
      </c>
      <c r="CP134">
        <v>0</v>
      </c>
      <c r="CQ134">
        <v>0</v>
      </c>
      <c r="CR134">
        <v>0</v>
      </c>
      <c r="CS134">
        <v>0</v>
      </c>
      <c r="CT134">
        <v>0</v>
      </c>
      <c r="CU134">
        <v>0</v>
      </c>
      <c r="CV134">
        <v>0</v>
      </c>
      <c r="CW134">
        <v>0</v>
      </c>
      <c r="CX134">
        <v>0</v>
      </c>
      <c r="CY134">
        <v>0</v>
      </c>
      <c r="CZ134">
        <v>0</v>
      </c>
      <c r="DA134">
        <v>0</v>
      </c>
      <c r="DB134">
        <v>0</v>
      </c>
      <c r="DC134">
        <v>-339</v>
      </c>
      <c r="DD134">
        <v>0</v>
      </c>
      <c r="DE134">
        <v>262</v>
      </c>
      <c r="DF134">
        <v>169</v>
      </c>
      <c r="DG134">
        <v>0</v>
      </c>
      <c r="DH134">
        <v>440</v>
      </c>
      <c r="DI134">
        <v>-56</v>
      </c>
      <c r="DJ134">
        <v>121</v>
      </c>
      <c r="DK134">
        <v>0</v>
      </c>
      <c r="DL134">
        <v>409</v>
      </c>
      <c r="DM134">
        <v>0</v>
      </c>
      <c r="DN134">
        <v>1752</v>
      </c>
      <c r="DO134">
        <v>873</v>
      </c>
      <c r="DP134">
        <v>3539</v>
      </c>
      <c r="DQ134">
        <v>8</v>
      </c>
      <c r="DR134">
        <v>0</v>
      </c>
      <c r="DS134">
        <v>0</v>
      </c>
      <c r="DT134">
        <v>1688</v>
      </c>
      <c r="DU134">
        <v>0</v>
      </c>
      <c r="DV134">
        <v>0</v>
      </c>
      <c r="DW134">
        <v>0</v>
      </c>
      <c r="DX134">
        <v>5327</v>
      </c>
      <c r="DY134">
        <v>18850</v>
      </c>
      <c r="DZ134">
        <v>410</v>
      </c>
      <c r="EA134">
        <v>1390</v>
      </c>
      <c r="EB134">
        <v>94</v>
      </c>
      <c r="EC134">
        <v>0</v>
      </c>
      <c r="ED134">
        <v>253</v>
      </c>
      <c r="EE134">
        <v>0</v>
      </c>
      <c r="EF134">
        <v>0</v>
      </c>
      <c r="EG134">
        <v>0</v>
      </c>
      <c r="EH134">
        <v>7030</v>
      </c>
      <c r="EI134">
        <v>5612</v>
      </c>
      <c r="EJ134">
        <v>577</v>
      </c>
      <c r="EK134">
        <v>103</v>
      </c>
      <c r="EL134">
        <v>2206</v>
      </c>
      <c r="EM134">
        <v>3848</v>
      </c>
      <c r="EN134">
        <v>3397</v>
      </c>
      <c r="EO134">
        <v>22</v>
      </c>
      <c r="EP134">
        <v>0</v>
      </c>
      <c r="EQ134">
        <v>0</v>
      </c>
      <c r="ER134">
        <v>0</v>
      </c>
      <c r="ES134">
        <v>13267</v>
      </c>
      <c r="ET134">
        <v>11469</v>
      </c>
      <c r="EU134">
        <v>0</v>
      </c>
      <c r="EV134">
        <v>0</v>
      </c>
      <c r="EW134">
        <v>70</v>
      </c>
      <c r="EX134">
        <v>2126</v>
      </c>
      <c r="EY134">
        <v>459</v>
      </c>
      <c r="EZ134">
        <v>0</v>
      </c>
      <c r="FA134">
        <v>0</v>
      </c>
      <c r="FB134">
        <v>470</v>
      </c>
      <c r="FC134">
        <v>2435</v>
      </c>
      <c r="FD134">
        <v>2075</v>
      </c>
      <c r="FE134">
        <v>-4</v>
      </c>
      <c r="FF134">
        <v>199</v>
      </c>
      <c r="FG134">
        <v>0</v>
      </c>
      <c r="FH134">
        <v>7830</v>
      </c>
      <c r="FI134">
        <v>94</v>
      </c>
      <c r="FJ134">
        <v>0</v>
      </c>
      <c r="FK134">
        <v>0</v>
      </c>
      <c r="FL134">
        <v>1</v>
      </c>
      <c r="FM134">
        <v>160</v>
      </c>
      <c r="FN134">
        <v>0</v>
      </c>
      <c r="FO134">
        <v>124</v>
      </c>
      <c r="FP134">
        <v>0</v>
      </c>
      <c r="FQ134">
        <v>0</v>
      </c>
      <c r="FR134">
        <v>0</v>
      </c>
      <c r="FS134">
        <v>182</v>
      </c>
      <c r="FT134">
        <v>-113</v>
      </c>
      <c r="FU134">
        <v>301</v>
      </c>
      <c r="FV134">
        <v>70</v>
      </c>
      <c r="FW134">
        <v>195</v>
      </c>
      <c r="FX134">
        <v>258</v>
      </c>
      <c r="FY134">
        <v>0</v>
      </c>
      <c r="FZ134">
        <v>74</v>
      </c>
      <c r="GA134">
        <v>0</v>
      </c>
      <c r="GB134">
        <v>0</v>
      </c>
      <c r="GC134">
        <v>0</v>
      </c>
      <c r="GD134">
        <v>1486</v>
      </c>
      <c r="GE134">
        <v>2145</v>
      </c>
      <c r="GF134">
        <v>0</v>
      </c>
      <c r="GG134">
        <v>-145</v>
      </c>
      <c r="GH134">
        <v>713</v>
      </c>
      <c r="GI134">
        <v>0</v>
      </c>
      <c r="GJ134">
        <v>0</v>
      </c>
      <c r="GK134">
        <v>5545</v>
      </c>
      <c r="GL134">
        <v>43</v>
      </c>
      <c r="GM134">
        <v>662</v>
      </c>
      <c r="GN134">
        <v>0</v>
      </c>
      <c r="GO134">
        <v>168</v>
      </c>
      <c r="GP134">
        <v>32</v>
      </c>
      <c r="GQ134">
        <v>-2652</v>
      </c>
      <c r="GR134">
        <v>0</v>
      </c>
      <c r="GS134">
        <v>1154</v>
      </c>
      <c r="GT134">
        <v>293</v>
      </c>
      <c r="GU134">
        <v>-300</v>
      </c>
      <c r="GV134">
        <v>13075</v>
      </c>
      <c r="GW134">
        <v>0</v>
      </c>
      <c r="GX134">
        <v>0</v>
      </c>
      <c r="GY134">
        <v>0</v>
      </c>
      <c r="GZ134">
        <v>0</v>
      </c>
      <c r="HA134">
        <v>0</v>
      </c>
      <c r="HB134">
        <v>1386</v>
      </c>
      <c r="HC134">
        <v>677</v>
      </c>
      <c r="HD134">
        <v>0</v>
      </c>
      <c r="HE134">
        <v>0</v>
      </c>
      <c r="HF134">
        <v>0</v>
      </c>
      <c r="HG134">
        <v>349</v>
      </c>
      <c r="HH134">
        <v>0</v>
      </c>
      <c r="HI134">
        <v>0</v>
      </c>
      <c r="HJ134">
        <v>281</v>
      </c>
      <c r="HK134">
        <v>205</v>
      </c>
      <c r="HL134">
        <v>10</v>
      </c>
      <c r="HM134">
        <v>-62</v>
      </c>
      <c r="HN134">
        <v>0</v>
      </c>
      <c r="HO134">
        <v>51</v>
      </c>
      <c r="HP134">
        <v>0</v>
      </c>
      <c r="HQ134">
        <v>0</v>
      </c>
      <c r="HR134">
        <v>1516</v>
      </c>
      <c r="HS134">
        <v>27</v>
      </c>
      <c r="HT134">
        <v>0</v>
      </c>
      <c r="HU134">
        <v>0</v>
      </c>
      <c r="HV134">
        <v>4440</v>
      </c>
      <c r="HW134">
        <v>893</v>
      </c>
      <c r="HX134">
        <v>4835</v>
      </c>
      <c r="HY134">
        <v>0</v>
      </c>
      <c r="HZ134">
        <v>1401</v>
      </c>
      <c r="IA134">
        <v>433</v>
      </c>
      <c r="IB134">
        <v>0</v>
      </c>
      <c r="IC134">
        <v>0</v>
      </c>
      <c r="ID134">
        <v>-4722</v>
      </c>
      <c r="IE134">
        <v>0</v>
      </c>
      <c r="IF134">
        <v>0</v>
      </c>
      <c r="IG134">
        <v>0</v>
      </c>
      <c r="IH134">
        <v>5327</v>
      </c>
      <c r="II134">
        <v>7830</v>
      </c>
      <c r="IJ134">
        <v>5545</v>
      </c>
      <c r="IK134">
        <v>-300</v>
      </c>
      <c r="IL134">
        <v>0</v>
      </c>
      <c r="IM134">
        <v>0</v>
      </c>
      <c r="IN134">
        <v>4440</v>
      </c>
      <c r="IO134">
        <v>0</v>
      </c>
      <c r="IP134">
        <v>18120</v>
      </c>
      <c r="IQ134">
        <v>19425</v>
      </c>
      <c r="IR134">
        <v>1317</v>
      </c>
      <c r="IS134">
        <v>7159</v>
      </c>
      <c r="IT134">
        <v>0</v>
      </c>
      <c r="IU134">
        <v>0</v>
      </c>
      <c r="IV134">
        <v>0</v>
      </c>
      <c r="IW134">
        <v>0</v>
      </c>
      <c r="IX134">
        <v>0</v>
      </c>
      <c r="IY134">
        <v>0</v>
      </c>
      <c r="IZ134">
        <v>0</v>
      </c>
      <c r="JA134">
        <v>0</v>
      </c>
      <c r="JB134">
        <v>0</v>
      </c>
      <c r="JC134">
        <v>0</v>
      </c>
      <c r="JD134">
        <v>0</v>
      </c>
      <c r="JE134">
        <v>0</v>
      </c>
      <c r="JF134">
        <v>0</v>
      </c>
      <c r="JG134">
        <v>46021</v>
      </c>
      <c r="JH134">
        <v>0</v>
      </c>
      <c r="JI134">
        <v>0</v>
      </c>
      <c r="JJ134">
        <v>0</v>
      </c>
      <c r="JK134">
        <v>0</v>
      </c>
      <c r="JL134">
        <v>0</v>
      </c>
      <c r="JM134">
        <v>0</v>
      </c>
      <c r="JN134">
        <v>293</v>
      </c>
      <c r="JO134">
        <v>0</v>
      </c>
      <c r="JP134">
        <v>5014</v>
      </c>
      <c r="JQ134">
        <v>0</v>
      </c>
      <c r="JR134">
        <v>51328</v>
      </c>
      <c r="JS134">
        <v>-4243</v>
      </c>
      <c r="JT134">
        <v>0</v>
      </c>
      <c r="JU134">
        <v>36</v>
      </c>
      <c r="JV134">
        <v>0</v>
      </c>
      <c r="JW134">
        <v>-27260</v>
      </c>
      <c r="JX134">
        <v>0</v>
      </c>
      <c r="JY134">
        <v>-1225</v>
      </c>
      <c r="JZ134">
        <v>0</v>
      </c>
      <c r="KA134">
        <v>0</v>
      </c>
      <c r="KB134">
        <v>0</v>
      </c>
      <c r="KC134">
        <v>18636</v>
      </c>
      <c r="KD134">
        <v>0</v>
      </c>
      <c r="KE134">
        <v>-4891</v>
      </c>
      <c r="KF134">
        <v>13745</v>
      </c>
      <c r="KG134">
        <v>0</v>
      </c>
      <c r="KH134">
        <v>0</v>
      </c>
      <c r="KI134">
        <v>0</v>
      </c>
      <c r="KJ134">
        <v>0</v>
      </c>
      <c r="KK134">
        <v>-6688</v>
      </c>
      <c r="KL134">
        <v>826</v>
      </c>
      <c r="KM134">
        <v>-373</v>
      </c>
      <c r="KN134">
        <v>0</v>
      </c>
      <c r="KO134">
        <v>-40</v>
      </c>
      <c r="KP134">
        <v>-83</v>
      </c>
      <c r="KQ134">
        <v>0</v>
      </c>
      <c r="KR134">
        <v>6169</v>
      </c>
      <c r="KS134">
        <v>0</v>
      </c>
      <c r="KT134">
        <v>0</v>
      </c>
      <c r="KU134">
        <v>0</v>
      </c>
      <c r="KV134">
        <v>32430</v>
      </c>
      <c r="KW134">
        <v>4696</v>
      </c>
      <c r="KX134">
        <v>0</v>
      </c>
      <c r="KY134">
        <v>0</v>
      </c>
      <c r="KZ134">
        <v>0</v>
      </c>
      <c r="LA134">
        <v>25742</v>
      </c>
      <c r="LB134">
        <v>5522</v>
      </c>
      <c r="LC134">
        <v>0</v>
      </c>
      <c r="LD134">
        <v>12328</v>
      </c>
      <c r="LE134">
        <v>9501</v>
      </c>
      <c r="LF134">
        <v>0</v>
      </c>
      <c r="LG134">
        <v>0</v>
      </c>
      <c r="LH134">
        <v>-45</v>
      </c>
      <c r="LI134">
        <v>21784</v>
      </c>
      <c r="LJ134">
        <v>3114</v>
      </c>
      <c r="LK134">
        <v>3907</v>
      </c>
      <c r="LL134">
        <v>7021</v>
      </c>
      <c r="LM134">
        <v>0</v>
      </c>
      <c r="LN134">
        <v>0</v>
      </c>
      <c r="LO134">
        <v>0</v>
      </c>
      <c r="LP134">
        <v>20997</v>
      </c>
      <c r="LQ134">
        <v>22795</v>
      </c>
      <c r="LR134">
        <v>-1798</v>
      </c>
      <c r="LS134">
        <v>13267</v>
      </c>
      <c r="LT134">
        <v>11469</v>
      </c>
      <c r="LU134">
        <v>0</v>
      </c>
      <c r="LV134">
        <v>-4722</v>
      </c>
      <c r="LW134">
        <v>0</v>
      </c>
      <c r="LX134">
        <v>0</v>
      </c>
      <c r="LY134">
        <v>0</v>
      </c>
      <c r="LZ134">
        <v>5327</v>
      </c>
      <c r="MA134">
        <v>7830</v>
      </c>
      <c r="MB134">
        <v>5545</v>
      </c>
      <c r="MC134">
        <v>-300</v>
      </c>
      <c r="MD134">
        <v>0</v>
      </c>
      <c r="ME134">
        <v>0</v>
      </c>
      <c r="MF134">
        <v>4440</v>
      </c>
      <c r="MG134">
        <v>0</v>
      </c>
      <c r="MH134">
        <v>18120</v>
      </c>
      <c r="MI134">
        <v>0</v>
      </c>
      <c r="MJ134">
        <v>0</v>
      </c>
      <c r="MK134">
        <v>0</v>
      </c>
      <c r="ML134">
        <v>0</v>
      </c>
      <c r="MM134">
        <v>0</v>
      </c>
      <c r="MN134">
        <v>0</v>
      </c>
      <c r="MO134">
        <v>0</v>
      </c>
      <c r="MP134">
        <v>0</v>
      </c>
      <c r="MQ134">
        <v>0</v>
      </c>
      <c r="MR134">
        <v>0</v>
      </c>
      <c r="MS134">
        <v>0</v>
      </c>
      <c r="MT134">
        <v>0</v>
      </c>
      <c r="MU134">
        <v>0</v>
      </c>
      <c r="MV134">
        <v>0</v>
      </c>
      <c r="MW134">
        <v>0</v>
      </c>
      <c r="MX134">
        <v>0</v>
      </c>
      <c r="MY134">
        <v>0</v>
      </c>
      <c r="MZ134">
        <v>0</v>
      </c>
      <c r="NA134">
        <v>0</v>
      </c>
      <c r="NB134">
        <v>0</v>
      </c>
      <c r="NC134">
        <v>0</v>
      </c>
      <c r="ND134">
        <v>0</v>
      </c>
      <c r="NE134">
        <v>0</v>
      </c>
      <c r="NF134">
        <v>0</v>
      </c>
      <c r="NG134">
        <v>0</v>
      </c>
      <c r="NH134">
        <v>0</v>
      </c>
      <c r="NI134">
        <v>0</v>
      </c>
      <c r="NJ134">
        <v>0</v>
      </c>
      <c r="NK134">
        <v>0</v>
      </c>
      <c r="NL134">
        <v>0</v>
      </c>
      <c r="NM134">
        <v>0</v>
      </c>
      <c r="NN134">
        <v>0</v>
      </c>
      <c r="NO134">
        <v>0</v>
      </c>
      <c r="NP134">
        <v>0</v>
      </c>
      <c r="NQ134">
        <v>0</v>
      </c>
      <c r="NR134">
        <v>0</v>
      </c>
      <c r="NS134">
        <v>0</v>
      </c>
      <c r="NT134">
        <v>0</v>
      </c>
      <c r="NU134">
        <v>0</v>
      </c>
      <c r="NV134">
        <v>0</v>
      </c>
      <c r="NW134">
        <v>0</v>
      </c>
      <c r="NX134">
        <v>0</v>
      </c>
      <c r="NY134">
        <v>0</v>
      </c>
      <c r="NZ134">
        <v>0</v>
      </c>
      <c r="OA134">
        <v>0</v>
      </c>
      <c r="OB134">
        <v>0</v>
      </c>
      <c r="OC134">
        <v>0</v>
      </c>
      <c r="OD134">
        <v>0</v>
      </c>
      <c r="OE134">
        <v>0</v>
      </c>
      <c r="OF134">
        <v>0</v>
      </c>
      <c r="OG134">
        <v>0</v>
      </c>
      <c r="OH134">
        <v>0</v>
      </c>
      <c r="OI134">
        <v>0</v>
      </c>
      <c r="OJ134">
        <v>0</v>
      </c>
      <c r="OK134">
        <v>0</v>
      </c>
      <c r="OL134">
        <v>0</v>
      </c>
      <c r="OM134">
        <v>0</v>
      </c>
      <c r="ON134">
        <v>0</v>
      </c>
    </row>
    <row r="135" spans="1:404" x14ac:dyDescent="0.25">
      <c r="A135" t="s">
        <v>469</v>
      </c>
      <c r="B135" t="s">
        <v>470</v>
      </c>
      <c r="C135" t="s">
        <v>468</v>
      </c>
      <c r="E135" t="s">
        <v>5418</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-44</v>
      </c>
      <c r="AB135">
        <v>0</v>
      </c>
      <c r="AC135">
        <v>0</v>
      </c>
      <c r="AD135">
        <v>0</v>
      </c>
      <c r="AE135">
        <v>0</v>
      </c>
      <c r="AF135">
        <v>0</v>
      </c>
      <c r="AG135">
        <v>0</v>
      </c>
      <c r="AH135">
        <v>0</v>
      </c>
      <c r="AI135">
        <v>-44</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c r="BF135">
        <v>0</v>
      </c>
      <c r="BG135">
        <v>0</v>
      </c>
      <c r="BH135">
        <v>0</v>
      </c>
      <c r="BI135">
        <v>0</v>
      </c>
      <c r="BJ135">
        <v>0</v>
      </c>
      <c r="BK135">
        <v>0</v>
      </c>
      <c r="BL135">
        <v>0</v>
      </c>
      <c r="BM135">
        <v>0</v>
      </c>
      <c r="BN135">
        <v>0</v>
      </c>
      <c r="BO135">
        <v>0</v>
      </c>
      <c r="BP135">
        <v>0</v>
      </c>
      <c r="BQ135">
        <v>0</v>
      </c>
      <c r="BR135">
        <v>0</v>
      </c>
      <c r="BS135">
        <v>0</v>
      </c>
      <c r="BT135">
        <v>0</v>
      </c>
      <c r="BU135">
        <v>0</v>
      </c>
      <c r="BV135">
        <v>0</v>
      </c>
      <c r="BW135">
        <v>0</v>
      </c>
      <c r="BX135">
        <v>0</v>
      </c>
      <c r="BY135">
        <v>0</v>
      </c>
      <c r="BZ135">
        <v>0</v>
      </c>
      <c r="CA135">
        <v>0</v>
      </c>
      <c r="CB135">
        <v>0</v>
      </c>
      <c r="CC135">
        <v>0</v>
      </c>
      <c r="CD135">
        <v>0</v>
      </c>
      <c r="CE135">
        <v>0</v>
      </c>
      <c r="CF135">
        <v>0</v>
      </c>
      <c r="CG135">
        <v>0</v>
      </c>
      <c r="CH135">
        <v>0</v>
      </c>
      <c r="CI135">
        <v>0</v>
      </c>
      <c r="CJ135">
        <v>0</v>
      </c>
      <c r="CK135">
        <v>0</v>
      </c>
      <c r="CL135">
        <v>0</v>
      </c>
      <c r="CM135">
        <v>0</v>
      </c>
      <c r="CN135">
        <v>0</v>
      </c>
      <c r="CO135">
        <v>0</v>
      </c>
      <c r="CP135">
        <v>0</v>
      </c>
      <c r="CQ135">
        <v>0</v>
      </c>
      <c r="CR135">
        <v>0</v>
      </c>
      <c r="CS135">
        <v>0</v>
      </c>
      <c r="CT135">
        <v>0</v>
      </c>
      <c r="CU135">
        <v>0</v>
      </c>
      <c r="CV135">
        <v>0</v>
      </c>
      <c r="CW135">
        <v>0</v>
      </c>
      <c r="CX135">
        <v>0</v>
      </c>
      <c r="CY135">
        <v>0</v>
      </c>
      <c r="CZ135">
        <v>0</v>
      </c>
      <c r="DA135">
        <v>0</v>
      </c>
      <c r="DB135">
        <v>0</v>
      </c>
      <c r="DC135">
        <v>0</v>
      </c>
      <c r="DD135">
        <v>0</v>
      </c>
      <c r="DE135">
        <v>0</v>
      </c>
      <c r="DF135">
        <v>0</v>
      </c>
      <c r="DG135">
        <v>0</v>
      </c>
      <c r="DH135">
        <v>0</v>
      </c>
      <c r="DI135">
        <v>0</v>
      </c>
      <c r="DJ135">
        <v>0</v>
      </c>
      <c r="DK135">
        <v>0</v>
      </c>
      <c r="DL135">
        <v>0</v>
      </c>
      <c r="DM135">
        <v>0</v>
      </c>
      <c r="DN135">
        <v>0</v>
      </c>
      <c r="DO135">
        <v>0</v>
      </c>
      <c r="DP135">
        <v>0</v>
      </c>
      <c r="DQ135">
        <v>0</v>
      </c>
      <c r="DR135">
        <v>0</v>
      </c>
      <c r="DS135">
        <v>0</v>
      </c>
      <c r="DT135">
        <v>0</v>
      </c>
      <c r="DU135">
        <v>0</v>
      </c>
      <c r="DV135">
        <v>0</v>
      </c>
      <c r="DW135">
        <v>0</v>
      </c>
      <c r="DX135">
        <v>0</v>
      </c>
      <c r="DY135">
        <v>0</v>
      </c>
      <c r="DZ135">
        <v>0</v>
      </c>
      <c r="EA135">
        <v>0</v>
      </c>
      <c r="EB135">
        <v>0</v>
      </c>
      <c r="EC135">
        <v>0</v>
      </c>
      <c r="ED135">
        <v>0</v>
      </c>
      <c r="EE135">
        <v>0</v>
      </c>
      <c r="EF135">
        <v>0</v>
      </c>
      <c r="EG135">
        <v>0</v>
      </c>
      <c r="EH135">
        <v>0</v>
      </c>
      <c r="EI135">
        <v>0</v>
      </c>
      <c r="EJ135">
        <v>0</v>
      </c>
      <c r="EK135">
        <v>0</v>
      </c>
      <c r="EL135">
        <v>0</v>
      </c>
      <c r="EM135">
        <v>0</v>
      </c>
      <c r="EN135">
        <v>0</v>
      </c>
      <c r="EO135">
        <v>0</v>
      </c>
      <c r="EP135">
        <v>0</v>
      </c>
      <c r="EQ135">
        <v>0</v>
      </c>
      <c r="ER135">
        <v>0</v>
      </c>
      <c r="ES135">
        <v>0</v>
      </c>
      <c r="ET135">
        <v>0</v>
      </c>
      <c r="EU135">
        <v>0</v>
      </c>
      <c r="EV135">
        <v>0</v>
      </c>
      <c r="EW135">
        <v>123</v>
      </c>
      <c r="EX135">
        <v>0</v>
      </c>
      <c r="EY135">
        <v>0</v>
      </c>
      <c r="EZ135">
        <v>0</v>
      </c>
      <c r="FA135">
        <v>0</v>
      </c>
      <c r="FB135">
        <v>0</v>
      </c>
      <c r="FC135">
        <v>0</v>
      </c>
      <c r="FD135">
        <v>1996</v>
      </c>
      <c r="FE135">
        <v>0</v>
      </c>
      <c r="FF135">
        <v>0</v>
      </c>
      <c r="FG135">
        <v>0</v>
      </c>
      <c r="FH135">
        <v>2119</v>
      </c>
      <c r="FI135">
        <v>0</v>
      </c>
      <c r="FJ135">
        <v>0</v>
      </c>
      <c r="FK135">
        <v>0</v>
      </c>
      <c r="FL135">
        <v>0</v>
      </c>
      <c r="FM135">
        <v>0</v>
      </c>
      <c r="FN135">
        <v>0</v>
      </c>
      <c r="FO135">
        <v>0</v>
      </c>
      <c r="FP135">
        <v>0</v>
      </c>
      <c r="FQ135">
        <v>0</v>
      </c>
      <c r="FR135">
        <v>0</v>
      </c>
      <c r="FS135">
        <v>73</v>
      </c>
      <c r="FT135">
        <v>0</v>
      </c>
      <c r="FU135">
        <v>0</v>
      </c>
      <c r="FV135">
        <v>0</v>
      </c>
      <c r="FW135">
        <v>0</v>
      </c>
      <c r="FX135">
        <v>0</v>
      </c>
      <c r="FY135">
        <v>0</v>
      </c>
      <c r="FZ135">
        <v>0</v>
      </c>
      <c r="GA135">
        <v>0</v>
      </c>
      <c r="GB135">
        <v>0</v>
      </c>
      <c r="GC135">
        <v>0</v>
      </c>
      <c r="GD135">
        <v>0</v>
      </c>
      <c r="GE135">
        <v>0</v>
      </c>
      <c r="GF135">
        <v>0</v>
      </c>
      <c r="GG135">
        <v>0</v>
      </c>
      <c r="GH135">
        <v>0</v>
      </c>
      <c r="GI135">
        <v>0</v>
      </c>
      <c r="GJ135">
        <v>0</v>
      </c>
      <c r="GK135">
        <v>73</v>
      </c>
      <c r="GL135">
        <v>0</v>
      </c>
      <c r="GM135">
        <v>543</v>
      </c>
      <c r="GN135">
        <v>0</v>
      </c>
      <c r="GO135">
        <v>-30</v>
      </c>
      <c r="GP135">
        <v>0</v>
      </c>
      <c r="GQ135">
        <v>0</v>
      </c>
      <c r="GR135">
        <v>0</v>
      </c>
      <c r="GS135">
        <v>0</v>
      </c>
      <c r="GT135">
        <v>0</v>
      </c>
      <c r="GU135">
        <v>513</v>
      </c>
      <c r="GV135">
        <v>2705</v>
      </c>
      <c r="GW135">
        <v>0</v>
      </c>
      <c r="GX135">
        <v>0</v>
      </c>
      <c r="GY135">
        <v>0</v>
      </c>
      <c r="GZ135">
        <v>0</v>
      </c>
      <c r="HA135">
        <v>0</v>
      </c>
      <c r="HB135">
        <v>275</v>
      </c>
      <c r="HC135">
        <v>0</v>
      </c>
      <c r="HD135">
        <v>0</v>
      </c>
      <c r="HE135">
        <v>0</v>
      </c>
      <c r="HF135">
        <v>0</v>
      </c>
      <c r="HG135">
        <v>0</v>
      </c>
      <c r="HH135">
        <v>0</v>
      </c>
      <c r="HI135">
        <v>0</v>
      </c>
      <c r="HJ135">
        <v>0</v>
      </c>
      <c r="HK135">
        <v>0</v>
      </c>
      <c r="HL135">
        <v>0</v>
      </c>
      <c r="HM135">
        <v>0</v>
      </c>
      <c r="HN135">
        <v>0</v>
      </c>
      <c r="HO135">
        <v>0</v>
      </c>
      <c r="HP135">
        <v>0</v>
      </c>
      <c r="HQ135">
        <v>0</v>
      </c>
      <c r="HR135">
        <v>0</v>
      </c>
      <c r="HS135">
        <v>0</v>
      </c>
      <c r="HT135">
        <v>0</v>
      </c>
      <c r="HU135">
        <v>0</v>
      </c>
      <c r="HV135">
        <v>275</v>
      </c>
      <c r="HW135">
        <v>0</v>
      </c>
      <c r="HX135">
        <v>0</v>
      </c>
      <c r="HY135">
        <v>0</v>
      </c>
      <c r="HZ135">
        <v>0</v>
      </c>
      <c r="IA135">
        <v>0</v>
      </c>
      <c r="IB135">
        <v>0</v>
      </c>
      <c r="IC135">
        <v>0</v>
      </c>
      <c r="ID135">
        <v>-44</v>
      </c>
      <c r="IE135">
        <v>0</v>
      </c>
      <c r="IF135">
        <v>0</v>
      </c>
      <c r="IG135">
        <v>0</v>
      </c>
      <c r="IH135">
        <v>0</v>
      </c>
      <c r="II135">
        <v>2119</v>
      </c>
      <c r="IJ135">
        <v>73</v>
      </c>
      <c r="IK135">
        <v>513</v>
      </c>
      <c r="IL135">
        <v>0</v>
      </c>
      <c r="IM135">
        <v>0</v>
      </c>
      <c r="IN135">
        <v>275</v>
      </c>
      <c r="IO135">
        <v>0</v>
      </c>
      <c r="IP135">
        <v>2936</v>
      </c>
      <c r="IQ135">
        <v>0</v>
      </c>
      <c r="IR135">
        <v>0</v>
      </c>
      <c r="IS135">
        <v>0</v>
      </c>
      <c r="IT135">
        <v>0</v>
      </c>
      <c r="IU135">
        <v>0</v>
      </c>
      <c r="IV135">
        <v>0</v>
      </c>
      <c r="IW135">
        <v>0</v>
      </c>
      <c r="IX135">
        <v>0</v>
      </c>
      <c r="IY135">
        <v>0</v>
      </c>
      <c r="IZ135">
        <v>0</v>
      </c>
      <c r="JA135">
        <v>0</v>
      </c>
      <c r="JB135">
        <v>0</v>
      </c>
      <c r="JC135">
        <v>0</v>
      </c>
      <c r="JD135">
        <v>0</v>
      </c>
      <c r="JE135">
        <v>0</v>
      </c>
      <c r="JF135">
        <v>0</v>
      </c>
      <c r="JG135">
        <v>2936</v>
      </c>
      <c r="JH135">
        <v>0</v>
      </c>
      <c r="JI135">
        <v>74</v>
      </c>
      <c r="JJ135">
        <v>0</v>
      </c>
      <c r="JK135">
        <v>0</v>
      </c>
      <c r="JL135">
        <v>0</v>
      </c>
      <c r="JM135">
        <v>0</v>
      </c>
      <c r="JN135">
        <v>0</v>
      </c>
      <c r="JO135">
        <v>0</v>
      </c>
      <c r="JP135">
        <v>0</v>
      </c>
      <c r="JQ135">
        <v>0</v>
      </c>
      <c r="JR135">
        <v>3010</v>
      </c>
      <c r="JS135">
        <v>-9</v>
      </c>
      <c r="JT135">
        <v>0</v>
      </c>
      <c r="JU135">
        <v>0</v>
      </c>
      <c r="JV135">
        <v>0</v>
      </c>
      <c r="JW135">
        <v>0</v>
      </c>
      <c r="JX135">
        <v>0</v>
      </c>
      <c r="JY135">
        <v>0</v>
      </c>
      <c r="JZ135">
        <v>0</v>
      </c>
      <c r="KA135">
        <v>0</v>
      </c>
      <c r="KB135">
        <v>0</v>
      </c>
      <c r="KC135">
        <v>3001</v>
      </c>
      <c r="KD135">
        <v>0</v>
      </c>
      <c r="KE135">
        <v>-3212</v>
      </c>
      <c r="KF135">
        <v>-211</v>
      </c>
      <c r="KG135">
        <v>0</v>
      </c>
      <c r="KH135">
        <v>0</v>
      </c>
      <c r="KI135">
        <v>0</v>
      </c>
      <c r="KJ135">
        <v>0</v>
      </c>
      <c r="KK135">
        <v>193</v>
      </c>
      <c r="KL135">
        <v>18</v>
      </c>
      <c r="KM135">
        <v>0</v>
      </c>
      <c r="KN135">
        <v>0</v>
      </c>
      <c r="KO135">
        <v>0</v>
      </c>
      <c r="KP135">
        <v>0</v>
      </c>
      <c r="KQ135">
        <v>0</v>
      </c>
      <c r="KR135">
        <v>0</v>
      </c>
      <c r="KS135">
        <v>0</v>
      </c>
      <c r="KT135">
        <v>0</v>
      </c>
      <c r="KU135">
        <v>0</v>
      </c>
      <c r="KV135">
        <v>2524</v>
      </c>
      <c r="KW135">
        <v>300</v>
      </c>
      <c r="KX135">
        <v>0</v>
      </c>
      <c r="KY135">
        <v>0</v>
      </c>
      <c r="KZ135">
        <v>0</v>
      </c>
      <c r="LA135">
        <v>2717</v>
      </c>
      <c r="LB135">
        <v>318</v>
      </c>
      <c r="LC135">
        <v>0</v>
      </c>
      <c r="LD135">
        <v>0</v>
      </c>
      <c r="LE135">
        <v>0</v>
      </c>
      <c r="LF135">
        <v>0</v>
      </c>
      <c r="LG135">
        <v>0</v>
      </c>
      <c r="LH135">
        <v>0</v>
      </c>
      <c r="LI135">
        <v>0</v>
      </c>
      <c r="LJ135">
        <v>0</v>
      </c>
      <c r="LK135">
        <v>0</v>
      </c>
      <c r="LL135">
        <v>0</v>
      </c>
      <c r="LM135">
        <v>0</v>
      </c>
      <c r="LN135">
        <v>0</v>
      </c>
      <c r="LO135">
        <v>0</v>
      </c>
      <c r="LP135">
        <v>0</v>
      </c>
      <c r="LQ135">
        <v>0</v>
      </c>
      <c r="LR135">
        <v>0</v>
      </c>
      <c r="LS135">
        <v>0</v>
      </c>
      <c r="LT135">
        <v>0</v>
      </c>
      <c r="LU135">
        <v>0</v>
      </c>
      <c r="LV135">
        <v>-44</v>
      </c>
      <c r="LW135">
        <v>0</v>
      </c>
      <c r="LX135">
        <v>0</v>
      </c>
      <c r="LY135">
        <v>0</v>
      </c>
      <c r="LZ135">
        <v>0</v>
      </c>
      <c r="MA135">
        <v>2119</v>
      </c>
      <c r="MB135">
        <v>73</v>
      </c>
      <c r="MC135">
        <v>513</v>
      </c>
      <c r="MD135">
        <v>0</v>
      </c>
      <c r="ME135">
        <v>0</v>
      </c>
      <c r="MF135">
        <v>275</v>
      </c>
      <c r="MG135">
        <v>0</v>
      </c>
      <c r="MH135">
        <v>2936</v>
      </c>
      <c r="MI135">
        <v>0</v>
      </c>
      <c r="MJ135">
        <v>0</v>
      </c>
      <c r="MK135">
        <v>0</v>
      </c>
      <c r="ML135">
        <v>0</v>
      </c>
      <c r="MM135">
        <v>0</v>
      </c>
      <c r="MN135">
        <v>0</v>
      </c>
      <c r="MO135">
        <v>0</v>
      </c>
      <c r="MP135">
        <v>0</v>
      </c>
      <c r="MQ135">
        <v>0</v>
      </c>
      <c r="MR135">
        <v>0</v>
      </c>
      <c r="MS135">
        <v>0</v>
      </c>
      <c r="MT135">
        <v>0</v>
      </c>
      <c r="MU135">
        <v>0</v>
      </c>
      <c r="MV135">
        <v>0</v>
      </c>
      <c r="MW135">
        <v>0</v>
      </c>
      <c r="MX135">
        <v>0</v>
      </c>
      <c r="MY135">
        <v>0</v>
      </c>
      <c r="MZ135">
        <v>0</v>
      </c>
      <c r="NA135">
        <v>0</v>
      </c>
      <c r="NB135">
        <v>0</v>
      </c>
      <c r="NC135">
        <v>0</v>
      </c>
      <c r="ND135">
        <v>0</v>
      </c>
      <c r="NE135">
        <v>0</v>
      </c>
      <c r="NF135">
        <v>0</v>
      </c>
      <c r="NG135">
        <v>0</v>
      </c>
      <c r="NH135">
        <v>0</v>
      </c>
      <c r="NI135">
        <v>0</v>
      </c>
      <c r="NJ135">
        <v>0</v>
      </c>
      <c r="NK135">
        <v>0</v>
      </c>
      <c r="NL135">
        <v>0</v>
      </c>
      <c r="NM135">
        <v>0</v>
      </c>
      <c r="NN135">
        <v>0</v>
      </c>
      <c r="NO135">
        <v>0</v>
      </c>
      <c r="NP135">
        <v>0</v>
      </c>
      <c r="NQ135">
        <v>0</v>
      </c>
      <c r="NR135">
        <v>0</v>
      </c>
      <c r="NS135">
        <v>0</v>
      </c>
      <c r="NT135">
        <v>0</v>
      </c>
      <c r="NU135">
        <v>0</v>
      </c>
      <c r="NV135">
        <v>0</v>
      </c>
      <c r="NW135">
        <v>0</v>
      </c>
      <c r="NX135">
        <v>0</v>
      </c>
      <c r="NY135">
        <v>0</v>
      </c>
      <c r="NZ135">
        <v>0</v>
      </c>
      <c r="OA135">
        <v>0</v>
      </c>
      <c r="OB135">
        <v>0</v>
      </c>
      <c r="OC135">
        <v>0</v>
      </c>
      <c r="OD135">
        <v>0</v>
      </c>
      <c r="OE135">
        <v>0</v>
      </c>
      <c r="OF135">
        <v>0</v>
      </c>
      <c r="OG135">
        <v>0</v>
      </c>
      <c r="OH135">
        <v>0</v>
      </c>
      <c r="OI135">
        <v>0</v>
      </c>
      <c r="OJ135">
        <v>0</v>
      </c>
      <c r="OK135">
        <v>0</v>
      </c>
      <c r="OL135">
        <v>0</v>
      </c>
      <c r="OM135">
        <v>0</v>
      </c>
      <c r="ON135">
        <v>0</v>
      </c>
    </row>
    <row r="136" spans="1:404" x14ac:dyDescent="0.25">
      <c r="A136" t="s">
        <v>472</v>
      </c>
      <c r="B136" t="s">
        <v>473</v>
      </c>
      <c r="C136" t="s">
        <v>471</v>
      </c>
      <c r="E136" t="s">
        <v>61</v>
      </c>
      <c r="F136">
        <v>0</v>
      </c>
      <c r="G136">
        <v>0</v>
      </c>
      <c r="H136">
        <v>0</v>
      </c>
      <c r="I136">
        <v>0</v>
      </c>
      <c r="J136">
        <v>0</v>
      </c>
      <c r="K136">
        <v>0</v>
      </c>
      <c r="L136">
        <v>0</v>
      </c>
      <c r="M136">
        <v>0</v>
      </c>
      <c r="N136">
        <v>0</v>
      </c>
      <c r="O136">
        <v>0</v>
      </c>
      <c r="P136">
        <v>0</v>
      </c>
      <c r="Q136">
        <v>0</v>
      </c>
      <c r="R136">
        <v>0</v>
      </c>
      <c r="S136">
        <v>0</v>
      </c>
      <c r="T136">
        <v>0</v>
      </c>
      <c r="U136">
        <v>33</v>
      </c>
      <c r="V136">
        <v>0</v>
      </c>
      <c r="W136">
        <v>0</v>
      </c>
      <c r="X136">
        <v>0</v>
      </c>
      <c r="Y136">
        <v>0</v>
      </c>
      <c r="Z136">
        <v>0</v>
      </c>
      <c r="AA136">
        <v>-271</v>
      </c>
      <c r="AB136">
        <v>0</v>
      </c>
      <c r="AC136">
        <v>7</v>
      </c>
      <c r="AD136">
        <v>27</v>
      </c>
      <c r="AE136">
        <v>0</v>
      </c>
      <c r="AF136">
        <v>0</v>
      </c>
      <c r="AG136">
        <v>0</v>
      </c>
      <c r="AH136">
        <v>0</v>
      </c>
      <c r="AI136">
        <v>-203</v>
      </c>
      <c r="AJ136">
        <v>0</v>
      </c>
      <c r="AK136">
        <v>0</v>
      </c>
      <c r="AL136">
        <v>0</v>
      </c>
      <c r="AM136">
        <v>0</v>
      </c>
      <c r="AN136">
        <v>0</v>
      </c>
      <c r="AO136">
        <v>0</v>
      </c>
      <c r="AP136">
        <v>0</v>
      </c>
      <c r="AQ136">
        <v>0</v>
      </c>
      <c r="AR136">
        <v>0</v>
      </c>
      <c r="AS136">
        <v>0</v>
      </c>
      <c r="AT136">
        <v>0</v>
      </c>
      <c r="AU136">
        <v>0</v>
      </c>
      <c r="AV136">
        <v>0</v>
      </c>
      <c r="AW136">
        <v>0</v>
      </c>
      <c r="AX136">
        <v>0</v>
      </c>
      <c r="AY136">
        <v>0</v>
      </c>
      <c r="AZ136">
        <v>0</v>
      </c>
      <c r="BA136">
        <v>0</v>
      </c>
      <c r="BB136">
        <v>0</v>
      </c>
      <c r="BC136">
        <v>0</v>
      </c>
      <c r="BD136">
        <v>0</v>
      </c>
      <c r="BE136">
        <v>0</v>
      </c>
      <c r="BF136">
        <v>0</v>
      </c>
      <c r="BG136">
        <v>0</v>
      </c>
      <c r="BH136">
        <v>0</v>
      </c>
      <c r="BI136">
        <v>0</v>
      </c>
      <c r="BJ136">
        <v>0</v>
      </c>
      <c r="BK136">
        <v>0</v>
      </c>
      <c r="BL136">
        <v>0</v>
      </c>
      <c r="BM136">
        <v>0</v>
      </c>
      <c r="BN136">
        <v>0</v>
      </c>
      <c r="BO136">
        <v>0</v>
      </c>
      <c r="BP136">
        <v>0</v>
      </c>
      <c r="BQ136">
        <v>0</v>
      </c>
      <c r="BR136">
        <v>0</v>
      </c>
      <c r="BS136">
        <v>0</v>
      </c>
      <c r="BT136">
        <v>0</v>
      </c>
      <c r="BU136">
        <v>0</v>
      </c>
      <c r="BV136">
        <v>0</v>
      </c>
      <c r="BW136">
        <v>0</v>
      </c>
      <c r="BX136">
        <v>0</v>
      </c>
      <c r="BY136">
        <v>0</v>
      </c>
      <c r="BZ136">
        <v>0</v>
      </c>
      <c r="CA136">
        <v>0</v>
      </c>
      <c r="CB136">
        <v>0</v>
      </c>
      <c r="CC136">
        <v>0</v>
      </c>
      <c r="CD136">
        <v>0</v>
      </c>
      <c r="CE136">
        <v>0</v>
      </c>
      <c r="CF136">
        <v>0</v>
      </c>
      <c r="CG136">
        <v>0</v>
      </c>
      <c r="CH136">
        <v>0</v>
      </c>
      <c r="CI136">
        <v>0</v>
      </c>
      <c r="CJ136">
        <v>0</v>
      </c>
      <c r="CK136">
        <v>0</v>
      </c>
      <c r="CL136">
        <v>0</v>
      </c>
      <c r="CM136">
        <v>0</v>
      </c>
      <c r="CN136">
        <v>0</v>
      </c>
      <c r="CO136">
        <v>0</v>
      </c>
      <c r="CP136">
        <v>0</v>
      </c>
      <c r="CQ136">
        <v>0</v>
      </c>
      <c r="CR136">
        <v>0</v>
      </c>
      <c r="CS136">
        <v>0</v>
      </c>
      <c r="CT136">
        <v>0</v>
      </c>
      <c r="CU136">
        <v>0</v>
      </c>
      <c r="CV136">
        <v>0</v>
      </c>
      <c r="CW136">
        <v>0</v>
      </c>
      <c r="CX136">
        <v>0</v>
      </c>
      <c r="CY136">
        <v>0</v>
      </c>
      <c r="CZ136">
        <v>0</v>
      </c>
      <c r="DA136">
        <v>0</v>
      </c>
      <c r="DB136">
        <v>0</v>
      </c>
      <c r="DC136">
        <v>310</v>
      </c>
      <c r="DD136">
        <v>0</v>
      </c>
      <c r="DE136">
        <v>21</v>
      </c>
      <c r="DF136">
        <v>82</v>
      </c>
      <c r="DG136">
        <v>0</v>
      </c>
      <c r="DH136">
        <v>134</v>
      </c>
      <c r="DI136">
        <v>0</v>
      </c>
      <c r="DJ136">
        <v>389</v>
      </c>
      <c r="DK136">
        <v>0</v>
      </c>
      <c r="DL136">
        <v>0</v>
      </c>
      <c r="DM136">
        <v>201</v>
      </c>
      <c r="DN136">
        <v>923</v>
      </c>
      <c r="DO136">
        <v>0</v>
      </c>
      <c r="DP136">
        <v>1646</v>
      </c>
      <c r="DQ136">
        <v>122</v>
      </c>
      <c r="DR136">
        <v>0</v>
      </c>
      <c r="DS136">
        <v>0</v>
      </c>
      <c r="DT136">
        <v>683</v>
      </c>
      <c r="DU136">
        <v>21</v>
      </c>
      <c r="DV136">
        <v>-7</v>
      </c>
      <c r="DW136">
        <v>0</v>
      </c>
      <c r="DX136">
        <v>2879</v>
      </c>
      <c r="DY136">
        <v>11243</v>
      </c>
      <c r="DZ136">
        <v>367</v>
      </c>
      <c r="EA136">
        <v>1257</v>
      </c>
      <c r="EB136">
        <v>33</v>
      </c>
      <c r="EC136">
        <v>0</v>
      </c>
      <c r="ED136">
        <v>0</v>
      </c>
      <c r="EE136">
        <v>119</v>
      </c>
      <c r="EF136">
        <v>3084</v>
      </c>
      <c r="EG136">
        <v>-11</v>
      </c>
      <c r="EH136">
        <v>3065</v>
      </c>
      <c r="EI136">
        <v>3835</v>
      </c>
      <c r="EJ136">
        <v>0</v>
      </c>
      <c r="EK136">
        <v>402</v>
      </c>
      <c r="EL136">
        <v>1400</v>
      </c>
      <c r="EM136">
        <v>2759</v>
      </c>
      <c r="EN136">
        <v>740</v>
      </c>
      <c r="EO136">
        <v>30</v>
      </c>
      <c r="EP136">
        <v>391</v>
      </c>
      <c r="EQ136">
        <v>2759</v>
      </c>
      <c r="ER136">
        <v>80</v>
      </c>
      <c r="ES136">
        <v>8808</v>
      </c>
      <c r="ET136">
        <v>9439</v>
      </c>
      <c r="EU136">
        <v>0</v>
      </c>
      <c r="EV136">
        <v>0</v>
      </c>
      <c r="EW136">
        <v>32</v>
      </c>
      <c r="EX136">
        <v>0</v>
      </c>
      <c r="EY136">
        <v>103</v>
      </c>
      <c r="EZ136">
        <v>172</v>
      </c>
      <c r="FA136">
        <v>-70</v>
      </c>
      <c r="FB136">
        <v>0</v>
      </c>
      <c r="FC136">
        <v>176</v>
      </c>
      <c r="FD136">
        <v>1968</v>
      </c>
      <c r="FE136">
        <v>0</v>
      </c>
      <c r="FF136">
        <v>0</v>
      </c>
      <c r="FG136">
        <v>0</v>
      </c>
      <c r="FH136">
        <v>2381</v>
      </c>
      <c r="FI136">
        <v>-92</v>
      </c>
      <c r="FJ136">
        <v>0</v>
      </c>
      <c r="FK136">
        <v>0</v>
      </c>
      <c r="FL136">
        <v>115</v>
      </c>
      <c r="FM136">
        <v>104</v>
      </c>
      <c r="FN136">
        <v>0</v>
      </c>
      <c r="FO136">
        <v>127</v>
      </c>
      <c r="FP136">
        <v>0</v>
      </c>
      <c r="FQ136">
        <v>0</v>
      </c>
      <c r="FR136">
        <v>49</v>
      </c>
      <c r="FS136">
        <v>216</v>
      </c>
      <c r="FT136">
        <v>0</v>
      </c>
      <c r="FU136">
        <v>-45</v>
      </c>
      <c r="FV136">
        <v>0</v>
      </c>
      <c r="FW136">
        <v>175</v>
      </c>
      <c r="FX136">
        <v>103</v>
      </c>
      <c r="FY136">
        <v>0</v>
      </c>
      <c r="FZ136">
        <v>0</v>
      </c>
      <c r="GA136">
        <v>0</v>
      </c>
      <c r="GB136">
        <v>330</v>
      </c>
      <c r="GC136">
        <v>0</v>
      </c>
      <c r="GD136">
        <v>1200</v>
      </c>
      <c r="GE136">
        <v>1098</v>
      </c>
      <c r="GF136">
        <v>0</v>
      </c>
      <c r="GG136">
        <v>0</v>
      </c>
      <c r="GH136">
        <v>1165</v>
      </c>
      <c r="GI136">
        <v>0</v>
      </c>
      <c r="GJ136">
        <v>0</v>
      </c>
      <c r="GK136">
        <v>4546</v>
      </c>
      <c r="GL136">
        <v>151</v>
      </c>
      <c r="GM136">
        <v>1377</v>
      </c>
      <c r="GN136">
        <v>42</v>
      </c>
      <c r="GO136">
        <v>1025</v>
      </c>
      <c r="GP136">
        <v>73</v>
      </c>
      <c r="GQ136">
        <v>2958</v>
      </c>
      <c r="GR136">
        <v>0</v>
      </c>
      <c r="GS136">
        <v>98</v>
      </c>
      <c r="GT136">
        <v>212</v>
      </c>
      <c r="GU136">
        <v>5936</v>
      </c>
      <c r="GV136">
        <v>12863</v>
      </c>
      <c r="GW136">
        <v>0</v>
      </c>
      <c r="GX136">
        <v>0</v>
      </c>
      <c r="GY136">
        <v>0</v>
      </c>
      <c r="GZ136">
        <v>0</v>
      </c>
      <c r="HA136">
        <v>0</v>
      </c>
      <c r="HB136">
        <v>2296</v>
      </c>
      <c r="HC136">
        <v>645</v>
      </c>
      <c r="HD136">
        <v>0</v>
      </c>
      <c r="HE136">
        <v>0</v>
      </c>
      <c r="HF136">
        <v>380</v>
      </c>
      <c r="HG136">
        <v>17</v>
      </c>
      <c r="HH136">
        <v>0</v>
      </c>
      <c r="HI136">
        <v>0</v>
      </c>
      <c r="HJ136">
        <v>199</v>
      </c>
      <c r="HK136">
        <v>159</v>
      </c>
      <c r="HL136">
        <v>69</v>
      </c>
      <c r="HM136">
        <v>-40</v>
      </c>
      <c r="HN136">
        <v>0</v>
      </c>
      <c r="HO136">
        <v>268</v>
      </c>
      <c r="HP136">
        <v>0</v>
      </c>
      <c r="HQ136">
        <v>0</v>
      </c>
      <c r="HR136">
        <v>0</v>
      </c>
      <c r="HS136">
        <v>0</v>
      </c>
      <c r="HT136">
        <v>0</v>
      </c>
      <c r="HU136">
        <v>0</v>
      </c>
      <c r="HV136">
        <v>3993</v>
      </c>
      <c r="HW136">
        <v>1048</v>
      </c>
      <c r="HX136">
        <v>4563</v>
      </c>
      <c r="HY136">
        <v>2</v>
      </c>
      <c r="HZ136">
        <v>0</v>
      </c>
      <c r="IA136">
        <v>17</v>
      </c>
      <c r="IB136">
        <v>0</v>
      </c>
      <c r="IC136">
        <v>0</v>
      </c>
      <c r="ID136">
        <v>-203</v>
      </c>
      <c r="IE136">
        <v>0</v>
      </c>
      <c r="IF136">
        <v>0</v>
      </c>
      <c r="IG136">
        <v>0</v>
      </c>
      <c r="IH136">
        <v>2879</v>
      </c>
      <c r="II136">
        <v>2381</v>
      </c>
      <c r="IJ136">
        <v>4546</v>
      </c>
      <c r="IK136">
        <v>5936</v>
      </c>
      <c r="IL136">
        <v>0</v>
      </c>
      <c r="IM136">
        <v>0</v>
      </c>
      <c r="IN136">
        <v>3993</v>
      </c>
      <c r="IO136">
        <v>0</v>
      </c>
      <c r="IP136">
        <v>19532</v>
      </c>
      <c r="IQ136">
        <v>8125</v>
      </c>
      <c r="IR136">
        <v>575</v>
      </c>
      <c r="IS136">
        <v>4986</v>
      </c>
      <c r="IT136">
        <v>0</v>
      </c>
      <c r="IU136">
        <v>0</v>
      </c>
      <c r="IV136">
        <v>0</v>
      </c>
      <c r="IW136">
        <v>0</v>
      </c>
      <c r="IX136">
        <v>0</v>
      </c>
      <c r="IY136">
        <v>0</v>
      </c>
      <c r="IZ136">
        <v>0</v>
      </c>
      <c r="JA136">
        <v>-3995</v>
      </c>
      <c r="JB136">
        <v>0</v>
      </c>
      <c r="JC136">
        <v>0</v>
      </c>
      <c r="JD136">
        <v>0</v>
      </c>
      <c r="JE136">
        <v>258</v>
      </c>
      <c r="JF136">
        <v>0</v>
      </c>
      <c r="JG136">
        <v>29480</v>
      </c>
      <c r="JH136">
        <v>0</v>
      </c>
      <c r="JI136">
        <v>4449</v>
      </c>
      <c r="JJ136">
        <v>0</v>
      </c>
      <c r="JK136">
        <v>0</v>
      </c>
      <c r="JL136">
        <v>0</v>
      </c>
      <c r="JM136">
        <v>113</v>
      </c>
      <c r="JN136">
        <v>1187</v>
      </c>
      <c r="JO136">
        <v>0</v>
      </c>
      <c r="JP136">
        <v>1440</v>
      </c>
      <c r="JQ136">
        <v>-274</v>
      </c>
      <c r="JR136">
        <v>36395</v>
      </c>
      <c r="JS136">
        <v>-465</v>
      </c>
      <c r="JT136">
        <v>0</v>
      </c>
      <c r="JU136">
        <v>-413</v>
      </c>
      <c r="JV136">
        <v>0</v>
      </c>
      <c r="JW136">
        <v>-14819</v>
      </c>
      <c r="JX136">
        <v>0</v>
      </c>
      <c r="JY136">
        <v>-716</v>
      </c>
      <c r="JZ136">
        <v>0</v>
      </c>
      <c r="KA136">
        <v>0</v>
      </c>
      <c r="KB136">
        <v>0</v>
      </c>
      <c r="KC136">
        <v>19982</v>
      </c>
      <c r="KD136">
        <v>0</v>
      </c>
      <c r="KE136">
        <v>-4563</v>
      </c>
      <c r="KF136">
        <v>15419</v>
      </c>
      <c r="KG136">
        <v>0</v>
      </c>
      <c r="KH136">
        <v>0</v>
      </c>
      <c r="KI136">
        <v>0</v>
      </c>
      <c r="KJ136">
        <v>0</v>
      </c>
      <c r="KK136">
        <v>154</v>
      </c>
      <c r="KL136">
        <v>1199</v>
      </c>
      <c r="KM136">
        <v>0</v>
      </c>
      <c r="KN136">
        <v>0</v>
      </c>
      <c r="KO136">
        <v>-3132</v>
      </c>
      <c r="KP136">
        <v>-69</v>
      </c>
      <c r="KQ136">
        <v>0</v>
      </c>
      <c r="KR136">
        <v>7456</v>
      </c>
      <c r="KS136">
        <v>0</v>
      </c>
      <c r="KT136">
        <v>0</v>
      </c>
      <c r="KU136">
        <v>0</v>
      </c>
      <c r="KV136">
        <v>13553</v>
      </c>
      <c r="KW136">
        <v>8213</v>
      </c>
      <c r="KX136">
        <v>0</v>
      </c>
      <c r="KY136">
        <v>0</v>
      </c>
      <c r="KZ136">
        <v>0</v>
      </c>
      <c r="LA136">
        <v>13707</v>
      </c>
      <c r="LB136">
        <v>9412</v>
      </c>
      <c r="LC136">
        <v>0</v>
      </c>
      <c r="LD136">
        <v>3460</v>
      </c>
      <c r="LE136">
        <v>0</v>
      </c>
      <c r="LF136">
        <v>1925</v>
      </c>
      <c r="LG136">
        <v>-793</v>
      </c>
      <c r="LH136">
        <v>793</v>
      </c>
      <c r="LI136">
        <v>-2636</v>
      </c>
      <c r="LJ136">
        <v>1930</v>
      </c>
      <c r="LK136">
        <v>1949</v>
      </c>
      <c r="LL136">
        <v>3879</v>
      </c>
      <c r="LM136">
        <v>0</v>
      </c>
      <c r="LN136">
        <v>0</v>
      </c>
      <c r="LO136">
        <v>0</v>
      </c>
      <c r="LP136">
        <v>16092</v>
      </c>
      <c r="LQ136">
        <v>15461</v>
      </c>
      <c r="LR136">
        <v>631</v>
      </c>
      <c r="LS136">
        <v>8808</v>
      </c>
      <c r="LT136">
        <v>9439</v>
      </c>
      <c r="LU136">
        <v>0</v>
      </c>
      <c r="LV136">
        <v>-203</v>
      </c>
      <c r="LW136">
        <v>0</v>
      </c>
      <c r="LX136">
        <v>0</v>
      </c>
      <c r="LY136">
        <v>0</v>
      </c>
      <c r="LZ136">
        <v>2879</v>
      </c>
      <c r="MA136">
        <v>2381</v>
      </c>
      <c r="MB136">
        <v>4546</v>
      </c>
      <c r="MC136">
        <v>5936</v>
      </c>
      <c r="MD136">
        <v>0</v>
      </c>
      <c r="ME136">
        <v>0</v>
      </c>
      <c r="MF136">
        <v>3993</v>
      </c>
      <c r="MG136">
        <v>0</v>
      </c>
      <c r="MH136">
        <v>19532</v>
      </c>
      <c r="MI136">
        <v>0</v>
      </c>
      <c r="MJ136">
        <v>0</v>
      </c>
      <c r="MK136">
        <v>0</v>
      </c>
      <c r="ML136">
        <v>0</v>
      </c>
      <c r="MM136">
        <v>0</v>
      </c>
      <c r="MN136">
        <v>0</v>
      </c>
      <c r="MO136">
        <v>0</v>
      </c>
      <c r="MP136">
        <v>0</v>
      </c>
      <c r="MQ136">
        <v>0</v>
      </c>
      <c r="MR136">
        <v>0</v>
      </c>
      <c r="MS136">
        <v>0</v>
      </c>
      <c r="MT136">
        <v>0</v>
      </c>
      <c r="MU136">
        <v>-151</v>
      </c>
      <c r="MV136">
        <v>-7</v>
      </c>
      <c r="MW136">
        <v>-1180</v>
      </c>
      <c r="MX136">
        <v>-288</v>
      </c>
      <c r="MY136">
        <v>-3216</v>
      </c>
      <c r="MZ136">
        <v>0</v>
      </c>
      <c r="NA136">
        <v>-3995</v>
      </c>
      <c r="NB136">
        <v>0</v>
      </c>
      <c r="NC136">
        <v>-3995</v>
      </c>
      <c r="ND136">
        <v>0</v>
      </c>
      <c r="NE136">
        <v>0</v>
      </c>
      <c r="NF136">
        <v>0</v>
      </c>
      <c r="NG136">
        <v>0</v>
      </c>
      <c r="NH136">
        <v>0</v>
      </c>
      <c r="NI136">
        <v>0</v>
      </c>
      <c r="NJ136">
        <v>0</v>
      </c>
      <c r="NK136">
        <v>0</v>
      </c>
      <c r="NL136">
        <v>0</v>
      </c>
      <c r="NM136">
        <v>0</v>
      </c>
      <c r="NN136">
        <v>0</v>
      </c>
      <c r="NO136">
        <v>0</v>
      </c>
      <c r="NP136">
        <v>0</v>
      </c>
      <c r="NQ136">
        <v>0</v>
      </c>
      <c r="NR136">
        <v>0</v>
      </c>
      <c r="NS136">
        <v>0</v>
      </c>
      <c r="NT136">
        <v>0</v>
      </c>
      <c r="NU136">
        <v>0</v>
      </c>
      <c r="NV136">
        <v>0</v>
      </c>
      <c r="NW136">
        <v>0</v>
      </c>
      <c r="NX136">
        <v>0</v>
      </c>
      <c r="NY136">
        <v>0</v>
      </c>
      <c r="NZ136">
        <v>0</v>
      </c>
      <c r="OA136">
        <v>0</v>
      </c>
      <c r="OB136">
        <v>0</v>
      </c>
      <c r="OC136">
        <v>0</v>
      </c>
      <c r="OD136">
        <v>0</v>
      </c>
      <c r="OE136">
        <v>0</v>
      </c>
      <c r="OF136">
        <v>0</v>
      </c>
      <c r="OG136">
        <v>0</v>
      </c>
      <c r="OH136">
        <v>0</v>
      </c>
      <c r="OI136">
        <v>0</v>
      </c>
      <c r="OJ136">
        <v>0</v>
      </c>
      <c r="OK136">
        <v>0</v>
      </c>
      <c r="OL136">
        <v>0</v>
      </c>
      <c r="OM136">
        <v>0</v>
      </c>
      <c r="ON136">
        <v>0</v>
      </c>
    </row>
    <row r="137" spans="1:404" x14ac:dyDescent="0.25">
      <c r="A137" t="s">
        <v>475</v>
      </c>
      <c r="B137" t="s">
        <v>476</v>
      </c>
      <c r="C137" t="s">
        <v>474</v>
      </c>
      <c r="E137" t="s">
        <v>61</v>
      </c>
      <c r="F137">
        <v>0</v>
      </c>
      <c r="G137">
        <v>0</v>
      </c>
      <c r="H137">
        <v>0</v>
      </c>
      <c r="I137">
        <v>0</v>
      </c>
      <c r="J137">
        <v>0</v>
      </c>
      <c r="K137">
        <v>0</v>
      </c>
      <c r="L137">
        <v>0</v>
      </c>
      <c r="M137">
        <v>0</v>
      </c>
      <c r="N137">
        <v>-98</v>
      </c>
      <c r="O137">
        <v>0</v>
      </c>
      <c r="P137">
        <v>0</v>
      </c>
      <c r="Q137">
        <v>0</v>
      </c>
      <c r="R137">
        <v>0</v>
      </c>
      <c r="S137">
        <v>47</v>
      </c>
      <c r="T137">
        <v>0</v>
      </c>
      <c r="U137">
        <v>0</v>
      </c>
      <c r="V137">
        <v>0</v>
      </c>
      <c r="W137">
        <v>0</v>
      </c>
      <c r="X137">
        <v>0</v>
      </c>
      <c r="Y137">
        <v>0</v>
      </c>
      <c r="Z137">
        <v>0</v>
      </c>
      <c r="AA137">
        <v>343</v>
      </c>
      <c r="AB137">
        <v>0</v>
      </c>
      <c r="AC137">
        <v>0</v>
      </c>
      <c r="AD137">
        <v>50</v>
      </c>
      <c r="AE137">
        <v>0</v>
      </c>
      <c r="AF137">
        <v>0</v>
      </c>
      <c r="AG137">
        <v>0</v>
      </c>
      <c r="AH137">
        <v>0</v>
      </c>
      <c r="AI137">
        <v>342</v>
      </c>
      <c r="AJ137">
        <v>0</v>
      </c>
      <c r="AK137">
        <v>0</v>
      </c>
      <c r="AL137">
        <v>0</v>
      </c>
      <c r="AM137">
        <v>0</v>
      </c>
      <c r="AN137">
        <v>0</v>
      </c>
      <c r="AO137">
        <v>0</v>
      </c>
      <c r="AP137">
        <v>0</v>
      </c>
      <c r="AQ137">
        <v>0</v>
      </c>
      <c r="AR137">
        <v>0</v>
      </c>
      <c r="AS137">
        <v>0</v>
      </c>
      <c r="AT137">
        <v>0</v>
      </c>
      <c r="AU137">
        <v>0</v>
      </c>
      <c r="AV137">
        <v>0</v>
      </c>
      <c r="AW137">
        <v>0</v>
      </c>
      <c r="AX137">
        <v>0</v>
      </c>
      <c r="AY137">
        <v>0</v>
      </c>
      <c r="AZ137">
        <v>0</v>
      </c>
      <c r="BA137">
        <v>0</v>
      </c>
      <c r="BB137">
        <v>0</v>
      </c>
      <c r="BC137">
        <v>0</v>
      </c>
      <c r="BD137">
        <v>0</v>
      </c>
      <c r="BE137">
        <v>0</v>
      </c>
      <c r="BF137">
        <v>0</v>
      </c>
      <c r="BG137">
        <v>0</v>
      </c>
      <c r="BH137">
        <v>0</v>
      </c>
      <c r="BI137">
        <v>0</v>
      </c>
      <c r="BJ137">
        <v>0</v>
      </c>
      <c r="BK137">
        <v>0</v>
      </c>
      <c r="BL137">
        <v>0</v>
      </c>
      <c r="BM137">
        <v>0</v>
      </c>
      <c r="BN137">
        <v>0</v>
      </c>
      <c r="BO137">
        <v>0</v>
      </c>
      <c r="BP137">
        <v>0</v>
      </c>
      <c r="BQ137">
        <v>0</v>
      </c>
      <c r="BR137">
        <v>0</v>
      </c>
      <c r="BS137">
        <v>0</v>
      </c>
      <c r="BT137">
        <v>0</v>
      </c>
      <c r="BU137">
        <v>0</v>
      </c>
      <c r="BV137">
        <v>0</v>
      </c>
      <c r="BW137">
        <v>0</v>
      </c>
      <c r="BX137">
        <v>0</v>
      </c>
      <c r="BY137">
        <v>0</v>
      </c>
      <c r="BZ137">
        <v>0</v>
      </c>
      <c r="CA137">
        <v>0</v>
      </c>
      <c r="CB137">
        <v>0</v>
      </c>
      <c r="CC137">
        <v>0</v>
      </c>
      <c r="CD137">
        <v>0</v>
      </c>
      <c r="CE137">
        <v>0</v>
      </c>
      <c r="CF137">
        <v>0</v>
      </c>
      <c r="CG137">
        <v>0</v>
      </c>
      <c r="CH137">
        <v>0</v>
      </c>
      <c r="CI137">
        <v>0</v>
      </c>
      <c r="CJ137">
        <v>0</v>
      </c>
      <c r="CK137">
        <v>0</v>
      </c>
      <c r="CL137">
        <v>0</v>
      </c>
      <c r="CM137">
        <v>0</v>
      </c>
      <c r="CN137">
        <v>0</v>
      </c>
      <c r="CO137">
        <v>0</v>
      </c>
      <c r="CP137">
        <v>0</v>
      </c>
      <c r="CQ137">
        <v>0</v>
      </c>
      <c r="CR137">
        <v>0</v>
      </c>
      <c r="CS137">
        <v>0</v>
      </c>
      <c r="CT137">
        <v>0</v>
      </c>
      <c r="CU137">
        <v>0</v>
      </c>
      <c r="CV137">
        <v>489</v>
      </c>
      <c r="CW137">
        <v>0</v>
      </c>
      <c r="CX137">
        <v>0</v>
      </c>
      <c r="CY137">
        <v>0</v>
      </c>
      <c r="CZ137">
        <v>0</v>
      </c>
      <c r="DA137">
        <v>0</v>
      </c>
      <c r="DB137">
        <v>0</v>
      </c>
      <c r="DC137">
        <v>181</v>
      </c>
      <c r="DD137">
        <v>0</v>
      </c>
      <c r="DE137">
        <v>82</v>
      </c>
      <c r="DF137">
        <v>0</v>
      </c>
      <c r="DG137">
        <v>0</v>
      </c>
      <c r="DH137">
        <v>14</v>
      </c>
      <c r="DI137">
        <v>10</v>
      </c>
      <c r="DJ137">
        <v>179</v>
      </c>
      <c r="DK137">
        <v>32</v>
      </c>
      <c r="DL137">
        <v>0</v>
      </c>
      <c r="DM137">
        <v>53</v>
      </c>
      <c r="DN137">
        <v>383</v>
      </c>
      <c r="DO137">
        <v>536</v>
      </c>
      <c r="DP137">
        <v>1207</v>
      </c>
      <c r="DQ137">
        <v>151</v>
      </c>
      <c r="DR137">
        <v>0</v>
      </c>
      <c r="DS137">
        <v>0</v>
      </c>
      <c r="DT137">
        <v>843</v>
      </c>
      <c r="DU137">
        <v>-50</v>
      </c>
      <c r="DV137">
        <v>38</v>
      </c>
      <c r="DW137">
        <v>0</v>
      </c>
      <c r="DX137">
        <v>2452</v>
      </c>
      <c r="DY137">
        <v>0</v>
      </c>
      <c r="DZ137">
        <v>0</v>
      </c>
      <c r="EA137">
        <v>0</v>
      </c>
      <c r="EB137">
        <v>0</v>
      </c>
      <c r="EC137">
        <v>0</v>
      </c>
      <c r="ED137">
        <v>0</v>
      </c>
      <c r="EE137">
        <v>0</v>
      </c>
      <c r="EF137">
        <v>0</v>
      </c>
      <c r="EG137">
        <v>0</v>
      </c>
      <c r="EH137">
        <v>0</v>
      </c>
      <c r="EI137">
        <v>0</v>
      </c>
      <c r="EJ137">
        <v>0</v>
      </c>
      <c r="EK137">
        <v>0</v>
      </c>
      <c r="EL137">
        <v>0</v>
      </c>
      <c r="EM137">
        <v>0</v>
      </c>
      <c r="EN137">
        <v>0</v>
      </c>
      <c r="EO137">
        <v>0</v>
      </c>
      <c r="EP137">
        <v>0</v>
      </c>
      <c r="EQ137">
        <v>0</v>
      </c>
      <c r="ER137">
        <v>0</v>
      </c>
      <c r="ES137">
        <v>0</v>
      </c>
      <c r="ET137">
        <v>0</v>
      </c>
      <c r="EU137">
        <v>0</v>
      </c>
      <c r="EV137">
        <v>15</v>
      </c>
      <c r="EW137">
        <v>47</v>
      </c>
      <c r="EX137">
        <v>0</v>
      </c>
      <c r="EY137">
        <v>0</v>
      </c>
      <c r="EZ137">
        <v>0</v>
      </c>
      <c r="FA137">
        <v>0</v>
      </c>
      <c r="FB137">
        <v>156</v>
      </c>
      <c r="FC137">
        <v>-192</v>
      </c>
      <c r="FD137">
        <v>768</v>
      </c>
      <c r="FE137">
        <v>0</v>
      </c>
      <c r="FF137">
        <v>1</v>
      </c>
      <c r="FG137">
        <v>0</v>
      </c>
      <c r="FH137">
        <v>795</v>
      </c>
      <c r="FI137">
        <v>5</v>
      </c>
      <c r="FJ137">
        <v>0</v>
      </c>
      <c r="FK137">
        <v>170</v>
      </c>
      <c r="FL137">
        <v>190</v>
      </c>
      <c r="FM137">
        <v>164</v>
      </c>
      <c r="FN137">
        <v>44</v>
      </c>
      <c r="FO137">
        <v>80</v>
      </c>
      <c r="FP137">
        <v>1</v>
      </c>
      <c r="FQ137">
        <v>0</v>
      </c>
      <c r="FR137">
        <v>5</v>
      </c>
      <c r="FS137">
        <v>42</v>
      </c>
      <c r="FT137">
        <v>191</v>
      </c>
      <c r="FU137">
        <v>67</v>
      </c>
      <c r="FV137">
        <v>142</v>
      </c>
      <c r="FW137">
        <v>86</v>
      </c>
      <c r="FX137">
        <v>17</v>
      </c>
      <c r="FY137">
        <v>0</v>
      </c>
      <c r="FZ137">
        <v>18</v>
      </c>
      <c r="GA137">
        <v>1594</v>
      </c>
      <c r="GB137">
        <v>0</v>
      </c>
      <c r="GC137">
        <v>0</v>
      </c>
      <c r="GD137">
        <v>798</v>
      </c>
      <c r="GE137">
        <v>1021</v>
      </c>
      <c r="GF137">
        <v>0</v>
      </c>
      <c r="GG137">
        <v>0</v>
      </c>
      <c r="GH137">
        <v>-25</v>
      </c>
      <c r="GI137">
        <v>0</v>
      </c>
      <c r="GJ137">
        <v>40</v>
      </c>
      <c r="GK137">
        <v>4650</v>
      </c>
      <c r="GL137">
        <v>55</v>
      </c>
      <c r="GM137">
        <v>324</v>
      </c>
      <c r="GN137">
        <v>-3841</v>
      </c>
      <c r="GO137">
        <v>249</v>
      </c>
      <c r="GP137">
        <v>0</v>
      </c>
      <c r="GQ137">
        <v>175</v>
      </c>
      <c r="GR137">
        <v>0</v>
      </c>
      <c r="GS137">
        <v>31</v>
      </c>
      <c r="GT137">
        <v>357</v>
      </c>
      <c r="GU137">
        <v>-2650</v>
      </c>
      <c r="GV137">
        <v>2795</v>
      </c>
      <c r="GW137">
        <v>0</v>
      </c>
      <c r="GX137">
        <v>0</v>
      </c>
      <c r="GY137">
        <v>0</v>
      </c>
      <c r="GZ137">
        <v>0</v>
      </c>
      <c r="HA137">
        <v>0</v>
      </c>
      <c r="HB137">
        <v>2013</v>
      </c>
      <c r="HC137">
        <v>868</v>
      </c>
      <c r="HD137">
        <v>0</v>
      </c>
      <c r="HE137">
        <v>0</v>
      </c>
      <c r="HF137">
        <v>349</v>
      </c>
      <c r="HG137">
        <v>238</v>
      </c>
      <c r="HH137">
        <v>0</v>
      </c>
      <c r="HI137">
        <v>0</v>
      </c>
      <c r="HJ137">
        <v>140</v>
      </c>
      <c r="HK137">
        <v>110</v>
      </c>
      <c r="HL137">
        <v>133</v>
      </c>
      <c r="HM137">
        <v>-64</v>
      </c>
      <c r="HN137">
        <v>0</v>
      </c>
      <c r="HO137">
        <v>57</v>
      </c>
      <c r="HP137">
        <v>0</v>
      </c>
      <c r="HQ137">
        <v>0</v>
      </c>
      <c r="HR137">
        <v>959</v>
      </c>
      <c r="HS137">
        <v>0</v>
      </c>
      <c r="HT137">
        <v>0</v>
      </c>
      <c r="HU137">
        <v>-22</v>
      </c>
      <c r="HV137">
        <v>4781</v>
      </c>
      <c r="HW137">
        <v>1238</v>
      </c>
      <c r="HX137">
        <v>4039</v>
      </c>
      <c r="HY137">
        <v>0</v>
      </c>
      <c r="HZ137">
        <v>0</v>
      </c>
      <c r="IA137">
        <v>0</v>
      </c>
      <c r="IB137">
        <v>98</v>
      </c>
      <c r="IC137">
        <v>0</v>
      </c>
      <c r="ID137">
        <v>342</v>
      </c>
      <c r="IE137">
        <v>0</v>
      </c>
      <c r="IF137">
        <v>0</v>
      </c>
      <c r="IG137">
        <v>489</v>
      </c>
      <c r="IH137">
        <v>2452</v>
      </c>
      <c r="II137">
        <v>795</v>
      </c>
      <c r="IJ137">
        <v>4650</v>
      </c>
      <c r="IK137">
        <v>-2650</v>
      </c>
      <c r="IL137">
        <v>0</v>
      </c>
      <c r="IM137">
        <v>0</v>
      </c>
      <c r="IN137">
        <v>4781</v>
      </c>
      <c r="IO137">
        <v>98</v>
      </c>
      <c r="IP137">
        <v>10957</v>
      </c>
      <c r="IQ137">
        <v>20496</v>
      </c>
      <c r="IR137">
        <v>519</v>
      </c>
      <c r="IS137">
        <v>0</v>
      </c>
      <c r="IT137">
        <v>0</v>
      </c>
      <c r="IU137">
        <v>0</v>
      </c>
      <c r="IV137">
        <v>1448</v>
      </c>
      <c r="IW137">
        <v>0</v>
      </c>
      <c r="IX137">
        <v>0</v>
      </c>
      <c r="IY137">
        <v>0</v>
      </c>
      <c r="IZ137">
        <v>652</v>
      </c>
      <c r="JA137">
        <v>1029</v>
      </c>
      <c r="JB137">
        <v>0</v>
      </c>
      <c r="JC137">
        <v>-208</v>
      </c>
      <c r="JD137">
        <v>0</v>
      </c>
      <c r="JE137">
        <v>60</v>
      </c>
      <c r="JF137">
        <v>0</v>
      </c>
      <c r="JG137">
        <v>34953</v>
      </c>
      <c r="JH137">
        <v>0</v>
      </c>
      <c r="JI137">
        <v>584</v>
      </c>
      <c r="JJ137">
        <v>0</v>
      </c>
      <c r="JK137">
        <v>0</v>
      </c>
      <c r="JL137">
        <v>0</v>
      </c>
      <c r="JM137">
        <v>318</v>
      </c>
      <c r="JN137">
        <v>366</v>
      </c>
      <c r="JO137">
        <v>0</v>
      </c>
      <c r="JP137">
        <v>492</v>
      </c>
      <c r="JQ137">
        <v>0</v>
      </c>
      <c r="JR137">
        <v>36713</v>
      </c>
      <c r="JS137">
        <v>-344</v>
      </c>
      <c r="JT137">
        <v>0</v>
      </c>
      <c r="JU137">
        <v>0</v>
      </c>
      <c r="JV137">
        <v>0</v>
      </c>
      <c r="JW137">
        <v>-20229</v>
      </c>
      <c r="JX137">
        <v>0</v>
      </c>
      <c r="JY137">
        <v>0</v>
      </c>
      <c r="JZ137">
        <v>0</v>
      </c>
      <c r="KA137">
        <v>0</v>
      </c>
      <c r="KB137">
        <v>0</v>
      </c>
      <c r="KC137">
        <v>16140</v>
      </c>
      <c r="KD137">
        <v>0</v>
      </c>
      <c r="KE137">
        <v>-3381</v>
      </c>
      <c r="KF137">
        <v>12759</v>
      </c>
      <c r="KG137">
        <v>0</v>
      </c>
      <c r="KH137">
        <v>0</v>
      </c>
      <c r="KI137">
        <v>0</v>
      </c>
      <c r="KJ137">
        <v>0</v>
      </c>
      <c r="KK137">
        <v>1181</v>
      </c>
      <c r="KL137">
        <v>0</v>
      </c>
      <c r="KM137">
        <v>0</v>
      </c>
      <c r="KN137">
        <v>0</v>
      </c>
      <c r="KO137">
        <v>-2078</v>
      </c>
      <c r="KP137">
        <v>43</v>
      </c>
      <c r="KQ137">
        <v>385</v>
      </c>
      <c r="KR137">
        <v>9300</v>
      </c>
      <c r="KS137">
        <v>0</v>
      </c>
      <c r="KT137">
        <v>0</v>
      </c>
      <c r="KU137">
        <v>0</v>
      </c>
      <c r="KV137">
        <v>11158</v>
      </c>
      <c r="KW137">
        <v>2000</v>
      </c>
      <c r="KX137">
        <v>0</v>
      </c>
      <c r="KY137">
        <v>0</v>
      </c>
      <c r="KZ137">
        <v>0</v>
      </c>
      <c r="LA137">
        <v>12339</v>
      </c>
      <c r="LB137">
        <v>2000</v>
      </c>
      <c r="LC137">
        <v>0</v>
      </c>
      <c r="LD137">
        <v>1486</v>
      </c>
      <c r="LE137">
        <v>255</v>
      </c>
      <c r="LF137">
        <v>0</v>
      </c>
      <c r="LG137">
        <v>4539</v>
      </c>
      <c r="LH137">
        <v>8391</v>
      </c>
      <c r="LI137">
        <v>12967</v>
      </c>
      <c r="LJ137">
        <v>3519</v>
      </c>
      <c r="LK137">
        <v>3838</v>
      </c>
      <c r="LL137">
        <v>7357</v>
      </c>
      <c r="LM137">
        <v>0</v>
      </c>
      <c r="LN137">
        <v>0</v>
      </c>
      <c r="LO137">
        <v>0</v>
      </c>
      <c r="LP137">
        <v>0</v>
      </c>
      <c r="LQ137">
        <v>0</v>
      </c>
      <c r="LR137">
        <v>0</v>
      </c>
      <c r="LS137">
        <v>0</v>
      </c>
      <c r="LT137">
        <v>0</v>
      </c>
      <c r="LU137">
        <v>0</v>
      </c>
      <c r="LV137">
        <v>342</v>
      </c>
      <c r="LW137">
        <v>0</v>
      </c>
      <c r="LX137">
        <v>0</v>
      </c>
      <c r="LY137">
        <v>489</v>
      </c>
      <c r="LZ137">
        <v>2452</v>
      </c>
      <c r="MA137">
        <v>795</v>
      </c>
      <c r="MB137">
        <v>4650</v>
      </c>
      <c r="MC137">
        <v>-2650</v>
      </c>
      <c r="MD137">
        <v>0</v>
      </c>
      <c r="ME137">
        <v>0</v>
      </c>
      <c r="MF137">
        <v>4781</v>
      </c>
      <c r="MG137">
        <v>98</v>
      </c>
      <c r="MH137">
        <v>10957</v>
      </c>
      <c r="MI137">
        <v>0</v>
      </c>
      <c r="MJ137">
        <v>0</v>
      </c>
      <c r="MK137">
        <v>428</v>
      </c>
      <c r="ML137">
        <v>0</v>
      </c>
      <c r="MM137">
        <v>0</v>
      </c>
      <c r="MN137">
        <v>0</v>
      </c>
      <c r="MO137">
        <v>0</v>
      </c>
      <c r="MP137">
        <v>0</v>
      </c>
      <c r="MQ137">
        <v>0</v>
      </c>
      <c r="MR137">
        <v>0</v>
      </c>
      <c r="MS137">
        <v>0</v>
      </c>
      <c r="MT137">
        <v>0</v>
      </c>
      <c r="MU137">
        <v>-145</v>
      </c>
      <c r="MV137">
        <v>0</v>
      </c>
      <c r="MW137">
        <v>0</v>
      </c>
      <c r="MX137">
        <v>466</v>
      </c>
      <c r="MY137">
        <v>0</v>
      </c>
      <c r="MZ137">
        <v>72</v>
      </c>
      <c r="NA137">
        <v>821</v>
      </c>
      <c r="NB137">
        <v>208</v>
      </c>
      <c r="NC137">
        <v>1029</v>
      </c>
      <c r="ND137">
        <v>0</v>
      </c>
      <c r="NE137">
        <v>0</v>
      </c>
      <c r="NF137">
        <v>0</v>
      </c>
      <c r="NG137">
        <v>0</v>
      </c>
      <c r="NH137">
        <v>0</v>
      </c>
      <c r="NI137">
        <v>0</v>
      </c>
      <c r="NJ137">
        <v>0</v>
      </c>
      <c r="NK137">
        <v>0</v>
      </c>
      <c r="NL137">
        <v>0</v>
      </c>
      <c r="NM137">
        <v>0</v>
      </c>
      <c r="NN137">
        <v>0</v>
      </c>
      <c r="NO137">
        <v>0</v>
      </c>
      <c r="NP137">
        <v>0</v>
      </c>
      <c r="NQ137">
        <v>0</v>
      </c>
      <c r="NR137">
        <v>0</v>
      </c>
      <c r="NS137">
        <v>0</v>
      </c>
      <c r="NT137">
        <v>0</v>
      </c>
      <c r="NU137">
        <v>0</v>
      </c>
      <c r="NV137">
        <v>0</v>
      </c>
      <c r="NW137">
        <v>0</v>
      </c>
      <c r="NX137">
        <v>0</v>
      </c>
      <c r="NY137">
        <v>0</v>
      </c>
      <c r="NZ137">
        <v>0</v>
      </c>
      <c r="OA137">
        <v>0</v>
      </c>
      <c r="OB137">
        <v>0</v>
      </c>
      <c r="OC137">
        <v>357</v>
      </c>
      <c r="OD137">
        <v>0</v>
      </c>
      <c r="OE137">
        <v>-149</v>
      </c>
      <c r="OF137">
        <v>0</v>
      </c>
      <c r="OG137">
        <v>0</v>
      </c>
      <c r="OH137">
        <v>208</v>
      </c>
      <c r="OI137">
        <v>0</v>
      </c>
      <c r="OJ137">
        <v>0</v>
      </c>
      <c r="OK137">
        <v>0</v>
      </c>
      <c r="OL137">
        <v>0</v>
      </c>
      <c r="OM137">
        <v>0</v>
      </c>
      <c r="ON137">
        <v>0</v>
      </c>
    </row>
    <row r="138" spans="1:404" x14ac:dyDescent="0.25">
      <c r="A138" t="s">
        <v>478</v>
      </c>
      <c r="B138" t="s">
        <v>479</v>
      </c>
      <c r="C138" t="s">
        <v>5428</v>
      </c>
      <c r="E138" t="s">
        <v>61</v>
      </c>
      <c r="F138">
        <v>0</v>
      </c>
      <c r="G138">
        <v>0</v>
      </c>
      <c r="H138">
        <v>0</v>
      </c>
      <c r="I138">
        <v>0</v>
      </c>
      <c r="J138">
        <v>0</v>
      </c>
      <c r="K138">
        <v>0</v>
      </c>
      <c r="L138">
        <v>0</v>
      </c>
      <c r="M138">
        <v>0</v>
      </c>
      <c r="N138">
        <v>0</v>
      </c>
      <c r="O138">
        <v>0</v>
      </c>
      <c r="P138">
        <v>0</v>
      </c>
      <c r="Q138">
        <v>0</v>
      </c>
      <c r="R138">
        <v>0</v>
      </c>
      <c r="S138">
        <v>0</v>
      </c>
      <c r="T138">
        <v>0</v>
      </c>
      <c r="U138">
        <v>107</v>
      </c>
      <c r="V138">
        <v>0</v>
      </c>
      <c r="W138">
        <v>0</v>
      </c>
      <c r="X138">
        <v>0</v>
      </c>
      <c r="Y138">
        <v>42</v>
      </c>
      <c r="Z138">
        <v>66</v>
      </c>
      <c r="AA138">
        <v>-671</v>
      </c>
      <c r="AB138">
        <v>0</v>
      </c>
      <c r="AC138">
        <v>0</v>
      </c>
      <c r="AD138">
        <v>0</v>
      </c>
      <c r="AE138">
        <v>0</v>
      </c>
      <c r="AF138">
        <v>0</v>
      </c>
      <c r="AG138">
        <v>20</v>
      </c>
      <c r="AH138">
        <v>0</v>
      </c>
      <c r="AI138">
        <v>-436</v>
      </c>
      <c r="AJ138">
        <v>0</v>
      </c>
      <c r="AK138">
        <v>0</v>
      </c>
      <c r="AL138">
        <v>0</v>
      </c>
      <c r="AM138">
        <v>0</v>
      </c>
      <c r="AN138">
        <v>0</v>
      </c>
      <c r="AO138">
        <v>0</v>
      </c>
      <c r="AP138">
        <v>0</v>
      </c>
      <c r="AQ138">
        <v>421</v>
      </c>
      <c r="AR138">
        <v>458</v>
      </c>
      <c r="AS138">
        <v>0</v>
      </c>
      <c r="AT138">
        <v>0</v>
      </c>
      <c r="AU138">
        <v>0</v>
      </c>
      <c r="AV138">
        <v>0</v>
      </c>
      <c r="AW138">
        <v>0</v>
      </c>
      <c r="AX138">
        <v>0</v>
      </c>
      <c r="AY138">
        <v>0</v>
      </c>
      <c r="AZ138">
        <v>0</v>
      </c>
      <c r="BA138">
        <v>0</v>
      </c>
      <c r="BB138">
        <v>0</v>
      </c>
      <c r="BC138">
        <v>0</v>
      </c>
      <c r="BD138">
        <v>0</v>
      </c>
      <c r="BE138">
        <v>0</v>
      </c>
      <c r="BF138">
        <v>0</v>
      </c>
      <c r="BG138">
        <v>0</v>
      </c>
      <c r="BH138">
        <v>0</v>
      </c>
      <c r="BI138">
        <v>0</v>
      </c>
      <c r="BJ138">
        <v>0</v>
      </c>
      <c r="BK138">
        <v>0</v>
      </c>
      <c r="BL138">
        <v>0</v>
      </c>
      <c r="BM138">
        <v>0</v>
      </c>
      <c r="BN138">
        <v>0</v>
      </c>
      <c r="BO138">
        <v>0</v>
      </c>
      <c r="BP138">
        <v>0</v>
      </c>
      <c r="BQ138">
        <v>0</v>
      </c>
      <c r="BR138">
        <v>0</v>
      </c>
      <c r="BS138">
        <v>0</v>
      </c>
      <c r="BT138">
        <v>0</v>
      </c>
      <c r="BU138">
        <v>0</v>
      </c>
      <c r="BV138">
        <v>0</v>
      </c>
      <c r="BW138">
        <v>0</v>
      </c>
      <c r="BX138">
        <v>0</v>
      </c>
      <c r="BY138">
        <v>0</v>
      </c>
      <c r="BZ138">
        <v>0</v>
      </c>
      <c r="CA138">
        <v>0</v>
      </c>
      <c r="CB138">
        <v>0</v>
      </c>
      <c r="CC138">
        <v>0</v>
      </c>
      <c r="CD138">
        <v>0</v>
      </c>
      <c r="CE138">
        <v>0</v>
      </c>
      <c r="CF138">
        <v>0</v>
      </c>
      <c r="CG138">
        <v>0</v>
      </c>
      <c r="CH138">
        <v>0</v>
      </c>
      <c r="CI138">
        <v>0</v>
      </c>
      <c r="CJ138">
        <v>0</v>
      </c>
      <c r="CK138">
        <v>0</v>
      </c>
      <c r="CL138">
        <v>0</v>
      </c>
      <c r="CM138">
        <v>0</v>
      </c>
      <c r="CN138">
        <v>0</v>
      </c>
      <c r="CO138">
        <v>0</v>
      </c>
      <c r="CP138">
        <v>0</v>
      </c>
      <c r="CQ138">
        <v>0</v>
      </c>
      <c r="CR138">
        <v>0</v>
      </c>
      <c r="CS138">
        <v>0</v>
      </c>
      <c r="CT138">
        <v>0</v>
      </c>
      <c r="CU138">
        <v>0</v>
      </c>
      <c r="CV138">
        <v>0</v>
      </c>
      <c r="CW138">
        <v>0</v>
      </c>
      <c r="CX138">
        <v>0</v>
      </c>
      <c r="CY138">
        <v>0</v>
      </c>
      <c r="CZ138">
        <v>0</v>
      </c>
      <c r="DA138">
        <v>0</v>
      </c>
      <c r="DB138">
        <v>0</v>
      </c>
      <c r="DC138">
        <v>325</v>
      </c>
      <c r="DD138">
        <v>0</v>
      </c>
      <c r="DE138">
        <v>838</v>
      </c>
      <c r="DF138">
        <v>394</v>
      </c>
      <c r="DG138">
        <v>0</v>
      </c>
      <c r="DH138">
        <v>222</v>
      </c>
      <c r="DI138">
        <v>0</v>
      </c>
      <c r="DJ138">
        <v>815</v>
      </c>
      <c r="DK138">
        <v>0</v>
      </c>
      <c r="DL138">
        <v>0</v>
      </c>
      <c r="DM138">
        <v>0</v>
      </c>
      <c r="DN138">
        <v>593</v>
      </c>
      <c r="DO138">
        <v>0</v>
      </c>
      <c r="DP138">
        <v>1630</v>
      </c>
      <c r="DQ138">
        <v>481</v>
      </c>
      <c r="DR138">
        <v>0</v>
      </c>
      <c r="DS138">
        <v>0</v>
      </c>
      <c r="DT138">
        <v>722</v>
      </c>
      <c r="DU138">
        <v>0</v>
      </c>
      <c r="DV138">
        <v>0</v>
      </c>
      <c r="DW138">
        <v>290</v>
      </c>
      <c r="DX138">
        <v>4680</v>
      </c>
      <c r="DY138">
        <v>15230</v>
      </c>
      <c r="DZ138">
        <v>280</v>
      </c>
      <c r="EA138">
        <v>-453</v>
      </c>
      <c r="EB138">
        <v>0</v>
      </c>
      <c r="EC138">
        <v>8261</v>
      </c>
      <c r="ED138">
        <v>0</v>
      </c>
      <c r="EE138">
        <v>52</v>
      </c>
      <c r="EF138">
        <v>0</v>
      </c>
      <c r="EG138">
        <v>0</v>
      </c>
      <c r="EH138">
        <v>3959</v>
      </c>
      <c r="EI138">
        <v>7057</v>
      </c>
      <c r="EJ138">
        <v>0</v>
      </c>
      <c r="EK138">
        <v>20</v>
      </c>
      <c r="EL138">
        <v>1768</v>
      </c>
      <c r="EM138">
        <v>8399</v>
      </c>
      <c r="EN138">
        <v>4287</v>
      </c>
      <c r="EO138">
        <v>24</v>
      </c>
      <c r="EP138">
        <v>0</v>
      </c>
      <c r="EQ138">
        <v>0</v>
      </c>
      <c r="ER138">
        <v>-37</v>
      </c>
      <c r="ES138">
        <v>12037</v>
      </c>
      <c r="ET138">
        <v>9930</v>
      </c>
      <c r="EU138">
        <v>0</v>
      </c>
      <c r="EV138">
        <v>0</v>
      </c>
      <c r="EW138">
        <v>61</v>
      </c>
      <c r="EX138">
        <v>0</v>
      </c>
      <c r="EY138">
        <v>836</v>
      </c>
      <c r="EZ138">
        <v>0</v>
      </c>
      <c r="FA138">
        <v>0</v>
      </c>
      <c r="FB138">
        <v>28</v>
      </c>
      <c r="FC138">
        <v>711</v>
      </c>
      <c r="FD138">
        <v>1921</v>
      </c>
      <c r="FE138">
        <v>0</v>
      </c>
      <c r="FF138">
        <v>0</v>
      </c>
      <c r="FG138">
        <v>0</v>
      </c>
      <c r="FH138">
        <v>3557</v>
      </c>
      <c r="FI138">
        <v>312</v>
      </c>
      <c r="FJ138">
        <v>0</v>
      </c>
      <c r="FK138">
        <v>0</v>
      </c>
      <c r="FL138">
        <v>358</v>
      </c>
      <c r="FM138">
        <v>892</v>
      </c>
      <c r="FN138">
        <v>0</v>
      </c>
      <c r="FO138">
        <v>0</v>
      </c>
      <c r="FP138">
        <v>0</v>
      </c>
      <c r="FQ138">
        <v>0</v>
      </c>
      <c r="FR138">
        <v>66</v>
      </c>
      <c r="FS138">
        <v>286</v>
      </c>
      <c r="FT138">
        <v>467</v>
      </c>
      <c r="FU138">
        <v>484</v>
      </c>
      <c r="FV138">
        <v>304</v>
      </c>
      <c r="FW138">
        <v>0</v>
      </c>
      <c r="FX138">
        <v>0</v>
      </c>
      <c r="FY138">
        <v>0</v>
      </c>
      <c r="FZ138">
        <v>42</v>
      </c>
      <c r="GA138">
        <v>0</v>
      </c>
      <c r="GB138">
        <v>-76</v>
      </c>
      <c r="GC138">
        <v>0</v>
      </c>
      <c r="GD138">
        <v>1434</v>
      </c>
      <c r="GE138">
        <v>1506</v>
      </c>
      <c r="GF138">
        <v>0</v>
      </c>
      <c r="GG138">
        <v>0</v>
      </c>
      <c r="GH138">
        <v>415</v>
      </c>
      <c r="GI138">
        <v>0</v>
      </c>
      <c r="GJ138">
        <v>62</v>
      </c>
      <c r="GK138">
        <v>6552</v>
      </c>
      <c r="GL138">
        <v>206</v>
      </c>
      <c r="GM138">
        <v>679</v>
      </c>
      <c r="GN138">
        <v>0</v>
      </c>
      <c r="GO138">
        <v>1440</v>
      </c>
      <c r="GP138">
        <v>62</v>
      </c>
      <c r="GQ138">
        <v>1415</v>
      </c>
      <c r="GR138">
        <v>0</v>
      </c>
      <c r="GS138">
        <v>0</v>
      </c>
      <c r="GT138">
        <v>121</v>
      </c>
      <c r="GU138">
        <v>3923</v>
      </c>
      <c r="GV138">
        <v>14032</v>
      </c>
      <c r="GW138">
        <v>0</v>
      </c>
      <c r="GX138">
        <v>0</v>
      </c>
      <c r="GY138">
        <v>0</v>
      </c>
      <c r="GZ138">
        <v>0</v>
      </c>
      <c r="HA138">
        <v>0</v>
      </c>
      <c r="HB138">
        <v>1725</v>
      </c>
      <c r="HC138">
        <v>1834</v>
      </c>
      <c r="HD138">
        <v>0</v>
      </c>
      <c r="HE138">
        <v>0</v>
      </c>
      <c r="HF138">
        <v>77</v>
      </c>
      <c r="HG138">
        <v>952</v>
      </c>
      <c r="HH138">
        <v>0</v>
      </c>
      <c r="HI138">
        <v>0</v>
      </c>
      <c r="HJ138">
        <v>193</v>
      </c>
      <c r="HK138">
        <v>43</v>
      </c>
      <c r="HL138">
        <v>416</v>
      </c>
      <c r="HM138">
        <v>-62</v>
      </c>
      <c r="HN138">
        <v>0</v>
      </c>
      <c r="HO138">
        <v>172</v>
      </c>
      <c r="HP138">
        <v>0</v>
      </c>
      <c r="HQ138">
        <v>0</v>
      </c>
      <c r="HR138">
        <v>24</v>
      </c>
      <c r="HS138">
        <v>0</v>
      </c>
      <c r="HT138">
        <v>0</v>
      </c>
      <c r="HU138">
        <v>0</v>
      </c>
      <c r="HV138">
        <v>5374</v>
      </c>
      <c r="HW138">
        <v>0</v>
      </c>
      <c r="HX138">
        <v>0</v>
      </c>
      <c r="HY138">
        <v>0</v>
      </c>
      <c r="HZ138">
        <v>0</v>
      </c>
      <c r="IA138">
        <v>0</v>
      </c>
      <c r="IB138">
        <v>0</v>
      </c>
      <c r="IC138">
        <v>0</v>
      </c>
      <c r="ID138">
        <v>-436</v>
      </c>
      <c r="IE138">
        <v>0</v>
      </c>
      <c r="IF138">
        <v>0</v>
      </c>
      <c r="IG138">
        <v>0</v>
      </c>
      <c r="IH138">
        <v>4680</v>
      </c>
      <c r="II138">
        <v>3557</v>
      </c>
      <c r="IJ138">
        <v>6552</v>
      </c>
      <c r="IK138">
        <v>3923</v>
      </c>
      <c r="IL138">
        <v>0</v>
      </c>
      <c r="IM138">
        <v>0</v>
      </c>
      <c r="IN138">
        <v>5374</v>
      </c>
      <c r="IO138">
        <v>0</v>
      </c>
      <c r="IP138">
        <v>23650</v>
      </c>
      <c r="IQ138">
        <v>18199</v>
      </c>
      <c r="IR138">
        <v>338</v>
      </c>
      <c r="IS138">
        <v>7493</v>
      </c>
      <c r="IT138">
        <v>0</v>
      </c>
      <c r="IU138">
        <v>0</v>
      </c>
      <c r="IV138">
        <v>2594</v>
      </c>
      <c r="IW138">
        <v>0</v>
      </c>
      <c r="IX138">
        <v>0</v>
      </c>
      <c r="IY138">
        <v>0</v>
      </c>
      <c r="IZ138">
        <v>561</v>
      </c>
      <c r="JA138">
        <v>0</v>
      </c>
      <c r="JB138">
        <v>0</v>
      </c>
      <c r="JC138">
        <v>0</v>
      </c>
      <c r="JD138">
        <v>0</v>
      </c>
      <c r="JE138">
        <v>75</v>
      </c>
      <c r="JF138">
        <v>0</v>
      </c>
      <c r="JG138">
        <v>52910</v>
      </c>
      <c r="JH138">
        <v>0</v>
      </c>
      <c r="JI138">
        <v>933</v>
      </c>
      <c r="JJ138">
        <v>0</v>
      </c>
      <c r="JK138">
        <v>0</v>
      </c>
      <c r="JL138">
        <v>0</v>
      </c>
      <c r="JM138">
        <v>194</v>
      </c>
      <c r="JN138">
        <v>1211</v>
      </c>
      <c r="JO138">
        <v>0</v>
      </c>
      <c r="JP138">
        <v>1857</v>
      </c>
      <c r="JQ138">
        <v>-1520</v>
      </c>
      <c r="JR138">
        <v>55585</v>
      </c>
      <c r="JS138">
        <v>-897</v>
      </c>
      <c r="JT138">
        <v>0</v>
      </c>
      <c r="JU138">
        <v>-1383</v>
      </c>
      <c r="JV138">
        <v>0</v>
      </c>
      <c r="JW138">
        <v>-26629</v>
      </c>
      <c r="JX138">
        <v>0</v>
      </c>
      <c r="JY138">
        <v>-874</v>
      </c>
      <c r="JZ138">
        <v>0</v>
      </c>
      <c r="KA138">
        <v>0</v>
      </c>
      <c r="KB138">
        <v>0</v>
      </c>
      <c r="KC138">
        <v>25802</v>
      </c>
      <c r="KD138">
        <v>0</v>
      </c>
      <c r="KE138">
        <v>-6880</v>
      </c>
      <c r="KF138">
        <v>18922</v>
      </c>
      <c r="KG138">
        <v>0</v>
      </c>
      <c r="KH138">
        <v>0</v>
      </c>
      <c r="KI138">
        <v>0</v>
      </c>
      <c r="KJ138">
        <v>0</v>
      </c>
      <c r="KK138">
        <v>-2604</v>
      </c>
      <c r="KL138">
        <v>2236</v>
      </c>
      <c r="KM138">
        <v>0</v>
      </c>
      <c r="KN138">
        <v>0</v>
      </c>
      <c r="KO138">
        <v>-1194</v>
      </c>
      <c r="KP138">
        <v>-309</v>
      </c>
      <c r="KQ138">
        <v>0</v>
      </c>
      <c r="KR138">
        <v>13128</v>
      </c>
      <c r="KS138">
        <v>0</v>
      </c>
      <c r="KT138">
        <v>0</v>
      </c>
      <c r="KU138">
        <v>0</v>
      </c>
      <c r="KV138">
        <v>23573</v>
      </c>
      <c r="KW138">
        <v>3822</v>
      </c>
      <c r="KX138">
        <v>0</v>
      </c>
      <c r="KY138">
        <v>0</v>
      </c>
      <c r="KZ138">
        <v>0</v>
      </c>
      <c r="LA138">
        <v>20969</v>
      </c>
      <c r="LB138">
        <v>6058</v>
      </c>
      <c r="LC138">
        <v>0</v>
      </c>
      <c r="LD138">
        <v>2475</v>
      </c>
      <c r="LE138">
        <v>383</v>
      </c>
      <c r="LF138">
        <v>0</v>
      </c>
      <c r="LG138">
        <v>-6363</v>
      </c>
      <c r="LH138">
        <v>1463</v>
      </c>
      <c r="LI138">
        <v>-2042</v>
      </c>
      <c r="LJ138">
        <v>4253</v>
      </c>
      <c r="LK138">
        <v>5544</v>
      </c>
      <c r="LL138">
        <v>9797</v>
      </c>
      <c r="LM138">
        <v>0</v>
      </c>
      <c r="LN138">
        <v>0</v>
      </c>
      <c r="LO138">
        <v>0</v>
      </c>
      <c r="LP138">
        <v>23370</v>
      </c>
      <c r="LQ138">
        <v>25477</v>
      </c>
      <c r="LR138">
        <v>-2107</v>
      </c>
      <c r="LS138">
        <v>12037</v>
      </c>
      <c r="LT138">
        <v>9930</v>
      </c>
      <c r="LU138">
        <v>0</v>
      </c>
      <c r="LV138">
        <v>-436</v>
      </c>
      <c r="LW138">
        <v>0</v>
      </c>
      <c r="LX138">
        <v>0</v>
      </c>
      <c r="LY138">
        <v>0</v>
      </c>
      <c r="LZ138">
        <v>4680</v>
      </c>
      <c r="MA138">
        <v>3557</v>
      </c>
      <c r="MB138">
        <v>6552</v>
      </c>
      <c r="MC138">
        <v>3923</v>
      </c>
      <c r="MD138">
        <v>0</v>
      </c>
      <c r="ME138">
        <v>0</v>
      </c>
      <c r="MF138">
        <v>5374</v>
      </c>
      <c r="MG138">
        <v>0</v>
      </c>
      <c r="MH138">
        <v>23650</v>
      </c>
      <c r="MI138">
        <v>0</v>
      </c>
      <c r="MJ138">
        <v>0</v>
      </c>
      <c r="MK138">
        <v>0</v>
      </c>
      <c r="ML138">
        <v>0</v>
      </c>
      <c r="MM138">
        <v>0</v>
      </c>
      <c r="MN138">
        <v>0</v>
      </c>
      <c r="MO138">
        <v>0</v>
      </c>
      <c r="MP138">
        <v>0</v>
      </c>
      <c r="MQ138">
        <v>0</v>
      </c>
      <c r="MR138">
        <v>0</v>
      </c>
      <c r="MS138">
        <v>0</v>
      </c>
      <c r="MT138">
        <v>0</v>
      </c>
      <c r="MU138">
        <v>0</v>
      </c>
      <c r="MV138">
        <v>0</v>
      </c>
      <c r="MW138">
        <v>0</v>
      </c>
      <c r="MX138">
        <v>0</v>
      </c>
      <c r="MY138">
        <v>0</v>
      </c>
      <c r="MZ138">
        <v>0</v>
      </c>
      <c r="NA138">
        <v>0</v>
      </c>
      <c r="NB138">
        <v>0</v>
      </c>
      <c r="NC138">
        <v>0</v>
      </c>
      <c r="ND138">
        <v>0</v>
      </c>
      <c r="NE138">
        <v>0</v>
      </c>
      <c r="NF138">
        <v>0</v>
      </c>
      <c r="NG138">
        <v>0</v>
      </c>
      <c r="NH138">
        <v>0</v>
      </c>
      <c r="NI138">
        <v>0</v>
      </c>
      <c r="NJ138">
        <v>0</v>
      </c>
      <c r="NK138">
        <v>0</v>
      </c>
      <c r="NL138">
        <v>0</v>
      </c>
      <c r="NM138">
        <v>0</v>
      </c>
      <c r="NN138">
        <v>0</v>
      </c>
      <c r="NO138">
        <v>0</v>
      </c>
      <c r="NP138">
        <v>0</v>
      </c>
      <c r="NQ138">
        <v>0</v>
      </c>
      <c r="NR138">
        <v>0</v>
      </c>
      <c r="NS138">
        <v>0</v>
      </c>
      <c r="NT138">
        <v>0</v>
      </c>
      <c r="NU138">
        <v>0</v>
      </c>
      <c r="NV138">
        <v>0</v>
      </c>
      <c r="NW138">
        <v>0</v>
      </c>
      <c r="NX138">
        <v>0</v>
      </c>
      <c r="NY138">
        <v>0</v>
      </c>
      <c r="NZ138">
        <v>0</v>
      </c>
      <c r="OA138">
        <v>0</v>
      </c>
      <c r="OB138">
        <v>0</v>
      </c>
      <c r="OC138">
        <v>0</v>
      </c>
      <c r="OD138">
        <v>0</v>
      </c>
      <c r="OE138">
        <v>0</v>
      </c>
      <c r="OF138">
        <v>0</v>
      </c>
      <c r="OG138">
        <v>0</v>
      </c>
      <c r="OH138">
        <v>0</v>
      </c>
      <c r="OI138">
        <v>0</v>
      </c>
      <c r="OJ138">
        <v>0</v>
      </c>
      <c r="OK138">
        <v>0</v>
      </c>
      <c r="OL138">
        <v>0</v>
      </c>
      <c r="OM138">
        <v>0</v>
      </c>
      <c r="ON138">
        <v>0</v>
      </c>
    </row>
    <row r="139" spans="1:404" x14ac:dyDescent="0.25">
      <c r="A139" t="s">
        <v>481</v>
      </c>
      <c r="B139" t="s">
        <v>482</v>
      </c>
      <c r="C139" t="s">
        <v>480</v>
      </c>
      <c r="E139" t="s">
        <v>61</v>
      </c>
      <c r="F139">
        <v>0</v>
      </c>
      <c r="G139">
        <v>0</v>
      </c>
      <c r="H139">
        <v>0</v>
      </c>
      <c r="I139">
        <v>0</v>
      </c>
      <c r="J139">
        <v>0</v>
      </c>
      <c r="K139">
        <v>0</v>
      </c>
      <c r="L139">
        <v>0</v>
      </c>
      <c r="M139">
        <v>0</v>
      </c>
      <c r="N139">
        <v>0</v>
      </c>
      <c r="O139">
        <v>0</v>
      </c>
      <c r="P139">
        <v>0</v>
      </c>
      <c r="Q139">
        <v>0</v>
      </c>
      <c r="R139">
        <v>0</v>
      </c>
      <c r="S139">
        <v>0</v>
      </c>
      <c r="T139">
        <v>0</v>
      </c>
      <c r="U139">
        <v>0</v>
      </c>
      <c r="V139">
        <v>0</v>
      </c>
      <c r="W139">
        <v>0</v>
      </c>
      <c r="X139">
        <v>0</v>
      </c>
      <c r="Y139">
        <v>0</v>
      </c>
      <c r="Z139">
        <v>0</v>
      </c>
      <c r="AA139">
        <v>22</v>
      </c>
      <c r="AB139">
        <v>0</v>
      </c>
      <c r="AC139">
        <v>0</v>
      </c>
      <c r="AD139">
        <v>0</v>
      </c>
      <c r="AE139">
        <v>0</v>
      </c>
      <c r="AF139">
        <v>0</v>
      </c>
      <c r="AG139">
        <v>0</v>
      </c>
      <c r="AH139">
        <v>0</v>
      </c>
      <c r="AI139">
        <v>22</v>
      </c>
      <c r="AJ139">
        <v>0</v>
      </c>
      <c r="AK139">
        <v>0</v>
      </c>
      <c r="AL139">
        <v>0</v>
      </c>
      <c r="AM139">
        <v>0</v>
      </c>
      <c r="AN139">
        <v>0</v>
      </c>
      <c r="AO139">
        <v>0</v>
      </c>
      <c r="AP139">
        <v>0</v>
      </c>
      <c r="AQ139">
        <v>0</v>
      </c>
      <c r="AR139">
        <v>0</v>
      </c>
      <c r="AS139">
        <v>0</v>
      </c>
      <c r="AT139">
        <v>0</v>
      </c>
      <c r="AU139">
        <v>0</v>
      </c>
      <c r="AV139">
        <v>0</v>
      </c>
      <c r="AW139">
        <v>0</v>
      </c>
      <c r="AX139">
        <v>0</v>
      </c>
      <c r="AY139">
        <v>0</v>
      </c>
      <c r="AZ139">
        <v>0</v>
      </c>
      <c r="BA139">
        <v>0</v>
      </c>
      <c r="BB139">
        <v>0</v>
      </c>
      <c r="BC139">
        <v>0</v>
      </c>
      <c r="BD139">
        <v>0</v>
      </c>
      <c r="BE139">
        <v>0</v>
      </c>
      <c r="BF139">
        <v>0</v>
      </c>
      <c r="BG139">
        <v>0</v>
      </c>
      <c r="BH139">
        <v>0</v>
      </c>
      <c r="BI139">
        <v>0</v>
      </c>
      <c r="BJ139">
        <v>0</v>
      </c>
      <c r="BK139">
        <v>0</v>
      </c>
      <c r="BL139">
        <v>0</v>
      </c>
      <c r="BM139">
        <v>0</v>
      </c>
      <c r="BN139">
        <v>0</v>
      </c>
      <c r="BO139">
        <v>0</v>
      </c>
      <c r="BP139">
        <v>0</v>
      </c>
      <c r="BQ139">
        <v>0</v>
      </c>
      <c r="BR139">
        <v>0</v>
      </c>
      <c r="BS139">
        <v>0</v>
      </c>
      <c r="BT139">
        <v>0</v>
      </c>
      <c r="BU139">
        <v>0</v>
      </c>
      <c r="BV139">
        <v>0</v>
      </c>
      <c r="BW139">
        <v>0</v>
      </c>
      <c r="BX139">
        <v>0</v>
      </c>
      <c r="BY139">
        <v>0</v>
      </c>
      <c r="BZ139">
        <v>0</v>
      </c>
      <c r="CA139">
        <v>0</v>
      </c>
      <c r="CB139">
        <v>0</v>
      </c>
      <c r="CC139">
        <v>0</v>
      </c>
      <c r="CD139">
        <v>0</v>
      </c>
      <c r="CE139">
        <v>0</v>
      </c>
      <c r="CF139">
        <v>0</v>
      </c>
      <c r="CG139">
        <v>0</v>
      </c>
      <c r="CH139">
        <v>0</v>
      </c>
      <c r="CI139">
        <v>0</v>
      </c>
      <c r="CJ139">
        <v>0</v>
      </c>
      <c r="CK139">
        <v>0</v>
      </c>
      <c r="CL139">
        <v>0</v>
      </c>
      <c r="CM139">
        <v>0</v>
      </c>
      <c r="CN139">
        <v>0</v>
      </c>
      <c r="CO139">
        <v>0</v>
      </c>
      <c r="CP139">
        <v>0</v>
      </c>
      <c r="CQ139">
        <v>0</v>
      </c>
      <c r="CR139">
        <v>0</v>
      </c>
      <c r="CS139">
        <v>0</v>
      </c>
      <c r="CT139">
        <v>0</v>
      </c>
      <c r="CU139">
        <v>0</v>
      </c>
      <c r="CV139">
        <v>0</v>
      </c>
      <c r="CW139">
        <v>0</v>
      </c>
      <c r="CX139">
        <v>0</v>
      </c>
      <c r="CY139">
        <v>0</v>
      </c>
      <c r="CZ139">
        <v>0</v>
      </c>
      <c r="DA139">
        <v>0</v>
      </c>
      <c r="DB139">
        <v>0</v>
      </c>
      <c r="DC139">
        <v>156</v>
      </c>
      <c r="DD139">
        <v>0</v>
      </c>
      <c r="DE139">
        <v>0</v>
      </c>
      <c r="DF139">
        <v>0</v>
      </c>
      <c r="DG139">
        <v>0</v>
      </c>
      <c r="DH139">
        <v>0</v>
      </c>
      <c r="DI139">
        <v>18</v>
      </c>
      <c r="DJ139">
        <v>150</v>
      </c>
      <c r="DK139">
        <v>0</v>
      </c>
      <c r="DL139">
        <v>0</v>
      </c>
      <c r="DM139">
        <v>0</v>
      </c>
      <c r="DN139">
        <v>159</v>
      </c>
      <c r="DO139">
        <v>0</v>
      </c>
      <c r="DP139">
        <v>327</v>
      </c>
      <c r="DQ139">
        <v>0</v>
      </c>
      <c r="DR139">
        <v>0</v>
      </c>
      <c r="DS139">
        <v>0</v>
      </c>
      <c r="DT139">
        <v>0</v>
      </c>
      <c r="DU139">
        <v>0</v>
      </c>
      <c r="DV139">
        <v>-108</v>
      </c>
      <c r="DW139">
        <v>0</v>
      </c>
      <c r="DX139">
        <v>375</v>
      </c>
      <c r="DY139">
        <v>0</v>
      </c>
      <c r="DZ139">
        <v>0</v>
      </c>
      <c r="EA139">
        <v>0</v>
      </c>
      <c r="EB139">
        <v>0</v>
      </c>
      <c r="EC139">
        <v>0</v>
      </c>
      <c r="ED139">
        <v>0</v>
      </c>
      <c r="EE139">
        <v>0</v>
      </c>
      <c r="EF139">
        <v>0</v>
      </c>
      <c r="EG139">
        <v>0</v>
      </c>
      <c r="EH139">
        <v>0</v>
      </c>
      <c r="EI139">
        <v>0</v>
      </c>
      <c r="EJ139">
        <v>0</v>
      </c>
      <c r="EK139">
        <v>0</v>
      </c>
      <c r="EL139">
        <v>0</v>
      </c>
      <c r="EM139">
        <v>0</v>
      </c>
      <c r="EN139">
        <v>0</v>
      </c>
      <c r="EO139">
        <v>0</v>
      </c>
      <c r="EP139">
        <v>0</v>
      </c>
      <c r="EQ139">
        <v>0</v>
      </c>
      <c r="ER139">
        <v>0</v>
      </c>
      <c r="ES139">
        <v>0</v>
      </c>
      <c r="ET139">
        <v>0</v>
      </c>
      <c r="EU139">
        <v>0</v>
      </c>
      <c r="EV139">
        <v>0</v>
      </c>
      <c r="EW139">
        <v>0</v>
      </c>
      <c r="EX139">
        <v>0</v>
      </c>
      <c r="EY139">
        <v>0</v>
      </c>
      <c r="EZ139">
        <v>0</v>
      </c>
      <c r="FA139">
        <v>0</v>
      </c>
      <c r="FB139">
        <v>240</v>
      </c>
      <c r="FC139">
        <v>14</v>
      </c>
      <c r="FD139">
        <v>45</v>
      </c>
      <c r="FE139">
        <v>0</v>
      </c>
      <c r="FF139">
        <v>22</v>
      </c>
      <c r="FG139">
        <v>0</v>
      </c>
      <c r="FH139">
        <v>321</v>
      </c>
      <c r="FI139">
        <v>24</v>
      </c>
      <c r="FJ139">
        <v>0</v>
      </c>
      <c r="FK139">
        <v>3</v>
      </c>
      <c r="FL139">
        <v>97</v>
      </c>
      <c r="FM139">
        <v>183</v>
      </c>
      <c r="FN139">
        <v>0</v>
      </c>
      <c r="FO139">
        <v>0</v>
      </c>
      <c r="FP139">
        <v>0</v>
      </c>
      <c r="FQ139">
        <v>0</v>
      </c>
      <c r="FR139">
        <v>0</v>
      </c>
      <c r="FS139">
        <v>129</v>
      </c>
      <c r="FT139">
        <v>0</v>
      </c>
      <c r="FU139">
        <v>-26</v>
      </c>
      <c r="FV139">
        <v>148</v>
      </c>
      <c r="FW139">
        <v>0</v>
      </c>
      <c r="FX139">
        <v>0</v>
      </c>
      <c r="FY139">
        <v>34</v>
      </c>
      <c r="FZ139">
        <v>0</v>
      </c>
      <c r="GA139">
        <v>0</v>
      </c>
      <c r="GB139">
        <v>0</v>
      </c>
      <c r="GC139">
        <v>0</v>
      </c>
      <c r="GD139">
        <v>611</v>
      </c>
      <c r="GE139">
        <v>1602</v>
      </c>
      <c r="GF139">
        <v>0</v>
      </c>
      <c r="GG139">
        <v>0</v>
      </c>
      <c r="GH139">
        <v>259</v>
      </c>
      <c r="GI139">
        <v>0</v>
      </c>
      <c r="GJ139">
        <v>0</v>
      </c>
      <c r="GK139">
        <v>3064</v>
      </c>
      <c r="GL139">
        <v>43</v>
      </c>
      <c r="GM139">
        <v>34</v>
      </c>
      <c r="GN139">
        <v>56</v>
      </c>
      <c r="GO139">
        <v>0</v>
      </c>
      <c r="GP139">
        <v>-121</v>
      </c>
      <c r="GQ139">
        <v>285</v>
      </c>
      <c r="GR139">
        <v>0</v>
      </c>
      <c r="GS139">
        <v>0</v>
      </c>
      <c r="GT139">
        <v>158</v>
      </c>
      <c r="GU139">
        <v>455</v>
      </c>
      <c r="GV139">
        <v>3840</v>
      </c>
      <c r="GW139">
        <v>0</v>
      </c>
      <c r="GX139">
        <v>0</v>
      </c>
      <c r="GY139">
        <v>0</v>
      </c>
      <c r="GZ139">
        <v>0</v>
      </c>
      <c r="HA139">
        <v>0</v>
      </c>
      <c r="HB139">
        <v>3509</v>
      </c>
      <c r="HC139">
        <v>29</v>
      </c>
      <c r="HD139">
        <v>0</v>
      </c>
      <c r="HE139">
        <v>0</v>
      </c>
      <c r="HF139">
        <v>0</v>
      </c>
      <c r="HG139">
        <v>0</v>
      </c>
      <c r="HH139">
        <v>0</v>
      </c>
      <c r="HI139">
        <v>0</v>
      </c>
      <c r="HJ139">
        <v>1</v>
      </c>
      <c r="HK139">
        <v>4</v>
      </c>
      <c r="HL139">
        <v>31</v>
      </c>
      <c r="HM139">
        <v>1</v>
      </c>
      <c r="HN139">
        <v>0</v>
      </c>
      <c r="HO139">
        <v>0</v>
      </c>
      <c r="HP139">
        <v>0</v>
      </c>
      <c r="HQ139">
        <v>0</v>
      </c>
      <c r="HR139">
        <v>1981</v>
      </c>
      <c r="HS139">
        <v>0</v>
      </c>
      <c r="HT139">
        <v>0</v>
      </c>
      <c r="HU139">
        <v>2838</v>
      </c>
      <c r="HV139">
        <v>8394</v>
      </c>
      <c r="HW139">
        <v>0</v>
      </c>
      <c r="HX139">
        <v>0</v>
      </c>
      <c r="HY139">
        <v>0</v>
      </c>
      <c r="HZ139">
        <v>0</v>
      </c>
      <c r="IA139">
        <v>449</v>
      </c>
      <c r="IB139">
        <v>0</v>
      </c>
      <c r="IC139">
        <v>0</v>
      </c>
      <c r="ID139">
        <v>22</v>
      </c>
      <c r="IE139">
        <v>0</v>
      </c>
      <c r="IF139">
        <v>0</v>
      </c>
      <c r="IG139">
        <v>0</v>
      </c>
      <c r="IH139">
        <v>375</v>
      </c>
      <c r="II139">
        <v>321</v>
      </c>
      <c r="IJ139">
        <v>3064</v>
      </c>
      <c r="IK139">
        <v>455</v>
      </c>
      <c r="IL139">
        <v>0</v>
      </c>
      <c r="IM139">
        <v>0</v>
      </c>
      <c r="IN139">
        <v>8394</v>
      </c>
      <c r="IO139">
        <v>0</v>
      </c>
      <c r="IP139">
        <v>12631</v>
      </c>
      <c r="IQ139">
        <v>15047</v>
      </c>
      <c r="IR139">
        <v>0</v>
      </c>
      <c r="IS139">
        <v>0</v>
      </c>
      <c r="IT139">
        <v>0</v>
      </c>
      <c r="IU139">
        <v>0</v>
      </c>
      <c r="IV139">
        <v>2578</v>
      </c>
      <c r="IW139">
        <v>0</v>
      </c>
      <c r="IX139">
        <v>0</v>
      </c>
      <c r="IY139">
        <v>0</v>
      </c>
      <c r="IZ139">
        <v>43</v>
      </c>
      <c r="JA139">
        <v>-1420</v>
      </c>
      <c r="JB139">
        <v>0</v>
      </c>
      <c r="JC139">
        <v>1011</v>
      </c>
      <c r="JD139">
        <v>0</v>
      </c>
      <c r="JE139">
        <v>-1</v>
      </c>
      <c r="JF139">
        <v>0</v>
      </c>
      <c r="JG139">
        <v>29889</v>
      </c>
      <c r="JH139">
        <v>0</v>
      </c>
      <c r="JI139">
        <v>32</v>
      </c>
      <c r="JJ139">
        <v>0</v>
      </c>
      <c r="JK139">
        <v>0</v>
      </c>
      <c r="JL139">
        <v>0</v>
      </c>
      <c r="JM139">
        <v>-79</v>
      </c>
      <c r="JN139">
        <v>0</v>
      </c>
      <c r="JO139">
        <v>0</v>
      </c>
      <c r="JP139">
        <v>0</v>
      </c>
      <c r="JQ139">
        <v>0</v>
      </c>
      <c r="JR139">
        <v>29842</v>
      </c>
      <c r="JS139">
        <v>-281</v>
      </c>
      <c r="JT139">
        <v>0</v>
      </c>
      <c r="JU139">
        <v>0</v>
      </c>
      <c r="JV139">
        <v>0</v>
      </c>
      <c r="JW139">
        <v>-14727</v>
      </c>
      <c r="JX139">
        <v>0</v>
      </c>
      <c r="JY139">
        <v>0</v>
      </c>
      <c r="JZ139">
        <v>0</v>
      </c>
      <c r="KA139">
        <v>0</v>
      </c>
      <c r="KB139">
        <v>0</v>
      </c>
      <c r="KC139">
        <v>14834</v>
      </c>
      <c r="KD139">
        <v>0</v>
      </c>
      <c r="KE139">
        <v>-5013</v>
      </c>
      <c r="KF139">
        <v>9821</v>
      </c>
      <c r="KG139">
        <v>0</v>
      </c>
      <c r="KH139">
        <v>0</v>
      </c>
      <c r="KI139">
        <v>0</v>
      </c>
      <c r="KJ139">
        <v>0</v>
      </c>
      <c r="KK139">
        <v>-457</v>
      </c>
      <c r="KL139">
        <v>235</v>
      </c>
      <c r="KM139">
        <v>-27</v>
      </c>
      <c r="KN139">
        <v>0</v>
      </c>
      <c r="KO139">
        <v>-766</v>
      </c>
      <c r="KP139">
        <v>-14</v>
      </c>
      <c r="KQ139">
        <v>0</v>
      </c>
      <c r="KR139">
        <v>8199</v>
      </c>
      <c r="KS139">
        <v>0</v>
      </c>
      <c r="KT139">
        <v>0</v>
      </c>
      <c r="KU139">
        <v>0</v>
      </c>
      <c r="KV139">
        <v>12071</v>
      </c>
      <c r="KW139">
        <v>734</v>
      </c>
      <c r="KX139">
        <v>0</v>
      </c>
      <c r="KY139">
        <v>0</v>
      </c>
      <c r="KZ139">
        <v>0</v>
      </c>
      <c r="LA139">
        <v>11614</v>
      </c>
      <c r="LB139">
        <v>969</v>
      </c>
      <c r="LC139">
        <v>0</v>
      </c>
      <c r="LD139">
        <v>431</v>
      </c>
      <c r="LE139">
        <v>0</v>
      </c>
      <c r="LF139">
        <v>0</v>
      </c>
      <c r="LG139">
        <v>0</v>
      </c>
      <c r="LH139">
        <v>1336</v>
      </c>
      <c r="LI139">
        <v>104</v>
      </c>
      <c r="LJ139">
        <v>2634</v>
      </c>
      <c r="LK139">
        <v>2824</v>
      </c>
      <c r="LL139">
        <v>5458</v>
      </c>
      <c r="LM139">
        <v>0</v>
      </c>
      <c r="LN139">
        <v>0</v>
      </c>
      <c r="LO139">
        <v>0</v>
      </c>
      <c r="LP139">
        <v>0</v>
      </c>
      <c r="LQ139">
        <v>0</v>
      </c>
      <c r="LR139">
        <v>0</v>
      </c>
      <c r="LS139">
        <v>0</v>
      </c>
      <c r="LT139">
        <v>0</v>
      </c>
      <c r="LU139">
        <v>0</v>
      </c>
      <c r="LV139">
        <v>22</v>
      </c>
      <c r="LW139">
        <v>0</v>
      </c>
      <c r="LX139">
        <v>0</v>
      </c>
      <c r="LY139">
        <v>0</v>
      </c>
      <c r="LZ139">
        <v>375</v>
      </c>
      <c r="MA139">
        <v>321</v>
      </c>
      <c r="MB139">
        <v>3064</v>
      </c>
      <c r="MC139">
        <v>455</v>
      </c>
      <c r="MD139">
        <v>0</v>
      </c>
      <c r="ME139">
        <v>0</v>
      </c>
      <c r="MF139">
        <v>8394</v>
      </c>
      <c r="MG139">
        <v>0</v>
      </c>
      <c r="MH139">
        <v>12631</v>
      </c>
      <c r="MI139">
        <v>0</v>
      </c>
      <c r="MJ139">
        <v>0</v>
      </c>
      <c r="MK139">
        <v>0</v>
      </c>
      <c r="ML139">
        <v>0</v>
      </c>
      <c r="MM139">
        <v>0</v>
      </c>
      <c r="MN139">
        <v>0</v>
      </c>
      <c r="MO139">
        <v>0</v>
      </c>
      <c r="MP139">
        <v>0</v>
      </c>
      <c r="MQ139">
        <v>0</v>
      </c>
      <c r="MR139">
        <v>0</v>
      </c>
      <c r="MS139">
        <v>0</v>
      </c>
      <c r="MT139">
        <v>0</v>
      </c>
      <c r="MU139">
        <v>0</v>
      </c>
      <c r="MV139">
        <v>0</v>
      </c>
      <c r="MW139">
        <v>0</v>
      </c>
      <c r="MX139">
        <v>-409</v>
      </c>
      <c r="MY139">
        <v>0</v>
      </c>
      <c r="MZ139">
        <v>0</v>
      </c>
      <c r="NA139">
        <v>-409</v>
      </c>
      <c r="NB139">
        <v>-1011</v>
      </c>
      <c r="NC139">
        <v>-1420</v>
      </c>
      <c r="ND139">
        <v>0</v>
      </c>
      <c r="NE139">
        <v>0</v>
      </c>
      <c r="NF139">
        <v>0</v>
      </c>
      <c r="NG139">
        <v>0</v>
      </c>
      <c r="NH139">
        <v>0</v>
      </c>
      <c r="NI139">
        <v>0</v>
      </c>
      <c r="NJ139">
        <v>0</v>
      </c>
      <c r="NK139">
        <v>0</v>
      </c>
      <c r="NL139">
        <v>0</v>
      </c>
      <c r="NM139">
        <v>0</v>
      </c>
      <c r="NN139">
        <v>0</v>
      </c>
      <c r="NO139">
        <v>0</v>
      </c>
      <c r="NP139">
        <v>0</v>
      </c>
      <c r="NQ139">
        <v>0</v>
      </c>
      <c r="NR139">
        <v>0</v>
      </c>
      <c r="NS139">
        <v>0</v>
      </c>
      <c r="NT139">
        <v>0</v>
      </c>
      <c r="NU139">
        <v>0</v>
      </c>
      <c r="NV139">
        <v>0</v>
      </c>
      <c r="NW139">
        <v>0</v>
      </c>
      <c r="NX139">
        <v>0</v>
      </c>
      <c r="NY139">
        <v>0</v>
      </c>
      <c r="NZ139">
        <v>0</v>
      </c>
      <c r="OA139">
        <v>0</v>
      </c>
      <c r="OB139">
        <v>0</v>
      </c>
      <c r="OC139">
        <v>0</v>
      </c>
      <c r="OD139">
        <v>0</v>
      </c>
      <c r="OE139">
        <v>-1011</v>
      </c>
      <c r="OF139">
        <v>0</v>
      </c>
      <c r="OG139">
        <v>0</v>
      </c>
      <c r="OH139">
        <v>-1011</v>
      </c>
      <c r="OI139">
        <v>0</v>
      </c>
      <c r="OJ139">
        <v>0</v>
      </c>
      <c r="OK139">
        <v>0</v>
      </c>
      <c r="OL139">
        <v>0</v>
      </c>
      <c r="OM139">
        <v>0</v>
      </c>
      <c r="ON139">
        <v>0</v>
      </c>
    </row>
    <row r="140" spans="1:404" x14ac:dyDescent="0.25">
      <c r="A140" t="s">
        <v>484</v>
      </c>
      <c r="B140" t="s">
        <v>485</v>
      </c>
      <c r="C140" t="s">
        <v>483</v>
      </c>
      <c r="E140" t="s">
        <v>61</v>
      </c>
      <c r="F140">
        <v>0</v>
      </c>
      <c r="G140">
        <v>0</v>
      </c>
      <c r="H140">
        <v>0</v>
      </c>
      <c r="I140">
        <v>0</v>
      </c>
      <c r="J140">
        <v>0</v>
      </c>
      <c r="K140">
        <v>0</v>
      </c>
      <c r="L140">
        <v>0</v>
      </c>
      <c r="M140">
        <v>0</v>
      </c>
      <c r="N140">
        <v>0</v>
      </c>
      <c r="O140">
        <v>0</v>
      </c>
      <c r="P140">
        <v>0</v>
      </c>
      <c r="Q140">
        <v>0</v>
      </c>
      <c r="R140">
        <v>0</v>
      </c>
      <c r="S140">
        <v>70</v>
      </c>
      <c r="T140">
        <v>0</v>
      </c>
      <c r="U140">
        <v>85</v>
      </c>
      <c r="V140">
        <v>0</v>
      </c>
      <c r="W140">
        <v>0</v>
      </c>
      <c r="X140">
        <v>0</v>
      </c>
      <c r="Y140">
        <v>0</v>
      </c>
      <c r="Z140">
        <v>0</v>
      </c>
      <c r="AA140">
        <v>-468</v>
      </c>
      <c r="AB140">
        <v>0</v>
      </c>
      <c r="AC140">
        <v>0</v>
      </c>
      <c r="AD140">
        <v>0</v>
      </c>
      <c r="AE140">
        <v>0</v>
      </c>
      <c r="AF140">
        <v>0</v>
      </c>
      <c r="AG140">
        <v>37</v>
      </c>
      <c r="AH140">
        <v>0</v>
      </c>
      <c r="AI140">
        <v>-276</v>
      </c>
      <c r="AJ140">
        <v>0</v>
      </c>
      <c r="AK140">
        <v>0</v>
      </c>
      <c r="AL140">
        <v>0</v>
      </c>
      <c r="AM140">
        <v>0</v>
      </c>
      <c r="AN140">
        <v>0</v>
      </c>
      <c r="AO140">
        <v>0</v>
      </c>
      <c r="AP140">
        <v>0</v>
      </c>
      <c r="AQ140">
        <v>0</v>
      </c>
      <c r="AR140">
        <v>0</v>
      </c>
      <c r="AS140">
        <v>0</v>
      </c>
      <c r="AT140">
        <v>0</v>
      </c>
      <c r="AU140">
        <v>0</v>
      </c>
      <c r="AV140">
        <v>0</v>
      </c>
      <c r="AW140">
        <v>0</v>
      </c>
      <c r="AX140">
        <v>0</v>
      </c>
      <c r="AY140">
        <v>0</v>
      </c>
      <c r="AZ140">
        <v>0</v>
      </c>
      <c r="BA140">
        <v>0</v>
      </c>
      <c r="BB140">
        <v>0</v>
      </c>
      <c r="BC140">
        <v>0</v>
      </c>
      <c r="BD140">
        <v>0</v>
      </c>
      <c r="BE140">
        <v>0</v>
      </c>
      <c r="BF140">
        <v>0</v>
      </c>
      <c r="BG140">
        <v>0</v>
      </c>
      <c r="BH140">
        <v>0</v>
      </c>
      <c r="BI140">
        <v>0</v>
      </c>
      <c r="BJ140">
        <v>0</v>
      </c>
      <c r="BK140">
        <v>0</v>
      </c>
      <c r="BL140">
        <v>0</v>
      </c>
      <c r="BM140">
        <v>0</v>
      </c>
      <c r="BN140">
        <v>0</v>
      </c>
      <c r="BO140">
        <v>0</v>
      </c>
      <c r="BP140">
        <v>0</v>
      </c>
      <c r="BQ140">
        <v>0</v>
      </c>
      <c r="BR140">
        <v>0</v>
      </c>
      <c r="BS140">
        <v>0</v>
      </c>
      <c r="BT140">
        <v>0</v>
      </c>
      <c r="BU140">
        <v>0</v>
      </c>
      <c r="BV140">
        <v>0</v>
      </c>
      <c r="BW140">
        <v>0</v>
      </c>
      <c r="BX140">
        <v>0</v>
      </c>
      <c r="BY140">
        <v>0</v>
      </c>
      <c r="BZ140">
        <v>0</v>
      </c>
      <c r="CA140">
        <v>0</v>
      </c>
      <c r="CB140">
        <v>0</v>
      </c>
      <c r="CC140">
        <v>0</v>
      </c>
      <c r="CD140">
        <v>0</v>
      </c>
      <c r="CE140">
        <v>0</v>
      </c>
      <c r="CF140">
        <v>0</v>
      </c>
      <c r="CG140">
        <v>0</v>
      </c>
      <c r="CH140">
        <v>0</v>
      </c>
      <c r="CI140">
        <v>0</v>
      </c>
      <c r="CJ140">
        <v>0</v>
      </c>
      <c r="CK140">
        <v>0</v>
      </c>
      <c r="CL140">
        <v>0</v>
      </c>
      <c r="CM140">
        <v>0</v>
      </c>
      <c r="CN140">
        <v>0</v>
      </c>
      <c r="CO140">
        <v>0</v>
      </c>
      <c r="CP140">
        <v>0</v>
      </c>
      <c r="CQ140">
        <v>0</v>
      </c>
      <c r="CR140">
        <v>0</v>
      </c>
      <c r="CS140">
        <v>0</v>
      </c>
      <c r="CT140">
        <v>0</v>
      </c>
      <c r="CU140">
        <v>0</v>
      </c>
      <c r="CV140">
        <v>0</v>
      </c>
      <c r="CW140">
        <v>0</v>
      </c>
      <c r="CX140">
        <v>0</v>
      </c>
      <c r="CY140">
        <v>0</v>
      </c>
      <c r="CZ140">
        <v>0</v>
      </c>
      <c r="DA140">
        <v>0</v>
      </c>
      <c r="DB140">
        <v>0</v>
      </c>
      <c r="DC140">
        <v>176</v>
      </c>
      <c r="DD140">
        <v>0</v>
      </c>
      <c r="DE140">
        <v>108</v>
      </c>
      <c r="DF140">
        <v>0</v>
      </c>
      <c r="DG140">
        <v>0</v>
      </c>
      <c r="DH140">
        <v>0</v>
      </c>
      <c r="DI140">
        <v>0</v>
      </c>
      <c r="DJ140">
        <v>0</v>
      </c>
      <c r="DK140">
        <v>0</v>
      </c>
      <c r="DL140">
        <v>0</v>
      </c>
      <c r="DM140">
        <v>185</v>
      </c>
      <c r="DN140">
        <v>0</v>
      </c>
      <c r="DO140">
        <v>0</v>
      </c>
      <c r="DP140">
        <v>185</v>
      </c>
      <c r="DQ140">
        <v>-214</v>
      </c>
      <c r="DR140">
        <v>0</v>
      </c>
      <c r="DS140">
        <v>0</v>
      </c>
      <c r="DT140">
        <v>653</v>
      </c>
      <c r="DU140">
        <v>0</v>
      </c>
      <c r="DV140">
        <v>41</v>
      </c>
      <c r="DW140">
        <v>0</v>
      </c>
      <c r="DX140">
        <v>949</v>
      </c>
      <c r="DY140">
        <v>0</v>
      </c>
      <c r="DZ140">
        <v>0</v>
      </c>
      <c r="EA140">
        <v>0</v>
      </c>
      <c r="EB140">
        <v>0</v>
      </c>
      <c r="EC140">
        <v>0</v>
      </c>
      <c r="ED140">
        <v>0</v>
      </c>
      <c r="EE140">
        <v>0</v>
      </c>
      <c r="EF140">
        <v>0</v>
      </c>
      <c r="EG140">
        <v>0</v>
      </c>
      <c r="EH140">
        <v>0</v>
      </c>
      <c r="EI140">
        <v>0</v>
      </c>
      <c r="EJ140">
        <v>0</v>
      </c>
      <c r="EK140">
        <v>0</v>
      </c>
      <c r="EL140">
        <v>0</v>
      </c>
      <c r="EM140">
        <v>0</v>
      </c>
      <c r="EN140">
        <v>0</v>
      </c>
      <c r="EO140">
        <v>0</v>
      </c>
      <c r="EP140">
        <v>0</v>
      </c>
      <c r="EQ140">
        <v>0</v>
      </c>
      <c r="ER140">
        <v>0</v>
      </c>
      <c r="ES140">
        <v>0</v>
      </c>
      <c r="ET140">
        <v>0</v>
      </c>
      <c r="EU140">
        <v>0</v>
      </c>
      <c r="EV140">
        <v>90</v>
      </c>
      <c r="EW140">
        <v>208</v>
      </c>
      <c r="EX140">
        <v>0</v>
      </c>
      <c r="EY140">
        <v>24</v>
      </c>
      <c r="EZ140">
        <v>0</v>
      </c>
      <c r="FA140">
        <v>0</v>
      </c>
      <c r="FB140">
        <v>94</v>
      </c>
      <c r="FC140">
        <v>722</v>
      </c>
      <c r="FD140">
        <v>1564</v>
      </c>
      <c r="FE140">
        <v>0</v>
      </c>
      <c r="FF140">
        <v>237</v>
      </c>
      <c r="FG140">
        <v>0</v>
      </c>
      <c r="FH140">
        <v>2939</v>
      </c>
      <c r="FI140">
        <v>-579</v>
      </c>
      <c r="FJ140">
        <v>0</v>
      </c>
      <c r="FK140">
        <v>35</v>
      </c>
      <c r="FL140">
        <v>147</v>
      </c>
      <c r="FM140">
        <v>126</v>
      </c>
      <c r="FN140">
        <v>0</v>
      </c>
      <c r="FO140">
        <v>63</v>
      </c>
      <c r="FP140">
        <v>0</v>
      </c>
      <c r="FQ140">
        <v>0</v>
      </c>
      <c r="FR140">
        <v>0</v>
      </c>
      <c r="FS140">
        <v>146</v>
      </c>
      <c r="FT140">
        <v>1603</v>
      </c>
      <c r="FU140">
        <v>18</v>
      </c>
      <c r="FV140">
        <v>0</v>
      </c>
      <c r="FW140">
        <v>0</v>
      </c>
      <c r="FX140">
        <v>194</v>
      </c>
      <c r="FY140">
        <v>57</v>
      </c>
      <c r="FZ140">
        <v>0</v>
      </c>
      <c r="GA140">
        <v>0</v>
      </c>
      <c r="GB140">
        <v>141</v>
      </c>
      <c r="GC140">
        <v>0</v>
      </c>
      <c r="GD140">
        <v>1214</v>
      </c>
      <c r="GE140">
        <v>2040</v>
      </c>
      <c r="GF140">
        <v>0</v>
      </c>
      <c r="GG140">
        <v>-80</v>
      </c>
      <c r="GH140">
        <v>22</v>
      </c>
      <c r="GI140">
        <v>0</v>
      </c>
      <c r="GJ140">
        <v>0</v>
      </c>
      <c r="GK140">
        <v>5147</v>
      </c>
      <c r="GL140">
        <v>118</v>
      </c>
      <c r="GM140">
        <v>301</v>
      </c>
      <c r="GN140">
        <v>0</v>
      </c>
      <c r="GO140">
        <v>331</v>
      </c>
      <c r="GP140">
        <v>0</v>
      </c>
      <c r="GQ140">
        <v>0</v>
      </c>
      <c r="GR140">
        <v>0</v>
      </c>
      <c r="GS140">
        <v>-233</v>
      </c>
      <c r="GT140">
        <v>0</v>
      </c>
      <c r="GU140">
        <v>517</v>
      </c>
      <c r="GV140">
        <v>8603</v>
      </c>
      <c r="GW140">
        <v>0</v>
      </c>
      <c r="GX140">
        <v>0</v>
      </c>
      <c r="GY140">
        <v>0</v>
      </c>
      <c r="GZ140">
        <v>0</v>
      </c>
      <c r="HA140">
        <v>0</v>
      </c>
      <c r="HB140">
        <v>1828</v>
      </c>
      <c r="HC140">
        <v>362</v>
      </c>
      <c r="HD140">
        <v>0</v>
      </c>
      <c r="HE140">
        <v>0</v>
      </c>
      <c r="HF140">
        <v>0</v>
      </c>
      <c r="HG140">
        <v>124</v>
      </c>
      <c r="HH140">
        <v>0</v>
      </c>
      <c r="HI140">
        <v>0</v>
      </c>
      <c r="HJ140">
        <v>159</v>
      </c>
      <c r="HK140">
        <v>94</v>
      </c>
      <c r="HL140">
        <v>48</v>
      </c>
      <c r="HM140">
        <v>47</v>
      </c>
      <c r="HN140">
        <v>0</v>
      </c>
      <c r="HO140">
        <v>145</v>
      </c>
      <c r="HP140">
        <v>0</v>
      </c>
      <c r="HQ140">
        <v>0</v>
      </c>
      <c r="HR140">
        <v>101</v>
      </c>
      <c r="HS140">
        <v>0</v>
      </c>
      <c r="HT140">
        <v>0</v>
      </c>
      <c r="HU140">
        <v>389</v>
      </c>
      <c r="HV140">
        <v>3297</v>
      </c>
      <c r="HW140">
        <v>4773</v>
      </c>
      <c r="HX140">
        <v>0</v>
      </c>
      <c r="HY140">
        <v>0</v>
      </c>
      <c r="HZ140">
        <v>5044</v>
      </c>
      <c r="IA140">
        <v>0</v>
      </c>
      <c r="IB140">
        <v>0</v>
      </c>
      <c r="IC140">
        <v>0</v>
      </c>
      <c r="ID140">
        <v>-276</v>
      </c>
      <c r="IE140">
        <v>0</v>
      </c>
      <c r="IF140">
        <v>0</v>
      </c>
      <c r="IG140">
        <v>0</v>
      </c>
      <c r="IH140">
        <v>949</v>
      </c>
      <c r="II140">
        <v>2939</v>
      </c>
      <c r="IJ140">
        <v>5147</v>
      </c>
      <c r="IK140">
        <v>517</v>
      </c>
      <c r="IL140">
        <v>0</v>
      </c>
      <c r="IM140">
        <v>0</v>
      </c>
      <c r="IN140">
        <v>3297</v>
      </c>
      <c r="IO140">
        <v>0</v>
      </c>
      <c r="IP140">
        <v>12573</v>
      </c>
      <c r="IQ140">
        <v>13302</v>
      </c>
      <c r="IR140">
        <v>0</v>
      </c>
      <c r="IS140">
        <v>0</v>
      </c>
      <c r="IT140">
        <v>0</v>
      </c>
      <c r="IU140">
        <v>0</v>
      </c>
      <c r="IV140">
        <v>1092</v>
      </c>
      <c r="IW140">
        <v>0</v>
      </c>
      <c r="IX140">
        <v>0</v>
      </c>
      <c r="IY140">
        <v>0</v>
      </c>
      <c r="IZ140">
        <v>0</v>
      </c>
      <c r="JA140">
        <v>0</v>
      </c>
      <c r="JB140">
        <v>0</v>
      </c>
      <c r="JC140">
        <v>0</v>
      </c>
      <c r="JD140">
        <v>0</v>
      </c>
      <c r="JE140">
        <v>11</v>
      </c>
      <c r="JF140">
        <v>3614</v>
      </c>
      <c r="JG140">
        <v>30592</v>
      </c>
      <c r="JH140">
        <v>0</v>
      </c>
      <c r="JI140">
        <v>1026</v>
      </c>
      <c r="JJ140">
        <v>0</v>
      </c>
      <c r="JK140">
        <v>0</v>
      </c>
      <c r="JL140">
        <v>0</v>
      </c>
      <c r="JM140">
        <v>64</v>
      </c>
      <c r="JN140">
        <v>777</v>
      </c>
      <c r="JO140">
        <v>0</v>
      </c>
      <c r="JP140">
        <v>0</v>
      </c>
      <c r="JQ140">
        <v>0</v>
      </c>
      <c r="JR140">
        <v>32459</v>
      </c>
      <c r="JS140">
        <v>-42</v>
      </c>
      <c r="JT140">
        <v>0</v>
      </c>
      <c r="JU140">
        <v>0</v>
      </c>
      <c r="JV140">
        <v>0</v>
      </c>
      <c r="JW140">
        <v>-12954</v>
      </c>
      <c r="JX140">
        <v>0</v>
      </c>
      <c r="JY140">
        <v>0</v>
      </c>
      <c r="JZ140">
        <v>0</v>
      </c>
      <c r="KA140">
        <v>0</v>
      </c>
      <c r="KB140">
        <v>0</v>
      </c>
      <c r="KC140">
        <v>19463</v>
      </c>
      <c r="KD140">
        <v>0</v>
      </c>
      <c r="KE140">
        <v>-2926</v>
      </c>
      <c r="KF140">
        <v>16537</v>
      </c>
      <c r="KG140">
        <v>0</v>
      </c>
      <c r="KH140">
        <v>0</v>
      </c>
      <c r="KI140">
        <v>0</v>
      </c>
      <c r="KJ140">
        <v>0</v>
      </c>
      <c r="KK140">
        <v>-23</v>
      </c>
      <c r="KL140">
        <v>485</v>
      </c>
      <c r="KM140">
        <v>0</v>
      </c>
      <c r="KN140">
        <v>0</v>
      </c>
      <c r="KO140">
        <v>-4501</v>
      </c>
      <c r="KP140">
        <v>-16</v>
      </c>
      <c r="KQ140">
        <v>0</v>
      </c>
      <c r="KR140">
        <v>7748</v>
      </c>
      <c r="KS140">
        <v>0</v>
      </c>
      <c r="KT140">
        <v>0</v>
      </c>
      <c r="KU140">
        <v>0</v>
      </c>
      <c r="KV140">
        <v>18242</v>
      </c>
      <c r="KW140">
        <v>4571</v>
      </c>
      <c r="KX140">
        <v>0</v>
      </c>
      <c r="KY140">
        <v>0</v>
      </c>
      <c r="KZ140">
        <v>0</v>
      </c>
      <c r="LA140">
        <v>18219</v>
      </c>
      <c r="LB140">
        <v>5056</v>
      </c>
      <c r="LC140">
        <v>0</v>
      </c>
      <c r="LD140">
        <v>1714</v>
      </c>
      <c r="LE140">
        <v>334</v>
      </c>
      <c r="LF140">
        <v>-285</v>
      </c>
      <c r="LG140">
        <v>-2268</v>
      </c>
      <c r="LH140">
        <v>2314</v>
      </c>
      <c r="LI140">
        <v>1809</v>
      </c>
      <c r="LJ140">
        <v>2622</v>
      </c>
      <c r="LK140">
        <v>2623</v>
      </c>
      <c r="LL140">
        <v>5245</v>
      </c>
      <c r="LM140">
        <v>0</v>
      </c>
      <c r="LN140">
        <v>0</v>
      </c>
      <c r="LO140">
        <v>0</v>
      </c>
      <c r="LP140">
        <v>0</v>
      </c>
      <c r="LQ140">
        <v>0</v>
      </c>
      <c r="LR140">
        <v>0</v>
      </c>
      <c r="LS140">
        <v>0</v>
      </c>
      <c r="LT140">
        <v>0</v>
      </c>
      <c r="LU140">
        <v>0</v>
      </c>
      <c r="LV140">
        <v>-276</v>
      </c>
      <c r="LW140">
        <v>0</v>
      </c>
      <c r="LX140">
        <v>0</v>
      </c>
      <c r="LY140">
        <v>0</v>
      </c>
      <c r="LZ140">
        <v>949</v>
      </c>
      <c r="MA140">
        <v>2939</v>
      </c>
      <c r="MB140">
        <v>5147</v>
      </c>
      <c r="MC140">
        <v>517</v>
      </c>
      <c r="MD140">
        <v>0</v>
      </c>
      <c r="ME140">
        <v>0</v>
      </c>
      <c r="MF140">
        <v>3297</v>
      </c>
      <c r="MG140">
        <v>0</v>
      </c>
      <c r="MH140">
        <v>12573</v>
      </c>
      <c r="MI140">
        <v>0</v>
      </c>
      <c r="MJ140">
        <v>0</v>
      </c>
      <c r="MK140">
        <v>0</v>
      </c>
      <c r="ML140">
        <v>0</v>
      </c>
      <c r="MM140">
        <v>0</v>
      </c>
      <c r="MN140">
        <v>0</v>
      </c>
      <c r="MO140">
        <v>0</v>
      </c>
      <c r="MP140">
        <v>0</v>
      </c>
      <c r="MQ140">
        <v>0</v>
      </c>
      <c r="MR140">
        <v>0</v>
      </c>
      <c r="MS140">
        <v>0</v>
      </c>
      <c r="MT140">
        <v>0</v>
      </c>
      <c r="MU140">
        <v>0</v>
      </c>
      <c r="MV140">
        <v>0</v>
      </c>
      <c r="MW140">
        <v>0</v>
      </c>
      <c r="MX140">
        <v>0</v>
      </c>
      <c r="MY140">
        <v>0</v>
      </c>
      <c r="MZ140">
        <v>0</v>
      </c>
      <c r="NA140">
        <v>0</v>
      </c>
      <c r="NB140">
        <v>0</v>
      </c>
      <c r="NC140">
        <v>0</v>
      </c>
      <c r="ND140">
        <v>0</v>
      </c>
      <c r="NE140">
        <v>0</v>
      </c>
      <c r="NF140">
        <v>0</v>
      </c>
      <c r="NG140">
        <v>0</v>
      </c>
      <c r="NH140">
        <v>0</v>
      </c>
      <c r="NI140">
        <v>0</v>
      </c>
      <c r="NJ140">
        <v>0</v>
      </c>
      <c r="NK140">
        <v>0</v>
      </c>
      <c r="NL140">
        <v>0</v>
      </c>
      <c r="NM140">
        <v>0</v>
      </c>
      <c r="NN140">
        <v>0</v>
      </c>
      <c r="NO140">
        <v>0</v>
      </c>
      <c r="NP140">
        <v>0</v>
      </c>
      <c r="NQ140">
        <v>0</v>
      </c>
      <c r="NR140">
        <v>0</v>
      </c>
      <c r="NS140">
        <v>0</v>
      </c>
      <c r="NT140">
        <v>0</v>
      </c>
      <c r="NU140">
        <v>0</v>
      </c>
      <c r="NV140">
        <v>0</v>
      </c>
      <c r="NW140">
        <v>0</v>
      </c>
      <c r="NX140">
        <v>0</v>
      </c>
      <c r="NY140">
        <v>0</v>
      </c>
      <c r="NZ140">
        <v>0</v>
      </c>
      <c r="OA140">
        <v>0</v>
      </c>
      <c r="OB140">
        <v>0</v>
      </c>
      <c r="OC140">
        <v>0</v>
      </c>
      <c r="OD140">
        <v>0</v>
      </c>
      <c r="OE140">
        <v>0</v>
      </c>
      <c r="OF140">
        <v>0</v>
      </c>
      <c r="OG140">
        <v>0</v>
      </c>
      <c r="OH140">
        <v>0</v>
      </c>
      <c r="OI140">
        <v>0</v>
      </c>
      <c r="OJ140">
        <v>0</v>
      </c>
      <c r="OK140">
        <v>0</v>
      </c>
      <c r="OL140">
        <v>0</v>
      </c>
      <c r="OM140">
        <v>0</v>
      </c>
      <c r="ON140">
        <v>0</v>
      </c>
    </row>
    <row r="141" spans="1:404" x14ac:dyDescent="0.25">
      <c r="A141" t="s">
        <v>487</v>
      </c>
      <c r="B141" t="s">
        <v>488</v>
      </c>
      <c r="C141" t="s">
        <v>486</v>
      </c>
      <c r="E141" t="s">
        <v>97</v>
      </c>
      <c r="F141">
        <v>9259</v>
      </c>
      <c r="G141">
        <v>81324</v>
      </c>
      <c r="H141">
        <v>10557</v>
      </c>
      <c r="I141">
        <v>15149</v>
      </c>
      <c r="J141">
        <v>1474</v>
      </c>
      <c r="K141">
        <v>16420</v>
      </c>
      <c r="L141">
        <v>134183</v>
      </c>
      <c r="M141">
        <v>528</v>
      </c>
      <c r="N141">
        <v>34</v>
      </c>
      <c r="O141">
        <v>388</v>
      </c>
      <c r="P141">
        <v>316</v>
      </c>
      <c r="Q141">
        <v>264</v>
      </c>
      <c r="R141">
        <v>-11</v>
      </c>
      <c r="S141">
        <v>1647</v>
      </c>
      <c r="T141">
        <v>191</v>
      </c>
      <c r="U141">
        <v>1142</v>
      </c>
      <c r="V141">
        <v>0</v>
      </c>
      <c r="W141">
        <v>-755</v>
      </c>
      <c r="X141">
        <v>-363</v>
      </c>
      <c r="Y141">
        <v>68</v>
      </c>
      <c r="Z141">
        <v>-131</v>
      </c>
      <c r="AA141">
        <v>24</v>
      </c>
      <c r="AB141">
        <v>0</v>
      </c>
      <c r="AC141">
        <v>0</v>
      </c>
      <c r="AD141">
        <v>0</v>
      </c>
      <c r="AE141">
        <v>0</v>
      </c>
      <c r="AF141">
        <v>0</v>
      </c>
      <c r="AG141">
        <v>16</v>
      </c>
      <c r="AH141">
        <v>0</v>
      </c>
      <c r="AI141">
        <v>3358</v>
      </c>
      <c r="AJ141">
        <v>0</v>
      </c>
      <c r="AK141">
        <v>0</v>
      </c>
      <c r="AL141">
        <v>0</v>
      </c>
      <c r="AM141">
        <v>0</v>
      </c>
      <c r="AN141">
        <v>0</v>
      </c>
      <c r="AO141">
        <v>0</v>
      </c>
      <c r="AP141">
        <v>0</v>
      </c>
      <c r="AQ141">
        <v>220</v>
      </c>
      <c r="AR141">
        <v>124</v>
      </c>
      <c r="AS141">
        <v>0</v>
      </c>
      <c r="AT141">
        <v>0</v>
      </c>
      <c r="AU141">
        <v>0</v>
      </c>
      <c r="AV141">
        <v>4</v>
      </c>
      <c r="AW141">
        <v>26577</v>
      </c>
      <c r="AX141">
        <v>206</v>
      </c>
      <c r="AY141">
        <v>7017</v>
      </c>
      <c r="AZ141">
        <v>439</v>
      </c>
      <c r="BA141">
        <v>11254</v>
      </c>
      <c r="BB141">
        <v>46</v>
      </c>
      <c r="BC141">
        <v>1165</v>
      </c>
      <c r="BD141">
        <v>46708</v>
      </c>
      <c r="BE141">
        <v>5522</v>
      </c>
      <c r="BF141">
        <v>14894</v>
      </c>
      <c r="BG141">
        <v>349</v>
      </c>
      <c r="BH141">
        <v>949</v>
      </c>
      <c r="BI141">
        <v>36</v>
      </c>
      <c r="BJ141">
        <v>7652</v>
      </c>
      <c r="BK141">
        <v>20300</v>
      </c>
      <c r="BL141">
        <v>849</v>
      </c>
      <c r="BM141">
        <v>4632</v>
      </c>
      <c r="BN141">
        <v>4416</v>
      </c>
      <c r="BO141">
        <v>0</v>
      </c>
      <c r="BP141">
        <v>239</v>
      </c>
      <c r="BQ141">
        <v>220</v>
      </c>
      <c r="BR141">
        <v>398</v>
      </c>
      <c r="BS141">
        <v>-831</v>
      </c>
      <c r="BT141">
        <v>15202</v>
      </c>
      <c r="BU141">
        <v>1052</v>
      </c>
      <c r="BV141">
        <v>5107</v>
      </c>
      <c r="BW141">
        <v>80986</v>
      </c>
      <c r="BX141">
        <v>2629</v>
      </c>
      <c r="BY141">
        <v>1471</v>
      </c>
      <c r="BZ141">
        <v>303</v>
      </c>
      <c r="CA141">
        <v>225</v>
      </c>
      <c r="CB141">
        <v>70</v>
      </c>
      <c r="CC141">
        <v>40</v>
      </c>
      <c r="CD141">
        <v>15</v>
      </c>
      <c r="CE141">
        <v>55</v>
      </c>
      <c r="CF141">
        <v>55</v>
      </c>
      <c r="CG141">
        <v>55</v>
      </c>
      <c r="CH141">
        <v>55</v>
      </c>
      <c r="CI141">
        <v>2192</v>
      </c>
      <c r="CJ141">
        <v>1356</v>
      </c>
      <c r="CK141">
        <v>171</v>
      </c>
      <c r="CL141">
        <v>139</v>
      </c>
      <c r="CM141">
        <v>385</v>
      </c>
      <c r="CN141">
        <v>421</v>
      </c>
      <c r="CO141">
        <v>6</v>
      </c>
      <c r="CP141">
        <v>1537</v>
      </c>
      <c r="CQ141">
        <v>4457</v>
      </c>
      <c r="CR141">
        <v>41</v>
      </c>
      <c r="CS141">
        <v>247</v>
      </c>
      <c r="CT141">
        <v>1189</v>
      </c>
      <c r="CU141">
        <v>2254</v>
      </c>
      <c r="CV141">
        <v>19375</v>
      </c>
      <c r="CW141">
        <v>0</v>
      </c>
      <c r="CX141">
        <v>0</v>
      </c>
      <c r="CY141">
        <v>0</v>
      </c>
      <c r="CZ141">
        <v>0</v>
      </c>
      <c r="DA141">
        <v>0</v>
      </c>
      <c r="DB141">
        <v>0</v>
      </c>
      <c r="DC141">
        <v>0</v>
      </c>
      <c r="DD141">
        <v>-5</v>
      </c>
      <c r="DE141">
        <v>-20</v>
      </c>
      <c r="DF141">
        <v>268</v>
      </c>
      <c r="DG141">
        <v>0</v>
      </c>
      <c r="DH141">
        <v>0</v>
      </c>
      <c r="DI141">
        <v>0</v>
      </c>
      <c r="DJ141">
        <v>177</v>
      </c>
      <c r="DK141">
        <v>0</v>
      </c>
      <c r="DL141">
        <v>0</v>
      </c>
      <c r="DM141">
        <v>0</v>
      </c>
      <c r="DN141">
        <v>0</v>
      </c>
      <c r="DO141">
        <v>722</v>
      </c>
      <c r="DP141">
        <v>899</v>
      </c>
      <c r="DQ141">
        <v>0</v>
      </c>
      <c r="DR141">
        <v>0</v>
      </c>
      <c r="DS141">
        <v>0</v>
      </c>
      <c r="DT141">
        <v>1198</v>
      </c>
      <c r="DU141">
        <v>59</v>
      </c>
      <c r="DV141">
        <v>1296</v>
      </c>
      <c r="DW141">
        <v>0</v>
      </c>
      <c r="DX141">
        <v>3695</v>
      </c>
      <c r="DY141">
        <v>72985</v>
      </c>
      <c r="DZ141">
        <v>1307</v>
      </c>
      <c r="EA141">
        <v>4782</v>
      </c>
      <c r="EB141">
        <v>2768</v>
      </c>
      <c r="EC141">
        <v>0</v>
      </c>
      <c r="ED141">
        <v>9</v>
      </c>
      <c r="EE141">
        <v>0</v>
      </c>
      <c r="EF141">
        <v>0</v>
      </c>
      <c r="EG141">
        <v>0</v>
      </c>
      <c r="EH141">
        <v>24844</v>
      </c>
      <c r="EI141">
        <v>19737</v>
      </c>
      <c r="EJ141">
        <v>3946</v>
      </c>
      <c r="EK141">
        <v>4031</v>
      </c>
      <c r="EL141">
        <v>11973</v>
      </c>
      <c r="EM141">
        <v>16663</v>
      </c>
      <c r="EN141">
        <v>4512</v>
      </c>
      <c r="EO141">
        <v>96</v>
      </c>
      <c r="EP141">
        <v>0</v>
      </c>
      <c r="EQ141">
        <v>0</v>
      </c>
      <c r="ER141">
        <v>675</v>
      </c>
      <c r="ES141">
        <v>30786</v>
      </c>
      <c r="ET141">
        <v>26160</v>
      </c>
      <c r="EU141">
        <v>0</v>
      </c>
      <c r="EV141">
        <v>260</v>
      </c>
      <c r="EW141">
        <v>100</v>
      </c>
      <c r="EX141">
        <v>398</v>
      </c>
      <c r="EY141">
        <v>521</v>
      </c>
      <c r="EZ141">
        <v>3576</v>
      </c>
      <c r="FA141">
        <v>0</v>
      </c>
      <c r="FB141">
        <v>684</v>
      </c>
      <c r="FC141">
        <v>5154</v>
      </c>
      <c r="FD141">
        <v>3661</v>
      </c>
      <c r="FE141">
        <v>-13</v>
      </c>
      <c r="FF141">
        <v>-11</v>
      </c>
      <c r="FG141">
        <v>1607</v>
      </c>
      <c r="FH141">
        <v>15937</v>
      </c>
      <c r="FI141">
        <v>-1022</v>
      </c>
      <c r="FJ141">
        <v>506</v>
      </c>
      <c r="FK141">
        <v>0</v>
      </c>
      <c r="FL141">
        <v>131</v>
      </c>
      <c r="FM141">
        <v>385</v>
      </c>
      <c r="FN141">
        <v>0</v>
      </c>
      <c r="FO141">
        <v>474</v>
      </c>
      <c r="FP141">
        <v>0</v>
      </c>
      <c r="FQ141">
        <v>0</v>
      </c>
      <c r="FR141">
        <v>30</v>
      </c>
      <c r="FS141">
        <v>21</v>
      </c>
      <c r="FT141">
        <v>482</v>
      </c>
      <c r="FU141">
        <v>649</v>
      </c>
      <c r="FV141">
        <v>314</v>
      </c>
      <c r="FW141">
        <v>124</v>
      </c>
      <c r="FX141">
        <v>0</v>
      </c>
      <c r="FY141">
        <v>0</v>
      </c>
      <c r="FZ141">
        <v>0</v>
      </c>
      <c r="GA141">
        <v>0</v>
      </c>
      <c r="GB141">
        <v>0</v>
      </c>
      <c r="GC141">
        <v>0</v>
      </c>
      <c r="GD141">
        <v>1676</v>
      </c>
      <c r="GE141">
        <v>4352</v>
      </c>
      <c r="GF141">
        <v>10409</v>
      </c>
      <c r="GG141">
        <v>-1054</v>
      </c>
      <c r="GH141">
        <v>540</v>
      </c>
      <c r="GI141">
        <v>0</v>
      </c>
      <c r="GJ141">
        <v>0</v>
      </c>
      <c r="GK141">
        <v>18017</v>
      </c>
      <c r="GL141">
        <v>81</v>
      </c>
      <c r="GM141">
        <v>355</v>
      </c>
      <c r="GN141">
        <v>0</v>
      </c>
      <c r="GO141">
        <v>1260</v>
      </c>
      <c r="GP141">
        <v>-322</v>
      </c>
      <c r="GQ141">
        <v>2399</v>
      </c>
      <c r="GR141">
        <v>0</v>
      </c>
      <c r="GS141">
        <v>83</v>
      </c>
      <c r="GT141">
        <v>65</v>
      </c>
      <c r="GU141">
        <v>3921</v>
      </c>
      <c r="GV141">
        <v>37875</v>
      </c>
      <c r="GW141">
        <v>0</v>
      </c>
      <c r="GX141">
        <v>0</v>
      </c>
      <c r="GY141">
        <v>0</v>
      </c>
      <c r="GZ141">
        <v>0</v>
      </c>
      <c r="HA141">
        <v>0</v>
      </c>
      <c r="HB141">
        <v>3687</v>
      </c>
      <c r="HC141">
        <v>962</v>
      </c>
      <c r="HD141">
        <v>0</v>
      </c>
      <c r="HE141">
        <v>0</v>
      </c>
      <c r="HF141">
        <v>1205</v>
      </c>
      <c r="HG141">
        <v>-61</v>
      </c>
      <c r="HH141">
        <v>0</v>
      </c>
      <c r="HI141">
        <v>325</v>
      </c>
      <c r="HJ141">
        <v>209</v>
      </c>
      <c r="HK141">
        <v>151</v>
      </c>
      <c r="HL141">
        <v>0</v>
      </c>
      <c r="HM141">
        <v>-79</v>
      </c>
      <c r="HN141">
        <v>0</v>
      </c>
      <c r="HO141">
        <v>1847</v>
      </c>
      <c r="HP141">
        <v>499</v>
      </c>
      <c r="HQ141">
        <v>0</v>
      </c>
      <c r="HR141">
        <v>1984</v>
      </c>
      <c r="HS141">
        <v>0</v>
      </c>
      <c r="HT141">
        <v>415</v>
      </c>
      <c r="HU141">
        <v>3411</v>
      </c>
      <c r="HV141">
        <v>14555</v>
      </c>
      <c r="HW141">
        <v>1352</v>
      </c>
      <c r="HX141">
        <v>20960</v>
      </c>
      <c r="HY141">
        <v>0</v>
      </c>
      <c r="HZ141">
        <v>0</v>
      </c>
      <c r="IA141">
        <v>0</v>
      </c>
      <c r="IB141">
        <v>0</v>
      </c>
      <c r="IC141">
        <v>134183</v>
      </c>
      <c r="ID141">
        <v>3358</v>
      </c>
      <c r="IE141">
        <v>46708</v>
      </c>
      <c r="IF141">
        <v>80986</v>
      </c>
      <c r="IG141">
        <v>19375</v>
      </c>
      <c r="IH141">
        <v>3695</v>
      </c>
      <c r="II141">
        <v>15937</v>
      </c>
      <c r="IJ141">
        <v>18017</v>
      </c>
      <c r="IK141">
        <v>3921</v>
      </c>
      <c r="IL141">
        <v>0</v>
      </c>
      <c r="IM141">
        <v>0</v>
      </c>
      <c r="IN141">
        <v>14555</v>
      </c>
      <c r="IO141">
        <v>0</v>
      </c>
      <c r="IP141">
        <v>340735</v>
      </c>
      <c r="IQ141">
        <v>24160</v>
      </c>
      <c r="IR141">
        <v>0</v>
      </c>
      <c r="IS141">
        <v>27400</v>
      </c>
      <c r="IT141">
        <v>0</v>
      </c>
      <c r="IU141">
        <v>0</v>
      </c>
      <c r="IV141">
        <v>12</v>
      </c>
      <c r="IW141">
        <v>10603</v>
      </c>
      <c r="IX141">
        <v>0</v>
      </c>
      <c r="IY141">
        <v>0</v>
      </c>
      <c r="IZ141">
        <v>22</v>
      </c>
      <c r="JA141">
        <v>-233</v>
      </c>
      <c r="JB141">
        <v>1486</v>
      </c>
      <c r="JC141">
        <v>0</v>
      </c>
      <c r="JD141">
        <v>-1457</v>
      </c>
      <c r="JE141">
        <v>0</v>
      </c>
      <c r="JF141">
        <v>0</v>
      </c>
      <c r="JG141">
        <v>402728</v>
      </c>
      <c r="JH141">
        <v>174</v>
      </c>
      <c r="JI141">
        <v>6074</v>
      </c>
      <c r="JJ141">
        <v>0</v>
      </c>
      <c r="JK141">
        <v>0</v>
      </c>
      <c r="JL141">
        <v>0</v>
      </c>
      <c r="JM141">
        <v>0</v>
      </c>
      <c r="JN141">
        <v>20163</v>
      </c>
      <c r="JO141">
        <v>0</v>
      </c>
      <c r="JP141">
        <v>26759</v>
      </c>
      <c r="JQ141">
        <v>-11973</v>
      </c>
      <c r="JR141">
        <v>443925</v>
      </c>
      <c r="JS141">
        <v>-2163</v>
      </c>
      <c r="JT141">
        <v>0</v>
      </c>
      <c r="JU141">
        <v>476</v>
      </c>
      <c r="JV141">
        <v>0</v>
      </c>
      <c r="JW141">
        <v>-56929</v>
      </c>
      <c r="JX141">
        <v>0</v>
      </c>
      <c r="JY141">
        <v>0</v>
      </c>
      <c r="JZ141">
        <v>0</v>
      </c>
      <c r="KA141">
        <v>0</v>
      </c>
      <c r="KB141">
        <v>0</v>
      </c>
      <c r="KC141">
        <v>385288</v>
      </c>
      <c r="KD141">
        <v>0</v>
      </c>
      <c r="KE141">
        <v>-186013</v>
      </c>
      <c r="KF141">
        <v>199276</v>
      </c>
      <c r="KG141">
        <v>0</v>
      </c>
      <c r="KH141">
        <v>34</v>
      </c>
      <c r="KI141">
        <v>14</v>
      </c>
      <c r="KJ141">
        <v>735</v>
      </c>
      <c r="KK141">
        <v>-4008</v>
      </c>
      <c r="KL141">
        <v>-5467</v>
      </c>
      <c r="KM141">
        <v>-15341</v>
      </c>
      <c r="KN141">
        <v>0</v>
      </c>
      <c r="KO141">
        <v>-54179</v>
      </c>
      <c r="KP141">
        <v>328</v>
      </c>
      <c r="KQ141">
        <v>-4</v>
      </c>
      <c r="KR141">
        <v>100515</v>
      </c>
      <c r="KS141">
        <v>8912</v>
      </c>
      <c r="KT141">
        <v>2240</v>
      </c>
      <c r="KU141">
        <v>1872</v>
      </c>
      <c r="KV141">
        <v>83716</v>
      </c>
      <c r="KW141">
        <v>13967</v>
      </c>
      <c r="KX141">
        <v>8946</v>
      </c>
      <c r="KY141">
        <v>2254</v>
      </c>
      <c r="KZ141">
        <v>2607</v>
      </c>
      <c r="LA141">
        <v>79708</v>
      </c>
      <c r="LB141">
        <v>8500</v>
      </c>
      <c r="LC141">
        <v>0</v>
      </c>
      <c r="LD141">
        <v>49849</v>
      </c>
      <c r="LE141">
        <v>1121</v>
      </c>
      <c r="LF141">
        <v>-3301</v>
      </c>
      <c r="LG141">
        <v>-29910</v>
      </c>
      <c r="LH141">
        <v>3844</v>
      </c>
      <c r="LI141">
        <v>21603</v>
      </c>
      <c r="LJ141">
        <v>9148</v>
      </c>
      <c r="LK141">
        <v>12960</v>
      </c>
      <c r="LL141">
        <v>22108</v>
      </c>
      <c r="LM141">
        <v>0</v>
      </c>
      <c r="LN141">
        <v>0</v>
      </c>
      <c r="LO141">
        <v>0</v>
      </c>
      <c r="LP141">
        <v>81851</v>
      </c>
      <c r="LQ141">
        <v>86477</v>
      </c>
      <c r="LR141">
        <v>-4626</v>
      </c>
      <c r="LS141">
        <v>30786</v>
      </c>
      <c r="LT141">
        <v>26160</v>
      </c>
      <c r="LU141">
        <v>134183</v>
      </c>
      <c r="LV141">
        <v>3358</v>
      </c>
      <c r="LW141">
        <v>46708</v>
      </c>
      <c r="LX141">
        <v>80986</v>
      </c>
      <c r="LY141">
        <v>19375</v>
      </c>
      <c r="LZ141">
        <v>3695</v>
      </c>
      <c r="MA141">
        <v>15937</v>
      </c>
      <c r="MB141">
        <v>18017</v>
      </c>
      <c r="MC141">
        <v>3921</v>
      </c>
      <c r="MD141">
        <v>0</v>
      </c>
      <c r="ME141">
        <v>0</v>
      </c>
      <c r="MF141">
        <v>14555</v>
      </c>
      <c r="MG141">
        <v>0</v>
      </c>
      <c r="MH141">
        <v>340735</v>
      </c>
      <c r="MI141">
        <v>0</v>
      </c>
      <c r="MJ141">
        <v>0</v>
      </c>
      <c r="MK141">
        <v>0</v>
      </c>
      <c r="ML141">
        <v>0</v>
      </c>
      <c r="MM141">
        <v>0</v>
      </c>
      <c r="MN141">
        <v>0</v>
      </c>
      <c r="MO141">
        <v>0</v>
      </c>
      <c r="MP141">
        <v>0</v>
      </c>
      <c r="MQ141">
        <v>94</v>
      </c>
      <c r="MR141">
        <v>0</v>
      </c>
      <c r="MS141">
        <v>0</v>
      </c>
      <c r="MT141">
        <v>0</v>
      </c>
      <c r="MU141">
        <v>0</v>
      </c>
      <c r="MV141">
        <v>0</v>
      </c>
      <c r="MW141">
        <v>0</v>
      </c>
      <c r="MX141">
        <v>0</v>
      </c>
      <c r="MY141">
        <v>0</v>
      </c>
      <c r="MZ141">
        <v>0</v>
      </c>
      <c r="NA141">
        <v>-233</v>
      </c>
      <c r="NB141">
        <v>0</v>
      </c>
      <c r="NC141">
        <v>-233</v>
      </c>
      <c r="ND141">
        <v>0</v>
      </c>
      <c r="NE141">
        <v>0</v>
      </c>
      <c r="NF141">
        <v>0</v>
      </c>
      <c r="NG141">
        <v>0</v>
      </c>
      <c r="NH141">
        <v>0</v>
      </c>
      <c r="NI141">
        <v>0</v>
      </c>
      <c r="NJ141">
        <v>0</v>
      </c>
      <c r="NK141">
        <v>0</v>
      </c>
      <c r="NL141">
        <v>0</v>
      </c>
      <c r="NM141">
        <v>1260</v>
      </c>
      <c r="NN141">
        <v>886</v>
      </c>
      <c r="NO141">
        <v>0</v>
      </c>
      <c r="NP141">
        <v>0</v>
      </c>
      <c r="NQ141">
        <v>-29</v>
      </c>
      <c r="NR141">
        <v>-1959</v>
      </c>
      <c r="NS141">
        <v>0</v>
      </c>
      <c r="NT141">
        <v>-129</v>
      </c>
      <c r="NU141">
        <v>0</v>
      </c>
      <c r="NV141">
        <v>0</v>
      </c>
      <c r="NW141">
        <v>0</v>
      </c>
      <c r="NX141">
        <v>0</v>
      </c>
      <c r="NY141">
        <v>0</v>
      </c>
      <c r="NZ141">
        <v>29</v>
      </c>
      <c r="OA141">
        <v>1457</v>
      </c>
      <c r="OB141">
        <v>1486</v>
      </c>
      <c r="OC141">
        <v>0</v>
      </c>
      <c r="OD141">
        <v>0</v>
      </c>
      <c r="OE141">
        <v>0</v>
      </c>
      <c r="OF141">
        <v>0</v>
      </c>
      <c r="OG141">
        <v>0</v>
      </c>
      <c r="OH141">
        <v>0</v>
      </c>
      <c r="OI141">
        <v>1457</v>
      </c>
      <c r="OJ141">
        <v>0</v>
      </c>
      <c r="OK141">
        <v>0</v>
      </c>
      <c r="OL141">
        <v>0</v>
      </c>
      <c r="OM141">
        <v>0</v>
      </c>
      <c r="ON141">
        <v>1457</v>
      </c>
    </row>
    <row r="142" spans="1:404" x14ac:dyDescent="0.25">
      <c r="A142" t="s">
        <v>490</v>
      </c>
      <c r="B142" t="s">
        <v>491</v>
      </c>
      <c r="C142" t="s">
        <v>489</v>
      </c>
      <c r="E142" t="s">
        <v>61</v>
      </c>
      <c r="F142">
        <v>0</v>
      </c>
      <c r="G142">
        <v>0</v>
      </c>
      <c r="H142">
        <v>0</v>
      </c>
      <c r="I142">
        <v>0</v>
      </c>
      <c r="J142">
        <v>0</v>
      </c>
      <c r="K142">
        <v>0</v>
      </c>
      <c r="L142">
        <v>0</v>
      </c>
      <c r="M142">
        <v>0</v>
      </c>
      <c r="N142">
        <v>0</v>
      </c>
      <c r="O142">
        <v>0</v>
      </c>
      <c r="P142">
        <v>0</v>
      </c>
      <c r="Q142">
        <v>0</v>
      </c>
      <c r="R142">
        <v>0</v>
      </c>
      <c r="S142">
        <v>0</v>
      </c>
      <c r="T142">
        <v>0</v>
      </c>
      <c r="U142">
        <v>0</v>
      </c>
      <c r="V142">
        <v>0</v>
      </c>
      <c r="W142">
        <v>0</v>
      </c>
      <c r="X142">
        <v>0</v>
      </c>
      <c r="Y142">
        <v>0</v>
      </c>
      <c r="Z142">
        <v>0</v>
      </c>
      <c r="AA142">
        <v>148</v>
      </c>
      <c r="AB142">
        <v>0</v>
      </c>
      <c r="AC142">
        <v>0</v>
      </c>
      <c r="AD142">
        <v>0</v>
      </c>
      <c r="AE142">
        <v>0</v>
      </c>
      <c r="AF142">
        <v>0</v>
      </c>
      <c r="AG142">
        <v>0</v>
      </c>
      <c r="AH142">
        <v>0</v>
      </c>
      <c r="AI142">
        <v>148</v>
      </c>
      <c r="AJ142">
        <v>0</v>
      </c>
      <c r="AK142">
        <v>0</v>
      </c>
      <c r="AL142">
        <v>0</v>
      </c>
      <c r="AM142">
        <v>0</v>
      </c>
      <c r="AN142">
        <v>0</v>
      </c>
      <c r="AO142">
        <v>0</v>
      </c>
      <c r="AP142">
        <v>0</v>
      </c>
      <c r="AQ142">
        <v>0</v>
      </c>
      <c r="AR142">
        <v>0</v>
      </c>
      <c r="AS142">
        <v>0</v>
      </c>
      <c r="AT142">
        <v>0</v>
      </c>
      <c r="AU142">
        <v>0</v>
      </c>
      <c r="AV142">
        <v>0</v>
      </c>
      <c r="AW142">
        <v>0</v>
      </c>
      <c r="AX142">
        <v>0</v>
      </c>
      <c r="AY142">
        <v>0</v>
      </c>
      <c r="AZ142">
        <v>0</v>
      </c>
      <c r="BA142">
        <v>0</v>
      </c>
      <c r="BB142">
        <v>0</v>
      </c>
      <c r="BC142">
        <v>0</v>
      </c>
      <c r="BD142">
        <v>0</v>
      </c>
      <c r="BE142">
        <v>0</v>
      </c>
      <c r="BF142">
        <v>0</v>
      </c>
      <c r="BG142">
        <v>0</v>
      </c>
      <c r="BH142">
        <v>0</v>
      </c>
      <c r="BI142">
        <v>0</v>
      </c>
      <c r="BJ142">
        <v>0</v>
      </c>
      <c r="BK142">
        <v>0</v>
      </c>
      <c r="BL142">
        <v>0</v>
      </c>
      <c r="BM142">
        <v>0</v>
      </c>
      <c r="BN142">
        <v>0</v>
      </c>
      <c r="BO142">
        <v>0</v>
      </c>
      <c r="BP142">
        <v>0</v>
      </c>
      <c r="BQ142">
        <v>0</v>
      </c>
      <c r="BR142">
        <v>0</v>
      </c>
      <c r="BS142">
        <v>0</v>
      </c>
      <c r="BT142">
        <v>0</v>
      </c>
      <c r="BU142">
        <v>0</v>
      </c>
      <c r="BV142">
        <v>0</v>
      </c>
      <c r="BW142">
        <v>0</v>
      </c>
      <c r="BX142">
        <v>0</v>
      </c>
      <c r="BY142">
        <v>0</v>
      </c>
      <c r="BZ142">
        <v>0</v>
      </c>
      <c r="CA142">
        <v>0</v>
      </c>
      <c r="CB142">
        <v>0</v>
      </c>
      <c r="CC142">
        <v>0</v>
      </c>
      <c r="CD142">
        <v>0</v>
      </c>
      <c r="CE142">
        <v>0</v>
      </c>
      <c r="CF142">
        <v>0</v>
      </c>
      <c r="CG142">
        <v>0</v>
      </c>
      <c r="CH142">
        <v>0</v>
      </c>
      <c r="CI142">
        <v>0</v>
      </c>
      <c r="CJ142">
        <v>0</v>
      </c>
      <c r="CK142">
        <v>0</v>
      </c>
      <c r="CL142">
        <v>0</v>
      </c>
      <c r="CM142">
        <v>0</v>
      </c>
      <c r="CN142">
        <v>0</v>
      </c>
      <c r="CO142">
        <v>0</v>
      </c>
      <c r="CP142">
        <v>0</v>
      </c>
      <c r="CQ142">
        <v>0</v>
      </c>
      <c r="CR142">
        <v>0</v>
      </c>
      <c r="CS142">
        <v>0</v>
      </c>
      <c r="CT142">
        <v>0</v>
      </c>
      <c r="CU142">
        <v>0</v>
      </c>
      <c r="CV142">
        <v>0</v>
      </c>
      <c r="CW142">
        <v>0</v>
      </c>
      <c r="CX142">
        <v>0</v>
      </c>
      <c r="CY142">
        <v>0</v>
      </c>
      <c r="CZ142">
        <v>0</v>
      </c>
      <c r="DA142">
        <v>0</v>
      </c>
      <c r="DB142">
        <v>0</v>
      </c>
      <c r="DC142">
        <v>77</v>
      </c>
      <c r="DD142">
        <v>0</v>
      </c>
      <c r="DE142">
        <v>207</v>
      </c>
      <c r="DF142">
        <v>0</v>
      </c>
      <c r="DG142">
        <v>0</v>
      </c>
      <c r="DH142">
        <v>0</v>
      </c>
      <c r="DI142">
        <v>0</v>
      </c>
      <c r="DJ142">
        <v>0</v>
      </c>
      <c r="DK142">
        <v>0</v>
      </c>
      <c r="DL142">
        <v>687</v>
      </c>
      <c r="DM142">
        <v>0</v>
      </c>
      <c r="DN142">
        <v>0</v>
      </c>
      <c r="DO142">
        <v>0</v>
      </c>
      <c r="DP142">
        <v>687</v>
      </c>
      <c r="DQ142">
        <v>0</v>
      </c>
      <c r="DR142">
        <v>0</v>
      </c>
      <c r="DS142">
        <v>0</v>
      </c>
      <c r="DT142">
        <v>397</v>
      </c>
      <c r="DU142">
        <v>0</v>
      </c>
      <c r="DV142">
        <v>0</v>
      </c>
      <c r="DW142">
        <v>0</v>
      </c>
      <c r="DX142">
        <v>1368</v>
      </c>
      <c r="DY142">
        <v>0</v>
      </c>
      <c r="DZ142">
        <v>0</v>
      </c>
      <c r="EA142">
        <v>0</v>
      </c>
      <c r="EB142">
        <v>0</v>
      </c>
      <c r="EC142">
        <v>0</v>
      </c>
      <c r="ED142">
        <v>0</v>
      </c>
      <c r="EE142">
        <v>0</v>
      </c>
      <c r="EF142">
        <v>0</v>
      </c>
      <c r="EG142">
        <v>0</v>
      </c>
      <c r="EH142">
        <v>0</v>
      </c>
      <c r="EI142">
        <v>0</v>
      </c>
      <c r="EJ142">
        <v>0</v>
      </c>
      <c r="EK142">
        <v>0</v>
      </c>
      <c r="EL142">
        <v>0</v>
      </c>
      <c r="EM142">
        <v>0</v>
      </c>
      <c r="EN142">
        <v>0</v>
      </c>
      <c r="EO142">
        <v>0</v>
      </c>
      <c r="EP142">
        <v>0</v>
      </c>
      <c r="EQ142">
        <v>0</v>
      </c>
      <c r="ER142">
        <v>0</v>
      </c>
      <c r="ES142">
        <v>0</v>
      </c>
      <c r="ET142">
        <v>0</v>
      </c>
      <c r="EU142">
        <v>0</v>
      </c>
      <c r="EV142">
        <v>157</v>
      </c>
      <c r="EW142">
        <v>0</v>
      </c>
      <c r="EX142">
        <v>0</v>
      </c>
      <c r="EY142">
        <v>171</v>
      </c>
      <c r="EZ142">
        <v>124</v>
      </c>
      <c r="FA142">
        <v>0</v>
      </c>
      <c r="FB142">
        <v>39</v>
      </c>
      <c r="FC142">
        <v>1584</v>
      </c>
      <c r="FD142">
        <v>1225</v>
      </c>
      <c r="FE142">
        <v>0</v>
      </c>
      <c r="FF142">
        <v>0</v>
      </c>
      <c r="FG142">
        <v>0</v>
      </c>
      <c r="FH142">
        <v>3300</v>
      </c>
      <c r="FI142">
        <v>-153</v>
      </c>
      <c r="FJ142">
        <v>0</v>
      </c>
      <c r="FK142">
        <v>0</v>
      </c>
      <c r="FL142">
        <v>271</v>
      </c>
      <c r="FM142">
        <v>0</v>
      </c>
      <c r="FN142">
        <v>0</v>
      </c>
      <c r="FO142">
        <v>0</v>
      </c>
      <c r="FP142">
        <v>0</v>
      </c>
      <c r="FQ142">
        <v>0</v>
      </c>
      <c r="FR142">
        <v>-1</v>
      </c>
      <c r="FS142">
        <v>305</v>
      </c>
      <c r="FT142">
        <v>0</v>
      </c>
      <c r="FU142">
        <v>75</v>
      </c>
      <c r="FV142">
        <v>721</v>
      </c>
      <c r="FW142">
        <v>0</v>
      </c>
      <c r="FX142">
        <v>0</v>
      </c>
      <c r="FY142">
        <v>0</v>
      </c>
      <c r="FZ142">
        <v>20</v>
      </c>
      <c r="GA142">
        <v>0</v>
      </c>
      <c r="GB142">
        <v>0</v>
      </c>
      <c r="GC142">
        <v>0</v>
      </c>
      <c r="GD142">
        <v>911</v>
      </c>
      <c r="GE142">
        <v>1504</v>
      </c>
      <c r="GF142">
        <v>0</v>
      </c>
      <c r="GG142">
        <v>0</v>
      </c>
      <c r="GH142">
        <v>61</v>
      </c>
      <c r="GI142">
        <v>0</v>
      </c>
      <c r="GJ142">
        <v>0</v>
      </c>
      <c r="GK142">
        <v>3714</v>
      </c>
      <c r="GL142">
        <v>34</v>
      </c>
      <c r="GM142">
        <v>-6</v>
      </c>
      <c r="GN142">
        <v>0</v>
      </c>
      <c r="GO142">
        <v>352</v>
      </c>
      <c r="GP142">
        <v>0</v>
      </c>
      <c r="GQ142">
        <v>410</v>
      </c>
      <c r="GR142">
        <v>0</v>
      </c>
      <c r="GS142">
        <v>0</v>
      </c>
      <c r="GT142">
        <v>0</v>
      </c>
      <c r="GU142">
        <v>790</v>
      </c>
      <c r="GV142">
        <v>7804</v>
      </c>
      <c r="GW142">
        <v>0</v>
      </c>
      <c r="GX142">
        <v>0</v>
      </c>
      <c r="GY142">
        <v>0</v>
      </c>
      <c r="GZ142">
        <v>0</v>
      </c>
      <c r="HA142">
        <v>0</v>
      </c>
      <c r="HB142">
        <v>1635</v>
      </c>
      <c r="HC142">
        <v>723</v>
      </c>
      <c r="HD142">
        <v>0</v>
      </c>
      <c r="HE142">
        <v>0</v>
      </c>
      <c r="HF142">
        <v>595</v>
      </c>
      <c r="HG142">
        <v>83</v>
      </c>
      <c r="HH142">
        <v>0</v>
      </c>
      <c r="HI142">
        <v>0</v>
      </c>
      <c r="HJ142">
        <v>166</v>
      </c>
      <c r="HK142">
        <v>-33</v>
      </c>
      <c r="HL142">
        <v>30</v>
      </c>
      <c r="HM142">
        <v>11</v>
      </c>
      <c r="HN142">
        <v>0</v>
      </c>
      <c r="HO142">
        <v>290</v>
      </c>
      <c r="HP142">
        <v>0</v>
      </c>
      <c r="HQ142">
        <v>0</v>
      </c>
      <c r="HR142">
        <v>318</v>
      </c>
      <c r="HS142">
        <v>0</v>
      </c>
      <c r="HT142">
        <v>0</v>
      </c>
      <c r="HU142">
        <v>1410</v>
      </c>
      <c r="HV142">
        <v>5228</v>
      </c>
      <c r="HW142">
        <v>6900</v>
      </c>
      <c r="HX142">
        <v>0</v>
      </c>
      <c r="HY142">
        <v>0</v>
      </c>
      <c r="HZ142">
        <v>0</v>
      </c>
      <c r="IA142">
        <v>0</v>
      </c>
      <c r="IB142">
        <v>0</v>
      </c>
      <c r="IC142">
        <v>0</v>
      </c>
      <c r="ID142">
        <v>148</v>
      </c>
      <c r="IE142">
        <v>0</v>
      </c>
      <c r="IF142">
        <v>0</v>
      </c>
      <c r="IG142">
        <v>0</v>
      </c>
      <c r="IH142">
        <v>1368</v>
      </c>
      <c r="II142">
        <v>3300</v>
      </c>
      <c r="IJ142">
        <v>3714</v>
      </c>
      <c r="IK142">
        <v>790</v>
      </c>
      <c r="IL142">
        <v>0</v>
      </c>
      <c r="IM142">
        <v>0</v>
      </c>
      <c r="IN142">
        <v>5228</v>
      </c>
      <c r="IO142">
        <v>0</v>
      </c>
      <c r="IP142">
        <v>14548</v>
      </c>
      <c r="IQ142">
        <v>18021</v>
      </c>
      <c r="IR142">
        <v>131</v>
      </c>
      <c r="IS142">
        <v>0</v>
      </c>
      <c r="IT142">
        <v>0</v>
      </c>
      <c r="IU142">
        <v>0</v>
      </c>
      <c r="IV142">
        <v>751</v>
      </c>
      <c r="IW142">
        <v>0</v>
      </c>
      <c r="IX142">
        <v>0</v>
      </c>
      <c r="IY142">
        <v>0</v>
      </c>
      <c r="IZ142">
        <v>0</v>
      </c>
      <c r="JA142">
        <v>0</v>
      </c>
      <c r="JB142">
        <v>0</v>
      </c>
      <c r="JC142">
        <v>0</v>
      </c>
      <c r="JD142">
        <v>0</v>
      </c>
      <c r="JE142">
        <v>0</v>
      </c>
      <c r="JF142">
        <v>0</v>
      </c>
      <c r="JG142">
        <v>33451</v>
      </c>
      <c r="JH142">
        <v>0</v>
      </c>
      <c r="JI142">
        <v>1570</v>
      </c>
      <c r="JJ142">
        <v>0</v>
      </c>
      <c r="JK142">
        <v>0</v>
      </c>
      <c r="JL142">
        <v>0</v>
      </c>
      <c r="JM142">
        <v>-5</v>
      </c>
      <c r="JN142">
        <v>573</v>
      </c>
      <c r="JO142">
        <v>0</v>
      </c>
      <c r="JP142">
        <v>365</v>
      </c>
      <c r="JQ142">
        <v>0</v>
      </c>
      <c r="JR142">
        <v>35954</v>
      </c>
      <c r="JS142">
        <v>-80</v>
      </c>
      <c r="JT142">
        <v>0</v>
      </c>
      <c r="JU142">
        <v>0</v>
      </c>
      <c r="JV142">
        <v>0</v>
      </c>
      <c r="JW142">
        <v>-18168</v>
      </c>
      <c r="JX142">
        <v>0</v>
      </c>
      <c r="JY142">
        <v>-3408</v>
      </c>
      <c r="JZ142">
        <v>0</v>
      </c>
      <c r="KA142">
        <v>0</v>
      </c>
      <c r="KB142">
        <v>0</v>
      </c>
      <c r="KC142">
        <v>14298</v>
      </c>
      <c r="KD142">
        <v>0</v>
      </c>
      <c r="KE142">
        <v>-2737</v>
      </c>
      <c r="KF142">
        <v>11561</v>
      </c>
      <c r="KG142">
        <v>0</v>
      </c>
      <c r="KH142">
        <v>0</v>
      </c>
      <c r="KI142">
        <v>0</v>
      </c>
      <c r="KJ142">
        <v>0</v>
      </c>
      <c r="KK142">
        <v>-1909</v>
      </c>
      <c r="KL142">
        <v>86</v>
      </c>
      <c r="KM142">
        <v>0</v>
      </c>
      <c r="KN142">
        <v>0</v>
      </c>
      <c r="KO142">
        <v>-1433</v>
      </c>
      <c r="KP142">
        <v>0</v>
      </c>
      <c r="KQ142">
        <v>0</v>
      </c>
      <c r="KR142">
        <v>7222</v>
      </c>
      <c r="KS142">
        <v>0</v>
      </c>
      <c r="KT142">
        <v>0</v>
      </c>
      <c r="KU142">
        <v>0</v>
      </c>
      <c r="KV142">
        <v>8031</v>
      </c>
      <c r="KW142">
        <v>7923</v>
      </c>
      <c r="KX142">
        <v>0</v>
      </c>
      <c r="KY142">
        <v>0</v>
      </c>
      <c r="KZ142">
        <v>0</v>
      </c>
      <c r="LA142">
        <v>6122</v>
      </c>
      <c r="LB142">
        <v>8009</v>
      </c>
      <c r="LC142">
        <v>0</v>
      </c>
      <c r="LD142">
        <v>1882</v>
      </c>
      <c r="LE142">
        <v>476</v>
      </c>
      <c r="LF142">
        <v>-451</v>
      </c>
      <c r="LG142">
        <v>0</v>
      </c>
      <c r="LH142">
        <v>1308</v>
      </c>
      <c r="LI142">
        <v>3215</v>
      </c>
      <c r="LJ142">
        <v>3063</v>
      </c>
      <c r="LK142">
        <v>4441</v>
      </c>
      <c r="LL142">
        <v>7504</v>
      </c>
      <c r="LM142">
        <v>0</v>
      </c>
      <c r="LN142">
        <v>0</v>
      </c>
      <c r="LO142">
        <v>0</v>
      </c>
      <c r="LP142">
        <v>0</v>
      </c>
      <c r="LQ142">
        <v>0</v>
      </c>
      <c r="LR142">
        <v>0</v>
      </c>
      <c r="LS142">
        <v>0</v>
      </c>
      <c r="LT142">
        <v>0</v>
      </c>
      <c r="LU142">
        <v>0</v>
      </c>
      <c r="LV142">
        <v>148</v>
      </c>
      <c r="LW142">
        <v>0</v>
      </c>
      <c r="LX142">
        <v>0</v>
      </c>
      <c r="LY142">
        <v>0</v>
      </c>
      <c r="LZ142">
        <v>1368</v>
      </c>
      <c r="MA142">
        <v>3300</v>
      </c>
      <c r="MB142">
        <v>3714</v>
      </c>
      <c r="MC142">
        <v>790</v>
      </c>
      <c r="MD142">
        <v>0</v>
      </c>
      <c r="ME142">
        <v>0</v>
      </c>
      <c r="MF142">
        <v>5228</v>
      </c>
      <c r="MG142">
        <v>0</v>
      </c>
      <c r="MH142">
        <v>14548</v>
      </c>
      <c r="MI142">
        <v>0</v>
      </c>
      <c r="MJ142">
        <v>0</v>
      </c>
      <c r="MK142">
        <v>0</v>
      </c>
      <c r="ML142">
        <v>0</v>
      </c>
      <c r="MM142">
        <v>0</v>
      </c>
      <c r="MN142">
        <v>0</v>
      </c>
      <c r="MO142">
        <v>0</v>
      </c>
      <c r="MP142">
        <v>0</v>
      </c>
      <c r="MQ142">
        <v>0</v>
      </c>
      <c r="MR142">
        <v>0</v>
      </c>
      <c r="MS142">
        <v>0</v>
      </c>
      <c r="MT142">
        <v>0</v>
      </c>
      <c r="MU142">
        <v>0</v>
      </c>
      <c r="MV142">
        <v>0</v>
      </c>
      <c r="MW142">
        <v>0</v>
      </c>
      <c r="MX142">
        <v>0</v>
      </c>
      <c r="MY142">
        <v>0</v>
      </c>
      <c r="MZ142">
        <v>0</v>
      </c>
      <c r="NA142">
        <v>0</v>
      </c>
      <c r="NB142">
        <v>0</v>
      </c>
      <c r="NC142">
        <v>0</v>
      </c>
      <c r="ND142">
        <v>0</v>
      </c>
      <c r="NE142">
        <v>0</v>
      </c>
      <c r="NF142">
        <v>0</v>
      </c>
      <c r="NG142">
        <v>0</v>
      </c>
      <c r="NH142">
        <v>0</v>
      </c>
      <c r="NI142">
        <v>0</v>
      </c>
      <c r="NJ142">
        <v>0</v>
      </c>
      <c r="NK142">
        <v>0</v>
      </c>
      <c r="NL142">
        <v>0</v>
      </c>
      <c r="NM142">
        <v>0</v>
      </c>
      <c r="NN142">
        <v>0</v>
      </c>
      <c r="NO142">
        <v>0</v>
      </c>
      <c r="NP142">
        <v>0</v>
      </c>
      <c r="NQ142">
        <v>0</v>
      </c>
      <c r="NR142">
        <v>0</v>
      </c>
      <c r="NS142">
        <v>0</v>
      </c>
      <c r="NT142">
        <v>0</v>
      </c>
      <c r="NU142">
        <v>0</v>
      </c>
      <c r="NV142">
        <v>0</v>
      </c>
      <c r="NW142">
        <v>0</v>
      </c>
      <c r="NX142">
        <v>0</v>
      </c>
      <c r="NY142">
        <v>0</v>
      </c>
      <c r="NZ142">
        <v>0</v>
      </c>
      <c r="OA142">
        <v>0</v>
      </c>
      <c r="OB142">
        <v>0</v>
      </c>
      <c r="OC142">
        <v>0</v>
      </c>
      <c r="OD142">
        <v>0</v>
      </c>
      <c r="OE142">
        <v>0</v>
      </c>
      <c r="OF142">
        <v>0</v>
      </c>
      <c r="OG142">
        <v>0</v>
      </c>
      <c r="OH142">
        <v>0</v>
      </c>
      <c r="OI142">
        <v>0</v>
      </c>
      <c r="OJ142">
        <v>0</v>
      </c>
      <c r="OK142">
        <v>0</v>
      </c>
      <c r="OL142">
        <v>0</v>
      </c>
      <c r="OM142">
        <v>0</v>
      </c>
      <c r="ON142">
        <v>0</v>
      </c>
    </row>
    <row r="143" spans="1:404" x14ac:dyDescent="0.25">
      <c r="A143" t="s">
        <v>493</v>
      </c>
      <c r="B143" t="s">
        <v>494</v>
      </c>
      <c r="C143" t="s">
        <v>492</v>
      </c>
      <c r="E143" t="s">
        <v>61</v>
      </c>
    </row>
    <row r="144" spans="1:404" x14ac:dyDescent="0.25">
      <c r="A144" t="s">
        <v>496</v>
      </c>
      <c r="B144" t="s">
        <v>497</v>
      </c>
      <c r="C144" t="s">
        <v>495</v>
      </c>
      <c r="E144" t="s">
        <v>1942</v>
      </c>
      <c r="F144">
        <v>32935</v>
      </c>
      <c r="G144">
        <v>172056</v>
      </c>
      <c r="H144">
        <v>44210</v>
      </c>
      <c r="I144">
        <v>46455</v>
      </c>
      <c r="J144">
        <v>6736</v>
      </c>
      <c r="K144">
        <v>37731</v>
      </c>
      <c r="L144">
        <v>340123</v>
      </c>
      <c r="M144">
        <v>1326</v>
      </c>
      <c r="N144">
        <v>2573</v>
      </c>
      <c r="O144">
        <v>0</v>
      </c>
      <c r="P144">
        <v>0</v>
      </c>
      <c r="Q144">
        <v>0</v>
      </c>
      <c r="R144">
        <v>2006</v>
      </c>
      <c r="S144">
        <v>15629</v>
      </c>
      <c r="T144">
        <v>2743</v>
      </c>
      <c r="U144">
        <v>4136</v>
      </c>
      <c r="V144">
        <v>0</v>
      </c>
      <c r="W144">
        <v>0</v>
      </c>
      <c r="X144">
        <v>603</v>
      </c>
      <c r="Y144">
        <v>150</v>
      </c>
      <c r="Z144">
        <v>-2306</v>
      </c>
      <c r="AA144">
        <v>146</v>
      </c>
      <c r="AB144">
        <v>5865</v>
      </c>
      <c r="AC144">
        <v>0</v>
      </c>
      <c r="AD144">
        <v>5048</v>
      </c>
      <c r="AE144">
        <v>0</v>
      </c>
      <c r="AF144">
        <v>0</v>
      </c>
      <c r="AG144">
        <v>586</v>
      </c>
      <c r="AH144">
        <v>0</v>
      </c>
      <c r="AI144">
        <v>38505</v>
      </c>
      <c r="AJ144">
        <v>0</v>
      </c>
      <c r="AK144">
        <v>0</v>
      </c>
      <c r="AL144">
        <v>0</v>
      </c>
      <c r="AM144">
        <v>0</v>
      </c>
      <c r="AN144">
        <v>0</v>
      </c>
      <c r="AO144">
        <v>0</v>
      </c>
      <c r="AP144">
        <v>0</v>
      </c>
      <c r="AQ144">
        <v>1465</v>
      </c>
      <c r="AR144">
        <v>3372</v>
      </c>
      <c r="AS144">
        <v>0</v>
      </c>
      <c r="AT144">
        <v>0</v>
      </c>
      <c r="AU144">
        <v>0</v>
      </c>
      <c r="AV144">
        <v>5992</v>
      </c>
      <c r="AW144">
        <v>76522</v>
      </c>
      <c r="AX144">
        <v>769</v>
      </c>
      <c r="AY144">
        <v>17708</v>
      </c>
      <c r="AZ144">
        <v>0</v>
      </c>
      <c r="BA144">
        <v>33182</v>
      </c>
      <c r="BB144">
        <v>1401</v>
      </c>
      <c r="BC144">
        <v>8994</v>
      </c>
      <c r="BD144">
        <v>144568</v>
      </c>
      <c r="BE144">
        <v>25933</v>
      </c>
      <c r="BF144">
        <v>34001</v>
      </c>
      <c r="BG144">
        <v>126</v>
      </c>
      <c r="BH144">
        <v>647</v>
      </c>
      <c r="BI144">
        <v>1330</v>
      </c>
      <c r="BJ144">
        <v>6278</v>
      </c>
      <c r="BK144">
        <v>47494</v>
      </c>
      <c r="BL144">
        <v>2017</v>
      </c>
      <c r="BM144">
        <v>7866</v>
      </c>
      <c r="BN144">
        <v>1503</v>
      </c>
      <c r="BO144">
        <v>0</v>
      </c>
      <c r="BP144">
        <v>0</v>
      </c>
      <c r="BQ144">
        <v>5575</v>
      </c>
      <c r="BR144">
        <v>-809</v>
      </c>
      <c r="BS144">
        <v>4243</v>
      </c>
      <c r="BT144">
        <v>29146</v>
      </c>
      <c r="BU144">
        <v>857</v>
      </c>
      <c r="BV144">
        <v>-5855</v>
      </c>
      <c r="BW144">
        <v>176874</v>
      </c>
      <c r="BX144">
        <v>2146</v>
      </c>
      <c r="BY144">
        <v>1412</v>
      </c>
      <c r="BZ144">
        <v>160</v>
      </c>
      <c r="CA144">
        <v>263</v>
      </c>
      <c r="CB144">
        <v>57</v>
      </c>
      <c r="CC144">
        <v>117</v>
      </c>
      <c r="CD144">
        <v>114</v>
      </c>
      <c r="CE144">
        <v>638</v>
      </c>
      <c r="CF144">
        <v>57</v>
      </c>
      <c r="CG144">
        <v>198</v>
      </c>
      <c r="CH144">
        <v>0</v>
      </c>
      <c r="CI144">
        <v>2508</v>
      </c>
      <c r="CJ144">
        <v>1691</v>
      </c>
      <c r="CK144">
        <v>985</v>
      </c>
      <c r="CL144">
        <v>567</v>
      </c>
      <c r="CM144">
        <v>324</v>
      </c>
      <c r="CN144">
        <v>688</v>
      </c>
      <c r="CO144">
        <v>57</v>
      </c>
      <c r="CP144">
        <v>883</v>
      </c>
      <c r="CQ144">
        <v>6370</v>
      </c>
      <c r="CR144">
        <v>4331</v>
      </c>
      <c r="CS144">
        <v>26</v>
      </c>
      <c r="CT144">
        <v>536</v>
      </c>
      <c r="CU144">
        <v>1156</v>
      </c>
      <c r="CV144">
        <v>36885</v>
      </c>
      <c r="CW144">
        <v>0</v>
      </c>
      <c r="CX144">
        <v>0</v>
      </c>
      <c r="CY144">
        <v>0</v>
      </c>
      <c r="CZ144">
        <v>0</v>
      </c>
      <c r="DA144">
        <v>2453</v>
      </c>
      <c r="DB144">
        <v>7729</v>
      </c>
      <c r="DC144">
        <v>0</v>
      </c>
      <c r="DD144">
        <v>0</v>
      </c>
      <c r="DE144">
        <v>0</v>
      </c>
      <c r="DF144">
        <v>0</v>
      </c>
      <c r="DG144">
        <v>0</v>
      </c>
      <c r="DH144">
        <v>0</v>
      </c>
      <c r="DI144">
        <v>0</v>
      </c>
      <c r="DJ144">
        <v>0</v>
      </c>
      <c r="DK144">
        <v>0</v>
      </c>
      <c r="DL144">
        <v>0</v>
      </c>
      <c r="DM144">
        <v>0</v>
      </c>
      <c r="DN144">
        <v>0</v>
      </c>
      <c r="DO144">
        <v>0</v>
      </c>
      <c r="DP144">
        <v>0</v>
      </c>
      <c r="DQ144">
        <v>0</v>
      </c>
      <c r="DR144">
        <v>0</v>
      </c>
      <c r="DS144">
        <v>0</v>
      </c>
      <c r="DT144">
        <v>0</v>
      </c>
      <c r="DU144">
        <v>233</v>
      </c>
      <c r="DV144">
        <v>0</v>
      </c>
      <c r="DW144">
        <v>0</v>
      </c>
      <c r="DX144">
        <v>233</v>
      </c>
      <c r="DY144">
        <v>0</v>
      </c>
      <c r="DZ144">
        <v>0</v>
      </c>
      <c r="EA144">
        <v>0</v>
      </c>
      <c r="EB144">
        <v>0</v>
      </c>
      <c r="EC144">
        <v>0</v>
      </c>
      <c r="ED144">
        <v>0</v>
      </c>
      <c r="EE144">
        <v>0</v>
      </c>
      <c r="EF144">
        <v>0</v>
      </c>
      <c r="EG144">
        <v>0</v>
      </c>
      <c r="EH144">
        <v>0</v>
      </c>
      <c r="EI144">
        <v>0</v>
      </c>
      <c r="EJ144">
        <v>0</v>
      </c>
      <c r="EK144">
        <v>0</v>
      </c>
      <c r="EL144">
        <v>0</v>
      </c>
      <c r="EM144">
        <v>0</v>
      </c>
      <c r="EN144">
        <v>0</v>
      </c>
      <c r="EO144">
        <v>0</v>
      </c>
      <c r="EP144">
        <v>0</v>
      </c>
      <c r="EQ144">
        <v>0</v>
      </c>
      <c r="ER144">
        <v>0</v>
      </c>
      <c r="ES144">
        <v>0</v>
      </c>
      <c r="ET144">
        <v>0</v>
      </c>
      <c r="EU144">
        <v>2380</v>
      </c>
      <c r="EV144">
        <v>0</v>
      </c>
      <c r="EW144">
        <v>0</v>
      </c>
      <c r="EX144">
        <v>0</v>
      </c>
      <c r="EY144">
        <v>0</v>
      </c>
      <c r="EZ144">
        <v>0</v>
      </c>
      <c r="FA144">
        <v>0</v>
      </c>
      <c r="FB144">
        <v>0</v>
      </c>
      <c r="FC144">
        <v>0</v>
      </c>
      <c r="FD144">
        <v>210</v>
      </c>
      <c r="FE144">
        <v>0</v>
      </c>
      <c r="FF144">
        <v>0</v>
      </c>
      <c r="FG144">
        <v>6085</v>
      </c>
      <c r="FH144">
        <v>8675</v>
      </c>
      <c r="FI144">
        <v>0</v>
      </c>
      <c r="FJ144">
        <v>937</v>
      </c>
      <c r="FK144">
        <v>0</v>
      </c>
      <c r="FL144">
        <v>0</v>
      </c>
      <c r="FM144">
        <v>0</v>
      </c>
      <c r="FN144">
        <v>0</v>
      </c>
      <c r="FO144">
        <v>0</v>
      </c>
      <c r="FP144">
        <v>0</v>
      </c>
      <c r="FQ144">
        <v>0</v>
      </c>
      <c r="FR144">
        <v>0</v>
      </c>
      <c r="FS144">
        <v>0</v>
      </c>
      <c r="FT144">
        <v>0</v>
      </c>
      <c r="FU144">
        <v>0</v>
      </c>
      <c r="FV144">
        <v>2</v>
      </c>
      <c r="FW144">
        <v>0</v>
      </c>
      <c r="FX144">
        <v>0</v>
      </c>
      <c r="FY144">
        <v>666</v>
      </c>
      <c r="FZ144">
        <v>0</v>
      </c>
      <c r="GA144">
        <v>0</v>
      </c>
      <c r="GB144">
        <v>0</v>
      </c>
      <c r="GC144">
        <v>-458</v>
      </c>
      <c r="GD144">
        <v>0</v>
      </c>
      <c r="GE144">
        <v>0</v>
      </c>
      <c r="GF144">
        <v>25988</v>
      </c>
      <c r="GG144">
        <v>0</v>
      </c>
      <c r="GH144">
        <v>5960</v>
      </c>
      <c r="GI144">
        <v>163</v>
      </c>
      <c r="GJ144">
        <v>124</v>
      </c>
      <c r="GK144">
        <v>33382</v>
      </c>
      <c r="GL144">
        <v>0</v>
      </c>
      <c r="GM144">
        <v>851</v>
      </c>
      <c r="GN144">
        <v>0</v>
      </c>
      <c r="GO144">
        <v>515</v>
      </c>
      <c r="GP144">
        <v>-173</v>
      </c>
      <c r="GQ144">
        <v>192</v>
      </c>
      <c r="GR144">
        <v>0</v>
      </c>
      <c r="GS144">
        <v>2308</v>
      </c>
      <c r="GT144">
        <v>147</v>
      </c>
      <c r="GU144">
        <v>3840</v>
      </c>
      <c r="GV144">
        <v>45897</v>
      </c>
      <c r="GW144">
        <v>0</v>
      </c>
      <c r="GX144">
        <v>2143</v>
      </c>
      <c r="GY144">
        <v>24122</v>
      </c>
      <c r="GZ144">
        <v>154</v>
      </c>
      <c r="HA144">
        <v>26419</v>
      </c>
      <c r="HB144">
        <v>5136</v>
      </c>
      <c r="HC144">
        <v>0</v>
      </c>
      <c r="HD144">
        <v>0</v>
      </c>
      <c r="HE144">
        <v>0</v>
      </c>
      <c r="HF144">
        <v>0</v>
      </c>
      <c r="HG144">
        <v>0</v>
      </c>
      <c r="HH144">
        <v>0</v>
      </c>
      <c r="HI144">
        <v>327</v>
      </c>
      <c r="HJ144">
        <v>550</v>
      </c>
      <c r="HK144">
        <v>0</v>
      </c>
      <c r="HL144">
        <v>298</v>
      </c>
      <c r="HM144">
        <v>0</v>
      </c>
      <c r="HN144">
        <v>265</v>
      </c>
      <c r="HO144">
        <v>0</v>
      </c>
      <c r="HP144">
        <v>1394</v>
      </c>
      <c r="HQ144">
        <v>0</v>
      </c>
      <c r="HR144">
        <v>4986</v>
      </c>
      <c r="HS144">
        <v>586</v>
      </c>
      <c r="HT144">
        <v>0</v>
      </c>
      <c r="HU144">
        <v>4673</v>
      </c>
      <c r="HV144">
        <v>18215</v>
      </c>
      <c r="HW144">
        <v>0</v>
      </c>
      <c r="HX144">
        <v>33874</v>
      </c>
      <c r="HY144">
        <v>0</v>
      </c>
      <c r="HZ144">
        <v>0</v>
      </c>
      <c r="IA144">
        <v>268</v>
      </c>
      <c r="IB144">
        <v>0</v>
      </c>
      <c r="IC144">
        <v>340123</v>
      </c>
      <c r="ID144">
        <v>38505</v>
      </c>
      <c r="IE144">
        <v>144568</v>
      </c>
      <c r="IF144">
        <v>176874</v>
      </c>
      <c r="IG144">
        <v>36885</v>
      </c>
      <c r="IH144">
        <v>233</v>
      </c>
      <c r="II144">
        <v>8675</v>
      </c>
      <c r="IJ144">
        <v>33382</v>
      </c>
      <c r="IK144">
        <v>3840</v>
      </c>
      <c r="IL144">
        <v>0</v>
      </c>
      <c r="IM144">
        <v>26419</v>
      </c>
      <c r="IN144">
        <v>18215</v>
      </c>
      <c r="IO144">
        <v>0</v>
      </c>
      <c r="IP144">
        <v>827719</v>
      </c>
      <c r="IQ144">
        <v>0</v>
      </c>
      <c r="IR144">
        <v>0</v>
      </c>
      <c r="IS144">
        <v>0</v>
      </c>
      <c r="IT144">
        <v>0</v>
      </c>
      <c r="IU144">
        <v>0</v>
      </c>
      <c r="IV144">
        <v>0</v>
      </c>
      <c r="IW144">
        <v>0</v>
      </c>
      <c r="IX144">
        <v>0</v>
      </c>
      <c r="IY144">
        <v>0</v>
      </c>
      <c r="IZ144">
        <v>125</v>
      </c>
      <c r="JA144">
        <v>0</v>
      </c>
      <c r="JB144">
        <v>0</v>
      </c>
      <c r="JC144">
        <v>0</v>
      </c>
      <c r="JD144">
        <v>0</v>
      </c>
      <c r="JE144">
        <v>924</v>
      </c>
      <c r="JF144">
        <v>0</v>
      </c>
      <c r="JG144">
        <v>828768</v>
      </c>
      <c r="JH144">
        <v>335</v>
      </c>
      <c r="JI144">
        <v>5323</v>
      </c>
      <c r="JJ144">
        <v>0</v>
      </c>
      <c r="JK144">
        <v>0</v>
      </c>
      <c r="JL144">
        <v>0</v>
      </c>
      <c r="JM144">
        <v>0</v>
      </c>
      <c r="JN144">
        <v>7568</v>
      </c>
      <c r="JO144">
        <v>0</v>
      </c>
      <c r="JP144">
        <v>11939</v>
      </c>
      <c r="JQ144">
        <v>0</v>
      </c>
      <c r="JR144">
        <v>853933</v>
      </c>
      <c r="JS144">
        <v>-4795</v>
      </c>
      <c r="JT144">
        <v>0</v>
      </c>
      <c r="JU144">
        <v>267</v>
      </c>
      <c r="JV144">
        <v>0</v>
      </c>
      <c r="JW144">
        <v>-4097</v>
      </c>
      <c r="JX144">
        <v>0</v>
      </c>
      <c r="JY144">
        <v>0</v>
      </c>
      <c r="JZ144">
        <v>0</v>
      </c>
      <c r="KA144">
        <v>0</v>
      </c>
      <c r="KB144">
        <v>-5151</v>
      </c>
      <c r="KC144">
        <v>840157</v>
      </c>
      <c r="KD144">
        <v>-935</v>
      </c>
      <c r="KE144">
        <v>-433621</v>
      </c>
      <c r="KF144">
        <v>405601</v>
      </c>
      <c r="KG144">
        <v>0</v>
      </c>
      <c r="KH144">
        <v>3338</v>
      </c>
      <c r="KI144">
        <v>0</v>
      </c>
      <c r="KJ144">
        <v>1823</v>
      </c>
      <c r="KK144">
        <v>6303</v>
      </c>
      <c r="KL144">
        <v>1053</v>
      </c>
      <c r="KM144">
        <v>-8221</v>
      </c>
      <c r="KN144">
        <v>0</v>
      </c>
      <c r="KO144">
        <v>-57171</v>
      </c>
      <c r="KP144">
        <v>-821</v>
      </c>
      <c r="KQ144">
        <v>0</v>
      </c>
      <c r="KR144">
        <v>329269</v>
      </c>
      <c r="KS144">
        <v>20148</v>
      </c>
      <c r="KT144">
        <v>0</v>
      </c>
      <c r="KU144">
        <v>1061</v>
      </c>
      <c r="KV144">
        <v>146820</v>
      </c>
      <c r="KW144">
        <v>21999</v>
      </c>
      <c r="KX144">
        <v>23486</v>
      </c>
      <c r="KY144">
        <v>0</v>
      </c>
      <c r="KZ144">
        <v>2884</v>
      </c>
      <c r="LA144">
        <v>153123</v>
      </c>
      <c r="LB144">
        <v>23052</v>
      </c>
      <c r="LC144">
        <v>0</v>
      </c>
      <c r="LD144">
        <v>64674</v>
      </c>
      <c r="LE144">
        <v>0</v>
      </c>
      <c r="LF144">
        <v>-9987</v>
      </c>
      <c r="LG144">
        <v>-69052</v>
      </c>
      <c r="LH144">
        <v>38933</v>
      </c>
      <c r="LI144">
        <v>18930</v>
      </c>
      <c r="LJ144">
        <v>0</v>
      </c>
      <c r="LK144">
        <v>0</v>
      </c>
      <c r="LL144">
        <v>0</v>
      </c>
      <c r="LM144">
        <v>0</v>
      </c>
      <c r="LN144">
        <v>0</v>
      </c>
      <c r="LO144">
        <v>0</v>
      </c>
      <c r="LP144">
        <v>0</v>
      </c>
      <c r="LQ144">
        <v>0</v>
      </c>
      <c r="LR144">
        <v>0</v>
      </c>
      <c r="LS144">
        <v>0</v>
      </c>
      <c r="LT144">
        <v>0</v>
      </c>
      <c r="LU144">
        <v>340123</v>
      </c>
      <c r="LV144">
        <v>38505</v>
      </c>
      <c r="LW144">
        <v>144568</v>
      </c>
      <c r="LX144">
        <v>176874</v>
      </c>
      <c r="LY144">
        <v>36885</v>
      </c>
      <c r="LZ144">
        <v>233</v>
      </c>
      <c r="MA144">
        <v>8675</v>
      </c>
      <c r="MB144">
        <v>33382</v>
      </c>
      <c r="MC144">
        <v>3840</v>
      </c>
      <c r="MD144">
        <v>0</v>
      </c>
      <c r="ME144">
        <v>26419</v>
      </c>
      <c r="MF144">
        <v>18215</v>
      </c>
      <c r="MG144">
        <v>0</v>
      </c>
      <c r="MH144">
        <v>827719</v>
      </c>
      <c r="MI144">
        <v>0</v>
      </c>
      <c r="MJ144">
        <v>0</v>
      </c>
      <c r="MK144">
        <v>0</v>
      </c>
      <c r="ML144">
        <v>0</v>
      </c>
      <c r="MM144">
        <v>0</v>
      </c>
      <c r="MN144">
        <v>0</v>
      </c>
      <c r="MO144">
        <v>0</v>
      </c>
      <c r="MP144">
        <v>0</v>
      </c>
      <c r="MQ144">
        <v>0</v>
      </c>
      <c r="MR144">
        <v>0</v>
      </c>
      <c r="MS144">
        <v>0</v>
      </c>
      <c r="MT144">
        <v>0</v>
      </c>
      <c r="MU144">
        <v>0</v>
      </c>
      <c r="MV144">
        <v>0</v>
      </c>
      <c r="MW144">
        <v>0</v>
      </c>
      <c r="MX144">
        <v>0</v>
      </c>
      <c r="MY144">
        <v>0</v>
      </c>
      <c r="MZ144">
        <v>0</v>
      </c>
      <c r="NA144">
        <v>0</v>
      </c>
      <c r="NB144">
        <v>0</v>
      </c>
      <c r="NC144">
        <v>0</v>
      </c>
      <c r="ND144">
        <v>0</v>
      </c>
      <c r="NE144">
        <v>0</v>
      </c>
      <c r="NF144">
        <v>0</v>
      </c>
      <c r="NG144">
        <v>0</v>
      </c>
      <c r="NH144">
        <v>0</v>
      </c>
      <c r="NI144">
        <v>0</v>
      </c>
      <c r="NJ144">
        <v>0</v>
      </c>
      <c r="NK144">
        <v>0</v>
      </c>
      <c r="NL144">
        <v>0</v>
      </c>
      <c r="NM144">
        <v>0</v>
      </c>
      <c r="NN144">
        <v>0</v>
      </c>
      <c r="NO144">
        <v>0</v>
      </c>
      <c r="NP144">
        <v>0</v>
      </c>
      <c r="NQ144">
        <v>0</v>
      </c>
      <c r="NR144">
        <v>0</v>
      </c>
      <c r="NS144">
        <v>0</v>
      </c>
      <c r="NT144">
        <v>0</v>
      </c>
      <c r="NU144">
        <v>0</v>
      </c>
      <c r="NV144">
        <v>0</v>
      </c>
      <c r="NW144">
        <v>0</v>
      </c>
      <c r="NX144">
        <v>0</v>
      </c>
      <c r="NY144">
        <v>0</v>
      </c>
      <c r="NZ144">
        <v>0</v>
      </c>
      <c r="OA144">
        <v>0</v>
      </c>
      <c r="OB144">
        <v>0</v>
      </c>
      <c r="OC144">
        <v>0</v>
      </c>
      <c r="OD144">
        <v>0</v>
      </c>
      <c r="OE144">
        <v>0</v>
      </c>
      <c r="OF144">
        <v>0</v>
      </c>
      <c r="OG144">
        <v>0</v>
      </c>
      <c r="OH144">
        <v>0</v>
      </c>
      <c r="OI144">
        <v>0</v>
      </c>
      <c r="OJ144">
        <v>0</v>
      </c>
      <c r="OK144">
        <v>0</v>
      </c>
      <c r="OL144">
        <v>0</v>
      </c>
      <c r="OM144">
        <v>0</v>
      </c>
      <c r="ON144">
        <v>0</v>
      </c>
    </row>
    <row r="145" spans="1:404" x14ac:dyDescent="0.25">
      <c r="A145" t="s">
        <v>499</v>
      </c>
      <c r="B145" t="s">
        <v>500</v>
      </c>
      <c r="C145" t="s">
        <v>498</v>
      </c>
      <c r="E145" t="s">
        <v>71</v>
      </c>
      <c r="F145">
        <v>0</v>
      </c>
      <c r="G145">
        <v>0</v>
      </c>
      <c r="H145">
        <v>0</v>
      </c>
      <c r="I145">
        <v>0</v>
      </c>
      <c r="J145">
        <v>0</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0</v>
      </c>
      <c r="AR145">
        <v>0</v>
      </c>
      <c r="AS145">
        <v>0</v>
      </c>
      <c r="AT145">
        <v>0</v>
      </c>
      <c r="AU145">
        <v>0</v>
      </c>
      <c r="AV145">
        <v>0</v>
      </c>
      <c r="AW145">
        <v>0</v>
      </c>
      <c r="AX145">
        <v>0</v>
      </c>
      <c r="AY145">
        <v>0</v>
      </c>
      <c r="AZ145">
        <v>0</v>
      </c>
      <c r="BA145">
        <v>0</v>
      </c>
      <c r="BB145">
        <v>0</v>
      </c>
      <c r="BC145">
        <v>0</v>
      </c>
      <c r="BD145">
        <v>0</v>
      </c>
      <c r="BE145">
        <v>0</v>
      </c>
      <c r="BF145">
        <v>0</v>
      </c>
      <c r="BG145">
        <v>0</v>
      </c>
      <c r="BH145">
        <v>0</v>
      </c>
      <c r="BI145">
        <v>0</v>
      </c>
      <c r="BJ145">
        <v>0</v>
      </c>
      <c r="BK145">
        <v>0</v>
      </c>
      <c r="BL145">
        <v>0</v>
      </c>
      <c r="BM145">
        <v>0</v>
      </c>
      <c r="BN145">
        <v>0</v>
      </c>
      <c r="BO145">
        <v>0</v>
      </c>
      <c r="BP145">
        <v>0</v>
      </c>
      <c r="BQ145">
        <v>0</v>
      </c>
      <c r="BR145">
        <v>0</v>
      </c>
      <c r="BS145">
        <v>0</v>
      </c>
      <c r="BT145">
        <v>0</v>
      </c>
      <c r="BU145">
        <v>0</v>
      </c>
      <c r="BV145">
        <v>0</v>
      </c>
      <c r="BW145">
        <v>0</v>
      </c>
      <c r="BX145">
        <v>0</v>
      </c>
      <c r="BY145">
        <v>0</v>
      </c>
      <c r="BZ145">
        <v>0</v>
      </c>
      <c r="CA145">
        <v>0</v>
      </c>
      <c r="CB145">
        <v>0</v>
      </c>
      <c r="CC145">
        <v>0</v>
      </c>
      <c r="CD145">
        <v>0</v>
      </c>
      <c r="CE145">
        <v>0</v>
      </c>
      <c r="CF145">
        <v>0</v>
      </c>
      <c r="CG145">
        <v>0</v>
      </c>
      <c r="CH145">
        <v>0</v>
      </c>
      <c r="CI145">
        <v>0</v>
      </c>
      <c r="CJ145">
        <v>0</v>
      </c>
      <c r="CK145">
        <v>0</v>
      </c>
      <c r="CL145">
        <v>0</v>
      </c>
      <c r="CM145">
        <v>0</v>
      </c>
      <c r="CN145">
        <v>0</v>
      </c>
      <c r="CO145">
        <v>0</v>
      </c>
      <c r="CP145">
        <v>0</v>
      </c>
      <c r="CQ145">
        <v>0</v>
      </c>
      <c r="CR145">
        <v>0</v>
      </c>
      <c r="CS145">
        <v>0</v>
      </c>
      <c r="CT145">
        <v>0</v>
      </c>
      <c r="CU145">
        <v>0</v>
      </c>
      <c r="CV145">
        <v>0</v>
      </c>
      <c r="CW145">
        <v>0</v>
      </c>
      <c r="CX145">
        <v>0</v>
      </c>
      <c r="CY145">
        <v>0</v>
      </c>
      <c r="CZ145">
        <v>0</v>
      </c>
      <c r="DA145">
        <v>0</v>
      </c>
      <c r="DB145">
        <v>0</v>
      </c>
      <c r="DC145">
        <v>0</v>
      </c>
      <c r="DD145">
        <v>0</v>
      </c>
      <c r="DE145">
        <v>0</v>
      </c>
      <c r="DF145">
        <v>0</v>
      </c>
      <c r="DG145">
        <v>0</v>
      </c>
      <c r="DH145">
        <v>0</v>
      </c>
      <c r="DI145">
        <v>0</v>
      </c>
      <c r="DJ145">
        <v>0</v>
      </c>
      <c r="DK145">
        <v>0</v>
      </c>
      <c r="DL145">
        <v>0</v>
      </c>
      <c r="DM145">
        <v>0</v>
      </c>
      <c r="DN145">
        <v>0</v>
      </c>
      <c r="DO145">
        <v>0</v>
      </c>
      <c r="DP145">
        <v>0</v>
      </c>
      <c r="DQ145">
        <v>0</v>
      </c>
      <c r="DR145">
        <v>0</v>
      </c>
      <c r="DS145">
        <v>0</v>
      </c>
      <c r="DT145">
        <v>0</v>
      </c>
      <c r="DU145">
        <v>0</v>
      </c>
      <c r="DV145">
        <v>0</v>
      </c>
      <c r="DW145">
        <v>0</v>
      </c>
      <c r="DX145">
        <v>0</v>
      </c>
      <c r="DY145">
        <v>0</v>
      </c>
      <c r="DZ145">
        <v>0</v>
      </c>
      <c r="EA145">
        <v>0</v>
      </c>
      <c r="EB145">
        <v>0</v>
      </c>
      <c r="EC145">
        <v>0</v>
      </c>
      <c r="ED145">
        <v>0</v>
      </c>
      <c r="EE145">
        <v>0</v>
      </c>
      <c r="EF145">
        <v>0</v>
      </c>
      <c r="EG145">
        <v>0</v>
      </c>
      <c r="EH145">
        <v>0</v>
      </c>
      <c r="EI145">
        <v>0</v>
      </c>
      <c r="EJ145">
        <v>0</v>
      </c>
      <c r="EK145">
        <v>0</v>
      </c>
      <c r="EL145">
        <v>0</v>
      </c>
      <c r="EM145">
        <v>0</v>
      </c>
      <c r="EN145">
        <v>0</v>
      </c>
      <c r="EO145">
        <v>0</v>
      </c>
      <c r="EP145">
        <v>0</v>
      </c>
      <c r="EQ145">
        <v>0</v>
      </c>
      <c r="ER145">
        <v>0</v>
      </c>
      <c r="ES145">
        <v>0</v>
      </c>
      <c r="ET145">
        <v>0</v>
      </c>
      <c r="EU145">
        <v>0</v>
      </c>
      <c r="EV145">
        <v>0</v>
      </c>
      <c r="EW145">
        <v>0</v>
      </c>
      <c r="EX145">
        <v>0</v>
      </c>
      <c r="EY145">
        <v>0</v>
      </c>
      <c r="EZ145">
        <v>0</v>
      </c>
      <c r="FA145">
        <v>0</v>
      </c>
      <c r="FB145">
        <v>0</v>
      </c>
      <c r="FC145">
        <v>0</v>
      </c>
      <c r="FD145">
        <v>0</v>
      </c>
      <c r="FE145">
        <v>0</v>
      </c>
      <c r="FF145">
        <v>0</v>
      </c>
      <c r="FG145">
        <v>0</v>
      </c>
      <c r="FH145">
        <v>0</v>
      </c>
      <c r="FI145">
        <v>0</v>
      </c>
      <c r="FJ145">
        <v>0</v>
      </c>
      <c r="FK145">
        <v>0</v>
      </c>
      <c r="FL145">
        <v>0</v>
      </c>
      <c r="FM145">
        <v>0</v>
      </c>
      <c r="FN145">
        <v>0</v>
      </c>
      <c r="FO145">
        <v>0</v>
      </c>
      <c r="FP145">
        <v>0</v>
      </c>
      <c r="FQ145">
        <v>0</v>
      </c>
      <c r="FR145">
        <v>0</v>
      </c>
      <c r="FS145">
        <v>0</v>
      </c>
      <c r="FT145">
        <v>0</v>
      </c>
      <c r="FU145">
        <v>0</v>
      </c>
      <c r="FV145">
        <v>0</v>
      </c>
      <c r="FW145">
        <v>0</v>
      </c>
      <c r="FX145">
        <v>0</v>
      </c>
      <c r="FY145">
        <v>0</v>
      </c>
      <c r="FZ145">
        <v>0</v>
      </c>
      <c r="GA145">
        <v>0</v>
      </c>
      <c r="GB145">
        <v>0</v>
      </c>
      <c r="GC145">
        <v>0</v>
      </c>
      <c r="GD145">
        <v>0</v>
      </c>
      <c r="GE145">
        <v>0</v>
      </c>
      <c r="GF145">
        <v>0</v>
      </c>
      <c r="GG145">
        <v>0</v>
      </c>
      <c r="GH145">
        <v>0</v>
      </c>
      <c r="GI145">
        <v>0</v>
      </c>
      <c r="GJ145">
        <v>0</v>
      </c>
      <c r="GK145">
        <v>0</v>
      </c>
      <c r="GL145">
        <v>0</v>
      </c>
      <c r="GM145">
        <v>0</v>
      </c>
      <c r="GN145">
        <v>0</v>
      </c>
      <c r="GO145">
        <v>0</v>
      </c>
      <c r="GP145">
        <v>0</v>
      </c>
      <c r="GQ145">
        <v>0</v>
      </c>
      <c r="GR145">
        <v>0</v>
      </c>
      <c r="GS145">
        <v>0</v>
      </c>
      <c r="GT145">
        <v>0</v>
      </c>
      <c r="GU145">
        <v>0</v>
      </c>
      <c r="GV145">
        <v>0</v>
      </c>
      <c r="GW145">
        <v>133196</v>
      </c>
      <c r="GX145">
        <v>0</v>
      </c>
      <c r="GY145">
        <v>0</v>
      </c>
      <c r="GZ145">
        <v>0</v>
      </c>
      <c r="HA145">
        <v>0</v>
      </c>
      <c r="HB145">
        <v>1446</v>
      </c>
      <c r="HC145">
        <v>0</v>
      </c>
      <c r="HD145">
        <v>0</v>
      </c>
      <c r="HE145">
        <v>0</v>
      </c>
      <c r="HF145">
        <v>0</v>
      </c>
      <c r="HG145">
        <v>0</v>
      </c>
      <c r="HH145">
        <v>0</v>
      </c>
      <c r="HI145">
        <v>0</v>
      </c>
      <c r="HJ145">
        <v>0</v>
      </c>
      <c r="HK145">
        <v>0</v>
      </c>
      <c r="HL145">
        <v>0</v>
      </c>
      <c r="HM145">
        <v>0</v>
      </c>
      <c r="HN145">
        <v>0</v>
      </c>
      <c r="HO145">
        <v>0</v>
      </c>
      <c r="HP145">
        <v>0</v>
      </c>
      <c r="HQ145">
        <v>0</v>
      </c>
      <c r="HR145">
        <v>814</v>
      </c>
      <c r="HS145">
        <v>0</v>
      </c>
      <c r="HT145">
        <v>0</v>
      </c>
      <c r="HU145">
        <v>0</v>
      </c>
      <c r="HV145">
        <v>2260</v>
      </c>
      <c r="HW145">
        <v>0</v>
      </c>
      <c r="HX145">
        <v>0</v>
      </c>
      <c r="HY145">
        <v>0</v>
      </c>
      <c r="HZ145">
        <v>0</v>
      </c>
      <c r="IA145">
        <v>0</v>
      </c>
      <c r="IB145">
        <v>0</v>
      </c>
      <c r="IC145">
        <v>0</v>
      </c>
      <c r="ID145">
        <v>0</v>
      </c>
      <c r="IE145">
        <v>0</v>
      </c>
      <c r="IF145">
        <v>0</v>
      </c>
      <c r="IG145">
        <v>0</v>
      </c>
      <c r="IH145">
        <v>0</v>
      </c>
      <c r="II145">
        <v>0</v>
      </c>
      <c r="IJ145">
        <v>0</v>
      </c>
      <c r="IK145">
        <v>0</v>
      </c>
      <c r="IL145">
        <v>133196</v>
      </c>
      <c r="IM145">
        <v>0</v>
      </c>
      <c r="IN145">
        <v>2260</v>
      </c>
      <c r="IO145">
        <v>0</v>
      </c>
      <c r="IP145">
        <v>135456</v>
      </c>
      <c r="IQ145">
        <v>0</v>
      </c>
      <c r="IR145">
        <v>0</v>
      </c>
      <c r="IS145">
        <v>0</v>
      </c>
      <c r="IT145">
        <v>0</v>
      </c>
      <c r="IU145">
        <v>0</v>
      </c>
      <c r="IV145">
        <v>0</v>
      </c>
      <c r="IW145">
        <v>0</v>
      </c>
      <c r="IX145">
        <v>0</v>
      </c>
      <c r="IY145">
        <v>0</v>
      </c>
      <c r="IZ145">
        <v>0</v>
      </c>
      <c r="JA145">
        <v>0</v>
      </c>
      <c r="JB145">
        <v>0</v>
      </c>
      <c r="JC145">
        <v>0</v>
      </c>
      <c r="JD145">
        <v>0</v>
      </c>
      <c r="JE145">
        <v>691</v>
      </c>
      <c r="JF145">
        <v>0</v>
      </c>
      <c r="JG145">
        <v>136147</v>
      </c>
      <c r="JH145">
        <v>0</v>
      </c>
      <c r="JI145">
        <v>417</v>
      </c>
      <c r="JJ145">
        <v>0</v>
      </c>
      <c r="JK145">
        <v>0</v>
      </c>
      <c r="JL145">
        <v>0</v>
      </c>
      <c r="JM145">
        <v>0</v>
      </c>
      <c r="JN145">
        <v>560</v>
      </c>
      <c r="JO145">
        <v>0</v>
      </c>
      <c r="JP145">
        <v>367</v>
      </c>
      <c r="JQ145">
        <v>0</v>
      </c>
      <c r="JR145">
        <v>137491</v>
      </c>
      <c r="JS145">
        <v>-7</v>
      </c>
      <c r="JT145">
        <v>0</v>
      </c>
      <c r="JU145">
        <v>0</v>
      </c>
      <c r="JV145">
        <v>0</v>
      </c>
      <c r="JW145">
        <v>0</v>
      </c>
      <c r="JX145">
        <v>0</v>
      </c>
      <c r="JY145">
        <v>0</v>
      </c>
      <c r="JZ145">
        <v>0</v>
      </c>
      <c r="KA145">
        <v>0</v>
      </c>
      <c r="KB145">
        <v>0</v>
      </c>
      <c r="KC145">
        <v>137484</v>
      </c>
      <c r="KD145">
        <v>0</v>
      </c>
      <c r="KE145">
        <v>-11111</v>
      </c>
      <c r="KF145">
        <v>126373</v>
      </c>
      <c r="KG145">
        <v>0</v>
      </c>
      <c r="KH145">
        <v>0</v>
      </c>
      <c r="KI145">
        <v>0</v>
      </c>
      <c r="KJ145">
        <v>0</v>
      </c>
      <c r="KK145">
        <v>4885</v>
      </c>
      <c r="KL145">
        <v>704</v>
      </c>
      <c r="KM145">
        <v>0</v>
      </c>
      <c r="KN145">
        <v>-68107</v>
      </c>
      <c r="KO145">
        <v>0</v>
      </c>
      <c r="KP145">
        <v>156</v>
      </c>
      <c r="KQ145">
        <v>0</v>
      </c>
      <c r="KR145">
        <v>63105</v>
      </c>
      <c r="KS145">
        <v>0</v>
      </c>
      <c r="KT145">
        <v>0</v>
      </c>
      <c r="KU145">
        <v>0</v>
      </c>
      <c r="KV145">
        <v>14595</v>
      </c>
      <c r="KW145">
        <v>4592</v>
      </c>
      <c r="KX145">
        <v>0</v>
      </c>
      <c r="KY145">
        <v>0</v>
      </c>
      <c r="KZ145">
        <v>0</v>
      </c>
      <c r="LA145">
        <v>19480</v>
      </c>
      <c r="LB145">
        <v>5296</v>
      </c>
      <c r="LC145">
        <v>0</v>
      </c>
      <c r="LD145">
        <v>4466</v>
      </c>
      <c r="LE145">
        <v>0</v>
      </c>
      <c r="LF145">
        <v>-615</v>
      </c>
      <c r="LG145">
        <v>0</v>
      </c>
      <c r="LH145">
        <v>0</v>
      </c>
      <c r="LI145">
        <v>3851</v>
      </c>
      <c r="LJ145">
        <v>0</v>
      </c>
      <c r="LK145">
        <v>0</v>
      </c>
      <c r="LL145">
        <v>0</v>
      </c>
      <c r="LM145">
        <v>0</v>
      </c>
      <c r="LN145">
        <v>0</v>
      </c>
      <c r="LO145">
        <v>0</v>
      </c>
      <c r="LP145">
        <v>0</v>
      </c>
      <c r="LQ145">
        <v>0</v>
      </c>
      <c r="LR145">
        <v>0</v>
      </c>
      <c r="LS145">
        <v>0</v>
      </c>
      <c r="LT145">
        <v>0</v>
      </c>
      <c r="LU145">
        <v>0</v>
      </c>
      <c r="LV145">
        <v>0</v>
      </c>
      <c r="LW145">
        <v>0</v>
      </c>
      <c r="LX145">
        <v>0</v>
      </c>
      <c r="LY145">
        <v>0</v>
      </c>
      <c r="LZ145">
        <v>0</v>
      </c>
      <c r="MA145">
        <v>0</v>
      </c>
      <c r="MB145">
        <v>0</v>
      </c>
      <c r="MC145">
        <v>0</v>
      </c>
      <c r="MD145">
        <v>133196</v>
      </c>
      <c r="ME145">
        <v>0</v>
      </c>
      <c r="MF145">
        <v>2260</v>
      </c>
      <c r="MG145">
        <v>0</v>
      </c>
      <c r="MH145">
        <v>135456</v>
      </c>
      <c r="MI145">
        <v>0</v>
      </c>
      <c r="MJ145">
        <v>0</v>
      </c>
      <c r="MK145">
        <v>0</v>
      </c>
      <c r="ML145">
        <v>0</v>
      </c>
      <c r="MM145">
        <v>0</v>
      </c>
      <c r="MN145">
        <v>0</v>
      </c>
      <c r="MO145">
        <v>0</v>
      </c>
      <c r="MP145">
        <v>0</v>
      </c>
      <c r="MQ145">
        <v>0</v>
      </c>
      <c r="MR145">
        <v>0</v>
      </c>
      <c r="MS145">
        <v>0</v>
      </c>
      <c r="MT145">
        <v>0</v>
      </c>
      <c r="MU145">
        <v>0</v>
      </c>
      <c r="MV145">
        <v>0</v>
      </c>
      <c r="MW145">
        <v>0</v>
      </c>
      <c r="MX145">
        <v>0</v>
      </c>
      <c r="MY145">
        <v>0</v>
      </c>
      <c r="MZ145">
        <v>0</v>
      </c>
      <c r="NA145">
        <v>0</v>
      </c>
      <c r="NB145">
        <v>0</v>
      </c>
      <c r="NC145">
        <v>0</v>
      </c>
      <c r="ND145">
        <v>0</v>
      </c>
      <c r="NE145">
        <v>0</v>
      </c>
      <c r="NF145">
        <v>0</v>
      </c>
      <c r="NG145">
        <v>0</v>
      </c>
      <c r="NH145">
        <v>0</v>
      </c>
      <c r="NI145">
        <v>0</v>
      </c>
      <c r="NJ145">
        <v>0</v>
      </c>
      <c r="NK145">
        <v>0</v>
      </c>
      <c r="NL145">
        <v>0</v>
      </c>
      <c r="NM145">
        <v>0</v>
      </c>
      <c r="NN145">
        <v>0</v>
      </c>
      <c r="NO145">
        <v>0</v>
      </c>
      <c r="NP145">
        <v>0</v>
      </c>
      <c r="NQ145">
        <v>0</v>
      </c>
      <c r="NR145">
        <v>0</v>
      </c>
      <c r="NS145">
        <v>0</v>
      </c>
      <c r="NT145">
        <v>0</v>
      </c>
      <c r="NU145">
        <v>0</v>
      </c>
      <c r="NV145">
        <v>0</v>
      </c>
      <c r="NW145">
        <v>0</v>
      </c>
      <c r="NX145">
        <v>0</v>
      </c>
      <c r="NY145">
        <v>0</v>
      </c>
      <c r="NZ145">
        <v>0</v>
      </c>
      <c r="OA145">
        <v>0</v>
      </c>
      <c r="OB145">
        <v>0</v>
      </c>
      <c r="OC145">
        <v>0</v>
      </c>
      <c r="OD145">
        <v>0</v>
      </c>
      <c r="OE145">
        <v>0</v>
      </c>
      <c r="OF145">
        <v>0</v>
      </c>
      <c r="OG145">
        <v>0</v>
      </c>
      <c r="OH145">
        <v>0</v>
      </c>
      <c r="OI145">
        <v>0</v>
      </c>
      <c r="OJ145">
        <v>0</v>
      </c>
      <c r="OK145">
        <v>0</v>
      </c>
      <c r="OL145">
        <v>0</v>
      </c>
      <c r="OM145">
        <v>0</v>
      </c>
      <c r="ON145">
        <v>0</v>
      </c>
    </row>
    <row r="146" spans="1:404" x14ac:dyDescent="0.25">
      <c r="A146" t="s">
        <v>502</v>
      </c>
      <c r="B146" t="s">
        <v>503</v>
      </c>
      <c r="C146" t="s">
        <v>501</v>
      </c>
      <c r="E146" t="s">
        <v>61</v>
      </c>
      <c r="F146">
        <v>0</v>
      </c>
      <c r="G146">
        <v>0</v>
      </c>
      <c r="H146">
        <v>0</v>
      </c>
      <c r="I146">
        <v>0</v>
      </c>
      <c r="J146">
        <v>0</v>
      </c>
      <c r="K146">
        <v>0</v>
      </c>
      <c r="L146">
        <v>0</v>
      </c>
      <c r="M146">
        <v>0</v>
      </c>
      <c r="N146">
        <v>0</v>
      </c>
      <c r="O146">
        <v>0</v>
      </c>
      <c r="P146">
        <v>0</v>
      </c>
      <c r="Q146">
        <v>22</v>
      </c>
      <c r="R146">
        <v>0</v>
      </c>
      <c r="S146">
        <v>44</v>
      </c>
      <c r="T146">
        <v>0</v>
      </c>
      <c r="U146">
        <v>26</v>
      </c>
      <c r="V146">
        <v>0</v>
      </c>
      <c r="W146">
        <v>0</v>
      </c>
      <c r="X146">
        <v>0</v>
      </c>
      <c r="Y146">
        <v>0</v>
      </c>
      <c r="Z146">
        <v>0</v>
      </c>
      <c r="AA146">
        <v>-434</v>
      </c>
      <c r="AB146">
        <v>0</v>
      </c>
      <c r="AC146">
        <v>0</v>
      </c>
      <c r="AD146">
        <v>39</v>
      </c>
      <c r="AE146">
        <v>-25</v>
      </c>
      <c r="AF146">
        <v>0</v>
      </c>
      <c r="AG146">
        <v>0</v>
      </c>
      <c r="AH146">
        <v>0</v>
      </c>
      <c r="AI146">
        <v>-328</v>
      </c>
      <c r="AJ146">
        <v>0</v>
      </c>
      <c r="AK146">
        <v>0</v>
      </c>
      <c r="AL146">
        <v>0</v>
      </c>
      <c r="AM146">
        <v>0</v>
      </c>
      <c r="AN146">
        <v>0</v>
      </c>
      <c r="AO146">
        <v>0</v>
      </c>
      <c r="AP146">
        <v>0</v>
      </c>
      <c r="AQ146">
        <v>0</v>
      </c>
      <c r="AR146">
        <v>0</v>
      </c>
      <c r="AS146">
        <v>0</v>
      </c>
      <c r="AT146">
        <v>0</v>
      </c>
      <c r="AU146">
        <v>0</v>
      </c>
      <c r="AV146">
        <v>0</v>
      </c>
      <c r="AW146">
        <v>0</v>
      </c>
      <c r="AX146">
        <v>0</v>
      </c>
      <c r="AY146">
        <v>0</v>
      </c>
      <c r="AZ146">
        <v>0</v>
      </c>
      <c r="BA146">
        <v>0</v>
      </c>
      <c r="BB146">
        <v>0</v>
      </c>
      <c r="BC146">
        <v>0</v>
      </c>
      <c r="BD146">
        <v>0</v>
      </c>
      <c r="BE146">
        <v>0</v>
      </c>
      <c r="BF146">
        <v>0</v>
      </c>
      <c r="BG146">
        <v>0</v>
      </c>
      <c r="BH146">
        <v>0</v>
      </c>
      <c r="BI146">
        <v>0</v>
      </c>
      <c r="BJ146">
        <v>0</v>
      </c>
      <c r="BK146">
        <v>0</v>
      </c>
      <c r="BL146">
        <v>0</v>
      </c>
      <c r="BM146">
        <v>0</v>
      </c>
      <c r="BN146">
        <v>0</v>
      </c>
      <c r="BO146">
        <v>0</v>
      </c>
      <c r="BP146">
        <v>0</v>
      </c>
      <c r="BQ146">
        <v>0</v>
      </c>
      <c r="BR146">
        <v>0</v>
      </c>
      <c r="BS146">
        <v>0</v>
      </c>
      <c r="BT146">
        <v>0</v>
      </c>
      <c r="BU146">
        <v>0</v>
      </c>
      <c r="BV146">
        <v>0</v>
      </c>
      <c r="BW146">
        <v>0</v>
      </c>
      <c r="BX146">
        <v>0</v>
      </c>
      <c r="BY146">
        <v>0</v>
      </c>
      <c r="BZ146">
        <v>0</v>
      </c>
      <c r="CA146">
        <v>0</v>
      </c>
      <c r="CB146">
        <v>0</v>
      </c>
      <c r="CC146">
        <v>0</v>
      </c>
      <c r="CD146">
        <v>0</v>
      </c>
      <c r="CE146">
        <v>0</v>
      </c>
      <c r="CF146">
        <v>0</v>
      </c>
      <c r="CG146">
        <v>0</v>
      </c>
      <c r="CH146">
        <v>0</v>
      </c>
      <c r="CI146">
        <v>0</v>
      </c>
      <c r="CJ146">
        <v>0</v>
      </c>
      <c r="CK146">
        <v>0</v>
      </c>
      <c r="CL146">
        <v>0</v>
      </c>
      <c r="CM146">
        <v>0</v>
      </c>
      <c r="CN146">
        <v>0</v>
      </c>
      <c r="CO146">
        <v>0</v>
      </c>
      <c r="CP146">
        <v>0</v>
      </c>
      <c r="CQ146">
        <v>0</v>
      </c>
      <c r="CR146">
        <v>0</v>
      </c>
      <c r="CS146">
        <v>0</v>
      </c>
      <c r="CT146">
        <v>0</v>
      </c>
      <c r="CU146">
        <v>0</v>
      </c>
      <c r="CV146">
        <v>211</v>
      </c>
      <c r="CW146">
        <v>0</v>
      </c>
      <c r="CX146">
        <v>0</v>
      </c>
      <c r="CY146">
        <v>0</v>
      </c>
      <c r="CZ146">
        <v>0</v>
      </c>
      <c r="DA146">
        <v>0</v>
      </c>
      <c r="DB146">
        <v>0</v>
      </c>
      <c r="DC146">
        <v>0</v>
      </c>
      <c r="DD146">
        <v>0</v>
      </c>
      <c r="DE146">
        <v>12</v>
      </c>
      <c r="DF146">
        <v>-15</v>
      </c>
      <c r="DG146">
        <v>0</v>
      </c>
      <c r="DH146">
        <v>-171</v>
      </c>
      <c r="DI146">
        <v>1</v>
      </c>
      <c r="DJ146">
        <v>164</v>
      </c>
      <c r="DK146">
        <v>-4</v>
      </c>
      <c r="DL146">
        <v>0</v>
      </c>
      <c r="DM146">
        <v>404</v>
      </c>
      <c r="DN146">
        <v>246</v>
      </c>
      <c r="DO146">
        <v>411</v>
      </c>
      <c r="DP146">
        <v>1051</v>
      </c>
      <c r="DQ146">
        <v>0</v>
      </c>
      <c r="DR146">
        <v>40</v>
      </c>
      <c r="DS146">
        <v>0</v>
      </c>
      <c r="DT146">
        <v>681</v>
      </c>
      <c r="DU146">
        <v>0</v>
      </c>
      <c r="DV146">
        <v>0</v>
      </c>
      <c r="DW146">
        <v>0</v>
      </c>
      <c r="DX146">
        <v>1769</v>
      </c>
      <c r="DY146">
        <v>14296</v>
      </c>
      <c r="DZ146">
        <v>312</v>
      </c>
      <c r="EA146">
        <v>584</v>
      </c>
      <c r="EB146">
        <v>0</v>
      </c>
      <c r="EC146">
        <v>0</v>
      </c>
      <c r="ED146">
        <v>5</v>
      </c>
      <c r="EE146">
        <v>0</v>
      </c>
      <c r="EF146">
        <v>0</v>
      </c>
      <c r="EG146">
        <v>0</v>
      </c>
      <c r="EH146">
        <v>5630</v>
      </c>
      <c r="EI146">
        <v>4495</v>
      </c>
      <c r="EJ146">
        <v>0</v>
      </c>
      <c r="EK146">
        <v>246</v>
      </c>
      <c r="EL146">
        <v>1784</v>
      </c>
      <c r="EM146">
        <v>0</v>
      </c>
      <c r="EN146">
        <v>0</v>
      </c>
      <c r="EO146">
        <v>46</v>
      </c>
      <c r="EP146">
        <v>0</v>
      </c>
      <c r="EQ146">
        <v>3239</v>
      </c>
      <c r="ER146">
        <v>13</v>
      </c>
      <c r="ES146">
        <v>4736</v>
      </c>
      <c r="ET146">
        <v>4480</v>
      </c>
      <c r="EU146">
        <v>0</v>
      </c>
      <c r="EV146">
        <v>35</v>
      </c>
      <c r="EW146">
        <v>125</v>
      </c>
      <c r="EX146">
        <v>62</v>
      </c>
      <c r="EY146">
        <v>0</v>
      </c>
      <c r="EZ146">
        <v>0</v>
      </c>
      <c r="FA146">
        <v>44</v>
      </c>
      <c r="FB146">
        <v>0</v>
      </c>
      <c r="FC146">
        <v>399</v>
      </c>
      <c r="FD146">
        <v>1683</v>
      </c>
      <c r="FE146">
        <v>0</v>
      </c>
      <c r="FF146">
        <v>173</v>
      </c>
      <c r="FG146">
        <v>0</v>
      </c>
      <c r="FH146">
        <v>2521</v>
      </c>
      <c r="FI146">
        <v>-15</v>
      </c>
      <c r="FJ146">
        <v>0</v>
      </c>
      <c r="FK146">
        <v>0</v>
      </c>
      <c r="FL146">
        <v>117</v>
      </c>
      <c r="FM146">
        <v>72</v>
      </c>
      <c r="FN146">
        <v>76</v>
      </c>
      <c r="FO146">
        <v>64</v>
      </c>
      <c r="FP146">
        <v>0</v>
      </c>
      <c r="FQ146">
        <v>0</v>
      </c>
      <c r="FR146">
        <v>64</v>
      </c>
      <c r="FS146">
        <v>94</v>
      </c>
      <c r="FT146">
        <v>189</v>
      </c>
      <c r="FU146">
        <v>42</v>
      </c>
      <c r="FV146">
        <v>95</v>
      </c>
      <c r="FW146">
        <v>0</v>
      </c>
      <c r="FX146">
        <v>302</v>
      </c>
      <c r="FY146">
        <v>0</v>
      </c>
      <c r="FZ146">
        <v>0</v>
      </c>
      <c r="GA146">
        <v>0</v>
      </c>
      <c r="GB146">
        <v>96</v>
      </c>
      <c r="GC146">
        <v>0</v>
      </c>
      <c r="GD146">
        <v>569</v>
      </c>
      <c r="GE146">
        <v>792</v>
      </c>
      <c r="GF146">
        <v>0</v>
      </c>
      <c r="GG146">
        <v>0</v>
      </c>
      <c r="GH146">
        <v>589</v>
      </c>
      <c r="GI146">
        <v>0</v>
      </c>
      <c r="GJ146">
        <v>1</v>
      </c>
      <c r="GK146">
        <v>3147</v>
      </c>
      <c r="GL146">
        <v>37</v>
      </c>
      <c r="GM146">
        <v>481</v>
      </c>
      <c r="GN146">
        <v>120</v>
      </c>
      <c r="GO146">
        <v>371</v>
      </c>
      <c r="GP146">
        <v>0</v>
      </c>
      <c r="GQ146">
        <v>454</v>
      </c>
      <c r="GR146">
        <v>0</v>
      </c>
      <c r="GS146">
        <v>0</v>
      </c>
      <c r="GT146">
        <v>12</v>
      </c>
      <c r="GU146">
        <v>1475</v>
      </c>
      <c r="GV146">
        <v>7143</v>
      </c>
      <c r="GW146">
        <v>0</v>
      </c>
      <c r="GX146">
        <v>0</v>
      </c>
      <c r="GY146">
        <v>0</v>
      </c>
      <c r="GZ146">
        <v>0</v>
      </c>
      <c r="HA146">
        <v>0</v>
      </c>
      <c r="HB146">
        <v>1672</v>
      </c>
      <c r="HC146">
        <v>277</v>
      </c>
      <c r="HD146">
        <v>0</v>
      </c>
      <c r="HE146">
        <v>0</v>
      </c>
      <c r="HF146">
        <v>137</v>
      </c>
      <c r="HG146">
        <v>112</v>
      </c>
      <c r="HH146">
        <v>0</v>
      </c>
      <c r="HI146">
        <v>0</v>
      </c>
      <c r="HJ146">
        <v>272</v>
      </c>
      <c r="HK146">
        <v>92</v>
      </c>
      <c r="HL146">
        <v>86</v>
      </c>
      <c r="HM146">
        <v>37</v>
      </c>
      <c r="HN146">
        <v>0</v>
      </c>
      <c r="HO146">
        <v>226</v>
      </c>
      <c r="HP146">
        <v>0</v>
      </c>
      <c r="HQ146">
        <v>0</v>
      </c>
      <c r="HR146">
        <v>86</v>
      </c>
      <c r="HS146">
        <v>0</v>
      </c>
      <c r="HT146">
        <v>0</v>
      </c>
      <c r="HU146">
        <v>0</v>
      </c>
      <c r="HV146">
        <v>2997</v>
      </c>
      <c r="HW146">
        <v>2313</v>
      </c>
      <c r="HX146">
        <v>9515</v>
      </c>
      <c r="HY146">
        <v>0</v>
      </c>
      <c r="HZ146">
        <v>0</v>
      </c>
      <c r="IA146">
        <v>308</v>
      </c>
      <c r="IB146">
        <v>15</v>
      </c>
      <c r="IC146">
        <v>0</v>
      </c>
      <c r="ID146">
        <v>-328</v>
      </c>
      <c r="IE146">
        <v>0</v>
      </c>
      <c r="IF146">
        <v>0</v>
      </c>
      <c r="IG146">
        <v>211</v>
      </c>
      <c r="IH146">
        <v>1769</v>
      </c>
      <c r="II146">
        <v>2521</v>
      </c>
      <c r="IJ146">
        <v>3147</v>
      </c>
      <c r="IK146">
        <v>1475</v>
      </c>
      <c r="IL146">
        <v>0</v>
      </c>
      <c r="IM146">
        <v>0</v>
      </c>
      <c r="IN146">
        <v>2997</v>
      </c>
      <c r="IO146">
        <v>15</v>
      </c>
      <c r="IP146">
        <v>11807</v>
      </c>
      <c r="IQ146">
        <v>10691</v>
      </c>
      <c r="IR146">
        <v>1303</v>
      </c>
      <c r="IS146">
        <v>5985</v>
      </c>
      <c r="IT146">
        <v>0</v>
      </c>
      <c r="IU146">
        <v>0</v>
      </c>
      <c r="IV146">
        <v>0</v>
      </c>
      <c r="IW146">
        <v>0</v>
      </c>
      <c r="IX146">
        <v>0</v>
      </c>
      <c r="IY146">
        <v>0</v>
      </c>
      <c r="IZ146">
        <v>0</v>
      </c>
      <c r="JA146">
        <v>0</v>
      </c>
      <c r="JB146">
        <v>0</v>
      </c>
      <c r="JC146">
        <v>0</v>
      </c>
      <c r="JD146">
        <v>0</v>
      </c>
      <c r="JE146">
        <v>39</v>
      </c>
      <c r="JF146">
        <v>0</v>
      </c>
      <c r="JG146">
        <v>29825</v>
      </c>
      <c r="JH146">
        <v>0</v>
      </c>
      <c r="JI146">
        <v>318</v>
      </c>
      <c r="JJ146">
        <v>0</v>
      </c>
      <c r="JK146">
        <v>0</v>
      </c>
      <c r="JL146">
        <v>0</v>
      </c>
      <c r="JM146">
        <v>2</v>
      </c>
      <c r="JN146">
        <v>586</v>
      </c>
      <c r="JO146">
        <v>0</v>
      </c>
      <c r="JP146">
        <v>1779</v>
      </c>
      <c r="JQ146">
        <v>-1825</v>
      </c>
      <c r="JR146">
        <v>30685</v>
      </c>
      <c r="JS146">
        <v>-685</v>
      </c>
      <c r="JT146">
        <v>0</v>
      </c>
      <c r="JU146">
        <v>0</v>
      </c>
      <c r="JV146">
        <v>0</v>
      </c>
      <c r="JW146">
        <v>-17663</v>
      </c>
      <c r="JX146">
        <v>0</v>
      </c>
      <c r="JY146">
        <v>-55</v>
      </c>
      <c r="JZ146">
        <v>0</v>
      </c>
      <c r="KA146">
        <v>0</v>
      </c>
      <c r="KB146">
        <v>0</v>
      </c>
      <c r="KC146">
        <v>12282</v>
      </c>
      <c r="KD146">
        <v>0</v>
      </c>
      <c r="KE146">
        <v>-5336</v>
      </c>
      <c r="KF146">
        <v>6946</v>
      </c>
      <c r="KG146">
        <v>0</v>
      </c>
      <c r="KH146">
        <v>0</v>
      </c>
      <c r="KI146">
        <v>0</v>
      </c>
      <c r="KJ146">
        <v>0</v>
      </c>
      <c r="KK146">
        <v>17</v>
      </c>
      <c r="KL146">
        <v>0</v>
      </c>
      <c r="KM146">
        <v>0</v>
      </c>
      <c r="KN146">
        <v>0</v>
      </c>
      <c r="KO146">
        <v>-2418</v>
      </c>
      <c r="KP146">
        <v>3</v>
      </c>
      <c r="KQ146">
        <v>0</v>
      </c>
      <c r="KR146">
        <v>6300</v>
      </c>
      <c r="KS146">
        <v>0</v>
      </c>
      <c r="KT146">
        <v>0</v>
      </c>
      <c r="KU146">
        <v>0</v>
      </c>
      <c r="KV146">
        <v>11135</v>
      </c>
      <c r="KW146">
        <v>1000</v>
      </c>
      <c r="KX146">
        <v>0</v>
      </c>
      <c r="KY146">
        <v>0</v>
      </c>
      <c r="KZ146">
        <v>0</v>
      </c>
      <c r="LA146">
        <v>11152</v>
      </c>
      <c r="LB146">
        <v>1000</v>
      </c>
      <c r="LC146">
        <v>0</v>
      </c>
      <c r="LD146">
        <v>1482</v>
      </c>
      <c r="LE146">
        <v>0</v>
      </c>
      <c r="LF146">
        <v>713</v>
      </c>
      <c r="LG146">
        <v>-1613</v>
      </c>
      <c r="LH146">
        <v>829</v>
      </c>
      <c r="LI146">
        <v>-172</v>
      </c>
      <c r="LJ146">
        <v>2079</v>
      </c>
      <c r="LK146">
        <v>2003</v>
      </c>
      <c r="LL146">
        <v>4082</v>
      </c>
      <c r="LM146">
        <v>0</v>
      </c>
      <c r="LN146">
        <v>0</v>
      </c>
      <c r="LO146">
        <v>0</v>
      </c>
      <c r="LP146">
        <v>15197</v>
      </c>
      <c r="LQ146">
        <v>15453</v>
      </c>
      <c r="LR146">
        <v>-256</v>
      </c>
      <c r="LS146">
        <v>4736</v>
      </c>
      <c r="LT146">
        <v>4480</v>
      </c>
      <c r="LU146">
        <v>0</v>
      </c>
      <c r="LV146">
        <v>-328</v>
      </c>
      <c r="LW146">
        <v>0</v>
      </c>
      <c r="LX146">
        <v>0</v>
      </c>
      <c r="LY146">
        <v>211</v>
      </c>
      <c r="LZ146">
        <v>1769</v>
      </c>
      <c r="MA146">
        <v>2521</v>
      </c>
      <c r="MB146">
        <v>3147</v>
      </c>
      <c r="MC146">
        <v>1475</v>
      </c>
      <c r="MD146">
        <v>0</v>
      </c>
      <c r="ME146">
        <v>0</v>
      </c>
      <c r="MF146">
        <v>2997</v>
      </c>
      <c r="MG146">
        <v>15</v>
      </c>
      <c r="MH146">
        <v>11807</v>
      </c>
      <c r="MI146">
        <v>0</v>
      </c>
      <c r="MJ146">
        <v>0</v>
      </c>
      <c r="MK146">
        <v>0</v>
      </c>
      <c r="ML146">
        <v>0</v>
      </c>
      <c r="MM146">
        <v>0</v>
      </c>
      <c r="MN146">
        <v>0</v>
      </c>
      <c r="MO146">
        <v>0</v>
      </c>
      <c r="MP146">
        <v>0</v>
      </c>
      <c r="MQ146">
        <v>0</v>
      </c>
      <c r="MR146">
        <v>0</v>
      </c>
      <c r="MS146">
        <v>0</v>
      </c>
      <c r="MT146">
        <v>0</v>
      </c>
      <c r="MU146">
        <v>0</v>
      </c>
      <c r="MV146">
        <v>0</v>
      </c>
      <c r="MW146">
        <v>0</v>
      </c>
      <c r="MX146">
        <v>0</v>
      </c>
      <c r="MY146">
        <v>0</v>
      </c>
      <c r="MZ146">
        <v>0</v>
      </c>
      <c r="NA146">
        <v>0</v>
      </c>
      <c r="NB146">
        <v>0</v>
      </c>
      <c r="NC146">
        <v>0</v>
      </c>
      <c r="ND146">
        <v>0</v>
      </c>
      <c r="NE146">
        <v>0</v>
      </c>
      <c r="NF146">
        <v>0</v>
      </c>
      <c r="NG146">
        <v>0</v>
      </c>
      <c r="NH146">
        <v>0</v>
      </c>
      <c r="NI146">
        <v>0</v>
      </c>
      <c r="NJ146">
        <v>0</v>
      </c>
      <c r="NK146">
        <v>0</v>
      </c>
      <c r="NL146">
        <v>0</v>
      </c>
      <c r="NM146">
        <v>0</v>
      </c>
      <c r="NN146">
        <v>0</v>
      </c>
      <c r="NO146">
        <v>0</v>
      </c>
      <c r="NP146">
        <v>0</v>
      </c>
      <c r="NQ146">
        <v>0</v>
      </c>
      <c r="NR146">
        <v>0</v>
      </c>
      <c r="NS146">
        <v>0</v>
      </c>
      <c r="NT146">
        <v>0</v>
      </c>
      <c r="NU146">
        <v>0</v>
      </c>
      <c r="NV146">
        <v>0</v>
      </c>
      <c r="NW146">
        <v>0</v>
      </c>
      <c r="NX146">
        <v>0</v>
      </c>
      <c r="NY146">
        <v>0</v>
      </c>
      <c r="NZ146">
        <v>0</v>
      </c>
      <c r="OA146">
        <v>0</v>
      </c>
      <c r="OB146">
        <v>0</v>
      </c>
      <c r="OC146">
        <v>0</v>
      </c>
      <c r="OD146">
        <v>0</v>
      </c>
      <c r="OE146">
        <v>0</v>
      </c>
      <c r="OF146">
        <v>0</v>
      </c>
      <c r="OG146">
        <v>0</v>
      </c>
      <c r="OH146">
        <v>0</v>
      </c>
      <c r="OI146">
        <v>0</v>
      </c>
      <c r="OJ146">
        <v>0</v>
      </c>
      <c r="OK146">
        <v>0</v>
      </c>
      <c r="OL146">
        <v>0</v>
      </c>
      <c r="OM146">
        <v>0</v>
      </c>
      <c r="ON146">
        <v>0</v>
      </c>
    </row>
    <row r="147" spans="1:404" x14ac:dyDescent="0.25">
      <c r="A147" t="s">
        <v>505</v>
      </c>
      <c r="B147" t="s">
        <v>506</v>
      </c>
      <c r="C147" t="s">
        <v>504</v>
      </c>
      <c r="E147" t="s">
        <v>61</v>
      </c>
      <c r="F147">
        <v>0</v>
      </c>
      <c r="G147">
        <v>0</v>
      </c>
      <c r="H147">
        <v>0</v>
      </c>
      <c r="I147">
        <v>0</v>
      </c>
      <c r="J147">
        <v>0</v>
      </c>
      <c r="K147">
        <v>0</v>
      </c>
      <c r="L147">
        <v>0</v>
      </c>
      <c r="M147">
        <v>0</v>
      </c>
      <c r="N147">
        <v>0</v>
      </c>
      <c r="O147">
        <v>0</v>
      </c>
      <c r="P147">
        <v>0</v>
      </c>
      <c r="Q147">
        <v>0</v>
      </c>
      <c r="R147">
        <v>-41</v>
      </c>
      <c r="S147">
        <v>0</v>
      </c>
      <c r="T147">
        <v>0</v>
      </c>
      <c r="U147">
        <v>10</v>
      </c>
      <c r="V147">
        <v>0</v>
      </c>
      <c r="W147">
        <v>0</v>
      </c>
      <c r="X147">
        <v>0</v>
      </c>
      <c r="Y147">
        <v>0</v>
      </c>
      <c r="Z147">
        <v>-21</v>
      </c>
      <c r="AA147">
        <v>-582</v>
      </c>
      <c r="AB147">
        <v>0</v>
      </c>
      <c r="AC147">
        <v>0</v>
      </c>
      <c r="AD147">
        <v>0</v>
      </c>
      <c r="AE147">
        <v>0</v>
      </c>
      <c r="AF147">
        <v>0</v>
      </c>
      <c r="AG147">
        <v>3</v>
      </c>
      <c r="AH147">
        <v>159</v>
      </c>
      <c r="AI147">
        <v>-472</v>
      </c>
      <c r="AJ147">
        <v>0</v>
      </c>
      <c r="AK147">
        <v>0</v>
      </c>
      <c r="AL147">
        <v>0</v>
      </c>
      <c r="AM147">
        <v>0</v>
      </c>
      <c r="AN147">
        <v>0</v>
      </c>
      <c r="AO147">
        <v>0</v>
      </c>
      <c r="AP147">
        <v>0</v>
      </c>
      <c r="AQ147">
        <v>371</v>
      </c>
      <c r="AR147">
        <v>336</v>
      </c>
      <c r="AS147">
        <v>0</v>
      </c>
      <c r="AT147">
        <v>0</v>
      </c>
      <c r="AU147">
        <v>0</v>
      </c>
      <c r="AV147">
        <v>0</v>
      </c>
      <c r="AW147">
        <v>0</v>
      </c>
      <c r="AX147">
        <v>0</v>
      </c>
      <c r="AY147">
        <v>0</v>
      </c>
      <c r="AZ147">
        <v>0</v>
      </c>
      <c r="BA147">
        <v>0</v>
      </c>
      <c r="BB147">
        <v>0</v>
      </c>
      <c r="BC147">
        <v>0</v>
      </c>
      <c r="BD147">
        <v>0</v>
      </c>
      <c r="BE147">
        <v>0</v>
      </c>
      <c r="BF147">
        <v>0</v>
      </c>
      <c r="BG147">
        <v>0</v>
      </c>
      <c r="BH147">
        <v>0</v>
      </c>
      <c r="BI147">
        <v>0</v>
      </c>
      <c r="BJ147">
        <v>0</v>
      </c>
      <c r="BK147">
        <v>0</v>
      </c>
      <c r="BL147">
        <v>0</v>
      </c>
      <c r="BM147">
        <v>0</v>
      </c>
      <c r="BN147">
        <v>0</v>
      </c>
      <c r="BO147">
        <v>0</v>
      </c>
      <c r="BP147">
        <v>0</v>
      </c>
      <c r="BQ147">
        <v>0</v>
      </c>
      <c r="BR147">
        <v>0</v>
      </c>
      <c r="BS147">
        <v>0</v>
      </c>
      <c r="BT147">
        <v>0</v>
      </c>
      <c r="BU147">
        <v>0</v>
      </c>
      <c r="BV147">
        <v>0</v>
      </c>
      <c r="BW147">
        <v>0</v>
      </c>
      <c r="BX147">
        <v>0</v>
      </c>
      <c r="BY147">
        <v>0</v>
      </c>
      <c r="BZ147">
        <v>0</v>
      </c>
      <c r="CA147">
        <v>0</v>
      </c>
      <c r="CB147">
        <v>0</v>
      </c>
      <c r="CC147">
        <v>0</v>
      </c>
      <c r="CD147">
        <v>0</v>
      </c>
      <c r="CE147">
        <v>0</v>
      </c>
      <c r="CF147">
        <v>0</v>
      </c>
      <c r="CG147">
        <v>0</v>
      </c>
      <c r="CH147">
        <v>0</v>
      </c>
      <c r="CI147">
        <v>0</v>
      </c>
      <c r="CJ147">
        <v>0</v>
      </c>
      <c r="CK147">
        <v>0</v>
      </c>
      <c r="CL147">
        <v>0</v>
      </c>
      <c r="CM147">
        <v>0</v>
      </c>
      <c r="CN147">
        <v>0</v>
      </c>
      <c r="CO147">
        <v>0</v>
      </c>
      <c r="CP147">
        <v>0</v>
      </c>
      <c r="CQ147">
        <v>0</v>
      </c>
      <c r="CR147">
        <v>0</v>
      </c>
      <c r="CS147">
        <v>0</v>
      </c>
      <c r="CT147">
        <v>0</v>
      </c>
      <c r="CU147">
        <v>0</v>
      </c>
      <c r="CV147">
        <v>0</v>
      </c>
      <c r="CW147">
        <v>0</v>
      </c>
      <c r="CX147">
        <v>0</v>
      </c>
      <c r="CY147">
        <v>0</v>
      </c>
      <c r="CZ147">
        <v>0</v>
      </c>
      <c r="DA147">
        <v>0</v>
      </c>
      <c r="DB147">
        <v>0</v>
      </c>
      <c r="DC147">
        <v>165</v>
      </c>
      <c r="DD147">
        <v>11</v>
      </c>
      <c r="DE147">
        <v>116</v>
      </c>
      <c r="DF147">
        <v>0</v>
      </c>
      <c r="DG147">
        <v>0</v>
      </c>
      <c r="DH147">
        <v>0</v>
      </c>
      <c r="DI147">
        <v>0</v>
      </c>
      <c r="DJ147">
        <v>0</v>
      </c>
      <c r="DK147">
        <v>0</v>
      </c>
      <c r="DL147">
        <v>0</v>
      </c>
      <c r="DM147">
        <v>0</v>
      </c>
      <c r="DN147">
        <v>0</v>
      </c>
      <c r="DO147">
        <v>1708</v>
      </c>
      <c r="DP147">
        <v>1708</v>
      </c>
      <c r="DQ147">
        <v>-175</v>
      </c>
      <c r="DR147">
        <v>0</v>
      </c>
      <c r="DS147">
        <v>0</v>
      </c>
      <c r="DT147">
        <v>904</v>
      </c>
      <c r="DU147">
        <v>-107</v>
      </c>
      <c r="DV147">
        <v>0</v>
      </c>
      <c r="DW147">
        <v>0</v>
      </c>
      <c r="DX147">
        <v>2622</v>
      </c>
      <c r="DY147">
        <v>26599</v>
      </c>
      <c r="DZ147">
        <v>136</v>
      </c>
      <c r="EA147">
        <v>2447</v>
      </c>
      <c r="EB147">
        <v>-2</v>
      </c>
      <c r="EC147">
        <v>0</v>
      </c>
      <c r="ED147">
        <v>11</v>
      </c>
      <c r="EE147">
        <v>11</v>
      </c>
      <c r="EF147">
        <v>0</v>
      </c>
      <c r="EG147">
        <v>14</v>
      </c>
      <c r="EH147">
        <v>7708</v>
      </c>
      <c r="EI147">
        <v>6563</v>
      </c>
      <c r="EJ147">
        <v>546</v>
      </c>
      <c r="EK147">
        <v>0</v>
      </c>
      <c r="EL147">
        <v>2187</v>
      </c>
      <c r="EM147">
        <v>14052</v>
      </c>
      <c r="EN147">
        <v>49</v>
      </c>
      <c r="EO147">
        <v>0</v>
      </c>
      <c r="EP147">
        <v>0</v>
      </c>
      <c r="EQ147">
        <v>0</v>
      </c>
      <c r="ER147">
        <v>145</v>
      </c>
      <c r="ES147">
        <v>2764</v>
      </c>
      <c r="ET147">
        <v>730</v>
      </c>
      <c r="EU147">
        <v>0</v>
      </c>
      <c r="EV147">
        <v>21</v>
      </c>
      <c r="EW147">
        <v>24</v>
      </c>
      <c r="EX147">
        <v>0</v>
      </c>
      <c r="EY147">
        <v>423</v>
      </c>
      <c r="EZ147">
        <v>-11</v>
      </c>
      <c r="FA147">
        <v>1</v>
      </c>
      <c r="FB147">
        <v>186</v>
      </c>
      <c r="FC147">
        <v>82</v>
      </c>
      <c r="FD147">
        <v>521</v>
      </c>
      <c r="FE147">
        <v>0</v>
      </c>
      <c r="FF147">
        <v>108</v>
      </c>
      <c r="FG147">
        <v>0</v>
      </c>
      <c r="FH147">
        <v>1355</v>
      </c>
      <c r="FI147">
        <v>380</v>
      </c>
      <c r="FJ147">
        <v>0</v>
      </c>
      <c r="FK147">
        <v>0</v>
      </c>
      <c r="FL147">
        <v>160</v>
      </c>
      <c r="FM147">
        <v>263</v>
      </c>
      <c r="FN147">
        <v>143</v>
      </c>
      <c r="FO147">
        <v>66</v>
      </c>
      <c r="FP147">
        <v>0</v>
      </c>
      <c r="FQ147">
        <v>0</v>
      </c>
      <c r="FR147">
        <v>17</v>
      </c>
      <c r="FS147">
        <v>35</v>
      </c>
      <c r="FT147">
        <v>-35</v>
      </c>
      <c r="FU147">
        <v>74</v>
      </c>
      <c r="FV147">
        <v>-4</v>
      </c>
      <c r="FW147">
        <v>453</v>
      </c>
      <c r="FX147">
        <v>138</v>
      </c>
      <c r="FY147">
        <v>0</v>
      </c>
      <c r="FZ147">
        <v>0</v>
      </c>
      <c r="GA147">
        <v>43</v>
      </c>
      <c r="GB147">
        <v>0</v>
      </c>
      <c r="GC147">
        <v>0</v>
      </c>
      <c r="GD147">
        <v>1595</v>
      </c>
      <c r="GE147">
        <v>1231</v>
      </c>
      <c r="GF147">
        <v>0</v>
      </c>
      <c r="GG147">
        <v>0</v>
      </c>
      <c r="GH147">
        <v>506</v>
      </c>
      <c r="GI147">
        <v>0</v>
      </c>
      <c r="GJ147">
        <v>0</v>
      </c>
      <c r="GK147">
        <v>5065</v>
      </c>
      <c r="GL147">
        <v>37</v>
      </c>
      <c r="GM147">
        <v>872</v>
      </c>
      <c r="GN147">
        <v>0</v>
      </c>
      <c r="GO147">
        <v>456</v>
      </c>
      <c r="GP147">
        <v>-26</v>
      </c>
      <c r="GQ147">
        <v>2899</v>
      </c>
      <c r="GR147">
        <v>0</v>
      </c>
      <c r="GS147">
        <v>-270</v>
      </c>
      <c r="GT147">
        <v>149</v>
      </c>
      <c r="GU147">
        <v>4117</v>
      </c>
      <c r="GV147">
        <v>10537</v>
      </c>
      <c r="GW147">
        <v>0</v>
      </c>
      <c r="GX147">
        <v>0</v>
      </c>
      <c r="GY147">
        <v>0</v>
      </c>
      <c r="GZ147">
        <v>0</v>
      </c>
      <c r="HA147">
        <v>0</v>
      </c>
      <c r="HB147">
        <v>1290</v>
      </c>
      <c r="HC147">
        <v>0</v>
      </c>
      <c r="HD147">
        <v>0</v>
      </c>
      <c r="HE147">
        <v>-184</v>
      </c>
      <c r="HF147">
        <v>593</v>
      </c>
      <c r="HG147">
        <v>173</v>
      </c>
      <c r="HH147">
        <v>0</v>
      </c>
      <c r="HI147">
        <v>0</v>
      </c>
      <c r="HJ147">
        <v>142</v>
      </c>
      <c r="HK147">
        <v>253</v>
      </c>
      <c r="HL147">
        <v>19</v>
      </c>
      <c r="HM147">
        <v>6</v>
      </c>
      <c r="HN147">
        <v>0</v>
      </c>
      <c r="HO147">
        <v>106</v>
      </c>
      <c r="HP147">
        <v>0</v>
      </c>
      <c r="HQ147">
        <v>0</v>
      </c>
      <c r="HR147">
        <v>792</v>
      </c>
      <c r="HS147">
        <v>0</v>
      </c>
      <c r="HT147">
        <v>0</v>
      </c>
      <c r="HU147">
        <v>2218</v>
      </c>
      <c r="HV147">
        <v>5408</v>
      </c>
      <c r="HW147">
        <v>10170</v>
      </c>
      <c r="HX147">
        <v>0</v>
      </c>
      <c r="HY147">
        <v>0</v>
      </c>
      <c r="HZ147">
        <v>0</v>
      </c>
      <c r="IA147">
        <v>1432</v>
      </c>
      <c r="IB147">
        <v>0</v>
      </c>
      <c r="IC147">
        <v>0</v>
      </c>
      <c r="ID147">
        <v>-472</v>
      </c>
      <c r="IE147">
        <v>0</v>
      </c>
      <c r="IF147">
        <v>0</v>
      </c>
      <c r="IG147">
        <v>0</v>
      </c>
      <c r="IH147">
        <v>2622</v>
      </c>
      <c r="II147">
        <v>1355</v>
      </c>
      <c r="IJ147">
        <v>5065</v>
      </c>
      <c r="IK147">
        <v>4117</v>
      </c>
      <c r="IL147">
        <v>0</v>
      </c>
      <c r="IM147">
        <v>0</v>
      </c>
      <c r="IN147">
        <v>5408</v>
      </c>
      <c r="IO147">
        <v>0</v>
      </c>
      <c r="IP147">
        <v>18095</v>
      </c>
      <c r="IQ147">
        <v>10674</v>
      </c>
      <c r="IR147">
        <v>50</v>
      </c>
      <c r="IS147">
        <v>10193</v>
      </c>
      <c r="IT147">
        <v>252</v>
      </c>
      <c r="IU147">
        <v>11</v>
      </c>
      <c r="IV147">
        <v>403</v>
      </c>
      <c r="IW147">
        <v>0</v>
      </c>
      <c r="IX147">
        <v>0</v>
      </c>
      <c r="IY147">
        <v>0</v>
      </c>
      <c r="IZ147">
        <v>0</v>
      </c>
      <c r="JA147">
        <v>-1938</v>
      </c>
      <c r="JB147">
        <v>36</v>
      </c>
      <c r="JC147">
        <v>-64</v>
      </c>
      <c r="JD147">
        <v>-36</v>
      </c>
      <c r="JE147">
        <v>0</v>
      </c>
      <c r="JF147">
        <v>0</v>
      </c>
      <c r="JG147">
        <v>37676</v>
      </c>
      <c r="JH147">
        <v>0</v>
      </c>
      <c r="JI147">
        <v>2798</v>
      </c>
      <c r="JJ147">
        <v>0</v>
      </c>
      <c r="JK147">
        <v>0</v>
      </c>
      <c r="JL147">
        <v>0</v>
      </c>
      <c r="JM147">
        <v>-184</v>
      </c>
      <c r="JN147">
        <v>581</v>
      </c>
      <c r="JO147">
        <v>16</v>
      </c>
      <c r="JP147">
        <v>2269</v>
      </c>
      <c r="JQ147">
        <v>-2187</v>
      </c>
      <c r="JR147">
        <v>40969</v>
      </c>
      <c r="JS147">
        <v>-871</v>
      </c>
      <c r="JT147">
        <v>0</v>
      </c>
      <c r="JU147">
        <v>0</v>
      </c>
      <c r="JV147">
        <v>0</v>
      </c>
      <c r="JW147">
        <v>-20691</v>
      </c>
      <c r="JX147">
        <v>0</v>
      </c>
      <c r="JY147">
        <v>0</v>
      </c>
      <c r="JZ147">
        <v>0</v>
      </c>
      <c r="KA147">
        <v>0</v>
      </c>
      <c r="KB147">
        <v>0</v>
      </c>
      <c r="KC147">
        <v>19407</v>
      </c>
      <c r="KD147">
        <v>0</v>
      </c>
      <c r="KE147">
        <v>-2892</v>
      </c>
      <c r="KF147">
        <v>16515</v>
      </c>
      <c r="KG147">
        <v>0</v>
      </c>
      <c r="KH147">
        <v>0</v>
      </c>
      <c r="KI147">
        <v>0</v>
      </c>
      <c r="KJ147">
        <v>0</v>
      </c>
      <c r="KK147">
        <v>-7140</v>
      </c>
      <c r="KL147">
        <v>666</v>
      </c>
      <c r="KM147">
        <v>0</v>
      </c>
      <c r="KN147">
        <v>0</v>
      </c>
      <c r="KO147">
        <v>-3295</v>
      </c>
      <c r="KP147">
        <v>5142</v>
      </c>
      <c r="KQ147">
        <v>0</v>
      </c>
      <c r="KR147">
        <v>7737</v>
      </c>
      <c r="KS147">
        <v>0</v>
      </c>
      <c r="KT147">
        <v>0</v>
      </c>
      <c r="KU147">
        <v>0</v>
      </c>
      <c r="KV147">
        <v>19079</v>
      </c>
      <c r="KW147">
        <v>11283</v>
      </c>
      <c r="KX147">
        <v>0</v>
      </c>
      <c r="KY147">
        <v>0</v>
      </c>
      <c r="KZ147">
        <v>0</v>
      </c>
      <c r="LA147">
        <v>11939</v>
      </c>
      <c r="LB147">
        <v>11949</v>
      </c>
      <c r="LC147">
        <v>0</v>
      </c>
      <c r="LD147">
        <v>0</v>
      </c>
      <c r="LE147">
        <v>0</v>
      </c>
      <c r="LF147">
        <v>0</v>
      </c>
      <c r="LG147">
        <v>0</v>
      </c>
      <c r="LH147">
        <v>0</v>
      </c>
      <c r="LI147">
        <v>0</v>
      </c>
      <c r="LJ147">
        <v>2994</v>
      </c>
      <c r="LK147">
        <v>3772</v>
      </c>
      <c r="LL147">
        <v>6766</v>
      </c>
      <c r="LM147">
        <v>0</v>
      </c>
      <c r="LN147">
        <v>0</v>
      </c>
      <c r="LO147">
        <v>0</v>
      </c>
      <c r="LP147">
        <v>29216</v>
      </c>
      <c r="LQ147">
        <v>31250</v>
      </c>
      <c r="LR147">
        <v>-2034</v>
      </c>
      <c r="LS147">
        <v>2764</v>
      </c>
      <c r="LT147">
        <v>730</v>
      </c>
      <c r="LU147">
        <v>0</v>
      </c>
      <c r="LV147">
        <v>-472</v>
      </c>
      <c r="LW147">
        <v>0</v>
      </c>
      <c r="LX147">
        <v>0</v>
      </c>
      <c r="LY147">
        <v>0</v>
      </c>
      <c r="LZ147">
        <v>2622</v>
      </c>
      <c r="MA147">
        <v>1355</v>
      </c>
      <c r="MB147">
        <v>5065</v>
      </c>
      <c r="MC147">
        <v>4117</v>
      </c>
      <c r="MD147">
        <v>0</v>
      </c>
      <c r="ME147">
        <v>0</v>
      </c>
      <c r="MF147">
        <v>5408</v>
      </c>
      <c r="MG147">
        <v>0</v>
      </c>
      <c r="MH147">
        <v>18095</v>
      </c>
      <c r="MI147">
        <v>0</v>
      </c>
      <c r="MJ147">
        <v>0</v>
      </c>
      <c r="MK147">
        <v>0</v>
      </c>
      <c r="ML147">
        <v>0</v>
      </c>
      <c r="MM147">
        <v>0</v>
      </c>
      <c r="MN147">
        <v>0</v>
      </c>
      <c r="MO147">
        <v>0</v>
      </c>
      <c r="MP147">
        <v>0</v>
      </c>
      <c r="MQ147">
        <v>57</v>
      </c>
      <c r="MR147">
        <v>0</v>
      </c>
      <c r="MS147">
        <v>0</v>
      </c>
      <c r="MT147">
        <v>0</v>
      </c>
      <c r="MU147">
        <v>40</v>
      </c>
      <c r="MV147">
        <v>0</v>
      </c>
      <c r="MW147">
        <v>0</v>
      </c>
      <c r="MX147">
        <v>-280</v>
      </c>
      <c r="MY147">
        <v>-1819</v>
      </c>
      <c r="MZ147">
        <v>0</v>
      </c>
      <c r="NA147">
        <v>-2002</v>
      </c>
      <c r="NB147">
        <v>64</v>
      </c>
      <c r="NC147">
        <v>-1938</v>
      </c>
      <c r="ND147">
        <v>0</v>
      </c>
      <c r="NE147">
        <v>0</v>
      </c>
      <c r="NF147">
        <v>0</v>
      </c>
      <c r="NG147">
        <v>0</v>
      </c>
      <c r="NH147">
        <v>0</v>
      </c>
      <c r="NI147">
        <v>0</v>
      </c>
      <c r="NJ147">
        <v>0</v>
      </c>
      <c r="NK147">
        <v>0</v>
      </c>
      <c r="NL147">
        <v>0</v>
      </c>
      <c r="NM147">
        <v>0</v>
      </c>
      <c r="NN147">
        <v>0</v>
      </c>
      <c r="NO147">
        <v>0</v>
      </c>
      <c r="NP147">
        <v>0</v>
      </c>
      <c r="NQ147">
        <v>0</v>
      </c>
      <c r="NR147">
        <v>0</v>
      </c>
      <c r="NS147">
        <v>0</v>
      </c>
      <c r="NT147">
        <v>0</v>
      </c>
      <c r="NU147">
        <v>0</v>
      </c>
      <c r="NV147">
        <v>0</v>
      </c>
      <c r="NW147">
        <v>0</v>
      </c>
      <c r="NX147">
        <v>0</v>
      </c>
      <c r="NY147">
        <v>0</v>
      </c>
      <c r="NZ147">
        <v>0</v>
      </c>
      <c r="OA147">
        <v>36</v>
      </c>
      <c r="OB147">
        <v>36</v>
      </c>
      <c r="OC147">
        <v>0</v>
      </c>
      <c r="OD147">
        <v>0</v>
      </c>
      <c r="OE147">
        <v>64</v>
      </c>
      <c r="OF147">
        <v>0</v>
      </c>
      <c r="OG147">
        <v>0</v>
      </c>
      <c r="OH147">
        <v>64</v>
      </c>
      <c r="OI147">
        <v>0</v>
      </c>
      <c r="OJ147">
        <v>0</v>
      </c>
      <c r="OK147">
        <v>36</v>
      </c>
      <c r="OL147">
        <v>0</v>
      </c>
      <c r="OM147">
        <v>0</v>
      </c>
      <c r="ON147">
        <v>36</v>
      </c>
    </row>
    <row r="148" spans="1:404" x14ac:dyDescent="0.25">
      <c r="A148" t="s">
        <v>508</v>
      </c>
      <c r="B148" t="s">
        <v>509</v>
      </c>
      <c r="C148" t="s">
        <v>507</v>
      </c>
      <c r="E148" t="s">
        <v>61</v>
      </c>
      <c r="F148">
        <v>0</v>
      </c>
      <c r="G148">
        <v>0</v>
      </c>
      <c r="H148">
        <v>0</v>
      </c>
      <c r="I148">
        <v>0</v>
      </c>
      <c r="J148">
        <v>0</v>
      </c>
      <c r="K148">
        <v>0</v>
      </c>
      <c r="L148">
        <v>0</v>
      </c>
      <c r="M148">
        <v>0</v>
      </c>
      <c r="N148">
        <v>0</v>
      </c>
      <c r="O148">
        <v>0</v>
      </c>
      <c r="P148">
        <v>0</v>
      </c>
      <c r="Q148">
        <v>0</v>
      </c>
      <c r="R148">
        <v>45</v>
      </c>
      <c r="S148">
        <v>0</v>
      </c>
      <c r="T148">
        <v>0</v>
      </c>
      <c r="U148">
        <v>231</v>
      </c>
      <c r="V148">
        <v>0</v>
      </c>
      <c r="W148">
        <v>0</v>
      </c>
      <c r="X148">
        <v>0</v>
      </c>
      <c r="Y148">
        <v>0</v>
      </c>
      <c r="Z148">
        <v>85</v>
      </c>
      <c r="AA148">
        <v>-858</v>
      </c>
      <c r="AB148">
        <v>0</v>
      </c>
      <c r="AC148">
        <v>0</v>
      </c>
      <c r="AD148">
        <v>0</v>
      </c>
      <c r="AE148">
        <v>0</v>
      </c>
      <c r="AF148">
        <v>0</v>
      </c>
      <c r="AG148">
        <v>0</v>
      </c>
      <c r="AH148">
        <v>0</v>
      </c>
      <c r="AI148">
        <v>-497</v>
      </c>
      <c r="AJ148">
        <v>0</v>
      </c>
      <c r="AK148">
        <v>0</v>
      </c>
      <c r="AL148">
        <v>0</v>
      </c>
      <c r="AM148">
        <v>0</v>
      </c>
      <c r="AN148">
        <v>0</v>
      </c>
      <c r="AO148">
        <v>0</v>
      </c>
      <c r="AP148">
        <v>0</v>
      </c>
      <c r="AQ148">
        <v>10</v>
      </c>
      <c r="AR148">
        <v>336</v>
      </c>
      <c r="AS148">
        <v>0</v>
      </c>
      <c r="AT148">
        <v>0</v>
      </c>
      <c r="AU148">
        <v>0</v>
      </c>
      <c r="AV148">
        <v>0</v>
      </c>
      <c r="AW148">
        <v>0</v>
      </c>
      <c r="AX148">
        <v>0</v>
      </c>
      <c r="AY148">
        <v>0</v>
      </c>
      <c r="AZ148">
        <v>0</v>
      </c>
      <c r="BA148">
        <v>0</v>
      </c>
      <c r="BB148">
        <v>0</v>
      </c>
      <c r="BC148">
        <v>0</v>
      </c>
      <c r="BD148">
        <v>0</v>
      </c>
      <c r="BE148">
        <v>0</v>
      </c>
      <c r="BF148">
        <v>0</v>
      </c>
      <c r="BG148">
        <v>0</v>
      </c>
      <c r="BH148">
        <v>0</v>
      </c>
      <c r="BI148">
        <v>0</v>
      </c>
      <c r="BJ148">
        <v>0</v>
      </c>
      <c r="BK148">
        <v>0</v>
      </c>
      <c r="BL148">
        <v>0</v>
      </c>
      <c r="BM148">
        <v>0</v>
      </c>
      <c r="BN148">
        <v>0</v>
      </c>
      <c r="BO148">
        <v>0</v>
      </c>
      <c r="BP148">
        <v>0</v>
      </c>
      <c r="BQ148">
        <v>0</v>
      </c>
      <c r="BR148">
        <v>0</v>
      </c>
      <c r="BS148">
        <v>0</v>
      </c>
      <c r="BT148">
        <v>0</v>
      </c>
      <c r="BU148">
        <v>0</v>
      </c>
      <c r="BV148">
        <v>0</v>
      </c>
      <c r="BW148">
        <v>0</v>
      </c>
      <c r="BX148">
        <v>0</v>
      </c>
      <c r="BY148">
        <v>0</v>
      </c>
      <c r="BZ148">
        <v>0</v>
      </c>
      <c r="CA148">
        <v>0</v>
      </c>
      <c r="CB148">
        <v>0</v>
      </c>
      <c r="CC148">
        <v>0</v>
      </c>
      <c r="CD148">
        <v>0</v>
      </c>
      <c r="CE148">
        <v>0</v>
      </c>
      <c r="CF148">
        <v>0</v>
      </c>
      <c r="CG148">
        <v>0</v>
      </c>
      <c r="CH148">
        <v>0</v>
      </c>
      <c r="CI148">
        <v>0</v>
      </c>
      <c r="CJ148">
        <v>0</v>
      </c>
      <c r="CK148">
        <v>0</v>
      </c>
      <c r="CL148">
        <v>0</v>
      </c>
      <c r="CM148">
        <v>0</v>
      </c>
      <c r="CN148">
        <v>0</v>
      </c>
      <c r="CO148">
        <v>0</v>
      </c>
      <c r="CP148">
        <v>0</v>
      </c>
      <c r="CQ148">
        <v>0</v>
      </c>
      <c r="CR148">
        <v>0</v>
      </c>
      <c r="CS148">
        <v>0</v>
      </c>
      <c r="CT148">
        <v>0</v>
      </c>
      <c r="CU148">
        <v>0</v>
      </c>
      <c r="CV148">
        <v>0</v>
      </c>
      <c r="CW148">
        <v>0</v>
      </c>
      <c r="CX148">
        <v>0</v>
      </c>
      <c r="CY148">
        <v>0</v>
      </c>
      <c r="CZ148">
        <v>0</v>
      </c>
      <c r="DA148">
        <v>0</v>
      </c>
      <c r="DB148">
        <v>0</v>
      </c>
      <c r="DC148">
        <v>179</v>
      </c>
      <c r="DD148">
        <v>0</v>
      </c>
      <c r="DE148">
        <v>0</v>
      </c>
      <c r="DF148">
        <v>0</v>
      </c>
      <c r="DG148">
        <v>0</v>
      </c>
      <c r="DH148">
        <v>-16</v>
      </c>
      <c r="DI148">
        <v>3</v>
      </c>
      <c r="DJ148">
        <v>201</v>
      </c>
      <c r="DK148">
        <v>-2</v>
      </c>
      <c r="DL148">
        <v>0</v>
      </c>
      <c r="DM148">
        <v>1519</v>
      </c>
      <c r="DN148">
        <v>0</v>
      </c>
      <c r="DO148">
        <v>0</v>
      </c>
      <c r="DP148">
        <v>1705</v>
      </c>
      <c r="DQ148">
        <v>0</v>
      </c>
      <c r="DR148">
        <v>0</v>
      </c>
      <c r="DS148">
        <v>64</v>
      </c>
      <c r="DT148">
        <v>651</v>
      </c>
      <c r="DU148">
        <v>135</v>
      </c>
      <c r="DV148">
        <v>209</v>
      </c>
      <c r="DW148">
        <v>0</v>
      </c>
      <c r="DX148">
        <v>2943</v>
      </c>
      <c r="DY148">
        <v>22398</v>
      </c>
      <c r="DZ148">
        <v>251</v>
      </c>
      <c r="EA148">
        <v>1183</v>
      </c>
      <c r="EB148">
        <v>1778</v>
      </c>
      <c r="EC148">
        <v>0</v>
      </c>
      <c r="ED148">
        <v>17</v>
      </c>
      <c r="EE148">
        <v>0</v>
      </c>
      <c r="EF148">
        <v>0</v>
      </c>
      <c r="EG148">
        <v>0</v>
      </c>
      <c r="EH148">
        <v>8422</v>
      </c>
      <c r="EI148">
        <v>5666</v>
      </c>
      <c r="EJ148">
        <v>0</v>
      </c>
      <c r="EK148">
        <v>342</v>
      </c>
      <c r="EL148">
        <v>2584</v>
      </c>
      <c r="EM148">
        <v>3965</v>
      </c>
      <c r="EN148">
        <v>2138</v>
      </c>
      <c r="EO148">
        <v>0</v>
      </c>
      <c r="EP148">
        <v>0</v>
      </c>
      <c r="EQ148">
        <v>1560</v>
      </c>
      <c r="ER148">
        <v>101</v>
      </c>
      <c r="ES148">
        <v>8558</v>
      </c>
      <c r="ET148">
        <v>9407</v>
      </c>
      <c r="EU148">
        <v>0</v>
      </c>
      <c r="EV148">
        <v>131</v>
      </c>
      <c r="EW148">
        <v>-11</v>
      </c>
      <c r="EX148">
        <v>0</v>
      </c>
      <c r="EY148">
        <v>30</v>
      </c>
      <c r="EZ148">
        <v>12</v>
      </c>
      <c r="FA148">
        <v>980</v>
      </c>
      <c r="FB148">
        <v>0</v>
      </c>
      <c r="FC148">
        <v>580</v>
      </c>
      <c r="FD148">
        <v>0</v>
      </c>
      <c r="FE148">
        <v>0</v>
      </c>
      <c r="FF148">
        <v>355</v>
      </c>
      <c r="FG148">
        <v>0</v>
      </c>
      <c r="FH148">
        <v>2077</v>
      </c>
      <c r="FI148">
        <v>-413</v>
      </c>
      <c r="FJ148">
        <v>0</v>
      </c>
      <c r="FK148">
        <v>38</v>
      </c>
      <c r="FL148">
        <v>384</v>
      </c>
      <c r="FM148">
        <v>429</v>
      </c>
      <c r="FN148">
        <v>275</v>
      </c>
      <c r="FO148">
        <v>184</v>
      </c>
      <c r="FP148">
        <v>29</v>
      </c>
      <c r="FQ148">
        <v>0</v>
      </c>
      <c r="FR148">
        <v>63</v>
      </c>
      <c r="FS148">
        <v>232</v>
      </c>
      <c r="FT148">
        <v>469</v>
      </c>
      <c r="FU148">
        <v>56</v>
      </c>
      <c r="FV148">
        <v>-30</v>
      </c>
      <c r="FW148">
        <v>0</v>
      </c>
      <c r="FX148">
        <v>141</v>
      </c>
      <c r="FY148">
        <v>0</v>
      </c>
      <c r="FZ148">
        <v>0</v>
      </c>
      <c r="GA148">
        <v>256</v>
      </c>
      <c r="GB148">
        <v>176</v>
      </c>
      <c r="GC148">
        <v>0</v>
      </c>
      <c r="GD148">
        <v>680</v>
      </c>
      <c r="GE148">
        <v>1321</v>
      </c>
      <c r="GF148">
        <v>0</v>
      </c>
      <c r="GG148">
        <v>0</v>
      </c>
      <c r="GH148">
        <v>198</v>
      </c>
      <c r="GI148">
        <v>0</v>
      </c>
      <c r="GJ148">
        <v>0</v>
      </c>
      <c r="GK148">
        <v>4488</v>
      </c>
      <c r="GL148">
        <v>239</v>
      </c>
      <c r="GM148">
        <v>556</v>
      </c>
      <c r="GN148">
        <v>254</v>
      </c>
      <c r="GO148">
        <v>483</v>
      </c>
      <c r="GP148">
        <v>0</v>
      </c>
      <c r="GQ148">
        <v>156</v>
      </c>
      <c r="GR148">
        <v>0</v>
      </c>
      <c r="GS148">
        <v>-180</v>
      </c>
      <c r="GT148">
        <v>215</v>
      </c>
      <c r="GU148">
        <v>1723</v>
      </c>
      <c r="GV148">
        <v>8288</v>
      </c>
      <c r="GW148">
        <v>0</v>
      </c>
      <c r="GX148">
        <v>0</v>
      </c>
      <c r="GY148">
        <v>0</v>
      </c>
      <c r="GZ148">
        <v>0</v>
      </c>
      <c r="HA148">
        <v>0</v>
      </c>
      <c r="HB148">
        <v>1811</v>
      </c>
      <c r="HC148">
        <v>271</v>
      </c>
      <c r="HD148">
        <v>0</v>
      </c>
      <c r="HE148">
        <v>0</v>
      </c>
      <c r="HF148">
        <v>0</v>
      </c>
      <c r="HG148">
        <v>763</v>
      </c>
      <c r="HH148">
        <v>0</v>
      </c>
      <c r="HI148">
        <v>0</v>
      </c>
      <c r="HJ148">
        <v>196</v>
      </c>
      <c r="HK148">
        <v>76</v>
      </c>
      <c r="HL148">
        <v>7</v>
      </c>
      <c r="HM148">
        <v>14</v>
      </c>
      <c r="HN148">
        <v>25</v>
      </c>
      <c r="HO148">
        <v>0</v>
      </c>
      <c r="HP148">
        <v>0</v>
      </c>
      <c r="HQ148">
        <v>0</v>
      </c>
      <c r="HR148">
        <v>-1177</v>
      </c>
      <c r="HS148">
        <v>0</v>
      </c>
      <c r="HT148">
        <v>0</v>
      </c>
      <c r="HU148">
        <v>498</v>
      </c>
      <c r="HV148">
        <v>2484</v>
      </c>
      <c r="HW148">
        <v>573</v>
      </c>
      <c r="HX148">
        <v>3828</v>
      </c>
      <c r="HY148">
        <v>0</v>
      </c>
      <c r="HZ148">
        <v>1976</v>
      </c>
      <c r="IA148">
        <v>408</v>
      </c>
      <c r="IB148">
        <v>816</v>
      </c>
      <c r="IC148">
        <v>0</v>
      </c>
      <c r="ID148">
        <v>-497</v>
      </c>
      <c r="IE148">
        <v>0</v>
      </c>
      <c r="IF148">
        <v>0</v>
      </c>
      <c r="IG148">
        <v>0</v>
      </c>
      <c r="IH148">
        <v>2943</v>
      </c>
      <c r="II148">
        <v>2077</v>
      </c>
      <c r="IJ148">
        <v>4488</v>
      </c>
      <c r="IK148">
        <v>1723</v>
      </c>
      <c r="IL148">
        <v>0</v>
      </c>
      <c r="IM148">
        <v>0</v>
      </c>
      <c r="IN148">
        <v>2484</v>
      </c>
      <c r="IO148">
        <v>816</v>
      </c>
      <c r="IP148">
        <v>14034</v>
      </c>
      <c r="IQ148">
        <v>11422</v>
      </c>
      <c r="IR148">
        <v>408</v>
      </c>
      <c r="IS148">
        <v>8653</v>
      </c>
      <c r="IT148">
        <v>0</v>
      </c>
      <c r="IU148">
        <v>0</v>
      </c>
      <c r="IV148">
        <v>520</v>
      </c>
      <c r="IW148">
        <v>0</v>
      </c>
      <c r="IX148">
        <v>0</v>
      </c>
      <c r="IY148">
        <v>0</v>
      </c>
      <c r="IZ148">
        <v>45</v>
      </c>
      <c r="JA148">
        <v>-1415</v>
      </c>
      <c r="JB148">
        <v>0</v>
      </c>
      <c r="JC148">
        <v>0</v>
      </c>
      <c r="JD148">
        <v>0</v>
      </c>
      <c r="JE148">
        <v>74</v>
      </c>
      <c r="JF148">
        <v>0</v>
      </c>
      <c r="JG148">
        <v>33741</v>
      </c>
      <c r="JH148">
        <v>0</v>
      </c>
      <c r="JI148">
        <v>189</v>
      </c>
      <c r="JJ148">
        <v>0</v>
      </c>
      <c r="JK148">
        <v>0</v>
      </c>
      <c r="JL148">
        <v>0</v>
      </c>
      <c r="JM148">
        <v>537</v>
      </c>
      <c r="JN148">
        <v>1463</v>
      </c>
      <c r="JO148">
        <v>0</v>
      </c>
      <c r="JP148">
        <v>569</v>
      </c>
      <c r="JQ148">
        <v>0</v>
      </c>
      <c r="JR148">
        <v>36499</v>
      </c>
      <c r="JS148">
        <v>-98</v>
      </c>
      <c r="JT148">
        <v>0</v>
      </c>
      <c r="JU148">
        <v>0</v>
      </c>
      <c r="JV148">
        <v>0</v>
      </c>
      <c r="JW148">
        <v>-20053</v>
      </c>
      <c r="JX148">
        <v>0</v>
      </c>
      <c r="JY148">
        <v>0</v>
      </c>
      <c r="JZ148">
        <v>0</v>
      </c>
      <c r="KA148">
        <v>0</v>
      </c>
      <c r="KB148">
        <v>0</v>
      </c>
      <c r="KC148">
        <v>16348</v>
      </c>
      <c r="KD148">
        <v>0</v>
      </c>
      <c r="KE148">
        <v>-2048</v>
      </c>
      <c r="KF148">
        <v>14300</v>
      </c>
      <c r="KG148">
        <v>0</v>
      </c>
      <c r="KH148">
        <v>0</v>
      </c>
      <c r="KI148">
        <v>0</v>
      </c>
      <c r="KJ148">
        <v>0</v>
      </c>
      <c r="KK148">
        <v>-4741</v>
      </c>
      <c r="KL148">
        <v>-65</v>
      </c>
      <c r="KM148">
        <v>-2074</v>
      </c>
      <c r="KN148">
        <v>0</v>
      </c>
      <c r="KO148">
        <v>0</v>
      </c>
      <c r="KP148">
        <v>0</v>
      </c>
      <c r="KQ148">
        <v>0</v>
      </c>
      <c r="KR148">
        <v>5412</v>
      </c>
      <c r="KS148">
        <v>0</v>
      </c>
      <c r="KT148">
        <v>0</v>
      </c>
      <c r="KU148">
        <v>0</v>
      </c>
      <c r="KV148">
        <v>23689</v>
      </c>
      <c r="KW148">
        <v>4085</v>
      </c>
      <c r="KX148">
        <v>0</v>
      </c>
      <c r="KY148">
        <v>0</v>
      </c>
      <c r="KZ148">
        <v>0</v>
      </c>
      <c r="LA148">
        <v>18948</v>
      </c>
      <c r="LB148">
        <v>4020</v>
      </c>
      <c r="LC148">
        <v>0</v>
      </c>
      <c r="LD148">
        <v>1472</v>
      </c>
      <c r="LE148">
        <v>1519</v>
      </c>
      <c r="LF148">
        <v>0</v>
      </c>
      <c r="LG148">
        <v>13589</v>
      </c>
      <c r="LH148">
        <v>1459</v>
      </c>
      <c r="LI148">
        <v>19308</v>
      </c>
      <c r="LJ148">
        <v>4360</v>
      </c>
      <c r="LK148">
        <v>5738</v>
      </c>
      <c r="LL148">
        <v>10098</v>
      </c>
      <c r="LM148">
        <v>0</v>
      </c>
      <c r="LN148">
        <v>0</v>
      </c>
      <c r="LO148">
        <v>0</v>
      </c>
      <c r="LP148">
        <v>25627</v>
      </c>
      <c r="LQ148">
        <v>24778</v>
      </c>
      <c r="LR148">
        <v>849</v>
      </c>
      <c r="LS148">
        <v>8558</v>
      </c>
      <c r="LT148">
        <v>9407</v>
      </c>
      <c r="LU148">
        <v>0</v>
      </c>
      <c r="LV148">
        <v>-497</v>
      </c>
      <c r="LW148">
        <v>0</v>
      </c>
      <c r="LX148">
        <v>0</v>
      </c>
      <c r="LY148">
        <v>0</v>
      </c>
      <c r="LZ148">
        <v>2943</v>
      </c>
      <c r="MA148">
        <v>2077</v>
      </c>
      <c r="MB148">
        <v>4488</v>
      </c>
      <c r="MC148">
        <v>1723</v>
      </c>
      <c r="MD148">
        <v>0</v>
      </c>
      <c r="ME148">
        <v>0</v>
      </c>
      <c r="MF148">
        <v>2484</v>
      </c>
      <c r="MG148">
        <v>816</v>
      </c>
      <c r="MH148">
        <v>14034</v>
      </c>
      <c r="MI148">
        <v>0</v>
      </c>
      <c r="MJ148">
        <v>0</v>
      </c>
      <c r="MK148">
        <v>0</v>
      </c>
      <c r="ML148">
        <v>0</v>
      </c>
      <c r="MM148">
        <v>0</v>
      </c>
      <c r="MN148">
        <v>0</v>
      </c>
      <c r="MO148">
        <v>0</v>
      </c>
      <c r="MP148">
        <v>123</v>
      </c>
      <c r="MQ148">
        <v>0</v>
      </c>
      <c r="MR148">
        <v>0</v>
      </c>
      <c r="MS148">
        <v>0</v>
      </c>
      <c r="MT148">
        <v>0</v>
      </c>
      <c r="MU148">
        <v>0</v>
      </c>
      <c r="MV148">
        <v>0</v>
      </c>
      <c r="MW148">
        <v>-867</v>
      </c>
      <c r="MX148">
        <v>0</v>
      </c>
      <c r="MY148">
        <v>0</v>
      </c>
      <c r="MZ148">
        <v>249</v>
      </c>
      <c r="NA148">
        <v>-1415</v>
      </c>
      <c r="NB148">
        <v>0</v>
      </c>
      <c r="NC148">
        <v>-1415</v>
      </c>
      <c r="ND148">
        <v>0</v>
      </c>
      <c r="NE148">
        <v>0</v>
      </c>
      <c r="NF148">
        <v>0</v>
      </c>
      <c r="NG148">
        <v>0</v>
      </c>
      <c r="NH148">
        <v>0</v>
      </c>
      <c r="NI148">
        <v>0</v>
      </c>
      <c r="NJ148">
        <v>0</v>
      </c>
      <c r="NK148">
        <v>0</v>
      </c>
      <c r="NL148">
        <v>0</v>
      </c>
      <c r="NM148">
        <v>0</v>
      </c>
      <c r="NN148">
        <v>0</v>
      </c>
      <c r="NO148">
        <v>0</v>
      </c>
      <c r="NP148">
        <v>0</v>
      </c>
      <c r="NQ148">
        <v>0</v>
      </c>
      <c r="NR148">
        <v>0</v>
      </c>
      <c r="NS148">
        <v>0</v>
      </c>
      <c r="NT148">
        <v>0</v>
      </c>
      <c r="NU148">
        <v>0</v>
      </c>
      <c r="NV148">
        <v>0</v>
      </c>
      <c r="NW148">
        <v>0</v>
      </c>
      <c r="NX148">
        <v>0</v>
      </c>
      <c r="NY148">
        <v>0</v>
      </c>
      <c r="NZ148">
        <v>0</v>
      </c>
      <c r="OA148">
        <v>0</v>
      </c>
      <c r="OB148">
        <v>0</v>
      </c>
      <c r="OC148">
        <v>0</v>
      </c>
      <c r="OD148">
        <v>0</v>
      </c>
      <c r="OE148">
        <v>0</v>
      </c>
      <c r="OF148">
        <v>0</v>
      </c>
      <c r="OG148">
        <v>0</v>
      </c>
      <c r="OH148">
        <v>0</v>
      </c>
      <c r="OI148">
        <v>0</v>
      </c>
      <c r="OJ148">
        <v>0</v>
      </c>
      <c r="OK148">
        <v>0</v>
      </c>
      <c r="OL148">
        <v>0</v>
      </c>
      <c r="OM148">
        <v>0</v>
      </c>
      <c r="ON148">
        <v>0</v>
      </c>
    </row>
    <row r="149" spans="1:404" x14ac:dyDescent="0.25">
      <c r="A149" t="s">
        <v>511</v>
      </c>
      <c r="B149" t="s">
        <v>512</v>
      </c>
      <c r="C149" t="s">
        <v>510</v>
      </c>
      <c r="E149" t="s">
        <v>79</v>
      </c>
      <c r="F149">
        <v>0</v>
      </c>
      <c r="G149">
        <v>0</v>
      </c>
      <c r="H149">
        <v>0</v>
      </c>
      <c r="I149">
        <v>0</v>
      </c>
      <c r="J149">
        <v>0</v>
      </c>
      <c r="K149">
        <v>322586</v>
      </c>
      <c r="L149">
        <v>322586</v>
      </c>
      <c r="M149">
        <v>0</v>
      </c>
      <c r="N149">
        <v>48009</v>
      </c>
      <c r="O149">
        <v>5488</v>
      </c>
      <c r="P149">
        <v>55893</v>
      </c>
      <c r="Q149">
        <v>1965</v>
      </c>
      <c r="R149">
        <v>15778</v>
      </c>
      <c r="S149">
        <v>4024</v>
      </c>
      <c r="T149">
        <v>0</v>
      </c>
      <c r="U149">
        <v>9540</v>
      </c>
      <c r="V149">
        <v>-467049</v>
      </c>
      <c r="W149">
        <v>-33175</v>
      </c>
      <c r="X149">
        <v>0</v>
      </c>
      <c r="Y149">
        <v>17662</v>
      </c>
      <c r="Z149">
        <v>0</v>
      </c>
      <c r="AA149">
        <v>0</v>
      </c>
      <c r="AB149">
        <v>0</v>
      </c>
      <c r="AC149">
        <v>0</v>
      </c>
      <c r="AD149">
        <v>1031562</v>
      </c>
      <c r="AE149">
        <v>0</v>
      </c>
      <c r="AF149">
        <v>1278862</v>
      </c>
      <c r="AG149">
        <v>368586</v>
      </c>
      <c r="AH149">
        <v>0</v>
      </c>
      <c r="AI149">
        <v>2337145</v>
      </c>
      <c r="AJ149">
        <v>0</v>
      </c>
      <c r="AK149">
        <v>0</v>
      </c>
      <c r="AL149">
        <v>0</v>
      </c>
      <c r="AM149">
        <v>0</v>
      </c>
      <c r="AN149">
        <v>0</v>
      </c>
      <c r="AO149">
        <v>0</v>
      </c>
      <c r="AP149">
        <v>0</v>
      </c>
      <c r="AQ149">
        <v>0</v>
      </c>
      <c r="AR149">
        <v>0</v>
      </c>
      <c r="AS149">
        <v>15437</v>
      </c>
      <c r="AT149">
        <v>677</v>
      </c>
      <c r="AU149">
        <v>29615</v>
      </c>
      <c r="AV149">
        <v>0</v>
      </c>
      <c r="AW149">
        <v>0</v>
      </c>
      <c r="AX149">
        <v>0</v>
      </c>
      <c r="AY149">
        <v>0</v>
      </c>
      <c r="AZ149">
        <v>0</v>
      </c>
      <c r="BA149">
        <v>0</v>
      </c>
      <c r="BB149">
        <v>0</v>
      </c>
      <c r="BC149">
        <v>14385</v>
      </c>
      <c r="BD149">
        <v>14385</v>
      </c>
      <c r="BE149">
        <v>0</v>
      </c>
      <c r="BF149">
        <v>0</v>
      </c>
      <c r="BG149">
        <v>0</v>
      </c>
      <c r="BH149">
        <v>0</v>
      </c>
      <c r="BI149">
        <v>0</v>
      </c>
      <c r="BJ149">
        <v>0</v>
      </c>
      <c r="BK149">
        <v>0</v>
      </c>
      <c r="BL149">
        <v>0</v>
      </c>
      <c r="BM149">
        <v>0</v>
      </c>
      <c r="BN149">
        <v>0</v>
      </c>
      <c r="BO149">
        <v>0</v>
      </c>
      <c r="BP149">
        <v>0</v>
      </c>
      <c r="BQ149">
        <v>0</v>
      </c>
      <c r="BR149">
        <v>0</v>
      </c>
      <c r="BS149">
        <v>0</v>
      </c>
      <c r="BT149">
        <v>0</v>
      </c>
      <c r="BU149">
        <v>0</v>
      </c>
      <c r="BV149">
        <v>0</v>
      </c>
      <c r="BW149">
        <v>0</v>
      </c>
      <c r="BX149">
        <v>0</v>
      </c>
      <c r="BY149">
        <v>0</v>
      </c>
      <c r="BZ149">
        <v>0</v>
      </c>
      <c r="CA149">
        <v>0</v>
      </c>
      <c r="CB149">
        <v>0</v>
      </c>
      <c r="CC149">
        <v>0</v>
      </c>
      <c r="CD149">
        <v>0</v>
      </c>
      <c r="CE149">
        <v>0</v>
      </c>
      <c r="CF149">
        <v>0</v>
      </c>
      <c r="CG149">
        <v>0</v>
      </c>
      <c r="CH149">
        <v>0</v>
      </c>
      <c r="CI149">
        <v>0</v>
      </c>
      <c r="CJ149">
        <v>0</v>
      </c>
      <c r="CK149">
        <v>0</v>
      </c>
      <c r="CL149">
        <v>0</v>
      </c>
      <c r="CM149">
        <v>0</v>
      </c>
      <c r="CN149">
        <v>0</v>
      </c>
      <c r="CO149">
        <v>0</v>
      </c>
      <c r="CP149">
        <v>0</v>
      </c>
      <c r="CQ149">
        <v>0</v>
      </c>
      <c r="CR149">
        <v>0</v>
      </c>
      <c r="CS149">
        <v>0</v>
      </c>
      <c r="CT149">
        <v>0</v>
      </c>
      <c r="CU149">
        <v>3889</v>
      </c>
      <c r="CV149">
        <v>3889</v>
      </c>
      <c r="CW149">
        <v>0</v>
      </c>
      <c r="CX149">
        <v>0</v>
      </c>
      <c r="CY149">
        <v>0</v>
      </c>
      <c r="CZ149">
        <v>0</v>
      </c>
      <c r="DA149">
        <v>0</v>
      </c>
      <c r="DB149">
        <v>0</v>
      </c>
      <c r="DC149">
        <v>22522</v>
      </c>
      <c r="DD149">
        <v>0</v>
      </c>
      <c r="DE149">
        <v>0</v>
      </c>
      <c r="DF149">
        <v>0</v>
      </c>
      <c r="DG149">
        <v>0</v>
      </c>
      <c r="DH149">
        <v>0</v>
      </c>
      <c r="DI149">
        <v>0</v>
      </c>
      <c r="DJ149">
        <v>0</v>
      </c>
      <c r="DK149">
        <v>0</v>
      </c>
      <c r="DL149">
        <v>0</v>
      </c>
      <c r="DM149">
        <v>0</v>
      </c>
      <c r="DN149">
        <v>42509</v>
      </c>
      <c r="DO149">
        <v>0</v>
      </c>
      <c r="DP149">
        <v>42509</v>
      </c>
      <c r="DQ149">
        <v>0</v>
      </c>
      <c r="DR149">
        <v>0</v>
      </c>
      <c r="DS149">
        <v>0</v>
      </c>
      <c r="DT149">
        <v>0</v>
      </c>
      <c r="DU149">
        <v>0</v>
      </c>
      <c r="DV149">
        <v>0</v>
      </c>
      <c r="DW149">
        <v>0</v>
      </c>
      <c r="DX149">
        <v>65030</v>
      </c>
      <c r="DY149">
        <v>0</v>
      </c>
      <c r="DZ149">
        <v>0</v>
      </c>
      <c r="EA149">
        <v>0</v>
      </c>
      <c r="EB149">
        <v>0</v>
      </c>
      <c r="EC149">
        <v>0</v>
      </c>
      <c r="ED149">
        <v>0</v>
      </c>
      <c r="EE149">
        <v>0</v>
      </c>
      <c r="EF149">
        <v>0</v>
      </c>
      <c r="EG149">
        <v>0</v>
      </c>
      <c r="EH149">
        <v>0</v>
      </c>
      <c r="EI149">
        <v>0</v>
      </c>
      <c r="EJ149">
        <v>0</v>
      </c>
      <c r="EK149">
        <v>0</v>
      </c>
      <c r="EL149">
        <v>0</v>
      </c>
      <c r="EM149">
        <v>0</v>
      </c>
      <c r="EN149">
        <v>0</v>
      </c>
      <c r="EO149">
        <v>0</v>
      </c>
      <c r="EP149">
        <v>0</v>
      </c>
      <c r="EQ149">
        <v>0</v>
      </c>
      <c r="ER149">
        <v>0</v>
      </c>
      <c r="ES149">
        <v>0</v>
      </c>
      <c r="ET149">
        <v>0</v>
      </c>
      <c r="EU149">
        <v>0</v>
      </c>
      <c r="EV149">
        <v>208</v>
      </c>
      <c r="EW149">
        <v>7595</v>
      </c>
      <c r="EX149">
        <v>7600</v>
      </c>
      <c r="EY149">
        <v>4429</v>
      </c>
      <c r="EZ149">
        <v>0</v>
      </c>
      <c r="FA149">
        <v>0</v>
      </c>
      <c r="FB149">
        <v>0</v>
      </c>
      <c r="FC149">
        <v>6680</v>
      </c>
      <c r="FD149">
        <v>0</v>
      </c>
      <c r="FE149">
        <v>0</v>
      </c>
      <c r="FF149">
        <v>0</v>
      </c>
      <c r="FG149">
        <v>0</v>
      </c>
      <c r="FH149">
        <v>26513</v>
      </c>
      <c r="FI149">
        <v>0</v>
      </c>
      <c r="FJ149">
        <v>0</v>
      </c>
      <c r="FK149">
        <v>0</v>
      </c>
      <c r="FL149">
        <v>0</v>
      </c>
      <c r="FM149">
        <v>0</v>
      </c>
      <c r="FN149">
        <v>0</v>
      </c>
      <c r="FO149">
        <v>0</v>
      </c>
      <c r="FP149">
        <v>0</v>
      </c>
      <c r="FQ149">
        <v>0</v>
      </c>
      <c r="FR149">
        <v>0</v>
      </c>
      <c r="FS149">
        <v>0</v>
      </c>
      <c r="FT149">
        <v>3</v>
      </c>
      <c r="FU149">
        <v>3040</v>
      </c>
      <c r="FV149">
        <v>88050</v>
      </c>
      <c r="FW149">
        <v>0</v>
      </c>
      <c r="FX149">
        <v>0</v>
      </c>
      <c r="FY149">
        <v>0</v>
      </c>
      <c r="FZ149">
        <v>0</v>
      </c>
      <c r="GA149">
        <v>0</v>
      </c>
      <c r="GB149">
        <v>0</v>
      </c>
      <c r="GC149">
        <v>0</v>
      </c>
      <c r="GD149">
        <v>0</v>
      </c>
      <c r="GE149">
        <v>0</v>
      </c>
      <c r="GF149">
        <v>0</v>
      </c>
      <c r="GG149">
        <v>0</v>
      </c>
      <c r="GH149">
        <v>0</v>
      </c>
      <c r="GI149">
        <v>0</v>
      </c>
      <c r="GJ149">
        <v>145</v>
      </c>
      <c r="GK149">
        <v>91238</v>
      </c>
      <c r="GL149">
        <v>0</v>
      </c>
      <c r="GM149">
        <v>0</v>
      </c>
      <c r="GN149">
        <v>2779</v>
      </c>
      <c r="GO149">
        <v>396</v>
      </c>
      <c r="GP149">
        <v>23695</v>
      </c>
      <c r="GQ149">
        <v>48665</v>
      </c>
      <c r="GR149">
        <v>3921</v>
      </c>
      <c r="GS149">
        <v>22790</v>
      </c>
      <c r="GT149">
        <v>14050</v>
      </c>
      <c r="GU149">
        <v>116296</v>
      </c>
      <c r="GV149">
        <v>234046</v>
      </c>
      <c r="GW149">
        <v>3494496</v>
      </c>
      <c r="GX149">
        <v>21267</v>
      </c>
      <c r="GY149">
        <v>262345</v>
      </c>
      <c r="GZ149">
        <v>148563</v>
      </c>
      <c r="HA149">
        <v>432175</v>
      </c>
      <c r="HB149">
        <v>33471</v>
      </c>
      <c r="HC149">
        <v>0</v>
      </c>
      <c r="HD149">
        <v>0</v>
      </c>
      <c r="HE149">
        <v>0</v>
      </c>
      <c r="HF149">
        <v>0</v>
      </c>
      <c r="HG149">
        <v>0</v>
      </c>
      <c r="HH149">
        <v>0</v>
      </c>
      <c r="HI149">
        <v>0</v>
      </c>
      <c r="HJ149">
        <v>0</v>
      </c>
      <c r="HK149">
        <v>21638</v>
      </c>
      <c r="HL149">
        <v>0</v>
      </c>
      <c r="HM149">
        <v>0</v>
      </c>
      <c r="HN149">
        <v>0</v>
      </c>
      <c r="HO149">
        <v>0</v>
      </c>
      <c r="HP149">
        <v>0</v>
      </c>
      <c r="HQ149">
        <v>0</v>
      </c>
      <c r="HR149">
        <v>0</v>
      </c>
      <c r="HS149">
        <v>0</v>
      </c>
      <c r="HT149">
        <v>0</v>
      </c>
      <c r="HU149">
        <v>45367</v>
      </c>
      <c r="HV149">
        <v>100476</v>
      </c>
      <c r="HW149">
        <v>0</v>
      </c>
      <c r="HX149">
        <v>0</v>
      </c>
      <c r="HY149">
        <v>0</v>
      </c>
      <c r="HZ149">
        <v>0</v>
      </c>
      <c r="IA149">
        <v>6120</v>
      </c>
      <c r="IB149">
        <v>0</v>
      </c>
      <c r="IC149">
        <v>322586</v>
      </c>
      <c r="ID149">
        <v>2337145</v>
      </c>
      <c r="IE149">
        <v>14385</v>
      </c>
      <c r="IF149">
        <v>0</v>
      </c>
      <c r="IG149">
        <v>3889</v>
      </c>
      <c r="IH149">
        <v>65030</v>
      </c>
      <c r="II149">
        <v>26513</v>
      </c>
      <c r="IJ149">
        <v>91238</v>
      </c>
      <c r="IK149">
        <v>116296</v>
      </c>
      <c r="IL149">
        <v>3494496</v>
      </c>
      <c r="IM149">
        <v>432175</v>
      </c>
      <c r="IN149">
        <v>100476</v>
      </c>
      <c r="IO149">
        <v>0</v>
      </c>
      <c r="IP149">
        <v>7004229</v>
      </c>
      <c r="IQ149">
        <v>0</v>
      </c>
      <c r="IR149">
        <v>0</v>
      </c>
      <c r="IS149">
        <v>0</v>
      </c>
      <c r="IT149">
        <v>0</v>
      </c>
      <c r="IU149">
        <v>0</v>
      </c>
      <c r="IV149">
        <v>0</v>
      </c>
      <c r="IW149">
        <v>0</v>
      </c>
      <c r="IX149">
        <v>0</v>
      </c>
      <c r="IY149">
        <v>0</v>
      </c>
      <c r="IZ149">
        <v>0</v>
      </c>
      <c r="JA149">
        <v>601</v>
      </c>
      <c r="JB149">
        <v>0</v>
      </c>
      <c r="JC149">
        <v>0</v>
      </c>
      <c r="JD149">
        <v>0</v>
      </c>
      <c r="JE149">
        <v>-4313</v>
      </c>
      <c r="JF149">
        <v>0</v>
      </c>
      <c r="JG149">
        <v>7000516</v>
      </c>
      <c r="JH149">
        <v>0</v>
      </c>
      <c r="JI149">
        <v>1514749</v>
      </c>
      <c r="JJ149">
        <v>0</v>
      </c>
      <c r="JK149">
        <v>0</v>
      </c>
      <c r="JL149">
        <v>0</v>
      </c>
      <c r="JM149">
        <v>-191</v>
      </c>
      <c r="JN149">
        <v>358732</v>
      </c>
      <c r="JO149">
        <v>0</v>
      </c>
      <c r="JP149">
        <v>747107</v>
      </c>
      <c r="JQ149">
        <v>0</v>
      </c>
      <c r="JR149">
        <v>9620912</v>
      </c>
      <c r="JS149">
        <v>-433071</v>
      </c>
      <c r="JT149">
        <v>-13342</v>
      </c>
      <c r="JU149">
        <v>11754</v>
      </c>
      <c r="JV149">
        <v>0</v>
      </c>
      <c r="JW149">
        <v>-16381</v>
      </c>
      <c r="JX149">
        <v>-323300</v>
      </c>
      <c r="JY149">
        <v>-146414</v>
      </c>
      <c r="JZ149">
        <v>0</v>
      </c>
      <c r="KA149">
        <v>0</v>
      </c>
      <c r="KB149">
        <v>0</v>
      </c>
      <c r="KC149">
        <v>8700158</v>
      </c>
      <c r="KD149">
        <v>0</v>
      </c>
      <c r="KE149">
        <v>-3128615</v>
      </c>
      <c r="KF149">
        <v>5571543</v>
      </c>
      <c r="KG149">
        <v>0</v>
      </c>
      <c r="KH149">
        <v>0</v>
      </c>
      <c r="KI149">
        <v>0</v>
      </c>
      <c r="KJ149">
        <v>0</v>
      </c>
      <c r="KK149">
        <v>-183330</v>
      </c>
      <c r="KL149">
        <v>5417</v>
      </c>
      <c r="KM149">
        <v>0</v>
      </c>
      <c r="KN149">
        <v>-1973086</v>
      </c>
      <c r="KO149">
        <v>-1228764</v>
      </c>
      <c r="KP149">
        <v>8200</v>
      </c>
      <c r="KQ149">
        <v>870</v>
      </c>
      <c r="KR149">
        <v>1096562</v>
      </c>
      <c r="KS149">
        <v>0</v>
      </c>
      <c r="KT149">
        <v>0</v>
      </c>
      <c r="KU149">
        <v>0</v>
      </c>
      <c r="KV149">
        <v>3324285</v>
      </c>
      <c r="KW149">
        <v>578656</v>
      </c>
      <c r="KX149">
        <v>0</v>
      </c>
      <c r="KY149">
        <v>0</v>
      </c>
      <c r="KZ149">
        <v>0</v>
      </c>
      <c r="LA149">
        <v>3140955</v>
      </c>
      <c r="LB149">
        <v>584073</v>
      </c>
      <c r="LC149">
        <v>0</v>
      </c>
      <c r="LD149">
        <v>382695</v>
      </c>
      <c r="LE149">
        <v>34562</v>
      </c>
      <c r="LF149">
        <v>-9397</v>
      </c>
      <c r="LG149">
        <v>-543005</v>
      </c>
      <c r="LH149">
        <v>2993798</v>
      </c>
      <c r="LI149">
        <v>2858652</v>
      </c>
      <c r="LJ149">
        <v>0</v>
      </c>
      <c r="LK149">
        <v>0</v>
      </c>
      <c r="LL149">
        <v>0</v>
      </c>
      <c r="LM149">
        <v>0</v>
      </c>
      <c r="LN149">
        <v>0</v>
      </c>
      <c r="LO149">
        <v>0</v>
      </c>
      <c r="LP149">
        <v>0</v>
      </c>
      <c r="LQ149">
        <v>0</v>
      </c>
      <c r="LR149">
        <v>0</v>
      </c>
      <c r="LS149">
        <v>0</v>
      </c>
      <c r="LT149">
        <v>0</v>
      </c>
      <c r="LU149">
        <v>322586</v>
      </c>
      <c r="LV149">
        <v>2337145</v>
      </c>
      <c r="LW149">
        <v>14385</v>
      </c>
      <c r="LX149">
        <v>0</v>
      </c>
      <c r="LY149">
        <v>3889</v>
      </c>
      <c r="LZ149">
        <v>65030</v>
      </c>
      <c r="MA149">
        <v>26513</v>
      </c>
      <c r="MB149">
        <v>91238</v>
      </c>
      <c r="MC149">
        <v>116296</v>
      </c>
      <c r="MD149">
        <v>3494496</v>
      </c>
      <c r="ME149">
        <v>432175</v>
      </c>
      <c r="MF149">
        <v>100476</v>
      </c>
      <c r="MG149">
        <v>0</v>
      </c>
      <c r="MH149">
        <v>7004229</v>
      </c>
      <c r="MI149">
        <v>0</v>
      </c>
      <c r="MJ149">
        <v>0</v>
      </c>
      <c r="MK149">
        <v>0</v>
      </c>
      <c r="ML149">
        <v>0</v>
      </c>
      <c r="MM149">
        <v>0</v>
      </c>
      <c r="MN149">
        <v>0</v>
      </c>
      <c r="MO149">
        <v>0</v>
      </c>
      <c r="MP149">
        <v>0</v>
      </c>
      <c r="MQ149">
        <v>0</v>
      </c>
      <c r="MR149">
        <v>0</v>
      </c>
      <c r="MS149">
        <v>0</v>
      </c>
      <c r="MT149">
        <v>0</v>
      </c>
      <c r="MU149">
        <v>0</v>
      </c>
      <c r="MV149">
        <v>0</v>
      </c>
      <c r="MW149">
        <v>0</v>
      </c>
      <c r="MX149">
        <v>0</v>
      </c>
      <c r="MY149">
        <v>0</v>
      </c>
      <c r="MZ149">
        <v>0</v>
      </c>
      <c r="NA149">
        <v>601</v>
      </c>
      <c r="NB149">
        <v>0</v>
      </c>
      <c r="NC149">
        <v>601</v>
      </c>
      <c r="ND149">
        <v>0</v>
      </c>
      <c r="NE149">
        <v>0</v>
      </c>
      <c r="NF149">
        <v>0</v>
      </c>
      <c r="NG149">
        <v>0</v>
      </c>
      <c r="NH149">
        <v>0</v>
      </c>
      <c r="NI149">
        <v>0</v>
      </c>
      <c r="NJ149">
        <v>0</v>
      </c>
      <c r="NK149">
        <v>0</v>
      </c>
      <c r="NL149">
        <v>0</v>
      </c>
      <c r="NM149">
        <v>0</v>
      </c>
      <c r="NN149">
        <v>0</v>
      </c>
      <c r="NO149">
        <v>0</v>
      </c>
      <c r="NP149">
        <v>0</v>
      </c>
      <c r="NQ149">
        <v>0</v>
      </c>
      <c r="NR149">
        <v>0</v>
      </c>
      <c r="NS149">
        <v>0</v>
      </c>
      <c r="NT149">
        <v>0</v>
      </c>
      <c r="NU149">
        <v>0</v>
      </c>
      <c r="NV149">
        <v>0</v>
      </c>
      <c r="NW149">
        <v>0</v>
      </c>
      <c r="NX149">
        <v>0</v>
      </c>
      <c r="NY149">
        <v>0</v>
      </c>
      <c r="NZ149">
        <v>0</v>
      </c>
      <c r="OA149">
        <v>0</v>
      </c>
      <c r="OB149">
        <v>0</v>
      </c>
      <c r="OC149">
        <v>0</v>
      </c>
      <c r="OD149">
        <v>0</v>
      </c>
      <c r="OE149">
        <v>0</v>
      </c>
      <c r="OF149">
        <v>0</v>
      </c>
      <c r="OG149">
        <v>0</v>
      </c>
      <c r="OH149">
        <v>0</v>
      </c>
      <c r="OI149">
        <v>0</v>
      </c>
      <c r="OJ149">
        <v>0</v>
      </c>
      <c r="OK149">
        <v>0</v>
      </c>
      <c r="OL149">
        <v>0</v>
      </c>
      <c r="OM149">
        <v>0</v>
      </c>
      <c r="ON149">
        <v>0</v>
      </c>
    </row>
    <row r="150" spans="1:404" x14ac:dyDescent="0.25">
      <c r="A150" t="s">
        <v>514</v>
      </c>
      <c r="B150" t="s">
        <v>515</v>
      </c>
      <c r="C150" t="s">
        <v>513</v>
      </c>
      <c r="E150" t="s">
        <v>1390</v>
      </c>
      <c r="F150">
        <v>0</v>
      </c>
      <c r="G150">
        <v>0</v>
      </c>
      <c r="H150">
        <v>0</v>
      </c>
      <c r="I150">
        <v>0</v>
      </c>
      <c r="J150">
        <v>0</v>
      </c>
      <c r="K150">
        <v>0</v>
      </c>
      <c r="L150">
        <v>0</v>
      </c>
      <c r="M150">
        <v>0</v>
      </c>
      <c r="N150">
        <v>0</v>
      </c>
      <c r="O150">
        <v>0</v>
      </c>
      <c r="P150">
        <v>0</v>
      </c>
      <c r="Q150">
        <v>0</v>
      </c>
      <c r="R150">
        <v>0</v>
      </c>
      <c r="S150">
        <v>0</v>
      </c>
      <c r="T150">
        <v>0</v>
      </c>
      <c r="U150">
        <v>0</v>
      </c>
      <c r="V150">
        <v>0</v>
      </c>
      <c r="W150">
        <v>0</v>
      </c>
      <c r="X150">
        <v>0</v>
      </c>
      <c r="Y150">
        <v>0</v>
      </c>
      <c r="Z150">
        <v>0</v>
      </c>
      <c r="AA150">
        <v>0</v>
      </c>
      <c r="AB150">
        <v>0</v>
      </c>
      <c r="AC150">
        <v>0</v>
      </c>
      <c r="AD150">
        <v>0</v>
      </c>
      <c r="AE150">
        <v>0</v>
      </c>
      <c r="AF150">
        <v>0</v>
      </c>
      <c r="AG150">
        <v>279190</v>
      </c>
      <c r="AH150">
        <v>0</v>
      </c>
      <c r="AI150">
        <v>279190</v>
      </c>
      <c r="AJ150">
        <v>0</v>
      </c>
      <c r="AK150">
        <v>0</v>
      </c>
      <c r="AL150">
        <v>0</v>
      </c>
      <c r="AM150">
        <v>0</v>
      </c>
      <c r="AN150">
        <v>0</v>
      </c>
      <c r="AO150">
        <v>0</v>
      </c>
      <c r="AP150">
        <v>0</v>
      </c>
      <c r="AQ150">
        <v>0</v>
      </c>
      <c r="AR150">
        <v>0</v>
      </c>
      <c r="AS150">
        <v>0</v>
      </c>
      <c r="AT150">
        <v>0</v>
      </c>
      <c r="AU150">
        <v>0</v>
      </c>
      <c r="AV150">
        <v>0</v>
      </c>
      <c r="AW150">
        <v>0</v>
      </c>
      <c r="AX150">
        <v>0</v>
      </c>
      <c r="AY150">
        <v>0</v>
      </c>
      <c r="AZ150">
        <v>0</v>
      </c>
      <c r="BA150">
        <v>0</v>
      </c>
      <c r="BB150">
        <v>0</v>
      </c>
      <c r="BC150">
        <v>0</v>
      </c>
      <c r="BD150">
        <v>0</v>
      </c>
      <c r="BE150">
        <v>0</v>
      </c>
      <c r="BF150">
        <v>0</v>
      </c>
      <c r="BG150">
        <v>0</v>
      </c>
      <c r="BH150">
        <v>0</v>
      </c>
      <c r="BI150">
        <v>0</v>
      </c>
      <c r="BJ150">
        <v>0</v>
      </c>
      <c r="BK150">
        <v>0</v>
      </c>
      <c r="BL150">
        <v>0</v>
      </c>
      <c r="BM150">
        <v>0</v>
      </c>
      <c r="BN150">
        <v>0</v>
      </c>
      <c r="BO150">
        <v>0</v>
      </c>
      <c r="BP150">
        <v>0</v>
      </c>
      <c r="BQ150">
        <v>0</v>
      </c>
      <c r="BR150">
        <v>0</v>
      </c>
      <c r="BS150">
        <v>0</v>
      </c>
      <c r="BT150">
        <v>0</v>
      </c>
      <c r="BU150">
        <v>0</v>
      </c>
      <c r="BV150">
        <v>0</v>
      </c>
      <c r="BW150">
        <v>0</v>
      </c>
      <c r="BX150">
        <v>0</v>
      </c>
      <c r="BY150">
        <v>0</v>
      </c>
      <c r="BZ150">
        <v>0</v>
      </c>
      <c r="CA150">
        <v>0</v>
      </c>
      <c r="CB150">
        <v>0</v>
      </c>
      <c r="CC150">
        <v>0</v>
      </c>
      <c r="CD150">
        <v>0</v>
      </c>
      <c r="CE150">
        <v>0</v>
      </c>
      <c r="CF150">
        <v>0</v>
      </c>
      <c r="CG150">
        <v>0</v>
      </c>
      <c r="CH150">
        <v>0</v>
      </c>
      <c r="CI150">
        <v>0</v>
      </c>
      <c r="CJ150">
        <v>0</v>
      </c>
      <c r="CK150">
        <v>0</v>
      </c>
      <c r="CL150">
        <v>0</v>
      </c>
      <c r="CM150">
        <v>0</v>
      </c>
      <c r="CN150">
        <v>0</v>
      </c>
      <c r="CO150">
        <v>0</v>
      </c>
      <c r="CP150">
        <v>0</v>
      </c>
      <c r="CQ150">
        <v>0</v>
      </c>
      <c r="CR150">
        <v>0</v>
      </c>
      <c r="CS150">
        <v>0</v>
      </c>
      <c r="CT150">
        <v>0</v>
      </c>
      <c r="CU150">
        <v>0</v>
      </c>
      <c r="CV150">
        <v>0</v>
      </c>
      <c r="CW150">
        <v>0</v>
      </c>
      <c r="CX150">
        <v>0</v>
      </c>
      <c r="CY150">
        <v>0</v>
      </c>
      <c r="CZ150">
        <v>0</v>
      </c>
      <c r="DA150">
        <v>0</v>
      </c>
      <c r="DB150">
        <v>0</v>
      </c>
      <c r="DC150">
        <v>0</v>
      </c>
      <c r="DD150">
        <v>0</v>
      </c>
      <c r="DE150">
        <v>0</v>
      </c>
      <c r="DF150">
        <v>0</v>
      </c>
      <c r="DG150">
        <v>0</v>
      </c>
      <c r="DH150">
        <v>0</v>
      </c>
      <c r="DI150">
        <v>0</v>
      </c>
      <c r="DJ150">
        <v>0</v>
      </c>
      <c r="DK150">
        <v>0</v>
      </c>
      <c r="DL150">
        <v>0</v>
      </c>
      <c r="DM150">
        <v>0</v>
      </c>
      <c r="DN150">
        <v>11463</v>
      </c>
      <c r="DO150">
        <v>0</v>
      </c>
      <c r="DP150">
        <v>11463</v>
      </c>
      <c r="DQ150">
        <v>0</v>
      </c>
      <c r="DR150">
        <v>0</v>
      </c>
      <c r="DS150">
        <v>0</v>
      </c>
      <c r="DT150">
        <v>0</v>
      </c>
      <c r="DU150">
        <v>0</v>
      </c>
      <c r="DV150">
        <v>0</v>
      </c>
      <c r="DW150">
        <v>0</v>
      </c>
      <c r="DX150">
        <v>11463</v>
      </c>
      <c r="DY150">
        <v>0</v>
      </c>
      <c r="DZ150">
        <v>0</v>
      </c>
      <c r="EA150">
        <v>0</v>
      </c>
      <c r="EB150">
        <v>0</v>
      </c>
      <c r="EC150">
        <v>0</v>
      </c>
      <c r="ED150">
        <v>0</v>
      </c>
      <c r="EE150">
        <v>0</v>
      </c>
      <c r="EF150">
        <v>0</v>
      </c>
      <c r="EG150">
        <v>0</v>
      </c>
      <c r="EH150">
        <v>0</v>
      </c>
      <c r="EI150">
        <v>0</v>
      </c>
      <c r="EJ150">
        <v>0</v>
      </c>
      <c r="EK150">
        <v>0</v>
      </c>
      <c r="EL150">
        <v>0</v>
      </c>
      <c r="EM150">
        <v>0</v>
      </c>
      <c r="EN150">
        <v>0</v>
      </c>
      <c r="EO150">
        <v>0</v>
      </c>
      <c r="EP150">
        <v>0</v>
      </c>
      <c r="EQ150">
        <v>0</v>
      </c>
      <c r="ER150">
        <v>0</v>
      </c>
      <c r="ES150">
        <v>0</v>
      </c>
      <c r="ET150">
        <v>0</v>
      </c>
      <c r="EU150">
        <v>0</v>
      </c>
      <c r="EV150">
        <v>0</v>
      </c>
      <c r="EW150">
        <v>0</v>
      </c>
      <c r="EX150">
        <v>0</v>
      </c>
      <c r="EY150">
        <v>0</v>
      </c>
      <c r="EZ150">
        <v>0</v>
      </c>
      <c r="FA150">
        <v>0</v>
      </c>
      <c r="FB150">
        <v>0</v>
      </c>
      <c r="FC150">
        <v>0</v>
      </c>
      <c r="FD150">
        <v>0</v>
      </c>
      <c r="FE150">
        <v>0</v>
      </c>
      <c r="FF150">
        <v>0</v>
      </c>
      <c r="FG150">
        <v>0</v>
      </c>
      <c r="FH150">
        <v>0</v>
      </c>
      <c r="FI150">
        <v>0</v>
      </c>
      <c r="FJ150">
        <v>0</v>
      </c>
      <c r="FK150">
        <v>0</v>
      </c>
      <c r="FL150">
        <v>0</v>
      </c>
      <c r="FM150">
        <v>0</v>
      </c>
      <c r="FN150">
        <v>0</v>
      </c>
      <c r="FO150">
        <v>0</v>
      </c>
      <c r="FP150">
        <v>0</v>
      </c>
      <c r="FQ150">
        <v>0</v>
      </c>
      <c r="FR150">
        <v>0</v>
      </c>
      <c r="FS150">
        <v>0</v>
      </c>
      <c r="FT150">
        <v>0</v>
      </c>
      <c r="FU150">
        <v>0</v>
      </c>
      <c r="FV150">
        <v>0</v>
      </c>
      <c r="FW150">
        <v>0</v>
      </c>
      <c r="FX150">
        <v>0</v>
      </c>
      <c r="FY150">
        <v>0</v>
      </c>
      <c r="FZ150">
        <v>0</v>
      </c>
      <c r="GA150">
        <v>0</v>
      </c>
      <c r="GB150">
        <v>0</v>
      </c>
      <c r="GC150">
        <v>0</v>
      </c>
      <c r="GD150">
        <v>0</v>
      </c>
      <c r="GE150">
        <v>0</v>
      </c>
      <c r="GF150">
        <v>83119</v>
      </c>
      <c r="GG150">
        <v>0</v>
      </c>
      <c r="GH150">
        <v>0</v>
      </c>
      <c r="GI150">
        <v>0</v>
      </c>
      <c r="GJ150">
        <v>0</v>
      </c>
      <c r="GK150">
        <v>83119</v>
      </c>
      <c r="GL150">
        <v>0</v>
      </c>
      <c r="GM150">
        <v>0</v>
      </c>
      <c r="GN150">
        <v>0</v>
      </c>
      <c r="GO150">
        <v>0</v>
      </c>
      <c r="GP150">
        <v>0</v>
      </c>
      <c r="GQ150">
        <v>171611</v>
      </c>
      <c r="GR150">
        <v>0</v>
      </c>
      <c r="GS150">
        <v>0</v>
      </c>
      <c r="GT150">
        <v>0</v>
      </c>
      <c r="GU150">
        <v>171611</v>
      </c>
      <c r="GV150">
        <v>254730</v>
      </c>
      <c r="GW150">
        <v>0</v>
      </c>
      <c r="GX150">
        <v>0</v>
      </c>
      <c r="GY150">
        <v>109998</v>
      </c>
      <c r="GZ150">
        <v>0</v>
      </c>
      <c r="HA150">
        <v>109998</v>
      </c>
      <c r="HB150">
        <v>825</v>
      </c>
      <c r="HC150">
        <v>0</v>
      </c>
      <c r="HD150">
        <v>0</v>
      </c>
      <c r="HE150">
        <v>0</v>
      </c>
      <c r="HF150">
        <v>0</v>
      </c>
      <c r="HG150">
        <v>0</v>
      </c>
      <c r="HH150">
        <v>0</v>
      </c>
      <c r="HI150">
        <v>0</v>
      </c>
      <c r="HJ150">
        <v>0</v>
      </c>
      <c r="HK150">
        <v>0</v>
      </c>
      <c r="HL150">
        <v>0</v>
      </c>
      <c r="HM150">
        <v>0</v>
      </c>
      <c r="HN150">
        <v>0</v>
      </c>
      <c r="HO150">
        <v>0</v>
      </c>
      <c r="HP150">
        <v>0</v>
      </c>
      <c r="HQ150">
        <v>0</v>
      </c>
      <c r="HR150">
        <v>0</v>
      </c>
      <c r="HS150">
        <v>0</v>
      </c>
      <c r="HT150">
        <v>0</v>
      </c>
      <c r="HU150">
        <v>0</v>
      </c>
      <c r="HV150">
        <v>825</v>
      </c>
      <c r="HW150">
        <v>0</v>
      </c>
      <c r="HX150">
        <v>0</v>
      </c>
      <c r="HY150">
        <v>0</v>
      </c>
      <c r="HZ150">
        <v>0</v>
      </c>
      <c r="IA150">
        <v>0</v>
      </c>
      <c r="IB150">
        <v>0</v>
      </c>
      <c r="IC150">
        <v>0</v>
      </c>
      <c r="ID150">
        <v>279190</v>
      </c>
      <c r="IE150">
        <v>0</v>
      </c>
      <c r="IF150">
        <v>0</v>
      </c>
      <c r="IG150">
        <v>0</v>
      </c>
      <c r="IH150">
        <v>11463</v>
      </c>
      <c r="II150">
        <v>0</v>
      </c>
      <c r="IJ150">
        <v>83119</v>
      </c>
      <c r="IK150">
        <v>171611</v>
      </c>
      <c r="IL150">
        <v>0</v>
      </c>
      <c r="IM150">
        <v>109998</v>
      </c>
      <c r="IN150">
        <v>825</v>
      </c>
      <c r="IO150">
        <v>0</v>
      </c>
      <c r="IP150">
        <v>656207</v>
      </c>
      <c r="IQ150">
        <v>0</v>
      </c>
      <c r="IR150">
        <v>0</v>
      </c>
      <c r="IS150">
        <v>0</v>
      </c>
      <c r="IT150">
        <v>0</v>
      </c>
      <c r="IU150">
        <v>0</v>
      </c>
      <c r="IV150">
        <v>0</v>
      </c>
      <c r="IW150">
        <v>-105772</v>
      </c>
      <c r="IX150">
        <v>-162150</v>
      </c>
      <c r="IY150">
        <v>0</v>
      </c>
      <c r="IZ150">
        <v>-95622</v>
      </c>
      <c r="JA150">
        <v>0</v>
      </c>
      <c r="JB150">
        <v>0</v>
      </c>
      <c r="JC150">
        <v>0</v>
      </c>
      <c r="JD150">
        <v>0</v>
      </c>
      <c r="JE150">
        <v>0</v>
      </c>
      <c r="JF150">
        <v>0</v>
      </c>
      <c r="JG150">
        <v>292662</v>
      </c>
      <c r="JH150">
        <v>0</v>
      </c>
      <c r="JI150">
        <v>36208</v>
      </c>
      <c r="JJ150">
        <v>0</v>
      </c>
      <c r="JK150">
        <v>0</v>
      </c>
      <c r="JL150">
        <v>0</v>
      </c>
      <c r="JM150">
        <v>-1596</v>
      </c>
      <c r="JN150">
        <v>68598</v>
      </c>
      <c r="JO150">
        <v>62</v>
      </c>
      <c r="JP150">
        <v>49217</v>
      </c>
      <c r="JQ150">
        <v>0</v>
      </c>
      <c r="JR150">
        <v>445151</v>
      </c>
      <c r="JS150">
        <v>-11468</v>
      </c>
      <c r="JT150">
        <v>0</v>
      </c>
      <c r="JU150">
        <v>702</v>
      </c>
      <c r="JV150">
        <v>0</v>
      </c>
      <c r="JW150">
        <v>-126336</v>
      </c>
      <c r="JX150">
        <v>0</v>
      </c>
      <c r="JY150">
        <v>0</v>
      </c>
      <c r="JZ150">
        <v>0</v>
      </c>
      <c r="KA150">
        <v>0</v>
      </c>
      <c r="KB150">
        <v>0</v>
      </c>
      <c r="KC150">
        <v>308049</v>
      </c>
      <c r="KD150">
        <v>0</v>
      </c>
      <c r="KE150">
        <v>-245988</v>
      </c>
      <c r="KF150">
        <v>62061</v>
      </c>
      <c r="KG150">
        <v>0</v>
      </c>
      <c r="KH150">
        <v>0</v>
      </c>
      <c r="KI150">
        <v>0</v>
      </c>
      <c r="KJ150">
        <v>0</v>
      </c>
      <c r="KK150">
        <v>72415</v>
      </c>
      <c r="KL150">
        <v>739</v>
      </c>
      <c r="KM150">
        <v>0</v>
      </c>
      <c r="KN150">
        <v>0</v>
      </c>
      <c r="KO150">
        <v>-65220</v>
      </c>
      <c r="KP150">
        <v>4343</v>
      </c>
      <c r="KQ150">
        <v>0</v>
      </c>
      <c r="KR150">
        <v>68750</v>
      </c>
      <c r="KS150">
        <v>0</v>
      </c>
      <c r="KT150">
        <v>0</v>
      </c>
      <c r="KU150">
        <v>0</v>
      </c>
      <c r="KV150">
        <v>205562</v>
      </c>
      <c r="KW150">
        <v>40224</v>
      </c>
      <c r="KX150">
        <v>0</v>
      </c>
      <c r="KY150">
        <v>0</v>
      </c>
      <c r="KZ150">
        <v>0</v>
      </c>
      <c r="LA150">
        <v>277977</v>
      </c>
      <c r="LB150">
        <v>40962</v>
      </c>
      <c r="LC150">
        <v>0</v>
      </c>
      <c r="LD150">
        <v>14854</v>
      </c>
      <c r="LE150">
        <v>114</v>
      </c>
      <c r="LF150">
        <v>26452</v>
      </c>
      <c r="LG150">
        <v>2978</v>
      </c>
      <c r="LH150">
        <v>281302</v>
      </c>
      <c r="LI150">
        <v>325700</v>
      </c>
      <c r="LJ150">
        <v>0</v>
      </c>
      <c r="LK150">
        <v>0</v>
      </c>
      <c r="LL150">
        <v>0</v>
      </c>
      <c r="LM150">
        <v>0</v>
      </c>
      <c r="LN150">
        <v>0</v>
      </c>
      <c r="LO150">
        <v>0</v>
      </c>
      <c r="LP150">
        <v>0</v>
      </c>
      <c r="LQ150">
        <v>0</v>
      </c>
      <c r="LR150">
        <v>0</v>
      </c>
      <c r="LS150">
        <v>0</v>
      </c>
      <c r="LT150">
        <v>0</v>
      </c>
      <c r="LU150">
        <v>0</v>
      </c>
      <c r="LV150">
        <v>279190</v>
      </c>
      <c r="LW150">
        <v>0</v>
      </c>
      <c r="LX150">
        <v>0</v>
      </c>
      <c r="LY150">
        <v>0</v>
      </c>
      <c r="LZ150">
        <v>11463</v>
      </c>
      <c r="MA150">
        <v>0</v>
      </c>
      <c r="MB150">
        <v>83119</v>
      </c>
      <c r="MC150">
        <v>171611</v>
      </c>
      <c r="MD150">
        <v>0</v>
      </c>
      <c r="ME150">
        <v>109998</v>
      </c>
      <c r="MF150">
        <v>825</v>
      </c>
      <c r="MG150">
        <v>0</v>
      </c>
      <c r="MH150">
        <v>656207</v>
      </c>
      <c r="MI150">
        <v>0</v>
      </c>
      <c r="MJ150">
        <v>0</v>
      </c>
      <c r="MK150">
        <v>0</v>
      </c>
      <c r="ML150">
        <v>0</v>
      </c>
      <c r="MM150">
        <v>0</v>
      </c>
      <c r="MN150">
        <v>0</v>
      </c>
      <c r="MO150">
        <v>0</v>
      </c>
      <c r="MP150">
        <v>0</v>
      </c>
      <c r="MQ150">
        <v>0</v>
      </c>
      <c r="MR150">
        <v>0</v>
      </c>
      <c r="MS150">
        <v>0</v>
      </c>
      <c r="MT150">
        <v>0</v>
      </c>
      <c r="MU150">
        <v>0</v>
      </c>
      <c r="MV150">
        <v>0</v>
      </c>
      <c r="MW150">
        <v>0</v>
      </c>
      <c r="MX150">
        <v>0</v>
      </c>
      <c r="MY150">
        <v>0</v>
      </c>
      <c r="MZ150">
        <v>0</v>
      </c>
      <c r="NA150">
        <v>0</v>
      </c>
      <c r="NB150">
        <v>0</v>
      </c>
      <c r="NC150">
        <v>0</v>
      </c>
      <c r="ND150">
        <v>0</v>
      </c>
      <c r="NE150">
        <v>0</v>
      </c>
      <c r="NF150">
        <v>0</v>
      </c>
      <c r="NG150">
        <v>0</v>
      </c>
      <c r="NH150">
        <v>0</v>
      </c>
      <c r="NI150">
        <v>0</v>
      </c>
      <c r="NJ150">
        <v>0</v>
      </c>
      <c r="NK150">
        <v>0</v>
      </c>
      <c r="NL150">
        <v>0</v>
      </c>
      <c r="NM150">
        <v>0</v>
      </c>
      <c r="NN150">
        <v>0</v>
      </c>
      <c r="NO150">
        <v>0</v>
      </c>
      <c r="NP150">
        <v>0</v>
      </c>
      <c r="NQ150">
        <v>0</v>
      </c>
      <c r="NR150">
        <v>0</v>
      </c>
      <c r="NS150">
        <v>0</v>
      </c>
      <c r="NT150">
        <v>0</v>
      </c>
      <c r="NU150">
        <v>0</v>
      </c>
      <c r="NV150">
        <v>0</v>
      </c>
      <c r="NW150">
        <v>0</v>
      </c>
      <c r="NX150">
        <v>0</v>
      </c>
      <c r="NY150">
        <v>0</v>
      </c>
      <c r="NZ150">
        <v>0</v>
      </c>
      <c r="OA150">
        <v>0</v>
      </c>
      <c r="OB150">
        <v>0</v>
      </c>
      <c r="OC150">
        <v>0</v>
      </c>
      <c r="OD150">
        <v>0</v>
      </c>
      <c r="OE150">
        <v>0</v>
      </c>
      <c r="OF150">
        <v>0</v>
      </c>
      <c r="OG150">
        <v>0</v>
      </c>
      <c r="OH150">
        <v>0</v>
      </c>
      <c r="OI150">
        <v>0</v>
      </c>
      <c r="OJ150">
        <v>0</v>
      </c>
      <c r="OK150">
        <v>0</v>
      </c>
      <c r="OL150">
        <v>0</v>
      </c>
      <c r="OM150">
        <v>0</v>
      </c>
      <c r="ON150">
        <v>0</v>
      </c>
    </row>
    <row r="151" spans="1:404" x14ac:dyDescent="0.25">
      <c r="A151" t="s">
        <v>517</v>
      </c>
      <c r="B151" t="s">
        <v>518</v>
      </c>
      <c r="C151" t="s">
        <v>516</v>
      </c>
      <c r="E151" t="s">
        <v>71</v>
      </c>
      <c r="F151">
        <v>0</v>
      </c>
      <c r="G151">
        <v>0</v>
      </c>
      <c r="H151">
        <v>0</v>
      </c>
      <c r="I151">
        <v>0</v>
      </c>
      <c r="J151">
        <v>0</v>
      </c>
      <c r="K151">
        <v>0</v>
      </c>
      <c r="L151">
        <v>0</v>
      </c>
      <c r="M151">
        <v>0</v>
      </c>
      <c r="N151">
        <v>0</v>
      </c>
      <c r="O151">
        <v>0</v>
      </c>
      <c r="P151">
        <v>0</v>
      </c>
      <c r="Q151">
        <v>0</v>
      </c>
      <c r="R151">
        <v>0</v>
      </c>
      <c r="S151">
        <v>0</v>
      </c>
      <c r="T151">
        <v>0</v>
      </c>
      <c r="U151">
        <v>0</v>
      </c>
      <c r="V151">
        <v>0</v>
      </c>
      <c r="W151">
        <v>0</v>
      </c>
      <c r="X151">
        <v>0</v>
      </c>
      <c r="Y151">
        <v>0</v>
      </c>
      <c r="Z151">
        <v>0</v>
      </c>
      <c r="AA151">
        <v>0</v>
      </c>
      <c r="AB151">
        <v>0</v>
      </c>
      <c r="AC151">
        <v>0</v>
      </c>
      <c r="AD151">
        <v>0</v>
      </c>
      <c r="AE151">
        <v>0</v>
      </c>
      <c r="AF151">
        <v>0</v>
      </c>
      <c r="AG151">
        <v>0</v>
      </c>
      <c r="AH151">
        <v>0</v>
      </c>
      <c r="AI151">
        <v>0</v>
      </c>
      <c r="AJ151">
        <v>0</v>
      </c>
      <c r="AK151">
        <v>0</v>
      </c>
      <c r="AL151">
        <v>0</v>
      </c>
      <c r="AM151">
        <v>0</v>
      </c>
      <c r="AN151">
        <v>0</v>
      </c>
      <c r="AO151">
        <v>0</v>
      </c>
      <c r="AP151">
        <v>0</v>
      </c>
      <c r="AQ151">
        <v>0</v>
      </c>
      <c r="AR151">
        <v>0</v>
      </c>
      <c r="AS151">
        <v>0</v>
      </c>
      <c r="AT151">
        <v>0</v>
      </c>
      <c r="AU151">
        <v>0</v>
      </c>
      <c r="AV151">
        <v>0</v>
      </c>
      <c r="AW151">
        <v>0</v>
      </c>
      <c r="AX151">
        <v>0</v>
      </c>
      <c r="AY151">
        <v>0</v>
      </c>
      <c r="AZ151">
        <v>0</v>
      </c>
      <c r="BA151">
        <v>0</v>
      </c>
      <c r="BB151">
        <v>0</v>
      </c>
      <c r="BC151">
        <v>0</v>
      </c>
      <c r="BD151">
        <v>0</v>
      </c>
      <c r="BE151">
        <v>0</v>
      </c>
      <c r="BF151">
        <v>0</v>
      </c>
      <c r="BG151">
        <v>0</v>
      </c>
      <c r="BH151">
        <v>0</v>
      </c>
      <c r="BI151">
        <v>0</v>
      </c>
      <c r="BJ151">
        <v>0</v>
      </c>
      <c r="BK151">
        <v>0</v>
      </c>
      <c r="BL151">
        <v>0</v>
      </c>
      <c r="BM151">
        <v>0</v>
      </c>
      <c r="BN151">
        <v>0</v>
      </c>
      <c r="BO151">
        <v>0</v>
      </c>
      <c r="BP151">
        <v>0</v>
      </c>
      <c r="BQ151">
        <v>0</v>
      </c>
      <c r="BR151">
        <v>0</v>
      </c>
      <c r="BS151">
        <v>0</v>
      </c>
      <c r="BT151">
        <v>0</v>
      </c>
      <c r="BU151">
        <v>0</v>
      </c>
      <c r="BV151">
        <v>0</v>
      </c>
      <c r="BW151">
        <v>0</v>
      </c>
      <c r="BX151">
        <v>0</v>
      </c>
      <c r="BY151">
        <v>0</v>
      </c>
      <c r="BZ151">
        <v>0</v>
      </c>
      <c r="CA151">
        <v>0</v>
      </c>
      <c r="CB151">
        <v>0</v>
      </c>
      <c r="CC151">
        <v>0</v>
      </c>
      <c r="CD151">
        <v>0</v>
      </c>
      <c r="CE151">
        <v>0</v>
      </c>
      <c r="CF151">
        <v>0</v>
      </c>
      <c r="CG151">
        <v>0</v>
      </c>
      <c r="CH151">
        <v>0</v>
      </c>
      <c r="CI151">
        <v>0</v>
      </c>
      <c r="CJ151">
        <v>0</v>
      </c>
      <c r="CK151">
        <v>0</v>
      </c>
      <c r="CL151">
        <v>0</v>
      </c>
      <c r="CM151">
        <v>0</v>
      </c>
      <c r="CN151">
        <v>0</v>
      </c>
      <c r="CO151">
        <v>0</v>
      </c>
      <c r="CP151">
        <v>0</v>
      </c>
      <c r="CQ151">
        <v>0</v>
      </c>
      <c r="CR151">
        <v>0</v>
      </c>
      <c r="CS151">
        <v>0</v>
      </c>
      <c r="CT151">
        <v>0</v>
      </c>
      <c r="CU151">
        <v>0</v>
      </c>
      <c r="CV151">
        <v>0</v>
      </c>
      <c r="CW151">
        <v>0</v>
      </c>
      <c r="CX151">
        <v>0</v>
      </c>
      <c r="CY151">
        <v>0</v>
      </c>
      <c r="CZ151">
        <v>0</v>
      </c>
      <c r="DA151">
        <v>0</v>
      </c>
      <c r="DB151">
        <v>0</v>
      </c>
      <c r="DC151">
        <v>0</v>
      </c>
      <c r="DD151">
        <v>0</v>
      </c>
      <c r="DE151">
        <v>0</v>
      </c>
      <c r="DF151">
        <v>0</v>
      </c>
      <c r="DG151">
        <v>0</v>
      </c>
      <c r="DH151">
        <v>0</v>
      </c>
      <c r="DI151">
        <v>0</v>
      </c>
      <c r="DJ151">
        <v>0</v>
      </c>
      <c r="DK151">
        <v>0</v>
      </c>
      <c r="DL151">
        <v>0</v>
      </c>
      <c r="DM151">
        <v>0</v>
      </c>
      <c r="DN151">
        <v>0</v>
      </c>
      <c r="DO151">
        <v>0</v>
      </c>
      <c r="DP151">
        <v>0</v>
      </c>
      <c r="DQ151">
        <v>0</v>
      </c>
      <c r="DR151">
        <v>0</v>
      </c>
      <c r="DS151">
        <v>0</v>
      </c>
      <c r="DT151">
        <v>0</v>
      </c>
      <c r="DU151">
        <v>0</v>
      </c>
      <c r="DV151">
        <v>0</v>
      </c>
      <c r="DW151">
        <v>0</v>
      </c>
      <c r="DX151">
        <v>0</v>
      </c>
      <c r="DY151">
        <v>0</v>
      </c>
      <c r="DZ151">
        <v>0</v>
      </c>
      <c r="EA151">
        <v>0</v>
      </c>
      <c r="EB151">
        <v>0</v>
      </c>
      <c r="EC151">
        <v>0</v>
      </c>
      <c r="ED151">
        <v>0</v>
      </c>
      <c r="EE151">
        <v>0</v>
      </c>
      <c r="EF151">
        <v>0</v>
      </c>
      <c r="EG151">
        <v>0</v>
      </c>
      <c r="EH151">
        <v>0</v>
      </c>
      <c r="EI151">
        <v>0</v>
      </c>
      <c r="EJ151">
        <v>0</v>
      </c>
      <c r="EK151">
        <v>0</v>
      </c>
      <c r="EL151">
        <v>0</v>
      </c>
      <c r="EM151">
        <v>0</v>
      </c>
      <c r="EN151">
        <v>0</v>
      </c>
      <c r="EO151">
        <v>0</v>
      </c>
      <c r="EP151">
        <v>0</v>
      </c>
      <c r="EQ151">
        <v>0</v>
      </c>
      <c r="ER151">
        <v>0</v>
      </c>
      <c r="ES151">
        <v>0</v>
      </c>
      <c r="ET151">
        <v>0</v>
      </c>
      <c r="EU151">
        <v>0</v>
      </c>
      <c r="EV151">
        <v>0</v>
      </c>
      <c r="EW151">
        <v>0</v>
      </c>
      <c r="EX151">
        <v>0</v>
      </c>
      <c r="EY151">
        <v>0</v>
      </c>
      <c r="EZ151">
        <v>0</v>
      </c>
      <c r="FA151">
        <v>0</v>
      </c>
      <c r="FB151">
        <v>0</v>
      </c>
      <c r="FC151">
        <v>0</v>
      </c>
      <c r="FD151">
        <v>0</v>
      </c>
      <c r="FE151">
        <v>0</v>
      </c>
      <c r="FF151">
        <v>0</v>
      </c>
      <c r="FG151">
        <v>0</v>
      </c>
      <c r="FH151">
        <v>0</v>
      </c>
      <c r="FI151">
        <v>0</v>
      </c>
      <c r="FJ151">
        <v>0</v>
      </c>
      <c r="FK151">
        <v>0</v>
      </c>
      <c r="FL151">
        <v>0</v>
      </c>
      <c r="FM151">
        <v>0</v>
      </c>
      <c r="FN151">
        <v>0</v>
      </c>
      <c r="FO151">
        <v>0</v>
      </c>
      <c r="FP151">
        <v>0</v>
      </c>
      <c r="FQ151">
        <v>0</v>
      </c>
      <c r="FR151">
        <v>0</v>
      </c>
      <c r="FS151">
        <v>0</v>
      </c>
      <c r="FT151">
        <v>0</v>
      </c>
      <c r="FU151">
        <v>0</v>
      </c>
      <c r="FV151">
        <v>0</v>
      </c>
      <c r="FW151">
        <v>0</v>
      </c>
      <c r="FX151">
        <v>0</v>
      </c>
      <c r="FY151">
        <v>0</v>
      </c>
      <c r="FZ151">
        <v>0</v>
      </c>
      <c r="GA151">
        <v>0</v>
      </c>
      <c r="GB151">
        <v>0</v>
      </c>
      <c r="GC151">
        <v>0</v>
      </c>
      <c r="GD151">
        <v>0</v>
      </c>
      <c r="GE151">
        <v>0</v>
      </c>
      <c r="GF151">
        <v>0</v>
      </c>
      <c r="GG151">
        <v>0</v>
      </c>
      <c r="GH151">
        <v>0</v>
      </c>
      <c r="GI151">
        <v>0</v>
      </c>
      <c r="GJ151">
        <v>0</v>
      </c>
      <c r="GK151">
        <v>0</v>
      </c>
      <c r="GL151">
        <v>0</v>
      </c>
      <c r="GM151">
        <v>0</v>
      </c>
      <c r="GN151">
        <v>0</v>
      </c>
      <c r="GO151">
        <v>0</v>
      </c>
      <c r="GP151">
        <v>0</v>
      </c>
      <c r="GQ151">
        <v>0</v>
      </c>
      <c r="GR151">
        <v>0</v>
      </c>
      <c r="GS151">
        <v>0</v>
      </c>
      <c r="GT151">
        <v>0</v>
      </c>
      <c r="GU151">
        <v>0</v>
      </c>
      <c r="GV151">
        <v>0</v>
      </c>
      <c r="GW151">
        <v>725657</v>
      </c>
      <c r="GX151">
        <v>0</v>
      </c>
      <c r="GY151">
        <v>0</v>
      </c>
      <c r="GZ151">
        <v>0</v>
      </c>
      <c r="HA151">
        <v>0</v>
      </c>
      <c r="HB151">
        <v>21</v>
      </c>
      <c r="HC151">
        <v>0</v>
      </c>
      <c r="HD151">
        <v>0</v>
      </c>
      <c r="HE151">
        <v>0</v>
      </c>
      <c r="HF151">
        <v>0</v>
      </c>
      <c r="HG151">
        <v>0</v>
      </c>
      <c r="HH151">
        <v>0</v>
      </c>
      <c r="HI151">
        <v>0</v>
      </c>
      <c r="HJ151">
        <v>0</v>
      </c>
      <c r="HK151">
        <v>0</v>
      </c>
      <c r="HL151">
        <v>0</v>
      </c>
      <c r="HM151">
        <v>0</v>
      </c>
      <c r="HN151">
        <v>0</v>
      </c>
      <c r="HO151">
        <v>0</v>
      </c>
      <c r="HP151">
        <v>0</v>
      </c>
      <c r="HQ151">
        <v>0</v>
      </c>
      <c r="HR151">
        <v>0</v>
      </c>
      <c r="HS151">
        <v>0</v>
      </c>
      <c r="HT151">
        <v>0</v>
      </c>
      <c r="HU151">
        <v>0</v>
      </c>
      <c r="HV151">
        <v>21</v>
      </c>
      <c r="HW151">
        <v>0</v>
      </c>
      <c r="HX151">
        <v>0</v>
      </c>
      <c r="HY151">
        <v>0</v>
      </c>
      <c r="HZ151">
        <v>0</v>
      </c>
      <c r="IA151">
        <v>0</v>
      </c>
      <c r="IB151">
        <v>0</v>
      </c>
      <c r="IC151">
        <v>0</v>
      </c>
      <c r="ID151">
        <v>0</v>
      </c>
      <c r="IE151">
        <v>0</v>
      </c>
      <c r="IF151">
        <v>0</v>
      </c>
      <c r="IG151">
        <v>0</v>
      </c>
      <c r="IH151">
        <v>0</v>
      </c>
      <c r="II151">
        <v>0</v>
      </c>
      <c r="IJ151">
        <v>0</v>
      </c>
      <c r="IK151">
        <v>0</v>
      </c>
      <c r="IL151">
        <v>725657</v>
      </c>
      <c r="IM151">
        <v>0</v>
      </c>
      <c r="IN151">
        <v>21</v>
      </c>
      <c r="IO151">
        <v>0</v>
      </c>
      <c r="IP151">
        <v>725678</v>
      </c>
      <c r="IQ151">
        <v>0</v>
      </c>
      <c r="IR151">
        <v>0</v>
      </c>
      <c r="IS151">
        <v>0</v>
      </c>
      <c r="IT151">
        <v>0</v>
      </c>
      <c r="IU151">
        <v>0</v>
      </c>
      <c r="IV151">
        <v>0</v>
      </c>
      <c r="IW151">
        <v>0</v>
      </c>
      <c r="IX151">
        <v>0</v>
      </c>
      <c r="IY151">
        <v>0</v>
      </c>
      <c r="IZ151">
        <v>0</v>
      </c>
      <c r="JA151">
        <v>0</v>
      </c>
      <c r="JB151">
        <v>0</v>
      </c>
      <c r="JC151">
        <v>0</v>
      </c>
      <c r="JD151">
        <v>0</v>
      </c>
      <c r="JE151">
        <v>0</v>
      </c>
      <c r="JF151">
        <v>0</v>
      </c>
      <c r="JG151">
        <v>725678</v>
      </c>
      <c r="JH151">
        <v>0</v>
      </c>
      <c r="JI151">
        <v>277</v>
      </c>
      <c r="JJ151">
        <v>0</v>
      </c>
      <c r="JK151">
        <v>0</v>
      </c>
      <c r="JL151">
        <v>0</v>
      </c>
      <c r="JM151">
        <v>1</v>
      </c>
      <c r="JN151">
        <v>12918</v>
      </c>
      <c r="JO151">
        <v>2336</v>
      </c>
      <c r="JP151">
        <v>0</v>
      </c>
      <c r="JQ151">
        <v>0</v>
      </c>
      <c r="JR151">
        <v>741210</v>
      </c>
      <c r="JS151">
        <v>0</v>
      </c>
      <c r="JT151">
        <v>0</v>
      </c>
      <c r="JU151">
        <v>0</v>
      </c>
      <c r="JV151">
        <v>0</v>
      </c>
      <c r="JW151">
        <v>-785</v>
      </c>
      <c r="JX151">
        <v>0</v>
      </c>
      <c r="JY151">
        <v>0</v>
      </c>
      <c r="JZ151">
        <v>0</v>
      </c>
      <c r="KA151">
        <v>0</v>
      </c>
      <c r="KB151">
        <v>0</v>
      </c>
      <c r="KC151">
        <v>740425</v>
      </c>
      <c r="KD151">
        <v>0</v>
      </c>
      <c r="KE151">
        <v>-87307</v>
      </c>
      <c r="KF151">
        <v>653118</v>
      </c>
      <c r="KG151">
        <v>0</v>
      </c>
      <c r="KH151">
        <v>0</v>
      </c>
      <c r="KI151">
        <v>0</v>
      </c>
      <c r="KJ151">
        <v>0</v>
      </c>
      <c r="KK151">
        <v>4425</v>
      </c>
      <c r="KL151">
        <v>0</v>
      </c>
      <c r="KM151">
        <v>0</v>
      </c>
      <c r="KN151">
        <v>-495039</v>
      </c>
      <c r="KO151">
        <v>0</v>
      </c>
      <c r="KP151">
        <v>2511</v>
      </c>
      <c r="KQ151">
        <v>0</v>
      </c>
      <c r="KR151">
        <v>165014</v>
      </c>
      <c r="KS151">
        <v>0</v>
      </c>
      <c r="KT151">
        <v>0</v>
      </c>
      <c r="KU151">
        <v>0</v>
      </c>
      <c r="KV151">
        <v>39068</v>
      </c>
      <c r="KW151">
        <v>15375</v>
      </c>
      <c r="KX151">
        <v>0</v>
      </c>
      <c r="KY151">
        <v>0</v>
      </c>
      <c r="KZ151">
        <v>0</v>
      </c>
      <c r="LA151">
        <v>43493</v>
      </c>
      <c r="LB151">
        <v>15375</v>
      </c>
      <c r="LC151">
        <v>0</v>
      </c>
      <c r="LD151">
        <v>26361</v>
      </c>
      <c r="LE151">
        <v>0</v>
      </c>
      <c r="LF151">
        <v>-6445</v>
      </c>
      <c r="LG151">
        <v>-951</v>
      </c>
      <c r="LH151">
        <v>0</v>
      </c>
      <c r="LI151">
        <v>18965</v>
      </c>
      <c r="LJ151">
        <v>0</v>
      </c>
      <c r="LK151">
        <v>0</v>
      </c>
      <c r="LL151">
        <v>0</v>
      </c>
      <c r="LM151">
        <v>0</v>
      </c>
      <c r="LN151">
        <v>0</v>
      </c>
      <c r="LO151">
        <v>0</v>
      </c>
      <c r="LP151">
        <v>0</v>
      </c>
      <c r="LQ151">
        <v>0</v>
      </c>
      <c r="LR151">
        <v>0</v>
      </c>
      <c r="LS151">
        <v>0</v>
      </c>
      <c r="LT151">
        <v>0</v>
      </c>
      <c r="LU151">
        <v>0</v>
      </c>
      <c r="LV151">
        <v>0</v>
      </c>
      <c r="LW151">
        <v>0</v>
      </c>
      <c r="LX151">
        <v>0</v>
      </c>
      <c r="LY151">
        <v>0</v>
      </c>
      <c r="LZ151">
        <v>0</v>
      </c>
      <c r="MA151">
        <v>0</v>
      </c>
      <c r="MB151">
        <v>0</v>
      </c>
      <c r="MC151">
        <v>0</v>
      </c>
      <c r="MD151">
        <v>725657</v>
      </c>
      <c r="ME151">
        <v>0</v>
      </c>
      <c r="MF151">
        <v>21</v>
      </c>
      <c r="MG151">
        <v>0</v>
      </c>
      <c r="MH151">
        <v>725678</v>
      </c>
      <c r="MI151">
        <v>0</v>
      </c>
      <c r="MJ151">
        <v>0</v>
      </c>
      <c r="MK151">
        <v>0</v>
      </c>
      <c r="ML151">
        <v>0</v>
      </c>
      <c r="MM151">
        <v>0</v>
      </c>
      <c r="MN151">
        <v>0</v>
      </c>
      <c r="MO151">
        <v>0</v>
      </c>
      <c r="MP151">
        <v>0</v>
      </c>
      <c r="MQ151">
        <v>0</v>
      </c>
      <c r="MR151">
        <v>0</v>
      </c>
      <c r="MS151">
        <v>0</v>
      </c>
      <c r="MT151">
        <v>0</v>
      </c>
      <c r="MU151">
        <v>0</v>
      </c>
      <c r="MV151">
        <v>0</v>
      </c>
      <c r="MW151">
        <v>0</v>
      </c>
      <c r="MX151">
        <v>0</v>
      </c>
      <c r="MY151">
        <v>0</v>
      </c>
      <c r="MZ151">
        <v>0</v>
      </c>
      <c r="NA151">
        <v>0</v>
      </c>
      <c r="NB151">
        <v>0</v>
      </c>
      <c r="NC151">
        <v>0</v>
      </c>
      <c r="ND151">
        <v>0</v>
      </c>
      <c r="NE151">
        <v>0</v>
      </c>
      <c r="NF151">
        <v>0</v>
      </c>
      <c r="NG151">
        <v>0</v>
      </c>
      <c r="NH151">
        <v>0</v>
      </c>
      <c r="NI151">
        <v>0</v>
      </c>
      <c r="NJ151">
        <v>0</v>
      </c>
      <c r="NK151">
        <v>0</v>
      </c>
      <c r="NL151">
        <v>0</v>
      </c>
      <c r="NM151">
        <v>0</v>
      </c>
      <c r="NN151">
        <v>0</v>
      </c>
      <c r="NO151">
        <v>0</v>
      </c>
      <c r="NP151">
        <v>0</v>
      </c>
      <c r="NQ151">
        <v>0</v>
      </c>
      <c r="NR151">
        <v>0</v>
      </c>
      <c r="NS151">
        <v>0</v>
      </c>
      <c r="NT151">
        <v>0</v>
      </c>
      <c r="NU151">
        <v>0</v>
      </c>
      <c r="NV151">
        <v>0</v>
      </c>
      <c r="NW151">
        <v>0</v>
      </c>
      <c r="NX151">
        <v>0</v>
      </c>
      <c r="NY151">
        <v>0</v>
      </c>
      <c r="NZ151">
        <v>0</v>
      </c>
      <c r="OA151">
        <v>0</v>
      </c>
      <c r="OB151">
        <v>0</v>
      </c>
      <c r="OC151">
        <v>0</v>
      </c>
      <c r="OD151">
        <v>0</v>
      </c>
      <c r="OE151">
        <v>0</v>
      </c>
      <c r="OF151">
        <v>0</v>
      </c>
      <c r="OG151">
        <v>0</v>
      </c>
      <c r="OH151">
        <v>0</v>
      </c>
      <c r="OI151">
        <v>0</v>
      </c>
      <c r="OJ151">
        <v>0</v>
      </c>
      <c r="OK151">
        <v>0</v>
      </c>
      <c r="OL151">
        <v>0</v>
      </c>
      <c r="OM151">
        <v>0</v>
      </c>
      <c r="ON151">
        <v>0</v>
      </c>
    </row>
    <row r="152" spans="1:404" x14ac:dyDescent="0.25">
      <c r="A152" t="s">
        <v>520</v>
      </c>
      <c r="B152" t="s">
        <v>521</v>
      </c>
      <c r="C152" t="s">
        <v>519</v>
      </c>
      <c r="E152" t="s">
        <v>1940</v>
      </c>
      <c r="F152">
        <v>18930</v>
      </c>
      <c r="G152">
        <v>135877</v>
      </c>
      <c r="H152">
        <v>64306</v>
      </c>
      <c r="I152">
        <v>33777</v>
      </c>
      <c r="J152">
        <v>7904</v>
      </c>
      <c r="K152">
        <v>11782</v>
      </c>
      <c r="L152">
        <v>272576</v>
      </c>
      <c r="M152">
        <v>2711</v>
      </c>
      <c r="N152">
        <v>185</v>
      </c>
      <c r="O152">
        <v>3179</v>
      </c>
      <c r="P152">
        <v>0</v>
      </c>
      <c r="Q152">
        <v>431</v>
      </c>
      <c r="R152">
        <v>979</v>
      </c>
      <c r="S152">
        <v>-13</v>
      </c>
      <c r="T152">
        <v>246</v>
      </c>
      <c r="U152">
        <v>2857</v>
      </c>
      <c r="V152">
        <v>0</v>
      </c>
      <c r="W152">
        <v>0</v>
      </c>
      <c r="X152">
        <v>320</v>
      </c>
      <c r="Y152">
        <v>140</v>
      </c>
      <c r="Z152">
        <v>-7823</v>
      </c>
      <c r="AA152">
        <v>480</v>
      </c>
      <c r="AB152">
        <v>8320</v>
      </c>
      <c r="AC152">
        <v>0</v>
      </c>
      <c r="AD152">
        <v>0</v>
      </c>
      <c r="AE152">
        <v>0</v>
      </c>
      <c r="AF152">
        <v>0</v>
      </c>
      <c r="AG152">
        <v>0</v>
      </c>
      <c r="AH152">
        <v>0</v>
      </c>
      <c r="AI152">
        <v>12012</v>
      </c>
      <c r="AJ152">
        <v>0</v>
      </c>
      <c r="AK152">
        <v>0</v>
      </c>
      <c r="AL152">
        <v>0</v>
      </c>
      <c r="AM152">
        <v>0</v>
      </c>
      <c r="AN152">
        <v>0</v>
      </c>
      <c r="AO152">
        <v>0</v>
      </c>
      <c r="AP152">
        <v>0</v>
      </c>
      <c r="AQ152">
        <v>4792</v>
      </c>
      <c r="AR152">
        <v>1742</v>
      </c>
      <c r="AS152">
        <v>0</v>
      </c>
      <c r="AT152">
        <v>0</v>
      </c>
      <c r="AU152">
        <v>0</v>
      </c>
      <c r="AV152">
        <v>4414</v>
      </c>
      <c r="AW152">
        <v>29202</v>
      </c>
      <c r="AX152">
        <v>4315</v>
      </c>
      <c r="AY152">
        <v>7042</v>
      </c>
      <c r="AZ152">
        <v>1388</v>
      </c>
      <c r="BA152">
        <v>20538</v>
      </c>
      <c r="BB152">
        <v>3239</v>
      </c>
      <c r="BC152">
        <v>2597</v>
      </c>
      <c r="BD152">
        <v>72735</v>
      </c>
      <c r="BE152">
        <v>6747</v>
      </c>
      <c r="BF152">
        <v>11787</v>
      </c>
      <c r="BG152">
        <v>651</v>
      </c>
      <c r="BH152">
        <v>398</v>
      </c>
      <c r="BI152">
        <v>386</v>
      </c>
      <c r="BJ152">
        <v>10969</v>
      </c>
      <c r="BK152">
        <v>26744</v>
      </c>
      <c r="BL152">
        <v>2136</v>
      </c>
      <c r="BM152">
        <v>8637</v>
      </c>
      <c r="BN152">
        <v>1377</v>
      </c>
      <c r="BO152">
        <v>415</v>
      </c>
      <c r="BP152">
        <v>1739</v>
      </c>
      <c r="BQ152">
        <v>0</v>
      </c>
      <c r="BR152">
        <v>66</v>
      </c>
      <c r="BS152">
        <v>-107</v>
      </c>
      <c r="BT152">
        <v>230</v>
      </c>
      <c r="BU152">
        <v>1707</v>
      </c>
      <c r="BV152">
        <v>4888</v>
      </c>
      <c r="BW152">
        <v>87055</v>
      </c>
      <c r="BX152">
        <v>1742</v>
      </c>
      <c r="BY152">
        <v>1629</v>
      </c>
      <c r="BZ152">
        <v>1208</v>
      </c>
      <c r="CA152">
        <v>274</v>
      </c>
      <c r="CB152">
        <v>129</v>
      </c>
      <c r="CC152">
        <v>659</v>
      </c>
      <c r="CD152">
        <v>346</v>
      </c>
      <c r="CE152">
        <v>225</v>
      </c>
      <c r="CF152">
        <v>433</v>
      </c>
      <c r="CG152">
        <v>268</v>
      </c>
      <c r="CH152">
        <v>-43</v>
      </c>
      <c r="CI152">
        <v>2904</v>
      </c>
      <c r="CJ152">
        <v>0</v>
      </c>
      <c r="CK152">
        <v>0</v>
      </c>
      <c r="CL152">
        <v>185</v>
      </c>
      <c r="CM152">
        <v>406</v>
      </c>
      <c r="CN152">
        <v>328</v>
      </c>
      <c r="CO152">
        <v>16</v>
      </c>
      <c r="CP152">
        <v>1236</v>
      </c>
      <c r="CQ152">
        <v>5683</v>
      </c>
      <c r="CR152">
        <v>412</v>
      </c>
      <c r="CS152">
        <v>0</v>
      </c>
      <c r="CT152">
        <v>1468</v>
      </c>
      <c r="CU152">
        <v>5116</v>
      </c>
      <c r="CV152">
        <v>29772</v>
      </c>
      <c r="CW152">
        <v>0</v>
      </c>
      <c r="CX152">
        <v>0</v>
      </c>
      <c r="CY152">
        <v>0</v>
      </c>
      <c r="CZ152">
        <v>0</v>
      </c>
      <c r="DA152">
        <v>0</v>
      </c>
      <c r="DB152">
        <v>0</v>
      </c>
      <c r="DC152">
        <v>687</v>
      </c>
      <c r="DD152">
        <v>0</v>
      </c>
      <c r="DE152">
        <v>0</v>
      </c>
      <c r="DF152">
        <v>78</v>
      </c>
      <c r="DG152">
        <v>6620</v>
      </c>
      <c r="DH152">
        <v>627</v>
      </c>
      <c r="DI152">
        <v>0</v>
      </c>
      <c r="DJ152">
        <v>0</v>
      </c>
      <c r="DK152">
        <v>-3771</v>
      </c>
      <c r="DL152">
        <v>0</v>
      </c>
      <c r="DM152">
        <v>1189</v>
      </c>
      <c r="DN152">
        <v>2760</v>
      </c>
      <c r="DO152">
        <v>491</v>
      </c>
      <c r="DP152">
        <v>7916</v>
      </c>
      <c r="DQ152">
        <v>0</v>
      </c>
      <c r="DR152">
        <v>0</v>
      </c>
      <c r="DS152">
        <v>0</v>
      </c>
      <c r="DT152">
        <v>5233</v>
      </c>
      <c r="DU152">
        <v>-120</v>
      </c>
      <c r="DV152">
        <v>4159</v>
      </c>
      <c r="DW152">
        <v>147</v>
      </c>
      <c r="DX152">
        <v>18100</v>
      </c>
      <c r="DY152">
        <v>96821</v>
      </c>
      <c r="DZ152">
        <v>2990</v>
      </c>
      <c r="EA152">
        <v>20237</v>
      </c>
      <c r="EB152">
        <v>31045</v>
      </c>
      <c r="EC152">
        <v>88</v>
      </c>
      <c r="ED152">
        <v>10</v>
      </c>
      <c r="EE152">
        <v>0</v>
      </c>
      <c r="EF152">
        <v>0</v>
      </c>
      <c r="EG152">
        <v>0</v>
      </c>
      <c r="EH152">
        <v>20353</v>
      </c>
      <c r="EI152">
        <v>65517</v>
      </c>
      <c r="EJ152">
        <v>16542</v>
      </c>
      <c r="EK152">
        <v>1982</v>
      </c>
      <c r="EL152">
        <v>14601</v>
      </c>
      <c r="EM152">
        <v>0</v>
      </c>
      <c r="EN152">
        <v>6017</v>
      </c>
      <c r="EO152">
        <v>114</v>
      </c>
      <c r="EP152">
        <v>0</v>
      </c>
      <c r="EQ152">
        <v>24868</v>
      </c>
      <c r="ER152">
        <v>67</v>
      </c>
      <c r="ES152">
        <v>15541</v>
      </c>
      <c r="ET152">
        <v>16671</v>
      </c>
      <c r="EU152">
        <v>0</v>
      </c>
      <c r="EV152">
        <v>324</v>
      </c>
      <c r="EW152">
        <v>2389</v>
      </c>
      <c r="EX152">
        <v>0</v>
      </c>
      <c r="EY152">
        <v>714</v>
      </c>
      <c r="EZ152">
        <v>11</v>
      </c>
      <c r="FA152">
        <v>0</v>
      </c>
      <c r="FB152">
        <v>0</v>
      </c>
      <c r="FC152">
        <v>-483</v>
      </c>
      <c r="FD152">
        <v>4614</v>
      </c>
      <c r="FE152">
        <v>33</v>
      </c>
      <c r="FF152">
        <v>253</v>
      </c>
      <c r="FG152">
        <v>5894</v>
      </c>
      <c r="FH152">
        <v>13749</v>
      </c>
      <c r="FI152">
        <v>1199</v>
      </c>
      <c r="FJ152">
        <v>310</v>
      </c>
      <c r="FK152">
        <v>0</v>
      </c>
      <c r="FL152">
        <v>731</v>
      </c>
      <c r="FM152">
        <v>754</v>
      </c>
      <c r="FN152">
        <v>972</v>
      </c>
      <c r="FO152">
        <v>98</v>
      </c>
      <c r="FP152">
        <v>0</v>
      </c>
      <c r="FQ152">
        <v>0</v>
      </c>
      <c r="FR152">
        <v>0</v>
      </c>
      <c r="FS152">
        <v>174</v>
      </c>
      <c r="FT152">
        <v>0</v>
      </c>
      <c r="FU152">
        <v>299</v>
      </c>
      <c r="FV152">
        <v>1565</v>
      </c>
      <c r="FW152">
        <v>920</v>
      </c>
      <c r="FX152">
        <v>528</v>
      </c>
      <c r="FY152">
        <v>19</v>
      </c>
      <c r="FZ152">
        <v>0</v>
      </c>
      <c r="GA152">
        <v>0</v>
      </c>
      <c r="GB152">
        <v>0</v>
      </c>
      <c r="GC152">
        <v>0</v>
      </c>
      <c r="GD152">
        <v>8047</v>
      </c>
      <c r="GE152">
        <v>4029</v>
      </c>
      <c r="GF152">
        <v>4330</v>
      </c>
      <c r="GG152">
        <v>1520</v>
      </c>
      <c r="GH152">
        <v>9915</v>
      </c>
      <c r="GI152">
        <v>0</v>
      </c>
      <c r="GJ152">
        <v>0</v>
      </c>
      <c r="GK152">
        <v>35410</v>
      </c>
      <c r="GL152">
        <v>286</v>
      </c>
      <c r="GM152">
        <v>1543</v>
      </c>
      <c r="GN152">
        <v>321</v>
      </c>
      <c r="GO152">
        <v>-1113</v>
      </c>
      <c r="GP152">
        <v>370</v>
      </c>
      <c r="GQ152">
        <v>335</v>
      </c>
      <c r="GR152">
        <v>0</v>
      </c>
      <c r="GS152">
        <v>4611</v>
      </c>
      <c r="GT152">
        <v>942</v>
      </c>
      <c r="GU152">
        <v>7295</v>
      </c>
      <c r="GV152">
        <v>56454</v>
      </c>
      <c r="GW152">
        <v>0</v>
      </c>
      <c r="GX152">
        <v>0</v>
      </c>
      <c r="GY152">
        <v>0</v>
      </c>
      <c r="GZ152">
        <v>0</v>
      </c>
      <c r="HA152">
        <v>0</v>
      </c>
      <c r="HB152">
        <v>3743</v>
      </c>
      <c r="HC152">
        <v>3342</v>
      </c>
      <c r="HD152">
        <v>0</v>
      </c>
      <c r="HE152">
        <v>0</v>
      </c>
      <c r="HF152">
        <v>0</v>
      </c>
      <c r="HG152">
        <v>227</v>
      </c>
      <c r="HH152">
        <v>0</v>
      </c>
      <c r="HI152">
        <v>-299</v>
      </c>
      <c r="HJ152">
        <v>560</v>
      </c>
      <c r="HK152">
        <v>125</v>
      </c>
      <c r="HL152">
        <v>207</v>
      </c>
      <c r="HM152">
        <v>-280</v>
      </c>
      <c r="HN152">
        <v>2226</v>
      </c>
      <c r="HO152">
        <v>0</v>
      </c>
      <c r="HP152">
        <v>0</v>
      </c>
      <c r="HQ152">
        <v>0</v>
      </c>
      <c r="HR152">
        <v>3157</v>
      </c>
      <c r="HS152">
        <v>0</v>
      </c>
      <c r="HT152">
        <v>0</v>
      </c>
      <c r="HU152">
        <v>-1763</v>
      </c>
      <c r="HV152">
        <v>11245</v>
      </c>
      <c r="HW152">
        <v>8325</v>
      </c>
      <c r="HX152">
        <v>12713</v>
      </c>
      <c r="HY152">
        <v>0</v>
      </c>
      <c r="HZ152">
        <v>10563</v>
      </c>
      <c r="IA152">
        <v>955</v>
      </c>
      <c r="IB152">
        <v>2913</v>
      </c>
      <c r="IC152">
        <v>272576</v>
      </c>
      <c r="ID152">
        <v>12012</v>
      </c>
      <c r="IE152">
        <v>72735</v>
      </c>
      <c r="IF152">
        <v>87055</v>
      </c>
      <c r="IG152">
        <v>29772</v>
      </c>
      <c r="IH152">
        <v>18100</v>
      </c>
      <c r="II152">
        <v>13749</v>
      </c>
      <c r="IJ152">
        <v>35410</v>
      </c>
      <c r="IK152">
        <v>7295</v>
      </c>
      <c r="IL152">
        <v>0</v>
      </c>
      <c r="IM152">
        <v>0</v>
      </c>
      <c r="IN152">
        <v>11245</v>
      </c>
      <c r="IO152">
        <v>2913</v>
      </c>
      <c r="IP152">
        <v>562862</v>
      </c>
      <c r="IQ152">
        <v>68175</v>
      </c>
      <c r="IR152">
        <v>11936</v>
      </c>
      <c r="IS152">
        <v>39403</v>
      </c>
      <c r="IT152">
        <v>0</v>
      </c>
      <c r="IU152">
        <v>0</v>
      </c>
      <c r="IV152">
        <v>0</v>
      </c>
      <c r="IW152">
        <v>0</v>
      </c>
      <c r="IX152">
        <v>0</v>
      </c>
      <c r="IY152">
        <v>1197</v>
      </c>
      <c r="IZ152">
        <v>213</v>
      </c>
      <c r="JA152">
        <v>-2863</v>
      </c>
      <c r="JB152">
        <v>-54</v>
      </c>
      <c r="JC152">
        <v>0</v>
      </c>
      <c r="JD152">
        <v>0</v>
      </c>
      <c r="JE152">
        <v>0</v>
      </c>
      <c r="JF152">
        <v>0</v>
      </c>
      <c r="JG152">
        <v>680869</v>
      </c>
      <c r="JH152">
        <v>182</v>
      </c>
      <c r="JI152">
        <v>13713</v>
      </c>
      <c r="JJ152">
        <v>0</v>
      </c>
      <c r="JK152">
        <v>-2539</v>
      </c>
      <c r="JL152">
        <v>0</v>
      </c>
      <c r="JM152">
        <v>308</v>
      </c>
      <c r="JN152">
        <v>5226</v>
      </c>
      <c r="JO152">
        <v>0</v>
      </c>
      <c r="JP152">
        <v>14218</v>
      </c>
      <c r="JQ152">
        <v>-14601</v>
      </c>
      <c r="JR152">
        <v>697376</v>
      </c>
      <c r="JS152">
        <v>0</v>
      </c>
      <c r="JT152">
        <v>0</v>
      </c>
      <c r="JU152">
        <v>0</v>
      </c>
      <c r="JV152">
        <v>0</v>
      </c>
      <c r="JW152">
        <v>-127853</v>
      </c>
      <c r="JX152">
        <v>0</v>
      </c>
      <c r="JY152">
        <v>-127</v>
      </c>
      <c r="JZ152">
        <v>0</v>
      </c>
      <c r="KA152">
        <v>0</v>
      </c>
      <c r="KB152">
        <v>0</v>
      </c>
      <c r="KC152">
        <v>569396</v>
      </c>
      <c r="KD152">
        <v>0</v>
      </c>
      <c r="KE152">
        <v>-348862</v>
      </c>
      <c r="KF152">
        <v>220534</v>
      </c>
      <c r="KG152">
        <v>0</v>
      </c>
      <c r="KH152">
        <v>-2004</v>
      </c>
      <c r="KI152">
        <v>-3046</v>
      </c>
      <c r="KJ152">
        <v>106</v>
      </c>
      <c r="KK152">
        <v>16446</v>
      </c>
      <c r="KL152">
        <v>-254</v>
      </c>
      <c r="KM152">
        <v>-25700</v>
      </c>
      <c r="KN152">
        <v>0</v>
      </c>
      <c r="KO152">
        <v>-72698</v>
      </c>
      <c r="KP152">
        <v>0</v>
      </c>
      <c r="KQ152">
        <v>0</v>
      </c>
      <c r="KR152">
        <v>105768</v>
      </c>
      <c r="KS152">
        <v>14752</v>
      </c>
      <c r="KT152">
        <v>7094</v>
      </c>
      <c r="KU152">
        <v>0</v>
      </c>
      <c r="KV152">
        <v>184919</v>
      </c>
      <c r="KW152">
        <v>19642</v>
      </c>
      <c r="KX152">
        <v>12748</v>
      </c>
      <c r="KY152">
        <v>4048</v>
      </c>
      <c r="KZ152">
        <v>106</v>
      </c>
      <c r="LA152">
        <v>201365</v>
      </c>
      <c r="LB152">
        <v>19388</v>
      </c>
      <c r="LC152">
        <v>0</v>
      </c>
      <c r="LD152">
        <v>24455</v>
      </c>
      <c r="LE152">
        <v>0</v>
      </c>
      <c r="LF152">
        <v>28775</v>
      </c>
      <c r="LG152">
        <v>-43590</v>
      </c>
      <c r="LH152">
        <v>11574</v>
      </c>
      <c r="LI152">
        <v>23374</v>
      </c>
      <c r="LJ152">
        <v>7438</v>
      </c>
      <c r="LK152">
        <v>17641</v>
      </c>
      <c r="LL152">
        <v>25079</v>
      </c>
      <c r="LM152">
        <v>0</v>
      </c>
      <c r="LN152">
        <v>0</v>
      </c>
      <c r="LO152">
        <v>0</v>
      </c>
      <c r="LP152">
        <v>151191</v>
      </c>
      <c r="LQ152">
        <v>150061</v>
      </c>
      <c r="LR152">
        <v>1130</v>
      </c>
      <c r="LS152">
        <v>15541</v>
      </c>
      <c r="LT152">
        <v>16671</v>
      </c>
      <c r="LU152">
        <v>272576</v>
      </c>
      <c r="LV152">
        <v>12012</v>
      </c>
      <c r="LW152">
        <v>72735</v>
      </c>
      <c r="LX152">
        <v>87055</v>
      </c>
      <c r="LY152">
        <v>29772</v>
      </c>
      <c r="LZ152">
        <v>18100</v>
      </c>
      <c r="MA152">
        <v>13749</v>
      </c>
      <c r="MB152">
        <v>35410</v>
      </c>
      <c r="MC152">
        <v>7295</v>
      </c>
      <c r="MD152">
        <v>0</v>
      </c>
      <c r="ME152">
        <v>0</v>
      </c>
      <c r="MF152">
        <v>11245</v>
      </c>
      <c r="MG152">
        <v>2913</v>
      </c>
      <c r="MH152">
        <v>562862</v>
      </c>
      <c r="MI152">
        <v>0</v>
      </c>
      <c r="MJ152">
        <v>0</v>
      </c>
      <c r="MK152">
        <v>0</v>
      </c>
      <c r="ML152">
        <v>0</v>
      </c>
      <c r="MM152">
        <v>0</v>
      </c>
      <c r="MN152">
        <v>0</v>
      </c>
      <c r="MO152">
        <v>0</v>
      </c>
      <c r="MP152">
        <v>0</v>
      </c>
      <c r="MQ152">
        <v>0</v>
      </c>
      <c r="MR152">
        <v>0</v>
      </c>
      <c r="MS152">
        <v>0</v>
      </c>
      <c r="MT152">
        <v>0</v>
      </c>
      <c r="MU152">
        <v>0</v>
      </c>
      <c r="MV152">
        <v>0</v>
      </c>
      <c r="MW152">
        <v>0</v>
      </c>
      <c r="MX152">
        <v>-2992</v>
      </c>
      <c r="MY152">
        <v>129</v>
      </c>
      <c r="MZ152">
        <v>0</v>
      </c>
      <c r="NA152">
        <v>-2863</v>
      </c>
      <c r="NB152">
        <v>0</v>
      </c>
      <c r="NC152">
        <v>-2863</v>
      </c>
      <c r="ND152">
        <v>0</v>
      </c>
      <c r="NE152">
        <v>0</v>
      </c>
      <c r="NF152">
        <v>0</v>
      </c>
      <c r="NG152">
        <v>0</v>
      </c>
      <c r="NH152">
        <v>0</v>
      </c>
      <c r="NI152">
        <v>0</v>
      </c>
      <c r="NJ152">
        <v>0</v>
      </c>
      <c r="NK152">
        <v>0</v>
      </c>
      <c r="NL152">
        <v>0</v>
      </c>
      <c r="NM152">
        <v>0</v>
      </c>
      <c r="NN152">
        <v>0</v>
      </c>
      <c r="NO152">
        <v>0</v>
      </c>
      <c r="NP152">
        <v>0</v>
      </c>
      <c r="NQ152">
        <v>0</v>
      </c>
      <c r="NR152">
        <v>0</v>
      </c>
      <c r="NS152">
        <v>-54</v>
      </c>
      <c r="NT152">
        <v>0</v>
      </c>
      <c r="NU152">
        <v>0</v>
      </c>
      <c r="NV152">
        <v>0</v>
      </c>
      <c r="NW152">
        <v>0</v>
      </c>
      <c r="NX152">
        <v>0</v>
      </c>
      <c r="NY152">
        <v>0</v>
      </c>
      <c r="NZ152">
        <v>-54</v>
      </c>
      <c r="OA152">
        <v>0</v>
      </c>
      <c r="OB152">
        <v>-54</v>
      </c>
      <c r="OC152">
        <v>0</v>
      </c>
      <c r="OD152">
        <v>0</v>
      </c>
      <c r="OE152">
        <v>0</v>
      </c>
      <c r="OF152">
        <v>0</v>
      </c>
      <c r="OG152">
        <v>0</v>
      </c>
      <c r="OH152">
        <v>0</v>
      </c>
      <c r="OI152">
        <v>0</v>
      </c>
      <c r="OJ152">
        <v>0</v>
      </c>
      <c r="OK152">
        <v>0</v>
      </c>
      <c r="OL152">
        <v>0</v>
      </c>
      <c r="OM152">
        <v>0</v>
      </c>
      <c r="ON152">
        <v>0</v>
      </c>
    </row>
    <row r="153" spans="1:404" x14ac:dyDescent="0.25">
      <c r="A153" t="s">
        <v>524</v>
      </c>
      <c r="B153" t="s">
        <v>525</v>
      </c>
      <c r="C153" t="s">
        <v>523</v>
      </c>
      <c r="E153" t="s">
        <v>61</v>
      </c>
      <c r="F153">
        <v>0</v>
      </c>
      <c r="G153">
        <v>0</v>
      </c>
      <c r="H153">
        <v>0</v>
      </c>
      <c r="I153">
        <v>0</v>
      </c>
      <c r="J153">
        <v>0</v>
      </c>
      <c r="K153">
        <v>0</v>
      </c>
      <c r="L153">
        <v>0</v>
      </c>
      <c r="M153">
        <v>0</v>
      </c>
      <c r="N153">
        <v>0</v>
      </c>
      <c r="O153">
        <v>0</v>
      </c>
      <c r="P153">
        <v>0</v>
      </c>
      <c r="Q153">
        <v>0</v>
      </c>
      <c r="R153">
        <v>0</v>
      </c>
      <c r="S153">
        <v>61</v>
      </c>
      <c r="T153">
        <v>0</v>
      </c>
      <c r="U153">
        <v>0</v>
      </c>
      <c r="V153">
        <v>0</v>
      </c>
      <c r="W153">
        <v>0</v>
      </c>
      <c r="X153">
        <v>0</v>
      </c>
      <c r="Y153">
        <v>0</v>
      </c>
      <c r="Z153">
        <v>1484</v>
      </c>
      <c r="AA153">
        <v>-4083</v>
      </c>
      <c r="AB153">
        <v>0</v>
      </c>
      <c r="AC153">
        <v>0</v>
      </c>
      <c r="AD153">
        <v>959</v>
      </c>
      <c r="AE153">
        <v>0</v>
      </c>
      <c r="AF153">
        <v>0</v>
      </c>
      <c r="AG153">
        <v>0</v>
      </c>
      <c r="AH153">
        <v>0</v>
      </c>
      <c r="AI153">
        <v>-1578</v>
      </c>
      <c r="AJ153">
        <v>0</v>
      </c>
      <c r="AK153">
        <v>0</v>
      </c>
      <c r="AL153">
        <v>0</v>
      </c>
      <c r="AM153">
        <v>0</v>
      </c>
      <c r="AN153">
        <v>0</v>
      </c>
      <c r="AO153">
        <v>0</v>
      </c>
      <c r="AP153">
        <v>0</v>
      </c>
      <c r="AQ153">
        <v>0</v>
      </c>
      <c r="AR153">
        <v>0</v>
      </c>
      <c r="AS153">
        <v>0</v>
      </c>
      <c r="AT153">
        <v>0</v>
      </c>
      <c r="AU153">
        <v>0</v>
      </c>
      <c r="AV153">
        <v>0</v>
      </c>
      <c r="AW153">
        <v>0</v>
      </c>
      <c r="AX153">
        <v>0</v>
      </c>
      <c r="AY153">
        <v>33</v>
      </c>
      <c r="AZ153">
        <v>0</v>
      </c>
      <c r="BA153">
        <v>0</v>
      </c>
      <c r="BB153">
        <v>26</v>
      </c>
      <c r="BC153">
        <v>0</v>
      </c>
      <c r="BD153">
        <v>59</v>
      </c>
      <c r="BE153">
        <v>0</v>
      </c>
      <c r="BF153">
        <v>1478</v>
      </c>
      <c r="BG153">
        <v>0</v>
      </c>
      <c r="BH153">
        <v>0</v>
      </c>
      <c r="BI153">
        <v>0</v>
      </c>
      <c r="BJ153">
        <v>0</v>
      </c>
      <c r="BK153">
        <v>0</v>
      </c>
      <c r="BL153">
        <v>0</v>
      </c>
      <c r="BM153">
        <v>0</v>
      </c>
      <c r="BN153">
        <v>0</v>
      </c>
      <c r="BO153">
        <v>0</v>
      </c>
      <c r="BP153">
        <v>0</v>
      </c>
      <c r="BQ153">
        <v>0</v>
      </c>
      <c r="BR153">
        <v>0</v>
      </c>
      <c r="BS153">
        <v>0</v>
      </c>
      <c r="BT153">
        <v>0</v>
      </c>
      <c r="BU153">
        <v>0</v>
      </c>
      <c r="BV153">
        <v>0</v>
      </c>
      <c r="BW153">
        <v>1478</v>
      </c>
      <c r="BX153">
        <v>0</v>
      </c>
      <c r="BY153">
        <v>0</v>
      </c>
      <c r="BZ153">
        <v>0</v>
      </c>
      <c r="CA153">
        <v>0</v>
      </c>
      <c r="CB153">
        <v>0</v>
      </c>
      <c r="CC153">
        <v>0</v>
      </c>
      <c r="CD153">
        <v>0</v>
      </c>
      <c r="CE153">
        <v>0</v>
      </c>
      <c r="CF153">
        <v>0</v>
      </c>
      <c r="CG153">
        <v>0</v>
      </c>
      <c r="CH153">
        <v>0</v>
      </c>
      <c r="CI153">
        <v>0</v>
      </c>
      <c r="CJ153">
        <v>0</v>
      </c>
      <c r="CK153">
        <v>0</v>
      </c>
      <c r="CL153">
        <v>0</v>
      </c>
      <c r="CM153">
        <v>0</v>
      </c>
      <c r="CN153">
        <v>0</v>
      </c>
      <c r="CO153">
        <v>0</v>
      </c>
      <c r="CP153">
        <v>0</v>
      </c>
      <c r="CQ153">
        <v>0</v>
      </c>
      <c r="CR153">
        <v>0</v>
      </c>
      <c r="CS153">
        <v>0</v>
      </c>
      <c r="CT153">
        <v>0</v>
      </c>
      <c r="CU153">
        <v>0</v>
      </c>
      <c r="CV153">
        <v>0</v>
      </c>
      <c r="CW153">
        <v>0</v>
      </c>
      <c r="CX153">
        <v>0</v>
      </c>
      <c r="CY153">
        <v>0</v>
      </c>
      <c r="CZ153">
        <v>0</v>
      </c>
      <c r="DA153">
        <v>0</v>
      </c>
      <c r="DB153">
        <v>0</v>
      </c>
      <c r="DC153">
        <v>322</v>
      </c>
      <c r="DD153">
        <v>0</v>
      </c>
      <c r="DE153">
        <v>0</v>
      </c>
      <c r="DF153">
        <v>176</v>
      </c>
      <c r="DG153">
        <v>0</v>
      </c>
      <c r="DH153">
        <v>0</v>
      </c>
      <c r="DI153">
        <v>0</v>
      </c>
      <c r="DJ153">
        <v>0</v>
      </c>
      <c r="DK153">
        <v>0</v>
      </c>
      <c r="DL153">
        <v>0</v>
      </c>
      <c r="DM153">
        <v>0</v>
      </c>
      <c r="DN153">
        <v>950</v>
      </c>
      <c r="DO153">
        <v>0</v>
      </c>
      <c r="DP153">
        <v>950</v>
      </c>
      <c r="DQ153">
        <v>153</v>
      </c>
      <c r="DR153">
        <v>6</v>
      </c>
      <c r="DS153">
        <v>0</v>
      </c>
      <c r="DT153">
        <v>1360</v>
      </c>
      <c r="DU153">
        <v>-9</v>
      </c>
      <c r="DV153">
        <v>0</v>
      </c>
      <c r="DW153">
        <v>0</v>
      </c>
      <c r="DX153">
        <v>2958</v>
      </c>
      <c r="DY153">
        <v>0</v>
      </c>
      <c r="DZ153">
        <v>0</v>
      </c>
      <c r="EA153">
        <v>0</v>
      </c>
      <c r="EB153">
        <v>0</v>
      </c>
      <c r="EC153">
        <v>0</v>
      </c>
      <c r="ED153">
        <v>0</v>
      </c>
      <c r="EE153">
        <v>0</v>
      </c>
      <c r="EF153">
        <v>0</v>
      </c>
      <c r="EG153">
        <v>0</v>
      </c>
      <c r="EH153">
        <v>0</v>
      </c>
      <c r="EI153">
        <v>0</v>
      </c>
      <c r="EJ153">
        <v>0</v>
      </c>
      <c r="EK153">
        <v>0</v>
      </c>
      <c r="EL153">
        <v>0</v>
      </c>
      <c r="EM153">
        <v>0</v>
      </c>
      <c r="EN153">
        <v>0</v>
      </c>
      <c r="EO153">
        <v>0</v>
      </c>
      <c r="EP153">
        <v>0</v>
      </c>
      <c r="EQ153">
        <v>0</v>
      </c>
      <c r="ER153">
        <v>0</v>
      </c>
      <c r="ES153">
        <v>98483</v>
      </c>
      <c r="ET153">
        <v>98483</v>
      </c>
      <c r="EU153">
        <v>0</v>
      </c>
      <c r="EV153">
        <v>0</v>
      </c>
      <c r="EW153">
        <v>298</v>
      </c>
      <c r="EX153">
        <v>1183</v>
      </c>
      <c r="EY153">
        <v>159</v>
      </c>
      <c r="EZ153">
        <v>0</v>
      </c>
      <c r="FA153">
        <v>0</v>
      </c>
      <c r="FB153">
        <v>93</v>
      </c>
      <c r="FC153">
        <v>936</v>
      </c>
      <c r="FD153">
        <v>2808</v>
      </c>
      <c r="FE153">
        <v>0</v>
      </c>
      <c r="FF153">
        <v>-4643</v>
      </c>
      <c r="FG153">
        <v>0</v>
      </c>
      <c r="FH153">
        <v>833</v>
      </c>
      <c r="FI153">
        <v>-720</v>
      </c>
      <c r="FJ153">
        <v>0</v>
      </c>
      <c r="FK153">
        <v>0</v>
      </c>
      <c r="FL153">
        <v>282</v>
      </c>
      <c r="FM153">
        <v>1216</v>
      </c>
      <c r="FN153">
        <v>410</v>
      </c>
      <c r="FO153">
        <v>0</v>
      </c>
      <c r="FP153">
        <v>0</v>
      </c>
      <c r="FQ153">
        <v>0</v>
      </c>
      <c r="FR153">
        <v>-35</v>
      </c>
      <c r="FS153">
        <v>269</v>
      </c>
      <c r="FT153">
        <v>73</v>
      </c>
      <c r="FU153">
        <v>61</v>
      </c>
      <c r="FV153">
        <v>103</v>
      </c>
      <c r="FW153">
        <v>473</v>
      </c>
      <c r="FX153">
        <v>0</v>
      </c>
      <c r="FY153">
        <v>30</v>
      </c>
      <c r="FZ153">
        <v>117</v>
      </c>
      <c r="GA153">
        <v>0</v>
      </c>
      <c r="GB153">
        <v>0</v>
      </c>
      <c r="GC153">
        <v>-5</v>
      </c>
      <c r="GD153">
        <v>1551</v>
      </c>
      <c r="GE153">
        <v>3265</v>
      </c>
      <c r="GF153">
        <v>0</v>
      </c>
      <c r="GG153">
        <v>-258</v>
      </c>
      <c r="GH153">
        <v>0</v>
      </c>
      <c r="GI153">
        <v>0</v>
      </c>
      <c r="GJ153">
        <v>-402</v>
      </c>
      <c r="GK153">
        <v>6428</v>
      </c>
      <c r="GL153">
        <v>350</v>
      </c>
      <c r="GM153">
        <v>1189</v>
      </c>
      <c r="GN153">
        <v>207</v>
      </c>
      <c r="GO153">
        <v>818</v>
      </c>
      <c r="GP153">
        <v>0</v>
      </c>
      <c r="GQ153">
        <v>-201</v>
      </c>
      <c r="GR153">
        <v>0</v>
      </c>
      <c r="GS153">
        <v>0</v>
      </c>
      <c r="GT153">
        <v>445</v>
      </c>
      <c r="GU153">
        <v>2807</v>
      </c>
      <c r="GV153">
        <v>10068</v>
      </c>
      <c r="GW153">
        <v>0</v>
      </c>
      <c r="GX153">
        <v>0</v>
      </c>
      <c r="GY153">
        <v>0</v>
      </c>
      <c r="GZ153">
        <v>0</v>
      </c>
      <c r="HA153">
        <v>0</v>
      </c>
      <c r="HB153">
        <v>2574</v>
      </c>
      <c r="HC153">
        <v>438</v>
      </c>
      <c r="HD153">
        <v>0</v>
      </c>
      <c r="HE153">
        <v>0</v>
      </c>
      <c r="HF153">
        <v>0</v>
      </c>
      <c r="HG153">
        <v>202</v>
      </c>
      <c r="HH153">
        <v>0</v>
      </c>
      <c r="HI153">
        <v>0</v>
      </c>
      <c r="HJ153">
        <v>0</v>
      </c>
      <c r="HK153">
        <v>0</v>
      </c>
      <c r="HL153">
        <v>66</v>
      </c>
      <c r="HM153">
        <v>0</v>
      </c>
      <c r="HN153">
        <v>0</v>
      </c>
      <c r="HO153">
        <v>301</v>
      </c>
      <c r="HP153">
        <v>0</v>
      </c>
      <c r="HQ153">
        <v>0</v>
      </c>
      <c r="HR153">
        <v>0</v>
      </c>
      <c r="HS153">
        <v>0</v>
      </c>
      <c r="HT153">
        <v>0</v>
      </c>
      <c r="HU153">
        <v>0</v>
      </c>
      <c r="HV153">
        <v>3581</v>
      </c>
      <c r="HW153">
        <v>0</v>
      </c>
      <c r="HX153">
        <v>0</v>
      </c>
      <c r="HY153">
        <v>0</v>
      </c>
      <c r="HZ153">
        <v>0</v>
      </c>
      <c r="IA153">
        <v>0</v>
      </c>
      <c r="IB153">
        <v>0</v>
      </c>
      <c r="IC153">
        <v>0</v>
      </c>
      <c r="ID153">
        <v>-1578</v>
      </c>
      <c r="IE153">
        <v>59</v>
      </c>
      <c r="IF153">
        <v>1478</v>
      </c>
      <c r="IG153">
        <v>0</v>
      </c>
      <c r="IH153">
        <v>2958</v>
      </c>
      <c r="II153">
        <v>833</v>
      </c>
      <c r="IJ153">
        <v>6428</v>
      </c>
      <c r="IK153">
        <v>2807</v>
      </c>
      <c r="IL153">
        <v>0</v>
      </c>
      <c r="IM153">
        <v>0</v>
      </c>
      <c r="IN153">
        <v>3581</v>
      </c>
      <c r="IO153">
        <v>0</v>
      </c>
      <c r="IP153">
        <v>16567</v>
      </c>
      <c r="IQ153">
        <v>12333</v>
      </c>
      <c r="IR153">
        <v>0</v>
      </c>
      <c r="IS153">
        <v>0</v>
      </c>
      <c r="IT153">
        <v>0</v>
      </c>
      <c r="IU153">
        <v>0</v>
      </c>
      <c r="IV153">
        <v>1935</v>
      </c>
      <c r="IW153">
        <v>0</v>
      </c>
      <c r="IX153">
        <v>0</v>
      </c>
      <c r="IY153">
        <v>0</v>
      </c>
      <c r="IZ153">
        <v>0</v>
      </c>
      <c r="JA153">
        <v>-1389</v>
      </c>
      <c r="JB153">
        <v>-4945</v>
      </c>
      <c r="JC153">
        <v>0</v>
      </c>
      <c r="JD153">
        <v>0</v>
      </c>
      <c r="JE153">
        <v>0</v>
      </c>
      <c r="JF153">
        <v>0</v>
      </c>
      <c r="JG153">
        <v>24500</v>
      </c>
      <c r="JH153">
        <v>0</v>
      </c>
      <c r="JI153">
        <v>0</v>
      </c>
      <c r="JJ153">
        <v>0</v>
      </c>
      <c r="JK153">
        <v>0</v>
      </c>
      <c r="JL153">
        <v>0</v>
      </c>
      <c r="JM153">
        <v>0</v>
      </c>
      <c r="JN153">
        <v>0</v>
      </c>
      <c r="JO153">
        <v>0</v>
      </c>
      <c r="JP153">
        <v>4852</v>
      </c>
      <c r="JQ153">
        <v>0</v>
      </c>
      <c r="JR153">
        <v>29352</v>
      </c>
      <c r="JS153">
        <v>0</v>
      </c>
      <c r="JT153">
        <v>0</v>
      </c>
      <c r="JU153">
        <v>0</v>
      </c>
      <c r="JV153">
        <v>0</v>
      </c>
      <c r="JW153">
        <v>-12333</v>
      </c>
      <c r="JX153">
        <v>0</v>
      </c>
      <c r="JY153">
        <v>0</v>
      </c>
      <c r="JZ153">
        <v>0</v>
      </c>
      <c r="KA153">
        <v>0</v>
      </c>
      <c r="KB153">
        <v>0</v>
      </c>
      <c r="KC153">
        <v>17020</v>
      </c>
      <c r="KD153">
        <v>0</v>
      </c>
      <c r="KE153">
        <v>-1538</v>
      </c>
      <c r="KF153">
        <v>15482</v>
      </c>
      <c r="KG153">
        <v>0</v>
      </c>
      <c r="KH153">
        <v>0</v>
      </c>
      <c r="KI153">
        <v>0</v>
      </c>
      <c r="KJ153">
        <v>0</v>
      </c>
      <c r="KK153">
        <v>-6787</v>
      </c>
      <c r="KL153">
        <v>0</v>
      </c>
      <c r="KM153">
        <v>0</v>
      </c>
      <c r="KN153">
        <v>0</v>
      </c>
      <c r="KO153">
        <v>15370</v>
      </c>
      <c r="KP153">
        <v>0</v>
      </c>
      <c r="KQ153">
        <v>0</v>
      </c>
      <c r="KR153">
        <v>12328</v>
      </c>
      <c r="KS153">
        <v>0</v>
      </c>
      <c r="KT153">
        <v>0</v>
      </c>
      <c r="KU153">
        <v>0</v>
      </c>
      <c r="KV153">
        <v>17652</v>
      </c>
      <c r="KW153">
        <v>3748</v>
      </c>
      <c r="KX153">
        <v>0</v>
      </c>
      <c r="KY153">
        <v>0</v>
      </c>
      <c r="KZ153">
        <v>0</v>
      </c>
      <c r="LA153">
        <v>10865</v>
      </c>
      <c r="LB153">
        <v>3748</v>
      </c>
      <c r="LC153">
        <v>0</v>
      </c>
      <c r="LD153">
        <v>0</v>
      </c>
      <c r="LE153">
        <v>0</v>
      </c>
      <c r="LF153">
        <v>0</v>
      </c>
      <c r="LG153">
        <v>0</v>
      </c>
      <c r="LH153">
        <v>0</v>
      </c>
      <c r="LI153">
        <v>0</v>
      </c>
      <c r="LJ153">
        <v>2596</v>
      </c>
      <c r="LK153">
        <v>3032</v>
      </c>
      <c r="LL153">
        <v>5628</v>
      </c>
      <c r="LM153">
        <v>0</v>
      </c>
      <c r="LN153">
        <v>0</v>
      </c>
      <c r="LO153">
        <v>0</v>
      </c>
      <c r="LP153">
        <v>0</v>
      </c>
      <c r="LQ153">
        <v>0</v>
      </c>
      <c r="LR153">
        <v>0</v>
      </c>
      <c r="LS153">
        <v>98483</v>
      </c>
      <c r="LT153">
        <v>98483</v>
      </c>
      <c r="LU153">
        <v>0</v>
      </c>
      <c r="LV153">
        <v>-1578</v>
      </c>
      <c r="LW153">
        <v>59</v>
      </c>
      <c r="LX153">
        <v>1478</v>
      </c>
      <c r="LY153">
        <v>0</v>
      </c>
      <c r="LZ153">
        <v>2958</v>
      </c>
      <c r="MA153">
        <v>833</v>
      </c>
      <c r="MB153">
        <v>6428</v>
      </c>
      <c r="MC153">
        <v>2807</v>
      </c>
      <c r="MD153">
        <v>0</v>
      </c>
      <c r="ME153">
        <v>0</v>
      </c>
      <c r="MF153">
        <v>3581</v>
      </c>
      <c r="MG153">
        <v>0</v>
      </c>
      <c r="MH153">
        <v>16567</v>
      </c>
      <c r="MI153">
        <v>0</v>
      </c>
      <c r="MJ153">
        <v>0</v>
      </c>
      <c r="MK153">
        <v>0</v>
      </c>
      <c r="ML153">
        <v>0</v>
      </c>
      <c r="MM153">
        <v>0</v>
      </c>
      <c r="MN153">
        <v>0</v>
      </c>
      <c r="MO153">
        <v>0</v>
      </c>
      <c r="MP153">
        <v>0</v>
      </c>
      <c r="MQ153">
        <v>0</v>
      </c>
      <c r="MR153">
        <v>0</v>
      </c>
      <c r="MS153">
        <v>0</v>
      </c>
      <c r="MT153">
        <v>0</v>
      </c>
      <c r="MU153">
        <v>0</v>
      </c>
      <c r="MV153">
        <v>0</v>
      </c>
      <c r="MW153">
        <v>-1389</v>
      </c>
      <c r="MX153">
        <v>0</v>
      </c>
      <c r="MY153">
        <v>0</v>
      </c>
      <c r="MZ153">
        <v>0</v>
      </c>
      <c r="NA153">
        <v>-1389</v>
      </c>
      <c r="NB153">
        <v>0</v>
      </c>
      <c r="NC153">
        <v>-1389</v>
      </c>
      <c r="ND153">
        <v>0</v>
      </c>
      <c r="NE153">
        <v>0</v>
      </c>
      <c r="NF153">
        <v>0</v>
      </c>
      <c r="NG153">
        <v>0</v>
      </c>
      <c r="NH153">
        <v>0</v>
      </c>
      <c r="NI153">
        <v>0</v>
      </c>
      <c r="NJ153">
        <v>0</v>
      </c>
      <c r="NK153">
        <v>0</v>
      </c>
      <c r="NL153">
        <v>0</v>
      </c>
      <c r="NM153">
        <v>0</v>
      </c>
      <c r="NN153">
        <v>0</v>
      </c>
      <c r="NO153">
        <v>-4945</v>
      </c>
      <c r="NP153">
        <v>0</v>
      </c>
      <c r="NQ153">
        <v>0</v>
      </c>
      <c r="NR153">
        <v>0</v>
      </c>
      <c r="NS153">
        <v>0</v>
      </c>
      <c r="NT153">
        <v>0</v>
      </c>
      <c r="NU153">
        <v>0</v>
      </c>
      <c r="NV153">
        <v>0</v>
      </c>
      <c r="NW153">
        <v>0</v>
      </c>
      <c r="NX153">
        <v>0</v>
      </c>
      <c r="NY153">
        <v>0</v>
      </c>
      <c r="NZ153">
        <v>-4945</v>
      </c>
      <c r="OA153">
        <v>0</v>
      </c>
      <c r="OB153">
        <v>-4945</v>
      </c>
      <c r="OC153">
        <v>0</v>
      </c>
      <c r="OD153">
        <v>0</v>
      </c>
      <c r="OE153">
        <v>0</v>
      </c>
      <c r="OF153">
        <v>0</v>
      </c>
      <c r="OG153">
        <v>0</v>
      </c>
      <c r="OH153">
        <v>0</v>
      </c>
      <c r="OI153">
        <v>0</v>
      </c>
      <c r="OJ153">
        <v>0</v>
      </c>
      <c r="OK153">
        <v>0</v>
      </c>
      <c r="OL153">
        <v>0</v>
      </c>
      <c r="OM153">
        <v>0</v>
      </c>
      <c r="ON153">
        <v>0</v>
      </c>
    </row>
    <row r="154" spans="1:404" x14ac:dyDescent="0.25">
      <c r="A154" t="s">
        <v>527</v>
      </c>
      <c r="B154" t="s">
        <v>528</v>
      </c>
      <c r="C154" t="s">
        <v>526</v>
      </c>
      <c r="E154" t="s">
        <v>1940</v>
      </c>
      <c r="F154">
        <v>33278</v>
      </c>
      <c r="G154">
        <v>145953</v>
      </c>
      <c r="H154">
        <v>54602</v>
      </c>
      <c r="I154">
        <v>28312</v>
      </c>
      <c r="J154">
        <v>3006</v>
      </c>
      <c r="K154">
        <v>21452</v>
      </c>
      <c r="L154">
        <v>286603</v>
      </c>
      <c r="M154">
        <v>3146</v>
      </c>
      <c r="N154">
        <v>0</v>
      </c>
      <c r="O154">
        <v>-279</v>
      </c>
      <c r="P154">
        <v>0</v>
      </c>
      <c r="Q154">
        <v>52</v>
      </c>
      <c r="R154">
        <v>0</v>
      </c>
      <c r="S154">
        <v>0</v>
      </c>
      <c r="T154">
        <v>33</v>
      </c>
      <c r="U154">
        <v>1415</v>
      </c>
      <c r="V154">
        <v>0</v>
      </c>
      <c r="W154">
        <v>60</v>
      </c>
      <c r="X154">
        <v>276</v>
      </c>
      <c r="Y154">
        <v>2576</v>
      </c>
      <c r="Z154">
        <v>14308</v>
      </c>
      <c r="AA154">
        <v>-39906</v>
      </c>
      <c r="AB154">
        <v>10091</v>
      </c>
      <c r="AC154">
        <v>0</v>
      </c>
      <c r="AD154">
        <v>0</v>
      </c>
      <c r="AE154">
        <v>0</v>
      </c>
      <c r="AF154">
        <v>0</v>
      </c>
      <c r="AG154">
        <v>0</v>
      </c>
      <c r="AH154">
        <v>0</v>
      </c>
      <c r="AI154">
        <v>-8228</v>
      </c>
      <c r="AJ154">
        <v>0</v>
      </c>
      <c r="AK154">
        <v>0</v>
      </c>
      <c r="AL154">
        <v>0</v>
      </c>
      <c r="AM154">
        <v>0</v>
      </c>
      <c r="AN154">
        <v>0</v>
      </c>
      <c r="AO154">
        <v>0</v>
      </c>
      <c r="AP154">
        <v>0</v>
      </c>
      <c r="AQ154">
        <v>0</v>
      </c>
      <c r="AR154">
        <v>0</v>
      </c>
      <c r="AS154">
        <v>0</v>
      </c>
      <c r="AT154">
        <v>0</v>
      </c>
      <c r="AU154">
        <v>0</v>
      </c>
      <c r="AV154">
        <v>0</v>
      </c>
      <c r="AW154">
        <v>32666</v>
      </c>
      <c r="AX154">
        <v>1298</v>
      </c>
      <c r="AY154">
        <v>12982</v>
      </c>
      <c r="AZ154">
        <v>1487</v>
      </c>
      <c r="BA154">
        <v>18412</v>
      </c>
      <c r="BB154">
        <v>0</v>
      </c>
      <c r="BC154">
        <v>7265</v>
      </c>
      <c r="BD154">
        <v>74110</v>
      </c>
      <c r="BE154">
        <v>6631</v>
      </c>
      <c r="BF154">
        <v>19615</v>
      </c>
      <c r="BG154">
        <v>169</v>
      </c>
      <c r="BH154">
        <v>481</v>
      </c>
      <c r="BI154">
        <v>701</v>
      </c>
      <c r="BJ154">
        <v>8731</v>
      </c>
      <c r="BK154">
        <v>24807</v>
      </c>
      <c r="BL154">
        <v>1771</v>
      </c>
      <c r="BM154">
        <v>4789</v>
      </c>
      <c r="BN154">
        <v>5132</v>
      </c>
      <c r="BO154">
        <v>131</v>
      </c>
      <c r="BP154">
        <v>381</v>
      </c>
      <c r="BQ154">
        <v>0</v>
      </c>
      <c r="BR154">
        <v>-466</v>
      </c>
      <c r="BS154">
        <v>35</v>
      </c>
      <c r="BT154">
        <v>14029</v>
      </c>
      <c r="BU154">
        <v>839</v>
      </c>
      <c r="BV154">
        <v>5026</v>
      </c>
      <c r="BW154">
        <v>94937</v>
      </c>
      <c r="BX154">
        <v>5663</v>
      </c>
      <c r="BY154">
        <v>711</v>
      </c>
      <c r="BZ154">
        <v>465</v>
      </c>
      <c r="CA154">
        <v>407</v>
      </c>
      <c r="CB154">
        <v>0</v>
      </c>
      <c r="CC154">
        <v>86</v>
      </c>
      <c r="CD154">
        <v>57</v>
      </c>
      <c r="CE154">
        <v>732</v>
      </c>
      <c r="CF154">
        <v>597</v>
      </c>
      <c r="CG154">
        <v>139</v>
      </c>
      <c r="CH154">
        <v>1075</v>
      </c>
      <c r="CI154">
        <v>1464</v>
      </c>
      <c r="CJ154">
        <v>921</v>
      </c>
      <c r="CK154">
        <v>1464</v>
      </c>
      <c r="CL154">
        <v>922</v>
      </c>
      <c r="CM154">
        <v>597</v>
      </c>
      <c r="CN154">
        <v>856</v>
      </c>
      <c r="CO154">
        <v>117</v>
      </c>
      <c r="CP154">
        <v>3077</v>
      </c>
      <c r="CQ154">
        <v>6765</v>
      </c>
      <c r="CR154">
        <v>285</v>
      </c>
      <c r="CS154">
        <v>72</v>
      </c>
      <c r="CT154">
        <v>2265</v>
      </c>
      <c r="CU154">
        <v>5232</v>
      </c>
      <c r="CV154">
        <v>40143</v>
      </c>
      <c r="CW154">
        <v>424</v>
      </c>
      <c r="CX154">
        <v>239</v>
      </c>
      <c r="CY154">
        <v>130</v>
      </c>
      <c r="CZ154">
        <v>0</v>
      </c>
      <c r="DA154">
        <v>0</v>
      </c>
      <c r="DB154">
        <v>0</v>
      </c>
      <c r="DC154">
        <v>205</v>
      </c>
      <c r="DD154">
        <v>0</v>
      </c>
      <c r="DE154">
        <v>224</v>
      </c>
      <c r="DF154">
        <v>492</v>
      </c>
      <c r="DG154">
        <v>8624</v>
      </c>
      <c r="DH154">
        <v>2422</v>
      </c>
      <c r="DI154">
        <v>2851</v>
      </c>
      <c r="DJ154">
        <v>795</v>
      </c>
      <c r="DK154">
        <v>0</v>
      </c>
      <c r="DL154">
        <v>0</v>
      </c>
      <c r="DM154">
        <v>0</v>
      </c>
      <c r="DN154">
        <v>11042</v>
      </c>
      <c r="DO154">
        <v>0</v>
      </c>
      <c r="DP154">
        <v>25734</v>
      </c>
      <c r="DQ154">
        <v>-5494</v>
      </c>
      <c r="DR154">
        <v>339</v>
      </c>
      <c r="DS154">
        <v>335</v>
      </c>
      <c r="DT154">
        <v>4101</v>
      </c>
      <c r="DU154">
        <v>-70</v>
      </c>
      <c r="DV154">
        <v>4800</v>
      </c>
      <c r="DW154">
        <v>0</v>
      </c>
      <c r="DX154">
        <v>30666</v>
      </c>
      <c r="DY154">
        <v>114881</v>
      </c>
      <c r="DZ154">
        <v>5026</v>
      </c>
      <c r="EA154">
        <v>25195</v>
      </c>
      <c r="EB154">
        <v>1574</v>
      </c>
      <c r="EC154">
        <v>0</v>
      </c>
      <c r="ED154">
        <v>234</v>
      </c>
      <c r="EE154">
        <v>0</v>
      </c>
      <c r="EF154">
        <v>0</v>
      </c>
      <c r="EG154">
        <v>-206</v>
      </c>
      <c r="EH154">
        <v>27904</v>
      </c>
      <c r="EI154">
        <v>47411</v>
      </c>
      <c r="EJ154">
        <v>18441</v>
      </c>
      <c r="EK154">
        <v>1501</v>
      </c>
      <c r="EL154">
        <v>1434</v>
      </c>
      <c r="EM154">
        <v>42616</v>
      </c>
      <c r="EN154">
        <v>0</v>
      </c>
      <c r="EO154">
        <v>55</v>
      </c>
      <c r="EP154">
        <v>0</v>
      </c>
      <c r="EQ154">
        <v>0</v>
      </c>
      <c r="ER154">
        <v>3662</v>
      </c>
      <c r="ES154">
        <v>23351</v>
      </c>
      <c r="ET154">
        <v>27031</v>
      </c>
      <c r="EU154">
        <v>197</v>
      </c>
      <c r="EV154">
        <v>500</v>
      </c>
      <c r="EW154">
        <v>0</v>
      </c>
      <c r="EX154">
        <v>542</v>
      </c>
      <c r="EY154">
        <v>0</v>
      </c>
      <c r="EZ154">
        <v>0</v>
      </c>
      <c r="FA154">
        <v>0</v>
      </c>
      <c r="FB154">
        <v>1153</v>
      </c>
      <c r="FC154">
        <v>277</v>
      </c>
      <c r="FD154">
        <v>4579</v>
      </c>
      <c r="FE154">
        <v>0</v>
      </c>
      <c r="FF154">
        <v>0</v>
      </c>
      <c r="FG154">
        <v>6578</v>
      </c>
      <c r="FH154">
        <v>13826</v>
      </c>
      <c r="FI154">
        <v>685</v>
      </c>
      <c r="FJ154">
        <v>530</v>
      </c>
      <c r="FK154">
        <v>0</v>
      </c>
      <c r="FL154">
        <v>1075</v>
      </c>
      <c r="FM154">
        <v>548</v>
      </c>
      <c r="FN154">
        <v>822</v>
      </c>
      <c r="FO154">
        <v>-173</v>
      </c>
      <c r="FP154">
        <v>0</v>
      </c>
      <c r="FQ154">
        <v>0</v>
      </c>
      <c r="FR154">
        <v>0</v>
      </c>
      <c r="FS154">
        <v>149</v>
      </c>
      <c r="FT154">
        <v>0</v>
      </c>
      <c r="FU154">
        <v>826</v>
      </c>
      <c r="FV154">
        <v>1275</v>
      </c>
      <c r="FW154">
        <v>2640</v>
      </c>
      <c r="FX154">
        <v>1666</v>
      </c>
      <c r="FY154">
        <v>0</v>
      </c>
      <c r="FZ154">
        <v>0</v>
      </c>
      <c r="GA154">
        <v>0</v>
      </c>
      <c r="GB154">
        <v>0</v>
      </c>
      <c r="GC154">
        <v>0</v>
      </c>
      <c r="GD154">
        <v>13400</v>
      </c>
      <c r="GE154">
        <v>5688</v>
      </c>
      <c r="GF154">
        <v>0</v>
      </c>
      <c r="GG154">
        <v>157</v>
      </c>
      <c r="GH154">
        <v>4540</v>
      </c>
      <c r="GI154">
        <v>0</v>
      </c>
      <c r="GJ154">
        <v>0</v>
      </c>
      <c r="GK154">
        <v>33828</v>
      </c>
      <c r="GL154">
        <v>479</v>
      </c>
      <c r="GM154">
        <v>1630</v>
      </c>
      <c r="GN154">
        <v>0</v>
      </c>
      <c r="GO154">
        <v>950</v>
      </c>
      <c r="GP154">
        <v>0</v>
      </c>
      <c r="GQ154">
        <v>2618</v>
      </c>
      <c r="GR154">
        <v>0</v>
      </c>
      <c r="GS154">
        <v>0</v>
      </c>
      <c r="GT154">
        <v>2662</v>
      </c>
      <c r="GU154">
        <v>8339</v>
      </c>
      <c r="GV154">
        <v>55993</v>
      </c>
      <c r="GW154">
        <v>0</v>
      </c>
      <c r="GX154">
        <v>0</v>
      </c>
      <c r="GY154">
        <v>0</v>
      </c>
      <c r="GZ154">
        <v>0</v>
      </c>
      <c r="HA154">
        <v>0</v>
      </c>
      <c r="HB154">
        <v>2168</v>
      </c>
      <c r="HC154">
        <v>4511</v>
      </c>
      <c r="HD154">
        <v>0</v>
      </c>
      <c r="HE154">
        <v>0</v>
      </c>
      <c r="HF154">
        <v>0</v>
      </c>
      <c r="HG154">
        <v>203</v>
      </c>
      <c r="HH154">
        <v>0</v>
      </c>
      <c r="HI154">
        <v>-103</v>
      </c>
      <c r="HJ154">
        <v>-26</v>
      </c>
      <c r="HK154">
        <v>541</v>
      </c>
      <c r="HL154">
        <v>0</v>
      </c>
      <c r="HM154">
        <v>141</v>
      </c>
      <c r="HN154">
        <v>154</v>
      </c>
      <c r="HO154">
        <v>0</v>
      </c>
      <c r="HP154">
        <v>0</v>
      </c>
      <c r="HQ154">
        <v>0</v>
      </c>
      <c r="HR154">
        <v>16203</v>
      </c>
      <c r="HS154">
        <v>0</v>
      </c>
      <c r="HT154">
        <v>0</v>
      </c>
      <c r="HU154">
        <v>12235</v>
      </c>
      <c r="HV154">
        <v>36027</v>
      </c>
      <c r="HW154">
        <v>57224</v>
      </c>
      <c r="HX154">
        <v>8616</v>
      </c>
      <c r="HY154">
        <v>0</v>
      </c>
      <c r="HZ154">
        <v>3535</v>
      </c>
      <c r="IA154">
        <v>1901</v>
      </c>
      <c r="IB154">
        <v>0</v>
      </c>
      <c r="IC154">
        <v>286603</v>
      </c>
      <c r="ID154">
        <v>-8228</v>
      </c>
      <c r="IE154">
        <v>74110</v>
      </c>
      <c r="IF154">
        <v>94937</v>
      </c>
      <c r="IG154">
        <v>40143</v>
      </c>
      <c r="IH154">
        <v>30666</v>
      </c>
      <c r="II154">
        <v>13826</v>
      </c>
      <c r="IJ154">
        <v>33828</v>
      </c>
      <c r="IK154">
        <v>8339</v>
      </c>
      <c r="IL154">
        <v>0</v>
      </c>
      <c r="IM154">
        <v>0</v>
      </c>
      <c r="IN154">
        <v>36027</v>
      </c>
      <c r="IO154">
        <v>0</v>
      </c>
      <c r="IP154">
        <v>610251</v>
      </c>
      <c r="IQ154">
        <v>170113</v>
      </c>
      <c r="IR154">
        <v>50429</v>
      </c>
      <c r="IS154">
        <v>24054</v>
      </c>
      <c r="IT154">
        <v>0</v>
      </c>
      <c r="IU154">
        <v>0</v>
      </c>
      <c r="IV154">
        <v>0</v>
      </c>
      <c r="IW154">
        <v>0</v>
      </c>
      <c r="IX154">
        <v>7585</v>
      </c>
      <c r="IY154">
        <v>1041</v>
      </c>
      <c r="IZ154">
        <v>383</v>
      </c>
      <c r="JA154">
        <v>0</v>
      </c>
      <c r="JB154">
        <v>0</v>
      </c>
      <c r="JC154">
        <v>0</v>
      </c>
      <c r="JD154">
        <v>0</v>
      </c>
      <c r="JE154">
        <v>747</v>
      </c>
      <c r="JF154">
        <v>-14475</v>
      </c>
      <c r="JG154">
        <v>850128</v>
      </c>
      <c r="JH154">
        <v>170</v>
      </c>
      <c r="JI154">
        <v>0</v>
      </c>
      <c r="JJ154">
        <v>0</v>
      </c>
      <c r="JK154">
        <v>0</v>
      </c>
      <c r="JL154">
        <v>0</v>
      </c>
      <c r="JM154">
        <v>11672</v>
      </c>
      <c r="JN154">
        <v>3288</v>
      </c>
      <c r="JO154">
        <v>-120</v>
      </c>
      <c r="JP154">
        <v>897</v>
      </c>
      <c r="JQ154">
        <v>27</v>
      </c>
      <c r="JR154">
        <v>866062</v>
      </c>
      <c r="JS154">
        <v>-7719</v>
      </c>
      <c r="JT154">
        <v>0</v>
      </c>
      <c r="JU154">
        <v>23</v>
      </c>
      <c r="JV154">
        <v>0</v>
      </c>
      <c r="JW154">
        <v>-259517</v>
      </c>
      <c r="JX154">
        <v>0</v>
      </c>
      <c r="JY154">
        <v>-346</v>
      </c>
      <c r="JZ154">
        <v>0</v>
      </c>
      <c r="KA154">
        <v>0</v>
      </c>
      <c r="KB154">
        <v>0</v>
      </c>
      <c r="KC154">
        <v>598503</v>
      </c>
      <c r="KD154">
        <v>0</v>
      </c>
      <c r="KE154">
        <v>-344724</v>
      </c>
      <c r="KF154">
        <v>253779</v>
      </c>
      <c r="KG154">
        <v>0</v>
      </c>
      <c r="KH154">
        <v>-614</v>
      </c>
      <c r="KI154">
        <v>0</v>
      </c>
      <c r="KJ154">
        <v>0</v>
      </c>
      <c r="KK154">
        <v>7789</v>
      </c>
      <c r="KL154">
        <v>0</v>
      </c>
      <c r="KM154">
        <v>-35556</v>
      </c>
      <c r="KN154">
        <v>0</v>
      </c>
      <c r="KO154">
        <v>-108028</v>
      </c>
      <c r="KP154">
        <v>1610</v>
      </c>
      <c r="KQ154">
        <v>0</v>
      </c>
      <c r="KR154">
        <v>89219</v>
      </c>
      <c r="KS154">
        <v>16765</v>
      </c>
      <c r="KT154">
        <v>0</v>
      </c>
      <c r="KU154">
        <v>1621</v>
      </c>
      <c r="KV154">
        <v>127549</v>
      </c>
      <c r="KW154">
        <v>15007</v>
      </c>
      <c r="KX154">
        <v>16151</v>
      </c>
      <c r="KY154">
        <v>0</v>
      </c>
      <c r="KZ154">
        <v>1621</v>
      </c>
      <c r="LA154">
        <v>135338</v>
      </c>
      <c r="LB154">
        <v>15007</v>
      </c>
      <c r="LC154">
        <v>0</v>
      </c>
      <c r="LD154">
        <v>88921</v>
      </c>
      <c r="LE154">
        <v>0</v>
      </c>
      <c r="LF154">
        <v>25899</v>
      </c>
      <c r="LG154">
        <v>-24142</v>
      </c>
      <c r="LH154">
        <v>20</v>
      </c>
      <c r="LI154">
        <v>75857</v>
      </c>
      <c r="LJ154">
        <v>9248</v>
      </c>
      <c r="LK154">
        <v>22038</v>
      </c>
      <c r="LL154">
        <v>31286</v>
      </c>
      <c r="LM154">
        <v>0</v>
      </c>
      <c r="LN154">
        <v>0</v>
      </c>
      <c r="LO154">
        <v>0</v>
      </c>
      <c r="LP154">
        <v>146704</v>
      </c>
      <c r="LQ154">
        <v>143024</v>
      </c>
      <c r="LR154">
        <v>3680</v>
      </c>
      <c r="LS154">
        <v>23351</v>
      </c>
      <c r="LT154">
        <v>27031</v>
      </c>
      <c r="LU154">
        <v>286603</v>
      </c>
      <c r="LV154">
        <v>-8228</v>
      </c>
      <c r="LW154">
        <v>74110</v>
      </c>
      <c r="LX154">
        <v>94937</v>
      </c>
      <c r="LY154">
        <v>40143</v>
      </c>
      <c r="LZ154">
        <v>30666</v>
      </c>
      <c r="MA154">
        <v>13826</v>
      </c>
      <c r="MB154">
        <v>33828</v>
      </c>
      <c r="MC154">
        <v>8339</v>
      </c>
      <c r="MD154">
        <v>0</v>
      </c>
      <c r="ME154">
        <v>0</v>
      </c>
      <c r="MF154">
        <v>36027</v>
      </c>
      <c r="MG154">
        <v>0</v>
      </c>
      <c r="MH154">
        <v>610251</v>
      </c>
      <c r="MI154">
        <v>0</v>
      </c>
      <c r="MJ154">
        <v>0</v>
      </c>
      <c r="MK154">
        <v>0</v>
      </c>
      <c r="ML154">
        <v>0</v>
      </c>
      <c r="MM154">
        <v>0</v>
      </c>
      <c r="MN154">
        <v>0</v>
      </c>
      <c r="MO154">
        <v>0</v>
      </c>
      <c r="MP154">
        <v>0</v>
      </c>
      <c r="MQ154">
        <v>0</v>
      </c>
      <c r="MR154">
        <v>0</v>
      </c>
      <c r="MS154">
        <v>0</v>
      </c>
      <c r="MT154">
        <v>0</v>
      </c>
      <c r="MU154">
        <v>0</v>
      </c>
      <c r="MV154">
        <v>0</v>
      </c>
      <c r="MW154">
        <v>0</v>
      </c>
      <c r="MX154">
        <v>0</v>
      </c>
      <c r="MY154">
        <v>0</v>
      </c>
      <c r="MZ154">
        <v>0</v>
      </c>
      <c r="NA154">
        <v>0</v>
      </c>
      <c r="NB154">
        <v>0</v>
      </c>
      <c r="NC154">
        <v>0</v>
      </c>
      <c r="ND154">
        <v>0</v>
      </c>
      <c r="NE154">
        <v>0</v>
      </c>
      <c r="NF154">
        <v>0</v>
      </c>
      <c r="NG154">
        <v>0</v>
      </c>
      <c r="NH154">
        <v>0</v>
      </c>
      <c r="NI154">
        <v>0</v>
      </c>
      <c r="NJ154">
        <v>0</v>
      </c>
      <c r="NK154">
        <v>0</v>
      </c>
      <c r="NL154">
        <v>0</v>
      </c>
      <c r="NM154">
        <v>0</v>
      </c>
      <c r="NN154">
        <v>0</v>
      </c>
      <c r="NO154">
        <v>0</v>
      </c>
      <c r="NP154">
        <v>0</v>
      </c>
      <c r="NQ154">
        <v>0</v>
      </c>
      <c r="NR154">
        <v>0</v>
      </c>
      <c r="NS154">
        <v>0</v>
      </c>
      <c r="NT154">
        <v>0</v>
      </c>
      <c r="NU154">
        <v>0</v>
      </c>
      <c r="NV154">
        <v>0</v>
      </c>
      <c r="NW154">
        <v>0</v>
      </c>
      <c r="NX154">
        <v>0</v>
      </c>
      <c r="NY154">
        <v>0</v>
      </c>
      <c r="NZ154">
        <v>0</v>
      </c>
      <c r="OA154">
        <v>0</v>
      </c>
      <c r="OB154">
        <v>0</v>
      </c>
      <c r="OC154">
        <v>0</v>
      </c>
      <c r="OD154">
        <v>0</v>
      </c>
      <c r="OE154">
        <v>0</v>
      </c>
      <c r="OF154">
        <v>0</v>
      </c>
      <c r="OG154">
        <v>0</v>
      </c>
      <c r="OH154">
        <v>0</v>
      </c>
      <c r="OI154">
        <v>0</v>
      </c>
      <c r="OJ154">
        <v>0</v>
      </c>
      <c r="OK154">
        <v>0</v>
      </c>
      <c r="OL154">
        <v>0</v>
      </c>
      <c r="OM154">
        <v>0</v>
      </c>
      <c r="ON154">
        <v>0</v>
      </c>
    </row>
    <row r="155" spans="1:404" x14ac:dyDescent="0.25">
      <c r="A155" t="s">
        <v>530</v>
      </c>
      <c r="B155" t="s">
        <v>531</v>
      </c>
      <c r="C155" t="s">
        <v>529</v>
      </c>
      <c r="E155" t="s">
        <v>125</v>
      </c>
      <c r="F155">
        <v>9812</v>
      </c>
      <c r="G155">
        <v>51571</v>
      </c>
      <c r="H155">
        <v>11512</v>
      </c>
      <c r="I155">
        <v>6112</v>
      </c>
      <c r="J155">
        <v>1104</v>
      </c>
      <c r="K155">
        <v>15929</v>
      </c>
      <c r="L155">
        <v>96040</v>
      </c>
      <c r="M155">
        <v>454</v>
      </c>
      <c r="N155">
        <v>56</v>
      </c>
      <c r="O155">
        <v>246</v>
      </c>
      <c r="P155">
        <v>246</v>
      </c>
      <c r="Q155">
        <v>64</v>
      </c>
      <c r="R155">
        <v>1045</v>
      </c>
      <c r="S155">
        <v>899</v>
      </c>
      <c r="T155">
        <v>225</v>
      </c>
      <c r="U155">
        <v>654</v>
      </c>
      <c r="V155">
        <v>0</v>
      </c>
      <c r="W155">
        <v>0</v>
      </c>
      <c r="X155">
        <v>228</v>
      </c>
      <c r="Y155">
        <v>581</v>
      </c>
      <c r="Z155">
        <v>0</v>
      </c>
      <c r="AA155">
        <v>66</v>
      </c>
      <c r="AB155">
        <v>-558</v>
      </c>
      <c r="AC155">
        <v>0</v>
      </c>
      <c r="AD155">
        <v>750</v>
      </c>
      <c r="AE155">
        <v>0</v>
      </c>
      <c r="AF155">
        <v>0</v>
      </c>
      <c r="AG155">
        <v>390</v>
      </c>
      <c r="AH155">
        <v>-31026</v>
      </c>
      <c r="AI155">
        <v>-25680</v>
      </c>
      <c r="AJ155">
        <v>0</v>
      </c>
      <c r="AK155">
        <v>-61</v>
      </c>
      <c r="AL155">
        <v>0</v>
      </c>
      <c r="AM155">
        <v>0</v>
      </c>
      <c r="AN155">
        <v>0</v>
      </c>
      <c r="AO155">
        <v>0</v>
      </c>
      <c r="AP155">
        <v>0</v>
      </c>
      <c r="AQ155">
        <v>0</v>
      </c>
      <c r="AR155">
        <v>0</v>
      </c>
      <c r="AS155">
        <v>0</v>
      </c>
      <c r="AT155">
        <v>0</v>
      </c>
      <c r="AU155">
        <v>0</v>
      </c>
      <c r="AV155">
        <v>1400</v>
      </c>
      <c r="AW155">
        <v>22095</v>
      </c>
      <c r="AX155">
        <v>2091</v>
      </c>
      <c r="AY155">
        <v>3813</v>
      </c>
      <c r="AZ155">
        <v>298</v>
      </c>
      <c r="BA155">
        <v>8050</v>
      </c>
      <c r="BB155">
        <v>0</v>
      </c>
      <c r="BC155">
        <v>71</v>
      </c>
      <c r="BD155">
        <v>37818</v>
      </c>
      <c r="BE155">
        <v>3590</v>
      </c>
      <c r="BF155">
        <v>12478</v>
      </c>
      <c r="BG155">
        <v>206</v>
      </c>
      <c r="BH155">
        <v>2902</v>
      </c>
      <c r="BI155">
        <v>104</v>
      </c>
      <c r="BJ155">
        <v>3804</v>
      </c>
      <c r="BK155">
        <v>18894</v>
      </c>
      <c r="BL155">
        <v>1593</v>
      </c>
      <c r="BM155">
        <v>1265</v>
      </c>
      <c r="BN155">
        <v>1396</v>
      </c>
      <c r="BO155">
        <v>0</v>
      </c>
      <c r="BP155">
        <v>0</v>
      </c>
      <c r="BQ155">
        <v>236</v>
      </c>
      <c r="BR155">
        <v>601</v>
      </c>
      <c r="BS155">
        <v>750</v>
      </c>
      <c r="BT155">
        <v>5003</v>
      </c>
      <c r="BU155">
        <v>0</v>
      </c>
      <c r="BV155">
        <v>1486</v>
      </c>
      <c r="BW155">
        <v>54308</v>
      </c>
      <c r="BX155">
        <v>456</v>
      </c>
      <c r="BY155">
        <v>577</v>
      </c>
      <c r="BZ155">
        <v>74</v>
      </c>
      <c r="CA155">
        <v>137</v>
      </c>
      <c r="CB155">
        <v>124</v>
      </c>
      <c r="CC155">
        <v>19</v>
      </c>
      <c r="CD155">
        <v>52</v>
      </c>
      <c r="CE155">
        <v>532</v>
      </c>
      <c r="CF155">
        <v>159</v>
      </c>
      <c r="CG155">
        <v>424</v>
      </c>
      <c r="CH155">
        <v>350</v>
      </c>
      <c r="CI155">
        <v>1251</v>
      </c>
      <c r="CJ155">
        <v>440</v>
      </c>
      <c r="CK155">
        <v>152</v>
      </c>
      <c r="CL155">
        <v>51</v>
      </c>
      <c r="CM155">
        <v>93</v>
      </c>
      <c r="CN155">
        <v>221</v>
      </c>
      <c r="CO155">
        <v>39</v>
      </c>
      <c r="CP155">
        <v>1190</v>
      </c>
      <c r="CQ155">
        <v>2316</v>
      </c>
      <c r="CR155">
        <v>373</v>
      </c>
      <c r="CS155">
        <v>50</v>
      </c>
      <c r="CT155">
        <v>183</v>
      </c>
      <c r="CU155">
        <v>773</v>
      </c>
      <c r="CV155">
        <v>16575</v>
      </c>
      <c r="CW155">
        <v>22</v>
      </c>
      <c r="CX155">
        <v>10</v>
      </c>
      <c r="CY155">
        <v>55</v>
      </c>
      <c r="CZ155">
        <v>0</v>
      </c>
      <c r="DA155">
        <v>0</v>
      </c>
      <c r="DB155">
        <v>0</v>
      </c>
      <c r="DC155">
        <v>133</v>
      </c>
      <c r="DD155">
        <v>0</v>
      </c>
      <c r="DE155">
        <v>0</v>
      </c>
      <c r="DF155">
        <v>0</v>
      </c>
      <c r="DG155">
        <v>0</v>
      </c>
      <c r="DH155">
        <v>0</v>
      </c>
      <c r="DI155">
        <v>0</v>
      </c>
      <c r="DJ155">
        <v>194</v>
      </c>
      <c r="DK155">
        <v>0</v>
      </c>
      <c r="DL155">
        <v>0</v>
      </c>
      <c r="DM155">
        <v>0</v>
      </c>
      <c r="DN155">
        <v>105</v>
      </c>
      <c r="DO155">
        <v>0</v>
      </c>
      <c r="DP155">
        <v>299</v>
      </c>
      <c r="DQ155">
        <v>396</v>
      </c>
      <c r="DR155">
        <v>0</v>
      </c>
      <c r="DS155">
        <v>0</v>
      </c>
      <c r="DT155">
        <v>1199</v>
      </c>
      <c r="DU155">
        <v>0</v>
      </c>
      <c r="DV155">
        <v>254</v>
      </c>
      <c r="DW155">
        <v>0</v>
      </c>
      <c r="DX155">
        <v>2281</v>
      </c>
      <c r="DY155">
        <v>0</v>
      </c>
      <c r="DZ155">
        <v>0</v>
      </c>
      <c r="EA155">
        <v>0</v>
      </c>
      <c r="EB155">
        <v>0</v>
      </c>
      <c r="EC155">
        <v>0</v>
      </c>
      <c r="ED155">
        <v>0</v>
      </c>
      <c r="EE155">
        <v>0</v>
      </c>
      <c r="EF155">
        <v>0</v>
      </c>
      <c r="EG155">
        <v>0</v>
      </c>
      <c r="EH155">
        <v>0</v>
      </c>
      <c r="EI155">
        <v>0</v>
      </c>
      <c r="EJ155">
        <v>0</v>
      </c>
      <c r="EK155">
        <v>0</v>
      </c>
      <c r="EL155">
        <v>0</v>
      </c>
      <c r="EM155">
        <v>0</v>
      </c>
      <c r="EN155">
        <v>0</v>
      </c>
      <c r="EO155">
        <v>0</v>
      </c>
      <c r="EP155">
        <v>0</v>
      </c>
      <c r="EQ155">
        <v>0</v>
      </c>
      <c r="ER155">
        <v>0</v>
      </c>
      <c r="ES155">
        <v>0</v>
      </c>
      <c r="ET155">
        <v>0</v>
      </c>
      <c r="EU155">
        <v>57</v>
      </c>
      <c r="EV155">
        <v>93</v>
      </c>
      <c r="EW155">
        <v>5</v>
      </c>
      <c r="EX155">
        <v>176</v>
      </c>
      <c r="EY155">
        <v>528</v>
      </c>
      <c r="EZ155">
        <v>791</v>
      </c>
      <c r="FA155">
        <v>0</v>
      </c>
      <c r="FB155">
        <v>157</v>
      </c>
      <c r="FC155">
        <v>3228</v>
      </c>
      <c r="FD155">
        <v>2558</v>
      </c>
      <c r="FE155">
        <v>10</v>
      </c>
      <c r="FF155">
        <v>0</v>
      </c>
      <c r="FG155">
        <v>1670</v>
      </c>
      <c r="FH155">
        <v>9273</v>
      </c>
      <c r="FI155">
        <v>-6</v>
      </c>
      <c r="FJ155">
        <v>260</v>
      </c>
      <c r="FK155">
        <v>0</v>
      </c>
      <c r="FL155">
        <v>27</v>
      </c>
      <c r="FM155">
        <v>44</v>
      </c>
      <c r="FN155">
        <v>66</v>
      </c>
      <c r="FO155">
        <v>0</v>
      </c>
      <c r="FP155">
        <v>0</v>
      </c>
      <c r="FQ155">
        <v>20</v>
      </c>
      <c r="FR155">
        <v>199</v>
      </c>
      <c r="FS155">
        <v>0</v>
      </c>
      <c r="FT155">
        <v>17</v>
      </c>
      <c r="FU155">
        <v>21</v>
      </c>
      <c r="FV155">
        <v>55</v>
      </c>
      <c r="FW155">
        <v>411</v>
      </c>
      <c r="FX155">
        <v>229</v>
      </c>
      <c r="FY155">
        <v>226</v>
      </c>
      <c r="FZ155">
        <v>3</v>
      </c>
      <c r="GA155">
        <v>0</v>
      </c>
      <c r="GB155">
        <v>0</v>
      </c>
      <c r="GC155">
        <v>0</v>
      </c>
      <c r="GD155">
        <v>3194</v>
      </c>
      <c r="GE155">
        <v>2161</v>
      </c>
      <c r="GF155">
        <v>6235</v>
      </c>
      <c r="GG155">
        <v>-127</v>
      </c>
      <c r="GH155">
        <v>804</v>
      </c>
      <c r="GI155">
        <v>0</v>
      </c>
      <c r="GJ155">
        <v>0</v>
      </c>
      <c r="GK155">
        <v>13839</v>
      </c>
      <c r="GL155">
        <v>195</v>
      </c>
      <c r="GM155">
        <v>-133</v>
      </c>
      <c r="GN155">
        <v>0</v>
      </c>
      <c r="GO155">
        <v>0</v>
      </c>
      <c r="GP155">
        <v>0</v>
      </c>
      <c r="GQ155">
        <v>3959</v>
      </c>
      <c r="GR155">
        <v>0</v>
      </c>
      <c r="GS155">
        <v>0</v>
      </c>
      <c r="GT155">
        <v>259</v>
      </c>
      <c r="GU155">
        <v>4280</v>
      </c>
      <c r="GV155">
        <v>27392</v>
      </c>
      <c r="GW155">
        <v>0</v>
      </c>
      <c r="GX155">
        <v>0</v>
      </c>
      <c r="GY155">
        <v>0</v>
      </c>
      <c r="GZ155">
        <v>0</v>
      </c>
      <c r="HA155">
        <v>0</v>
      </c>
      <c r="HB155">
        <v>1566</v>
      </c>
      <c r="HC155">
        <v>22</v>
      </c>
      <c r="HD155">
        <v>0</v>
      </c>
      <c r="HE155">
        <v>0</v>
      </c>
      <c r="HF155">
        <v>0</v>
      </c>
      <c r="HG155">
        <v>123</v>
      </c>
      <c r="HH155">
        <v>0</v>
      </c>
      <c r="HI155">
        <v>116</v>
      </c>
      <c r="HJ155">
        <v>136</v>
      </c>
      <c r="HK155">
        <v>63</v>
      </c>
      <c r="HL155">
        <v>0</v>
      </c>
      <c r="HM155">
        <v>-63</v>
      </c>
      <c r="HN155">
        <v>103</v>
      </c>
      <c r="HO155">
        <v>0</v>
      </c>
      <c r="HP155">
        <v>188</v>
      </c>
      <c r="HQ155">
        <v>0</v>
      </c>
      <c r="HR155">
        <v>0</v>
      </c>
      <c r="HS155">
        <v>0</v>
      </c>
      <c r="HT155">
        <v>0</v>
      </c>
      <c r="HU155">
        <v>-882</v>
      </c>
      <c r="HV155">
        <v>1372</v>
      </c>
      <c r="HW155">
        <v>16582</v>
      </c>
      <c r="HX155">
        <v>16468</v>
      </c>
      <c r="HY155">
        <v>0</v>
      </c>
      <c r="HZ155">
        <v>0</v>
      </c>
      <c r="IA155">
        <v>1980</v>
      </c>
      <c r="IB155">
        <v>118</v>
      </c>
      <c r="IC155">
        <v>96040</v>
      </c>
      <c r="ID155">
        <v>-25680</v>
      </c>
      <c r="IE155">
        <v>37818</v>
      </c>
      <c r="IF155">
        <v>54308</v>
      </c>
      <c r="IG155">
        <v>16575</v>
      </c>
      <c r="IH155">
        <v>2281</v>
      </c>
      <c r="II155">
        <v>9273</v>
      </c>
      <c r="IJ155">
        <v>13839</v>
      </c>
      <c r="IK155">
        <v>4280</v>
      </c>
      <c r="IL155">
        <v>0</v>
      </c>
      <c r="IM155">
        <v>0</v>
      </c>
      <c r="IN155">
        <v>1372</v>
      </c>
      <c r="IO155">
        <v>118</v>
      </c>
      <c r="IP155">
        <v>210224</v>
      </c>
      <c r="IQ155">
        <v>29859</v>
      </c>
      <c r="IR155">
        <v>292</v>
      </c>
      <c r="IS155">
        <v>0</v>
      </c>
      <c r="IT155">
        <v>0</v>
      </c>
      <c r="IU155">
        <v>0</v>
      </c>
      <c r="IV155">
        <v>147</v>
      </c>
      <c r="IW155">
        <v>2241</v>
      </c>
      <c r="IX155">
        <v>0</v>
      </c>
      <c r="IY155">
        <v>0</v>
      </c>
      <c r="IZ155">
        <v>0</v>
      </c>
      <c r="JA155">
        <v>0</v>
      </c>
      <c r="JB155">
        <v>-1192</v>
      </c>
      <c r="JC155">
        <v>0</v>
      </c>
      <c r="JD155">
        <v>0</v>
      </c>
      <c r="JE155">
        <v>-264</v>
      </c>
      <c r="JF155">
        <v>0</v>
      </c>
      <c r="JG155">
        <v>241307</v>
      </c>
      <c r="JH155">
        <v>68</v>
      </c>
      <c r="JI155">
        <v>32</v>
      </c>
      <c r="JJ155">
        <v>0</v>
      </c>
      <c r="JK155">
        <v>0</v>
      </c>
      <c r="JL155">
        <v>0</v>
      </c>
      <c r="JM155">
        <v>7457</v>
      </c>
      <c r="JN155">
        <v>9403</v>
      </c>
      <c r="JO155">
        <v>28258</v>
      </c>
      <c r="JP155">
        <v>7834</v>
      </c>
      <c r="JQ155">
        <v>0</v>
      </c>
      <c r="JR155">
        <v>294359</v>
      </c>
      <c r="JS155">
        <v>-2529</v>
      </c>
      <c r="JT155">
        <v>0</v>
      </c>
      <c r="JU155">
        <v>0</v>
      </c>
      <c r="JV155">
        <v>0</v>
      </c>
      <c r="JW155">
        <v>-30915</v>
      </c>
      <c r="JX155">
        <v>0</v>
      </c>
      <c r="JY155">
        <v>0</v>
      </c>
      <c r="JZ155">
        <v>0</v>
      </c>
      <c r="KA155">
        <v>0</v>
      </c>
      <c r="KB155">
        <v>-860</v>
      </c>
      <c r="KC155">
        <v>260055</v>
      </c>
      <c r="KD155">
        <v>-31</v>
      </c>
      <c r="KE155">
        <v>-149305</v>
      </c>
      <c r="KF155">
        <v>110719</v>
      </c>
      <c r="KG155">
        <v>0</v>
      </c>
      <c r="KH155">
        <v>334</v>
      </c>
      <c r="KI155">
        <v>0</v>
      </c>
      <c r="KJ155">
        <v>1220</v>
      </c>
      <c r="KK155">
        <v>1294</v>
      </c>
      <c r="KL155">
        <v>-1195</v>
      </c>
      <c r="KM155">
        <v>0</v>
      </c>
      <c r="KN155">
        <v>0</v>
      </c>
      <c r="KO155">
        <v>-51147</v>
      </c>
      <c r="KP155">
        <v>-333</v>
      </c>
      <c r="KQ155">
        <v>0</v>
      </c>
      <c r="KR155">
        <v>54656</v>
      </c>
      <c r="KS155">
        <v>7099</v>
      </c>
      <c r="KT155">
        <v>0</v>
      </c>
      <c r="KU155">
        <v>1524</v>
      </c>
      <c r="KV155">
        <v>120000</v>
      </c>
      <c r="KW155">
        <v>6344</v>
      </c>
      <c r="KX155">
        <v>7433</v>
      </c>
      <c r="KY155">
        <v>0</v>
      </c>
      <c r="KZ155">
        <v>2744</v>
      </c>
      <c r="LA155">
        <v>121294</v>
      </c>
      <c r="LB155">
        <v>5149</v>
      </c>
      <c r="LC155">
        <v>0</v>
      </c>
      <c r="LD155">
        <v>26751</v>
      </c>
      <c r="LE155">
        <v>0</v>
      </c>
      <c r="LF155">
        <v>561</v>
      </c>
      <c r="LG155">
        <v>-7519</v>
      </c>
      <c r="LH155">
        <v>7938</v>
      </c>
      <c r="LI155">
        <v>25594</v>
      </c>
      <c r="LJ155">
        <v>4395</v>
      </c>
      <c r="LK155">
        <v>6028</v>
      </c>
      <c r="LL155">
        <v>10423</v>
      </c>
      <c r="LM155">
        <v>14</v>
      </c>
      <c r="LN155">
        <v>0</v>
      </c>
      <c r="LO155">
        <v>0</v>
      </c>
      <c r="LP155">
        <v>0</v>
      </c>
      <c r="LQ155">
        <v>0</v>
      </c>
      <c r="LR155">
        <v>0</v>
      </c>
      <c r="LS155">
        <v>0</v>
      </c>
      <c r="LT155">
        <v>0</v>
      </c>
      <c r="LU155">
        <v>96040</v>
      </c>
      <c r="LV155">
        <v>-25680</v>
      </c>
      <c r="LW155">
        <v>37818</v>
      </c>
      <c r="LX155">
        <v>54308</v>
      </c>
      <c r="LY155">
        <v>16575</v>
      </c>
      <c r="LZ155">
        <v>2281</v>
      </c>
      <c r="MA155">
        <v>9273</v>
      </c>
      <c r="MB155">
        <v>13839</v>
      </c>
      <c r="MC155">
        <v>4280</v>
      </c>
      <c r="MD155">
        <v>0</v>
      </c>
      <c r="ME155">
        <v>0</v>
      </c>
      <c r="MF155">
        <v>1372</v>
      </c>
      <c r="MG155">
        <v>118</v>
      </c>
      <c r="MH155">
        <v>210224</v>
      </c>
      <c r="MI155">
        <v>0</v>
      </c>
      <c r="MJ155">
        <v>0</v>
      </c>
      <c r="MK155">
        <v>0</v>
      </c>
      <c r="ML155">
        <v>0</v>
      </c>
      <c r="MM155">
        <v>0</v>
      </c>
      <c r="MN155">
        <v>0</v>
      </c>
      <c r="MO155">
        <v>0</v>
      </c>
      <c r="MP155">
        <v>0</v>
      </c>
      <c r="MQ155">
        <v>0</v>
      </c>
      <c r="MR155">
        <v>0</v>
      </c>
      <c r="MS155">
        <v>0</v>
      </c>
      <c r="MT155">
        <v>0</v>
      </c>
      <c r="MU155">
        <v>0</v>
      </c>
      <c r="MV155">
        <v>0</v>
      </c>
      <c r="MW155">
        <v>0</v>
      </c>
      <c r="MX155">
        <v>0</v>
      </c>
      <c r="MY155">
        <v>0</v>
      </c>
      <c r="MZ155">
        <v>0</v>
      </c>
      <c r="NA155">
        <v>0</v>
      </c>
      <c r="NB155">
        <v>0</v>
      </c>
      <c r="NC155">
        <v>0</v>
      </c>
      <c r="ND155">
        <v>0</v>
      </c>
      <c r="NE155">
        <v>0</v>
      </c>
      <c r="NF155">
        <v>0</v>
      </c>
      <c r="NG155">
        <v>0</v>
      </c>
      <c r="NH155">
        <v>0</v>
      </c>
      <c r="NI155">
        <v>0</v>
      </c>
      <c r="NJ155">
        <v>0</v>
      </c>
      <c r="NK155">
        <v>0</v>
      </c>
      <c r="NL155">
        <v>0</v>
      </c>
      <c r="NM155">
        <v>0</v>
      </c>
      <c r="NN155">
        <v>0</v>
      </c>
      <c r="NO155">
        <v>0</v>
      </c>
      <c r="NP155">
        <v>0</v>
      </c>
      <c r="NQ155">
        <v>0</v>
      </c>
      <c r="NR155">
        <v>0</v>
      </c>
      <c r="NS155">
        <v>0</v>
      </c>
      <c r="NT155">
        <v>0</v>
      </c>
      <c r="NU155">
        <v>0</v>
      </c>
      <c r="NV155">
        <v>0</v>
      </c>
      <c r="NW155">
        <v>0</v>
      </c>
      <c r="NX155">
        <v>0</v>
      </c>
      <c r="NY155">
        <v>0</v>
      </c>
      <c r="NZ155">
        <v>-1192</v>
      </c>
      <c r="OA155">
        <v>0</v>
      </c>
      <c r="OB155">
        <v>-1192</v>
      </c>
      <c r="OC155">
        <v>0</v>
      </c>
      <c r="OD155">
        <v>0</v>
      </c>
      <c r="OE155">
        <v>0</v>
      </c>
      <c r="OF155">
        <v>0</v>
      </c>
      <c r="OG155">
        <v>0</v>
      </c>
      <c r="OH155">
        <v>0</v>
      </c>
      <c r="OI155">
        <v>0</v>
      </c>
      <c r="OJ155">
        <v>0</v>
      </c>
      <c r="OK155">
        <v>0</v>
      </c>
      <c r="OL155">
        <v>0</v>
      </c>
      <c r="OM155">
        <v>0</v>
      </c>
      <c r="ON155">
        <v>0</v>
      </c>
    </row>
    <row r="156" spans="1:404" x14ac:dyDescent="0.25">
      <c r="A156" t="s">
        <v>533</v>
      </c>
      <c r="B156" t="s">
        <v>534</v>
      </c>
      <c r="C156" t="s">
        <v>532</v>
      </c>
      <c r="E156" t="s">
        <v>61</v>
      </c>
      <c r="F156">
        <v>0</v>
      </c>
      <c r="G156">
        <v>0</v>
      </c>
      <c r="H156">
        <v>0</v>
      </c>
      <c r="I156">
        <v>0</v>
      </c>
      <c r="J156">
        <v>0</v>
      </c>
      <c r="K156">
        <v>0</v>
      </c>
      <c r="L156">
        <v>0</v>
      </c>
      <c r="M156">
        <v>0</v>
      </c>
      <c r="N156">
        <v>0</v>
      </c>
      <c r="O156">
        <v>0</v>
      </c>
      <c r="P156">
        <v>0</v>
      </c>
      <c r="Q156">
        <v>0</v>
      </c>
      <c r="R156">
        <v>0</v>
      </c>
      <c r="S156">
        <v>0</v>
      </c>
      <c r="T156">
        <v>0</v>
      </c>
      <c r="U156">
        <v>0</v>
      </c>
      <c r="V156">
        <v>0</v>
      </c>
      <c r="W156">
        <v>0</v>
      </c>
      <c r="X156">
        <v>0</v>
      </c>
      <c r="Y156">
        <v>0</v>
      </c>
      <c r="Z156">
        <v>0</v>
      </c>
      <c r="AA156">
        <v>-407</v>
      </c>
      <c r="AB156">
        <v>0</v>
      </c>
      <c r="AC156">
        <v>0</v>
      </c>
      <c r="AD156">
        <v>0</v>
      </c>
      <c r="AE156">
        <v>0</v>
      </c>
      <c r="AF156">
        <v>0</v>
      </c>
      <c r="AG156">
        <v>0</v>
      </c>
      <c r="AH156">
        <v>0</v>
      </c>
      <c r="AI156">
        <v>-407</v>
      </c>
      <c r="AJ156">
        <v>0</v>
      </c>
      <c r="AK156">
        <v>0</v>
      </c>
      <c r="AL156">
        <v>0</v>
      </c>
      <c r="AM156">
        <v>0</v>
      </c>
      <c r="AN156">
        <v>0</v>
      </c>
      <c r="AO156">
        <v>0</v>
      </c>
      <c r="AP156">
        <v>0</v>
      </c>
      <c r="AQ156">
        <v>0</v>
      </c>
      <c r="AR156">
        <v>0</v>
      </c>
      <c r="AS156">
        <v>0</v>
      </c>
      <c r="AT156">
        <v>0</v>
      </c>
      <c r="AU156">
        <v>0</v>
      </c>
      <c r="AV156">
        <v>0</v>
      </c>
      <c r="AW156">
        <v>0</v>
      </c>
      <c r="AX156">
        <v>0</v>
      </c>
      <c r="AY156">
        <v>0</v>
      </c>
      <c r="AZ156">
        <v>0</v>
      </c>
      <c r="BA156">
        <v>0</v>
      </c>
      <c r="BB156">
        <v>0</v>
      </c>
      <c r="BC156">
        <v>0</v>
      </c>
      <c r="BD156">
        <v>0</v>
      </c>
      <c r="BE156">
        <v>0</v>
      </c>
      <c r="BF156">
        <v>0</v>
      </c>
      <c r="BG156">
        <v>0</v>
      </c>
      <c r="BH156">
        <v>0</v>
      </c>
      <c r="BI156">
        <v>0</v>
      </c>
      <c r="BJ156">
        <v>0</v>
      </c>
      <c r="BK156">
        <v>0</v>
      </c>
      <c r="BL156">
        <v>0</v>
      </c>
      <c r="BM156">
        <v>0</v>
      </c>
      <c r="BN156">
        <v>0</v>
      </c>
      <c r="BO156">
        <v>0</v>
      </c>
      <c r="BP156">
        <v>0</v>
      </c>
      <c r="BQ156">
        <v>0</v>
      </c>
      <c r="BR156">
        <v>0</v>
      </c>
      <c r="BS156">
        <v>0</v>
      </c>
      <c r="BT156">
        <v>0</v>
      </c>
      <c r="BU156">
        <v>0</v>
      </c>
      <c r="BV156">
        <v>0</v>
      </c>
      <c r="BW156">
        <v>0</v>
      </c>
      <c r="BX156">
        <v>0</v>
      </c>
      <c r="BY156">
        <v>0</v>
      </c>
      <c r="BZ156">
        <v>0</v>
      </c>
      <c r="CA156">
        <v>0</v>
      </c>
      <c r="CB156">
        <v>0</v>
      </c>
      <c r="CC156">
        <v>0</v>
      </c>
      <c r="CD156">
        <v>0</v>
      </c>
      <c r="CE156">
        <v>0</v>
      </c>
      <c r="CF156">
        <v>0</v>
      </c>
      <c r="CG156">
        <v>0</v>
      </c>
      <c r="CH156">
        <v>0</v>
      </c>
      <c r="CI156">
        <v>0</v>
      </c>
      <c r="CJ156">
        <v>0</v>
      </c>
      <c r="CK156">
        <v>0</v>
      </c>
      <c r="CL156">
        <v>0</v>
      </c>
      <c r="CM156">
        <v>0</v>
      </c>
      <c r="CN156">
        <v>0</v>
      </c>
      <c r="CO156">
        <v>0</v>
      </c>
      <c r="CP156">
        <v>0</v>
      </c>
      <c r="CQ156">
        <v>0</v>
      </c>
      <c r="CR156">
        <v>0</v>
      </c>
      <c r="CS156">
        <v>0</v>
      </c>
      <c r="CT156">
        <v>0</v>
      </c>
      <c r="CU156">
        <v>0</v>
      </c>
      <c r="CV156">
        <v>0</v>
      </c>
      <c r="CW156">
        <v>0</v>
      </c>
      <c r="CX156">
        <v>0</v>
      </c>
      <c r="CY156">
        <v>0</v>
      </c>
      <c r="CZ156">
        <v>0</v>
      </c>
      <c r="DA156">
        <v>0</v>
      </c>
      <c r="DB156">
        <v>0</v>
      </c>
      <c r="DC156">
        <v>151</v>
      </c>
      <c r="DD156">
        <v>0</v>
      </c>
      <c r="DE156">
        <v>171</v>
      </c>
      <c r="DF156">
        <v>0</v>
      </c>
      <c r="DG156">
        <v>0</v>
      </c>
      <c r="DH156">
        <v>0</v>
      </c>
      <c r="DI156">
        <v>40</v>
      </c>
      <c r="DJ156">
        <v>18</v>
      </c>
      <c r="DK156">
        <v>0</v>
      </c>
      <c r="DL156">
        <v>0</v>
      </c>
      <c r="DM156">
        <v>0</v>
      </c>
      <c r="DN156">
        <v>219</v>
      </c>
      <c r="DO156">
        <v>0</v>
      </c>
      <c r="DP156">
        <v>277</v>
      </c>
      <c r="DQ156">
        <v>-698</v>
      </c>
      <c r="DR156">
        <v>0</v>
      </c>
      <c r="DS156">
        <v>0</v>
      </c>
      <c r="DT156">
        <v>616</v>
      </c>
      <c r="DU156">
        <v>0</v>
      </c>
      <c r="DV156">
        <v>0</v>
      </c>
      <c r="DW156">
        <v>0</v>
      </c>
      <c r="DX156">
        <v>517</v>
      </c>
      <c r="DY156">
        <v>0</v>
      </c>
      <c r="DZ156">
        <v>0</v>
      </c>
      <c r="EA156">
        <v>0</v>
      </c>
      <c r="EB156">
        <v>0</v>
      </c>
      <c r="EC156">
        <v>0</v>
      </c>
      <c r="ED156">
        <v>0</v>
      </c>
      <c r="EE156">
        <v>0</v>
      </c>
      <c r="EF156">
        <v>0</v>
      </c>
      <c r="EG156">
        <v>0</v>
      </c>
      <c r="EH156">
        <v>0</v>
      </c>
      <c r="EI156">
        <v>0</v>
      </c>
      <c r="EJ156">
        <v>0</v>
      </c>
      <c r="EK156">
        <v>0</v>
      </c>
      <c r="EL156">
        <v>0</v>
      </c>
      <c r="EM156">
        <v>0</v>
      </c>
      <c r="EN156">
        <v>0</v>
      </c>
      <c r="EO156">
        <v>0</v>
      </c>
      <c r="EP156">
        <v>0</v>
      </c>
      <c r="EQ156">
        <v>0</v>
      </c>
      <c r="ER156">
        <v>0</v>
      </c>
      <c r="ES156">
        <v>0</v>
      </c>
      <c r="ET156">
        <v>0</v>
      </c>
      <c r="EU156">
        <v>0</v>
      </c>
      <c r="EV156">
        <v>19</v>
      </c>
      <c r="EW156">
        <v>0</v>
      </c>
      <c r="EX156">
        <v>0</v>
      </c>
      <c r="EY156">
        <v>0</v>
      </c>
      <c r="EZ156">
        <v>10</v>
      </c>
      <c r="FA156">
        <v>0</v>
      </c>
      <c r="FB156">
        <v>236</v>
      </c>
      <c r="FC156">
        <v>2150</v>
      </c>
      <c r="FD156">
        <v>59</v>
      </c>
      <c r="FE156">
        <v>0</v>
      </c>
      <c r="FF156">
        <v>9</v>
      </c>
      <c r="FG156">
        <v>0</v>
      </c>
      <c r="FH156">
        <v>2483</v>
      </c>
      <c r="FI156">
        <v>216</v>
      </c>
      <c r="FJ156">
        <v>0</v>
      </c>
      <c r="FK156">
        <v>137</v>
      </c>
      <c r="FL156">
        <v>0</v>
      </c>
      <c r="FM156">
        <v>700</v>
      </c>
      <c r="FN156">
        <v>163</v>
      </c>
      <c r="FO156">
        <v>127</v>
      </c>
      <c r="FP156">
        <v>0</v>
      </c>
      <c r="FQ156">
        <v>0</v>
      </c>
      <c r="FR156">
        <v>64</v>
      </c>
      <c r="FS156">
        <v>0</v>
      </c>
      <c r="FT156">
        <v>133</v>
      </c>
      <c r="FU156">
        <v>38</v>
      </c>
      <c r="FV156">
        <v>185</v>
      </c>
      <c r="FW156">
        <v>302</v>
      </c>
      <c r="FX156">
        <v>73</v>
      </c>
      <c r="FY156">
        <v>13</v>
      </c>
      <c r="FZ156">
        <v>0</v>
      </c>
      <c r="GA156">
        <v>129</v>
      </c>
      <c r="GB156">
        <v>0</v>
      </c>
      <c r="GC156">
        <v>0</v>
      </c>
      <c r="GD156">
        <v>897</v>
      </c>
      <c r="GE156">
        <v>2080</v>
      </c>
      <c r="GF156">
        <v>0</v>
      </c>
      <c r="GG156">
        <v>0</v>
      </c>
      <c r="GH156">
        <v>202</v>
      </c>
      <c r="GI156">
        <v>0</v>
      </c>
      <c r="GJ156">
        <v>6</v>
      </c>
      <c r="GK156">
        <v>5465</v>
      </c>
      <c r="GL156">
        <v>71</v>
      </c>
      <c r="GM156">
        <v>1565</v>
      </c>
      <c r="GN156">
        <v>3</v>
      </c>
      <c r="GO156">
        <v>252</v>
      </c>
      <c r="GP156">
        <v>18</v>
      </c>
      <c r="GQ156">
        <v>4</v>
      </c>
      <c r="GR156">
        <v>0</v>
      </c>
      <c r="GS156">
        <v>24</v>
      </c>
      <c r="GT156">
        <v>36</v>
      </c>
      <c r="GU156">
        <v>1973</v>
      </c>
      <c r="GV156">
        <v>9921</v>
      </c>
      <c r="GW156">
        <v>0</v>
      </c>
      <c r="GX156">
        <v>0</v>
      </c>
      <c r="GY156">
        <v>0</v>
      </c>
      <c r="GZ156">
        <v>0</v>
      </c>
      <c r="HA156">
        <v>0</v>
      </c>
      <c r="HB156">
        <v>1988</v>
      </c>
      <c r="HC156">
        <v>375</v>
      </c>
      <c r="HD156">
        <v>0</v>
      </c>
      <c r="HE156">
        <v>0</v>
      </c>
      <c r="HF156">
        <v>0</v>
      </c>
      <c r="HG156">
        <v>90</v>
      </c>
      <c r="HH156">
        <v>0</v>
      </c>
      <c r="HI156">
        <v>0</v>
      </c>
      <c r="HJ156">
        <v>125</v>
      </c>
      <c r="HK156">
        <v>130</v>
      </c>
      <c r="HL156">
        <v>78</v>
      </c>
      <c r="HM156">
        <v>25</v>
      </c>
      <c r="HN156">
        <v>0</v>
      </c>
      <c r="HO156">
        <v>40</v>
      </c>
      <c r="HP156">
        <v>0</v>
      </c>
      <c r="HQ156">
        <v>0</v>
      </c>
      <c r="HR156">
        <v>0</v>
      </c>
      <c r="HS156">
        <v>0</v>
      </c>
      <c r="HT156">
        <v>0</v>
      </c>
      <c r="HU156">
        <v>63</v>
      </c>
      <c r="HV156">
        <v>2914</v>
      </c>
      <c r="HW156">
        <v>9887</v>
      </c>
      <c r="HX156">
        <v>0</v>
      </c>
      <c r="HY156">
        <v>1322</v>
      </c>
      <c r="HZ156">
        <v>161</v>
      </c>
      <c r="IA156">
        <v>0</v>
      </c>
      <c r="IB156">
        <v>0</v>
      </c>
      <c r="IC156">
        <v>0</v>
      </c>
      <c r="ID156">
        <v>-407</v>
      </c>
      <c r="IE156">
        <v>0</v>
      </c>
      <c r="IF156">
        <v>0</v>
      </c>
      <c r="IG156">
        <v>0</v>
      </c>
      <c r="IH156">
        <v>517</v>
      </c>
      <c r="II156">
        <v>2483</v>
      </c>
      <c r="IJ156">
        <v>5465</v>
      </c>
      <c r="IK156">
        <v>1973</v>
      </c>
      <c r="IL156">
        <v>0</v>
      </c>
      <c r="IM156">
        <v>0</v>
      </c>
      <c r="IN156">
        <v>2914</v>
      </c>
      <c r="IO156">
        <v>0</v>
      </c>
      <c r="IP156">
        <v>12945</v>
      </c>
      <c r="IQ156">
        <v>12970</v>
      </c>
      <c r="IR156">
        <v>0</v>
      </c>
      <c r="IS156">
        <v>0</v>
      </c>
      <c r="IT156">
        <v>0</v>
      </c>
      <c r="IU156">
        <v>0</v>
      </c>
      <c r="IV156">
        <v>1603</v>
      </c>
      <c r="IW156">
        <v>0</v>
      </c>
      <c r="IX156">
        <v>0</v>
      </c>
      <c r="IY156">
        <v>0</v>
      </c>
      <c r="IZ156">
        <v>42</v>
      </c>
      <c r="JA156">
        <v>-479</v>
      </c>
      <c r="JB156">
        <v>0</v>
      </c>
      <c r="JC156">
        <v>0</v>
      </c>
      <c r="JD156">
        <v>0</v>
      </c>
      <c r="JE156">
        <v>0</v>
      </c>
      <c r="JF156">
        <v>0</v>
      </c>
      <c r="JG156">
        <v>27081</v>
      </c>
      <c r="JH156">
        <v>0</v>
      </c>
      <c r="JI156">
        <v>0</v>
      </c>
      <c r="JJ156">
        <v>0</v>
      </c>
      <c r="JK156">
        <v>0</v>
      </c>
      <c r="JL156">
        <v>0</v>
      </c>
      <c r="JM156">
        <v>0</v>
      </c>
      <c r="JN156">
        <v>0</v>
      </c>
      <c r="JO156">
        <v>0</v>
      </c>
      <c r="JP156">
        <v>525</v>
      </c>
      <c r="JQ156">
        <v>0</v>
      </c>
      <c r="JR156">
        <v>27606</v>
      </c>
      <c r="JS156">
        <v>-1468</v>
      </c>
      <c r="JT156">
        <v>0</v>
      </c>
      <c r="JU156">
        <v>0</v>
      </c>
      <c r="JV156">
        <v>0</v>
      </c>
      <c r="JW156">
        <v>-12427</v>
      </c>
      <c r="JX156">
        <v>0</v>
      </c>
      <c r="JY156">
        <v>-1282</v>
      </c>
      <c r="JZ156">
        <v>0</v>
      </c>
      <c r="KA156">
        <v>0</v>
      </c>
      <c r="KB156">
        <v>0</v>
      </c>
      <c r="KC156">
        <v>12429</v>
      </c>
      <c r="KD156">
        <v>0</v>
      </c>
      <c r="KE156">
        <v>-2572</v>
      </c>
      <c r="KF156">
        <v>9857</v>
      </c>
      <c r="KG156">
        <v>0</v>
      </c>
      <c r="KH156">
        <v>0</v>
      </c>
      <c r="KI156">
        <v>0</v>
      </c>
      <c r="KJ156">
        <v>0</v>
      </c>
      <c r="KK156">
        <v>3794</v>
      </c>
      <c r="KL156">
        <v>0</v>
      </c>
      <c r="KM156">
        <v>-91</v>
      </c>
      <c r="KN156">
        <v>0</v>
      </c>
      <c r="KO156">
        <v>-3280</v>
      </c>
      <c r="KP156">
        <v>4</v>
      </c>
      <c r="KQ156">
        <v>0</v>
      </c>
      <c r="KR156">
        <v>5878</v>
      </c>
      <c r="KS156">
        <v>0</v>
      </c>
      <c r="KT156">
        <v>0</v>
      </c>
      <c r="KU156">
        <v>0</v>
      </c>
      <c r="KV156">
        <v>9298</v>
      </c>
      <c r="KW156">
        <v>2000</v>
      </c>
      <c r="KX156">
        <v>0</v>
      </c>
      <c r="KY156">
        <v>0</v>
      </c>
      <c r="KZ156">
        <v>0</v>
      </c>
      <c r="LA156">
        <v>13092</v>
      </c>
      <c r="LB156">
        <v>2000</v>
      </c>
      <c r="LC156">
        <v>0</v>
      </c>
      <c r="LD156">
        <v>1434</v>
      </c>
      <c r="LE156">
        <v>169</v>
      </c>
      <c r="LF156">
        <v>9947</v>
      </c>
      <c r="LG156">
        <v>0</v>
      </c>
      <c r="LH156">
        <v>4274</v>
      </c>
      <c r="LI156">
        <v>15824</v>
      </c>
      <c r="LJ156">
        <v>2335</v>
      </c>
      <c r="LK156">
        <v>1706</v>
      </c>
      <c r="LL156">
        <v>4041</v>
      </c>
      <c r="LM156">
        <v>0</v>
      </c>
      <c r="LN156">
        <v>0</v>
      </c>
      <c r="LO156">
        <v>0</v>
      </c>
      <c r="LP156">
        <v>0</v>
      </c>
      <c r="LQ156">
        <v>0</v>
      </c>
      <c r="LR156">
        <v>0</v>
      </c>
      <c r="LS156">
        <v>0</v>
      </c>
      <c r="LT156">
        <v>0</v>
      </c>
      <c r="LU156">
        <v>0</v>
      </c>
      <c r="LV156">
        <v>-407</v>
      </c>
      <c r="LW156">
        <v>0</v>
      </c>
      <c r="LX156">
        <v>0</v>
      </c>
      <c r="LY156">
        <v>0</v>
      </c>
      <c r="LZ156">
        <v>517</v>
      </c>
      <c r="MA156">
        <v>2483</v>
      </c>
      <c r="MB156">
        <v>5465</v>
      </c>
      <c r="MC156">
        <v>1973</v>
      </c>
      <c r="MD156">
        <v>0</v>
      </c>
      <c r="ME156">
        <v>0</v>
      </c>
      <c r="MF156">
        <v>2914</v>
      </c>
      <c r="MG156">
        <v>0</v>
      </c>
      <c r="MH156">
        <v>12945</v>
      </c>
      <c r="MI156">
        <v>0</v>
      </c>
      <c r="MJ156">
        <v>0</v>
      </c>
      <c r="MK156">
        <v>0</v>
      </c>
      <c r="ML156">
        <v>0</v>
      </c>
      <c r="MM156">
        <v>0</v>
      </c>
      <c r="MN156">
        <v>0</v>
      </c>
      <c r="MO156">
        <v>0</v>
      </c>
      <c r="MP156">
        <v>0</v>
      </c>
      <c r="MQ156">
        <v>0</v>
      </c>
      <c r="MR156">
        <v>0</v>
      </c>
      <c r="MS156">
        <v>0</v>
      </c>
      <c r="MT156">
        <v>0</v>
      </c>
      <c r="MU156">
        <v>0</v>
      </c>
      <c r="MV156">
        <v>0</v>
      </c>
      <c r="MW156">
        <v>0</v>
      </c>
      <c r="MX156">
        <v>-103</v>
      </c>
      <c r="MY156">
        <v>-362</v>
      </c>
      <c r="MZ156">
        <v>-14</v>
      </c>
      <c r="NA156">
        <v>-479</v>
      </c>
      <c r="NB156">
        <v>0</v>
      </c>
      <c r="NC156">
        <v>-479</v>
      </c>
      <c r="ND156">
        <v>0</v>
      </c>
      <c r="NE156">
        <v>0</v>
      </c>
      <c r="NF156">
        <v>0</v>
      </c>
      <c r="NG156">
        <v>0</v>
      </c>
      <c r="NH156">
        <v>0</v>
      </c>
      <c r="NI156">
        <v>0</v>
      </c>
      <c r="NJ156">
        <v>0</v>
      </c>
      <c r="NK156">
        <v>0</v>
      </c>
      <c r="NL156">
        <v>0</v>
      </c>
      <c r="NM156">
        <v>0</v>
      </c>
      <c r="NN156">
        <v>0</v>
      </c>
      <c r="NO156">
        <v>0</v>
      </c>
      <c r="NP156">
        <v>0</v>
      </c>
      <c r="NQ156">
        <v>0</v>
      </c>
      <c r="NR156">
        <v>0</v>
      </c>
      <c r="NS156">
        <v>0</v>
      </c>
      <c r="NT156">
        <v>0</v>
      </c>
      <c r="NU156">
        <v>0</v>
      </c>
      <c r="NV156">
        <v>0</v>
      </c>
      <c r="NW156">
        <v>0</v>
      </c>
      <c r="NX156">
        <v>0</v>
      </c>
      <c r="NY156">
        <v>0</v>
      </c>
      <c r="NZ156">
        <v>0</v>
      </c>
      <c r="OA156">
        <v>0</v>
      </c>
      <c r="OB156">
        <v>0</v>
      </c>
      <c r="OC156">
        <v>0</v>
      </c>
      <c r="OD156">
        <v>0</v>
      </c>
      <c r="OE156">
        <v>0</v>
      </c>
      <c r="OF156">
        <v>0</v>
      </c>
      <c r="OG156">
        <v>0</v>
      </c>
      <c r="OH156">
        <v>0</v>
      </c>
      <c r="OI156">
        <v>0</v>
      </c>
      <c r="OJ156">
        <v>0</v>
      </c>
      <c r="OK156">
        <v>0</v>
      </c>
      <c r="OL156">
        <v>0</v>
      </c>
      <c r="OM156">
        <v>0</v>
      </c>
      <c r="ON156">
        <v>0</v>
      </c>
    </row>
    <row r="157" spans="1:404" x14ac:dyDescent="0.25">
      <c r="A157" t="s">
        <v>536</v>
      </c>
      <c r="B157" t="s">
        <v>537</v>
      </c>
      <c r="C157" t="s">
        <v>535</v>
      </c>
      <c r="E157" t="s">
        <v>1940</v>
      </c>
      <c r="F157">
        <v>15328</v>
      </c>
      <c r="G157">
        <v>50665</v>
      </c>
      <c r="H157">
        <v>3783</v>
      </c>
      <c r="I157">
        <v>13305</v>
      </c>
      <c r="J157">
        <v>7283</v>
      </c>
      <c r="K157">
        <v>15782</v>
      </c>
      <c r="L157">
        <v>106146</v>
      </c>
      <c r="M157">
        <v>1145</v>
      </c>
      <c r="N157">
        <v>-1029</v>
      </c>
      <c r="O157">
        <v>-9</v>
      </c>
      <c r="P157">
        <v>-69</v>
      </c>
      <c r="Q157">
        <v>3584</v>
      </c>
      <c r="R157">
        <v>228</v>
      </c>
      <c r="S157">
        <v>1940</v>
      </c>
      <c r="T157">
        <v>213</v>
      </c>
      <c r="U157">
        <v>680</v>
      </c>
      <c r="V157">
        <v>0</v>
      </c>
      <c r="W157">
        <v>0</v>
      </c>
      <c r="X157">
        <v>-24</v>
      </c>
      <c r="Y157">
        <v>-397</v>
      </c>
      <c r="Z157">
        <v>-29332</v>
      </c>
      <c r="AA157">
        <v>0</v>
      </c>
      <c r="AB157">
        <v>8105</v>
      </c>
      <c r="AC157">
        <v>0</v>
      </c>
      <c r="AD157">
        <v>0</v>
      </c>
      <c r="AE157">
        <v>0</v>
      </c>
      <c r="AF157">
        <v>0</v>
      </c>
      <c r="AG157">
        <v>0</v>
      </c>
      <c r="AH157">
        <v>0</v>
      </c>
      <c r="AI157">
        <v>-14965</v>
      </c>
      <c r="AJ157">
        <v>0</v>
      </c>
      <c r="AK157">
        <v>0</v>
      </c>
      <c r="AL157">
        <v>0</v>
      </c>
      <c r="AM157">
        <v>0</v>
      </c>
      <c r="AN157">
        <v>0</v>
      </c>
      <c r="AO157">
        <v>0</v>
      </c>
      <c r="AP157">
        <v>0</v>
      </c>
      <c r="AQ157">
        <v>15111</v>
      </c>
      <c r="AR157">
        <v>31631</v>
      </c>
      <c r="AS157">
        <v>0</v>
      </c>
      <c r="AT157">
        <v>0</v>
      </c>
      <c r="AU157">
        <v>0</v>
      </c>
      <c r="AV157">
        <v>241</v>
      </c>
      <c r="AW157">
        <v>20583</v>
      </c>
      <c r="AX157">
        <v>1528</v>
      </c>
      <c r="AY157">
        <v>12069</v>
      </c>
      <c r="AZ157">
        <v>795</v>
      </c>
      <c r="BA157">
        <v>11527</v>
      </c>
      <c r="BB157">
        <v>364</v>
      </c>
      <c r="BC157">
        <v>1378</v>
      </c>
      <c r="BD157">
        <v>48485</v>
      </c>
      <c r="BE157">
        <v>2363</v>
      </c>
      <c r="BF157">
        <v>24641</v>
      </c>
      <c r="BG157">
        <v>15</v>
      </c>
      <c r="BH157">
        <v>167</v>
      </c>
      <c r="BI157">
        <v>34</v>
      </c>
      <c r="BJ157">
        <v>299</v>
      </c>
      <c r="BK157">
        <v>12931</v>
      </c>
      <c r="BL157">
        <v>2463</v>
      </c>
      <c r="BM157">
        <v>2890</v>
      </c>
      <c r="BN157">
        <v>2720</v>
      </c>
      <c r="BO157">
        <v>0</v>
      </c>
      <c r="BP157">
        <v>254</v>
      </c>
      <c r="BQ157">
        <v>210</v>
      </c>
      <c r="BR157">
        <v>0</v>
      </c>
      <c r="BS157">
        <v>269</v>
      </c>
      <c r="BT157">
        <v>4672</v>
      </c>
      <c r="BU157">
        <v>1063</v>
      </c>
      <c r="BV157">
        <v>7529</v>
      </c>
      <c r="BW157">
        <v>67628</v>
      </c>
      <c r="BX157">
        <v>3657</v>
      </c>
      <c r="BY157">
        <v>15</v>
      </c>
      <c r="BZ157">
        <v>266</v>
      </c>
      <c r="CA157">
        <v>176</v>
      </c>
      <c r="CB157">
        <v>678</v>
      </c>
      <c r="CC157">
        <v>207</v>
      </c>
      <c r="CD157">
        <v>81</v>
      </c>
      <c r="CE157">
        <v>331</v>
      </c>
      <c r="CF157">
        <v>0</v>
      </c>
      <c r="CG157">
        <v>461</v>
      </c>
      <c r="CH157">
        <v>262</v>
      </c>
      <c r="CI157">
        <v>1312</v>
      </c>
      <c r="CJ157">
        <v>646</v>
      </c>
      <c r="CK157">
        <v>351</v>
      </c>
      <c r="CL157">
        <v>1525</v>
      </c>
      <c r="CM157">
        <v>100</v>
      </c>
      <c r="CN157">
        <v>421</v>
      </c>
      <c r="CO157">
        <v>85</v>
      </c>
      <c r="CP157">
        <v>2168</v>
      </c>
      <c r="CQ157">
        <v>3318</v>
      </c>
      <c r="CR157">
        <v>1197</v>
      </c>
      <c r="CS157">
        <v>20</v>
      </c>
      <c r="CT157">
        <v>1494</v>
      </c>
      <c r="CU157">
        <v>3369</v>
      </c>
      <c r="CV157">
        <v>25055</v>
      </c>
      <c r="CW157">
        <v>0</v>
      </c>
      <c r="CX157">
        <v>0</v>
      </c>
      <c r="CY157">
        <v>0</v>
      </c>
      <c r="CZ157">
        <v>0</v>
      </c>
      <c r="DA157">
        <v>0</v>
      </c>
      <c r="DB157">
        <v>0</v>
      </c>
      <c r="DC157">
        <v>890</v>
      </c>
      <c r="DD157">
        <v>0</v>
      </c>
      <c r="DE157">
        <v>0</v>
      </c>
      <c r="DF157">
        <v>0</v>
      </c>
      <c r="DG157">
        <v>0</v>
      </c>
      <c r="DH157">
        <v>6642</v>
      </c>
      <c r="DI157">
        <v>0</v>
      </c>
      <c r="DJ157">
        <v>1461</v>
      </c>
      <c r="DK157">
        <v>0</v>
      </c>
      <c r="DL157">
        <v>0</v>
      </c>
      <c r="DM157">
        <v>462</v>
      </c>
      <c r="DN157">
        <v>3440</v>
      </c>
      <c r="DO157">
        <v>1508</v>
      </c>
      <c r="DP157">
        <v>13513</v>
      </c>
      <c r="DQ157">
        <v>0</v>
      </c>
      <c r="DR157">
        <v>0</v>
      </c>
      <c r="DS157">
        <v>0</v>
      </c>
      <c r="DT157">
        <v>1848</v>
      </c>
      <c r="DU157">
        <v>21</v>
      </c>
      <c r="DV157">
        <v>2831</v>
      </c>
      <c r="DW157">
        <v>0</v>
      </c>
      <c r="DX157">
        <v>19103</v>
      </c>
      <c r="DY157">
        <v>68740</v>
      </c>
      <c r="DZ157">
        <v>3575</v>
      </c>
      <c r="EA157">
        <v>13052</v>
      </c>
      <c r="EB157">
        <v>1058</v>
      </c>
      <c r="EC157">
        <v>0</v>
      </c>
      <c r="ED157">
        <v>0</v>
      </c>
      <c r="EE157">
        <v>0</v>
      </c>
      <c r="EF157">
        <v>0</v>
      </c>
      <c r="EG157">
        <v>0</v>
      </c>
      <c r="EH157">
        <v>20545</v>
      </c>
      <c r="EI157">
        <v>37829</v>
      </c>
      <c r="EJ157">
        <v>0</v>
      </c>
      <c r="EK157">
        <v>605</v>
      </c>
      <c r="EL157">
        <v>8262</v>
      </c>
      <c r="EM157">
        <v>0</v>
      </c>
      <c r="EN157">
        <v>0</v>
      </c>
      <c r="EO157">
        <v>151</v>
      </c>
      <c r="EP157">
        <v>0</v>
      </c>
      <c r="EQ157">
        <v>20777</v>
      </c>
      <c r="ER157">
        <v>1746</v>
      </c>
      <c r="ES157">
        <v>30202</v>
      </c>
      <c r="ET157">
        <v>26712</v>
      </c>
      <c r="EU157">
        <v>109</v>
      </c>
      <c r="EV157">
        <v>366</v>
      </c>
      <c r="EW157">
        <v>0</v>
      </c>
      <c r="EX157">
        <v>78</v>
      </c>
      <c r="EY157">
        <v>-75</v>
      </c>
      <c r="EZ157">
        <v>212</v>
      </c>
      <c r="FA157">
        <v>0</v>
      </c>
      <c r="FB157">
        <v>0</v>
      </c>
      <c r="FC157">
        <v>-229</v>
      </c>
      <c r="FD157">
        <v>2256</v>
      </c>
      <c r="FE157">
        <v>0</v>
      </c>
      <c r="FF157">
        <v>0</v>
      </c>
      <c r="FG157">
        <v>2521</v>
      </c>
      <c r="FH157">
        <v>5238</v>
      </c>
      <c r="FI157">
        <v>-71</v>
      </c>
      <c r="FJ157">
        <v>118</v>
      </c>
      <c r="FK157">
        <v>0</v>
      </c>
      <c r="FL157">
        <v>36</v>
      </c>
      <c r="FM157">
        <v>1383</v>
      </c>
      <c r="FN157">
        <v>0</v>
      </c>
      <c r="FO157">
        <v>272</v>
      </c>
      <c r="FP157">
        <v>0</v>
      </c>
      <c r="FQ157">
        <v>0</v>
      </c>
      <c r="FR157">
        <v>43</v>
      </c>
      <c r="FS157">
        <v>0</v>
      </c>
      <c r="FT157">
        <v>0</v>
      </c>
      <c r="FU157">
        <v>275</v>
      </c>
      <c r="FV157">
        <v>5528</v>
      </c>
      <c r="FW157">
        <v>1373</v>
      </c>
      <c r="FX157">
        <v>784</v>
      </c>
      <c r="FY157">
        <v>0</v>
      </c>
      <c r="FZ157">
        <v>0</v>
      </c>
      <c r="GA157">
        <v>0</v>
      </c>
      <c r="GB157">
        <v>0</v>
      </c>
      <c r="GC157">
        <v>0</v>
      </c>
      <c r="GD157">
        <v>202</v>
      </c>
      <c r="GE157">
        <v>12215</v>
      </c>
      <c r="GF157">
        <v>7550</v>
      </c>
      <c r="GG157">
        <v>0</v>
      </c>
      <c r="GH157">
        <v>0</v>
      </c>
      <c r="GI157">
        <v>245</v>
      </c>
      <c r="GJ157">
        <v>781</v>
      </c>
      <c r="GK157">
        <v>30734</v>
      </c>
      <c r="GL157">
        <v>1141</v>
      </c>
      <c r="GM157">
        <v>699</v>
      </c>
      <c r="GN157">
        <v>378</v>
      </c>
      <c r="GO157">
        <v>-2955</v>
      </c>
      <c r="GP157">
        <v>7</v>
      </c>
      <c r="GQ157">
        <v>8304</v>
      </c>
      <c r="GR157">
        <v>0</v>
      </c>
      <c r="GS157">
        <v>0</v>
      </c>
      <c r="GT157">
        <v>1200</v>
      </c>
      <c r="GU157">
        <v>8774</v>
      </c>
      <c r="GV157">
        <v>44746</v>
      </c>
      <c r="GW157">
        <v>0</v>
      </c>
      <c r="GX157">
        <v>0</v>
      </c>
      <c r="GY157">
        <v>0</v>
      </c>
      <c r="GZ157">
        <v>0</v>
      </c>
      <c r="HA157">
        <v>0</v>
      </c>
      <c r="HB157">
        <v>9113</v>
      </c>
      <c r="HC157">
        <v>4</v>
      </c>
      <c r="HD157">
        <v>0</v>
      </c>
      <c r="HE157">
        <v>0</v>
      </c>
      <c r="HF157">
        <v>1034</v>
      </c>
      <c r="HG157">
        <v>543</v>
      </c>
      <c r="HH157">
        <v>0</v>
      </c>
      <c r="HI157">
        <v>160</v>
      </c>
      <c r="HJ157">
        <v>135</v>
      </c>
      <c r="HK157">
        <v>567</v>
      </c>
      <c r="HL157">
        <v>63</v>
      </c>
      <c r="HM157">
        <v>-767</v>
      </c>
      <c r="HN157">
        <v>0</v>
      </c>
      <c r="HO157">
        <v>0</v>
      </c>
      <c r="HP157">
        <v>173</v>
      </c>
      <c r="HQ157">
        <v>0</v>
      </c>
      <c r="HR157">
        <v>4917</v>
      </c>
      <c r="HS157">
        <v>12</v>
      </c>
      <c r="HT157">
        <v>0</v>
      </c>
      <c r="HU157">
        <v>34699</v>
      </c>
      <c r="HV157">
        <v>50653</v>
      </c>
      <c r="HW157">
        <v>0</v>
      </c>
      <c r="HX157">
        <v>34993</v>
      </c>
      <c r="HY157">
        <v>0</v>
      </c>
      <c r="HZ157">
        <v>0</v>
      </c>
      <c r="IA157">
        <v>7083</v>
      </c>
      <c r="IB157">
        <v>0</v>
      </c>
      <c r="IC157">
        <v>106146</v>
      </c>
      <c r="ID157">
        <v>-14965</v>
      </c>
      <c r="IE157">
        <v>48485</v>
      </c>
      <c r="IF157">
        <v>67628</v>
      </c>
      <c r="IG157">
        <v>25055</v>
      </c>
      <c r="IH157">
        <v>19103</v>
      </c>
      <c r="II157">
        <v>5238</v>
      </c>
      <c r="IJ157">
        <v>30734</v>
      </c>
      <c r="IK157">
        <v>8774</v>
      </c>
      <c r="IL157">
        <v>0</v>
      </c>
      <c r="IM157">
        <v>0</v>
      </c>
      <c r="IN157">
        <v>50653</v>
      </c>
      <c r="IO157">
        <v>0</v>
      </c>
      <c r="IP157">
        <v>346851</v>
      </c>
      <c r="IQ157">
        <v>56429</v>
      </c>
      <c r="IR157">
        <v>11344</v>
      </c>
      <c r="IS157">
        <v>24473</v>
      </c>
      <c r="IT157">
        <v>0</v>
      </c>
      <c r="IU157">
        <v>0</v>
      </c>
      <c r="IV157">
        <v>0</v>
      </c>
      <c r="IW157">
        <v>0</v>
      </c>
      <c r="IX157">
        <v>839</v>
      </c>
      <c r="IY157">
        <v>1169</v>
      </c>
      <c r="IZ157">
        <v>548</v>
      </c>
      <c r="JA157">
        <v>283</v>
      </c>
      <c r="JB157">
        <v>3605</v>
      </c>
      <c r="JC157">
        <v>0</v>
      </c>
      <c r="JD157">
        <v>0</v>
      </c>
      <c r="JE157">
        <v>0</v>
      </c>
      <c r="JF157">
        <v>29370</v>
      </c>
      <c r="JG157">
        <v>474911</v>
      </c>
      <c r="JH157">
        <v>190</v>
      </c>
      <c r="JI157">
        <v>713</v>
      </c>
      <c r="JJ157">
        <v>0</v>
      </c>
      <c r="JK157">
        <v>-511</v>
      </c>
      <c r="JL157">
        <v>0</v>
      </c>
      <c r="JM157">
        <v>-2683</v>
      </c>
      <c r="JN157">
        <v>2000</v>
      </c>
      <c r="JO157">
        <v>74</v>
      </c>
      <c r="JP157">
        <v>10233</v>
      </c>
      <c r="JQ157">
        <v>0</v>
      </c>
      <c r="JR157">
        <v>484927</v>
      </c>
      <c r="JS157">
        <v>-4171</v>
      </c>
      <c r="JT157">
        <v>1017</v>
      </c>
      <c r="JU157">
        <v>0</v>
      </c>
      <c r="JV157">
        <v>0</v>
      </c>
      <c r="JW157">
        <v>-100545</v>
      </c>
      <c r="JX157">
        <v>0</v>
      </c>
      <c r="JY157">
        <v>-10131</v>
      </c>
      <c r="JZ157">
        <v>0</v>
      </c>
      <c r="KA157">
        <v>0</v>
      </c>
      <c r="KB157">
        <v>-4859</v>
      </c>
      <c r="KC157">
        <v>366238</v>
      </c>
      <c r="KD157">
        <v>0</v>
      </c>
      <c r="KE157">
        <v>-194758</v>
      </c>
      <c r="KF157">
        <v>171480</v>
      </c>
      <c r="KG157">
        <v>0</v>
      </c>
      <c r="KH157">
        <v>214</v>
      </c>
      <c r="KI157">
        <v>-1874</v>
      </c>
      <c r="KJ157">
        <v>483</v>
      </c>
      <c r="KK157">
        <v>-8954</v>
      </c>
      <c r="KL157">
        <v>1100</v>
      </c>
      <c r="KM157">
        <v>-17506</v>
      </c>
      <c r="KN157">
        <v>0</v>
      </c>
      <c r="KO157">
        <v>-43212</v>
      </c>
      <c r="KP157">
        <v>-280</v>
      </c>
      <c r="KQ157">
        <v>591</v>
      </c>
      <c r="KR157">
        <v>67331</v>
      </c>
      <c r="KS157">
        <v>10103</v>
      </c>
      <c r="KT157">
        <v>2175</v>
      </c>
      <c r="KU157">
        <v>198</v>
      </c>
      <c r="KV157">
        <v>152682</v>
      </c>
      <c r="KW157">
        <v>19307</v>
      </c>
      <c r="KX157">
        <v>10317</v>
      </c>
      <c r="KY157">
        <v>301</v>
      </c>
      <c r="KZ157">
        <v>681</v>
      </c>
      <c r="LA157">
        <v>143728</v>
      </c>
      <c r="LB157">
        <v>20407</v>
      </c>
      <c r="LC157">
        <v>0</v>
      </c>
      <c r="LD157">
        <v>20171</v>
      </c>
      <c r="LE157">
        <v>0</v>
      </c>
      <c r="LF157">
        <v>-3632</v>
      </c>
      <c r="LG157">
        <v>-13513</v>
      </c>
      <c r="LH157">
        <v>4148</v>
      </c>
      <c r="LI157">
        <v>7417</v>
      </c>
      <c r="LJ157">
        <v>4480</v>
      </c>
      <c r="LK157">
        <v>8329</v>
      </c>
      <c r="LL157">
        <v>12809</v>
      </c>
      <c r="LM157">
        <v>0</v>
      </c>
      <c r="LN157">
        <v>0</v>
      </c>
      <c r="LO157">
        <v>0</v>
      </c>
      <c r="LP157">
        <v>86425</v>
      </c>
      <c r="LQ157">
        <v>89915</v>
      </c>
      <c r="LR157">
        <v>-3490</v>
      </c>
      <c r="LS157">
        <v>30202</v>
      </c>
      <c r="LT157">
        <v>26712</v>
      </c>
      <c r="LU157">
        <v>106146</v>
      </c>
      <c r="LV157">
        <v>-14965</v>
      </c>
      <c r="LW157">
        <v>48485</v>
      </c>
      <c r="LX157">
        <v>67628</v>
      </c>
      <c r="LY157">
        <v>25055</v>
      </c>
      <c r="LZ157">
        <v>19103</v>
      </c>
      <c r="MA157">
        <v>5238</v>
      </c>
      <c r="MB157">
        <v>30734</v>
      </c>
      <c r="MC157">
        <v>8774</v>
      </c>
      <c r="MD157">
        <v>0</v>
      </c>
      <c r="ME157">
        <v>0</v>
      </c>
      <c r="MF157">
        <v>50653</v>
      </c>
      <c r="MG157">
        <v>0</v>
      </c>
      <c r="MH157">
        <v>346851</v>
      </c>
      <c r="MI157">
        <v>0</v>
      </c>
      <c r="MJ157">
        <v>0</v>
      </c>
      <c r="MK157">
        <v>0</v>
      </c>
      <c r="ML157">
        <v>0</v>
      </c>
      <c r="MM157">
        <v>0</v>
      </c>
      <c r="MN157">
        <v>0</v>
      </c>
      <c r="MO157">
        <v>0</v>
      </c>
      <c r="MP157">
        <v>0</v>
      </c>
      <c r="MQ157">
        <v>0</v>
      </c>
      <c r="MR157">
        <v>0</v>
      </c>
      <c r="MS157">
        <v>0</v>
      </c>
      <c r="MT157">
        <v>0</v>
      </c>
      <c r="MU157">
        <v>207</v>
      </c>
      <c r="MV157">
        <v>0</v>
      </c>
      <c r="MW157">
        <v>0</v>
      </c>
      <c r="MX157">
        <v>0</v>
      </c>
      <c r="MY157">
        <v>76</v>
      </c>
      <c r="MZ157">
        <v>0</v>
      </c>
      <c r="NA157">
        <v>283</v>
      </c>
      <c r="NB157">
        <v>0</v>
      </c>
      <c r="NC157">
        <v>283</v>
      </c>
      <c r="ND157">
        <v>0</v>
      </c>
      <c r="NE157">
        <v>0</v>
      </c>
      <c r="NF157">
        <v>346</v>
      </c>
      <c r="NG157">
        <v>0</v>
      </c>
      <c r="NH157">
        <v>0</v>
      </c>
      <c r="NI157">
        <v>0</v>
      </c>
      <c r="NJ157">
        <v>0</v>
      </c>
      <c r="NK157">
        <v>0</v>
      </c>
      <c r="NL157">
        <v>0</v>
      </c>
      <c r="NM157">
        <v>0</v>
      </c>
      <c r="NN157">
        <v>0</v>
      </c>
      <c r="NO157">
        <v>0</v>
      </c>
      <c r="NP157">
        <v>0</v>
      </c>
      <c r="NQ157">
        <v>0</v>
      </c>
      <c r="NR157">
        <v>0</v>
      </c>
      <c r="NS157">
        <v>0</v>
      </c>
      <c r="NT157">
        <v>3259</v>
      </c>
      <c r="NU157">
        <v>0</v>
      </c>
      <c r="NV157">
        <v>0</v>
      </c>
      <c r="NW157">
        <v>0</v>
      </c>
      <c r="NX157">
        <v>0</v>
      </c>
      <c r="NY157">
        <v>0</v>
      </c>
      <c r="NZ157">
        <v>3605</v>
      </c>
      <c r="OA157">
        <v>0</v>
      </c>
      <c r="OB157">
        <v>3605</v>
      </c>
      <c r="OC157">
        <v>0</v>
      </c>
      <c r="OD157">
        <v>0</v>
      </c>
      <c r="OE157">
        <v>0</v>
      </c>
      <c r="OF157">
        <v>0</v>
      </c>
      <c r="OG157">
        <v>0</v>
      </c>
      <c r="OH157">
        <v>0</v>
      </c>
      <c r="OI157">
        <v>0</v>
      </c>
      <c r="OJ157">
        <v>0</v>
      </c>
      <c r="OK157">
        <v>0</v>
      </c>
      <c r="OL157">
        <v>0</v>
      </c>
      <c r="OM157">
        <v>0</v>
      </c>
      <c r="ON157">
        <v>0</v>
      </c>
    </row>
    <row r="158" spans="1:404" x14ac:dyDescent="0.25">
      <c r="A158" t="s">
        <v>539</v>
      </c>
      <c r="B158" t="s">
        <v>540</v>
      </c>
      <c r="C158" t="s">
        <v>538</v>
      </c>
      <c r="E158" t="s">
        <v>1942</v>
      </c>
      <c r="F158">
        <v>81644</v>
      </c>
      <c r="G158">
        <v>523560</v>
      </c>
      <c r="H158">
        <v>220405</v>
      </c>
      <c r="I158">
        <v>112378</v>
      </c>
      <c r="J158">
        <v>16861</v>
      </c>
      <c r="K158">
        <v>61129</v>
      </c>
      <c r="L158">
        <v>1015977</v>
      </c>
      <c r="M158">
        <v>-1255</v>
      </c>
      <c r="N158">
        <v>2926</v>
      </c>
      <c r="O158">
        <v>47</v>
      </c>
      <c r="P158">
        <v>223</v>
      </c>
      <c r="Q158">
        <v>2</v>
      </c>
      <c r="R158">
        <v>16775</v>
      </c>
      <c r="S158">
        <v>18803</v>
      </c>
      <c r="T158">
        <v>5374</v>
      </c>
      <c r="U158">
        <v>9923</v>
      </c>
      <c r="V158">
        <v>0</v>
      </c>
      <c r="W158">
        <v>0</v>
      </c>
      <c r="X158">
        <v>2027</v>
      </c>
      <c r="Y158">
        <v>2458</v>
      </c>
      <c r="Z158">
        <v>-25</v>
      </c>
      <c r="AA158">
        <v>329</v>
      </c>
      <c r="AB158">
        <v>10359</v>
      </c>
      <c r="AC158">
        <v>157</v>
      </c>
      <c r="AD158">
        <v>3758</v>
      </c>
      <c r="AE158">
        <v>0</v>
      </c>
      <c r="AF158">
        <v>181</v>
      </c>
      <c r="AG158">
        <v>1266</v>
      </c>
      <c r="AH158">
        <v>0</v>
      </c>
      <c r="AI158">
        <v>73328</v>
      </c>
      <c r="AJ158">
        <v>0</v>
      </c>
      <c r="AK158">
        <v>0</v>
      </c>
      <c r="AL158">
        <v>0</v>
      </c>
      <c r="AM158">
        <v>0</v>
      </c>
      <c r="AN158">
        <v>0</v>
      </c>
      <c r="AO158">
        <v>0</v>
      </c>
      <c r="AP158">
        <v>0</v>
      </c>
      <c r="AQ158">
        <v>695</v>
      </c>
      <c r="AR158">
        <v>758</v>
      </c>
      <c r="AS158">
        <v>0</v>
      </c>
      <c r="AT158">
        <v>0</v>
      </c>
      <c r="AU158">
        <v>0</v>
      </c>
      <c r="AV158">
        <v>1720</v>
      </c>
      <c r="AW158">
        <v>141675</v>
      </c>
      <c r="AX158">
        <v>797</v>
      </c>
      <c r="AY158">
        <v>27398</v>
      </c>
      <c r="AZ158">
        <v>1306</v>
      </c>
      <c r="BA158">
        <v>44988</v>
      </c>
      <c r="BB158">
        <v>0</v>
      </c>
      <c r="BC158">
        <v>2063</v>
      </c>
      <c r="BD158">
        <v>219947</v>
      </c>
      <c r="BE158">
        <v>37509</v>
      </c>
      <c r="BF158">
        <v>123870</v>
      </c>
      <c r="BG158">
        <v>412</v>
      </c>
      <c r="BH158">
        <v>406</v>
      </c>
      <c r="BI158">
        <v>6550</v>
      </c>
      <c r="BJ158">
        <v>83227</v>
      </c>
      <c r="BK158">
        <v>122574</v>
      </c>
      <c r="BL158">
        <v>16288</v>
      </c>
      <c r="BM158">
        <v>12737</v>
      </c>
      <c r="BN158">
        <v>3459</v>
      </c>
      <c r="BO158">
        <v>6</v>
      </c>
      <c r="BP158">
        <v>418</v>
      </c>
      <c r="BQ158">
        <v>1804</v>
      </c>
      <c r="BR158">
        <v>1152</v>
      </c>
      <c r="BS158">
        <v>6773</v>
      </c>
      <c r="BT158">
        <v>20026</v>
      </c>
      <c r="BU158">
        <v>1622</v>
      </c>
      <c r="BV158">
        <v>9297</v>
      </c>
      <c r="BW158">
        <v>448130</v>
      </c>
      <c r="BX158">
        <v>4515</v>
      </c>
      <c r="BY158">
        <v>3711</v>
      </c>
      <c r="BZ158">
        <v>635</v>
      </c>
      <c r="CA158">
        <v>657</v>
      </c>
      <c r="CB158">
        <v>685</v>
      </c>
      <c r="CC158">
        <v>120</v>
      </c>
      <c r="CD158">
        <v>661</v>
      </c>
      <c r="CE158">
        <v>472</v>
      </c>
      <c r="CF158">
        <v>559</v>
      </c>
      <c r="CG158">
        <v>179</v>
      </c>
      <c r="CH158">
        <v>647</v>
      </c>
      <c r="CI158">
        <v>5551</v>
      </c>
      <c r="CJ158">
        <v>3007</v>
      </c>
      <c r="CK158">
        <v>766</v>
      </c>
      <c r="CL158">
        <v>443</v>
      </c>
      <c r="CM158">
        <v>27</v>
      </c>
      <c r="CN158">
        <v>2152</v>
      </c>
      <c r="CO158">
        <v>142</v>
      </c>
      <c r="CP158">
        <v>5017</v>
      </c>
      <c r="CQ158">
        <v>15769</v>
      </c>
      <c r="CR158">
        <v>1657</v>
      </c>
      <c r="CS158">
        <v>33</v>
      </c>
      <c r="CT158">
        <v>1679</v>
      </c>
      <c r="CU158">
        <v>5569</v>
      </c>
      <c r="CV158">
        <v>70874</v>
      </c>
      <c r="CW158">
        <v>0</v>
      </c>
      <c r="CX158">
        <v>0</v>
      </c>
      <c r="CY158">
        <v>0</v>
      </c>
      <c r="CZ158">
        <v>0</v>
      </c>
      <c r="DA158">
        <v>0</v>
      </c>
      <c r="DB158">
        <v>0</v>
      </c>
      <c r="DC158">
        <v>0</v>
      </c>
      <c r="DD158">
        <v>0</v>
      </c>
      <c r="DE158">
        <v>0</v>
      </c>
      <c r="DF158">
        <v>0</v>
      </c>
      <c r="DG158">
        <v>0</v>
      </c>
      <c r="DH158">
        <v>0</v>
      </c>
      <c r="DI158">
        <v>0</v>
      </c>
      <c r="DJ158">
        <v>0</v>
      </c>
      <c r="DK158">
        <v>0</v>
      </c>
      <c r="DL158">
        <v>0</v>
      </c>
      <c r="DM158">
        <v>0</v>
      </c>
      <c r="DN158">
        <v>0</v>
      </c>
      <c r="DO158">
        <v>0</v>
      </c>
      <c r="DP158">
        <v>0</v>
      </c>
      <c r="DQ158">
        <v>0</v>
      </c>
      <c r="DR158">
        <v>0</v>
      </c>
      <c r="DS158">
        <v>0</v>
      </c>
      <c r="DT158">
        <v>0</v>
      </c>
      <c r="DU158">
        <v>178</v>
      </c>
      <c r="DV158">
        <v>0</v>
      </c>
      <c r="DW158">
        <v>0</v>
      </c>
      <c r="DX158">
        <v>178</v>
      </c>
      <c r="DY158">
        <v>0</v>
      </c>
      <c r="DZ158">
        <v>0</v>
      </c>
      <c r="EA158">
        <v>0</v>
      </c>
      <c r="EB158">
        <v>0</v>
      </c>
      <c r="EC158">
        <v>0</v>
      </c>
      <c r="ED158">
        <v>0</v>
      </c>
      <c r="EE158">
        <v>0</v>
      </c>
      <c r="EF158">
        <v>0</v>
      </c>
      <c r="EG158">
        <v>0</v>
      </c>
      <c r="EH158">
        <v>0</v>
      </c>
      <c r="EI158">
        <v>0</v>
      </c>
      <c r="EJ158">
        <v>0</v>
      </c>
      <c r="EK158">
        <v>0</v>
      </c>
      <c r="EL158">
        <v>0</v>
      </c>
      <c r="EM158">
        <v>0</v>
      </c>
      <c r="EN158">
        <v>0</v>
      </c>
      <c r="EO158">
        <v>0</v>
      </c>
      <c r="EP158">
        <v>0</v>
      </c>
      <c r="EQ158">
        <v>0</v>
      </c>
      <c r="ER158">
        <v>0</v>
      </c>
      <c r="ES158">
        <v>0</v>
      </c>
      <c r="ET158">
        <v>0</v>
      </c>
      <c r="EU158">
        <v>674</v>
      </c>
      <c r="EV158">
        <v>194</v>
      </c>
      <c r="EW158">
        <v>33</v>
      </c>
      <c r="EX158">
        <v>2942</v>
      </c>
      <c r="EY158">
        <v>0</v>
      </c>
      <c r="EZ158">
        <v>0</v>
      </c>
      <c r="FA158">
        <v>0</v>
      </c>
      <c r="FB158">
        <v>1016</v>
      </c>
      <c r="FC158">
        <v>934</v>
      </c>
      <c r="FD158">
        <v>5144</v>
      </c>
      <c r="FE158">
        <v>0</v>
      </c>
      <c r="FF158">
        <v>70</v>
      </c>
      <c r="FG158">
        <v>12199</v>
      </c>
      <c r="FH158">
        <v>23206</v>
      </c>
      <c r="FI158">
        <v>0</v>
      </c>
      <c r="FJ158">
        <v>2424</v>
      </c>
      <c r="FK158">
        <v>0</v>
      </c>
      <c r="FL158">
        <v>0</v>
      </c>
      <c r="FM158">
        <v>0</v>
      </c>
      <c r="FN158">
        <v>0</v>
      </c>
      <c r="FO158">
        <v>0</v>
      </c>
      <c r="FP158">
        <v>0</v>
      </c>
      <c r="FQ158">
        <v>0</v>
      </c>
      <c r="FR158">
        <v>0</v>
      </c>
      <c r="FS158">
        <v>0</v>
      </c>
      <c r="FT158">
        <v>0</v>
      </c>
      <c r="FU158">
        <v>0</v>
      </c>
      <c r="FV158">
        <v>0</v>
      </c>
      <c r="FW158">
        <v>0</v>
      </c>
      <c r="FX158">
        <v>0</v>
      </c>
      <c r="FY158">
        <v>335</v>
      </c>
      <c r="FZ158">
        <v>0</v>
      </c>
      <c r="GA158">
        <v>0</v>
      </c>
      <c r="GB158">
        <v>0</v>
      </c>
      <c r="GC158">
        <v>329</v>
      </c>
      <c r="GD158">
        <v>0</v>
      </c>
      <c r="GE158">
        <v>0</v>
      </c>
      <c r="GF158">
        <v>39620</v>
      </c>
      <c r="GG158">
        <v>-874</v>
      </c>
      <c r="GH158">
        <v>9617</v>
      </c>
      <c r="GI158">
        <v>81</v>
      </c>
      <c r="GJ158">
        <v>188</v>
      </c>
      <c r="GK158">
        <v>51720</v>
      </c>
      <c r="GL158">
        <v>0</v>
      </c>
      <c r="GM158">
        <v>-11</v>
      </c>
      <c r="GN158">
        <v>0</v>
      </c>
      <c r="GO158">
        <v>843</v>
      </c>
      <c r="GP158">
        <v>1156</v>
      </c>
      <c r="GQ158">
        <v>3236</v>
      </c>
      <c r="GR158">
        <v>299</v>
      </c>
      <c r="GS158">
        <v>0</v>
      </c>
      <c r="GT158">
        <v>393</v>
      </c>
      <c r="GU158">
        <v>5916</v>
      </c>
      <c r="GV158">
        <v>80842</v>
      </c>
      <c r="GW158">
        <v>0</v>
      </c>
      <c r="GX158">
        <v>0</v>
      </c>
      <c r="GY158">
        <v>0</v>
      </c>
      <c r="GZ158">
        <v>0</v>
      </c>
      <c r="HA158">
        <v>0</v>
      </c>
      <c r="HB158">
        <v>11959</v>
      </c>
      <c r="HC158">
        <v>0</v>
      </c>
      <c r="HD158">
        <v>0</v>
      </c>
      <c r="HE158">
        <v>0</v>
      </c>
      <c r="HF158">
        <v>0</v>
      </c>
      <c r="HG158">
        <v>0</v>
      </c>
      <c r="HH158">
        <v>0</v>
      </c>
      <c r="HI158">
        <v>-507</v>
      </c>
      <c r="HJ158">
        <v>0</v>
      </c>
      <c r="HK158">
        <v>1010</v>
      </c>
      <c r="HL158">
        <v>733</v>
      </c>
      <c r="HM158">
        <v>0</v>
      </c>
      <c r="HN158">
        <v>0</v>
      </c>
      <c r="HO158">
        <v>805</v>
      </c>
      <c r="HP158">
        <v>2943</v>
      </c>
      <c r="HQ158">
        <v>0</v>
      </c>
      <c r="HR158">
        <v>74</v>
      </c>
      <c r="HS158">
        <v>0</v>
      </c>
      <c r="HT158">
        <v>1834</v>
      </c>
      <c r="HU158">
        <v>7053</v>
      </c>
      <c r="HV158">
        <v>25904</v>
      </c>
      <c r="HW158">
        <v>12058</v>
      </c>
      <c r="HX158">
        <v>101304</v>
      </c>
      <c r="HY158">
        <v>0</v>
      </c>
      <c r="HZ158">
        <v>0</v>
      </c>
      <c r="IA158">
        <v>30536</v>
      </c>
      <c r="IB158">
        <v>195</v>
      </c>
      <c r="IC158">
        <v>1015977</v>
      </c>
      <c r="ID158">
        <v>73328</v>
      </c>
      <c r="IE158">
        <v>219947</v>
      </c>
      <c r="IF158">
        <v>448130</v>
      </c>
      <c r="IG158">
        <v>70874</v>
      </c>
      <c r="IH158">
        <v>178</v>
      </c>
      <c r="II158">
        <v>23206</v>
      </c>
      <c r="IJ158">
        <v>51720</v>
      </c>
      <c r="IK158">
        <v>5916</v>
      </c>
      <c r="IL158">
        <v>0</v>
      </c>
      <c r="IM158">
        <v>0</v>
      </c>
      <c r="IN158">
        <v>25904</v>
      </c>
      <c r="IO158">
        <v>195</v>
      </c>
      <c r="IP158">
        <v>1935375</v>
      </c>
      <c r="IQ158">
        <v>0</v>
      </c>
      <c r="IR158">
        <v>0</v>
      </c>
      <c r="IS158">
        <v>0</v>
      </c>
      <c r="IT158">
        <v>0</v>
      </c>
      <c r="IU158">
        <v>0</v>
      </c>
      <c r="IV158">
        <v>0</v>
      </c>
      <c r="IW158">
        <v>0</v>
      </c>
      <c r="IX158">
        <v>0</v>
      </c>
      <c r="IY158">
        <v>0</v>
      </c>
      <c r="IZ158">
        <v>2159</v>
      </c>
      <c r="JA158">
        <v>73</v>
      </c>
      <c r="JB158">
        <v>-2528</v>
      </c>
      <c r="JC158">
        <v>-3</v>
      </c>
      <c r="JD158">
        <v>-2710</v>
      </c>
      <c r="JE158">
        <v>-3338</v>
      </c>
      <c r="JF158">
        <v>0</v>
      </c>
      <c r="JG158">
        <v>1929028</v>
      </c>
      <c r="JH158">
        <v>713</v>
      </c>
      <c r="JI158">
        <v>7806</v>
      </c>
      <c r="JJ158">
        <v>0</v>
      </c>
      <c r="JK158">
        <v>0</v>
      </c>
      <c r="JL158">
        <v>0</v>
      </c>
      <c r="JM158">
        <v>1619</v>
      </c>
      <c r="JN158">
        <v>22235</v>
      </c>
      <c r="JO158">
        <v>0</v>
      </c>
      <c r="JP158">
        <v>17820</v>
      </c>
      <c r="JQ158">
        <v>0</v>
      </c>
      <c r="JR158">
        <v>1979221</v>
      </c>
      <c r="JS158">
        <v>-14396</v>
      </c>
      <c r="JT158">
        <v>0</v>
      </c>
      <c r="JU158">
        <v>-545</v>
      </c>
      <c r="JV158">
        <v>0</v>
      </c>
      <c r="JW158">
        <v>-4960</v>
      </c>
      <c r="JX158">
        <v>0</v>
      </c>
      <c r="JY158">
        <v>0</v>
      </c>
      <c r="JZ158">
        <v>0</v>
      </c>
      <c r="KA158">
        <v>0</v>
      </c>
      <c r="KB158">
        <v>-24577</v>
      </c>
      <c r="KC158">
        <v>1934743</v>
      </c>
      <c r="KD158">
        <v>-1037</v>
      </c>
      <c r="KE158">
        <v>-1162175</v>
      </c>
      <c r="KF158">
        <v>771531</v>
      </c>
      <c r="KG158">
        <v>0</v>
      </c>
      <c r="KH158">
        <v>17236</v>
      </c>
      <c r="KI158">
        <v>0</v>
      </c>
      <c r="KJ158">
        <v>3111</v>
      </c>
      <c r="KK158">
        <v>74184</v>
      </c>
      <c r="KL158">
        <v>900</v>
      </c>
      <c r="KM158">
        <v>0</v>
      </c>
      <c r="KN158">
        <v>0</v>
      </c>
      <c r="KO158">
        <v>-110512</v>
      </c>
      <c r="KP158">
        <v>-2193</v>
      </c>
      <c r="KQ158">
        <v>0</v>
      </c>
      <c r="KR158">
        <v>707384</v>
      </c>
      <c r="KS158">
        <v>66667</v>
      </c>
      <c r="KT158">
        <v>0</v>
      </c>
      <c r="KU158">
        <v>5758</v>
      </c>
      <c r="KV158">
        <v>492555</v>
      </c>
      <c r="KW158">
        <v>23198</v>
      </c>
      <c r="KX158">
        <v>83903</v>
      </c>
      <c r="KY158">
        <v>0</v>
      </c>
      <c r="KZ158">
        <v>8869</v>
      </c>
      <c r="LA158">
        <v>566739</v>
      </c>
      <c r="LB158">
        <v>24098</v>
      </c>
      <c r="LC158">
        <v>0</v>
      </c>
      <c r="LD158">
        <v>158363</v>
      </c>
      <c r="LE158">
        <v>16109</v>
      </c>
      <c r="LF158">
        <v>22831</v>
      </c>
      <c r="LG158">
        <v>0</v>
      </c>
      <c r="LH158">
        <v>-2319</v>
      </c>
      <c r="LI158">
        <v>194984</v>
      </c>
      <c r="LJ158">
        <v>0</v>
      </c>
      <c r="LK158">
        <v>0</v>
      </c>
      <c r="LL158">
        <v>0</v>
      </c>
      <c r="LM158">
        <v>0</v>
      </c>
      <c r="LN158">
        <v>0</v>
      </c>
      <c r="LO158">
        <v>0</v>
      </c>
      <c r="LP158">
        <v>0</v>
      </c>
      <c r="LQ158">
        <v>0</v>
      </c>
      <c r="LR158">
        <v>0</v>
      </c>
      <c r="LS158">
        <v>0</v>
      </c>
      <c r="LT158">
        <v>0</v>
      </c>
      <c r="LU158">
        <v>1015977</v>
      </c>
      <c r="LV158">
        <v>73328</v>
      </c>
      <c r="LW158">
        <v>219947</v>
      </c>
      <c r="LX158">
        <v>448130</v>
      </c>
      <c r="LY158">
        <v>70874</v>
      </c>
      <c r="LZ158">
        <v>178</v>
      </c>
      <c r="MA158">
        <v>23206</v>
      </c>
      <c r="MB158">
        <v>51720</v>
      </c>
      <c r="MC158">
        <v>5916</v>
      </c>
      <c r="MD158">
        <v>0</v>
      </c>
      <c r="ME158">
        <v>0</v>
      </c>
      <c r="MF158">
        <v>25904</v>
      </c>
      <c r="MG158">
        <v>195</v>
      </c>
      <c r="MH158">
        <v>1935375</v>
      </c>
      <c r="MI158">
        <v>0</v>
      </c>
      <c r="MJ158">
        <v>0</v>
      </c>
      <c r="MK158">
        <v>0</v>
      </c>
      <c r="ML158">
        <v>0</v>
      </c>
      <c r="MM158">
        <v>0</v>
      </c>
      <c r="MN158">
        <v>0</v>
      </c>
      <c r="MO158">
        <v>0</v>
      </c>
      <c r="MP158">
        <v>0</v>
      </c>
      <c r="MQ158">
        <v>0</v>
      </c>
      <c r="MR158">
        <v>0</v>
      </c>
      <c r="MS158">
        <v>0</v>
      </c>
      <c r="MT158">
        <v>0</v>
      </c>
      <c r="MU158">
        <v>0</v>
      </c>
      <c r="MV158">
        <v>0</v>
      </c>
      <c r="MW158">
        <v>0</v>
      </c>
      <c r="MX158">
        <v>0</v>
      </c>
      <c r="MY158">
        <v>0</v>
      </c>
      <c r="MZ158">
        <v>0</v>
      </c>
      <c r="NA158">
        <v>70</v>
      </c>
      <c r="NB158">
        <v>3</v>
      </c>
      <c r="NC158">
        <v>73</v>
      </c>
      <c r="ND158">
        <v>0</v>
      </c>
      <c r="NE158">
        <v>0</v>
      </c>
      <c r="NF158">
        <v>0</v>
      </c>
      <c r="NG158">
        <v>0</v>
      </c>
      <c r="NH158">
        <v>0</v>
      </c>
      <c r="NI158">
        <v>0</v>
      </c>
      <c r="NJ158">
        <v>0</v>
      </c>
      <c r="NK158">
        <v>0</v>
      </c>
      <c r="NL158">
        <v>0</v>
      </c>
      <c r="NM158">
        <v>0</v>
      </c>
      <c r="NN158">
        <v>0</v>
      </c>
      <c r="NO158">
        <v>0</v>
      </c>
      <c r="NP158">
        <v>0</v>
      </c>
      <c r="NQ158">
        <v>1246</v>
      </c>
      <c r="NR158">
        <v>-4037</v>
      </c>
      <c r="NS158">
        <v>0</v>
      </c>
      <c r="NT158">
        <v>-1242</v>
      </c>
      <c r="NU158">
        <v>0</v>
      </c>
      <c r="NV158">
        <v>0</v>
      </c>
      <c r="NW158">
        <v>0</v>
      </c>
      <c r="NX158">
        <v>0</v>
      </c>
      <c r="NY158">
        <v>0</v>
      </c>
      <c r="NZ158">
        <v>-5238</v>
      </c>
      <c r="OA158">
        <v>2710</v>
      </c>
      <c r="OB158">
        <v>-2528</v>
      </c>
      <c r="OC158">
        <v>3</v>
      </c>
      <c r="OD158">
        <v>0</v>
      </c>
      <c r="OE158">
        <v>0</v>
      </c>
      <c r="OF158">
        <v>0</v>
      </c>
      <c r="OG158">
        <v>0</v>
      </c>
      <c r="OH158">
        <v>3</v>
      </c>
      <c r="OI158">
        <v>2710</v>
      </c>
      <c r="OJ158">
        <v>0</v>
      </c>
      <c r="OK158">
        <v>0</v>
      </c>
      <c r="OL158">
        <v>0</v>
      </c>
      <c r="OM158">
        <v>0</v>
      </c>
      <c r="ON158">
        <v>2710</v>
      </c>
    </row>
    <row r="159" spans="1:404" x14ac:dyDescent="0.25">
      <c r="A159" s="425" t="s">
        <v>542</v>
      </c>
      <c r="B159" t="s">
        <v>543</v>
      </c>
      <c r="C159" t="s">
        <v>541</v>
      </c>
      <c r="E159" t="s">
        <v>5408</v>
      </c>
      <c r="F159">
        <v>0</v>
      </c>
      <c r="G159">
        <v>0</v>
      </c>
      <c r="H159">
        <v>0</v>
      </c>
      <c r="I159">
        <v>0</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v>0</v>
      </c>
      <c r="BD159">
        <v>0</v>
      </c>
      <c r="BE159">
        <v>0</v>
      </c>
      <c r="BF159">
        <v>0</v>
      </c>
      <c r="BG159">
        <v>0</v>
      </c>
      <c r="BH159">
        <v>0</v>
      </c>
      <c r="BI159">
        <v>0</v>
      </c>
      <c r="BJ159">
        <v>0</v>
      </c>
      <c r="BK159">
        <v>0</v>
      </c>
      <c r="BL159">
        <v>0</v>
      </c>
      <c r="BM159">
        <v>0</v>
      </c>
      <c r="BN159">
        <v>0</v>
      </c>
      <c r="BO159">
        <v>0</v>
      </c>
      <c r="BP159">
        <v>0</v>
      </c>
      <c r="BQ159">
        <v>0</v>
      </c>
      <c r="BR159">
        <v>0</v>
      </c>
      <c r="BS159">
        <v>0</v>
      </c>
      <c r="BT159">
        <v>0</v>
      </c>
      <c r="BU159">
        <v>0</v>
      </c>
      <c r="BV159">
        <v>0</v>
      </c>
      <c r="BW159">
        <v>0</v>
      </c>
      <c r="BX159">
        <v>0</v>
      </c>
      <c r="BY159">
        <v>0</v>
      </c>
      <c r="BZ159">
        <v>0</v>
      </c>
      <c r="CA159">
        <v>0</v>
      </c>
      <c r="CB159">
        <v>0</v>
      </c>
      <c r="CC159">
        <v>0</v>
      </c>
      <c r="CD159">
        <v>0</v>
      </c>
      <c r="CE159">
        <v>0</v>
      </c>
      <c r="CF159">
        <v>0</v>
      </c>
      <c r="CG159">
        <v>0</v>
      </c>
      <c r="CH159">
        <v>0</v>
      </c>
      <c r="CI159">
        <v>0</v>
      </c>
      <c r="CJ159">
        <v>0</v>
      </c>
      <c r="CK159">
        <v>0</v>
      </c>
      <c r="CL159">
        <v>0</v>
      </c>
      <c r="CM159">
        <v>0</v>
      </c>
      <c r="CN159">
        <v>0</v>
      </c>
      <c r="CO159">
        <v>0</v>
      </c>
      <c r="CP159">
        <v>0</v>
      </c>
      <c r="CQ159">
        <v>0</v>
      </c>
      <c r="CR159">
        <v>0</v>
      </c>
      <c r="CS159">
        <v>0</v>
      </c>
      <c r="CT159">
        <v>0</v>
      </c>
      <c r="CU159">
        <v>0</v>
      </c>
      <c r="CV159">
        <v>0</v>
      </c>
      <c r="CW159">
        <v>0</v>
      </c>
      <c r="CX159">
        <v>0</v>
      </c>
      <c r="CY159">
        <v>0</v>
      </c>
      <c r="CZ159">
        <v>0</v>
      </c>
      <c r="DA159">
        <v>0</v>
      </c>
      <c r="DB159">
        <v>0</v>
      </c>
      <c r="DC159">
        <v>0</v>
      </c>
      <c r="DD159">
        <v>0</v>
      </c>
      <c r="DE159">
        <v>0</v>
      </c>
      <c r="DF159">
        <v>0</v>
      </c>
      <c r="DG159">
        <v>0</v>
      </c>
      <c r="DH159">
        <v>0</v>
      </c>
      <c r="DI159">
        <v>0</v>
      </c>
      <c r="DJ159">
        <v>0</v>
      </c>
      <c r="DK159">
        <v>0</v>
      </c>
      <c r="DL159">
        <v>0</v>
      </c>
      <c r="DM159">
        <v>0</v>
      </c>
      <c r="DN159">
        <v>0</v>
      </c>
      <c r="DO159">
        <v>0</v>
      </c>
      <c r="DP159">
        <v>0</v>
      </c>
      <c r="DQ159">
        <v>0</v>
      </c>
      <c r="DR159">
        <v>0</v>
      </c>
      <c r="DS159">
        <v>0</v>
      </c>
      <c r="DT159">
        <v>0</v>
      </c>
      <c r="DU159">
        <v>0</v>
      </c>
      <c r="DV159">
        <v>0</v>
      </c>
      <c r="DW159">
        <v>0</v>
      </c>
      <c r="DX159">
        <v>0</v>
      </c>
      <c r="DY159">
        <v>0</v>
      </c>
      <c r="DZ159">
        <v>0</v>
      </c>
      <c r="EA159">
        <v>0</v>
      </c>
      <c r="EB159">
        <v>0</v>
      </c>
      <c r="EC159">
        <v>0</v>
      </c>
      <c r="ED159">
        <v>0</v>
      </c>
      <c r="EE159">
        <v>0</v>
      </c>
      <c r="EF159">
        <v>0</v>
      </c>
      <c r="EG159">
        <v>0</v>
      </c>
      <c r="EH159">
        <v>0</v>
      </c>
      <c r="EI159">
        <v>0</v>
      </c>
      <c r="EJ159">
        <v>0</v>
      </c>
      <c r="EK159">
        <v>0</v>
      </c>
      <c r="EL159">
        <v>0</v>
      </c>
      <c r="EM159">
        <v>0</v>
      </c>
      <c r="EN159">
        <v>0</v>
      </c>
      <c r="EO159">
        <v>0</v>
      </c>
      <c r="EP159">
        <v>0</v>
      </c>
      <c r="EQ159">
        <v>0</v>
      </c>
      <c r="ER159">
        <v>0</v>
      </c>
      <c r="ES159">
        <v>0</v>
      </c>
      <c r="ET159">
        <v>0</v>
      </c>
      <c r="EU159">
        <v>0</v>
      </c>
      <c r="EV159">
        <v>0</v>
      </c>
      <c r="EW159">
        <v>0</v>
      </c>
      <c r="EX159">
        <v>0</v>
      </c>
      <c r="EY159">
        <v>0</v>
      </c>
      <c r="EZ159">
        <v>0</v>
      </c>
      <c r="FA159">
        <v>0</v>
      </c>
      <c r="FB159">
        <v>0</v>
      </c>
      <c r="FC159">
        <v>0</v>
      </c>
      <c r="FD159">
        <v>0</v>
      </c>
      <c r="FE159">
        <v>0</v>
      </c>
      <c r="FF159">
        <v>0</v>
      </c>
      <c r="FG159">
        <v>0</v>
      </c>
      <c r="FH159">
        <v>0</v>
      </c>
      <c r="FI159">
        <v>0</v>
      </c>
      <c r="FJ159">
        <v>0</v>
      </c>
      <c r="FK159">
        <v>0</v>
      </c>
      <c r="FL159">
        <v>0</v>
      </c>
      <c r="FM159">
        <v>0</v>
      </c>
      <c r="FN159">
        <v>0</v>
      </c>
      <c r="FO159">
        <v>0</v>
      </c>
      <c r="FP159">
        <v>0</v>
      </c>
      <c r="FQ159">
        <v>0</v>
      </c>
      <c r="FR159">
        <v>0</v>
      </c>
      <c r="FS159">
        <v>0</v>
      </c>
      <c r="FT159">
        <v>0</v>
      </c>
      <c r="FU159">
        <v>0</v>
      </c>
      <c r="FV159">
        <v>0</v>
      </c>
      <c r="FW159">
        <v>0</v>
      </c>
      <c r="FX159">
        <v>0</v>
      </c>
      <c r="FY159">
        <v>0</v>
      </c>
      <c r="FZ159">
        <v>0</v>
      </c>
      <c r="GA159">
        <v>0</v>
      </c>
      <c r="GB159">
        <v>0</v>
      </c>
      <c r="GC159">
        <v>0</v>
      </c>
      <c r="GD159">
        <v>0</v>
      </c>
      <c r="GE159">
        <v>0</v>
      </c>
      <c r="GF159">
        <v>0</v>
      </c>
      <c r="GG159">
        <v>0</v>
      </c>
      <c r="GH159">
        <v>0</v>
      </c>
      <c r="GI159">
        <v>0</v>
      </c>
      <c r="GJ159">
        <v>0</v>
      </c>
      <c r="GK159">
        <v>0</v>
      </c>
      <c r="GL159">
        <v>0</v>
      </c>
      <c r="GM159">
        <v>0</v>
      </c>
      <c r="GN159">
        <v>0</v>
      </c>
      <c r="GO159">
        <v>0</v>
      </c>
      <c r="GP159">
        <v>0</v>
      </c>
      <c r="GQ159">
        <v>0</v>
      </c>
      <c r="GR159">
        <v>0</v>
      </c>
      <c r="GS159">
        <v>0</v>
      </c>
      <c r="GT159">
        <v>0</v>
      </c>
      <c r="GU159">
        <v>0</v>
      </c>
      <c r="GV159">
        <v>0</v>
      </c>
      <c r="GW159">
        <v>0</v>
      </c>
      <c r="GX159">
        <v>1838</v>
      </c>
      <c r="GY159">
        <v>74292</v>
      </c>
      <c r="GZ159">
        <v>0</v>
      </c>
      <c r="HA159">
        <v>76130</v>
      </c>
      <c r="HB159">
        <v>0</v>
      </c>
      <c r="HC159">
        <v>0</v>
      </c>
      <c r="HD159">
        <v>0</v>
      </c>
      <c r="HE159">
        <v>0</v>
      </c>
      <c r="HF159">
        <v>0</v>
      </c>
      <c r="HG159">
        <v>0</v>
      </c>
      <c r="HH159">
        <v>0</v>
      </c>
      <c r="HI159">
        <v>0</v>
      </c>
      <c r="HJ159">
        <v>0</v>
      </c>
      <c r="HK159">
        <v>0</v>
      </c>
      <c r="HL159">
        <v>0</v>
      </c>
      <c r="HM159">
        <v>0</v>
      </c>
      <c r="HN159">
        <v>0</v>
      </c>
      <c r="HO159">
        <v>0</v>
      </c>
      <c r="HP159">
        <v>0</v>
      </c>
      <c r="HQ159">
        <v>0</v>
      </c>
      <c r="HR159">
        <v>0</v>
      </c>
      <c r="HS159">
        <v>0</v>
      </c>
      <c r="HT159">
        <v>0</v>
      </c>
      <c r="HU159">
        <v>0</v>
      </c>
      <c r="HV159">
        <v>0</v>
      </c>
      <c r="HW159">
        <v>0</v>
      </c>
      <c r="HX159">
        <v>0</v>
      </c>
      <c r="HY159">
        <v>0</v>
      </c>
      <c r="HZ159">
        <v>0</v>
      </c>
      <c r="IA159">
        <v>0</v>
      </c>
      <c r="IB159">
        <v>0</v>
      </c>
      <c r="IC159">
        <v>0</v>
      </c>
      <c r="ID159">
        <v>0</v>
      </c>
      <c r="IE159">
        <v>0</v>
      </c>
      <c r="IF159">
        <v>0</v>
      </c>
      <c r="IG159">
        <v>0</v>
      </c>
      <c r="IH159">
        <v>0</v>
      </c>
      <c r="II159">
        <v>0</v>
      </c>
      <c r="IJ159">
        <v>0</v>
      </c>
      <c r="IK159">
        <v>0</v>
      </c>
      <c r="IL159">
        <v>0</v>
      </c>
      <c r="IM159">
        <v>76130</v>
      </c>
      <c r="IN159">
        <v>0</v>
      </c>
      <c r="IO159">
        <v>0</v>
      </c>
      <c r="IP159">
        <v>76130</v>
      </c>
      <c r="IQ159">
        <v>0</v>
      </c>
      <c r="IR159">
        <v>0</v>
      </c>
      <c r="IS159">
        <v>0</v>
      </c>
      <c r="IT159">
        <v>0</v>
      </c>
      <c r="IU159">
        <v>0</v>
      </c>
      <c r="IV159">
        <v>0</v>
      </c>
      <c r="IW159">
        <v>0</v>
      </c>
      <c r="IX159">
        <v>0</v>
      </c>
      <c r="IY159">
        <v>0</v>
      </c>
      <c r="IZ159">
        <v>202</v>
      </c>
      <c r="JA159">
        <v>0</v>
      </c>
      <c r="JB159">
        <v>0</v>
      </c>
      <c r="JC159">
        <v>0</v>
      </c>
      <c r="JD159">
        <v>0</v>
      </c>
      <c r="JE159">
        <v>0</v>
      </c>
      <c r="JF159">
        <v>0</v>
      </c>
      <c r="JG159">
        <v>76332</v>
      </c>
      <c r="JH159">
        <v>0</v>
      </c>
      <c r="JI159">
        <v>550</v>
      </c>
      <c r="JJ159">
        <v>0</v>
      </c>
      <c r="JK159">
        <v>0</v>
      </c>
      <c r="JL159">
        <v>0</v>
      </c>
      <c r="JM159">
        <v>0</v>
      </c>
      <c r="JN159">
        <v>434</v>
      </c>
      <c r="JO159">
        <v>0</v>
      </c>
      <c r="JP159">
        <v>0</v>
      </c>
      <c r="JQ159">
        <v>0</v>
      </c>
      <c r="JR159">
        <v>77645</v>
      </c>
      <c r="JS159">
        <v>-420</v>
      </c>
      <c r="JT159">
        <v>0</v>
      </c>
      <c r="JU159">
        <v>0</v>
      </c>
      <c r="JV159">
        <v>0</v>
      </c>
      <c r="JW159">
        <v>0</v>
      </c>
      <c r="JX159">
        <v>0</v>
      </c>
      <c r="JY159">
        <v>0</v>
      </c>
      <c r="JZ159">
        <v>0</v>
      </c>
      <c r="KA159">
        <v>0</v>
      </c>
      <c r="KB159">
        <v>0</v>
      </c>
      <c r="KC159">
        <v>77225</v>
      </c>
      <c r="KD159">
        <v>0</v>
      </c>
      <c r="KE159">
        <v>-7377</v>
      </c>
      <c r="KF159">
        <v>69848</v>
      </c>
      <c r="KG159">
        <v>0</v>
      </c>
      <c r="KH159">
        <v>0</v>
      </c>
      <c r="KI159">
        <v>0</v>
      </c>
      <c r="KJ159">
        <v>0</v>
      </c>
      <c r="KK159">
        <v>5158</v>
      </c>
      <c r="KL159">
        <v>-523</v>
      </c>
      <c r="KM159">
        <v>-8275</v>
      </c>
      <c r="KN159">
        <v>0</v>
      </c>
      <c r="KO159">
        <v>-16291</v>
      </c>
      <c r="KP159">
        <v>59</v>
      </c>
      <c r="KQ159">
        <v>0</v>
      </c>
      <c r="KR159">
        <v>49158</v>
      </c>
      <c r="KS159">
        <v>0</v>
      </c>
      <c r="KT159">
        <v>0</v>
      </c>
      <c r="KU159">
        <v>0</v>
      </c>
      <c r="KV159">
        <v>33761</v>
      </c>
      <c r="KW159">
        <v>3023</v>
      </c>
      <c r="KX159">
        <v>0</v>
      </c>
      <c r="KY159">
        <v>0</v>
      </c>
      <c r="KZ159">
        <v>0</v>
      </c>
      <c r="LA159">
        <v>38919</v>
      </c>
      <c r="LB159">
        <v>2500</v>
      </c>
      <c r="LC159">
        <v>0</v>
      </c>
      <c r="LD159">
        <v>5973</v>
      </c>
      <c r="LE159">
        <v>21</v>
      </c>
      <c r="LF159">
        <v>271</v>
      </c>
      <c r="LG159">
        <v>0</v>
      </c>
      <c r="LH159">
        <v>0</v>
      </c>
      <c r="LI159">
        <v>6265</v>
      </c>
      <c r="LJ159">
        <v>0</v>
      </c>
      <c r="LK159">
        <v>0</v>
      </c>
      <c r="LL159">
        <v>0</v>
      </c>
      <c r="LM159">
        <v>0</v>
      </c>
      <c r="LN159">
        <v>0</v>
      </c>
      <c r="LO159">
        <v>0</v>
      </c>
      <c r="LP159">
        <v>0</v>
      </c>
      <c r="LQ159">
        <v>0</v>
      </c>
      <c r="LR159">
        <v>0</v>
      </c>
      <c r="LS159">
        <v>0</v>
      </c>
      <c r="LT159">
        <v>0</v>
      </c>
      <c r="LU159">
        <v>0</v>
      </c>
      <c r="LV159">
        <v>0</v>
      </c>
      <c r="LW159">
        <v>0</v>
      </c>
      <c r="LX159">
        <v>0</v>
      </c>
      <c r="LY159">
        <v>0</v>
      </c>
      <c r="LZ159">
        <v>0</v>
      </c>
      <c r="MA159">
        <v>0</v>
      </c>
      <c r="MB159">
        <v>0</v>
      </c>
      <c r="MC159">
        <v>0</v>
      </c>
      <c r="MD159">
        <v>0</v>
      </c>
      <c r="ME159">
        <v>76130</v>
      </c>
      <c r="MF159">
        <v>0</v>
      </c>
      <c r="MG159">
        <v>0</v>
      </c>
      <c r="MH159">
        <v>76130</v>
      </c>
      <c r="MI159">
        <v>0</v>
      </c>
      <c r="MJ159">
        <v>0</v>
      </c>
      <c r="MK159">
        <v>0</v>
      </c>
      <c r="ML159">
        <v>0</v>
      </c>
      <c r="MM159">
        <v>0</v>
      </c>
      <c r="MN159">
        <v>0</v>
      </c>
      <c r="MO159">
        <v>0</v>
      </c>
      <c r="MP159">
        <v>0</v>
      </c>
      <c r="MQ159">
        <v>0</v>
      </c>
      <c r="MR159">
        <v>0</v>
      </c>
      <c r="MS159">
        <v>0</v>
      </c>
      <c r="MT159">
        <v>0</v>
      </c>
      <c r="MU159">
        <v>0</v>
      </c>
      <c r="MV159">
        <v>0</v>
      </c>
      <c r="MW159">
        <v>0</v>
      </c>
      <c r="MX159">
        <v>0</v>
      </c>
      <c r="MY159">
        <v>0</v>
      </c>
      <c r="MZ159">
        <v>0</v>
      </c>
      <c r="NA159">
        <v>0</v>
      </c>
      <c r="NB159">
        <v>0</v>
      </c>
      <c r="NC159">
        <v>0</v>
      </c>
      <c r="ND159">
        <v>0</v>
      </c>
      <c r="NE159">
        <v>0</v>
      </c>
      <c r="NF159">
        <v>0</v>
      </c>
      <c r="NG159">
        <v>0</v>
      </c>
      <c r="NH159">
        <v>0</v>
      </c>
      <c r="NI159">
        <v>0</v>
      </c>
      <c r="NJ159">
        <v>0</v>
      </c>
      <c r="NK159">
        <v>0</v>
      </c>
      <c r="NL159">
        <v>0</v>
      </c>
      <c r="NM159">
        <v>0</v>
      </c>
      <c r="NN159">
        <v>0</v>
      </c>
      <c r="NO159">
        <v>0</v>
      </c>
      <c r="NP159">
        <v>0</v>
      </c>
      <c r="NQ159">
        <v>0</v>
      </c>
      <c r="NR159">
        <v>0</v>
      </c>
      <c r="NS159">
        <v>0</v>
      </c>
      <c r="NT159">
        <v>0</v>
      </c>
      <c r="NU159">
        <v>0</v>
      </c>
      <c r="NV159">
        <v>0</v>
      </c>
      <c r="NW159">
        <v>0</v>
      </c>
      <c r="NX159">
        <v>0</v>
      </c>
      <c r="NY159">
        <v>0</v>
      </c>
      <c r="NZ159">
        <v>0</v>
      </c>
      <c r="OA159">
        <v>0</v>
      </c>
      <c r="OB159">
        <v>0</v>
      </c>
      <c r="OC159">
        <v>0</v>
      </c>
      <c r="OD159">
        <v>0</v>
      </c>
      <c r="OE159">
        <v>0</v>
      </c>
      <c r="OF159">
        <v>0</v>
      </c>
      <c r="OG159">
        <v>0</v>
      </c>
      <c r="OH159">
        <v>0</v>
      </c>
      <c r="OI159">
        <v>0</v>
      </c>
      <c r="OJ159">
        <v>0</v>
      </c>
      <c r="OK159">
        <v>0</v>
      </c>
      <c r="OL159">
        <v>0</v>
      </c>
      <c r="OM159">
        <v>0</v>
      </c>
      <c r="ON159">
        <v>0</v>
      </c>
    </row>
    <row r="160" spans="1:404" x14ac:dyDescent="0.25">
      <c r="A160" t="s">
        <v>545</v>
      </c>
      <c r="B160" t="s">
        <v>546</v>
      </c>
      <c r="C160" t="s">
        <v>544</v>
      </c>
      <c r="E160" t="s">
        <v>71</v>
      </c>
      <c r="F160">
        <v>0</v>
      </c>
      <c r="G160">
        <v>0</v>
      </c>
      <c r="H160">
        <v>0</v>
      </c>
      <c r="I160">
        <v>0</v>
      </c>
      <c r="J160">
        <v>0</v>
      </c>
      <c r="K160">
        <v>0</v>
      </c>
      <c r="L160">
        <v>0</v>
      </c>
      <c r="M160">
        <v>0</v>
      </c>
      <c r="N160">
        <v>0</v>
      </c>
      <c r="O160">
        <v>0</v>
      </c>
      <c r="P160">
        <v>0</v>
      </c>
      <c r="Q160">
        <v>0</v>
      </c>
      <c r="R160">
        <v>0</v>
      </c>
      <c r="S160">
        <v>0</v>
      </c>
      <c r="T160">
        <v>0</v>
      </c>
      <c r="U160">
        <v>0</v>
      </c>
      <c r="V160">
        <v>0</v>
      </c>
      <c r="W160">
        <v>0</v>
      </c>
      <c r="X160">
        <v>0</v>
      </c>
      <c r="Y160">
        <v>0</v>
      </c>
      <c r="Z160">
        <v>0</v>
      </c>
      <c r="AA160">
        <v>0</v>
      </c>
      <c r="AB160">
        <v>0</v>
      </c>
      <c r="AC160">
        <v>0</v>
      </c>
      <c r="AD160">
        <v>0</v>
      </c>
      <c r="AE160">
        <v>0</v>
      </c>
      <c r="AF160">
        <v>0</v>
      </c>
      <c r="AG160">
        <v>0</v>
      </c>
      <c r="AH160">
        <v>0</v>
      </c>
      <c r="AI160">
        <v>0</v>
      </c>
      <c r="AJ160">
        <v>0</v>
      </c>
      <c r="AK160">
        <v>0</v>
      </c>
      <c r="AL160">
        <v>0</v>
      </c>
      <c r="AM160">
        <v>0</v>
      </c>
      <c r="AN160">
        <v>0</v>
      </c>
      <c r="AO160">
        <v>0</v>
      </c>
      <c r="AP160">
        <v>0</v>
      </c>
      <c r="AQ160">
        <v>0</v>
      </c>
      <c r="AR160">
        <v>0</v>
      </c>
      <c r="AS160">
        <v>0</v>
      </c>
      <c r="AT160">
        <v>0</v>
      </c>
      <c r="AU160">
        <v>0</v>
      </c>
      <c r="AV160">
        <v>0</v>
      </c>
      <c r="AW160">
        <v>0</v>
      </c>
      <c r="AX160">
        <v>0</v>
      </c>
      <c r="AY160">
        <v>0</v>
      </c>
      <c r="AZ160">
        <v>0</v>
      </c>
      <c r="BA160">
        <v>0</v>
      </c>
      <c r="BB160">
        <v>0</v>
      </c>
      <c r="BC160">
        <v>0</v>
      </c>
      <c r="BD160">
        <v>0</v>
      </c>
      <c r="BE160">
        <v>0</v>
      </c>
      <c r="BF160">
        <v>0</v>
      </c>
      <c r="BG160">
        <v>0</v>
      </c>
      <c r="BH160">
        <v>0</v>
      </c>
      <c r="BI160">
        <v>0</v>
      </c>
      <c r="BJ160">
        <v>0</v>
      </c>
      <c r="BK160">
        <v>0</v>
      </c>
      <c r="BL160">
        <v>0</v>
      </c>
      <c r="BM160">
        <v>0</v>
      </c>
      <c r="BN160">
        <v>0</v>
      </c>
      <c r="BO160">
        <v>0</v>
      </c>
      <c r="BP160">
        <v>0</v>
      </c>
      <c r="BQ160">
        <v>0</v>
      </c>
      <c r="BR160">
        <v>0</v>
      </c>
      <c r="BS160">
        <v>0</v>
      </c>
      <c r="BT160">
        <v>0</v>
      </c>
      <c r="BU160">
        <v>0</v>
      </c>
      <c r="BV160">
        <v>0</v>
      </c>
      <c r="BW160">
        <v>0</v>
      </c>
      <c r="BX160">
        <v>0</v>
      </c>
      <c r="BY160">
        <v>0</v>
      </c>
      <c r="BZ160">
        <v>0</v>
      </c>
      <c r="CA160">
        <v>0</v>
      </c>
      <c r="CB160">
        <v>0</v>
      </c>
      <c r="CC160">
        <v>0</v>
      </c>
      <c r="CD160">
        <v>0</v>
      </c>
      <c r="CE160">
        <v>0</v>
      </c>
      <c r="CF160">
        <v>0</v>
      </c>
      <c r="CG160">
        <v>0</v>
      </c>
      <c r="CH160">
        <v>0</v>
      </c>
      <c r="CI160">
        <v>0</v>
      </c>
      <c r="CJ160">
        <v>0</v>
      </c>
      <c r="CK160">
        <v>0</v>
      </c>
      <c r="CL160">
        <v>0</v>
      </c>
      <c r="CM160">
        <v>0</v>
      </c>
      <c r="CN160">
        <v>0</v>
      </c>
      <c r="CO160">
        <v>0</v>
      </c>
      <c r="CP160">
        <v>0</v>
      </c>
      <c r="CQ160">
        <v>0</v>
      </c>
      <c r="CR160">
        <v>0</v>
      </c>
      <c r="CS160">
        <v>0</v>
      </c>
      <c r="CT160">
        <v>0</v>
      </c>
      <c r="CU160">
        <v>0</v>
      </c>
      <c r="CV160">
        <v>0</v>
      </c>
      <c r="CW160">
        <v>0</v>
      </c>
      <c r="CX160">
        <v>0</v>
      </c>
      <c r="CY160">
        <v>0</v>
      </c>
      <c r="CZ160">
        <v>0</v>
      </c>
      <c r="DA160">
        <v>0</v>
      </c>
      <c r="DB160">
        <v>0</v>
      </c>
      <c r="DC160">
        <v>0</v>
      </c>
      <c r="DD160">
        <v>0</v>
      </c>
      <c r="DE160">
        <v>0</v>
      </c>
      <c r="DF160">
        <v>0</v>
      </c>
      <c r="DG160">
        <v>0</v>
      </c>
      <c r="DH160">
        <v>0</v>
      </c>
      <c r="DI160">
        <v>0</v>
      </c>
      <c r="DJ160">
        <v>0</v>
      </c>
      <c r="DK160">
        <v>0</v>
      </c>
      <c r="DL160">
        <v>0</v>
      </c>
      <c r="DM160">
        <v>0</v>
      </c>
      <c r="DN160">
        <v>0</v>
      </c>
      <c r="DO160">
        <v>0</v>
      </c>
      <c r="DP160">
        <v>0</v>
      </c>
      <c r="DQ160">
        <v>0</v>
      </c>
      <c r="DR160">
        <v>0</v>
      </c>
      <c r="DS160">
        <v>0</v>
      </c>
      <c r="DT160">
        <v>0</v>
      </c>
      <c r="DU160">
        <v>0</v>
      </c>
      <c r="DV160">
        <v>0</v>
      </c>
      <c r="DW160">
        <v>0</v>
      </c>
      <c r="DX160">
        <v>0</v>
      </c>
      <c r="DY160">
        <v>0</v>
      </c>
      <c r="DZ160">
        <v>0</v>
      </c>
      <c r="EA160">
        <v>0</v>
      </c>
      <c r="EB160">
        <v>0</v>
      </c>
      <c r="EC160">
        <v>0</v>
      </c>
      <c r="ED160">
        <v>0</v>
      </c>
      <c r="EE160">
        <v>0</v>
      </c>
      <c r="EF160">
        <v>0</v>
      </c>
      <c r="EG160">
        <v>0</v>
      </c>
      <c r="EH160">
        <v>0</v>
      </c>
      <c r="EI160">
        <v>0</v>
      </c>
      <c r="EJ160">
        <v>0</v>
      </c>
      <c r="EK160">
        <v>0</v>
      </c>
      <c r="EL160">
        <v>0</v>
      </c>
      <c r="EM160">
        <v>0</v>
      </c>
      <c r="EN160">
        <v>0</v>
      </c>
      <c r="EO160">
        <v>0</v>
      </c>
      <c r="EP160">
        <v>0</v>
      </c>
      <c r="EQ160">
        <v>0</v>
      </c>
      <c r="ER160">
        <v>0</v>
      </c>
      <c r="ES160">
        <v>0</v>
      </c>
      <c r="ET160">
        <v>0</v>
      </c>
      <c r="EU160">
        <v>0</v>
      </c>
      <c r="EV160">
        <v>0</v>
      </c>
      <c r="EW160">
        <v>0</v>
      </c>
      <c r="EX160">
        <v>0</v>
      </c>
      <c r="EY160">
        <v>0</v>
      </c>
      <c r="EZ160">
        <v>0</v>
      </c>
      <c r="FA160">
        <v>0</v>
      </c>
      <c r="FB160">
        <v>0</v>
      </c>
      <c r="FC160">
        <v>0</v>
      </c>
      <c r="FD160">
        <v>0</v>
      </c>
      <c r="FE160">
        <v>0</v>
      </c>
      <c r="FF160">
        <v>0</v>
      </c>
      <c r="FG160">
        <v>0</v>
      </c>
      <c r="FH160">
        <v>0</v>
      </c>
      <c r="FI160">
        <v>0</v>
      </c>
      <c r="FJ160">
        <v>0</v>
      </c>
      <c r="FK160">
        <v>0</v>
      </c>
      <c r="FL160">
        <v>0</v>
      </c>
      <c r="FM160">
        <v>0</v>
      </c>
      <c r="FN160">
        <v>0</v>
      </c>
      <c r="FO160">
        <v>0</v>
      </c>
      <c r="FP160">
        <v>0</v>
      </c>
      <c r="FQ160">
        <v>0</v>
      </c>
      <c r="FR160">
        <v>0</v>
      </c>
      <c r="FS160">
        <v>0</v>
      </c>
      <c r="FT160">
        <v>0</v>
      </c>
      <c r="FU160">
        <v>0</v>
      </c>
      <c r="FV160">
        <v>0</v>
      </c>
      <c r="FW160">
        <v>0</v>
      </c>
      <c r="FX160">
        <v>0</v>
      </c>
      <c r="FY160">
        <v>0</v>
      </c>
      <c r="FZ160">
        <v>0</v>
      </c>
      <c r="GA160">
        <v>0</v>
      </c>
      <c r="GB160">
        <v>0</v>
      </c>
      <c r="GC160">
        <v>0</v>
      </c>
      <c r="GD160">
        <v>0</v>
      </c>
      <c r="GE160">
        <v>0</v>
      </c>
      <c r="GF160">
        <v>0</v>
      </c>
      <c r="GG160">
        <v>0</v>
      </c>
      <c r="GH160">
        <v>0</v>
      </c>
      <c r="GI160">
        <v>0</v>
      </c>
      <c r="GJ160">
        <v>0</v>
      </c>
      <c r="GK160">
        <v>0</v>
      </c>
      <c r="GL160">
        <v>0</v>
      </c>
      <c r="GM160">
        <v>0</v>
      </c>
      <c r="GN160">
        <v>0</v>
      </c>
      <c r="GO160">
        <v>0</v>
      </c>
      <c r="GP160">
        <v>0</v>
      </c>
      <c r="GQ160">
        <v>0</v>
      </c>
      <c r="GR160">
        <v>0</v>
      </c>
      <c r="GS160">
        <v>0</v>
      </c>
      <c r="GT160">
        <v>0</v>
      </c>
      <c r="GU160">
        <v>0</v>
      </c>
      <c r="GV160">
        <v>0</v>
      </c>
      <c r="GW160">
        <v>384605</v>
      </c>
      <c r="GX160">
        <v>0</v>
      </c>
      <c r="GY160">
        <v>0</v>
      </c>
      <c r="GZ160">
        <v>0</v>
      </c>
      <c r="HA160">
        <v>0</v>
      </c>
      <c r="HB160">
        <v>0</v>
      </c>
      <c r="HC160">
        <v>0</v>
      </c>
      <c r="HD160">
        <v>0</v>
      </c>
      <c r="HE160">
        <v>0</v>
      </c>
      <c r="HF160">
        <v>0</v>
      </c>
      <c r="HG160">
        <v>0</v>
      </c>
      <c r="HH160">
        <v>0</v>
      </c>
      <c r="HI160">
        <v>0</v>
      </c>
      <c r="HJ160">
        <v>0</v>
      </c>
      <c r="HK160">
        <v>0</v>
      </c>
      <c r="HL160">
        <v>0</v>
      </c>
      <c r="HM160">
        <v>0</v>
      </c>
      <c r="HN160">
        <v>0</v>
      </c>
      <c r="HO160">
        <v>0</v>
      </c>
      <c r="HP160">
        <v>0</v>
      </c>
      <c r="HQ160">
        <v>0</v>
      </c>
      <c r="HR160">
        <v>0</v>
      </c>
      <c r="HS160">
        <v>0</v>
      </c>
      <c r="HT160">
        <v>0</v>
      </c>
      <c r="HU160">
        <v>0</v>
      </c>
      <c r="HV160">
        <v>0</v>
      </c>
      <c r="HW160">
        <v>0</v>
      </c>
      <c r="HX160">
        <v>0</v>
      </c>
      <c r="HY160">
        <v>0</v>
      </c>
      <c r="HZ160">
        <v>0</v>
      </c>
      <c r="IA160">
        <v>0</v>
      </c>
      <c r="IB160">
        <v>0</v>
      </c>
      <c r="IC160">
        <v>0</v>
      </c>
      <c r="ID160">
        <v>0</v>
      </c>
      <c r="IE160">
        <v>0</v>
      </c>
      <c r="IF160">
        <v>0</v>
      </c>
      <c r="IG160">
        <v>0</v>
      </c>
      <c r="IH160">
        <v>0</v>
      </c>
      <c r="II160">
        <v>0</v>
      </c>
      <c r="IJ160">
        <v>0</v>
      </c>
      <c r="IK160">
        <v>0</v>
      </c>
      <c r="IL160">
        <v>384605</v>
      </c>
      <c r="IM160">
        <v>0</v>
      </c>
      <c r="IN160">
        <v>0</v>
      </c>
      <c r="IO160">
        <v>0</v>
      </c>
      <c r="IP160">
        <v>384605</v>
      </c>
      <c r="IQ160">
        <v>0</v>
      </c>
      <c r="IR160">
        <v>0</v>
      </c>
      <c r="IS160">
        <v>0</v>
      </c>
      <c r="IT160">
        <v>0</v>
      </c>
      <c r="IU160">
        <v>0</v>
      </c>
      <c r="IV160">
        <v>0</v>
      </c>
      <c r="IW160">
        <v>0</v>
      </c>
      <c r="IX160">
        <v>0</v>
      </c>
      <c r="IY160">
        <v>0</v>
      </c>
      <c r="IZ160">
        <v>1087</v>
      </c>
      <c r="JA160">
        <v>72</v>
      </c>
      <c r="JB160">
        <v>0</v>
      </c>
      <c r="JC160">
        <v>0</v>
      </c>
      <c r="JD160">
        <v>0</v>
      </c>
      <c r="JE160">
        <v>0</v>
      </c>
      <c r="JF160">
        <v>0</v>
      </c>
      <c r="JG160">
        <v>385764</v>
      </c>
      <c r="JH160">
        <v>0</v>
      </c>
      <c r="JI160">
        <v>2694</v>
      </c>
      <c r="JJ160">
        <v>0</v>
      </c>
      <c r="JK160">
        <v>0</v>
      </c>
      <c r="JL160">
        <v>0</v>
      </c>
      <c r="JM160">
        <v>0</v>
      </c>
      <c r="JN160">
        <v>2121</v>
      </c>
      <c r="JO160">
        <v>0</v>
      </c>
      <c r="JP160">
        <v>1337</v>
      </c>
      <c r="JQ160">
        <v>-768</v>
      </c>
      <c r="JR160">
        <v>391148</v>
      </c>
      <c r="JS160">
        <v>0</v>
      </c>
      <c r="JT160">
        <v>0</v>
      </c>
      <c r="JU160">
        <v>0</v>
      </c>
      <c r="JV160">
        <v>0</v>
      </c>
      <c r="JW160">
        <v>0</v>
      </c>
      <c r="JX160">
        <v>0</v>
      </c>
      <c r="JY160">
        <v>0</v>
      </c>
      <c r="JZ160">
        <v>0</v>
      </c>
      <c r="KA160">
        <v>0</v>
      </c>
      <c r="KB160">
        <v>0</v>
      </c>
      <c r="KC160">
        <v>391148</v>
      </c>
      <c r="KD160">
        <v>0</v>
      </c>
      <c r="KE160">
        <v>-24156</v>
      </c>
      <c r="KF160">
        <v>366992</v>
      </c>
      <c r="KG160">
        <v>0</v>
      </c>
      <c r="KH160">
        <v>0</v>
      </c>
      <c r="KI160">
        <v>0</v>
      </c>
      <c r="KJ160">
        <v>0</v>
      </c>
      <c r="KK160">
        <v>16723</v>
      </c>
      <c r="KL160">
        <v>108</v>
      </c>
      <c r="KM160">
        <v>0</v>
      </c>
      <c r="KN160">
        <v>-223619</v>
      </c>
      <c r="KO160">
        <v>0</v>
      </c>
      <c r="KP160">
        <v>-3</v>
      </c>
      <c r="KQ160">
        <v>0</v>
      </c>
      <c r="KR160">
        <v>158062</v>
      </c>
      <c r="KS160">
        <v>0</v>
      </c>
      <c r="KT160">
        <v>0</v>
      </c>
      <c r="KU160">
        <v>0</v>
      </c>
      <c r="KV160">
        <v>88280</v>
      </c>
      <c r="KW160">
        <v>13103</v>
      </c>
      <c r="KX160">
        <v>0</v>
      </c>
      <c r="KY160">
        <v>0</v>
      </c>
      <c r="KZ160">
        <v>0</v>
      </c>
      <c r="LA160">
        <v>105003</v>
      </c>
      <c r="LB160">
        <v>13211</v>
      </c>
      <c r="LC160">
        <v>0</v>
      </c>
      <c r="LD160">
        <v>7772</v>
      </c>
      <c r="LE160">
        <v>0</v>
      </c>
      <c r="LF160">
        <v>1917</v>
      </c>
      <c r="LG160">
        <v>0</v>
      </c>
      <c r="LH160">
        <v>0</v>
      </c>
      <c r="LI160">
        <v>9689</v>
      </c>
      <c r="LJ160">
        <v>0</v>
      </c>
      <c r="LK160">
        <v>0</v>
      </c>
      <c r="LL160">
        <v>0</v>
      </c>
      <c r="LM160">
        <v>0</v>
      </c>
      <c r="LN160">
        <v>0</v>
      </c>
      <c r="LO160">
        <v>0</v>
      </c>
      <c r="LP160">
        <v>0</v>
      </c>
      <c r="LQ160">
        <v>0</v>
      </c>
      <c r="LR160">
        <v>0</v>
      </c>
      <c r="LS160">
        <v>0</v>
      </c>
      <c r="LT160">
        <v>0</v>
      </c>
      <c r="LU160">
        <v>0</v>
      </c>
      <c r="LV160">
        <v>0</v>
      </c>
      <c r="LW160">
        <v>0</v>
      </c>
      <c r="LX160">
        <v>0</v>
      </c>
      <c r="LY160">
        <v>0</v>
      </c>
      <c r="LZ160">
        <v>0</v>
      </c>
      <c r="MA160">
        <v>0</v>
      </c>
      <c r="MB160">
        <v>0</v>
      </c>
      <c r="MC160">
        <v>0</v>
      </c>
      <c r="MD160">
        <v>384605</v>
      </c>
      <c r="ME160">
        <v>0</v>
      </c>
      <c r="MF160">
        <v>0</v>
      </c>
      <c r="MG160">
        <v>0</v>
      </c>
      <c r="MH160">
        <v>384605</v>
      </c>
      <c r="MI160">
        <v>0</v>
      </c>
      <c r="MJ160">
        <v>0</v>
      </c>
      <c r="MK160">
        <v>0</v>
      </c>
      <c r="ML160">
        <v>0</v>
      </c>
      <c r="MM160">
        <v>0</v>
      </c>
      <c r="MN160">
        <v>0</v>
      </c>
      <c r="MO160">
        <v>0</v>
      </c>
      <c r="MP160">
        <v>0</v>
      </c>
      <c r="MQ160">
        <v>0</v>
      </c>
      <c r="MR160">
        <v>0</v>
      </c>
      <c r="MS160">
        <v>0</v>
      </c>
      <c r="MT160">
        <v>0</v>
      </c>
      <c r="MU160">
        <v>0</v>
      </c>
      <c r="MV160">
        <v>0</v>
      </c>
      <c r="MW160">
        <v>0</v>
      </c>
      <c r="MX160">
        <v>0</v>
      </c>
      <c r="MY160">
        <v>0</v>
      </c>
      <c r="MZ160">
        <v>0</v>
      </c>
      <c r="NA160">
        <v>72</v>
      </c>
      <c r="NB160">
        <v>0</v>
      </c>
      <c r="NC160">
        <v>72</v>
      </c>
      <c r="ND160">
        <v>0</v>
      </c>
      <c r="NE160">
        <v>0</v>
      </c>
      <c r="NF160">
        <v>0</v>
      </c>
      <c r="NG160">
        <v>0</v>
      </c>
      <c r="NH160">
        <v>0</v>
      </c>
      <c r="NI160">
        <v>0</v>
      </c>
      <c r="NJ160">
        <v>0</v>
      </c>
      <c r="NK160">
        <v>0</v>
      </c>
      <c r="NL160">
        <v>0</v>
      </c>
      <c r="NM160">
        <v>0</v>
      </c>
      <c r="NN160">
        <v>0</v>
      </c>
      <c r="NO160">
        <v>0</v>
      </c>
      <c r="NP160">
        <v>0</v>
      </c>
      <c r="NQ160">
        <v>0</v>
      </c>
      <c r="NR160">
        <v>0</v>
      </c>
      <c r="NS160">
        <v>0</v>
      </c>
      <c r="NT160">
        <v>0</v>
      </c>
      <c r="NU160">
        <v>0</v>
      </c>
      <c r="NV160">
        <v>0</v>
      </c>
      <c r="NW160">
        <v>0</v>
      </c>
      <c r="NX160">
        <v>0</v>
      </c>
      <c r="NY160">
        <v>0</v>
      </c>
      <c r="NZ160">
        <v>0</v>
      </c>
      <c r="OA160">
        <v>0</v>
      </c>
      <c r="OB160">
        <v>0</v>
      </c>
      <c r="OC160">
        <v>0</v>
      </c>
      <c r="OD160">
        <v>0</v>
      </c>
      <c r="OE160">
        <v>0</v>
      </c>
      <c r="OF160">
        <v>0</v>
      </c>
      <c r="OG160">
        <v>0</v>
      </c>
      <c r="OH160">
        <v>0</v>
      </c>
      <c r="OI160">
        <v>0</v>
      </c>
      <c r="OJ160">
        <v>0</v>
      </c>
      <c r="OK160">
        <v>0</v>
      </c>
      <c r="OL160">
        <v>0</v>
      </c>
      <c r="OM160">
        <v>0</v>
      </c>
      <c r="ON160">
        <v>0</v>
      </c>
    </row>
    <row r="161" spans="1:404" x14ac:dyDescent="0.25">
      <c r="A161" t="s">
        <v>548</v>
      </c>
      <c r="B161" t="s">
        <v>549</v>
      </c>
      <c r="C161" t="s">
        <v>547</v>
      </c>
      <c r="E161" t="s">
        <v>61</v>
      </c>
      <c r="F161">
        <v>0</v>
      </c>
      <c r="G161">
        <v>0</v>
      </c>
      <c r="H161">
        <v>0</v>
      </c>
      <c r="I161">
        <v>0</v>
      </c>
      <c r="J161">
        <v>0</v>
      </c>
      <c r="K161">
        <v>0</v>
      </c>
      <c r="L161">
        <v>0</v>
      </c>
      <c r="M161">
        <v>0</v>
      </c>
      <c r="N161">
        <v>0</v>
      </c>
      <c r="O161">
        <v>0</v>
      </c>
      <c r="P161">
        <v>0</v>
      </c>
      <c r="Q161">
        <v>0</v>
      </c>
      <c r="R161">
        <v>0</v>
      </c>
      <c r="S161">
        <v>0</v>
      </c>
      <c r="T161">
        <v>0</v>
      </c>
      <c r="U161">
        <v>0</v>
      </c>
      <c r="V161">
        <v>0</v>
      </c>
      <c r="W161">
        <v>0</v>
      </c>
      <c r="X161">
        <v>0</v>
      </c>
      <c r="Y161">
        <v>17</v>
      </c>
      <c r="Z161">
        <v>-74</v>
      </c>
      <c r="AA161">
        <v>-168</v>
      </c>
      <c r="AB161">
        <v>0</v>
      </c>
      <c r="AC161">
        <v>0</v>
      </c>
      <c r="AD161">
        <v>0</v>
      </c>
      <c r="AE161">
        <v>0</v>
      </c>
      <c r="AF161">
        <v>0</v>
      </c>
      <c r="AG161">
        <v>3</v>
      </c>
      <c r="AH161">
        <v>0</v>
      </c>
      <c r="AI161">
        <v>-222</v>
      </c>
      <c r="AJ161">
        <v>0</v>
      </c>
      <c r="AK161">
        <v>0</v>
      </c>
      <c r="AL161">
        <v>0</v>
      </c>
      <c r="AM161">
        <v>0</v>
      </c>
      <c r="AN161">
        <v>0</v>
      </c>
      <c r="AO161">
        <v>0</v>
      </c>
      <c r="AP161">
        <v>0</v>
      </c>
      <c r="AQ161">
        <v>0</v>
      </c>
      <c r="AR161">
        <v>0</v>
      </c>
      <c r="AS161">
        <v>0</v>
      </c>
      <c r="AT161">
        <v>0</v>
      </c>
      <c r="AU161">
        <v>0</v>
      </c>
      <c r="AV161">
        <v>0</v>
      </c>
      <c r="AW161">
        <v>0</v>
      </c>
      <c r="AX161">
        <v>0</v>
      </c>
      <c r="AY161">
        <v>0</v>
      </c>
      <c r="AZ161">
        <v>0</v>
      </c>
      <c r="BA161">
        <v>0</v>
      </c>
      <c r="BB161">
        <v>0</v>
      </c>
      <c r="BC161">
        <v>0</v>
      </c>
      <c r="BD161">
        <v>0</v>
      </c>
      <c r="BE161">
        <v>0</v>
      </c>
      <c r="BF161">
        <v>0</v>
      </c>
      <c r="BG161">
        <v>0</v>
      </c>
      <c r="BH161">
        <v>0</v>
      </c>
      <c r="BI161">
        <v>0</v>
      </c>
      <c r="BJ161">
        <v>0</v>
      </c>
      <c r="BK161">
        <v>0</v>
      </c>
      <c r="BL161">
        <v>0</v>
      </c>
      <c r="BM161">
        <v>0</v>
      </c>
      <c r="BN161">
        <v>0</v>
      </c>
      <c r="BO161">
        <v>0</v>
      </c>
      <c r="BP161">
        <v>0</v>
      </c>
      <c r="BQ161">
        <v>0</v>
      </c>
      <c r="BR161">
        <v>0</v>
      </c>
      <c r="BS161">
        <v>77</v>
      </c>
      <c r="BT161">
        <v>0</v>
      </c>
      <c r="BU161">
        <v>0</v>
      </c>
      <c r="BV161">
        <v>0</v>
      </c>
      <c r="BW161">
        <v>77</v>
      </c>
      <c r="BX161">
        <v>0</v>
      </c>
      <c r="BY161">
        <v>0</v>
      </c>
      <c r="BZ161">
        <v>0</v>
      </c>
      <c r="CA161">
        <v>0</v>
      </c>
      <c r="CB161">
        <v>0</v>
      </c>
      <c r="CC161">
        <v>0</v>
      </c>
      <c r="CD161">
        <v>0</v>
      </c>
      <c r="CE161">
        <v>0</v>
      </c>
      <c r="CF161">
        <v>0</v>
      </c>
      <c r="CG161">
        <v>83</v>
      </c>
      <c r="CH161">
        <v>7</v>
      </c>
      <c r="CI161">
        <v>0</v>
      </c>
      <c r="CJ161">
        <v>0</v>
      </c>
      <c r="CK161">
        <v>0</v>
      </c>
      <c r="CL161">
        <v>0</v>
      </c>
      <c r="CM161">
        <v>0</v>
      </c>
      <c r="CN161">
        <v>0</v>
      </c>
      <c r="CO161">
        <v>0</v>
      </c>
      <c r="CP161">
        <v>0</v>
      </c>
      <c r="CQ161">
        <v>0</v>
      </c>
      <c r="CR161">
        <v>0</v>
      </c>
      <c r="CS161">
        <v>0</v>
      </c>
      <c r="CT161">
        <v>0</v>
      </c>
      <c r="CU161">
        <v>0</v>
      </c>
      <c r="CV161">
        <v>90</v>
      </c>
      <c r="CW161">
        <v>0</v>
      </c>
      <c r="CX161">
        <v>0</v>
      </c>
      <c r="CY161">
        <v>0</v>
      </c>
      <c r="CZ161">
        <v>0</v>
      </c>
      <c r="DA161">
        <v>0</v>
      </c>
      <c r="DB161">
        <v>0</v>
      </c>
      <c r="DC161">
        <v>440</v>
      </c>
      <c r="DD161">
        <v>0</v>
      </c>
      <c r="DE161">
        <v>179</v>
      </c>
      <c r="DF161">
        <v>0</v>
      </c>
      <c r="DG161">
        <v>0</v>
      </c>
      <c r="DH161">
        <v>0</v>
      </c>
      <c r="DI161">
        <v>0</v>
      </c>
      <c r="DJ161">
        <v>0</v>
      </c>
      <c r="DK161">
        <v>0</v>
      </c>
      <c r="DL161">
        <v>8</v>
      </c>
      <c r="DM161">
        <v>151</v>
      </c>
      <c r="DN161">
        <v>0</v>
      </c>
      <c r="DO161">
        <v>0</v>
      </c>
      <c r="DP161">
        <v>159</v>
      </c>
      <c r="DQ161">
        <v>0</v>
      </c>
      <c r="DR161">
        <v>14</v>
      </c>
      <c r="DS161">
        <v>0</v>
      </c>
      <c r="DT161">
        <v>962</v>
      </c>
      <c r="DU161">
        <v>-79</v>
      </c>
      <c r="DV161">
        <v>0</v>
      </c>
      <c r="DW161">
        <v>0</v>
      </c>
      <c r="DX161">
        <v>1675</v>
      </c>
      <c r="DY161">
        <v>0</v>
      </c>
      <c r="DZ161">
        <v>0</v>
      </c>
      <c r="EA161">
        <v>0</v>
      </c>
      <c r="EB161">
        <v>0</v>
      </c>
      <c r="EC161">
        <v>0</v>
      </c>
      <c r="ED161">
        <v>0</v>
      </c>
      <c r="EE161">
        <v>0</v>
      </c>
      <c r="EF161">
        <v>0</v>
      </c>
      <c r="EG161">
        <v>0</v>
      </c>
      <c r="EH161">
        <v>0</v>
      </c>
      <c r="EI161">
        <v>0</v>
      </c>
      <c r="EJ161">
        <v>0</v>
      </c>
      <c r="EK161">
        <v>0</v>
      </c>
      <c r="EL161">
        <v>0</v>
      </c>
      <c r="EM161">
        <v>0</v>
      </c>
      <c r="EN161">
        <v>0</v>
      </c>
      <c r="EO161">
        <v>0</v>
      </c>
      <c r="EP161">
        <v>0</v>
      </c>
      <c r="EQ161">
        <v>0</v>
      </c>
      <c r="ER161">
        <v>0</v>
      </c>
      <c r="ES161">
        <v>0</v>
      </c>
      <c r="ET161">
        <v>0</v>
      </c>
      <c r="EU161">
        <v>0</v>
      </c>
      <c r="EV161">
        <v>0</v>
      </c>
      <c r="EW161">
        <v>0</v>
      </c>
      <c r="EX161">
        <v>0</v>
      </c>
      <c r="EY161">
        <v>1</v>
      </c>
      <c r="EZ161">
        <v>0</v>
      </c>
      <c r="FA161">
        <v>0</v>
      </c>
      <c r="FB161">
        <v>52</v>
      </c>
      <c r="FC161">
        <v>381</v>
      </c>
      <c r="FD161">
        <v>371</v>
      </c>
      <c r="FE161">
        <v>-2</v>
      </c>
      <c r="FF161">
        <v>86</v>
      </c>
      <c r="FG161">
        <v>0</v>
      </c>
      <c r="FH161">
        <v>889</v>
      </c>
      <c r="FI161">
        <v>246</v>
      </c>
      <c r="FJ161">
        <v>0</v>
      </c>
      <c r="FK161">
        <v>2</v>
      </c>
      <c r="FL161">
        <v>0</v>
      </c>
      <c r="FM161">
        <v>19</v>
      </c>
      <c r="FN161">
        <v>0</v>
      </c>
      <c r="FO161">
        <v>2</v>
      </c>
      <c r="FP161">
        <v>0</v>
      </c>
      <c r="FQ161">
        <v>0</v>
      </c>
      <c r="FR161">
        <v>24</v>
      </c>
      <c r="FS161">
        <v>26</v>
      </c>
      <c r="FT161">
        <v>377</v>
      </c>
      <c r="FU161">
        <v>339</v>
      </c>
      <c r="FV161">
        <v>237</v>
      </c>
      <c r="FW161">
        <v>373</v>
      </c>
      <c r="FX161">
        <v>6</v>
      </c>
      <c r="FY161">
        <v>17</v>
      </c>
      <c r="FZ161">
        <v>0</v>
      </c>
      <c r="GA161">
        <v>0</v>
      </c>
      <c r="GB161">
        <v>0</v>
      </c>
      <c r="GC161">
        <v>0</v>
      </c>
      <c r="GD161">
        <v>902</v>
      </c>
      <c r="GE161">
        <v>1698</v>
      </c>
      <c r="GF161">
        <v>0</v>
      </c>
      <c r="GG161">
        <v>-190</v>
      </c>
      <c r="GH161">
        <v>1251</v>
      </c>
      <c r="GI161">
        <v>0</v>
      </c>
      <c r="GJ161">
        <v>0</v>
      </c>
      <c r="GK161">
        <v>5329</v>
      </c>
      <c r="GL161">
        <v>162</v>
      </c>
      <c r="GM161">
        <v>-255</v>
      </c>
      <c r="GN161">
        <v>0</v>
      </c>
      <c r="GO161">
        <v>816</v>
      </c>
      <c r="GP161">
        <v>0</v>
      </c>
      <c r="GQ161">
        <v>548</v>
      </c>
      <c r="GR161">
        <v>0</v>
      </c>
      <c r="GS161">
        <v>576</v>
      </c>
      <c r="GT161">
        <v>0</v>
      </c>
      <c r="GU161">
        <v>1847</v>
      </c>
      <c r="GV161">
        <v>8065</v>
      </c>
      <c r="GW161">
        <v>0</v>
      </c>
      <c r="GX161">
        <v>0</v>
      </c>
      <c r="GY161">
        <v>0</v>
      </c>
      <c r="GZ161">
        <v>0</v>
      </c>
      <c r="HA161">
        <v>0</v>
      </c>
      <c r="HB161">
        <v>-2668</v>
      </c>
      <c r="HC161">
        <v>-141</v>
      </c>
      <c r="HD161">
        <v>0</v>
      </c>
      <c r="HE161">
        <v>16</v>
      </c>
      <c r="HF161">
        <v>0</v>
      </c>
      <c r="HG161">
        <v>-109</v>
      </c>
      <c r="HH161">
        <v>0</v>
      </c>
      <c r="HI161">
        <v>0</v>
      </c>
      <c r="HJ161">
        <v>34</v>
      </c>
      <c r="HK161">
        <v>11</v>
      </c>
      <c r="HL161">
        <v>29</v>
      </c>
      <c r="HM161">
        <v>-103</v>
      </c>
      <c r="HN161">
        <v>0</v>
      </c>
      <c r="HO161">
        <v>179</v>
      </c>
      <c r="HP161">
        <v>0</v>
      </c>
      <c r="HQ161">
        <v>0</v>
      </c>
      <c r="HR161">
        <v>194</v>
      </c>
      <c r="HS161">
        <v>28</v>
      </c>
      <c r="HT161">
        <v>0</v>
      </c>
      <c r="HU161">
        <v>5513</v>
      </c>
      <c r="HV161">
        <v>2983</v>
      </c>
      <c r="HW161">
        <v>0</v>
      </c>
      <c r="HX161">
        <v>0</v>
      </c>
      <c r="HY161">
        <v>0</v>
      </c>
      <c r="HZ161">
        <v>337</v>
      </c>
      <c r="IA161">
        <v>516</v>
      </c>
      <c r="IB161">
        <v>0</v>
      </c>
      <c r="IC161">
        <v>0</v>
      </c>
      <c r="ID161">
        <v>-222</v>
      </c>
      <c r="IE161">
        <v>0</v>
      </c>
      <c r="IF161">
        <v>77</v>
      </c>
      <c r="IG161">
        <v>90</v>
      </c>
      <c r="IH161">
        <v>1675</v>
      </c>
      <c r="II161">
        <v>889</v>
      </c>
      <c r="IJ161">
        <v>5329</v>
      </c>
      <c r="IK161">
        <v>1847</v>
      </c>
      <c r="IL161">
        <v>0</v>
      </c>
      <c r="IM161">
        <v>0</v>
      </c>
      <c r="IN161">
        <v>2983</v>
      </c>
      <c r="IO161">
        <v>0</v>
      </c>
      <c r="IP161">
        <v>12668</v>
      </c>
      <c r="IQ161">
        <v>7917</v>
      </c>
      <c r="IR161">
        <v>0</v>
      </c>
      <c r="IS161">
        <v>0</v>
      </c>
      <c r="IT161">
        <v>0</v>
      </c>
      <c r="IU161">
        <v>0</v>
      </c>
      <c r="IV161">
        <v>2039</v>
      </c>
      <c r="IW161">
        <v>0</v>
      </c>
      <c r="IX161">
        <v>0</v>
      </c>
      <c r="IY161">
        <v>0</v>
      </c>
      <c r="IZ161">
        <v>0</v>
      </c>
      <c r="JA161">
        <v>28</v>
      </c>
      <c r="JB161">
        <v>0</v>
      </c>
      <c r="JC161">
        <v>0</v>
      </c>
      <c r="JD161">
        <v>0</v>
      </c>
      <c r="JE161">
        <v>-33</v>
      </c>
      <c r="JF161">
        <v>0</v>
      </c>
      <c r="JG161">
        <v>22619</v>
      </c>
      <c r="JH161">
        <v>0</v>
      </c>
      <c r="JI161">
        <v>0</v>
      </c>
      <c r="JJ161">
        <v>0</v>
      </c>
      <c r="JK161">
        <v>0</v>
      </c>
      <c r="JL161">
        <v>0</v>
      </c>
      <c r="JM161">
        <v>203</v>
      </c>
      <c r="JN161">
        <v>377</v>
      </c>
      <c r="JO161">
        <v>0</v>
      </c>
      <c r="JP161">
        <v>75</v>
      </c>
      <c r="JQ161">
        <v>0</v>
      </c>
      <c r="JR161">
        <v>23274</v>
      </c>
      <c r="JS161">
        <v>-199</v>
      </c>
      <c r="JT161">
        <v>0</v>
      </c>
      <c r="JU161">
        <v>-232</v>
      </c>
      <c r="JV161">
        <v>0</v>
      </c>
      <c r="JW161">
        <v>-7730</v>
      </c>
      <c r="JX161">
        <v>0</v>
      </c>
      <c r="JY161">
        <v>0</v>
      </c>
      <c r="JZ161">
        <v>0</v>
      </c>
      <c r="KA161">
        <v>0</v>
      </c>
      <c r="KB161">
        <v>0</v>
      </c>
      <c r="KC161">
        <v>15113</v>
      </c>
      <c r="KD161">
        <v>0</v>
      </c>
      <c r="KE161">
        <v>-4982</v>
      </c>
      <c r="KF161">
        <v>10131</v>
      </c>
      <c r="KG161">
        <v>0</v>
      </c>
      <c r="KH161">
        <v>0</v>
      </c>
      <c r="KI161">
        <v>0</v>
      </c>
      <c r="KJ161">
        <v>0</v>
      </c>
      <c r="KK161">
        <v>3731</v>
      </c>
      <c r="KL161">
        <v>-4217</v>
      </c>
      <c r="KM161">
        <v>0</v>
      </c>
      <c r="KN161">
        <v>0</v>
      </c>
      <c r="KO161">
        <v>-929</v>
      </c>
      <c r="KP161">
        <v>-260</v>
      </c>
      <c r="KQ161">
        <v>3543</v>
      </c>
      <c r="KR161">
        <v>8328</v>
      </c>
      <c r="KS161">
        <v>0</v>
      </c>
      <c r="KT161">
        <v>0</v>
      </c>
      <c r="KU161">
        <v>0</v>
      </c>
      <c r="KV161">
        <v>9597</v>
      </c>
      <c r="KW161">
        <v>6578</v>
      </c>
      <c r="KX161">
        <v>0</v>
      </c>
      <c r="KY161">
        <v>0</v>
      </c>
      <c r="KZ161">
        <v>0</v>
      </c>
      <c r="LA161">
        <v>13328</v>
      </c>
      <c r="LB161">
        <v>2361</v>
      </c>
      <c r="LC161">
        <v>1796</v>
      </c>
      <c r="LD161">
        <v>1174</v>
      </c>
      <c r="LE161">
        <v>223</v>
      </c>
      <c r="LF161">
        <v>0</v>
      </c>
      <c r="LG161">
        <v>0</v>
      </c>
      <c r="LH161">
        <v>0</v>
      </c>
      <c r="LI161">
        <v>1397</v>
      </c>
      <c r="LJ161">
        <v>1639</v>
      </c>
      <c r="LK161">
        <v>1492</v>
      </c>
      <c r="LL161">
        <v>3131</v>
      </c>
      <c r="LM161">
        <v>0</v>
      </c>
      <c r="LN161">
        <v>0</v>
      </c>
      <c r="LO161">
        <v>0</v>
      </c>
      <c r="LP161">
        <v>0</v>
      </c>
      <c r="LQ161">
        <v>0</v>
      </c>
      <c r="LR161">
        <v>0</v>
      </c>
      <c r="LS161">
        <v>0</v>
      </c>
      <c r="LT161">
        <v>0</v>
      </c>
      <c r="LU161">
        <v>0</v>
      </c>
      <c r="LV161">
        <v>-222</v>
      </c>
      <c r="LW161">
        <v>0</v>
      </c>
      <c r="LX161">
        <v>77</v>
      </c>
      <c r="LY161">
        <v>90</v>
      </c>
      <c r="LZ161">
        <v>1675</v>
      </c>
      <c r="MA161">
        <v>889</v>
      </c>
      <c r="MB161">
        <v>5329</v>
      </c>
      <c r="MC161">
        <v>1847</v>
      </c>
      <c r="MD161">
        <v>0</v>
      </c>
      <c r="ME161">
        <v>0</v>
      </c>
      <c r="MF161">
        <v>2983</v>
      </c>
      <c r="MG161">
        <v>0</v>
      </c>
      <c r="MH161">
        <v>12668</v>
      </c>
      <c r="MI161">
        <v>0</v>
      </c>
      <c r="MJ161">
        <v>0</v>
      </c>
      <c r="MK161">
        <v>0</v>
      </c>
      <c r="ML161">
        <v>0</v>
      </c>
      <c r="MM161">
        <v>0</v>
      </c>
      <c r="MN161">
        <v>0</v>
      </c>
      <c r="MO161">
        <v>0</v>
      </c>
      <c r="MP161">
        <v>0</v>
      </c>
      <c r="MQ161">
        <v>0</v>
      </c>
      <c r="MR161">
        <v>0</v>
      </c>
      <c r="MS161">
        <v>0</v>
      </c>
      <c r="MT161">
        <v>0</v>
      </c>
      <c r="MU161">
        <v>0</v>
      </c>
      <c r="MV161">
        <v>0</v>
      </c>
      <c r="MW161">
        <v>0</v>
      </c>
      <c r="MX161">
        <v>0</v>
      </c>
      <c r="MY161">
        <v>0</v>
      </c>
      <c r="MZ161">
        <v>28</v>
      </c>
      <c r="NA161">
        <v>28</v>
      </c>
      <c r="NB161">
        <v>0</v>
      </c>
      <c r="NC161">
        <v>28</v>
      </c>
      <c r="ND161">
        <v>0</v>
      </c>
      <c r="NE161">
        <v>0</v>
      </c>
      <c r="NF161">
        <v>0</v>
      </c>
      <c r="NG161">
        <v>0</v>
      </c>
      <c r="NH161">
        <v>0</v>
      </c>
      <c r="NI161">
        <v>0</v>
      </c>
      <c r="NJ161">
        <v>0</v>
      </c>
      <c r="NK161">
        <v>0</v>
      </c>
      <c r="NL161">
        <v>0</v>
      </c>
      <c r="NM161">
        <v>0</v>
      </c>
      <c r="NN161">
        <v>0</v>
      </c>
      <c r="NO161">
        <v>0</v>
      </c>
      <c r="NP161">
        <v>0</v>
      </c>
      <c r="NQ161">
        <v>0</v>
      </c>
      <c r="NR161">
        <v>0</v>
      </c>
      <c r="NS161">
        <v>0</v>
      </c>
      <c r="NT161">
        <v>0</v>
      </c>
      <c r="NU161">
        <v>0</v>
      </c>
      <c r="NV161">
        <v>0</v>
      </c>
      <c r="NW161">
        <v>0</v>
      </c>
      <c r="NX161">
        <v>0</v>
      </c>
      <c r="NY161">
        <v>0</v>
      </c>
      <c r="NZ161">
        <v>0</v>
      </c>
      <c r="OA161">
        <v>0</v>
      </c>
      <c r="OB161">
        <v>0</v>
      </c>
      <c r="OC161">
        <v>0</v>
      </c>
      <c r="OD161">
        <v>0</v>
      </c>
      <c r="OE161">
        <v>0</v>
      </c>
      <c r="OF161">
        <v>0</v>
      </c>
      <c r="OG161">
        <v>0</v>
      </c>
      <c r="OH161">
        <v>0</v>
      </c>
      <c r="OI161">
        <v>0</v>
      </c>
      <c r="OJ161">
        <v>0</v>
      </c>
      <c r="OK161">
        <v>0</v>
      </c>
      <c r="OL161">
        <v>0</v>
      </c>
      <c r="OM161">
        <v>0</v>
      </c>
      <c r="ON161">
        <v>0</v>
      </c>
    </row>
    <row r="162" spans="1:404" x14ac:dyDescent="0.25">
      <c r="A162" t="s">
        <v>551</v>
      </c>
      <c r="B162" t="s">
        <v>552</v>
      </c>
      <c r="C162" t="s">
        <v>550</v>
      </c>
      <c r="E162" t="s">
        <v>1940</v>
      </c>
      <c r="F162">
        <v>21563</v>
      </c>
      <c r="G162">
        <v>116573</v>
      </c>
      <c r="H162">
        <v>50281</v>
      </c>
      <c r="I162">
        <v>30317</v>
      </c>
      <c r="J162">
        <v>6694</v>
      </c>
      <c r="K162">
        <v>16394</v>
      </c>
      <c r="L162">
        <v>241821</v>
      </c>
      <c r="M162">
        <v>0</v>
      </c>
      <c r="N162">
        <v>0</v>
      </c>
      <c r="O162">
        <v>116</v>
      </c>
      <c r="P162">
        <v>0</v>
      </c>
      <c r="Q162">
        <v>0</v>
      </c>
      <c r="R162">
        <v>336</v>
      </c>
      <c r="S162">
        <v>3074</v>
      </c>
      <c r="T162">
        <v>0</v>
      </c>
      <c r="U162">
        <v>1085</v>
      </c>
      <c r="V162">
        <v>0</v>
      </c>
      <c r="W162">
        <v>0</v>
      </c>
      <c r="X162">
        <v>422</v>
      </c>
      <c r="Y162">
        <v>-1116</v>
      </c>
      <c r="Z162">
        <v>-23046</v>
      </c>
      <c r="AA162">
        <v>485</v>
      </c>
      <c r="AB162">
        <v>11863</v>
      </c>
      <c r="AC162">
        <v>0</v>
      </c>
      <c r="AD162">
        <v>0</v>
      </c>
      <c r="AE162">
        <v>0</v>
      </c>
      <c r="AF162">
        <v>0</v>
      </c>
      <c r="AG162">
        <v>0</v>
      </c>
      <c r="AH162">
        <v>0</v>
      </c>
      <c r="AI162">
        <v>-6780</v>
      </c>
      <c r="AJ162">
        <v>0</v>
      </c>
      <c r="AK162">
        <v>0</v>
      </c>
      <c r="AL162">
        <v>0</v>
      </c>
      <c r="AM162">
        <v>0</v>
      </c>
      <c r="AN162">
        <v>0</v>
      </c>
      <c r="AO162">
        <v>0</v>
      </c>
      <c r="AP162">
        <v>0</v>
      </c>
      <c r="AQ162">
        <v>17397</v>
      </c>
      <c r="AR162">
        <v>17834</v>
      </c>
      <c r="AS162">
        <v>0</v>
      </c>
      <c r="AT162">
        <v>0</v>
      </c>
      <c r="AU162">
        <v>0</v>
      </c>
      <c r="AV162">
        <v>2849</v>
      </c>
      <c r="AW162">
        <v>37293</v>
      </c>
      <c r="AX162">
        <v>650</v>
      </c>
      <c r="AY162">
        <v>7239</v>
      </c>
      <c r="AZ162">
        <v>1854</v>
      </c>
      <c r="BA162">
        <v>15457</v>
      </c>
      <c r="BB162">
        <v>1700</v>
      </c>
      <c r="BC162">
        <v>2765</v>
      </c>
      <c r="BD162">
        <v>69807</v>
      </c>
      <c r="BE162">
        <v>8156</v>
      </c>
      <c r="BF162">
        <v>24617</v>
      </c>
      <c r="BG162">
        <v>300</v>
      </c>
      <c r="BH162">
        <v>298</v>
      </c>
      <c r="BI162">
        <v>120</v>
      </c>
      <c r="BJ162">
        <v>931</v>
      </c>
      <c r="BK162">
        <v>31781</v>
      </c>
      <c r="BL162">
        <v>1314</v>
      </c>
      <c r="BM162">
        <v>13475</v>
      </c>
      <c r="BN162">
        <v>3307</v>
      </c>
      <c r="BO162">
        <v>1930</v>
      </c>
      <c r="BP162">
        <v>1520</v>
      </c>
      <c r="BQ162">
        <v>0</v>
      </c>
      <c r="BR162">
        <v>182</v>
      </c>
      <c r="BS162">
        <v>1090</v>
      </c>
      <c r="BT162">
        <v>7889</v>
      </c>
      <c r="BU162">
        <v>339</v>
      </c>
      <c r="BV162">
        <v>6499</v>
      </c>
      <c r="BW162">
        <v>108236</v>
      </c>
      <c r="BX162">
        <v>4728</v>
      </c>
      <c r="BY162">
        <v>113</v>
      </c>
      <c r="BZ162">
        <v>471</v>
      </c>
      <c r="CA162">
        <v>40</v>
      </c>
      <c r="CB162">
        <v>317</v>
      </c>
      <c r="CC162">
        <v>0</v>
      </c>
      <c r="CD162">
        <v>0</v>
      </c>
      <c r="CE162">
        <v>0</v>
      </c>
      <c r="CF162">
        <v>0</v>
      </c>
      <c r="CG162">
        <v>720</v>
      </c>
      <c r="CH162">
        <v>0</v>
      </c>
      <c r="CI162">
        <v>2901</v>
      </c>
      <c r="CJ162">
        <v>1489</v>
      </c>
      <c r="CK162">
        <v>2</v>
      </c>
      <c r="CL162">
        <v>0</v>
      </c>
      <c r="CM162">
        <v>471</v>
      </c>
      <c r="CN162">
        <v>16</v>
      </c>
      <c r="CO162">
        <v>0</v>
      </c>
      <c r="CP162">
        <v>784</v>
      </c>
      <c r="CQ162">
        <v>5906</v>
      </c>
      <c r="CR162">
        <v>1165</v>
      </c>
      <c r="CS162">
        <v>259</v>
      </c>
      <c r="CT162">
        <v>218</v>
      </c>
      <c r="CU162">
        <v>1818</v>
      </c>
      <c r="CV162">
        <v>23617</v>
      </c>
      <c r="CW162">
        <v>0</v>
      </c>
      <c r="CX162">
        <v>0</v>
      </c>
      <c r="CY162">
        <v>0</v>
      </c>
      <c r="CZ162">
        <v>0</v>
      </c>
      <c r="DA162">
        <v>868</v>
      </c>
      <c r="DB162">
        <v>4997</v>
      </c>
      <c r="DC162">
        <v>1324</v>
      </c>
      <c r="DD162">
        <v>0</v>
      </c>
      <c r="DE162">
        <v>0</v>
      </c>
      <c r="DF162">
        <v>371</v>
      </c>
      <c r="DG162">
        <v>0</v>
      </c>
      <c r="DH162">
        <v>7510</v>
      </c>
      <c r="DI162">
        <v>214</v>
      </c>
      <c r="DJ162">
        <v>0</v>
      </c>
      <c r="DK162">
        <v>0</v>
      </c>
      <c r="DL162">
        <v>524</v>
      </c>
      <c r="DM162">
        <v>0</v>
      </c>
      <c r="DN162">
        <v>0</v>
      </c>
      <c r="DO162">
        <v>11783</v>
      </c>
      <c r="DP162">
        <v>20030</v>
      </c>
      <c r="DQ162">
        <v>1586</v>
      </c>
      <c r="DR162">
        <v>102</v>
      </c>
      <c r="DS162">
        <v>0</v>
      </c>
      <c r="DT162">
        <v>4017</v>
      </c>
      <c r="DU162">
        <v>0</v>
      </c>
      <c r="DV162">
        <v>2424</v>
      </c>
      <c r="DW162">
        <v>0</v>
      </c>
      <c r="DX162">
        <v>29854</v>
      </c>
      <c r="DY162">
        <v>83352</v>
      </c>
      <c r="DZ162">
        <v>720</v>
      </c>
      <c r="EA162">
        <v>18241</v>
      </c>
      <c r="EB162">
        <v>235</v>
      </c>
      <c r="EC162">
        <v>0</v>
      </c>
      <c r="ED162">
        <v>3096</v>
      </c>
      <c r="EE162">
        <v>0</v>
      </c>
      <c r="EF162">
        <v>22664</v>
      </c>
      <c r="EG162">
        <v>2</v>
      </c>
      <c r="EH162">
        <v>22247</v>
      </c>
      <c r="EI162">
        <v>35172</v>
      </c>
      <c r="EJ162">
        <v>0</v>
      </c>
      <c r="EK162">
        <v>2818</v>
      </c>
      <c r="EL162">
        <v>10569</v>
      </c>
      <c r="EM162">
        <v>22664</v>
      </c>
      <c r="EN162">
        <v>2283</v>
      </c>
      <c r="EO162">
        <v>43</v>
      </c>
      <c r="EP162">
        <v>0</v>
      </c>
      <c r="EQ162">
        <v>21759</v>
      </c>
      <c r="ER162">
        <v>4158</v>
      </c>
      <c r="ES162">
        <v>14162</v>
      </c>
      <c r="ET162">
        <v>20759</v>
      </c>
      <c r="EU162">
        <v>91</v>
      </c>
      <c r="EV162">
        <v>179</v>
      </c>
      <c r="EW162">
        <v>878</v>
      </c>
      <c r="EX162">
        <v>345</v>
      </c>
      <c r="EY162">
        <v>0</v>
      </c>
      <c r="EZ162">
        <v>-817</v>
      </c>
      <c r="FA162">
        <v>0</v>
      </c>
      <c r="FB162">
        <v>369</v>
      </c>
      <c r="FC162">
        <v>69</v>
      </c>
      <c r="FD162">
        <v>4314</v>
      </c>
      <c r="FE162">
        <v>0</v>
      </c>
      <c r="FF162">
        <v>0</v>
      </c>
      <c r="FG162">
        <v>5357</v>
      </c>
      <c r="FH162">
        <v>10785</v>
      </c>
      <c r="FI162">
        <v>-716</v>
      </c>
      <c r="FJ162">
        <v>203</v>
      </c>
      <c r="FK162">
        <v>0</v>
      </c>
      <c r="FL162">
        <v>462</v>
      </c>
      <c r="FM162">
        <v>275</v>
      </c>
      <c r="FN162">
        <v>0</v>
      </c>
      <c r="FO162">
        <v>0</v>
      </c>
      <c r="FP162">
        <v>0</v>
      </c>
      <c r="FQ162">
        <v>0</v>
      </c>
      <c r="FR162">
        <v>2</v>
      </c>
      <c r="FS162">
        <v>31</v>
      </c>
      <c r="FT162">
        <v>9</v>
      </c>
      <c r="FU162">
        <v>29</v>
      </c>
      <c r="FV162">
        <v>1994</v>
      </c>
      <c r="FW162">
        <v>0</v>
      </c>
      <c r="FX162">
        <v>0</v>
      </c>
      <c r="FY162">
        <v>0</v>
      </c>
      <c r="FZ162">
        <v>0</v>
      </c>
      <c r="GA162">
        <v>0</v>
      </c>
      <c r="GB162">
        <v>0</v>
      </c>
      <c r="GC162">
        <v>0</v>
      </c>
      <c r="GD162">
        <v>9630</v>
      </c>
      <c r="GE162">
        <v>2517</v>
      </c>
      <c r="GF162">
        <v>66</v>
      </c>
      <c r="GG162">
        <v>-182</v>
      </c>
      <c r="GH162">
        <v>2807</v>
      </c>
      <c r="GI162">
        <v>0</v>
      </c>
      <c r="GJ162">
        <v>254</v>
      </c>
      <c r="GK162">
        <v>17380</v>
      </c>
      <c r="GL162">
        <v>267</v>
      </c>
      <c r="GM162">
        <v>994</v>
      </c>
      <c r="GN162">
        <v>0</v>
      </c>
      <c r="GO162">
        <v>706</v>
      </c>
      <c r="GP162">
        <v>1</v>
      </c>
      <c r="GQ162">
        <v>5452</v>
      </c>
      <c r="GR162">
        <v>0</v>
      </c>
      <c r="GS162">
        <v>0</v>
      </c>
      <c r="GT162">
        <v>0</v>
      </c>
      <c r="GU162">
        <v>7418</v>
      </c>
      <c r="GV162">
        <v>35583</v>
      </c>
      <c r="GW162">
        <v>0</v>
      </c>
      <c r="GX162">
        <v>0</v>
      </c>
      <c r="GY162">
        <v>0</v>
      </c>
      <c r="GZ162">
        <v>0</v>
      </c>
      <c r="HA162">
        <v>0</v>
      </c>
      <c r="HB162">
        <v>5743</v>
      </c>
      <c r="HC162">
        <v>2121</v>
      </c>
      <c r="HD162">
        <v>0</v>
      </c>
      <c r="HE162">
        <v>0</v>
      </c>
      <c r="HF162">
        <v>1863</v>
      </c>
      <c r="HG162">
        <v>573</v>
      </c>
      <c r="HH162">
        <v>20</v>
      </c>
      <c r="HI162">
        <v>-54</v>
      </c>
      <c r="HJ162">
        <v>840</v>
      </c>
      <c r="HK162">
        <v>603</v>
      </c>
      <c r="HL162">
        <v>426</v>
      </c>
      <c r="HM162">
        <v>-130</v>
      </c>
      <c r="HN162">
        <v>0</v>
      </c>
      <c r="HO162">
        <v>6390</v>
      </c>
      <c r="HP162">
        <v>275</v>
      </c>
      <c r="HQ162">
        <v>0</v>
      </c>
      <c r="HR162">
        <v>2171</v>
      </c>
      <c r="HS162">
        <v>2044</v>
      </c>
      <c r="HT162">
        <v>0</v>
      </c>
      <c r="HU162">
        <v>-1176</v>
      </c>
      <c r="HV162">
        <v>21710</v>
      </c>
      <c r="HW162">
        <v>2437</v>
      </c>
      <c r="HX162">
        <v>55697</v>
      </c>
      <c r="HY162">
        <v>0</v>
      </c>
      <c r="HZ162">
        <v>0</v>
      </c>
      <c r="IA162">
        <v>0</v>
      </c>
      <c r="IB162">
        <v>0</v>
      </c>
      <c r="IC162">
        <v>241821</v>
      </c>
      <c r="ID162">
        <v>-6780</v>
      </c>
      <c r="IE162">
        <v>69807</v>
      </c>
      <c r="IF162">
        <v>108236</v>
      </c>
      <c r="IG162">
        <v>23617</v>
      </c>
      <c r="IH162">
        <v>29854</v>
      </c>
      <c r="II162">
        <v>10785</v>
      </c>
      <c r="IJ162">
        <v>17380</v>
      </c>
      <c r="IK162">
        <v>7418</v>
      </c>
      <c r="IL162">
        <v>0</v>
      </c>
      <c r="IM162">
        <v>0</v>
      </c>
      <c r="IN162">
        <v>21710</v>
      </c>
      <c r="IO162">
        <v>0</v>
      </c>
      <c r="IP162">
        <v>523850</v>
      </c>
      <c r="IQ162">
        <v>122213</v>
      </c>
      <c r="IR162">
        <v>23898</v>
      </c>
      <c r="IS162">
        <v>42450</v>
      </c>
      <c r="IT162">
        <v>0</v>
      </c>
      <c r="IU162">
        <v>0</v>
      </c>
      <c r="IV162">
        <v>0</v>
      </c>
      <c r="IW162">
        <v>0</v>
      </c>
      <c r="IX162">
        <v>9000</v>
      </c>
      <c r="IY162">
        <v>261</v>
      </c>
      <c r="IZ162">
        <v>188</v>
      </c>
      <c r="JA162">
        <v>-4298</v>
      </c>
      <c r="JB162">
        <v>973</v>
      </c>
      <c r="JC162">
        <v>0</v>
      </c>
      <c r="JD162">
        <v>0</v>
      </c>
      <c r="JE162">
        <v>0</v>
      </c>
      <c r="JF162">
        <v>6140</v>
      </c>
      <c r="JG162">
        <v>724674</v>
      </c>
      <c r="JH162">
        <v>180</v>
      </c>
      <c r="JI162">
        <v>241</v>
      </c>
      <c r="JJ162">
        <v>0</v>
      </c>
      <c r="JK162">
        <v>-4978</v>
      </c>
      <c r="JL162">
        <v>0</v>
      </c>
      <c r="JM162">
        <v>11349</v>
      </c>
      <c r="JN162">
        <v>9509</v>
      </c>
      <c r="JO162">
        <v>117</v>
      </c>
      <c r="JP162">
        <v>17728</v>
      </c>
      <c r="JQ162">
        <v>-10568</v>
      </c>
      <c r="JR162">
        <v>748252</v>
      </c>
      <c r="JS162">
        <v>-317</v>
      </c>
      <c r="JT162">
        <v>0</v>
      </c>
      <c r="JU162">
        <v>187</v>
      </c>
      <c r="JV162">
        <v>0</v>
      </c>
      <c r="JW162">
        <v>-195063</v>
      </c>
      <c r="JX162">
        <v>0</v>
      </c>
      <c r="JY162">
        <v>-4457</v>
      </c>
      <c r="JZ162">
        <v>0</v>
      </c>
      <c r="KA162">
        <v>0</v>
      </c>
      <c r="KB162">
        <v>0</v>
      </c>
      <c r="KC162">
        <v>548602</v>
      </c>
      <c r="KD162">
        <v>0</v>
      </c>
      <c r="KE162">
        <v>-308369</v>
      </c>
      <c r="KF162">
        <v>240233</v>
      </c>
      <c r="KG162">
        <v>0</v>
      </c>
      <c r="KH162">
        <v>-113</v>
      </c>
      <c r="KI162">
        <v>0</v>
      </c>
      <c r="KJ162">
        <v>0</v>
      </c>
      <c r="KK162">
        <v>-11115</v>
      </c>
      <c r="KL162">
        <v>-2050</v>
      </c>
      <c r="KM162">
        <v>-22115</v>
      </c>
      <c r="KN162">
        <v>0</v>
      </c>
      <c r="KO162">
        <v>-70653</v>
      </c>
      <c r="KP162">
        <v>-879</v>
      </c>
      <c r="KQ162">
        <v>0</v>
      </c>
      <c r="KR162">
        <v>110303</v>
      </c>
      <c r="KS162">
        <v>12946</v>
      </c>
      <c r="KT162">
        <v>0</v>
      </c>
      <c r="KU162">
        <v>251</v>
      </c>
      <c r="KV162">
        <v>101988</v>
      </c>
      <c r="KW162">
        <v>17095</v>
      </c>
      <c r="KX162">
        <v>12833</v>
      </c>
      <c r="KY162">
        <v>0</v>
      </c>
      <c r="KZ162">
        <v>251</v>
      </c>
      <c r="LA162">
        <v>90873</v>
      </c>
      <c r="LB162">
        <v>15045</v>
      </c>
      <c r="LC162">
        <v>0</v>
      </c>
      <c r="LD162">
        <v>24608</v>
      </c>
      <c r="LE162">
        <v>0</v>
      </c>
      <c r="LF162">
        <v>28358</v>
      </c>
      <c r="LG162">
        <v>-21382</v>
      </c>
      <c r="LH162">
        <v>14081</v>
      </c>
      <c r="LI162">
        <v>46117</v>
      </c>
      <c r="LJ162">
        <v>10222</v>
      </c>
      <c r="LK162">
        <v>21757</v>
      </c>
      <c r="LL162">
        <v>31979</v>
      </c>
      <c r="LM162">
        <v>0</v>
      </c>
      <c r="LN162">
        <v>0</v>
      </c>
      <c r="LO162">
        <v>0</v>
      </c>
      <c r="LP162">
        <v>128310</v>
      </c>
      <c r="LQ162">
        <v>121713</v>
      </c>
      <c r="LR162">
        <v>6597</v>
      </c>
      <c r="LS162">
        <v>14162</v>
      </c>
      <c r="LT162">
        <v>20759</v>
      </c>
      <c r="LU162">
        <v>241821</v>
      </c>
      <c r="LV162">
        <v>-6780</v>
      </c>
      <c r="LW162">
        <v>69807</v>
      </c>
      <c r="LX162">
        <v>108236</v>
      </c>
      <c r="LY162">
        <v>23617</v>
      </c>
      <c r="LZ162">
        <v>29854</v>
      </c>
      <c r="MA162">
        <v>10785</v>
      </c>
      <c r="MB162">
        <v>17380</v>
      </c>
      <c r="MC162">
        <v>7418</v>
      </c>
      <c r="MD162">
        <v>0</v>
      </c>
      <c r="ME162">
        <v>0</v>
      </c>
      <c r="MF162">
        <v>21710</v>
      </c>
      <c r="MG162">
        <v>0</v>
      </c>
      <c r="MH162">
        <v>523850</v>
      </c>
      <c r="MI162">
        <v>0</v>
      </c>
      <c r="MJ162">
        <v>0</v>
      </c>
      <c r="MK162">
        <v>0</v>
      </c>
      <c r="ML162">
        <v>0</v>
      </c>
      <c r="MM162">
        <v>0</v>
      </c>
      <c r="MN162">
        <v>0</v>
      </c>
      <c r="MO162">
        <v>0</v>
      </c>
      <c r="MP162">
        <v>0</v>
      </c>
      <c r="MQ162">
        <v>0</v>
      </c>
      <c r="MR162">
        <v>0</v>
      </c>
      <c r="MS162">
        <v>0</v>
      </c>
      <c r="MT162">
        <v>0</v>
      </c>
      <c r="MU162">
        <v>0</v>
      </c>
      <c r="MV162">
        <v>0</v>
      </c>
      <c r="MW162">
        <v>0</v>
      </c>
      <c r="MX162">
        <v>-4190</v>
      </c>
      <c r="MY162">
        <v>0</v>
      </c>
      <c r="MZ162">
        <v>-108</v>
      </c>
      <c r="NA162">
        <v>-4298</v>
      </c>
      <c r="NB162">
        <v>0</v>
      </c>
      <c r="NC162">
        <v>-4298</v>
      </c>
      <c r="ND162">
        <v>0</v>
      </c>
      <c r="NE162">
        <v>0</v>
      </c>
      <c r="NF162">
        <v>0</v>
      </c>
      <c r="NG162">
        <v>0</v>
      </c>
      <c r="NH162">
        <v>0</v>
      </c>
      <c r="NI162">
        <v>0</v>
      </c>
      <c r="NJ162">
        <v>0</v>
      </c>
      <c r="NK162">
        <v>0</v>
      </c>
      <c r="NL162">
        <v>0</v>
      </c>
      <c r="NM162">
        <v>1024</v>
      </c>
      <c r="NN162">
        <v>0</v>
      </c>
      <c r="NO162">
        <v>0</v>
      </c>
      <c r="NP162">
        <v>0</v>
      </c>
      <c r="NQ162">
        <v>0</v>
      </c>
      <c r="NR162">
        <v>0</v>
      </c>
      <c r="NS162">
        <v>0</v>
      </c>
      <c r="NT162">
        <v>-52</v>
      </c>
      <c r="NU162">
        <v>0</v>
      </c>
      <c r="NV162">
        <v>0</v>
      </c>
      <c r="NW162">
        <v>0</v>
      </c>
      <c r="NX162">
        <v>0</v>
      </c>
      <c r="NY162">
        <v>0</v>
      </c>
      <c r="NZ162">
        <v>973</v>
      </c>
      <c r="OA162">
        <v>0</v>
      </c>
      <c r="OB162">
        <v>973</v>
      </c>
      <c r="OC162">
        <v>0</v>
      </c>
      <c r="OD162">
        <v>0</v>
      </c>
      <c r="OE162">
        <v>0</v>
      </c>
      <c r="OF162">
        <v>0</v>
      </c>
      <c r="OG162">
        <v>0</v>
      </c>
      <c r="OH162">
        <v>0</v>
      </c>
      <c r="OI162">
        <v>0</v>
      </c>
      <c r="OJ162">
        <v>0</v>
      </c>
      <c r="OK162">
        <v>0</v>
      </c>
      <c r="OL162">
        <v>0</v>
      </c>
      <c r="OM162">
        <v>0</v>
      </c>
      <c r="ON162">
        <v>0</v>
      </c>
    </row>
    <row r="163" spans="1:404" x14ac:dyDescent="0.25">
      <c r="A163" t="s">
        <v>554</v>
      </c>
      <c r="B163" t="s">
        <v>555</v>
      </c>
      <c r="C163" t="s">
        <v>553</v>
      </c>
      <c r="E163" t="s">
        <v>61</v>
      </c>
      <c r="F163">
        <v>0</v>
      </c>
      <c r="G163">
        <v>0</v>
      </c>
      <c r="H163">
        <v>0</v>
      </c>
      <c r="I163">
        <v>0</v>
      </c>
      <c r="J163">
        <v>0</v>
      </c>
      <c r="K163">
        <v>0</v>
      </c>
      <c r="L163">
        <v>0</v>
      </c>
      <c r="M163">
        <v>0</v>
      </c>
      <c r="N163">
        <v>0</v>
      </c>
      <c r="O163">
        <v>0</v>
      </c>
      <c r="P163">
        <v>0</v>
      </c>
      <c r="Q163">
        <v>0</v>
      </c>
      <c r="R163">
        <v>0</v>
      </c>
      <c r="S163">
        <v>1109</v>
      </c>
      <c r="T163">
        <v>0</v>
      </c>
      <c r="U163">
        <v>0</v>
      </c>
      <c r="V163">
        <v>0</v>
      </c>
      <c r="W163">
        <v>0</v>
      </c>
      <c r="X163">
        <v>0</v>
      </c>
      <c r="Y163">
        <v>42</v>
      </c>
      <c r="Z163">
        <v>3</v>
      </c>
      <c r="AA163">
        <v>-241</v>
      </c>
      <c r="AB163">
        <v>0</v>
      </c>
      <c r="AC163">
        <v>0</v>
      </c>
      <c r="AD163">
        <v>0</v>
      </c>
      <c r="AE163">
        <v>0</v>
      </c>
      <c r="AF163">
        <v>0</v>
      </c>
      <c r="AG163">
        <v>90</v>
      </c>
      <c r="AH163">
        <v>0</v>
      </c>
      <c r="AI163">
        <v>1003</v>
      </c>
      <c r="AJ163">
        <v>0</v>
      </c>
      <c r="AK163">
        <v>0</v>
      </c>
      <c r="AL163">
        <v>0</v>
      </c>
      <c r="AM163">
        <v>0</v>
      </c>
      <c r="AN163">
        <v>0</v>
      </c>
      <c r="AO163">
        <v>0</v>
      </c>
      <c r="AP163">
        <v>0</v>
      </c>
      <c r="AQ163">
        <v>0</v>
      </c>
      <c r="AR163">
        <v>0</v>
      </c>
      <c r="AS163">
        <v>0</v>
      </c>
      <c r="AT163">
        <v>0</v>
      </c>
      <c r="AU163">
        <v>0</v>
      </c>
      <c r="AV163">
        <v>0</v>
      </c>
      <c r="AW163">
        <v>0</v>
      </c>
      <c r="AX163">
        <v>0</v>
      </c>
      <c r="AY163">
        <v>8</v>
      </c>
      <c r="AZ163">
        <v>0</v>
      </c>
      <c r="BA163">
        <v>0</v>
      </c>
      <c r="BB163">
        <v>0</v>
      </c>
      <c r="BC163">
        <v>201</v>
      </c>
      <c r="BD163">
        <v>209</v>
      </c>
      <c r="BE163">
        <v>0</v>
      </c>
      <c r="BF163">
        <v>258</v>
      </c>
      <c r="BG163">
        <v>0</v>
      </c>
      <c r="BH163">
        <v>0</v>
      </c>
      <c r="BI163">
        <v>0</v>
      </c>
      <c r="BJ163">
        <v>0</v>
      </c>
      <c r="BK163">
        <v>0</v>
      </c>
      <c r="BL163">
        <v>0</v>
      </c>
      <c r="BM163">
        <v>0</v>
      </c>
      <c r="BN163">
        <v>0</v>
      </c>
      <c r="BO163">
        <v>0</v>
      </c>
      <c r="BP163">
        <v>0</v>
      </c>
      <c r="BQ163">
        <v>0</v>
      </c>
      <c r="BR163">
        <v>0</v>
      </c>
      <c r="BS163">
        <v>0</v>
      </c>
      <c r="BT163">
        <v>0</v>
      </c>
      <c r="BU163">
        <v>0</v>
      </c>
      <c r="BV163">
        <v>0</v>
      </c>
      <c r="BW163">
        <v>258</v>
      </c>
      <c r="BX163">
        <v>0</v>
      </c>
      <c r="BY163">
        <v>0</v>
      </c>
      <c r="BZ163">
        <v>0</v>
      </c>
      <c r="CA163">
        <v>0</v>
      </c>
      <c r="CB163">
        <v>0</v>
      </c>
      <c r="CC163">
        <v>0</v>
      </c>
      <c r="CD163">
        <v>0</v>
      </c>
      <c r="CE163">
        <v>0</v>
      </c>
      <c r="CF163">
        <v>0</v>
      </c>
      <c r="CG163">
        <v>0</v>
      </c>
      <c r="CH163">
        <v>0</v>
      </c>
      <c r="CI163">
        <v>0</v>
      </c>
      <c r="CJ163">
        <v>0</v>
      </c>
      <c r="CK163">
        <v>0</v>
      </c>
      <c r="CL163">
        <v>0</v>
      </c>
      <c r="CM163">
        <v>0</v>
      </c>
      <c r="CN163">
        <v>0</v>
      </c>
      <c r="CO163">
        <v>0</v>
      </c>
      <c r="CP163">
        <v>0</v>
      </c>
      <c r="CQ163">
        <v>0</v>
      </c>
      <c r="CR163">
        <v>0</v>
      </c>
      <c r="CS163">
        <v>0</v>
      </c>
      <c r="CT163">
        <v>0</v>
      </c>
      <c r="CU163">
        <v>0</v>
      </c>
      <c r="CV163">
        <v>107</v>
      </c>
      <c r="CW163">
        <v>0</v>
      </c>
      <c r="CX163">
        <v>0</v>
      </c>
      <c r="CY163">
        <v>0</v>
      </c>
      <c r="CZ163">
        <v>0</v>
      </c>
      <c r="DA163">
        <v>0</v>
      </c>
      <c r="DB163">
        <v>0</v>
      </c>
      <c r="DC163">
        <v>20</v>
      </c>
      <c r="DD163">
        <v>0</v>
      </c>
      <c r="DE163">
        <v>0</v>
      </c>
      <c r="DF163">
        <v>0</v>
      </c>
      <c r="DG163">
        <v>0</v>
      </c>
      <c r="DH163">
        <v>0</v>
      </c>
      <c r="DI163">
        <v>0</v>
      </c>
      <c r="DJ163">
        <v>642</v>
      </c>
      <c r="DK163">
        <v>0</v>
      </c>
      <c r="DL163">
        <v>0</v>
      </c>
      <c r="DM163">
        <v>787</v>
      </c>
      <c r="DN163">
        <v>300</v>
      </c>
      <c r="DO163">
        <v>0</v>
      </c>
      <c r="DP163">
        <v>1729</v>
      </c>
      <c r="DQ163">
        <v>0</v>
      </c>
      <c r="DR163">
        <v>0</v>
      </c>
      <c r="DS163">
        <v>0</v>
      </c>
      <c r="DT163">
        <v>294</v>
      </c>
      <c r="DU163">
        <v>0</v>
      </c>
      <c r="DV163">
        <v>51</v>
      </c>
      <c r="DW163">
        <v>0</v>
      </c>
      <c r="DX163">
        <v>2094</v>
      </c>
      <c r="DY163">
        <v>43677</v>
      </c>
      <c r="DZ163">
        <v>1022</v>
      </c>
      <c r="EA163">
        <v>4831</v>
      </c>
      <c r="EB163">
        <v>0</v>
      </c>
      <c r="EC163">
        <v>0</v>
      </c>
      <c r="ED163">
        <v>110</v>
      </c>
      <c r="EE163">
        <v>0</v>
      </c>
      <c r="EF163">
        <v>0</v>
      </c>
      <c r="EG163">
        <v>46</v>
      </c>
      <c r="EH163">
        <v>11976</v>
      </c>
      <c r="EI163">
        <v>7912</v>
      </c>
      <c r="EJ163">
        <v>9786</v>
      </c>
      <c r="EK163">
        <v>207</v>
      </c>
      <c r="EL163">
        <v>6794</v>
      </c>
      <c r="EM163">
        <v>0</v>
      </c>
      <c r="EN163">
        <v>4881</v>
      </c>
      <c r="EO163">
        <v>6</v>
      </c>
      <c r="EP163">
        <v>3</v>
      </c>
      <c r="EQ163">
        <v>11027</v>
      </c>
      <c r="ER163">
        <v>215</v>
      </c>
      <c r="ES163">
        <v>20798</v>
      </c>
      <c r="ET163">
        <v>17677</v>
      </c>
      <c r="EU163">
        <v>0</v>
      </c>
      <c r="EV163">
        <v>-22</v>
      </c>
      <c r="EW163">
        <v>0</v>
      </c>
      <c r="EX163">
        <v>270</v>
      </c>
      <c r="EY163">
        <v>609</v>
      </c>
      <c r="EZ163">
        <v>0</v>
      </c>
      <c r="FA163">
        <v>0</v>
      </c>
      <c r="FB163">
        <v>93</v>
      </c>
      <c r="FC163">
        <v>115</v>
      </c>
      <c r="FD163">
        <v>1187</v>
      </c>
      <c r="FE163">
        <v>21</v>
      </c>
      <c r="FF163">
        <v>0</v>
      </c>
      <c r="FG163">
        <v>0</v>
      </c>
      <c r="FH163">
        <v>2273</v>
      </c>
      <c r="FI163">
        <v>-668</v>
      </c>
      <c r="FJ163">
        <v>0</v>
      </c>
      <c r="FK163">
        <v>4</v>
      </c>
      <c r="FL163">
        <v>189</v>
      </c>
      <c r="FM163">
        <v>210</v>
      </c>
      <c r="FN163">
        <v>127</v>
      </c>
      <c r="FO163">
        <v>25</v>
      </c>
      <c r="FP163">
        <v>0</v>
      </c>
      <c r="FQ163">
        <v>0</v>
      </c>
      <c r="FR163">
        <v>64</v>
      </c>
      <c r="FS163">
        <v>14</v>
      </c>
      <c r="FT163">
        <v>69</v>
      </c>
      <c r="FU163">
        <v>480</v>
      </c>
      <c r="FV163">
        <v>467</v>
      </c>
      <c r="FW163">
        <v>0</v>
      </c>
      <c r="FX163">
        <v>14</v>
      </c>
      <c r="FY163">
        <v>0</v>
      </c>
      <c r="FZ163">
        <v>0</v>
      </c>
      <c r="GA163">
        <v>0</v>
      </c>
      <c r="GB163">
        <v>0</v>
      </c>
      <c r="GC163">
        <v>0</v>
      </c>
      <c r="GD163">
        <v>598</v>
      </c>
      <c r="GE163">
        <v>324</v>
      </c>
      <c r="GF163">
        <v>0</v>
      </c>
      <c r="GG163">
        <v>0</v>
      </c>
      <c r="GH163">
        <v>1150</v>
      </c>
      <c r="GI163">
        <v>0</v>
      </c>
      <c r="GJ163">
        <v>0</v>
      </c>
      <c r="GK163">
        <v>3067</v>
      </c>
      <c r="GL163">
        <v>246</v>
      </c>
      <c r="GM163">
        <v>630</v>
      </c>
      <c r="GN163">
        <v>0</v>
      </c>
      <c r="GO163">
        <v>387</v>
      </c>
      <c r="GP163">
        <v>95</v>
      </c>
      <c r="GQ163">
        <v>977</v>
      </c>
      <c r="GR163">
        <v>0</v>
      </c>
      <c r="GS163">
        <v>0</v>
      </c>
      <c r="GT163">
        <v>32</v>
      </c>
      <c r="GU163">
        <v>2367</v>
      </c>
      <c r="GV163">
        <v>7707</v>
      </c>
      <c r="GW163">
        <v>0</v>
      </c>
      <c r="GX163">
        <v>0</v>
      </c>
      <c r="GY163">
        <v>0</v>
      </c>
      <c r="GZ163">
        <v>0</v>
      </c>
      <c r="HA163">
        <v>0</v>
      </c>
      <c r="HB163">
        <v>874</v>
      </c>
      <c r="HC163">
        <v>457</v>
      </c>
      <c r="HD163">
        <v>0</v>
      </c>
      <c r="HE163">
        <v>0</v>
      </c>
      <c r="HF163">
        <v>684</v>
      </c>
      <c r="HG163">
        <v>195</v>
      </c>
      <c r="HH163">
        <v>0</v>
      </c>
      <c r="HI163">
        <v>0</v>
      </c>
      <c r="HJ163">
        <v>271</v>
      </c>
      <c r="HK163">
        <v>53</v>
      </c>
      <c r="HL163">
        <v>12</v>
      </c>
      <c r="HM163">
        <v>9</v>
      </c>
      <c r="HN163">
        <v>0</v>
      </c>
      <c r="HO163">
        <v>419</v>
      </c>
      <c r="HP163">
        <v>0</v>
      </c>
      <c r="HQ163">
        <v>0</v>
      </c>
      <c r="HR163">
        <v>289</v>
      </c>
      <c r="HS163">
        <v>0</v>
      </c>
      <c r="HT163">
        <v>0</v>
      </c>
      <c r="HU163">
        <v>50</v>
      </c>
      <c r="HV163">
        <v>3313</v>
      </c>
      <c r="HW163">
        <v>3497</v>
      </c>
      <c r="HX163">
        <v>3700</v>
      </c>
      <c r="HY163">
        <v>0</v>
      </c>
      <c r="HZ163">
        <v>2200</v>
      </c>
      <c r="IA163">
        <v>0</v>
      </c>
      <c r="IB163">
        <v>147</v>
      </c>
      <c r="IC163">
        <v>0</v>
      </c>
      <c r="ID163">
        <v>1003</v>
      </c>
      <c r="IE163">
        <v>209</v>
      </c>
      <c r="IF163">
        <v>258</v>
      </c>
      <c r="IG163">
        <v>107</v>
      </c>
      <c r="IH163">
        <v>2094</v>
      </c>
      <c r="II163">
        <v>2273</v>
      </c>
      <c r="IJ163">
        <v>3067</v>
      </c>
      <c r="IK163">
        <v>2367</v>
      </c>
      <c r="IL163">
        <v>0</v>
      </c>
      <c r="IM163">
        <v>0</v>
      </c>
      <c r="IN163">
        <v>3313</v>
      </c>
      <c r="IO163">
        <v>147</v>
      </c>
      <c r="IP163">
        <v>14838</v>
      </c>
      <c r="IQ163">
        <v>11595</v>
      </c>
      <c r="IR163">
        <v>0</v>
      </c>
      <c r="IS163">
        <v>11679</v>
      </c>
      <c r="IT163">
        <v>0</v>
      </c>
      <c r="IU163">
        <v>612</v>
      </c>
      <c r="IV163">
        <v>0</v>
      </c>
      <c r="IW163">
        <v>0</v>
      </c>
      <c r="IX163">
        <v>0</v>
      </c>
      <c r="IY163">
        <v>0</v>
      </c>
      <c r="IZ163">
        <v>0</v>
      </c>
      <c r="JA163">
        <v>-24</v>
      </c>
      <c r="JB163">
        <v>0</v>
      </c>
      <c r="JC163">
        <v>29</v>
      </c>
      <c r="JD163">
        <v>0</v>
      </c>
      <c r="JE163">
        <v>-130</v>
      </c>
      <c r="JF163">
        <v>0</v>
      </c>
      <c r="JG163">
        <v>38599</v>
      </c>
      <c r="JH163">
        <v>0</v>
      </c>
      <c r="JI163">
        <v>690</v>
      </c>
      <c r="JJ163">
        <v>0</v>
      </c>
      <c r="JK163">
        <v>0</v>
      </c>
      <c r="JL163">
        <v>0</v>
      </c>
      <c r="JM163">
        <v>304</v>
      </c>
      <c r="JN163">
        <v>806</v>
      </c>
      <c r="JO163">
        <v>30</v>
      </c>
      <c r="JP163">
        <v>225</v>
      </c>
      <c r="JQ163">
        <v>0</v>
      </c>
      <c r="JR163">
        <v>40654</v>
      </c>
      <c r="JS163">
        <v>-192</v>
      </c>
      <c r="JT163">
        <v>0</v>
      </c>
      <c r="JU163">
        <v>0</v>
      </c>
      <c r="JV163">
        <v>0</v>
      </c>
      <c r="JW163">
        <v>-23386</v>
      </c>
      <c r="JX163">
        <v>0</v>
      </c>
      <c r="JY163">
        <v>0</v>
      </c>
      <c r="JZ163">
        <v>0</v>
      </c>
      <c r="KA163">
        <v>0</v>
      </c>
      <c r="KB163">
        <v>0</v>
      </c>
      <c r="KC163">
        <v>17076</v>
      </c>
      <c r="KD163">
        <v>0</v>
      </c>
      <c r="KE163">
        <v>-3685</v>
      </c>
      <c r="KF163">
        <v>13391</v>
      </c>
      <c r="KG163">
        <v>0</v>
      </c>
      <c r="KH163">
        <v>0</v>
      </c>
      <c r="KI163">
        <v>0</v>
      </c>
      <c r="KJ163">
        <v>0</v>
      </c>
      <c r="KK163">
        <v>-6692</v>
      </c>
      <c r="KL163">
        <v>803</v>
      </c>
      <c r="KM163">
        <v>0</v>
      </c>
      <c r="KN163">
        <v>0</v>
      </c>
      <c r="KO163">
        <v>-1437</v>
      </c>
      <c r="KP163">
        <v>-76</v>
      </c>
      <c r="KQ163">
        <v>9090</v>
      </c>
      <c r="KR163">
        <v>7912</v>
      </c>
      <c r="KS163">
        <v>0</v>
      </c>
      <c r="KT163">
        <v>0</v>
      </c>
      <c r="KU163">
        <v>0</v>
      </c>
      <c r="KV163">
        <v>38763</v>
      </c>
      <c r="KW163">
        <v>3031</v>
      </c>
      <c r="KX163">
        <v>0</v>
      </c>
      <c r="KY163">
        <v>0</v>
      </c>
      <c r="KZ163">
        <v>0</v>
      </c>
      <c r="LA163">
        <v>32071</v>
      </c>
      <c r="LB163">
        <v>3834</v>
      </c>
      <c r="LC163">
        <v>0</v>
      </c>
      <c r="LD163">
        <v>2594</v>
      </c>
      <c r="LE163">
        <v>1209</v>
      </c>
      <c r="LF163">
        <v>0</v>
      </c>
      <c r="LG163">
        <v>-5403</v>
      </c>
      <c r="LH163">
        <v>769</v>
      </c>
      <c r="LI163">
        <v>-831</v>
      </c>
      <c r="LJ163">
        <v>2695</v>
      </c>
      <c r="LK163">
        <v>3885</v>
      </c>
      <c r="LL163">
        <v>6580</v>
      </c>
      <c r="LM163">
        <v>0</v>
      </c>
      <c r="LN163">
        <v>0</v>
      </c>
      <c r="LO163">
        <v>0</v>
      </c>
      <c r="LP163">
        <v>49686</v>
      </c>
      <c r="LQ163">
        <v>52807</v>
      </c>
      <c r="LR163">
        <v>-3121</v>
      </c>
      <c r="LS163">
        <v>20798</v>
      </c>
      <c r="LT163">
        <v>17677</v>
      </c>
      <c r="LU163">
        <v>0</v>
      </c>
      <c r="LV163">
        <v>1003</v>
      </c>
      <c r="LW163">
        <v>209</v>
      </c>
      <c r="LX163">
        <v>258</v>
      </c>
      <c r="LY163">
        <v>107</v>
      </c>
      <c r="LZ163">
        <v>2094</v>
      </c>
      <c r="MA163">
        <v>2273</v>
      </c>
      <c r="MB163">
        <v>3067</v>
      </c>
      <c r="MC163">
        <v>2367</v>
      </c>
      <c r="MD163">
        <v>0</v>
      </c>
      <c r="ME163">
        <v>0</v>
      </c>
      <c r="MF163">
        <v>3313</v>
      </c>
      <c r="MG163">
        <v>147</v>
      </c>
      <c r="MH163">
        <v>14838</v>
      </c>
      <c r="MI163">
        <v>0</v>
      </c>
      <c r="MJ163">
        <v>0</v>
      </c>
      <c r="MK163">
        <v>0</v>
      </c>
      <c r="ML163">
        <v>0</v>
      </c>
      <c r="MM163">
        <v>0</v>
      </c>
      <c r="MN163">
        <v>0</v>
      </c>
      <c r="MO163">
        <v>0</v>
      </c>
      <c r="MP163">
        <v>0</v>
      </c>
      <c r="MQ163">
        <v>0</v>
      </c>
      <c r="MR163">
        <v>0</v>
      </c>
      <c r="MS163">
        <v>0</v>
      </c>
      <c r="MT163">
        <v>0</v>
      </c>
      <c r="MU163">
        <v>0</v>
      </c>
      <c r="MV163">
        <v>0</v>
      </c>
      <c r="MW163">
        <v>0</v>
      </c>
      <c r="MX163">
        <v>0</v>
      </c>
      <c r="MY163">
        <v>0</v>
      </c>
      <c r="MZ163">
        <v>5</v>
      </c>
      <c r="NA163">
        <v>5</v>
      </c>
      <c r="NB163">
        <v>-29</v>
      </c>
      <c r="NC163">
        <v>-24</v>
      </c>
      <c r="ND163">
        <v>0</v>
      </c>
      <c r="NE163">
        <v>0</v>
      </c>
      <c r="NF163">
        <v>0</v>
      </c>
      <c r="NG163">
        <v>0</v>
      </c>
      <c r="NH163">
        <v>0</v>
      </c>
      <c r="NI163">
        <v>0</v>
      </c>
      <c r="NJ163">
        <v>0</v>
      </c>
      <c r="NK163">
        <v>0</v>
      </c>
      <c r="NL163">
        <v>0</v>
      </c>
      <c r="NM163">
        <v>0</v>
      </c>
      <c r="NN163">
        <v>0</v>
      </c>
      <c r="NO163">
        <v>0</v>
      </c>
      <c r="NP163">
        <v>0</v>
      </c>
      <c r="NQ163">
        <v>0</v>
      </c>
      <c r="NR163">
        <v>0</v>
      </c>
      <c r="NS163">
        <v>0</v>
      </c>
      <c r="NT163">
        <v>0</v>
      </c>
      <c r="NU163">
        <v>0</v>
      </c>
      <c r="NV163">
        <v>0</v>
      </c>
      <c r="NW163">
        <v>0</v>
      </c>
      <c r="NX163">
        <v>0</v>
      </c>
      <c r="NY163">
        <v>0</v>
      </c>
      <c r="NZ163">
        <v>0</v>
      </c>
      <c r="OA163">
        <v>0</v>
      </c>
      <c r="OB163">
        <v>0</v>
      </c>
      <c r="OC163">
        <v>-29</v>
      </c>
      <c r="OD163">
        <v>0</v>
      </c>
      <c r="OE163">
        <v>0</v>
      </c>
      <c r="OF163">
        <v>0</v>
      </c>
      <c r="OG163">
        <v>0</v>
      </c>
      <c r="OH163">
        <v>-29</v>
      </c>
      <c r="OI163">
        <v>0</v>
      </c>
      <c r="OJ163">
        <v>0</v>
      </c>
      <c r="OK163">
        <v>0</v>
      </c>
      <c r="OL163">
        <v>0</v>
      </c>
      <c r="OM163">
        <v>0</v>
      </c>
      <c r="ON163">
        <v>0</v>
      </c>
    </row>
    <row r="164" spans="1:404" x14ac:dyDescent="0.25">
      <c r="A164" t="s">
        <v>557</v>
      </c>
      <c r="B164" t="s">
        <v>558</v>
      </c>
      <c r="C164" t="s">
        <v>556</v>
      </c>
      <c r="E164" t="s">
        <v>61</v>
      </c>
      <c r="F164">
        <v>0</v>
      </c>
      <c r="G164">
        <v>0</v>
      </c>
      <c r="H164">
        <v>0</v>
      </c>
      <c r="I164">
        <v>0</v>
      </c>
      <c r="J164">
        <v>0</v>
      </c>
      <c r="K164">
        <v>0</v>
      </c>
      <c r="L164">
        <v>0</v>
      </c>
      <c r="M164">
        <v>0</v>
      </c>
      <c r="N164">
        <v>4</v>
      </c>
      <c r="O164">
        <v>0</v>
      </c>
      <c r="P164">
        <v>0</v>
      </c>
      <c r="Q164">
        <v>0</v>
      </c>
      <c r="R164">
        <v>0</v>
      </c>
      <c r="S164">
        <v>32</v>
      </c>
      <c r="T164">
        <v>0</v>
      </c>
      <c r="U164">
        <v>210</v>
      </c>
      <c r="V164">
        <v>0</v>
      </c>
      <c r="W164">
        <v>0</v>
      </c>
      <c r="X164">
        <v>0</v>
      </c>
      <c r="Y164">
        <v>0</v>
      </c>
      <c r="Z164">
        <v>0</v>
      </c>
      <c r="AA164">
        <v>-1335</v>
      </c>
      <c r="AB164">
        <v>0</v>
      </c>
      <c r="AC164">
        <v>0</v>
      </c>
      <c r="AD164">
        <v>0</v>
      </c>
      <c r="AE164">
        <v>0</v>
      </c>
      <c r="AF164">
        <v>0</v>
      </c>
      <c r="AG164">
        <v>0</v>
      </c>
      <c r="AH164">
        <v>0</v>
      </c>
      <c r="AI164">
        <v>-1089</v>
      </c>
      <c r="AJ164">
        <v>0</v>
      </c>
      <c r="AK164">
        <v>0</v>
      </c>
      <c r="AL164">
        <v>0</v>
      </c>
      <c r="AM164">
        <v>0</v>
      </c>
      <c r="AN164">
        <v>0</v>
      </c>
      <c r="AO164">
        <v>0</v>
      </c>
      <c r="AP164">
        <v>0</v>
      </c>
      <c r="AQ164">
        <v>0</v>
      </c>
      <c r="AR164">
        <v>0</v>
      </c>
      <c r="AS164">
        <v>0</v>
      </c>
      <c r="AT164">
        <v>0</v>
      </c>
      <c r="AU164">
        <v>0</v>
      </c>
      <c r="AV164">
        <v>0</v>
      </c>
      <c r="AW164">
        <v>0</v>
      </c>
      <c r="AX164">
        <v>0</v>
      </c>
      <c r="AY164">
        <v>0</v>
      </c>
      <c r="AZ164">
        <v>0</v>
      </c>
      <c r="BA164">
        <v>0</v>
      </c>
      <c r="BB164">
        <v>0</v>
      </c>
      <c r="BC164">
        <v>0</v>
      </c>
      <c r="BD164">
        <v>0</v>
      </c>
      <c r="BE164">
        <v>0</v>
      </c>
      <c r="BF164">
        <v>0</v>
      </c>
      <c r="BG164">
        <v>0</v>
      </c>
      <c r="BH164">
        <v>0</v>
      </c>
      <c r="BI164">
        <v>0</v>
      </c>
      <c r="BJ164">
        <v>0</v>
      </c>
      <c r="BK164">
        <v>0</v>
      </c>
      <c r="BL164">
        <v>0</v>
      </c>
      <c r="BM164">
        <v>0</v>
      </c>
      <c r="BN164">
        <v>0</v>
      </c>
      <c r="BO164">
        <v>0</v>
      </c>
      <c r="BP164">
        <v>0</v>
      </c>
      <c r="BQ164">
        <v>0</v>
      </c>
      <c r="BR164">
        <v>0</v>
      </c>
      <c r="BS164">
        <v>0</v>
      </c>
      <c r="BT164">
        <v>0</v>
      </c>
      <c r="BU164">
        <v>0</v>
      </c>
      <c r="BV164">
        <v>0</v>
      </c>
      <c r="BW164">
        <v>0</v>
      </c>
      <c r="BX164">
        <v>0</v>
      </c>
      <c r="BY164">
        <v>0</v>
      </c>
      <c r="BZ164">
        <v>0</v>
      </c>
      <c r="CA164">
        <v>0</v>
      </c>
      <c r="CB164">
        <v>0</v>
      </c>
      <c r="CC164">
        <v>0</v>
      </c>
      <c r="CD164">
        <v>0</v>
      </c>
      <c r="CE164">
        <v>0</v>
      </c>
      <c r="CF164">
        <v>0</v>
      </c>
      <c r="CG164">
        <v>0</v>
      </c>
      <c r="CH164">
        <v>0</v>
      </c>
      <c r="CI164">
        <v>0</v>
      </c>
      <c r="CJ164">
        <v>0</v>
      </c>
      <c r="CK164">
        <v>0</v>
      </c>
      <c r="CL164">
        <v>0</v>
      </c>
      <c r="CM164">
        <v>0</v>
      </c>
      <c r="CN164">
        <v>0</v>
      </c>
      <c r="CO164">
        <v>0</v>
      </c>
      <c r="CP164">
        <v>0</v>
      </c>
      <c r="CQ164">
        <v>0</v>
      </c>
      <c r="CR164">
        <v>0</v>
      </c>
      <c r="CS164">
        <v>0</v>
      </c>
      <c r="CT164">
        <v>0</v>
      </c>
      <c r="CU164">
        <v>0</v>
      </c>
      <c r="CV164">
        <v>0</v>
      </c>
      <c r="CW164">
        <v>0</v>
      </c>
      <c r="CX164">
        <v>0</v>
      </c>
      <c r="CY164">
        <v>0</v>
      </c>
      <c r="CZ164">
        <v>0</v>
      </c>
      <c r="DA164">
        <v>0</v>
      </c>
      <c r="DB164">
        <v>0</v>
      </c>
      <c r="DC164">
        <v>71</v>
      </c>
      <c r="DD164">
        <v>0</v>
      </c>
      <c r="DE164">
        <v>75</v>
      </c>
      <c r="DF164">
        <v>176</v>
      </c>
      <c r="DG164">
        <v>0</v>
      </c>
      <c r="DH164">
        <v>5</v>
      </c>
      <c r="DI164">
        <v>0</v>
      </c>
      <c r="DJ164">
        <v>84</v>
      </c>
      <c r="DK164">
        <v>0</v>
      </c>
      <c r="DL164">
        <v>0</v>
      </c>
      <c r="DM164">
        <v>784</v>
      </c>
      <c r="DN164">
        <v>2</v>
      </c>
      <c r="DO164">
        <v>68</v>
      </c>
      <c r="DP164">
        <v>943</v>
      </c>
      <c r="DQ164">
        <v>236</v>
      </c>
      <c r="DR164">
        <v>0</v>
      </c>
      <c r="DS164">
        <v>0</v>
      </c>
      <c r="DT164">
        <v>813</v>
      </c>
      <c r="DU164">
        <v>0</v>
      </c>
      <c r="DV164">
        <v>0</v>
      </c>
      <c r="DW164">
        <v>12</v>
      </c>
      <c r="DX164">
        <v>2326</v>
      </c>
      <c r="DY164">
        <v>16543</v>
      </c>
      <c r="DZ164">
        <v>170</v>
      </c>
      <c r="EA164">
        <v>824</v>
      </c>
      <c r="EB164">
        <v>160</v>
      </c>
      <c r="EC164">
        <v>148</v>
      </c>
      <c r="ED164">
        <v>26</v>
      </c>
      <c r="EE164">
        <v>136</v>
      </c>
      <c r="EF164">
        <v>0</v>
      </c>
      <c r="EG164">
        <v>0</v>
      </c>
      <c r="EH164">
        <v>5276</v>
      </c>
      <c r="EI164">
        <v>1991</v>
      </c>
      <c r="EJ164">
        <v>1498</v>
      </c>
      <c r="EK164">
        <v>0</v>
      </c>
      <c r="EL164">
        <v>1593</v>
      </c>
      <c r="EM164">
        <v>19769</v>
      </c>
      <c r="EN164">
        <v>0</v>
      </c>
      <c r="EO164">
        <v>33</v>
      </c>
      <c r="EP164">
        <v>0</v>
      </c>
      <c r="EQ164">
        <v>0</v>
      </c>
      <c r="ER164">
        <v>-1</v>
      </c>
      <c r="ES164">
        <v>28281</v>
      </c>
      <c r="ET164">
        <v>16129</v>
      </c>
      <c r="EU164">
        <v>0</v>
      </c>
      <c r="EV164">
        <v>0</v>
      </c>
      <c r="EW164">
        <v>245</v>
      </c>
      <c r="EX164">
        <v>479</v>
      </c>
      <c r="EY164">
        <v>1193</v>
      </c>
      <c r="EZ164">
        <v>304</v>
      </c>
      <c r="FA164">
        <v>0</v>
      </c>
      <c r="FB164">
        <v>433</v>
      </c>
      <c r="FC164">
        <v>4326</v>
      </c>
      <c r="FD164">
        <v>2058</v>
      </c>
      <c r="FE164">
        <v>0</v>
      </c>
      <c r="FF164">
        <v>2975</v>
      </c>
      <c r="FG164">
        <v>0</v>
      </c>
      <c r="FH164">
        <v>12013</v>
      </c>
      <c r="FI164">
        <v>-830</v>
      </c>
      <c r="FJ164">
        <v>0</v>
      </c>
      <c r="FK164">
        <v>91</v>
      </c>
      <c r="FL164">
        <v>165</v>
      </c>
      <c r="FM164">
        <v>358</v>
      </c>
      <c r="FN164">
        <v>0</v>
      </c>
      <c r="FO164">
        <v>44</v>
      </c>
      <c r="FP164">
        <v>0</v>
      </c>
      <c r="FQ164">
        <v>0</v>
      </c>
      <c r="FR164">
        <v>39</v>
      </c>
      <c r="FS164">
        <v>357</v>
      </c>
      <c r="FT164">
        <v>191</v>
      </c>
      <c r="FU164">
        <v>26</v>
      </c>
      <c r="FV164">
        <v>148</v>
      </c>
      <c r="FW164">
        <v>0</v>
      </c>
      <c r="FX164">
        <v>224</v>
      </c>
      <c r="FY164">
        <v>3</v>
      </c>
      <c r="FZ164">
        <v>0</v>
      </c>
      <c r="GA164">
        <v>128</v>
      </c>
      <c r="GB164">
        <v>0</v>
      </c>
      <c r="GC164">
        <v>0</v>
      </c>
      <c r="GD164">
        <v>1318</v>
      </c>
      <c r="GE164">
        <v>2264</v>
      </c>
      <c r="GF164">
        <v>0</v>
      </c>
      <c r="GG164">
        <v>-69</v>
      </c>
      <c r="GH164">
        <v>805</v>
      </c>
      <c r="GI164">
        <v>0</v>
      </c>
      <c r="GJ164">
        <v>0</v>
      </c>
      <c r="GK164">
        <v>5262</v>
      </c>
      <c r="GL164">
        <v>-6</v>
      </c>
      <c r="GM164">
        <v>710</v>
      </c>
      <c r="GN164">
        <v>0</v>
      </c>
      <c r="GO164">
        <v>765</v>
      </c>
      <c r="GP164">
        <v>724</v>
      </c>
      <c r="GQ164">
        <v>4466</v>
      </c>
      <c r="GR164">
        <v>0</v>
      </c>
      <c r="GS164">
        <v>425</v>
      </c>
      <c r="GT164">
        <v>159</v>
      </c>
      <c r="GU164">
        <v>7243</v>
      </c>
      <c r="GV164">
        <v>24518</v>
      </c>
      <c r="GW164">
        <v>0</v>
      </c>
      <c r="GX164">
        <v>0</v>
      </c>
      <c r="GY164">
        <v>0</v>
      </c>
      <c r="GZ164">
        <v>0</v>
      </c>
      <c r="HA164">
        <v>0</v>
      </c>
      <c r="HB164">
        <v>2917</v>
      </c>
      <c r="HC164">
        <v>675</v>
      </c>
      <c r="HD164">
        <v>0</v>
      </c>
      <c r="HE164">
        <v>227</v>
      </c>
      <c r="HF164">
        <v>334</v>
      </c>
      <c r="HG164">
        <v>-178</v>
      </c>
      <c r="HH164">
        <v>0</v>
      </c>
      <c r="HI164">
        <v>0</v>
      </c>
      <c r="HJ164">
        <v>196</v>
      </c>
      <c r="HK164">
        <v>134</v>
      </c>
      <c r="HL164">
        <v>183</v>
      </c>
      <c r="HM164">
        <v>-40</v>
      </c>
      <c r="HN164">
        <v>0</v>
      </c>
      <c r="HO164">
        <v>336</v>
      </c>
      <c r="HP164">
        <v>0</v>
      </c>
      <c r="HQ164">
        <v>0</v>
      </c>
      <c r="HR164">
        <v>134</v>
      </c>
      <c r="HS164">
        <v>287</v>
      </c>
      <c r="HT164">
        <v>0</v>
      </c>
      <c r="HU164">
        <v>-3054</v>
      </c>
      <c r="HV164">
        <v>2151</v>
      </c>
      <c r="HW164">
        <v>9167</v>
      </c>
      <c r="HX164">
        <v>11682</v>
      </c>
      <c r="HY164">
        <v>0</v>
      </c>
      <c r="HZ164">
        <v>1162</v>
      </c>
      <c r="IA164">
        <v>57</v>
      </c>
      <c r="IB164">
        <v>1025</v>
      </c>
      <c r="IC164">
        <v>0</v>
      </c>
      <c r="ID164">
        <v>-1089</v>
      </c>
      <c r="IE164">
        <v>0</v>
      </c>
      <c r="IF164">
        <v>0</v>
      </c>
      <c r="IG164">
        <v>0</v>
      </c>
      <c r="IH164">
        <v>2326</v>
      </c>
      <c r="II164">
        <v>12013</v>
      </c>
      <c r="IJ164">
        <v>5262</v>
      </c>
      <c r="IK164">
        <v>7243</v>
      </c>
      <c r="IL164">
        <v>0</v>
      </c>
      <c r="IM164">
        <v>0</v>
      </c>
      <c r="IN164">
        <v>2151</v>
      </c>
      <c r="IO164">
        <v>1025</v>
      </c>
      <c r="IP164">
        <v>28931</v>
      </c>
      <c r="IQ164">
        <v>11883</v>
      </c>
      <c r="IR164">
        <v>16</v>
      </c>
      <c r="IS164">
        <v>5571</v>
      </c>
      <c r="IT164">
        <v>0</v>
      </c>
      <c r="IU164">
        <v>136</v>
      </c>
      <c r="IV164">
        <v>1162</v>
      </c>
      <c r="IW164">
        <v>0</v>
      </c>
      <c r="IX164">
        <v>0</v>
      </c>
      <c r="IY164">
        <v>0</v>
      </c>
      <c r="IZ164">
        <v>0</v>
      </c>
      <c r="JA164">
        <v>0</v>
      </c>
      <c r="JB164">
        <v>0</v>
      </c>
      <c r="JC164">
        <v>0</v>
      </c>
      <c r="JD164">
        <v>0</v>
      </c>
      <c r="JE164">
        <v>58</v>
      </c>
      <c r="JF164">
        <v>0</v>
      </c>
      <c r="JG164">
        <v>47757</v>
      </c>
      <c r="JH164">
        <v>0</v>
      </c>
      <c r="JI164">
        <v>1010</v>
      </c>
      <c r="JJ164">
        <v>0</v>
      </c>
      <c r="JK164">
        <v>0</v>
      </c>
      <c r="JL164">
        <v>0</v>
      </c>
      <c r="JM164">
        <v>52</v>
      </c>
      <c r="JN164">
        <v>742</v>
      </c>
      <c r="JO164">
        <v>0</v>
      </c>
      <c r="JP164">
        <v>1587</v>
      </c>
      <c r="JQ164">
        <v>-1570</v>
      </c>
      <c r="JR164">
        <v>49578</v>
      </c>
      <c r="JS164">
        <v>-593</v>
      </c>
      <c r="JT164">
        <v>0</v>
      </c>
      <c r="JU164">
        <v>0</v>
      </c>
      <c r="JV164">
        <v>0</v>
      </c>
      <c r="JW164">
        <v>-20114</v>
      </c>
      <c r="JX164">
        <v>0</v>
      </c>
      <c r="JY164">
        <v>-29</v>
      </c>
      <c r="JZ164">
        <v>0</v>
      </c>
      <c r="KA164">
        <v>0</v>
      </c>
      <c r="KB164">
        <v>0</v>
      </c>
      <c r="KC164">
        <v>28842</v>
      </c>
      <c r="KD164">
        <v>0</v>
      </c>
      <c r="KE164">
        <v>-6077</v>
      </c>
      <c r="KF164">
        <v>22765</v>
      </c>
      <c r="KG164">
        <v>0</v>
      </c>
      <c r="KH164">
        <v>0</v>
      </c>
      <c r="KI164">
        <v>0</v>
      </c>
      <c r="KJ164">
        <v>0</v>
      </c>
      <c r="KK164">
        <v>3147</v>
      </c>
      <c r="KL164">
        <v>0</v>
      </c>
      <c r="KM164">
        <v>0</v>
      </c>
      <c r="KN164">
        <v>0</v>
      </c>
      <c r="KO164">
        <v>621</v>
      </c>
      <c r="KP164">
        <v>92</v>
      </c>
      <c r="KQ164">
        <v>0</v>
      </c>
      <c r="KR164">
        <v>17218</v>
      </c>
      <c r="KS164">
        <v>0</v>
      </c>
      <c r="KT164">
        <v>0</v>
      </c>
      <c r="KU164">
        <v>0</v>
      </c>
      <c r="KV164">
        <v>44818</v>
      </c>
      <c r="KW164">
        <v>2500</v>
      </c>
      <c r="KX164">
        <v>0</v>
      </c>
      <c r="KY164">
        <v>0</v>
      </c>
      <c r="KZ164">
        <v>0</v>
      </c>
      <c r="LA164">
        <v>47965</v>
      </c>
      <c r="LB164">
        <v>2500</v>
      </c>
      <c r="LC164">
        <v>0</v>
      </c>
      <c r="LD164">
        <v>4573</v>
      </c>
      <c r="LE164">
        <v>0</v>
      </c>
      <c r="LF164">
        <v>0</v>
      </c>
      <c r="LG164">
        <v>-4804</v>
      </c>
      <c r="LH164">
        <v>1010</v>
      </c>
      <c r="LI164">
        <v>191</v>
      </c>
      <c r="LJ164">
        <v>3485</v>
      </c>
      <c r="LK164">
        <v>4579</v>
      </c>
      <c r="LL164">
        <v>8064</v>
      </c>
      <c r="LM164">
        <v>0</v>
      </c>
      <c r="LN164">
        <v>0</v>
      </c>
      <c r="LO164">
        <v>0</v>
      </c>
      <c r="LP164">
        <v>18007</v>
      </c>
      <c r="LQ164">
        <v>30159</v>
      </c>
      <c r="LR164">
        <v>-12152</v>
      </c>
      <c r="LS164">
        <v>28281</v>
      </c>
      <c r="LT164">
        <v>16129</v>
      </c>
      <c r="LU164">
        <v>0</v>
      </c>
      <c r="LV164">
        <v>-1089</v>
      </c>
      <c r="LW164">
        <v>0</v>
      </c>
      <c r="LX164">
        <v>0</v>
      </c>
      <c r="LY164">
        <v>0</v>
      </c>
      <c r="LZ164">
        <v>2326</v>
      </c>
      <c r="MA164">
        <v>12013</v>
      </c>
      <c r="MB164">
        <v>5262</v>
      </c>
      <c r="MC164">
        <v>7243</v>
      </c>
      <c r="MD164">
        <v>0</v>
      </c>
      <c r="ME164">
        <v>0</v>
      </c>
      <c r="MF164">
        <v>2151</v>
      </c>
      <c r="MG164">
        <v>1025</v>
      </c>
      <c r="MH164">
        <v>28931</v>
      </c>
      <c r="MI164">
        <v>0</v>
      </c>
      <c r="MJ164">
        <v>0</v>
      </c>
      <c r="MK164">
        <v>0</v>
      </c>
      <c r="ML164">
        <v>0</v>
      </c>
      <c r="MM164">
        <v>0</v>
      </c>
      <c r="MN164">
        <v>0</v>
      </c>
      <c r="MO164">
        <v>0</v>
      </c>
      <c r="MP164">
        <v>0</v>
      </c>
      <c r="MQ164">
        <v>0</v>
      </c>
      <c r="MR164">
        <v>0</v>
      </c>
      <c r="MS164">
        <v>0</v>
      </c>
      <c r="MT164">
        <v>0</v>
      </c>
      <c r="MU164">
        <v>0</v>
      </c>
      <c r="MV164">
        <v>0</v>
      </c>
      <c r="MW164">
        <v>0</v>
      </c>
      <c r="MX164">
        <v>0</v>
      </c>
      <c r="MY164">
        <v>0</v>
      </c>
      <c r="MZ164">
        <v>0</v>
      </c>
      <c r="NA164">
        <v>0</v>
      </c>
      <c r="NB164">
        <v>0</v>
      </c>
      <c r="NC164">
        <v>0</v>
      </c>
      <c r="ND164">
        <v>0</v>
      </c>
      <c r="NE164">
        <v>0</v>
      </c>
      <c r="NF164">
        <v>0</v>
      </c>
      <c r="NG164">
        <v>0</v>
      </c>
      <c r="NH164">
        <v>0</v>
      </c>
      <c r="NI164">
        <v>0</v>
      </c>
      <c r="NJ164">
        <v>0</v>
      </c>
      <c r="NK164">
        <v>0</v>
      </c>
      <c r="NL164">
        <v>0</v>
      </c>
      <c r="NM164">
        <v>0</v>
      </c>
      <c r="NN164">
        <v>0</v>
      </c>
      <c r="NO164">
        <v>0</v>
      </c>
      <c r="NP164">
        <v>0</v>
      </c>
      <c r="NQ164">
        <v>0</v>
      </c>
      <c r="NR164">
        <v>0</v>
      </c>
      <c r="NS164">
        <v>0</v>
      </c>
      <c r="NT164">
        <v>0</v>
      </c>
      <c r="NU164">
        <v>0</v>
      </c>
      <c r="NV164">
        <v>0</v>
      </c>
      <c r="NW164">
        <v>0</v>
      </c>
      <c r="NX164">
        <v>0</v>
      </c>
      <c r="NY164">
        <v>0</v>
      </c>
      <c r="NZ164">
        <v>0</v>
      </c>
      <c r="OA164">
        <v>0</v>
      </c>
      <c r="OB164">
        <v>0</v>
      </c>
      <c r="OC164">
        <v>0</v>
      </c>
      <c r="OD164">
        <v>0</v>
      </c>
      <c r="OE164">
        <v>0</v>
      </c>
      <c r="OF164">
        <v>0</v>
      </c>
      <c r="OG164">
        <v>0</v>
      </c>
      <c r="OH164">
        <v>0</v>
      </c>
      <c r="OI164">
        <v>0</v>
      </c>
      <c r="OJ164">
        <v>0</v>
      </c>
      <c r="OK164">
        <v>0</v>
      </c>
      <c r="OL164">
        <v>0</v>
      </c>
      <c r="OM164">
        <v>0</v>
      </c>
      <c r="ON164">
        <v>0</v>
      </c>
    </row>
    <row r="165" spans="1:404" x14ac:dyDescent="0.25">
      <c r="A165" t="s">
        <v>560</v>
      </c>
      <c r="B165" t="s">
        <v>561</v>
      </c>
      <c r="C165" t="s">
        <v>559</v>
      </c>
      <c r="E165" t="s">
        <v>1940</v>
      </c>
      <c r="F165">
        <v>16893</v>
      </c>
      <c r="G165">
        <v>82345</v>
      </c>
      <c r="H165">
        <v>12126</v>
      </c>
      <c r="I165">
        <v>31993</v>
      </c>
      <c r="J165">
        <v>2855</v>
      </c>
      <c r="K165">
        <v>11851</v>
      </c>
      <c r="L165">
        <v>158063</v>
      </c>
      <c r="M165">
        <v>-301</v>
      </c>
      <c r="N165">
        <v>0</v>
      </c>
      <c r="O165">
        <v>0</v>
      </c>
      <c r="P165">
        <v>0</v>
      </c>
      <c r="Q165">
        <v>282</v>
      </c>
      <c r="R165">
        <v>0</v>
      </c>
      <c r="S165">
        <v>2033</v>
      </c>
      <c r="T165">
        <v>139</v>
      </c>
      <c r="U165">
        <v>1417</v>
      </c>
      <c r="V165">
        <v>0</v>
      </c>
      <c r="W165">
        <v>0</v>
      </c>
      <c r="X165">
        <v>0</v>
      </c>
      <c r="Y165">
        <v>796</v>
      </c>
      <c r="Z165">
        <v>-6194</v>
      </c>
      <c r="AA165">
        <v>185</v>
      </c>
      <c r="AB165">
        <v>8680</v>
      </c>
      <c r="AC165">
        <v>0</v>
      </c>
      <c r="AD165">
        <v>0</v>
      </c>
      <c r="AE165">
        <v>0</v>
      </c>
      <c r="AF165">
        <v>0</v>
      </c>
      <c r="AG165">
        <v>0</v>
      </c>
      <c r="AH165">
        <v>0</v>
      </c>
      <c r="AI165">
        <v>7038</v>
      </c>
      <c r="AJ165">
        <v>0</v>
      </c>
      <c r="AK165">
        <v>0</v>
      </c>
      <c r="AL165">
        <v>0</v>
      </c>
      <c r="AM165">
        <v>0</v>
      </c>
      <c r="AN165">
        <v>0</v>
      </c>
      <c r="AO165">
        <v>0</v>
      </c>
      <c r="AP165">
        <v>0</v>
      </c>
      <c r="AQ165">
        <v>7992</v>
      </c>
      <c r="AR165">
        <v>1918</v>
      </c>
      <c r="AS165">
        <v>0</v>
      </c>
      <c r="AT165">
        <v>0</v>
      </c>
      <c r="AU165">
        <v>0</v>
      </c>
      <c r="AV165">
        <v>1956</v>
      </c>
      <c r="AW165">
        <v>13542</v>
      </c>
      <c r="AX165">
        <v>957</v>
      </c>
      <c r="AY165">
        <v>5160</v>
      </c>
      <c r="AZ165">
        <v>1341</v>
      </c>
      <c r="BA165">
        <v>16084</v>
      </c>
      <c r="BB165">
        <v>2452</v>
      </c>
      <c r="BC165">
        <v>1067</v>
      </c>
      <c r="BD165">
        <v>42558</v>
      </c>
      <c r="BE165">
        <v>4777</v>
      </c>
      <c r="BF165">
        <v>18373</v>
      </c>
      <c r="BG165">
        <v>263</v>
      </c>
      <c r="BH165">
        <v>573</v>
      </c>
      <c r="BI165">
        <v>449</v>
      </c>
      <c r="BJ165">
        <v>1753</v>
      </c>
      <c r="BK165">
        <v>22598</v>
      </c>
      <c r="BL165">
        <v>2360</v>
      </c>
      <c r="BM165">
        <v>4408</v>
      </c>
      <c r="BN165">
        <v>1060</v>
      </c>
      <c r="BO165">
        <v>100</v>
      </c>
      <c r="BP165">
        <v>6</v>
      </c>
      <c r="BQ165">
        <v>641</v>
      </c>
      <c r="BR165">
        <v>531</v>
      </c>
      <c r="BS165">
        <v>1380</v>
      </c>
      <c r="BT165">
        <v>7547</v>
      </c>
      <c r="BU165">
        <v>322</v>
      </c>
      <c r="BV165">
        <v>15452</v>
      </c>
      <c r="BW165">
        <v>85977</v>
      </c>
      <c r="BX165">
        <v>1023</v>
      </c>
      <c r="BY165">
        <v>993</v>
      </c>
      <c r="BZ165">
        <v>17</v>
      </c>
      <c r="CA165">
        <v>126</v>
      </c>
      <c r="CB165">
        <v>59</v>
      </c>
      <c r="CC165">
        <v>65</v>
      </c>
      <c r="CD165">
        <v>137</v>
      </c>
      <c r="CE165">
        <v>62</v>
      </c>
      <c r="CF165">
        <v>17</v>
      </c>
      <c r="CG165">
        <v>84</v>
      </c>
      <c r="CH165">
        <v>17</v>
      </c>
      <c r="CI165">
        <v>822</v>
      </c>
      <c r="CJ165">
        <v>822</v>
      </c>
      <c r="CK165">
        <v>1</v>
      </c>
      <c r="CL165">
        <v>1</v>
      </c>
      <c r="CM165">
        <v>249</v>
      </c>
      <c r="CN165">
        <v>80</v>
      </c>
      <c r="CO165">
        <v>2</v>
      </c>
      <c r="CP165">
        <v>1071</v>
      </c>
      <c r="CQ165">
        <v>2737</v>
      </c>
      <c r="CR165">
        <v>436</v>
      </c>
      <c r="CS165">
        <v>278</v>
      </c>
      <c r="CT165">
        <v>383</v>
      </c>
      <c r="CU165">
        <v>1056</v>
      </c>
      <c r="CV165">
        <v>10986</v>
      </c>
      <c r="CW165">
        <v>0</v>
      </c>
      <c r="CX165">
        <v>0</v>
      </c>
      <c r="CY165">
        <v>0</v>
      </c>
      <c r="CZ165">
        <v>0</v>
      </c>
      <c r="DA165">
        <v>0</v>
      </c>
      <c r="DB165">
        <v>0</v>
      </c>
      <c r="DC165">
        <v>951</v>
      </c>
      <c r="DD165">
        <v>0</v>
      </c>
      <c r="DE165">
        <v>0</v>
      </c>
      <c r="DF165">
        <v>0</v>
      </c>
      <c r="DG165">
        <v>0</v>
      </c>
      <c r="DH165">
        <v>2742</v>
      </c>
      <c r="DI165">
        <v>47</v>
      </c>
      <c r="DJ165">
        <v>1505</v>
      </c>
      <c r="DK165">
        <v>-2040</v>
      </c>
      <c r="DL165">
        <v>0</v>
      </c>
      <c r="DM165">
        <v>3067</v>
      </c>
      <c r="DN165">
        <v>0</v>
      </c>
      <c r="DO165">
        <v>0</v>
      </c>
      <c r="DP165">
        <v>5320</v>
      </c>
      <c r="DQ165">
        <v>0</v>
      </c>
      <c r="DR165">
        <v>0</v>
      </c>
      <c r="DS165">
        <v>0</v>
      </c>
      <c r="DT165">
        <v>3955</v>
      </c>
      <c r="DU165">
        <v>-1632</v>
      </c>
      <c r="DV165">
        <v>822</v>
      </c>
      <c r="DW165">
        <v>0</v>
      </c>
      <c r="DX165">
        <v>9415</v>
      </c>
      <c r="DY165">
        <v>28843</v>
      </c>
      <c r="DZ165">
        <v>517</v>
      </c>
      <c r="EA165">
        <v>1896</v>
      </c>
      <c r="EB165">
        <v>1705</v>
      </c>
      <c r="EC165">
        <v>0</v>
      </c>
      <c r="ED165">
        <v>10</v>
      </c>
      <c r="EE165">
        <v>0</v>
      </c>
      <c r="EF165">
        <v>0</v>
      </c>
      <c r="EG165">
        <v>0</v>
      </c>
      <c r="EH165">
        <v>9265</v>
      </c>
      <c r="EI165">
        <v>9931</v>
      </c>
      <c r="EJ165">
        <v>0</v>
      </c>
      <c r="EK165">
        <v>140</v>
      </c>
      <c r="EL165">
        <v>6294</v>
      </c>
      <c r="EM165">
        <v>0</v>
      </c>
      <c r="EN165">
        <v>0</v>
      </c>
      <c r="EO165">
        <v>37</v>
      </c>
      <c r="EP165">
        <v>0</v>
      </c>
      <c r="EQ165">
        <v>7878</v>
      </c>
      <c r="ER165">
        <v>152</v>
      </c>
      <c r="ES165">
        <v>7971</v>
      </c>
      <c r="ET165">
        <v>7246</v>
      </c>
      <c r="EU165">
        <v>0</v>
      </c>
      <c r="EV165">
        <v>1011</v>
      </c>
      <c r="EW165">
        <v>0</v>
      </c>
      <c r="EX165">
        <v>523</v>
      </c>
      <c r="EY165">
        <v>3</v>
      </c>
      <c r="EZ165">
        <v>0</v>
      </c>
      <c r="FA165">
        <v>0</v>
      </c>
      <c r="FB165">
        <v>28</v>
      </c>
      <c r="FC165">
        <v>0</v>
      </c>
      <c r="FD165">
        <v>2253</v>
      </c>
      <c r="FE165">
        <v>-37</v>
      </c>
      <c r="FF165">
        <v>0</v>
      </c>
      <c r="FG165">
        <v>2395</v>
      </c>
      <c r="FH165">
        <v>6177</v>
      </c>
      <c r="FI165">
        <v>432</v>
      </c>
      <c r="FJ165">
        <v>341</v>
      </c>
      <c r="FK165">
        <v>0</v>
      </c>
      <c r="FL165">
        <v>489</v>
      </c>
      <c r="FM165">
        <v>1084</v>
      </c>
      <c r="FN165">
        <v>0</v>
      </c>
      <c r="FO165">
        <v>267</v>
      </c>
      <c r="FP165">
        <v>0</v>
      </c>
      <c r="FQ165">
        <v>0</v>
      </c>
      <c r="FR165">
        <v>83</v>
      </c>
      <c r="FS165">
        <v>90</v>
      </c>
      <c r="FT165">
        <v>213</v>
      </c>
      <c r="FU165">
        <v>-188</v>
      </c>
      <c r="FV165">
        <v>371</v>
      </c>
      <c r="FW165">
        <v>0</v>
      </c>
      <c r="FX165">
        <v>798</v>
      </c>
      <c r="FY165">
        <v>0</v>
      </c>
      <c r="FZ165">
        <v>290</v>
      </c>
      <c r="GA165">
        <v>0</v>
      </c>
      <c r="GB165">
        <v>0</v>
      </c>
      <c r="GC165">
        <v>0</v>
      </c>
      <c r="GD165">
        <v>1300</v>
      </c>
      <c r="GE165">
        <v>3311</v>
      </c>
      <c r="GF165">
        <v>558</v>
      </c>
      <c r="GG165">
        <v>-687</v>
      </c>
      <c r="GH165">
        <v>3349</v>
      </c>
      <c r="GI165">
        <v>0</v>
      </c>
      <c r="GJ165">
        <v>146</v>
      </c>
      <c r="GK165">
        <v>12248</v>
      </c>
      <c r="GL165">
        <v>758</v>
      </c>
      <c r="GM165">
        <v>-555</v>
      </c>
      <c r="GN165">
        <v>0</v>
      </c>
      <c r="GO165">
        <v>1684</v>
      </c>
      <c r="GP165">
        <v>0</v>
      </c>
      <c r="GQ165">
        <v>696</v>
      </c>
      <c r="GR165">
        <v>0</v>
      </c>
      <c r="GS165">
        <v>0</v>
      </c>
      <c r="GT165">
        <v>857</v>
      </c>
      <c r="GU165">
        <v>3440</v>
      </c>
      <c r="GV165">
        <v>21864</v>
      </c>
      <c r="GW165">
        <v>0</v>
      </c>
      <c r="GX165">
        <v>0</v>
      </c>
      <c r="GY165">
        <v>0</v>
      </c>
      <c r="GZ165">
        <v>0</v>
      </c>
      <c r="HA165">
        <v>0</v>
      </c>
      <c r="HB165">
        <v>3085</v>
      </c>
      <c r="HC165">
        <v>285</v>
      </c>
      <c r="HD165">
        <v>0</v>
      </c>
      <c r="HE165">
        <v>0</v>
      </c>
      <c r="HF165">
        <v>50</v>
      </c>
      <c r="HG165">
        <v>0</v>
      </c>
      <c r="HH165">
        <v>0</v>
      </c>
      <c r="HI165">
        <v>-28</v>
      </c>
      <c r="HJ165">
        <v>409</v>
      </c>
      <c r="HK165">
        <v>630</v>
      </c>
      <c r="HL165">
        <v>12709</v>
      </c>
      <c r="HM165">
        <v>-441</v>
      </c>
      <c r="HN165">
        <v>8650</v>
      </c>
      <c r="HO165">
        <v>164</v>
      </c>
      <c r="HP165">
        <v>235</v>
      </c>
      <c r="HQ165">
        <v>0</v>
      </c>
      <c r="HR165">
        <v>-349</v>
      </c>
      <c r="HS165">
        <v>0</v>
      </c>
      <c r="HT165">
        <v>0</v>
      </c>
      <c r="HU165">
        <v>0</v>
      </c>
      <c r="HV165">
        <v>25400</v>
      </c>
      <c r="HW165">
        <v>0</v>
      </c>
      <c r="HX165">
        <v>0</v>
      </c>
      <c r="HY165">
        <v>0</v>
      </c>
      <c r="HZ165">
        <v>0</v>
      </c>
      <c r="IA165">
        <v>0</v>
      </c>
      <c r="IB165">
        <v>0</v>
      </c>
      <c r="IC165">
        <v>158063</v>
      </c>
      <c r="ID165">
        <v>7038</v>
      </c>
      <c r="IE165">
        <v>42558</v>
      </c>
      <c r="IF165">
        <v>85977</v>
      </c>
      <c r="IG165">
        <v>10986</v>
      </c>
      <c r="IH165">
        <v>9415</v>
      </c>
      <c r="II165">
        <v>6177</v>
      </c>
      <c r="IJ165">
        <v>12248</v>
      </c>
      <c r="IK165">
        <v>3440</v>
      </c>
      <c r="IL165">
        <v>0</v>
      </c>
      <c r="IM165">
        <v>0</v>
      </c>
      <c r="IN165">
        <v>25400</v>
      </c>
      <c r="IO165">
        <v>0</v>
      </c>
      <c r="IP165">
        <v>361303</v>
      </c>
      <c r="IQ165">
        <v>89892</v>
      </c>
      <c r="IR165">
        <v>12288</v>
      </c>
      <c r="IS165">
        <v>14405</v>
      </c>
      <c r="IT165">
        <v>0</v>
      </c>
      <c r="IU165">
        <v>0</v>
      </c>
      <c r="IV165">
        <v>0</v>
      </c>
      <c r="IW165">
        <v>0</v>
      </c>
      <c r="IX165">
        <v>9218</v>
      </c>
      <c r="IY165">
        <v>298</v>
      </c>
      <c r="IZ165">
        <v>399</v>
      </c>
      <c r="JA165">
        <v>0</v>
      </c>
      <c r="JB165">
        <v>0</v>
      </c>
      <c r="JC165">
        <v>0</v>
      </c>
      <c r="JD165">
        <v>0</v>
      </c>
      <c r="JE165">
        <v>252</v>
      </c>
      <c r="JF165">
        <v>-911</v>
      </c>
      <c r="JG165">
        <v>487145</v>
      </c>
      <c r="JH165">
        <v>205</v>
      </c>
      <c r="JI165">
        <v>2025</v>
      </c>
      <c r="JJ165">
        <v>0</v>
      </c>
      <c r="JK165">
        <v>-2244</v>
      </c>
      <c r="JL165">
        <v>0</v>
      </c>
      <c r="JM165">
        <v>2145</v>
      </c>
      <c r="JN165">
        <v>20974</v>
      </c>
      <c r="JO165">
        <v>1927</v>
      </c>
      <c r="JP165">
        <v>12008</v>
      </c>
      <c r="JQ165">
        <v>-6282</v>
      </c>
      <c r="JR165">
        <v>517904</v>
      </c>
      <c r="JS165">
        <v>-6361</v>
      </c>
      <c r="JT165">
        <v>0</v>
      </c>
      <c r="JU165">
        <v>0</v>
      </c>
      <c r="JV165">
        <v>0</v>
      </c>
      <c r="JW165">
        <v>-111372</v>
      </c>
      <c r="JX165">
        <v>0</v>
      </c>
      <c r="JY165">
        <v>-2435</v>
      </c>
      <c r="JZ165">
        <v>0</v>
      </c>
      <c r="KA165">
        <v>0</v>
      </c>
      <c r="KB165">
        <v>0</v>
      </c>
      <c r="KC165">
        <v>397735</v>
      </c>
      <c r="KD165">
        <v>0</v>
      </c>
      <c r="KE165">
        <v>-209795</v>
      </c>
      <c r="KF165">
        <v>187940</v>
      </c>
      <c r="KG165">
        <v>0</v>
      </c>
      <c r="KH165">
        <v>-347</v>
      </c>
      <c r="KI165">
        <v>-277</v>
      </c>
      <c r="KJ165">
        <v>325</v>
      </c>
      <c r="KK165">
        <v>1878</v>
      </c>
      <c r="KL165">
        <v>0</v>
      </c>
      <c r="KM165">
        <v>-1594</v>
      </c>
      <c r="KN165">
        <v>0</v>
      </c>
      <c r="KO165">
        <v>-32241</v>
      </c>
      <c r="KP165">
        <v>0</v>
      </c>
      <c r="KQ165">
        <v>0</v>
      </c>
      <c r="KR165">
        <v>139706</v>
      </c>
      <c r="KS165">
        <v>15874</v>
      </c>
      <c r="KT165">
        <v>-3730</v>
      </c>
      <c r="KU165">
        <v>2372</v>
      </c>
      <c r="KV165">
        <v>64533</v>
      </c>
      <c r="KW165">
        <v>10008</v>
      </c>
      <c r="KX165">
        <v>15527</v>
      </c>
      <c r="KY165">
        <v>-4007</v>
      </c>
      <c r="KZ165">
        <v>2697</v>
      </c>
      <c r="LA165">
        <v>66411</v>
      </c>
      <c r="LB165">
        <v>10008</v>
      </c>
      <c r="LC165">
        <v>0</v>
      </c>
      <c r="LD165">
        <v>36783</v>
      </c>
      <c r="LE165">
        <v>-5250</v>
      </c>
      <c r="LF165">
        <v>0</v>
      </c>
      <c r="LG165">
        <v>-22477</v>
      </c>
      <c r="LH165">
        <v>1738</v>
      </c>
      <c r="LI165">
        <v>9401</v>
      </c>
      <c r="LJ165">
        <v>6856</v>
      </c>
      <c r="LK165">
        <v>9083</v>
      </c>
      <c r="LL165">
        <v>15939</v>
      </c>
      <c r="LM165">
        <v>0</v>
      </c>
      <c r="LN165">
        <v>0</v>
      </c>
      <c r="LO165">
        <v>0</v>
      </c>
      <c r="LP165">
        <v>32972</v>
      </c>
      <c r="LQ165">
        <v>33697</v>
      </c>
      <c r="LR165">
        <v>-725</v>
      </c>
      <c r="LS165">
        <v>7971</v>
      </c>
      <c r="LT165">
        <v>7246</v>
      </c>
      <c r="LU165">
        <v>158063</v>
      </c>
      <c r="LV165">
        <v>7038</v>
      </c>
      <c r="LW165">
        <v>42558</v>
      </c>
      <c r="LX165">
        <v>85977</v>
      </c>
      <c r="LY165">
        <v>10986</v>
      </c>
      <c r="LZ165">
        <v>9415</v>
      </c>
      <c r="MA165">
        <v>6177</v>
      </c>
      <c r="MB165">
        <v>12248</v>
      </c>
      <c r="MC165">
        <v>3440</v>
      </c>
      <c r="MD165">
        <v>0</v>
      </c>
      <c r="ME165">
        <v>0</v>
      </c>
      <c r="MF165">
        <v>25400</v>
      </c>
      <c r="MG165">
        <v>0</v>
      </c>
      <c r="MH165">
        <v>361303</v>
      </c>
      <c r="MI165">
        <v>0</v>
      </c>
      <c r="MJ165">
        <v>0</v>
      </c>
      <c r="MK165">
        <v>0</v>
      </c>
      <c r="ML165">
        <v>0</v>
      </c>
      <c r="MM165">
        <v>0</v>
      </c>
      <c r="MN165">
        <v>0</v>
      </c>
      <c r="MO165">
        <v>0</v>
      </c>
      <c r="MP165">
        <v>0</v>
      </c>
      <c r="MQ165">
        <v>0</v>
      </c>
      <c r="MR165">
        <v>0</v>
      </c>
      <c r="MS165">
        <v>0</v>
      </c>
      <c r="MT165">
        <v>0</v>
      </c>
      <c r="MU165">
        <v>0</v>
      </c>
      <c r="MV165">
        <v>0</v>
      </c>
      <c r="MW165">
        <v>0</v>
      </c>
      <c r="MX165">
        <v>0</v>
      </c>
      <c r="MY165">
        <v>0</v>
      </c>
      <c r="MZ165">
        <v>0</v>
      </c>
      <c r="NA165">
        <v>0</v>
      </c>
      <c r="NB165">
        <v>0</v>
      </c>
      <c r="NC165">
        <v>0</v>
      </c>
      <c r="ND165">
        <v>0</v>
      </c>
      <c r="NE165">
        <v>0</v>
      </c>
      <c r="NF165">
        <v>0</v>
      </c>
      <c r="NG165">
        <v>0</v>
      </c>
      <c r="NH165">
        <v>0</v>
      </c>
      <c r="NI165">
        <v>0</v>
      </c>
      <c r="NJ165">
        <v>0</v>
      </c>
      <c r="NK165">
        <v>0</v>
      </c>
      <c r="NL165">
        <v>0</v>
      </c>
      <c r="NM165">
        <v>0</v>
      </c>
      <c r="NN165">
        <v>0</v>
      </c>
      <c r="NO165">
        <v>0</v>
      </c>
      <c r="NP165">
        <v>0</v>
      </c>
      <c r="NQ165">
        <v>0</v>
      </c>
      <c r="NR165">
        <v>0</v>
      </c>
      <c r="NS165">
        <v>0</v>
      </c>
      <c r="NT165">
        <v>0</v>
      </c>
      <c r="NU165">
        <v>0</v>
      </c>
      <c r="NV165">
        <v>0</v>
      </c>
      <c r="NW165">
        <v>0</v>
      </c>
      <c r="NX165">
        <v>0</v>
      </c>
      <c r="NY165">
        <v>0</v>
      </c>
      <c r="NZ165">
        <v>0</v>
      </c>
      <c r="OA165">
        <v>0</v>
      </c>
      <c r="OB165">
        <v>0</v>
      </c>
      <c r="OC165">
        <v>0</v>
      </c>
      <c r="OD165">
        <v>0</v>
      </c>
      <c r="OE165">
        <v>0</v>
      </c>
      <c r="OF165">
        <v>0</v>
      </c>
      <c r="OG165">
        <v>0</v>
      </c>
      <c r="OH165">
        <v>0</v>
      </c>
      <c r="OI165">
        <v>0</v>
      </c>
      <c r="OJ165">
        <v>0</v>
      </c>
      <c r="OK165">
        <v>0</v>
      </c>
      <c r="OL165">
        <v>0</v>
      </c>
      <c r="OM165">
        <v>0</v>
      </c>
      <c r="ON165">
        <v>0</v>
      </c>
    </row>
    <row r="166" spans="1:404" x14ac:dyDescent="0.25">
      <c r="A166" t="s">
        <v>563</v>
      </c>
      <c r="B166" t="s">
        <v>564</v>
      </c>
      <c r="C166" t="s">
        <v>562</v>
      </c>
      <c r="E166" t="s">
        <v>61</v>
      </c>
      <c r="F166">
        <v>0</v>
      </c>
      <c r="G166">
        <v>0</v>
      </c>
      <c r="H166">
        <v>0</v>
      </c>
      <c r="I166">
        <v>0</v>
      </c>
      <c r="J166">
        <v>0</v>
      </c>
      <c r="K166">
        <v>0</v>
      </c>
      <c r="L166">
        <v>0</v>
      </c>
      <c r="M166">
        <v>0</v>
      </c>
      <c r="N166">
        <v>0</v>
      </c>
      <c r="O166">
        <v>0</v>
      </c>
      <c r="P166">
        <v>0</v>
      </c>
      <c r="Q166">
        <v>0</v>
      </c>
      <c r="R166">
        <v>0</v>
      </c>
      <c r="S166">
        <v>0</v>
      </c>
      <c r="T166">
        <v>0</v>
      </c>
      <c r="U166">
        <v>0</v>
      </c>
      <c r="V166">
        <v>0</v>
      </c>
      <c r="W166">
        <v>0</v>
      </c>
      <c r="X166">
        <v>0</v>
      </c>
      <c r="Y166">
        <v>93</v>
      </c>
      <c r="Z166">
        <v>212</v>
      </c>
      <c r="AA166">
        <v>-92</v>
      </c>
      <c r="AB166">
        <v>0</v>
      </c>
      <c r="AC166">
        <v>0</v>
      </c>
      <c r="AD166">
        <v>0</v>
      </c>
      <c r="AE166">
        <v>0</v>
      </c>
      <c r="AF166">
        <v>0</v>
      </c>
      <c r="AG166">
        <v>0</v>
      </c>
      <c r="AH166">
        <v>0</v>
      </c>
      <c r="AI166">
        <v>213</v>
      </c>
      <c r="AJ166">
        <v>0</v>
      </c>
      <c r="AK166">
        <v>0</v>
      </c>
      <c r="AL166">
        <v>0</v>
      </c>
      <c r="AM166">
        <v>0</v>
      </c>
      <c r="AN166">
        <v>0</v>
      </c>
      <c r="AO166">
        <v>0</v>
      </c>
      <c r="AP166">
        <v>0</v>
      </c>
      <c r="AQ166">
        <v>32</v>
      </c>
      <c r="AR166">
        <v>39</v>
      </c>
      <c r="AS166">
        <v>0</v>
      </c>
      <c r="AT166">
        <v>0</v>
      </c>
      <c r="AU166">
        <v>0</v>
      </c>
      <c r="AV166">
        <v>0</v>
      </c>
      <c r="AW166">
        <v>0</v>
      </c>
      <c r="AX166">
        <v>0</v>
      </c>
      <c r="AY166">
        <v>0</v>
      </c>
      <c r="AZ166">
        <v>0</v>
      </c>
      <c r="BA166">
        <v>0</v>
      </c>
      <c r="BB166">
        <v>0</v>
      </c>
      <c r="BC166">
        <v>0</v>
      </c>
      <c r="BD166">
        <v>0</v>
      </c>
      <c r="BE166">
        <v>0</v>
      </c>
      <c r="BF166">
        <v>0</v>
      </c>
      <c r="BG166">
        <v>0</v>
      </c>
      <c r="BH166">
        <v>0</v>
      </c>
      <c r="BI166">
        <v>0</v>
      </c>
      <c r="BJ166">
        <v>0</v>
      </c>
      <c r="BK166">
        <v>0</v>
      </c>
      <c r="BL166">
        <v>0</v>
      </c>
      <c r="BM166">
        <v>0</v>
      </c>
      <c r="BN166">
        <v>0</v>
      </c>
      <c r="BO166">
        <v>0</v>
      </c>
      <c r="BP166">
        <v>0</v>
      </c>
      <c r="BQ166">
        <v>0</v>
      </c>
      <c r="BR166">
        <v>0</v>
      </c>
      <c r="BS166">
        <v>0</v>
      </c>
      <c r="BT166">
        <v>0</v>
      </c>
      <c r="BU166">
        <v>0</v>
      </c>
      <c r="BV166">
        <v>0</v>
      </c>
      <c r="BW166">
        <v>0</v>
      </c>
      <c r="BX166">
        <v>0</v>
      </c>
      <c r="BY166">
        <v>0</v>
      </c>
      <c r="BZ166">
        <v>0</v>
      </c>
      <c r="CA166">
        <v>0</v>
      </c>
      <c r="CB166">
        <v>0</v>
      </c>
      <c r="CC166">
        <v>0</v>
      </c>
      <c r="CD166">
        <v>0</v>
      </c>
      <c r="CE166">
        <v>0</v>
      </c>
      <c r="CF166">
        <v>0</v>
      </c>
      <c r="CG166">
        <v>0</v>
      </c>
      <c r="CH166">
        <v>0</v>
      </c>
      <c r="CI166">
        <v>0</v>
      </c>
      <c r="CJ166">
        <v>0</v>
      </c>
      <c r="CK166">
        <v>0</v>
      </c>
      <c r="CL166">
        <v>0</v>
      </c>
      <c r="CM166">
        <v>0</v>
      </c>
      <c r="CN166">
        <v>0</v>
      </c>
      <c r="CO166">
        <v>0</v>
      </c>
      <c r="CP166">
        <v>0</v>
      </c>
      <c r="CQ166">
        <v>0</v>
      </c>
      <c r="CR166">
        <v>0</v>
      </c>
      <c r="CS166">
        <v>0</v>
      </c>
      <c r="CT166">
        <v>0</v>
      </c>
      <c r="CU166">
        <v>-28</v>
      </c>
      <c r="CV166">
        <v>247</v>
      </c>
      <c r="CW166">
        <v>0</v>
      </c>
      <c r="CX166">
        <v>0</v>
      </c>
      <c r="CY166">
        <v>0</v>
      </c>
      <c r="CZ166">
        <v>0</v>
      </c>
      <c r="DA166">
        <v>0</v>
      </c>
      <c r="DB166">
        <v>0</v>
      </c>
      <c r="DC166">
        <v>-36</v>
      </c>
      <c r="DD166">
        <v>0</v>
      </c>
      <c r="DE166">
        <v>0</v>
      </c>
      <c r="DF166">
        <v>0</v>
      </c>
      <c r="DG166">
        <v>0</v>
      </c>
      <c r="DH166">
        <v>0</v>
      </c>
      <c r="DI166">
        <v>0</v>
      </c>
      <c r="DJ166">
        <v>23</v>
      </c>
      <c r="DK166">
        <v>0</v>
      </c>
      <c r="DL166">
        <v>0</v>
      </c>
      <c r="DM166">
        <v>0</v>
      </c>
      <c r="DN166">
        <v>374</v>
      </c>
      <c r="DO166">
        <v>1565</v>
      </c>
      <c r="DP166">
        <v>1962</v>
      </c>
      <c r="DQ166">
        <v>0</v>
      </c>
      <c r="DR166">
        <v>0</v>
      </c>
      <c r="DS166">
        <v>0</v>
      </c>
      <c r="DT166">
        <v>0</v>
      </c>
      <c r="DU166">
        <v>0</v>
      </c>
      <c r="DV166">
        <v>0</v>
      </c>
      <c r="DW166">
        <v>0</v>
      </c>
      <c r="DX166">
        <v>1926</v>
      </c>
      <c r="DY166">
        <v>0</v>
      </c>
      <c r="DZ166">
        <v>0</v>
      </c>
      <c r="EA166">
        <v>0</v>
      </c>
      <c r="EB166">
        <v>0</v>
      </c>
      <c r="EC166">
        <v>0</v>
      </c>
      <c r="ED166">
        <v>0</v>
      </c>
      <c r="EE166">
        <v>0</v>
      </c>
      <c r="EF166">
        <v>0</v>
      </c>
      <c r="EG166">
        <v>0</v>
      </c>
      <c r="EH166">
        <v>0</v>
      </c>
      <c r="EI166">
        <v>0</v>
      </c>
      <c r="EJ166">
        <v>0</v>
      </c>
      <c r="EK166">
        <v>0</v>
      </c>
      <c r="EL166">
        <v>0</v>
      </c>
      <c r="EM166">
        <v>0</v>
      </c>
      <c r="EN166">
        <v>0</v>
      </c>
      <c r="EO166">
        <v>0</v>
      </c>
      <c r="EP166">
        <v>0</v>
      </c>
      <c r="EQ166">
        <v>0</v>
      </c>
      <c r="ER166">
        <v>0</v>
      </c>
      <c r="ES166">
        <v>0</v>
      </c>
      <c r="ET166">
        <v>0</v>
      </c>
      <c r="EU166">
        <v>0</v>
      </c>
      <c r="EV166">
        <v>0</v>
      </c>
      <c r="EW166">
        <v>0</v>
      </c>
      <c r="EX166">
        <v>0</v>
      </c>
      <c r="EY166">
        <v>0</v>
      </c>
      <c r="EZ166">
        <v>0</v>
      </c>
      <c r="FA166">
        <v>0</v>
      </c>
      <c r="FB166">
        <v>0</v>
      </c>
      <c r="FC166">
        <v>-41</v>
      </c>
      <c r="FD166">
        <v>-552</v>
      </c>
      <c r="FE166">
        <v>0</v>
      </c>
      <c r="FF166">
        <v>0</v>
      </c>
      <c r="FG166">
        <v>0</v>
      </c>
      <c r="FH166">
        <v>-593</v>
      </c>
      <c r="FI166">
        <v>46</v>
      </c>
      <c r="FJ166">
        <v>1</v>
      </c>
      <c r="FK166">
        <v>0</v>
      </c>
      <c r="FL166">
        <v>0</v>
      </c>
      <c r="FM166">
        <v>676</v>
      </c>
      <c r="FN166">
        <v>0</v>
      </c>
      <c r="FO166">
        <v>-23</v>
      </c>
      <c r="FP166">
        <v>0</v>
      </c>
      <c r="FQ166">
        <v>0</v>
      </c>
      <c r="FR166">
        <v>4</v>
      </c>
      <c r="FS166">
        <v>0</v>
      </c>
      <c r="FT166">
        <v>34</v>
      </c>
      <c r="FU166">
        <v>11</v>
      </c>
      <c r="FV166">
        <v>255</v>
      </c>
      <c r="FW166">
        <v>0</v>
      </c>
      <c r="FX166">
        <v>34</v>
      </c>
      <c r="FY166">
        <v>0</v>
      </c>
      <c r="FZ166">
        <v>115</v>
      </c>
      <c r="GA166">
        <v>0</v>
      </c>
      <c r="GB166">
        <v>0</v>
      </c>
      <c r="GC166">
        <v>0</v>
      </c>
      <c r="GD166">
        <v>688</v>
      </c>
      <c r="GE166">
        <v>-600</v>
      </c>
      <c r="GF166">
        <v>0</v>
      </c>
      <c r="GG166">
        <v>0</v>
      </c>
      <c r="GH166">
        <v>974</v>
      </c>
      <c r="GI166">
        <v>0</v>
      </c>
      <c r="GJ166">
        <v>114</v>
      </c>
      <c r="GK166">
        <v>2329</v>
      </c>
      <c r="GL166">
        <v>29</v>
      </c>
      <c r="GM166">
        <v>596</v>
      </c>
      <c r="GN166">
        <v>0</v>
      </c>
      <c r="GO166">
        <v>630</v>
      </c>
      <c r="GP166">
        <v>432</v>
      </c>
      <c r="GQ166">
        <v>171</v>
      </c>
      <c r="GR166">
        <v>0</v>
      </c>
      <c r="GS166">
        <v>-473</v>
      </c>
      <c r="GT166">
        <v>350</v>
      </c>
      <c r="GU166">
        <v>1735</v>
      </c>
      <c r="GV166">
        <v>3471</v>
      </c>
      <c r="GW166">
        <v>0</v>
      </c>
      <c r="GX166">
        <v>0</v>
      </c>
      <c r="GY166">
        <v>0</v>
      </c>
      <c r="GZ166">
        <v>0</v>
      </c>
      <c r="HA166">
        <v>0</v>
      </c>
      <c r="HB166">
        <v>1882</v>
      </c>
      <c r="HC166">
        <v>30</v>
      </c>
      <c r="HD166">
        <v>0</v>
      </c>
      <c r="HE166">
        <v>-20</v>
      </c>
      <c r="HF166">
        <v>0</v>
      </c>
      <c r="HG166">
        <v>19</v>
      </c>
      <c r="HH166">
        <v>0</v>
      </c>
      <c r="HI166">
        <v>0</v>
      </c>
      <c r="HJ166">
        <v>188</v>
      </c>
      <c r="HK166">
        <v>204</v>
      </c>
      <c r="HL166">
        <v>37</v>
      </c>
      <c r="HM166">
        <v>-39</v>
      </c>
      <c r="HN166">
        <v>0</v>
      </c>
      <c r="HO166">
        <v>1</v>
      </c>
      <c r="HP166">
        <v>0</v>
      </c>
      <c r="HQ166">
        <v>0</v>
      </c>
      <c r="HR166">
        <v>643</v>
      </c>
      <c r="HS166">
        <v>0</v>
      </c>
      <c r="HT166">
        <v>0</v>
      </c>
      <c r="HU166">
        <v>350</v>
      </c>
      <c r="HV166">
        <v>3295</v>
      </c>
      <c r="HW166">
        <v>0</v>
      </c>
      <c r="HX166">
        <v>0</v>
      </c>
      <c r="HY166">
        <v>0</v>
      </c>
      <c r="HZ166">
        <v>6824</v>
      </c>
      <c r="IA166">
        <v>0</v>
      </c>
      <c r="IB166">
        <v>0</v>
      </c>
      <c r="IC166">
        <v>0</v>
      </c>
      <c r="ID166">
        <v>213</v>
      </c>
      <c r="IE166">
        <v>0</v>
      </c>
      <c r="IF166">
        <v>0</v>
      </c>
      <c r="IG166">
        <v>247</v>
      </c>
      <c r="IH166">
        <v>1926</v>
      </c>
      <c r="II166">
        <v>-593</v>
      </c>
      <c r="IJ166">
        <v>2329</v>
      </c>
      <c r="IK166">
        <v>1735</v>
      </c>
      <c r="IL166">
        <v>0</v>
      </c>
      <c r="IM166">
        <v>0</v>
      </c>
      <c r="IN166">
        <v>3295</v>
      </c>
      <c r="IO166">
        <v>0</v>
      </c>
      <c r="IP166">
        <v>9152</v>
      </c>
      <c r="IQ166">
        <v>10427</v>
      </c>
      <c r="IR166">
        <v>0</v>
      </c>
      <c r="IS166">
        <v>0</v>
      </c>
      <c r="IT166">
        <v>0</v>
      </c>
      <c r="IU166">
        <v>0</v>
      </c>
      <c r="IV166">
        <v>3464</v>
      </c>
      <c r="IW166">
        <v>0</v>
      </c>
      <c r="IX166">
        <v>0</v>
      </c>
      <c r="IY166">
        <v>0</v>
      </c>
      <c r="IZ166">
        <v>0</v>
      </c>
      <c r="JA166">
        <v>0</v>
      </c>
      <c r="JB166">
        <v>625</v>
      </c>
      <c r="JC166">
        <v>0</v>
      </c>
      <c r="JD166">
        <v>-625</v>
      </c>
      <c r="JE166">
        <v>0</v>
      </c>
      <c r="JF166">
        <v>0</v>
      </c>
      <c r="JG166">
        <v>23043</v>
      </c>
      <c r="JH166">
        <v>0</v>
      </c>
      <c r="JI166">
        <v>650</v>
      </c>
      <c r="JJ166">
        <v>0</v>
      </c>
      <c r="JK166">
        <v>0</v>
      </c>
      <c r="JL166">
        <v>0</v>
      </c>
      <c r="JM166">
        <v>427</v>
      </c>
      <c r="JN166">
        <v>531</v>
      </c>
      <c r="JO166">
        <v>91</v>
      </c>
      <c r="JP166">
        <v>251</v>
      </c>
      <c r="JQ166">
        <v>0</v>
      </c>
      <c r="JR166">
        <v>24993</v>
      </c>
      <c r="JS166">
        <v>-1116</v>
      </c>
      <c r="JT166">
        <v>0</v>
      </c>
      <c r="JU166">
        <v>0</v>
      </c>
      <c r="JV166">
        <v>0</v>
      </c>
      <c r="JW166">
        <v>-10416</v>
      </c>
      <c r="JX166">
        <v>0</v>
      </c>
      <c r="JY166">
        <v>0</v>
      </c>
      <c r="JZ166">
        <v>0</v>
      </c>
      <c r="KA166">
        <v>0</v>
      </c>
      <c r="KB166">
        <v>0</v>
      </c>
      <c r="KC166">
        <v>13461</v>
      </c>
      <c r="KD166">
        <v>0</v>
      </c>
      <c r="KE166">
        <v>-2488</v>
      </c>
      <c r="KF166">
        <v>10973</v>
      </c>
      <c r="KG166">
        <v>0</v>
      </c>
      <c r="KH166">
        <v>0</v>
      </c>
      <c r="KI166">
        <v>0</v>
      </c>
      <c r="KJ166">
        <v>0</v>
      </c>
      <c r="KK166">
        <v>6208</v>
      </c>
      <c r="KL166">
        <v>57</v>
      </c>
      <c r="KM166">
        <v>0</v>
      </c>
      <c r="KN166">
        <v>0</v>
      </c>
      <c r="KO166">
        <v>-1400</v>
      </c>
      <c r="KP166">
        <v>80</v>
      </c>
      <c r="KQ166">
        <v>0</v>
      </c>
      <c r="KR166">
        <v>10929</v>
      </c>
      <c r="KS166">
        <v>0</v>
      </c>
      <c r="KT166">
        <v>0</v>
      </c>
      <c r="KU166">
        <v>0</v>
      </c>
      <c r="KV166">
        <v>23107</v>
      </c>
      <c r="KW166">
        <v>6380</v>
      </c>
      <c r="KX166">
        <v>0</v>
      </c>
      <c r="KY166">
        <v>0</v>
      </c>
      <c r="KZ166">
        <v>0</v>
      </c>
      <c r="LA166">
        <v>29315</v>
      </c>
      <c r="LB166">
        <v>6437</v>
      </c>
      <c r="LC166">
        <v>0</v>
      </c>
      <c r="LD166">
        <v>1861</v>
      </c>
      <c r="LE166">
        <v>0</v>
      </c>
      <c r="LF166">
        <v>0</v>
      </c>
      <c r="LG166">
        <v>-4054</v>
      </c>
      <c r="LH166">
        <v>2584</v>
      </c>
      <c r="LI166">
        <v>1110</v>
      </c>
      <c r="LJ166">
        <v>1368</v>
      </c>
      <c r="LK166">
        <v>2018</v>
      </c>
      <c r="LL166">
        <v>3386</v>
      </c>
      <c r="LM166">
        <v>0</v>
      </c>
      <c r="LN166">
        <v>0</v>
      </c>
      <c r="LO166">
        <v>0</v>
      </c>
      <c r="LP166">
        <v>0</v>
      </c>
      <c r="LQ166">
        <v>0</v>
      </c>
      <c r="LR166">
        <v>0</v>
      </c>
      <c r="LS166">
        <v>0</v>
      </c>
      <c r="LT166">
        <v>0</v>
      </c>
      <c r="LU166">
        <v>0</v>
      </c>
      <c r="LV166">
        <v>213</v>
      </c>
      <c r="LW166">
        <v>0</v>
      </c>
      <c r="LX166">
        <v>0</v>
      </c>
      <c r="LY166">
        <v>247</v>
      </c>
      <c r="LZ166">
        <v>1926</v>
      </c>
      <c r="MA166">
        <v>-593</v>
      </c>
      <c r="MB166">
        <v>2329</v>
      </c>
      <c r="MC166">
        <v>1735</v>
      </c>
      <c r="MD166">
        <v>0</v>
      </c>
      <c r="ME166">
        <v>0</v>
      </c>
      <c r="MF166">
        <v>3295</v>
      </c>
      <c r="MG166">
        <v>0</v>
      </c>
      <c r="MH166">
        <v>9152</v>
      </c>
      <c r="MI166">
        <v>0</v>
      </c>
      <c r="MJ166">
        <v>0</v>
      </c>
      <c r="MK166">
        <v>0</v>
      </c>
      <c r="ML166">
        <v>0</v>
      </c>
      <c r="MM166">
        <v>0</v>
      </c>
      <c r="MN166">
        <v>0</v>
      </c>
      <c r="MO166">
        <v>0</v>
      </c>
      <c r="MP166">
        <v>0</v>
      </c>
      <c r="MQ166">
        <v>0</v>
      </c>
      <c r="MR166">
        <v>0</v>
      </c>
      <c r="MS166">
        <v>0</v>
      </c>
      <c r="MT166">
        <v>0</v>
      </c>
      <c r="MU166">
        <v>0</v>
      </c>
      <c r="MV166">
        <v>0</v>
      </c>
      <c r="MW166">
        <v>0</v>
      </c>
      <c r="MX166">
        <v>0</v>
      </c>
      <c r="MY166">
        <v>0</v>
      </c>
      <c r="MZ166">
        <v>0</v>
      </c>
      <c r="NA166">
        <v>0</v>
      </c>
      <c r="NB166">
        <v>0</v>
      </c>
      <c r="NC166">
        <v>0</v>
      </c>
      <c r="ND166">
        <v>0</v>
      </c>
      <c r="NE166">
        <v>0</v>
      </c>
      <c r="NF166">
        <v>0</v>
      </c>
      <c r="NG166">
        <v>0</v>
      </c>
      <c r="NH166">
        <v>0</v>
      </c>
      <c r="NI166">
        <v>0</v>
      </c>
      <c r="NJ166">
        <v>0</v>
      </c>
      <c r="NK166">
        <v>0</v>
      </c>
      <c r="NL166">
        <v>0</v>
      </c>
      <c r="NM166">
        <v>0</v>
      </c>
      <c r="NN166">
        <v>0</v>
      </c>
      <c r="NO166">
        <v>0</v>
      </c>
      <c r="NP166">
        <v>0</v>
      </c>
      <c r="NQ166">
        <v>0</v>
      </c>
      <c r="NR166">
        <v>0</v>
      </c>
      <c r="NS166">
        <v>0</v>
      </c>
      <c r="NT166">
        <v>0</v>
      </c>
      <c r="NU166">
        <v>0</v>
      </c>
      <c r="NV166">
        <v>0</v>
      </c>
      <c r="NW166">
        <v>0</v>
      </c>
      <c r="NX166">
        <v>0</v>
      </c>
      <c r="NY166">
        <v>0</v>
      </c>
      <c r="NZ166">
        <v>0</v>
      </c>
      <c r="OA166">
        <v>625</v>
      </c>
      <c r="OB166">
        <v>625</v>
      </c>
      <c r="OC166">
        <v>0</v>
      </c>
      <c r="OD166">
        <v>0</v>
      </c>
      <c r="OE166">
        <v>0</v>
      </c>
      <c r="OF166">
        <v>0</v>
      </c>
      <c r="OG166">
        <v>0</v>
      </c>
      <c r="OH166">
        <v>0</v>
      </c>
      <c r="OI166">
        <v>1555</v>
      </c>
      <c r="OJ166">
        <v>-619</v>
      </c>
      <c r="OK166">
        <v>666</v>
      </c>
      <c r="OL166">
        <v>-977</v>
      </c>
      <c r="OM166">
        <v>0</v>
      </c>
      <c r="ON166">
        <v>625</v>
      </c>
    </row>
    <row r="167" spans="1:404" x14ac:dyDescent="0.25">
      <c r="A167" t="s">
        <v>566</v>
      </c>
      <c r="B167" t="s">
        <v>567</v>
      </c>
      <c r="C167" t="s">
        <v>565</v>
      </c>
      <c r="E167" t="s">
        <v>125</v>
      </c>
      <c r="F167">
        <v>3987</v>
      </c>
      <c r="G167">
        <v>24092</v>
      </c>
      <c r="H167">
        <v>8697</v>
      </c>
      <c r="I167">
        <v>8446</v>
      </c>
      <c r="J167">
        <v>1259</v>
      </c>
      <c r="K167">
        <v>8943</v>
      </c>
      <c r="L167">
        <v>55424</v>
      </c>
      <c r="M167">
        <v>-12</v>
      </c>
      <c r="N167">
        <v>10</v>
      </c>
      <c r="O167">
        <v>0</v>
      </c>
      <c r="P167">
        <v>660</v>
      </c>
      <c r="Q167">
        <v>7</v>
      </c>
      <c r="R167">
        <v>254</v>
      </c>
      <c r="S167">
        <v>1993</v>
      </c>
      <c r="T167">
        <v>185</v>
      </c>
      <c r="U167">
        <v>1093</v>
      </c>
      <c r="V167">
        <v>0</v>
      </c>
      <c r="W167">
        <v>0</v>
      </c>
      <c r="X167">
        <v>-699</v>
      </c>
      <c r="Y167">
        <v>37</v>
      </c>
      <c r="Z167">
        <v>-321</v>
      </c>
      <c r="AA167">
        <v>-399</v>
      </c>
      <c r="AB167">
        <v>1901</v>
      </c>
      <c r="AC167">
        <v>0</v>
      </c>
      <c r="AD167">
        <v>0</v>
      </c>
      <c r="AE167">
        <v>0</v>
      </c>
      <c r="AF167">
        <v>0</v>
      </c>
      <c r="AG167">
        <v>97</v>
      </c>
      <c r="AH167">
        <v>0</v>
      </c>
      <c r="AI167">
        <v>4806</v>
      </c>
      <c r="AJ167">
        <v>0</v>
      </c>
      <c r="AK167">
        <v>0</v>
      </c>
      <c r="AL167">
        <v>0</v>
      </c>
      <c r="AM167">
        <v>0</v>
      </c>
      <c r="AN167">
        <v>0</v>
      </c>
      <c r="AO167">
        <v>73</v>
      </c>
      <c r="AP167">
        <v>292</v>
      </c>
      <c r="AQ167">
        <v>22</v>
      </c>
      <c r="AR167">
        <v>265</v>
      </c>
      <c r="AS167">
        <v>0</v>
      </c>
      <c r="AT167">
        <v>0</v>
      </c>
      <c r="AU167">
        <v>0</v>
      </c>
      <c r="AV167">
        <v>-17</v>
      </c>
      <c r="AW167">
        <v>15209</v>
      </c>
      <c r="AX167">
        <v>0</v>
      </c>
      <c r="AY167">
        <v>3376</v>
      </c>
      <c r="AZ167">
        <v>713</v>
      </c>
      <c r="BA167">
        <v>8062</v>
      </c>
      <c r="BB167">
        <v>0</v>
      </c>
      <c r="BC167">
        <v>803</v>
      </c>
      <c r="BD167">
        <v>28146</v>
      </c>
      <c r="BE167">
        <v>2380</v>
      </c>
      <c r="BF167">
        <v>7627</v>
      </c>
      <c r="BG167">
        <v>35</v>
      </c>
      <c r="BH167">
        <v>121</v>
      </c>
      <c r="BI167">
        <v>150</v>
      </c>
      <c r="BJ167">
        <v>4358</v>
      </c>
      <c r="BK167">
        <v>5230</v>
      </c>
      <c r="BL167">
        <v>1713</v>
      </c>
      <c r="BM167">
        <v>635</v>
      </c>
      <c r="BN167">
        <v>828</v>
      </c>
      <c r="BO167">
        <v>0</v>
      </c>
      <c r="BP167">
        <v>0</v>
      </c>
      <c r="BQ167">
        <v>36</v>
      </c>
      <c r="BR167">
        <v>176</v>
      </c>
      <c r="BS167">
        <v>329</v>
      </c>
      <c r="BT167">
        <v>4037</v>
      </c>
      <c r="BU167">
        <v>270</v>
      </c>
      <c r="BV167">
        <v>7135</v>
      </c>
      <c r="BW167">
        <v>35060</v>
      </c>
      <c r="BX167">
        <v>293</v>
      </c>
      <c r="BY167">
        <v>361</v>
      </c>
      <c r="BZ167">
        <v>0</v>
      </c>
      <c r="CA167">
        <v>68</v>
      </c>
      <c r="CB167">
        <v>21</v>
      </c>
      <c r="CC167">
        <v>43</v>
      </c>
      <c r="CD167">
        <v>135</v>
      </c>
      <c r="CE167">
        <v>50</v>
      </c>
      <c r="CF167">
        <v>50</v>
      </c>
      <c r="CG167">
        <v>296</v>
      </c>
      <c r="CH167">
        <v>0</v>
      </c>
      <c r="CI167">
        <v>676</v>
      </c>
      <c r="CJ167">
        <v>670</v>
      </c>
      <c r="CK167">
        <v>754</v>
      </c>
      <c r="CL167">
        <v>494</v>
      </c>
      <c r="CM167">
        <v>30</v>
      </c>
      <c r="CN167">
        <v>60</v>
      </c>
      <c r="CO167">
        <v>0</v>
      </c>
      <c r="CP167">
        <v>890</v>
      </c>
      <c r="CQ167">
        <v>1508</v>
      </c>
      <c r="CR167">
        <v>1636</v>
      </c>
      <c r="CS167">
        <v>4</v>
      </c>
      <c r="CT167">
        <v>272</v>
      </c>
      <c r="CU167">
        <v>732</v>
      </c>
      <c r="CV167">
        <v>12092</v>
      </c>
      <c r="CW167">
        <v>0</v>
      </c>
      <c r="CX167">
        <v>0</v>
      </c>
      <c r="CY167">
        <v>0</v>
      </c>
      <c r="CZ167">
        <v>0</v>
      </c>
      <c r="DA167">
        <v>0</v>
      </c>
      <c r="DB167">
        <v>0</v>
      </c>
      <c r="DC167">
        <v>670</v>
      </c>
      <c r="DD167">
        <v>0</v>
      </c>
      <c r="DE167">
        <v>0</v>
      </c>
      <c r="DF167">
        <v>0</v>
      </c>
      <c r="DG167">
        <v>0</v>
      </c>
      <c r="DH167">
        <v>0</v>
      </c>
      <c r="DI167">
        <v>0</v>
      </c>
      <c r="DJ167">
        <v>123</v>
      </c>
      <c r="DK167">
        <v>0</v>
      </c>
      <c r="DL167">
        <v>0</v>
      </c>
      <c r="DM167">
        <v>0</v>
      </c>
      <c r="DN167">
        <v>0</v>
      </c>
      <c r="DO167">
        <v>0</v>
      </c>
      <c r="DP167">
        <v>123</v>
      </c>
      <c r="DQ167">
        <v>0</v>
      </c>
      <c r="DR167">
        <v>0</v>
      </c>
      <c r="DS167">
        <v>0</v>
      </c>
      <c r="DT167">
        <v>549</v>
      </c>
      <c r="DU167">
        <v>0</v>
      </c>
      <c r="DV167">
        <v>1624</v>
      </c>
      <c r="DW167">
        <v>0</v>
      </c>
      <c r="DX167">
        <v>2966</v>
      </c>
      <c r="DY167">
        <v>1291</v>
      </c>
      <c r="DZ167">
        <v>0</v>
      </c>
      <c r="EA167">
        <v>27</v>
      </c>
      <c r="EB167">
        <v>0</v>
      </c>
      <c r="EC167">
        <v>0</v>
      </c>
      <c r="ED167">
        <v>27</v>
      </c>
      <c r="EE167">
        <v>0</v>
      </c>
      <c r="EF167">
        <v>0</v>
      </c>
      <c r="EG167">
        <v>0</v>
      </c>
      <c r="EH167">
        <v>217</v>
      </c>
      <c r="EI167">
        <v>411</v>
      </c>
      <c r="EJ167">
        <v>2</v>
      </c>
      <c r="EK167">
        <v>38</v>
      </c>
      <c r="EL167">
        <v>358</v>
      </c>
      <c r="EM167">
        <v>0</v>
      </c>
      <c r="EN167">
        <v>134</v>
      </c>
      <c r="EO167">
        <v>10</v>
      </c>
      <c r="EP167">
        <v>0</v>
      </c>
      <c r="EQ167">
        <v>155</v>
      </c>
      <c r="ER167">
        <v>20</v>
      </c>
      <c r="ES167">
        <v>495</v>
      </c>
      <c r="ET167">
        <v>495</v>
      </c>
      <c r="EU167">
        <v>0</v>
      </c>
      <c r="EV167">
        <v>0</v>
      </c>
      <c r="EW167">
        <v>31</v>
      </c>
      <c r="EX167">
        <v>870</v>
      </c>
      <c r="EY167">
        <v>771</v>
      </c>
      <c r="EZ167">
        <v>523</v>
      </c>
      <c r="FA167">
        <v>82</v>
      </c>
      <c r="FB167">
        <v>465</v>
      </c>
      <c r="FC167">
        <v>2111</v>
      </c>
      <c r="FD167">
        <v>1752</v>
      </c>
      <c r="FE167">
        <v>75</v>
      </c>
      <c r="FF167">
        <v>0</v>
      </c>
      <c r="FG167">
        <v>1222</v>
      </c>
      <c r="FH167">
        <v>7902</v>
      </c>
      <c r="FI167">
        <v>-422</v>
      </c>
      <c r="FJ167">
        <v>252</v>
      </c>
      <c r="FK167">
        <v>11</v>
      </c>
      <c r="FL167">
        <v>232</v>
      </c>
      <c r="FM167">
        <v>182</v>
      </c>
      <c r="FN167">
        <v>264</v>
      </c>
      <c r="FO167">
        <v>105</v>
      </c>
      <c r="FP167">
        <v>8</v>
      </c>
      <c r="FQ167">
        <v>8</v>
      </c>
      <c r="FR167">
        <v>54</v>
      </c>
      <c r="FS167">
        <v>148</v>
      </c>
      <c r="FT167">
        <v>113</v>
      </c>
      <c r="FU167">
        <v>-42</v>
      </c>
      <c r="FV167">
        <v>68</v>
      </c>
      <c r="FW167">
        <v>68</v>
      </c>
      <c r="FX167">
        <v>244</v>
      </c>
      <c r="FY167">
        <v>68</v>
      </c>
      <c r="FZ167">
        <v>1</v>
      </c>
      <c r="GA167">
        <v>1</v>
      </c>
      <c r="GB167">
        <v>237</v>
      </c>
      <c r="GC167">
        <v>0</v>
      </c>
      <c r="GD167">
        <v>1179</v>
      </c>
      <c r="GE167">
        <v>2017</v>
      </c>
      <c r="GF167">
        <v>2570</v>
      </c>
      <c r="GG167">
        <v>-146</v>
      </c>
      <c r="GH167">
        <v>1581</v>
      </c>
      <c r="GI167">
        <v>0</v>
      </c>
      <c r="GJ167">
        <v>0</v>
      </c>
      <c r="GK167">
        <v>8801</v>
      </c>
      <c r="GL167">
        <v>142</v>
      </c>
      <c r="GM167">
        <v>71</v>
      </c>
      <c r="GN167">
        <v>0</v>
      </c>
      <c r="GO167">
        <v>231</v>
      </c>
      <c r="GP167">
        <v>0</v>
      </c>
      <c r="GQ167">
        <v>766</v>
      </c>
      <c r="GR167">
        <v>0</v>
      </c>
      <c r="GS167">
        <v>187</v>
      </c>
      <c r="GT167">
        <v>0</v>
      </c>
      <c r="GU167">
        <v>1397</v>
      </c>
      <c r="GV167">
        <v>18100</v>
      </c>
      <c r="GW167">
        <v>0</v>
      </c>
      <c r="GX167">
        <v>0</v>
      </c>
      <c r="GY167">
        <v>0</v>
      </c>
      <c r="GZ167">
        <v>0</v>
      </c>
      <c r="HA167">
        <v>0</v>
      </c>
      <c r="HB167">
        <v>1435</v>
      </c>
      <c r="HC167">
        <v>242</v>
      </c>
      <c r="HD167">
        <v>0</v>
      </c>
      <c r="HE167">
        <v>0</v>
      </c>
      <c r="HF167">
        <v>37</v>
      </c>
      <c r="HG167">
        <v>88</v>
      </c>
      <c r="HH167">
        <v>0</v>
      </c>
      <c r="HI167">
        <v>-19</v>
      </c>
      <c r="HJ167">
        <v>76</v>
      </c>
      <c r="HK167">
        <v>350</v>
      </c>
      <c r="HL167">
        <v>175</v>
      </c>
      <c r="HM167">
        <v>5</v>
      </c>
      <c r="HN167">
        <v>1158</v>
      </c>
      <c r="HO167">
        <v>60</v>
      </c>
      <c r="HP167">
        <v>288</v>
      </c>
      <c r="HQ167">
        <v>0</v>
      </c>
      <c r="HR167">
        <v>221</v>
      </c>
      <c r="HS167">
        <v>0</v>
      </c>
      <c r="HT167">
        <v>0</v>
      </c>
      <c r="HU167">
        <v>0</v>
      </c>
      <c r="HV167">
        <v>4116</v>
      </c>
      <c r="HW167">
        <v>432</v>
      </c>
      <c r="HX167">
        <v>4612</v>
      </c>
      <c r="HY167">
        <v>0</v>
      </c>
      <c r="HZ167">
        <v>0</v>
      </c>
      <c r="IA167">
        <v>273</v>
      </c>
      <c r="IB167">
        <v>0</v>
      </c>
      <c r="IC167">
        <v>55424</v>
      </c>
      <c r="ID167">
        <v>4806</v>
      </c>
      <c r="IE167">
        <v>28146</v>
      </c>
      <c r="IF167">
        <v>35060</v>
      </c>
      <c r="IG167">
        <v>12092</v>
      </c>
      <c r="IH167">
        <v>2966</v>
      </c>
      <c r="II167">
        <v>7902</v>
      </c>
      <c r="IJ167">
        <v>8801</v>
      </c>
      <c r="IK167">
        <v>1397</v>
      </c>
      <c r="IL167">
        <v>0</v>
      </c>
      <c r="IM167">
        <v>0</v>
      </c>
      <c r="IN167">
        <v>4116</v>
      </c>
      <c r="IO167">
        <v>0</v>
      </c>
      <c r="IP167">
        <v>160710</v>
      </c>
      <c r="IQ167">
        <v>24991</v>
      </c>
      <c r="IR167">
        <v>0</v>
      </c>
      <c r="IS167">
        <v>0</v>
      </c>
      <c r="IT167">
        <v>0</v>
      </c>
      <c r="IU167">
        <v>0</v>
      </c>
      <c r="IV167">
        <v>40</v>
      </c>
      <c r="IW167">
        <v>0</v>
      </c>
      <c r="IX167">
        <v>0</v>
      </c>
      <c r="IY167">
        <v>0</v>
      </c>
      <c r="IZ167">
        <v>40</v>
      </c>
      <c r="JA167">
        <v>-135</v>
      </c>
      <c r="JB167">
        <v>-292</v>
      </c>
      <c r="JC167">
        <v>0</v>
      </c>
      <c r="JD167">
        <v>0</v>
      </c>
      <c r="JE167">
        <v>0</v>
      </c>
      <c r="JF167">
        <v>0</v>
      </c>
      <c r="JG167">
        <v>185354</v>
      </c>
      <c r="JH167">
        <v>81</v>
      </c>
      <c r="JI167">
        <v>1919</v>
      </c>
      <c r="JJ167">
        <v>0</v>
      </c>
      <c r="JK167">
        <v>0</v>
      </c>
      <c r="JL167">
        <v>0</v>
      </c>
      <c r="JM167">
        <v>0</v>
      </c>
      <c r="JN167">
        <v>2489</v>
      </c>
      <c r="JO167">
        <v>79</v>
      </c>
      <c r="JP167">
        <v>2706</v>
      </c>
      <c r="JQ167">
        <v>0</v>
      </c>
      <c r="JR167">
        <v>192628</v>
      </c>
      <c r="JS167">
        <v>-2309</v>
      </c>
      <c r="JT167">
        <v>0</v>
      </c>
      <c r="JU167">
        <v>0</v>
      </c>
      <c r="JV167">
        <v>0</v>
      </c>
      <c r="JW167">
        <v>-27189</v>
      </c>
      <c r="JX167">
        <v>0</v>
      </c>
      <c r="JY167">
        <v>0</v>
      </c>
      <c r="JZ167">
        <v>0</v>
      </c>
      <c r="KA167">
        <v>0</v>
      </c>
      <c r="KB167">
        <v>0</v>
      </c>
      <c r="KC167">
        <v>163130</v>
      </c>
      <c r="KD167">
        <v>-8</v>
      </c>
      <c r="KE167">
        <v>-81571</v>
      </c>
      <c r="KF167">
        <v>81551</v>
      </c>
      <c r="KG167">
        <v>0</v>
      </c>
      <c r="KH167">
        <v>880</v>
      </c>
      <c r="KI167">
        <v>-26</v>
      </c>
      <c r="KJ167">
        <v>440</v>
      </c>
      <c r="KK167">
        <v>-1090</v>
      </c>
      <c r="KL167">
        <v>0</v>
      </c>
      <c r="KM167">
        <v>-7948</v>
      </c>
      <c r="KN167">
        <v>0</v>
      </c>
      <c r="KO167">
        <v>-23391</v>
      </c>
      <c r="KP167">
        <v>763</v>
      </c>
      <c r="KQ167">
        <v>0</v>
      </c>
      <c r="KR167">
        <v>42737</v>
      </c>
      <c r="KS167">
        <v>2431</v>
      </c>
      <c r="KT167">
        <v>1255</v>
      </c>
      <c r="KU167">
        <v>513</v>
      </c>
      <c r="KV167">
        <v>43730</v>
      </c>
      <c r="KW167">
        <v>4417</v>
      </c>
      <c r="KX167">
        <v>3311</v>
      </c>
      <c r="KY167">
        <v>1229</v>
      </c>
      <c r="KZ167">
        <v>953</v>
      </c>
      <c r="LA167">
        <v>42640</v>
      </c>
      <c r="LB167">
        <v>4417</v>
      </c>
      <c r="LC167">
        <v>0</v>
      </c>
      <c r="LD167">
        <v>7679</v>
      </c>
      <c r="LE167">
        <v>-14</v>
      </c>
      <c r="LF167">
        <v>-2253</v>
      </c>
      <c r="LG167">
        <v>-3293</v>
      </c>
      <c r="LH167">
        <v>5219</v>
      </c>
      <c r="LI167">
        <v>8343</v>
      </c>
      <c r="LJ167">
        <v>4975</v>
      </c>
      <c r="LK167">
        <v>8044</v>
      </c>
      <c r="LL167">
        <v>13019</v>
      </c>
      <c r="LM167">
        <v>4</v>
      </c>
      <c r="LN167">
        <v>0</v>
      </c>
      <c r="LO167">
        <v>0</v>
      </c>
      <c r="LP167">
        <v>1345</v>
      </c>
      <c r="LQ167">
        <v>1345</v>
      </c>
      <c r="LR167">
        <v>0</v>
      </c>
      <c r="LS167">
        <v>495</v>
      </c>
      <c r="LT167">
        <v>495</v>
      </c>
      <c r="LU167">
        <v>55424</v>
      </c>
      <c r="LV167">
        <v>4806</v>
      </c>
      <c r="LW167">
        <v>28146</v>
      </c>
      <c r="LX167">
        <v>35060</v>
      </c>
      <c r="LY167">
        <v>12092</v>
      </c>
      <c r="LZ167">
        <v>2966</v>
      </c>
      <c r="MA167">
        <v>7902</v>
      </c>
      <c r="MB167">
        <v>8801</v>
      </c>
      <c r="MC167">
        <v>1397</v>
      </c>
      <c r="MD167">
        <v>0</v>
      </c>
      <c r="ME167">
        <v>0</v>
      </c>
      <c r="MF167">
        <v>4116</v>
      </c>
      <c r="MG167">
        <v>0</v>
      </c>
      <c r="MH167">
        <v>160710</v>
      </c>
      <c r="MI167">
        <v>0</v>
      </c>
      <c r="MJ167">
        <v>0</v>
      </c>
      <c r="MK167">
        <v>0</v>
      </c>
      <c r="ML167">
        <v>0</v>
      </c>
      <c r="MM167">
        <v>0</v>
      </c>
      <c r="MN167">
        <v>0</v>
      </c>
      <c r="MO167">
        <v>0</v>
      </c>
      <c r="MP167">
        <v>0</v>
      </c>
      <c r="MQ167">
        <v>0</v>
      </c>
      <c r="MR167">
        <v>0</v>
      </c>
      <c r="MS167">
        <v>0</v>
      </c>
      <c r="MT167">
        <v>0</v>
      </c>
      <c r="MU167">
        <v>0</v>
      </c>
      <c r="MV167">
        <v>0</v>
      </c>
      <c r="MW167">
        <v>0</v>
      </c>
      <c r="MX167">
        <v>0</v>
      </c>
      <c r="MY167">
        <v>0</v>
      </c>
      <c r="MZ167">
        <v>0</v>
      </c>
      <c r="NA167">
        <v>-135</v>
      </c>
      <c r="NB167">
        <v>0</v>
      </c>
      <c r="NC167">
        <v>-135</v>
      </c>
      <c r="ND167">
        <v>0</v>
      </c>
      <c r="NE167">
        <v>0</v>
      </c>
      <c r="NF167">
        <v>0</v>
      </c>
      <c r="NG167">
        <v>0</v>
      </c>
      <c r="NH167">
        <v>0</v>
      </c>
      <c r="NI167">
        <v>0</v>
      </c>
      <c r="NJ167">
        <v>0</v>
      </c>
      <c r="NK167">
        <v>0</v>
      </c>
      <c r="NL167">
        <v>0</v>
      </c>
      <c r="NM167">
        <v>-117</v>
      </c>
      <c r="NN167">
        <v>0</v>
      </c>
      <c r="NO167">
        <v>0</v>
      </c>
      <c r="NP167">
        <v>0</v>
      </c>
      <c r="NQ167">
        <v>0</v>
      </c>
      <c r="NR167">
        <v>0</v>
      </c>
      <c r="NS167">
        <v>0</v>
      </c>
      <c r="NT167">
        <v>0</v>
      </c>
      <c r="NU167">
        <v>0</v>
      </c>
      <c r="NV167">
        <v>0</v>
      </c>
      <c r="NW167">
        <v>0</v>
      </c>
      <c r="NX167">
        <v>0</v>
      </c>
      <c r="NY167">
        <v>0</v>
      </c>
      <c r="NZ167">
        <v>-292</v>
      </c>
      <c r="OA167">
        <v>0</v>
      </c>
      <c r="OB167">
        <v>-292</v>
      </c>
      <c r="OC167">
        <v>0</v>
      </c>
      <c r="OD167">
        <v>0</v>
      </c>
      <c r="OE167">
        <v>0</v>
      </c>
      <c r="OF167">
        <v>0</v>
      </c>
      <c r="OG167">
        <v>0</v>
      </c>
      <c r="OH167">
        <v>0</v>
      </c>
      <c r="OI167">
        <v>0</v>
      </c>
      <c r="OJ167">
        <v>0</v>
      </c>
      <c r="OK167">
        <v>0</v>
      </c>
      <c r="OL167">
        <v>0</v>
      </c>
      <c r="OM167">
        <v>0</v>
      </c>
      <c r="ON167">
        <v>0</v>
      </c>
    </row>
    <row r="168" spans="1:404" x14ac:dyDescent="0.25">
      <c r="A168" t="s">
        <v>569</v>
      </c>
      <c r="B168" t="s">
        <v>570</v>
      </c>
      <c r="C168" t="s">
        <v>568</v>
      </c>
      <c r="E168" t="s">
        <v>61</v>
      </c>
      <c r="F168">
        <v>0</v>
      </c>
      <c r="G168">
        <v>0</v>
      </c>
      <c r="H168">
        <v>0</v>
      </c>
      <c r="I168">
        <v>0</v>
      </c>
      <c r="J168">
        <v>0</v>
      </c>
      <c r="K168">
        <v>0</v>
      </c>
      <c r="L168">
        <v>0</v>
      </c>
      <c r="M168">
        <v>0</v>
      </c>
      <c r="N168">
        <v>0</v>
      </c>
      <c r="O168">
        <v>0</v>
      </c>
      <c r="P168">
        <v>0</v>
      </c>
      <c r="Q168">
        <v>0</v>
      </c>
      <c r="R168">
        <v>-2</v>
      </c>
      <c r="S168">
        <v>0</v>
      </c>
      <c r="T168">
        <v>1</v>
      </c>
      <c r="U168">
        <v>73</v>
      </c>
      <c r="V168">
        <v>0</v>
      </c>
      <c r="W168">
        <v>0</v>
      </c>
      <c r="X168">
        <v>0</v>
      </c>
      <c r="Y168">
        <v>0</v>
      </c>
      <c r="Z168">
        <v>0</v>
      </c>
      <c r="AA168">
        <v>-1605</v>
      </c>
      <c r="AB168">
        <v>0</v>
      </c>
      <c r="AC168">
        <v>0</v>
      </c>
      <c r="AD168">
        <v>0</v>
      </c>
      <c r="AE168">
        <v>0</v>
      </c>
      <c r="AF168">
        <v>0</v>
      </c>
      <c r="AG168">
        <v>16</v>
      </c>
      <c r="AH168">
        <v>0</v>
      </c>
      <c r="AI168">
        <v>-1517</v>
      </c>
      <c r="AJ168">
        <v>0</v>
      </c>
      <c r="AK168">
        <v>0</v>
      </c>
      <c r="AL168">
        <v>0</v>
      </c>
      <c r="AM168">
        <v>0</v>
      </c>
      <c r="AN168">
        <v>0</v>
      </c>
      <c r="AO168">
        <v>0</v>
      </c>
      <c r="AP168">
        <v>0</v>
      </c>
      <c r="AQ168">
        <v>0</v>
      </c>
      <c r="AR168">
        <v>0</v>
      </c>
      <c r="AS168">
        <v>0</v>
      </c>
      <c r="AT168">
        <v>0</v>
      </c>
      <c r="AU168">
        <v>0</v>
      </c>
      <c r="AV168">
        <v>0</v>
      </c>
      <c r="AW168">
        <v>0</v>
      </c>
      <c r="AX168">
        <v>0</v>
      </c>
      <c r="AY168">
        <v>0</v>
      </c>
      <c r="AZ168">
        <v>0</v>
      </c>
      <c r="BA168">
        <v>0</v>
      </c>
      <c r="BB168">
        <v>0</v>
      </c>
      <c r="BC168">
        <v>0</v>
      </c>
      <c r="BD168">
        <v>0</v>
      </c>
      <c r="BE168">
        <v>0</v>
      </c>
      <c r="BF168">
        <v>0</v>
      </c>
      <c r="BG168">
        <v>0</v>
      </c>
      <c r="BH168">
        <v>0</v>
      </c>
      <c r="BI168">
        <v>0</v>
      </c>
      <c r="BJ168">
        <v>0</v>
      </c>
      <c r="BK168">
        <v>0</v>
      </c>
      <c r="BL168">
        <v>0</v>
      </c>
      <c r="BM168">
        <v>0</v>
      </c>
      <c r="BN168">
        <v>0</v>
      </c>
      <c r="BO168">
        <v>0</v>
      </c>
      <c r="BP168">
        <v>0</v>
      </c>
      <c r="BQ168">
        <v>0</v>
      </c>
      <c r="BR168">
        <v>0</v>
      </c>
      <c r="BS168">
        <v>0</v>
      </c>
      <c r="BT168">
        <v>0</v>
      </c>
      <c r="BU168">
        <v>0</v>
      </c>
      <c r="BV168">
        <v>0</v>
      </c>
      <c r="BW168">
        <v>0</v>
      </c>
      <c r="BX168">
        <v>0</v>
      </c>
      <c r="BY168">
        <v>0</v>
      </c>
      <c r="BZ168">
        <v>0</v>
      </c>
      <c r="CA168">
        <v>0</v>
      </c>
      <c r="CB168">
        <v>0</v>
      </c>
      <c r="CC168">
        <v>0</v>
      </c>
      <c r="CD168">
        <v>0</v>
      </c>
      <c r="CE168">
        <v>0</v>
      </c>
      <c r="CF168">
        <v>0</v>
      </c>
      <c r="CG168">
        <v>0</v>
      </c>
      <c r="CH168">
        <v>0</v>
      </c>
      <c r="CI168">
        <v>0</v>
      </c>
      <c r="CJ168">
        <v>0</v>
      </c>
      <c r="CK168">
        <v>0</v>
      </c>
      <c r="CL168">
        <v>0</v>
      </c>
      <c r="CM168">
        <v>0</v>
      </c>
      <c r="CN168">
        <v>0</v>
      </c>
      <c r="CO168">
        <v>0</v>
      </c>
      <c r="CP168">
        <v>0</v>
      </c>
      <c r="CQ168">
        <v>0</v>
      </c>
      <c r="CR168">
        <v>0</v>
      </c>
      <c r="CS168">
        <v>0</v>
      </c>
      <c r="CT168">
        <v>0</v>
      </c>
      <c r="CU168">
        <v>0</v>
      </c>
      <c r="CV168">
        <v>0</v>
      </c>
      <c r="CW168">
        <v>0</v>
      </c>
      <c r="CX168">
        <v>0</v>
      </c>
      <c r="CY168">
        <v>0</v>
      </c>
      <c r="CZ168">
        <v>0</v>
      </c>
      <c r="DA168">
        <v>0</v>
      </c>
      <c r="DB168">
        <v>0</v>
      </c>
      <c r="DC168">
        <v>73</v>
      </c>
      <c r="DD168">
        <v>0</v>
      </c>
      <c r="DE168">
        <v>3</v>
      </c>
      <c r="DF168">
        <v>2331</v>
      </c>
      <c r="DG168">
        <v>0</v>
      </c>
      <c r="DH168">
        <v>0</v>
      </c>
      <c r="DI168">
        <v>0</v>
      </c>
      <c r="DJ168">
        <v>0</v>
      </c>
      <c r="DK168">
        <v>0</v>
      </c>
      <c r="DL168">
        <v>0</v>
      </c>
      <c r="DM168">
        <v>0</v>
      </c>
      <c r="DN168">
        <v>6790</v>
      </c>
      <c r="DO168">
        <v>0</v>
      </c>
      <c r="DP168">
        <v>6790</v>
      </c>
      <c r="DQ168">
        <v>0</v>
      </c>
      <c r="DR168">
        <v>0</v>
      </c>
      <c r="DS168">
        <v>0</v>
      </c>
      <c r="DT168">
        <v>1146</v>
      </c>
      <c r="DU168">
        <v>0</v>
      </c>
      <c r="DV168">
        <v>0</v>
      </c>
      <c r="DW168">
        <v>45</v>
      </c>
      <c r="DX168">
        <v>10388</v>
      </c>
      <c r="DY168">
        <v>0</v>
      </c>
      <c r="DZ168">
        <v>0</v>
      </c>
      <c r="EA168">
        <v>0</v>
      </c>
      <c r="EB168">
        <v>0</v>
      </c>
      <c r="EC168">
        <v>0</v>
      </c>
      <c r="ED168">
        <v>0</v>
      </c>
      <c r="EE168">
        <v>0</v>
      </c>
      <c r="EF168">
        <v>0</v>
      </c>
      <c r="EG168">
        <v>0</v>
      </c>
      <c r="EH168">
        <v>0</v>
      </c>
      <c r="EI168">
        <v>0</v>
      </c>
      <c r="EJ168">
        <v>0</v>
      </c>
      <c r="EK168">
        <v>0</v>
      </c>
      <c r="EL168">
        <v>0</v>
      </c>
      <c r="EM168">
        <v>0</v>
      </c>
      <c r="EN168">
        <v>0</v>
      </c>
      <c r="EO168">
        <v>0</v>
      </c>
      <c r="EP168">
        <v>0</v>
      </c>
      <c r="EQ168">
        <v>0</v>
      </c>
      <c r="ER168">
        <v>0</v>
      </c>
      <c r="ES168">
        <v>0</v>
      </c>
      <c r="ET168">
        <v>0</v>
      </c>
      <c r="EU168">
        <v>0</v>
      </c>
      <c r="EV168">
        <v>0</v>
      </c>
      <c r="EW168">
        <v>-35</v>
      </c>
      <c r="EX168">
        <v>520</v>
      </c>
      <c r="EY168">
        <v>247</v>
      </c>
      <c r="EZ168">
        <v>0</v>
      </c>
      <c r="FA168">
        <v>473</v>
      </c>
      <c r="FB168">
        <v>102</v>
      </c>
      <c r="FC168">
        <v>-41</v>
      </c>
      <c r="FD168">
        <v>1471</v>
      </c>
      <c r="FE168">
        <v>0</v>
      </c>
      <c r="FF168">
        <v>24</v>
      </c>
      <c r="FG168">
        <v>0</v>
      </c>
      <c r="FH168">
        <v>2761</v>
      </c>
      <c r="FI168">
        <v>0</v>
      </c>
      <c r="FJ168">
        <v>0</v>
      </c>
      <c r="FK168">
        <v>0</v>
      </c>
      <c r="FL168">
        <v>0</v>
      </c>
      <c r="FM168">
        <v>0</v>
      </c>
      <c r="FN168">
        <v>0</v>
      </c>
      <c r="FO168">
        <v>0</v>
      </c>
      <c r="FP168">
        <v>0</v>
      </c>
      <c r="FQ168">
        <v>0</v>
      </c>
      <c r="FR168">
        <v>0</v>
      </c>
      <c r="FS168">
        <v>0</v>
      </c>
      <c r="FT168">
        <v>0</v>
      </c>
      <c r="FU168">
        <v>0</v>
      </c>
      <c r="FV168">
        <v>0</v>
      </c>
      <c r="FW168">
        <v>85</v>
      </c>
      <c r="FX168">
        <v>79</v>
      </c>
      <c r="FY168">
        <v>0</v>
      </c>
      <c r="FZ168">
        <v>12</v>
      </c>
      <c r="GA168">
        <v>0</v>
      </c>
      <c r="GB168">
        <v>7</v>
      </c>
      <c r="GC168">
        <v>1</v>
      </c>
      <c r="GD168">
        <v>11</v>
      </c>
      <c r="GE168">
        <v>3075</v>
      </c>
      <c r="GF168">
        <v>0</v>
      </c>
      <c r="GG168">
        <v>0</v>
      </c>
      <c r="GH168">
        <v>387</v>
      </c>
      <c r="GI168">
        <v>0</v>
      </c>
      <c r="GJ168">
        <v>0</v>
      </c>
      <c r="GK168">
        <v>3657</v>
      </c>
      <c r="GL168">
        <v>537</v>
      </c>
      <c r="GM168">
        <v>677</v>
      </c>
      <c r="GN168">
        <v>0</v>
      </c>
      <c r="GO168">
        <v>211</v>
      </c>
      <c r="GP168">
        <v>216</v>
      </c>
      <c r="GQ168">
        <v>197</v>
      </c>
      <c r="GR168">
        <v>0</v>
      </c>
      <c r="GS168">
        <v>-5399</v>
      </c>
      <c r="GT168">
        <v>141</v>
      </c>
      <c r="GU168">
        <v>-3420</v>
      </c>
      <c r="GV168">
        <v>2998</v>
      </c>
      <c r="GW168">
        <v>0</v>
      </c>
      <c r="GX168">
        <v>0</v>
      </c>
      <c r="GY168">
        <v>0</v>
      </c>
      <c r="GZ168">
        <v>0</v>
      </c>
      <c r="HA168">
        <v>0</v>
      </c>
      <c r="HB168">
        <v>1209</v>
      </c>
      <c r="HC168">
        <v>517</v>
      </c>
      <c r="HD168">
        <v>0</v>
      </c>
      <c r="HE168">
        <v>0</v>
      </c>
      <c r="HF168">
        <v>366</v>
      </c>
      <c r="HG168">
        <v>130</v>
      </c>
      <c r="HH168">
        <v>0</v>
      </c>
      <c r="HI168">
        <v>0</v>
      </c>
      <c r="HJ168">
        <v>104</v>
      </c>
      <c r="HK168">
        <v>21</v>
      </c>
      <c r="HL168">
        <v>52</v>
      </c>
      <c r="HM168">
        <v>-142</v>
      </c>
      <c r="HN168">
        <v>0</v>
      </c>
      <c r="HO168">
        <v>0</v>
      </c>
      <c r="HP168">
        <v>0</v>
      </c>
      <c r="HQ168">
        <v>0</v>
      </c>
      <c r="HR168">
        <v>-608</v>
      </c>
      <c r="HS168">
        <v>0</v>
      </c>
      <c r="HT168">
        <v>0</v>
      </c>
      <c r="HU168">
        <v>8576</v>
      </c>
      <c r="HV168">
        <v>10225</v>
      </c>
      <c r="HW168">
        <v>1548</v>
      </c>
      <c r="HX168">
        <v>1292</v>
      </c>
      <c r="HY168">
        <v>0</v>
      </c>
      <c r="HZ168">
        <v>0</v>
      </c>
      <c r="IA168">
        <v>0</v>
      </c>
      <c r="IB168">
        <v>0</v>
      </c>
      <c r="IC168">
        <v>0</v>
      </c>
      <c r="ID168">
        <v>-1517</v>
      </c>
      <c r="IE168">
        <v>0</v>
      </c>
      <c r="IF168">
        <v>0</v>
      </c>
      <c r="IG168">
        <v>0</v>
      </c>
      <c r="IH168">
        <v>10388</v>
      </c>
      <c r="II168">
        <v>2761</v>
      </c>
      <c r="IJ168">
        <v>3657</v>
      </c>
      <c r="IK168">
        <v>-3420</v>
      </c>
      <c r="IL168">
        <v>0</v>
      </c>
      <c r="IM168">
        <v>0</v>
      </c>
      <c r="IN168">
        <v>10225</v>
      </c>
      <c r="IO168">
        <v>0</v>
      </c>
      <c r="IP168">
        <v>22094</v>
      </c>
      <c r="IQ168">
        <v>29030</v>
      </c>
      <c r="IR168">
        <v>1782</v>
      </c>
      <c r="IS168">
        <v>0</v>
      </c>
      <c r="IT168">
        <v>0</v>
      </c>
      <c r="IU168">
        <v>0</v>
      </c>
      <c r="IV168">
        <v>0</v>
      </c>
      <c r="IW168">
        <v>0</v>
      </c>
      <c r="IX168">
        <v>0</v>
      </c>
      <c r="IY168">
        <v>0</v>
      </c>
      <c r="IZ168">
        <v>0</v>
      </c>
      <c r="JA168">
        <v>0</v>
      </c>
      <c r="JB168">
        <v>0</v>
      </c>
      <c r="JC168">
        <v>0</v>
      </c>
      <c r="JD168">
        <v>0</v>
      </c>
      <c r="JE168">
        <v>0</v>
      </c>
      <c r="JF168">
        <v>0</v>
      </c>
      <c r="JG168">
        <v>52906</v>
      </c>
      <c r="JH168">
        <v>0</v>
      </c>
      <c r="JI168">
        <v>0</v>
      </c>
      <c r="JJ168">
        <v>0</v>
      </c>
      <c r="JK168">
        <v>0</v>
      </c>
      <c r="JL168">
        <v>0</v>
      </c>
      <c r="JM168">
        <v>0</v>
      </c>
      <c r="JN168">
        <v>1668</v>
      </c>
      <c r="JO168">
        <v>0</v>
      </c>
      <c r="JP168">
        <v>1831</v>
      </c>
      <c r="JQ168">
        <v>0</v>
      </c>
      <c r="JR168">
        <v>56405</v>
      </c>
      <c r="JS168">
        <v>-559</v>
      </c>
      <c r="JT168">
        <v>0</v>
      </c>
      <c r="JU168">
        <v>0</v>
      </c>
      <c r="JV168">
        <v>0</v>
      </c>
      <c r="JW168">
        <v>-44835</v>
      </c>
      <c r="JX168">
        <v>0</v>
      </c>
      <c r="JY168">
        <v>0</v>
      </c>
      <c r="JZ168">
        <v>0</v>
      </c>
      <c r="KA168">
        <v>0</v>
      </c>
      <c r="KB168">
        <v>0</v>
      </c>
      <c r="KC168">
        <v>11011</v>
      </c>
      <c r="KD168">
        <v>0</v>
      </c>
      <c r="KE168">
        <v>-4694</v>
      </c>
      <c r="KF168">
        <v>6317</v>
      </c>
      <c r="KG168">
        <v>0</v>
      </c>
      <c r="KH168">
        <v>0</v>
      </c>
      <c r="KI168">
        <v>0</v>
      </c>
      <c r="KJ168">
        <v>0</v>
      </c>
      <c r="KK168">
        <v>9748</v>
      </c>
      <c r="KL168">
        <v>0</v>
      </c>
      <c r="KM168">
        <v>-1010</v>
      </c>
      <c r="KN168">
        <v>0</v>
      </c>
      <c r="KO168">
        <v>-4172</v>
      </c>
      <c r="KP168">
        <v>0</v>
      </c>
      <c r="KQ168">
        <v>0</v>
      </c>
      <c r="KR168">
        <v>7104</v>
      </c>
      <c r="KS168">
        <v>0</v>
      </c>
      <c r="KT168">
        <v>0</v>
      </c>
      <c r="KU168">
        <v>0</v>
      </c>
      <c r="KV168">
        <v>19731</v>
      </c>
      <c r="KW168">
        <v>500</v>
      </c>
      <c r="KX168">
        <v>0</v>
      </c>
      <c r="KY168">
        <v>0</v>
      </c>
      <c r="KZ168">
        <v>0</v>
      </c>
      <c r="LA168">
        <v>29479</v>
      </c>
      <c r="LB168">
        <v>500</v>
      </c>
      <c r="LC168">
        <v>0</v>
      </c>
      <c r="LD168">
        <v>1892</v>
      </c>
      <c r="LE168">
        <v>0</v>
      </c>
      <c r="LF168">
        <v>1417</v>
      </c>
      <c r="LG168">
        <v>-3346</v>
      </c>
      <c r="LH168">
        <v>1275</v>
      </c>
      <c r="LI168">
        <v>1419</v>
      </c>
      <c r="LJ168">
        <v>3809</v>
      </c>
      <c r="LK168">
        <v>6338</v>
      </c>
      <c r="LL168">
        <v>10147</v>
      </c>
      <c r="LM168">
        <v>0</v>
      </c>
      <c r="LN168">
        <v>0</v>
      </c>
      <c r="LO168">
        <v>0</v>
      </c>
      <c r="LP168">
        <v>0</v>
      </c>
      <c r="LQ168">
        <v>0</v>
      </c>
      <c r="LR168">
        <v>0</v>
      </c>
      <c r="LS168">
        <v>0</v>
      </c>
      <c r="LT168">
        <v>0</v>
      </c>
      <c r="LU168">
        <v>0</v>
      </c>
      <c r="LV168">
        <v>-1517</v>
      </c>
      <c r="LW168">
        <v>0</v>
      </c>
      <c r="LX168">
        <v>0</v>
      </c>
      <c r="LY168">
        <v>0</v>
      </c>
      <c r="LZ168">
        <v>10388</v>
      </c>
      <c r="MA168">
        <v>2761</v>
      </c>
      <c r="MB168">
        <v>3657</v>
      </c>
      <c r="MC168">
        <v>-3420</v>
      </c>
      <c r="MD168">
        <v>0</v>
      </c>
      <c r="ME168">
        <v>0</v>
      </c>
      <c r="MF168">
        <v>10225</v>
      </c>
      <c r="MG168">
        <v>0</v>
      </c>
      <c r="MH168">
        <v>22094</v>
      </c>
      <c r="MI168">
        <v>0</v>
      </c>
      <c r="MJ168">
        <v>0</v>
      </c>
      <c r="MK168">
        <v>0</v>
      </c>
      <c r="ML168">
        <v>0</v>
      </c>
      <c r="MM168">
        <v>0</v>
      </c>
      <c r="MN168">
        <v>0</v>
      </c>
      <c r="MO168">
        <v>0</v>
      </c>
      <c r="MP168">
        <v>0</v>
      </c>
      <c r="MQ168">
        <v>0</v>
      </c>
      <c r="MR168">
        <v>0</v>
      </c>
      <c r="MS168">
        <v>0</v>
      </c>
      <c r="MT168">
        <v>0</v>
      </c>
      <c r="MU168">
        <v>0</v>
      </c>
      <c r="MV168">
        <v>0</v>
      </c>
      <c r="MW168">
        <v>0</v>
      </c>
      <c r="MX168">
        <v>0</v>
      </c>
      <c r="MY168">
        <v>0</v>
      </c>
      <c r="MZ168">
        <v>0</v>
      </c>
      <c r="NA168">
        <v>0</v>
      </c>
      <c r="NB168">
        <v>0</v>
      </c>
      <c r="NC168">
        <v>0</v>
      </c>
      <c r="ND168">
        <v>0</v>
      </c>
      <c r="NE168">
        <v>0</v>
      </c>
      <c r="NF168">
        <v>0</v>
      </c>
      <c r="NG168">
        <v>0</v>
      </c>
      <c r="NH168">
        <v>0</v>
      </c>
      <c r="NI168">
        <v>0</v>
      </c>
      <c r="NJ168">
        <v>0</v>
      </c>
      <c r="NK168">
        <v>0</v>
      </c>
      <c r="NL168">
        <v>0</v>
      </c>
      <c r="NM168">
        <v>0</v>
      </c>
      <c r="NN168">
        <v>0</v>
      </c>
      <c r="NO168">
        <v>0</v>
      </c>
      <c r="NP168">
        <v>0</v>
      </c>
      <c r="NQ168">
        <v>0</v>
      </c>
      <c r="NR168">
        <v>0</v>
      </c>
      <c r="NS168">
        <v>0</v>
      </c>
      <c r="NT168">
        <v>0</v>
      </c>
      <c r="NU168">
        <v>0</v>
      </c>
      <c r="NV168">
        <v>0</v>
      </c>
      <c r="NW168">
        <v>0</v>
      </c>
      <c r="NX168">
        <v>0</v>
      </c>
      <c r="NY168">
        <v>0</v>
      </c>
      <c r="NZ168">
        <v>0</v>
      </c>
      <c r="OA168">
        <v>0</v>
      </c>
      <c r="OB168">
        <v>0</v>
      </c>
      <c r="OC168">
        <v>0</v>
      </c>
      <c r="OD168">
        <v>0</v>
      </c>
      <c r="OE168">
        <v>0</v>
      </c>
      <c r="OF168">
        <v>0</v>
      </c>
      <c r="OG168">
        <v>0</v>
      </c>
      <c r="OH168">
        <v>0</v>
      </c>
      <c r="OI168">
        <v>0</v>
      </c>
      <c r="OJ168">
        <v>0</v>
      </c>
      <c r="OK168">
        <v>0</v>
      </c>
      <c r="OL168">
        <v>0</v>
      </c>
      <c r="OM168">
        <v>0</v>
      </c>
      <c r="ON168">
        <v>0</v>
      </c>
    </row>
    <row r="169" spans="1:404" x14ac:dyDescent="0.25">
      <c r="A169" t="s">
        <v>572</v>
      </c>
      <c r="B169" t="s">
        <v>573</v>
      </c>
      <c r="C169" t="s">
        <v>571</v>
      </c>
      <c r="E169" t="s">
        <v>61</v>
      </c>
      <c r="F169">
        <v>0</v>
      </c>
      <c r="G169">
        <v>0</v>
      </c>
      <c r="H169">
        <v>0</v>
      </c>
      <c r="I169">
        <v>0</v>
      </c>
      <c r="J169">
        <v>0</v>
      </c>
      <c r="K169">
        <v>0</v>
      </c>
      <c r="L169">
        <v>0</v>
      </c>
      <c r="M169">
        <v>245</v>
      </c>
      <c r="N169">
        <v>0</v>
      </c>
      <c r="O169">
        <v>0</v>
      </c>
      <c r="P169">
        <v>0</v>
      </c>
      <c r="Q169">
        <v>0</v>
      </c>
      <c r="R169">
        <v>35</v>
      </c>
      <c r="S169">
        <v>0</v>
      </c>
      <c r="T169">
        <v>0</v>
      </c>
      <c r="U169">
        <v>0</v>
      </c>
      <c r="V169">
        <v>0</v>
      </c>
      <c r="W169">
        <v>0</v>
      </c>
      <c r="X169">
        <v>0</v>
      </c>
      <c r="Y169">
        <v>111</v>
      </c>
      <c r="Z169">
        <v>334</v>
      </c>
      <c r="AA169">
        <v>-1139</v>
      </c>
      <c r="AB169">
        <v>0</v>
      </c>
      <c r="AC169">
        <v>0</v>
      </c>
      <c r="AD169">
        <v>0</v>
      </c>
      <c r="AE169">
        <v>0</v>
      </c>
      <c r="AF169">
        <v>0</v>
      </c>
      <c r="AG169">
        <v>22</v>
      </c>
      <c r="AH169">
        <v>0</v>
      </c>
      <c r="AI169">
        <v>-392</v>
      </c>
      <c r="AJ169">
        <v>0</v>
      </c>
      <c r="AK169">
        <v>0</v>
      </c>
      <c r="AL169">
        <v>0</v>
      </c>
      <c r="AM169">
        <v>0</v>
      </c>
      <c r="AN169">
        <v>0</v>
      </c>
      <c r="AO169">
        <v>0</v>
      </c>
      <c r="AP169">
        <v>0</v>
      </c>
      <c r="AQ169">
        <v>103</v>
      </c>
      <c r="AR169">
        <v>24</v>
      </c>
      <c r="AS169">
        <v>0</v>
      </c>
      <c r="AT169">
        <v>0</v>
      </c>
      <c r="AU169">
        <v>0</v>
      </c>
      <c r="AV169">
        <v>0</v>
      </c>
      <c r="AW169">
        <v>0</v>
      </c>
      <c r="AX169">
        <v>0</v>
      </c>
      <c r="AY169">
        <v>0</v>
      </c>
      <c r="AZ169">
        <v>0</v>
      </c>
      <c r="BA169">
        <v>0</v>
      </c>
      <c r="BB169">
        <v>0</v>
      </c>
      <c r="BC169">
        <v>0</v>
      </c>
      <c r="BD169">
        <v>0</v>
      </c>
      <c r="BE169">
        <v>0</v>
      </c>
      <c r="BF169">
        <v>0</v>
      </c>
      <c r="BG169">
        <v>0</v>
      </c>
      <c r="BH169">
        <v>0</v>
      </c>
      <c r="BI169">
        <v>0</v>
      </c>
      <c r="BJ169">
        <v>0</v>
      </c>
      <c r="BK169">
        <v>0</v>
      </c>
      <c r="BL169">
        <v>0</v>
      </c>
      <c r="BM169">
        <v>0</v>
      </c>
      <c r="BN169">
        <v>0</v>
      </c>
      <c r="BO169">
        <v>0</v>
      </c>
      <c r="BP169">
        <v>0</v>
      </c>
      <c r="BQ169">
        <v>0</v>
      </c>
      <c r="BR169">
        <v>0</v>
      </c>
      <c r="BS169">
        <v>0</v>
      </c>
      <c r="BT169">
        <v>0</v>
      </c>
      <c r="BU169">
        <v>0</v>
      </c>
      <c r="BV169">
        <v>0</v>
      </c>
      <c r="BW169">
        <v>0</v>
      </c>
      <c r="BX169">
        <v>0</v>
      </c>
      <c r="BY169">
        <v>0</v>
      </c>
      <c r="BZ169">
        <v>0</v>
      </c>
      <c r="CA169">
        <v>0</v>
      </c>
      <c r="CB169">
        <v>0</v>
      </c>
      <c r="CC169">
        <v>0</v>
      </c>
      <c r="CD169">
        <v>0</v>
      </c>
      <c r="CE169">
        <v>0</v>
      </c>
      <c r="CF169">
        <v>0</v>
      </c>
      <c r="CG169">
        <v>0</v>
      </c>
      <c r="CH169">
        <v>0</v>
      </c>
      <c r="CI169">
        <v>0</v>
      </c>
      <c r="CJ169">
        <v>0</v>
      </c>
      <c r="CK169">
        <v>0</v>
      </c>
      <c r="CL169">
        <v>0</v>
      </c>
      <c r="CM169">
        <v>0</v>
      </c>
      <c r="CN169">
        <v>0</v>
      </c>
      <c r="CO169">
        <v>0</v>
      </c>
      <c r="CP169">
        <v>0</v>
      </c>
      <c r="CQ169">
        <v>0</v>
      </c>
      <c r="CR169">
        <v>0</v>
      </c>
      <c r="CS169">
        <v>0</v>
      </c>
      <c r="CT169">
        <v>0</v>
      </c>
      <c r="CU169">
        <v>0</v>
      </c>
      <c r="CV169">
        <v>0</v>
      </c>
      <c r="CW169">
        <v>0</v>
      </c>
      <c r="CX169">
        <v>0</v>
      </c>
      <c r="CY169">
        <v>0</v>
      </c>
      <c r="CZ169">
        <v>0</v>
      </c>
      <c r="DA169">
        <v>0</v>
      </c>
      <c r="DB169">
        <v>0</v>
      </c>
      <c r="DC169">
        <v>93</v>
      </c>
      <c r="DD169">
        <v>0</v>
      </c>
      <c r="DE169">
        <v>0</v>
      </c>
      <c r="DF169">
        <v>237</v>
      </c>
      <c r="DG169">
        <v>1008</v>
      </c>
      <c r="DH169">
        <v>377</v>
      </c>
      <c r="DI169">
        <v>0</v>
      </c>
      <c r="DJ169">
        <v>386</v>
      </c>
      <c r="DK169">
        <v>0</v>
      </c>
      <c r="DL169">
        <v>0</v>
      </c>
      <c r="DM169">
        <v>0</v>
      </c>
      <c r="DN169">
        <v>799</v>
      </c>
      <c r="DO169">
        <v>-167</v>
      </c>
      <c r="DP169">
        <v>2403</v>
      </c>
      <c r="DQ169">
        <v>0</v>
      </c>
      <c r="DR169">
        <v>0</v>
      </c>
      <c r="DS169">
        <v>0</v>
      </c>
      <c r="DT169">
        <v>2979</v>
      </c>
      <c r="DU169">
        <v>0</v>
      </c>
      <c r="DV169">
        <v>-33</v>
      </c>
      <c r="DW169">
        <v>0</v>
      </c>
      <c r="DX169">
        <v>5679</v>
      </c>
      <c r="DY169">
        <v>0</v>
      </c>
      <c r="DZ169">
        <v>0</v>
      </c>
      <c r="EA169">
        <v>0</v>
      </c>
      <c r="EB169">
        <v>0</v>
      </c>
      <c r="EC169">
        <v>0</v>
      </c>
      <c r="ED169">
        <v>0</v>
      </c>
      <c r="EE169">
        <v>0</v>
      </c>
      <c r="EF169">
        <v>0</v>
      </c>
      <c r="EG169">
        <v>0</v>
      </c>
      <c r="EH169">
        <v>0</v>
      </c>
      <c r="EI169">
        <v>0</v>
      </c>
      <c r="EJ169">
        <v>0</v>
      </c>
      <c r="EK169">
        <v>0</v>
      </c>
      <c r="EL169">
        <v>0</v>
      </c>
      <c r="EM169">
        <v>0</v>
      </c>
      <c r="EN169">
        <v>0</v>
      </c>
      <c r="EO169">
        <v>0</v>
      </c>
      <c r="EP169">
        <v>0</v>
      </c>
      <c r="EQ169">
        <v>0</v>
      </c>
      <c r="ER169">
        <v>0</v>
      </c>
      <c r="ES169">
        <v>0</v>
      </c>
      <c r="ET169">
        <v>0</v>
      </c>
      <c r="EU169">
        <v>0</v>
      </c>
      <c r="EV169">
        <v>14</v>
      </c>
      <c r="EW169">
        <v>-214</v>
      </c>
      <c r="EX169">
        <v>0</v>
      </c>
      <c r="EY169">
        <v>0</v>
      </c>
      <c r="EZ169">
        <v>0</v>
      </c>
      <c r="FA169">
        <v>84</v>
      </c>
      <c r="FB169">
        <v>54</v>
      </c>
      <c r="FC169">
        <v>111</v>
      </c>
      <c r="FD169">
        <v>-262</v>
      </c>
      <c r="FE169">
        <v>-45</v>
      </c>
      <c r="FF169">
        <v>0</v>
      </c>
      <c r="FG169">
        <v>0</v>
      </c>
      <c r="FH169">
        <v>-258</v>
      </c>
      <c r="FI169">
        <v>-290</v>
      </c>
      <c r="FJ169">
        <v>0</v>
      </c>
      <c r="FK169">
        <v>0</v>
      </c>
      <c r="FL169">
        <v>207</v>
      </c>
      <c r="FM169">
        <v>730</v>
      </c>
      <c r="FN169">
        <v>0</v>
      </c>
      <c r="FO169">
        <v>79</v>
      </c>
      <c r="FP169">
        <v>0</v>
      </c>
      <c r="FQ169">
        <v>0</v>
      </c>
      <c r="FR169">
        <v>138</v>
      </c>
      <c r="FS169">
        <v>119</v>
      </c>
      <c r="FT169">
        <v>119</v>
      </c>
      <c r="FU169">
        <v>286</v>
      </c>
      <c r="FV169">
        <v>0</v>
      </c>
      <c r="FW169">
        <v>441</v>
      </c>
      <c r="FX169">
        <v>0</v>
      </c>
      <c r="FY169">
        <v>0</v>
      </c>
      <c r="FZ169">
        <v>0</v>
      </c>
      <c r="GA169">
        <v>0</v>
      </c>
      <c r="GB169">
        <v>139</v>
      </c>
      <c r="GC169">
        <v>0</v>
      </c>
      <c r="GD169">
        <v>1689</v>
      </c>
      <c r="GE169">
        <v>9274</v>
      </c>
      <c r="GF169">
        <v>0</v>
      </c>
      <c r="GG169">
        <v>0</v>
      </c>
      <c r="GH169">
        <v>0</v>
      </c>
      <c r="GI169">
        <v>0</v>
      </c>
      <c r="GJ169">
        <v>42</v>
      </c>
      <c r="GK169">
        <v>12973</v>
      </c>
      <c r="GL169">
        <v>143</v>
      </c>
      <c r="GM169">
        <v>740</v>
      </c>
      <c r="GN169">
        <v>0</v>
      </c>
      <c r="GO169">
        <v>950</v>
      </c>
      <c r="GP169">
        <v>0</v>
      </c>
      <c r="GQ169">
        <v>724</v>
      </c>
      <c r="GR169">
        <v>0</v>
      </c>
      <c r="GS169">
        <v>-197</v>
      </c>
      <c r="GT169">
        <v>653</v>
      </c>
      <c r="GU169">
        <v>3013</v>
      </c>
      <c r="GV169">
        <v>15728</v>
      </c>
      <c r="GW169">
        <v>0</v>
      </c>
      <c r="GX169">
        <v>0</v>
      </c>
      <c r="GY169">
        <v>0</v>
      </c>
      <c r="GZ169">
        <v>0</v>
      </c>
      <c r="HA169">
        <v>0</v>
      </c>
      <c r="HB169">
        <v>2475</v>
      </c>
      <c r="HC169">
        <v>-93</v>
      </c>
      <c r="HD169">
        <v>0</v>
      </c>
      <c r="HE169">
        <v>0</v>
      </c>
      <c r="HF169">
        <v>0</v>
      </c>
      <c r="HG169">
        <v>-133</v>
      </c>
      <c r="HH169">
        <v>0</v>
      </c>
      <c r="HI169">
        <v>0</v>
      </c>
      <c r="HJ169">
        <v>351</v>
      </c>
      <c r="HK169">
        <v>103</v>
      </c>
      <c r="HL169">
        <v>111</v>
      </c>
      <c r="HM169">
        <v>144</v>
      </c>
      <c r="HN169">
        <v>0</v>
      </c>
      <c r="HO169">
        <v>0</v>
      </c>
      <c r="HP169">
        <v>0</v>
      </c>
      <c r="HQ169">
        <v>0</v>
      </c>
      <c r="HR169">
        <v>35</v>
      </c>
      <c r="HS169">
        <v>0</v>
      </c>
      <c r="HT169">
        <v>0</v>
      </c>
      <c r="HU169">
        <v>237</v>
      </c>
      <c r="HV169">
        <v>3230</v>
      </c>
      <c r="HW169">
        <v>31</v>
      </c>
      <c r="HX169">
        <v>0</v>
      </c>
      <c r="HY169">
        <v>0</v>
      </c>
      <c r="HZ169">
        <v>0</v>
      </c>
      <c r="IA169">
        <v>0</v>
      </c>
      <c r="IB169">
        <v>0</v>
      </c>
      <c r="IC169">
        <v>0</v>
      </c>
      <c r="ID169">
        <v>-392</v>
      </c>
      <c r="IE169">
        <v>0</v>
      </c>
      <c r="IF169">
        <v>0</v>
      </c>
      <c r="IG169">
        <v>0</v>
      </c>
      <c r="IH169">
        <v>5679</v>
      </c>
      <c r="II169">
        <v>-258</v>
      </c>
      <c r="IJ169">
        <v>12973</v>
      </c>
      <c r="IK169">
        <v>3013</v>
      </c>
      <c r="IL169">
        <v>0</v>
      </c>
      <c r="IM169">
        <v>0</v>
      </c>
      <c r="IN169">
        <v>3230</v>
      </c>
      <c r="IO169">
        <v>0</v>
      </c>
      <c r="IP169">
        <v>24245</v>
      </c>
      <c r="IQ169">
        <v>22768</v>
      </c>
      <c r="IR169">
        <v>0</v>
      </c>
      <c r="IS169">
        <v>0</v>
      </c>
      <c r="IT169">
        <v>0</v>
      </c>
      <c r="IU169">
        <v>0</v>
      </c>
      <c r="IV169">
        <v>0</v>
      </c>
      <c r="IW169">
        <v>0</v>
      </c>
      <c r="IX169">
        <v>0</v>
      </c>
      <c r="IY169">
        <v>0</v>
      </c>
      <c r="IZ169">
        <v>-179</v>
      </c>
      <c r="JA169">
        <v>0</v>
      </c>
      <c r="JB169">
        <v>0</v>
      </c>
      <c r="JC169">
        <v>0</v>
      </c>
      <c r="JD169">
        <v>0</v>
      </c>
      <c r="JE169">
        <v>0</v>
      </c>
      <c r="JF169">
        <v>0</v>
      </c>
      <c r="JG169">
        <v>46834</v>
      </c>
      <c r="JH169">
        <v>0</v>
      </c>
      <c r="JI169">
        <v>0</v>
      </c>
      <c r="JJ169">
        <v>0</v>
      </c>
      <c r="JK169">
        <v>0</v>
      </c>
      <c r="JL169">
        <v>0</v>
      </c>
      <c r="JM169">
        <v>-449</v>
      </c>
      <c r="JN169">
        <v>0</v>
      </c>
      <c r="JO169">
        <v>0</v>
      </c>
      <c r="JP169">
        <v>130</v>
      </c>
      <c r="JQ169">
        <v>0</v>
      </c>
      <c r="JR169">
        <v>46515</v>
      </c>
      <c r="JS169">
        <v>-1288</v>
      </c>
      <c r="JT169">
        <v>0</v>
      </c>
      <c r="JU169">
        <v>0</v>
      </c>
      <c r="JV169">
        <v>0</v>
      </c>
      <c r="JW169">
        <v>-20482</v>
      </c>
      <c r="JX169">
        <v>0</v>
      </c>
      <c r="JY169">
        <v>-38</v>
      </c>
      <c r="JZ169">
        <v>0</v>
      </c>
      <c r="KA169">
        <v>0</v>
      </c>
      <c r="KB169">
        <v>0</v>
      </c>
      <c r="KC169">
        <v>24707</v>
      </c>
      <c r="KD169">
        <v>0</v>
      </c>
      <c r="KE169">
        <v>-2269</v>
      </c>
      <c r="KF169">
        <v>22438</v>
      </c>
      <c r="KG169">
        <v>0</v>
      </c>
      <c r="KH169">
        <v>0</v>
      </c>
      <c r="KI169">
        <v>0</v>
      </c>
      <c r="KJ169">
        <v>0</v>
      </c>
      <c r="KK169">
        <v>-3158</v>
      </c>
      <c r="KL169">
        <v>0</v>
      </c>
      <c r="KM169">
        <v>0</v>
      </c>
      <c r="KN169">
        <v>0</v>
      </c>
      <c r="KO169">
        <v>-4014</v>
      </c>
      <c r="KP169">
        <v>0</v>
      </c>
      <c r="KQ169">
        <v>0</v>
      </c>
      <c r="KR169">
        <v>8890</v>
      </c>
      <c r="KS169">
        <v>0</v>
      </c>
      <c r="KT169">
        <v>0</v>
      </c>
      <c r="KU169">
        <v>0</v>
      </c>
      <c r="KV169">
        <v>16584</v>
      </c>
      <c r="KW169">
        <v>3510</v>
      </c>
      <c r="KX169">
        <v>0</v>
      </c>
      <c r="KY169">
        <v>0</v>
      </c>
      <c r="KZ169">
        <v>0</v>
      </c>
      <c r="LA169">
        <v>13426</v>
      </c>
      <c r="LB169">
        <v>3510</v>
      </c>
      <c r="LC169">
        <v>0</v>
      </c>
      <c r="LD169">
        <v>0</v>
      </c>
      <c r="LE169">
        <v>0</v>
      </c>
      <c r="LF169">
        <v>0</v>
      </c>
      <c r="LG169">
        <v>0</v>
      </c>
      <c r="LH169">
        <v>0</v>
      </c>
      <c r="LI169">
        <v>0</v>
      </c>
      <c r="LJ169">
        <v>3758</v>
      </c>
      <c r="LK169">
        <v>5239</v>
      </c>
      <c r="LL169">
        <v>8997</v>
      </c>
      <c r="LM169">
        <v>0</v>
      </c>
      <c r="LN169">
        <v>0</v>
      </c>
      <c r="LO169">
        <v>0</v>
      </c>
      <c r="LP169">
        <v>0</v>
      </c>
      <c r="LQ169">
        <v>0</v>
      </c>
      <c r="LR169">
        <v>0</v>
      </c>
      <c r="LS169">
        <v>0</v>
      </c>
      <c r="LT169">
        <v>0</v>
      </c>
      <c r="LU169">
        <v>0</v>
      </c>
      <c r="LV169">
        <v>-392</v>
      </c>
      <c r="LW169">
        <v>0</v>
      </c>
      <c r="LX169">
        <v>0</v>
      </c>
      <c r="LY169">
        <v>0</v>
      </c>
      <c r="LZ169">
        <v>5679</v>
      </c>
      <c r="MA169">
        <v>-258</v>
      </c>
      <c r="MB169">
        <v>12973</v>
      </c>
      <c r="MC169">
        <v>3013</v>
      </c>
      <c r="MD169">
        <v>0</v>
      </c>
      <c r="ME169">
        <v>0</v>
      </c>
      <c r="MF169">
        <v>3230</v>
      </c>
      <c r="MG169">
        <v>0</v>
      </c>
      <c r="MH169">
        <v>24245</v>
      </c>
      <c r="MI169">
        <v>0</v>
      </c>
      <c r="MJ169">
        <v>0</v>
      </c>
      <c r="MK169">
        <v>0</v>
      </c>
      <c r="ML169">
        <v>0</v>
      </c>
      <c r="MM169">
        <v>0</v>
      </c>
      <c r="MN169">
        <v>0</v>
      </c>
      <c r="MO169">
        <v>0</v>
      </c>
      <c r="MP169">
        <v>0</v>
      </c>
      <c r="MQ169">
        <v>0</v>
      </c>
      <c r="MR169">
        <v>0</v>
      </c>
      <c r="MS169">
        <v>0</v>
      </c>
      <c r="MT169">
        <v>0</v>
      </c>
      <c r="MU169">
        <v>0</v>
      </c>
      <c r="MV169">
        <v>0</v>
      </c>
      <c r="MW169">
        <v>0</v>
      </c>
      <c r="MX169">
        <v>0</v>
      </c>
      <c r="MY169">
        <v>0</v>
      </c>
      <c r="MZ169">
        <v>0</v>
      </c>
      <c r="NA169">
        <v>0</v>
      </c>
      <c r="NB169">
        <v>0</v>
      </c>
      <c r="NC169">
        <v>0</v>
      </c>
      <c r="ND169">
        <v>0</v>
      </c>
      <c r="NE169">
        <v>0</v>
      </c>
      <c r="NF169">
        <v>0</v>
      </c>
      <c r="NG169">
        <v>0</v>
      </c>
      <c r="NH169">
        <v>0</v>
      </c>
      <c r="NI169">
        <v>0</v>
      </c>
      <c r="NJ169">
        <v>0</v>
      </c>
      <c r="NK169">
        <v>0</v>
      </c>
      <c r="NL169">
        <v>0</v>
      </c>
      <c r="NM169">
        <v>0</v>
      </c>
      <c r="NN169">
        <v>0</v>
      </c>
      <c r="NO169">
        <v>0</v>
      </c>
      <c r="NP169">
        <v>0</v>
      </c>
      <c r="NQ169">
        <v>0</v>
      </c>
      <c r="NR169">
        <v>0</v>
      </c>
      <c r="NS169">
        <v>0</v>
      </c>
      <c r="NT169">
        <v>0</v>
      </c>
      <c r="NU169">
        <v>0</v>
      </c>
      <c r="NV169">
        <v>0</v>
      </c>
      <c r="NW169">
        <v>0</v>
      </c>
      <c r="NX169">
        <v>0</v>
      </c>
      <c r="NY169">
        <v>0</v>
      </c>
      <c r="NZ169">
        <v>0</v>
      </c>
      <c r="OA169">
        <v>0</v>
      </c>
      <c r="OB169">
        <v>0</v>
      </c>
      <c r="OC169">
        <v>0</v>
      </c>
      <c r="OD169">
        <v>0</v>
      </c>
      <c r="OE169">
        <v>0</v>
      </c>
      <c r="OF169">
        <v>0</v>
      </c>
      <c r="OG169">
        <v>0</v>
      </c>
      <c r="OH169">
        <v>0</v>
      </c>
      <c r="OI169">
        <v>0</v>
      </c>
      <c r="OJ169">
        <v>0</v>
      </c>
      <c r="OK169">
        <v>0</v>
      </c>
      <c r="OL169">
        <v>0</v>
      </c>
      <c r="OM169">
        <v>0</v>
      </c>
      <c r="ON169">
        <v>0</v>
      </c>
    </row>
    <row r="170" spans="1:404" x14ac:dyDescent="0.25">
      <c r="A170" t="s">
        <v>575</v>
      </c>
      <c r="B170" t="s">
        <v>576</v>
      </c>
      <c r="C170" t="s">
        <v>574</v>
      </c>
      <c r="E170" t="s">
        <v>1940</v>
      </c>
      <c r="F170">
        <v>16540</v>
      </c>
      <c r="G170">
        <v>109441</v>
      </c>
      <c r="H170">
        <v>2361</v>
      </c>
      <c r="I170">
        <v>3835</v>
      </c>
      <c r="J170">
        <v>5663</v>
      </c>
      <c r="K170">
        <v>15480</v>
      </c>
      <c r="L170">
        <v>153319</v>
      </c>
      <c r="M170">
        <v>-124</v>
      </c>
      <c r="N170">
        <v>61</v>
      </c>
      <c r="O170">
        <v>0</v>
      </c>
      <c r="P170">
        <v>445</v>
      </c>
      <c r="Q170">
        <v>134</v>
      </c>
      <c r="R170">
        <v>686</v>
      </c>
      <c r="S170">
        <v>6022</v>
      </c>
      <c r="T170">
        <v>360</v>
      </c>
      <c r="U170">
        <v>1488</v>
      </c>
      <c r="V170">
        <v>0</v>
      </c>
      <c r="W170">
        <v>0</v>
      </c>
      <c r="X170">
        <v>126</v>
      </c>
      <c r="Y170">
        <v>3</v>
      </c>
      <c r="Z170">
        <v>-2520</v>
      </c>
      <c r="AA170">
        <v>-576</v>
      </c>
      <c r="AB170">
        <v>6683</v>
      </c>
      <c r="AC170">
        <v>0</v>
      </c>
      <c r="AD170">
        <v>0</v>
      </c>
      <c r="AE170">
        <v>0</v>
      </c>
      <c r="AF170">
        <v>0</v>
      </c>
      <c r="AG170">
        <v>0</v>
      </c>
      <c r="AH170">
        <v>0</v>
      </c>
      <c r="AI170">
        <v>12788</v>
      </c>
      <c r="AJ170">
        <v>0</v>
      </c>
      <c r="AK170">
        <v>0</v>
      </c>
      <c r="AL170">
        <v>0</v>
      </c>
      <c r="AM170">
        <v>0</v>
      </c>
      <c r="AN170">
        <v>0</v>
      </c>
      <c r="AO170">
        <v>0</v>
      </c>
      <c r="AP170">
        <v>0</v>
      </c>
      <c r="AQ170">
        <v>7215</v>
      </c>
      <c r="AR170">
        <v>0</v>
      </c>
      <c r="AS170">
        <v>0</v>
      </c>
      <c r="AT170">
        <v>0</v>
      </c>
      <c r="AU170">
        <v>0</v>
      </c>
      <c r="AV170">
        <v>3335</v>
      </c>
      <c r="AW170">
        <v>18407</v>
      </c>
      <c r="AX170">
        <v>0</v>
      </c>
      <c r="AY170">
        <v>786</v>
      </c>
      <c r="AZ170">
        <v>539</v>
      </c>
      <c r="BA170">
        <v>14476</v>
      </c>
      <c r="BB170">
        <v>1765</v>
      </c>
      <c r="BC170">
        <v>1040</v>
      </c>
      <c r="BD170">
        <v>40348</v>
      </c>
      <c r="BE170">
        <v>6683</v>
      </c>
      <c r="BF170">
        <v>17924</v>
      </c>
      <c r="BG170">
        <v>364</v>
      </c>
      <c r="BH170">
        <v>137</v>
      </c>
      <c r="BI170">
        <v>1808</v>
      </c>
      <c r="BJ170">
        <v>6696</v>
      </c>
      <c r="BK170">
        <v>22164</v>
      </c>
      <c r="BL170">
        <v>1674</v>
      </c>
      <c r="BM170">
        <v>2004</v>
      </c>
      <c r="BN170">
        <v>118</v>
      </c>
      <c r="BO170">
        <v>73</v>
      </c>
      <c r="BP170">
        <v>0</v>
      </c>
      <c r="BQ170">
        <v>163</v>
      </c>
      <c r="BR170">
        <v>780</v>
      </c>
      <c r="BS170">
        <v>1453</v>
      </c>
      <c r="BT170">
        <v>8531</v>
      </c>
      <c r="BU170">
        <v>1306</v>
      </c>
      <c r="BV170">
        <v>-788</v>
      </c>
      <c r="BW170">
        <v>79247</v>
      </c>
      <c r="BX170">
        <v>809</v>
      </c>
      <c r="BY170">
        <v>626</v>
      </c>
      <c r="BZ170">
        <v>98</v>
      </c>
      <c r="CA170">
        <v>193</v>
      </c>
      <c r="CB170">
        <v>103</v>
      </c>
      <c r="CC170">
        <v>60</v>
      </c>
      <c r="CD170">
        <v>172</v>
      </c>
      <c r="CE170">
        <v>94</v>
      </c>
      <c r="CF170">
        <v>121</v>
      </c>
      <c r="CG170">
        <v>471</v>
      </c>
      <c r="CH170">
        <v>108</v>
      </c>
      <c r="CI170">
        <v>826</v>
      </c>
      <c r="CJ170">
        <v>607</v>
      </c>
      <c r="CK170">
        <v>142</v>
      </c>
      <c r="CL170">
        <v>34</v>
      </c>
      <c r="CM170">
        <v>34</v>
      </c>
      <c r="CN170">
        <v>75</v>
      </c>
      <c r="CO170">
        <v>69</v>
      </c>
      <c r="CP170">
        <v>691</v>
      </c>
      <c r="CQ170">
        <v>4243</v>
      </c>
      <c r="CR170">
        <v>559</v>
      </c>
      <c r="CS170">
        <v>69</v>
      </c>
      <c r="CT170">
        <v>86</v>
      </c>
      <c r="CU170">
        <v>1146</v>
      </c>
      <c r="CV170">
        <v>13710</v>
      </c>
      <c r="CW170">
        <v>0</v>
      </c>
      <c r="CX170">
        <v>0</v>
      </c>
      <c r="CY170">
        <v>0</v>
      </c>
      <c r="CZ170">
        <v>0</v>
      </c>
      <c r="DA170">
        <v>0</v>
      </c>
      <c r="DB170">
        <v>0</v>
      </c>
      <c r="DC170">
        <v>470</v>
      </c>
      <c r="DD170">
        <v>0</v>
      </c>
      <c r="DE170">
        <v>0</v>
      </c>
      <c r="DF170">
        <v>13</v>
      </c>
      <c r="DG170">
        <v>0</v>
      </c>
      <c r="DH170">
        <v>3939</v>
      </c>
      <c r="DI170">
        <v>0</v>
      </c>
      <c r="DJ170">
        <v>3</v>
      </c>
      <c r="DK170">
        <v>0</v>
      </c>
      <c r="DL170">
        <v>0</v>
      </c>
      <c r="DM170">
        <v>562</v>
      </c>
      <c r="DN170">
        <v>3387</v>
      </c>
      <c r="DO170">
        <v>0</v>
      </c>
      <c r="DP170">
        <v>7893</v>
      </c>
      <c r="DQ170">
        <v>-157</v>
      </c>
      <c r="DR170">
        <v>0</v>
      </c>
      <c r="DS170">
        <v>0</v>
      </c>
      <c r="DT170">
        <v>-279</v>
      </c>
      <c r="DU170">
        <v>0</v>
      </c>
      <c r="DV170">
        <v>0</v>
      </c>
      <c r="DW170">
        <v>0</v>
      </c>
      <c r="DX170">
        <v>7940</v>
      </c>
      <c r="DY170">
        <v>47627</v>
      </c>
      <c r="DZ170">
        <v>464</v>
      </c>
      <c r="EA170">
        <v>8582</v>
      </c>
      <c r="EB170">
        <v>26924</v>
      </c>
      <c r="EC170">
        <v>0</v>
      </c>
      <c r="ED170">
        <v>106</v>
      </c>
      <c r="EE170">
        <v>0</v>
      </c>
      <c r="EF170">
        <v>0</v>
      </c>
      <c r="EG170">
        <v>-189</v>
      </c>
      <c r="EH170">
        <v>9769</v>
      </c>
      <c r="EI170">
        <v>12801</v>
      </c>
      <c r="EJ170">
        <v>6405</v>
      </c>
      <c r="EK170">
        <v>825</v>
      </c>
      <c r="EL170">
        <v>6405</v>
      </c>
      <c r="EM170">
        <v>10066</v>
      </c>
      <c r="EN170">
        <v>7618</v>
      </c>
      <c r="EO170">
        <v>0</v>
      </c>
      <c r="EP170">
        <v>0</v>
      </c>
      <c r="EQ170">
        <v>25302</v>
      </c>
      <c r="ER170">
        <v>389</v>
      </c>
      <c r="ES170">
        <v>17029</v>
      </c>
      <c r="ET170">
        <v>20962</v>
      </c>
      <c r="EU170">
        <v>0</v>
      </c>
      <c r="EV170">
        <v>141</v>
      </c>
      <c r="EW170">
        <v>29</v>
      </c>
      <c r="EX170">
        <v>8</v>
      </c>
      <c r="EY170">
        <v>483</v>
      </c>
      <c r="EZ170">
        <v>-64</v>
      </c>
      <c r="FA170">
        <v>6</v>
      </c>
      <c r="FB170">
        <v>398</v>
      </c>
      <c r="FC170">
        <v>-1015</v>
      </c>
      <c r="FD170">
        <v>2416</v>
      </c>
      <c r="FE170">
        <v>-11</v>
      </c>
      <c r="FF170">
        <v>161</v>
      </c>
      <c r="FG170">
        <v>2915</v>
      </c>
      <c r="FH170">
        <v>5466</v>
      </c>
      <c r="FI170">
        <v>-2178</v>
      </c>
      <c r="FJ170">
        <v>364</v>
      </c>
      <c r="FK170">
        <v>0</v>
      </c>
      <c r="FL170">
        <v>275</v>
      </c>
      <c r="FM170">
        <v>1358</v>
      </c>
      <c r="FN170">
        <v>667</v>
      </c>
      <c r="FO170">
        <v>36</v>
      </c>
      <c r="FP170">
        <v>0</v>
      </c>
      <c r="FQ170">
        <v>0</v>
      </c>
      <c r="FR170">
        <v>46</v>
      </c>
      <c r="FS170">
        <v>20</v>
      </c>
      <c r="FT170">
        <v>46</v>
      </c>
      <c r="FU170">
        <v>-139</v>
      </c>
      <c r="FV170">
        <v>338</v>
      </c>
      <c r="FW170">
        <v>456</v>
      </c>
      <c r="FX170">
        <v>290</v>
      </c>
      <c r="FY170">
        <v>235</v>
      </c>
      <c r="FZ170">
        <v>0</v>
      </c>
      <c r="GA170">
        <v>0</v>
      </c>
      <c r="GB170">
        <v>0</v>
      </c>
      <c r="GC170">
        <v>0</v>
      </c>
      <c r="GD170">
        <v>960</v>
      </c>
      <c r="GE170">
        <v>3258</v>
      </c>
      <c r="GF170">
        <v>-12</v>
      </c>
      <c r="GG170">
        <v>204</v>
      </c>
      <c r="GH170">
        <v>2937</v>
      </c>
      <c r="GI170">
        <v>5</v>
      </c>
      <c r="GJ170">
        <v>-8</v>
      </c>
      <c r="GK170">
        <v>9157</v>
      </c>
      <c r="GL170">
        <v>172</v>
      </c>
      <c r="GM170">
        <v>1203</v>
      </c>
      <c r="GN170">
        <v>61</v>
      </c>
      <c r="GO170">
        <v>563</v>
      </c>
      <c r="GP170">
        <v>76</v>
      </c>
      <c r="GQ170">
        <v>388</v>
      </c>
      <c r="GR170">
        <v>0</v>
      </c>
      <c r="GS170">
        <v>7160</v>
      </c>
      <c r="GT170">
        <v>776</v>
      </c>
      <c r="GU170">
        <v>10398</v>
      </c>
      <c r="GV170">
        <v>25022</v>
      </c>
      <c r="GW170">
        <v>0</v>
      </c>
      <c r="GX170">
        <v>0</v>
      </c>
      <c r="GY170">
        <v>0</v>
      </c>
      <c r="GZ170">
        <v>0</v>
      </c>
      <c r="HA170">
        <v>0</v>
      </c>
      <c r="HB170">
        <v>-1608</v>
      </c>
      <c r="HC170">
        <v>-1131</v>
      </c>
      <c r="HD170">
        <v>0</v>
      </c>
      <c r="HE170">
        <v>0</v>
      </c>
      <c r="HF170">
        <v>87</v>
      </c>
      <c r="HG170">
        <v>-169</v>
      </c>
      <c r="HH170">
        <v>8</v>
      </c>
      <c r="HI170">
        <v>439</v>
      </c>
      <c r="HJ170">
        <v>528</v>
      </c>
      <c r="HK170">
        <v>123</v>
      </c>
      <c r="HL170">
        <v>277</v>
      </c>
      <c r="HM170">
        <v>-261</v>
      </c>
      <c r="HN170">
        <v>0</v>
      </c>
      <c r="HO170">
        <v>0</v>
      </c>
      <c r="HP170">
        <v>288</v>
      </c>
      <c r="HQ170">
        <v>0</v>
      </c>
      <c r="HR170">
        <v>863</v>
      </c>
      <c r="HS170">
        <v>0</v>
      </c>
      <c r="HT170">
        <v>0</v>
      </c>
      <c r="HU170">
        <v>14257</v>
      </c>
      <c r="HV170">
        <v>13700</v>
      </c>
      <c r="HW170">
        <v>0</v>
      </c>
      <c r="HX170">
        <v>0</v>
      </c>
      <c r="HY170">
        <v>0</v>
      </c>
      <c r="HZ170">
        <v>0</v>
      </c>
      <c r="IA170">
        <v>9735</v>
      </c>
      <c r="IB170">
        <v>9973</v>
      </c>
      <c r="IC170">
        <v>153319</v>
      </c>
      <c r="ID170">
        <v>12788</v>
      </c>
      <c r="IE170">
        <v>40348</v>
      </c>
      <c r="IF170">
        <v>79247</v>
      </c>
      <c r="IG170">
        <v>13710</v>
      </c>
      <c r="IH170">
        <v>7940</v>
      </c>
      <c r="II170">
        <v>5466</v>
      </c>
      <c r="IJ170">
        <v>9157</v>
      </c>
      <c r="IK170">
        <v>10398</v>
      </c>
      <c r="IL170">
        <v>0</v>
      </c>
      <c r="IM170">
        <v>0</v>
      </c>
      <c r="IN170">
        <v>13700</v>
      </c>
      <c r="IO170">
        <v>9973</v>
      </c>
      <c r="IP170">
        <v>356048</v>
      </c>
      <c r="IQ170">
        <v>34944</v>
      </c>
      <c r="IR170">
        <v>4979</v>
      </c>
      <c r="IS170">
        <v>19100</v>
      </c>
      <c r="IT170">
        <v>0</v>
      </c>
      <c r="IU170">
        <v>0</v>
      </c>
      <c r="IV170">
        <v>0</v>
      </c>
      <c r="IW170">
        <v>0</v>
      </c>
      <c r="IX170">
        <v>11524</v>
      </c>
      <c r="IY170">
        <v>301</v>
      </c>
      <c r="IZ170">
        <v>212</v>
      </c>
      <c r="JA170">
        <v>412</v>
      </c>
      <c r="JB170">
        <v>2993</v>
      </c>
      <c r="JC170">
        <v>0</v>
      </c>
      <c r="JD170">
        <v>0</v>
      </c>
      <c r="JE170">
        <v>0</v>
      </c>
      <c r="JF170">
        <v>-69</v>
      </c>
      <c r="JG170">
        <v>430444</v>
      </c>
      <c r="JH170">
        <v>218</v>
      </c>
      <c r="JI170">
        <v>0</v>
      </c>
      <c r="JJ170">
        <v>0</v>
      </c>
      <c r="JK170">
        <v>0</v>
      </c>
      <c r="JL170">
        <v>0</v>
      </c>
      <c r="JM170">
        <v>573</v>
      </c>
      <c r="JN170">
        <v>0</v>
      </c>
      <c r="JO170">
        <v>0</v>
      </c>
      <c r="JP170">
        <v>8656</v>
      </c>
      <c r="JQ170">
        <v>-6405</v>
      </c>
      <c r="JR170">
        <v>433486</v>
      </c>
      <c r="JS170">
        <v>-2249</v>
      </c>
      <c r="JT170">
        <v>0</v>
      </c>
      <c r="JU170">
        <v>0</v>
      </c>
      <c r="JV170">
        <v>0</v>
      </c>
      <c r="JW170">
        <v>-58820</v>
      </c>
      <c r="JX170">
        <v>0</v>
      </c>
      <c r="JY170">
        <v>0</v>
      </c>
      <c r="JZ170">
        <v>0</v>
      </c>
      <c r="KA170">
        <v>0</v>
      </c>
      <c r="KB170">
        <v>0</v>
      </c>
      <c r="KC170">
        <v>372417</v>
      </c>
      <c r="KD170">
        <v>0</v>
      </c>
      <c r="KE170">
        <v>-178863</v>
      </c>
      <c r="KF170">
        <v>193554</v>
      </c>
      <c r="KG170">
        <v>0</v>
      </c>
      <c r="KH170">
        <v>-208</v>
      </c>
      <c r="KI170">
        <v>-2657</v>
      </c>
      <c r="KJ170">
        <v>48</v>
      </c>
      <c r="KK170">
        <v>-9185</v>
      </c>
      <c r="KL170">
        <v>6</v>
      </c>
      <c r="KM170">
        <v>-1406</v>
      </c>
      <c r="KN170">
        <v>0</v>
      </c>
      <c r="KO170">
        <v>-26346</v>
      </c>
      <c r="KP170">
        <v>815</v>
      </c>
      <c r="KQ170">
        <v>0</v>
      </c>
      <c r="KR170">
        <v>134980</v>
      </c>
      <c r="KS170">
        <v>5689</v>
      </c>
      <c r="KT170">
        <v>-1665</v>
      </c>
      <c r="KU170">
        <v>2595</v>
      </c>
      <c r="KV170">
        <v>66175</v>
      </c>
      <c r="KW170">
        <v>10936</v>
      </c>
      <c r="KX170">
        <v>5481</v>
      </c>
      <c r="KY170">
        <v>-4322</v>
      </c>
      <c r="KZ170">
        <v>2643</v>
      </c>
      <c r="LA170">
        <v>56990</v>
      </c>
      <c r="LB170">
        <v>10942</v>
      </c>
      <c r="LC170">
        <v>0</v>
      </c>
      <c r="LD170">
        <v>27927</v>
      </c>
      <c r="LE170">
        <v>0</v>
      </c>
      <c r="LF170">
        <v>-10165</v>
      </c>
      <c r="LG170">
        <v>-38236</v>
      </c>
      <c r="LH170">
        <v>5644</v>
      </c>
      <c r="LI170">
        <v>-11591</v>
      </c>
      <c r="LJ170">
        <v>6531</v>
      </c>
      <c r="LK170">
        <v>8672</v>
      </c>
      <c r="LL170">
        <v>15203</v>
      </c>
      <c r="LM170">
        <v>0</v>
      </c>
      <c r="LN170">
        <v>0</v>
      </c>
      <c r="LO170">
        <v>0</v>
      </c>
      <c r="LP170">
        <v>83514</v>
      </c>
      <c r="LQ170">
        <v>79581</v>
      </c>
      <c r="LR170">
        <v>3933</v>
      </c>
      <c r="LS170">
        <v>17029</v>
      </c>
      <c r="LT170">
        <v>20962</v>
      </c>
      <c r="LU170">
        <v>153319</v>
      </c>
      <c r="LV170">
        <v>12788</v>
      </c>
      <c r="LW170">
        <v>40348</v>
      </c>
      <c r="LX170">
        <v>79247</v>
      </c>
      <c r="LY170">
        <v>13710</v>
      </c>
      <c r="LZ170">
        <v>7940</v>
      </c>
      <c r="MA170">
        <v>5466</v>
      </c>
      <c r="MB170">
        <v>9157</v>
      </c>
      <c r="MC170">
        <v>10398</v>
      </c>
      <c r="MD170">
        <v>0</v>
      </c>
      <c r="ME170">
        <v>0</v>
      </c>
      <c r="MF170">
        <v>13700</v>
      </c>
      <c r="MG170">
        <v>9973</v>
      </c>
      <c r="MH170">
        <v>356048</v>
      </c>
      <c r="MI170">
        <v>0</v>
      </c>
      <c r="MJ170">
        <v>0</v>
      </c>
      <c r="MK170">
        <v>0</v>
      </c>
      <c r="ML170">
        <v>0</v>
      </c>
      <c r="MM170">
        <v>0</v>
      </c>
      <c r="MN170">
        <v>0</v>
      </c>
      <c r="MO170">
        <v>0</v>
      </c>
      <c r="MP170">
        <v>0</v>
      </c>
      <c r="MQ170">
        <v>0</v>
      </c>
      <c r="MR170">
        <v>0</v>
      </c>
      <c r="MS170">
        <v>0</v>
      </c>
      <c r="MT170">
        <v>0</v>
      </c>
      <c r="MU170">
        <v>0</v>
      </c>
      <c r="MV170">
        <v>0</v>
      </c>
      <c r="MW170">
        <v>0</v>
      </c>
      <c r="MX170">
        <v>0</v>
      </c>
      <c r="MY170">
        <v>59</v>
      </c>
      <c r="MZ170">
        <v>353</v>
      </c>
      <c r="NA170">
        <v>412</v>
      </c>
      <c r="NB170">
        <v>0</v>
      </c>
      <c r="NC170">
        <v>412</v>
      </c>
      <c r="ND170">
        <v>0</v>
      </c>
      <c r="NE170">
        <v>1498</v>
      </c>
      <c r="NF170">
        <v>-643</v>
      </c>
      <c r="NG170">
        <v>0</v>
      </c>
      <c r="NH170">
        <v>0</v>
      </c>
      <c r="NI170">
        <v>0</v>
      </c>
      <c r="NJ170">
        <v>0</v>
      </c>
      <c r="NK170">
        <v>0</v>
      </c>
      <c r="NL170">
        <v>0</v>
      </c>
      <c r="NM170">
        <v>0</v>
      </c>
      <c r="NN170">
        <v>0</v>
      </c>
      <c r="NO170">
        <v>0</v>
      </c>
      <c r="NP170">
        <v>65</v>
      </c>
      <c r="NQ170">
        <v>0</v>
      </c>
      <c r="NR170">
        <v>0</v>
      </c>
      <c r="NS170">
        <v>0</v>
      </c>
      <c r="NT170">
        <v>2073</v>
      </c>
      <c r="NU170">
        <v>0</v>
      </c>
      <c r="NV170">
        <v>0</v>
      </c>
      <c r="NW170">
        <v>0</v>
      </c>
      <c r="NX170">
        <v>0</v>
      </c>
      <c r="NY170">
        <v>0</v>
      </c>
      <c r="NZ170">
        <v>2993</v>
      </c>
      <c r="OA170">
        <v>0</v>
      </c>
      <c r="OB170">
        <v>2993</v>
      </c>
      <c r="OC170">
        <v>0</v>
      </c>
      <c r="OD170">
        <v>0</v>
      </c>
      <c r="OE170">
        <v>0</v>
      </c>
      <c r="OF170">
        <v>0</v>
      </c>
      <c r="OG170">
        <v>0</v>
      </c>
      <c r="OH170">
        <v>0</v>
      </c>
      <c r="OI170">
        <v>0</v>
      </c>
      <c r="OJ170">
        <v>0</v>
      </c>
      <c r="OK170">
        <v>0</v>
      </c>
      <c r="OL170">
        <v>0</v>
      </c>
      <c r="OM170">
        <v>0</v>
      </c>
      <c r="ON170">
        <v>0</v>
      </c>
    </row>
    <row r="171" spans="1:404" x14ac:dyDescent="0.25">
      <c r="A171" t="s">
        <v>578</v>
      </c>
      <c r="B171" t="s">
        <v>579</v>
      </c>
      <c r="C171" t="s">
        <v>5429</v>
      </c>
      <c r="E171" t="s">
        <v>5408</v>
      </c>
      <c r="F171">
        <v>0</v>
      </c>
      <c r="G171">
        <v>0</v>
      </c>
      <c r="H171">
        <v>0</v>
      </c>
      <c r="I171">
        <v>0</v>
      </c>
      <c r="J171">
        <v>0</v>
      </c>
      <c r="K171">
        <v>0</v>
      </c>
      <c r="L171">
        <v>0</v>
      </c>
      <c r="M171">
        <v>0</v>
      </c>
      <c r="N171">
        <v>0</v>
      </c>
      <c r="O171">
        <v>0</v>
      </c>
      <c r="P171">
        <v>0</v>
      </c>
      <c r="Q171">
        <v>0</v>
      </c>
      <c r="R171">
        <v>0</v>
      </c>
      <c r="S171">
        <v>0</v>
      </c>
      <c r="T171">
        <v>0</v>
      </c>
      <c r="U171">
        <v>0</v>
      </c>
      <c r="V171">
        <v>0</v>
      </c>
      <c r="W171">
        <v>0</v>
      </c>
      <c r="X171">
        <v>0</v>
      </c>
      <c r="Y171">
        <v>0</v>
      </c>
      <c r="Z171">
        <v>0</v>
      </c>
      <c r="AA171">
        <v>0</v>
      </c>
      <c r="AB171">
        <v>0</v>
      </c>
      <c r="AC171">
        <v>0</v>
      </c>
      <c r="AD171">
        <v>0</v>
      </c>
      <c r="AE171">
        <v>0</v>
      </c>
      <c r="AF171">
        <v>0</v>
      </c>
      <c r="AG171">
        <v>0</v>
      </c>
      <c r="AH171">
        <v>0</v>
      </c>
      <c r="AI171">
        <v>0</v>
      </c>
      <c r="AJ171">
        <v>0</v>
      </c>
      <c r="AK171">
        <v>0</v>
      </c>
      <c r="AL171">
        <v>0</v>
      </c>
      <c r="AM171">
        <v>0</v>
      </c>
      <c r="AN171">
        <v>0</v>
      </c>
      <c r="AO171">
        <v>0</v>
      </c>
      <c r="AP171">
        <v>0</v>
      </c>
      <c r="AQ171">
        <v>0</v>
      </c>
      <c r="AR171">
        <v>0</v>
      </c>
      <c r="AS171">
        <v>0</v>
      </c>
      <c r="AT171">
        <v>0</v>
      </c>
      <c r="AU171">
        <v>0</v>
      </c>
      <c r="AV171">
        <v>0</v>
      </c>
      <c r="AW171">
        <v>0</v>
      </c>
      <c r="AX171">
        <v>0</v>
      </c>
      <c r="AY171">
        <v>0</v>
      </c>
      <c r="AZ171">
        <v>0</v>
      </c>
      <c r="BA171">
        <v>0</v>
      </c>
      <c r="BB171">
        <v>0</v>
      </c>
      <c r="BC171">
        <v>0</v>
      </c>
      <c r="BD171">
        <v>0</v>
      </c>
      <c r="BE171">
        <v>0</v>
      </c>
      <c r="BF171">
        <v>0</v>
      </c>
      <c r="BG171">
        <v>0</v>
      </c>
      <c r="BH171">
        <v>0</v>
      </c>
      <c r="BI171">
        <v>0</v>
      </c>
      <c r="BJ171">
        <v>0</v>
      </c>
      <c r="BK171">
        <v>0</v>
      </c>
      <c r="BL171">
        <v>0</v>
      </c>
      <c r="BM171">
        <v>0</v>
      </c>
      <c r="BN171">
        <v>0</v>
      </c>
      <c r="BO171">
        <v>0</v>
      </c>
      <c r="BP171">
        <v>0</v>
      </c>
      <c r="BQ171">
        <v>0</v>
      </c>
      <c r="BR171">
        <v>0</v>
      </c>
      <c r="BS171">
        <v>0</v>
      </c>
      <c r="BT171">
        <v>0</v>
      </c>
      <c r="BU171">
        <v>0</v>
      </c>
      <c r="BV171">
        <v>0</v>
      </c>
      <c r="BW171">
        <v>0</v>
      </c>
      <c r="BX171">
        <v>0</v>
      </c>
      <c r="BY171">
        <v>0</v>
      </c>
      <c r="BZ171">
        <v>0</v>
      </c>
      <c r="CA171">
        <v>0</v>
      </c>
      <c r="CB171">
        <v>0</v>
      </c>
      <c r="CC171">
        <v>0</v>
      </c>
      <c r="CD171">
        <v>0</v>
      </c>
      <c r="CE171">
        <v>0</v>
      </c>
      <c r="CF171">
        <v>0</v>
      </c>
      <c r="CG171">
        <v>0</v>
      </c>
      <c r="CH171">
        <v>0</v>
      </c>
      <c r="CI171">
        <v>0</v>
      </c>
      <c r="CJ171">
        <v>0</v>
      </c>
      <c r="CK171">
        <v>0</v>
      </c>
      <c r="CL171">
        <v>0</v>
      </c>
      <c r="CM171">
        <v>0</v>
      </c>
      <c r="CN171">
        <v>0</v>
      </c>
      <c r="CO171">
        <v>0</v>
      </c>
      <c r="CP171">
        <v>0</v>
      </c>
      <c r="CQ171">
        <v>0</v>
      </c>
      <c r="CR171">
        <v>0</v>
      </c>
      <c r="CS171">
        <v>0</v>
      </c>
      <c r="CT171">
        <v>0</v>
      </c>
      <c r="CU171">
        <v>0</v>
      </c>
      <c r="CV171">
        <v>0</v>
      </c>
      <c r="CW171">
        <v>0</v>
      </c>
      <c r="CX171">
        <v>0</v>
      </c>
      <c r="CY171">
        <v>0</v>
      </c>
      <c r="CZ171">
        <v>0</v>
      </c>
      <c r="DA171">
        <v>0</v>
      </c>
      <c r="DB171">
        <v>0</v>
      </c>
      <c r="DC171">
        <v>0</v>
      </c>
      <c r="DD171">
        <v>0</v>
      </c>
      <c r="DE171">
        <v>0</v>
      </c>
      <c r="DF171">
        <v>0</v>
      </c>
      <c r="DG171">
        <v>0</v>
      </c>
      <c r="DH171">
        <v>0</v>
      </c>
      <c r="DI171">
        <v>0</v>
      </c>
      <c r="DJ171">
        <v>0</v>
      </c>
      <c r="DK171">
        <v>0</v>
      </c>
      <c r="DL171">
        <v>0</v>
      </c>
      <c r="DM171">
        <v>0</v>
      </c>
      <c r="DN171">
        <v>0</v>
      </c>
      <c r="DO171">
        <v>0</v>
      </c>
      <c r="DP171">
        <v>0</v>
      </c>
      <c r="DQ171">
        <v>0</v>
      </c>
      <c r="DR171">
        <v>0</v>
      </c>
      <c r="DS171">
        <v>0</v>
      </c>
      <c r="DT171">
        <v>0</v>
      </c>
      <c r="DU171">
        <v>0</v>
      </c>
      <c r="DV171">
        <v>0</v>
      </c>
      <c r="DW171">
        <v>0</v>
      </c>
      <c r="DX171">
        <v>0</v>
      </c>
      <c r="DY171">
        <v>0</v>
      </c>
      <c r="DZ171">
        <v>0</v>
      </c>
      <c r="EA171">
        <v>0</v>
      </c>
      <c r="EB171">
        <v>0</v>
      </c>
      <c r="EC171">
        <v>0</v>
      </c>
      <c r="ED171">
        <v>0</v>
      </c>
      <c r="EE171">
        <v>0</v>
      </c>
      <c r="EF171">
        <v>0</v>
      </c>
      <c r="EG171">
        <v>0</v>
      </c>
      <c r="EH171">
        <v>0</v>
      </c>
      <c r="EI171">
        <v>0</v>
      </c>
      <c r="EJ171">
        <v>0</v>
      </c>
      <c r="EK171">
        <v>0</v>
      </c>
      <c r="EL171">
        <v>0</v>
      </c>
      <c r="EM171">
        <v>0</v>
      </c>
      <c r="EN171">
        <v>0</v>
      </c>
      <c r="EO171">
        <v>0</v>
      </c>
      <c r="EP171">
        <v>0</v>
      </c>
      <c r="EQ171">
        <v>0</v>
      </c>
      <c r="ER171">
        <v>0</v>
      </c>
      <c r="ES171">
        <v>0</v>
      </c>
      <c r="ET171">
        <v>0</v>
      </c>
      <c r="EU171">
        <v>0</v>
      </c>
      <c r="EV171">
        <v>0</v>
      </c>
      <c r="EW171">
        <v>0</v>
      </c>
      <c r="EX171">
        <v>0</v>
      </c>
      <c r="EY171">
        <v>0</v>
      </c>
      <c r="EZ171">
        <v>0</v>
      </c>
      <c r="FA171">
        <v>0</v>
      </c>
      <c r="FB171">
        <v>0</v>
      </c>
      <c r="FC171">
        <v>0</v>
      </c>
      <c r="FD171">
        <v>0</v>
      </c>
      <c r="FE171">
        <v>0</v>
      </c>
      <c r="FF171">
        <v>0</v>
      </c>
      <c r="FG171">
        <v>0</v>
      </c>
      <c r="FH171">
        <v>0</v>
      </c>
      <c r="FI171">
        <v>0</v>
      </c>
      <c r="FJ171">
        <v>0</v>
      </c>
      <c r="FK171">
        <v>0</v>
      </c>
      <c r="FL171">
        <v>0</v>
      </c>
      <c r="FM171">
        <v>0</v>
      </c>
      <c r="FN171">
        <v>0</v>
      </c>
      <c r="FO171">
        <v>0</v>
      </c>
      <c r="FP171">
        <v>0</v>
      </c>
      <c r="FQ171">
        <v>0</v>
      </c>
      <c r="FR171">
        <v>0</v>
      </c>
      <c r="FS171">
        <v>0</v>
      </c>
      <c r="FT171">
        <v>0</v>
      </c>
      <c r="FU171">
        <v>0</v>
      </c>
      <c r="FV171">
        <v>0</v>
      </c>
      <c r="FW171">
        <v>0</v>
      </c>
      <c r="FX171">
        <v>0</v>
      </c>
      <c r="FY171">
        <v>0</v>
      </c>
      <c r="FZ171">
        <v>0</v>
      </c>
      <c r="GA171">
        <v>0</v>
      </c>
      <c r="GB171">
        <v>0</v>
      </c>
      <c r="GC171">
        <v>0</v>
      </c>
      <c r="GD171">
        <v>0</v>
      </c>
      <c r="GE171">
        <v>0</v>
      </c>
      <c r="GF171">
        <v>0</v>
      </c>
      <c r="GG171">
        <v>0</v>
      </c>
      <c r="GH171">
        <v>0</v>
      </c>
      <c r="GI171">
        <v>0</v>
      </c>
      <c r="GJ171">
        <v>0</v>
      </c>
      <c r="GK171">
        <v>0</v>
      </c>
      <c r="GL171">
        <v>0</v>
      </c>
      <c r="GM171">
        <v>0</v>
      </c>
      <c r="GN171">
        <v>0</v>
      </c>
      <c r="GO171">
        <v>0</v>
      </c>
      <c r="GP171">
        <v>0</v>
      </c>
      <c r="GQ171">
        <v>0</v>
      </c>
      <c r="GR171">
        <v>0</v>
      </c>
      <c r="GS171">
        <v>0</v>
      </c>
      <c r="GT171">
        <v>0</v>
      </c>
      <c r="GU171">
        <v>0</v>
      </c>
      <c r="GV171">
        <v>0</v>
      </c>
      <c r="GW171">
        <v>0</v>
      </c>
      <c r="GX171">
        <v>7221</v>
      </c>
      <c r="GY171">
        <v>23902</v>
      </c>
      <c r="GZ171">
        <v>73</v>
      </c>
      <c r="HA171">
        <v>31196</v>
      </c>
      <c r="HB171">
        <v>1711</v>
      </c>
      <c r="HC171">
        <v>0</v>
      </c>
      <c r="HD171">
        <v>0</v>
      </c>
      <c r="HE171">
        <v>0</v>
      </c>
      <c r="HF171">
        <v>0</v>
      </c>
      <c r="HG171">
        <v>0</v>
      </c>
      <c r="HH171">
        <v>0</v>
      </c>
      <c r="HI171">
        <v>0</v>
      </c>
      <c r="HJ171">
        <v>0</v>
      </c>
      <c r="HK171">
        <v>0</v>
      </c>
      <c r="HL171">
        <v>0</v>
      </c>
      <c r="HM171">
        <v>0</v>
      </c>
      <c r="HN171">
        <v>0</v>
      </c>
      <c r="HO171">
        <v>0</v>
      </c>
      <c r="HP171">
        <v>0</v>
      </c>
      <c r="HQ171">
        <v>0</v>
      </c>
      <c r="HR171">
        <v>0</v>
      </c>
      <c r="HS171">
        <v>0</v>
      </c>
      <c r="HT171">
        <v>0</v>
      </c>
      <c r="HU171">
        <v>0</v>
      </c>
      <c r="HV171">
        <v>1711</v>
      </c>
      <c r="HW171">
        <v>0</v>
      </c>
      <c r="HX171">
        <v>0</v>
      </c>
      <c r="HY171">
        <v>0</v>
      </c>
      <c r="HZ171">
        <v>0</v>
      </c>
      <c r="IA171">
        <v>0</v>
      </c>
      <c r="IB171">
        <v>0</v>
      </c>
      <c r="IC171">
        <v>0</v>
      </c>
      <c r="ID171">
        <v>0</v>
      </c>
      <c r="IE171">
        <v>0</v>
      </c>
      <c r="IF171">
        <v>0</v>
      </c>
      <c r="IG171">
        <v>0</v>
      </c>
      <c r="IH171">
        <v>0</v>
      </c>
      <c r="II171">
        <v>0</v>
      </c>
      <c r="IJ171">
        <v>0</v>
      </c>
      <c r="IK171">
        <v>0</v>
      </c>
      <c r="IL171">
        <v>0</v>
      </c>
      <c r="IM171">
        <v>31196</v>
      </c>
      <c r="IN171">
        <v>1711</v>
      </c>
      <c r="IO171">
        <v>0</v>
      </c>
      <c r="IP171">
        <v>32907</v>
      </c>
      <c r="IQ171">
        <v>0</v>
      </c>
      <c r="IR171">
        <v>0</v>
      </c>
      <c r="IS171">
        <v>0</v>
      </c>
      <c r="IT171">
        <v>0</v>
      </c>
      <c r="IU171">
        <v>0</v>
      </c>
      <c r="IV171">
        <v>0</v>
      </c>
      <c r="IW171">
        <v>0</v>
      </c>
      <c r="IX171">
        <v>0</v>
      </c>
      <c r="IY171">
        <v>0</v>
      </c>
      <c r="IZ171">
        <v>0</v>
      </c>
      <c r="JA171">
        <v>0</v>
      </c>
      <c r="JB171">
        <v>0</v>
      </c>
      <c r="JC171">
        <v>0</v>
      </c>
      <c r="JD171">
        <v>0</v>
      </c>
      <c r="JE171">
        <v>0</v>
      </c>
      <c r="JF171">
        <v>0</v>
      </c>
      <c r="JG171">
        <v>32907</v>
      </c>
      <c r="JH171">
        <v>0</v>
      </c>
      <c r="JI171">
        <v>38</v>
      </c>
      <c r="JJ171">
        <v>0</v>
      </c>
      <c r="JK171">
        <v>0</v>
      </c>
      <c r="JL171">
        <v>0</v>
      </c>
      <c r="JM171">
        <v>0</v>
      </c>
      <c r="JN171">
        <v>1605</v>
      </c>
      <c r="JO171">
        <v>261</v>
      </c>
      <c r="JP171">
        <v>485</v>
      </c>
      <c r="JQ171">
        <v>0</v>
      </c>
      <c r="JR171">
        <v>35296</v>
      </c>
      <c r="JS171">
        <v>-6</v>
      </c>
      <c r="JT171">
        <v>0</v>
      </c>
      <c r="JU171">
        <v>0</v>
      </c>
      <c r="JV171">
        <v>0</v>
      </c>
      <c r="JW171">
        <v>0</v>
      </c>
      <c r="JX171">
        <v>0</v>
      </c>
      <c r="JY171">
        <v>0</v>
      </c>
      <c r="JZ171">
        <v>0</v>
      </c>
      <c r="KA171">
        <v>0</v>
      </c>
      <c r="KB171">
        <v>0</v>
      </c>
      <c r="KC171">
        <v>35290</v>
      </c>
      <c r="KD171">
        <v>0</v>
      </c>
      <c r="KE171">
        <v>-3048</v>
      </c>
      <c r="KF171">
        <v>32242</v>
      </c>
      <c r="KG171">
        <v>0</v>
      </c>
      <c r="KH171">
        <v>0</v>
      </c>
      <c r="KI171">
        <v>0</v>
      </c>
      <c r="KJ171">
        <v>0</v>
      </c>
      <c r="KK171">
        <v>1238</v>
      </c>
      <c r="KL171">
        <v>0</v>
      </c>
      <c r="KM171">
        <v>-2080</v>
      </c>
      <c r="KN171">
        <v>0</v>
      </c>
      <c r="KO171">
        <v>-6547</v>
      </c>
      <c r="KP171">
        <v>119</v>
      </c>
      <c r="KQ171">
        <v>0</v>
      </c>
      <c r="KR171">
        <v>24600</v>
      </c>
      <c r="KS171">
        <v>0</v>
      </c>
      <c r="KT171">
        <v>0</v>
      </c>
      <c r="KU171">
        <v>0</v>
      </c>
      <c r="KV171">
        <v>14239</v>
      </c>
      <c r="KW171">
        <v>1538</v>
      </c>
      <c r="KX171">
        <v>0</v>
      </c>
      <c r="KY171">
        <v>0</v>
      </c>
      <c r="KZ171">
        <v>0</v>
      </c>
      <c r="LA171">
        <v>15477</v>
      </c>
      <c r="LB171">
        <v>1538</v>
      </c>
      <c r="LC171">
        <v>0</v>
      </c>
      <c r="LD171">
        <v>2328</v>
      </c>
      <c r="LE171">
        <v>0</v>
      </c>
      <c r="LF171">
        <v>-223</v>
      </c>
      <c r="LG171">
        <v>-3</v>
      </c>
      <c r="LH171">
        <v>0</v>
      </c>
      <c r="LI171">
        <v>2102</v>
      </c>
      <c r="LJ171">
        <v>0</v>
      </c>
      <c r="LK171">
        <v>0</v>
      </c>
      <c r="LL171">
        <v>0</v>
      </c>
      <c r="LM171">
        <v>0</v>
      </c>
      <c r="LN171">
        <v>0</v>
      </c>
      <c r="LO171">
        <v>0</v>
      </c>
      <c r="LP171">
        <v>0</v>
      </c>
      <c r="LQ171">
        <v>0</v>
      </c>
      <c r="LR171">
        <v>0</v>
      </c>
      <c r="LS171">
        <v>0</v>
      </c>
      <c r="LT171">
        <v>0</v>
      </c>
      <c r="LU171">
        <v>0</v>
      </c>
      <c r="LV171">
        <v>0</v>
      </c>
      <c r="LW171">
        <v>0</v>
      </c>
      <c r="LX171">
        <v>0</v>
      </c>
      <c r="LY171">
        <v>0</v>
      </c>
      <c r="LZ171">
        <v>0</v>
      </c>
      <c r="MA171">
        <v>0</v>
      </c>
      <c r="MB171">
        <v>0</v>
      </c>
      <c r="MC171">
        <v>0</v>
      </c>
      <c r="MD171">
        <v>0</v>
      </c>
      <c r="ME171">
        <v>31196</v>
      </c>
      <c r="MF171">
        <v>1711</v>
      </c>
      <c r="MG171">
        <v>0</v>
      </c>
      <c r="MH171">
        <v>32907</v>
      </c>
      <c r="MI171">
        <v>0</v>
      </c>
      <c r="MJ171">
        <v>0</v>
      </c>
      <c r="MK171">
        <v>0</v>
      </c>
      <c r="ML171">
        <v>0</v>
      </c>
      <c r="MM171">
        <v>0</v>
      </c>
      <c r="MN171">
        <v>0</v>
      </c>
      <c r="MO171">
        <v>0</v>
      </c>
      <c r="MP171">
        <v>0</v>
      </c>
      <c r="MQ171">
        <v>0</v>
      </c>
      <c r="MR171">
        <v>0</v>
      </c>
      <c r="MS171">
        <v>0</v>
      </c>
      <c r="MT171">
        <v>0</v>
      </c>
      <c r="MU171">
        <v>0</v>
      </c>
      <c r="MV171">
        <v>0</v>
      </c>
      <c r="MW171">
        <v>0</v>
      </c>
      <c r="MX171">
        <v>0</v>
      </c>
      <c r="MY171">
        <v>0</v>
      </c>
      <c r="MZ171">
        <v>0</v>
      </c>
      <c r="NA171">
        <v>0</v>
      </c>
      <c r="NB171">
        <v>0</v>
      </c>
      <c r="NC171">
        <v>0</v>
      </c>
      <c r="ND171">
        <v>0</v>
      </c>
      <c r="NE171">
        <v>0</v>
      </c>
      <c r="NF171">
        <v>0</v>
      </c>
      <c r="NG171">
        <v>0</v>
      </c>
      <c r="NH171">
        <v>0</v>
      </c>
      <c r="NI171">
        <v>0</v>
      </c>
      <c r="NJ171">
        <v>0</v>
      </c>
      <c r="NK171">
        <v>0</v>
      </c>
      <c r="NL171">
        <v>0</v>
      </c>
      <c r="NM171">
        <v>0</v>
      </c>
      <c r="NN171">
        <v>0</v>
      </c>
      <c r="NO171">
        <v>0</v>
      </c>
      <c r="NP171">
        <v>0</v>
      </c>
      <c r="NQ171">
        <v>0</v>
      </c>
      <c r="NR171">
        <v>0</v>
      </c>
      <c r="NS171">
        <v>0</v>
      </c>
      <c r="NT171">
        <v>0</v>
      </c>
      <c r="NU171">
        <v>0</v>
      </c>
      <c r="NV171">
        <v>0</v>
      </c>
      <c r="NW171">
        <v>0</v>
      </c>
      <c r="NX171">
        <v>0</v>
      </c>
      <c r="NY171">
        <v>0</v>
      </c>
      <c r="NZ171">
        <v>0</v>
      </c>
      <c r="OA171">
        <v>0</v>
      </c>
      <c r="OB171">
        <v>0</v>
      </c>
      <c r="OC171">
        <v>0</v>
      </c>
      <c r="OD171">
        <v>0</v>
      </c>
      <c r="OE171">
        <v>0</v>
      </c>
      <c r="OF171">
        <v>0</v>
      </c>
      <c r="OG171">
        <v>0</v>
      </c>
      <c r="OH171">
        <v>0</v>
      </c>
      <c r="OI171">
        <v>0</v>
      </c>
      <c r="OJ171">
        <v>0</v>
      </c>
      <c r="OK171">
        <v>0</v>
      </c>
      <c r="OL171">
        <v>0</v>
      </c>
      <c r="OM171">
        <v>0</v>
      </c>
      <c r="ON171">
        <v>0</v>
      </c>
    </row>
    <row r="172" spans="1:404" x14ac:dyDescent="0.25">
      <c r="A172" t="s">
        <v>581</v>
      </c>
      <c r="B172" t="s">
        <v>582</v>
      </c>
      <c r="C172" t="s">
        <v>580</v>
      </c>
      <c r="E172" t="s">
        <v>125</v>
      </c>
      <c r="F172">
        <v>8507</v>
      </c>
      <c r="G172">
        <v>49915</v>
      </c>
      <c r="H172">
        <v>20107</v>
      </c>
      <c r="I172">
        <v>10049</v>
      </c>
      <c r="J172">
        <v>1421</v>
      </c>
      <c r="K172">
        <v>7673</v>
      </c>
      <c r="L172">
        <v>97672</v>
      </c>
      <c r="M172">
        <v>6224</v>
      </c>
      <c r="N172">
        <v>699</v>
      </c>
      <c r="O172">
        <v>209</v>
      </c>
      <c r="P172">
        <v>209</v>
      </c>
      <c r="Q172">
        <v>5</v>
      </c>
      <c r="R172">
        <v>-136</v>
      </c>
      <c r="S172">
        <v>-136</v>
      </c>
      <c r="T172">
        <v>392</v>
      </c>
      <c r="U172">
        <v>301</v>
      </c>
      <c r="V172">
        <v>0</v>
      </c>
      <c r="W172">
        <v>0</v>
      </c>
      <c r="X172">
        <v>109</v>
      </c>
      <c r="Y172">
        <v>30</v>
      </c>
      <c r="Z172">
        <v>-378</v>
      </c>
      <c r="AA172">
        <v>-3708</v>
      </c>
      <c r="AB172">
        <v>1203</v>
      </c>
      <c r="AC172">
        <v>1582</v>
      </c>
      <c r="AD172">
        <v>0</v>
      </c>
      <c r="AE172">
        <v>0</v>
      </c>
      <c r="AF172">
        <v>0</v>
      </c>
      <c r="AG172">
        <v>30</v>
      </c>
      <c r="AH172">
        <v>0</v>
      </c>
      <c r="AI172">
        <v>6635</v>
      </c>
      <c r="AJ172">
        <v>0</v>
      </c>
      <c r="AK172">
        <v>0</v>
      </c>
      <c r="AL172">
        <v>0</v>
      </c>
      <c r="AM172">
        <v>0</v>
      </c>
      <c r="AN172">
        <v>0</v>
      </c>
      <c r="AO172">
        <v>0</v>
      </c>
      <c r="AP172">
        <v>0</v>
      </c>
      <c r="AQ172">
        <v>0</v>
      </c>
      <c r="AR172">
        <v>383</v>
      </c>
      <c r="AS172">
        <v>0</v>
      </c>
      <c r="AT172">
        <v>0</v>
      </c>
      <c r="AU172">
        <v>0</v>
      </c>
      <c r="AV172">
        <v>821</v>
      </c>
      <c r="AW172">
        <v>30321</v>
      </c>
      <c r="AX172">
        <v>0</v>
      </c>
      <c r="AY172">
        <v>3156</v>
      </c>
      <c r="AZ172">
        <v>298</v>
      </c>
      <c r="BA172">
        <v>16578</v>
      </c>
      <c r="BB172">
        <v>0</v>
      </c>
      <c r="BC172">
        <v>587</v>
      </c>
      <c r="BD172">
        <v>51761</v>
      </c>
      <c r="BE172">
        <v>5459</v>
      </c>
      <c r="BF172">
        <v>22990</v>
      </c>
      <c r="BG172">
        <v>151</v>
      </c>
      <c r="BH172">
        <v>231</v>
      </c>
      <c r="BI172">
        <v>242</v>
      </c>
      <c r="BJ172">
        <v>2144</v>
      </c>
      <c r="BK172">
        <v>19374</v>
      </c>
      <c r="BL172">
        <v>2759</v>
      </c>
      <c r="BM172">
        <v>1609</v>
      </c>
      <c r="BN172">
        <v>1562</v>
      </c>
      <c r="BO172">
        <v>0</v>
      </c>
      <c r="BP172">
        <v>388</v>
      </c>
      <c r="BQ172">
        <v>0</v>
      </c>
      <c r="BR172">
        <v>237</v>
      </c>
      <c r="BS172">
        <v>780</v>
      </c>
      <c r="BT172">
        <v>9715</v>
      </c>
      <c r="BU172">
        <v>1276</v>
      </c>
      <c r="BV172">
        <v>-9047</v>
      </c>
      <c r="BW172">
        <v>65950</v>
      </c>
      <c r="BX172">
        <v>674</v>
      </c>
      <c r="BY172">
        <v>319</v>
      </c>
      <c r="BZ172">
        <v>217</v>
      </c>
      <c r="CA172">
        <v>103</v>
      </c>
      <c r="CB172">
        <v>45</v>
      </c>
      <c r="CC172">
        <v>26</v>
      </c>
      <c r="CD172">
        <v>130</v>
      </c>
      <c r="CE172">
        <v>161</v>
      </c>
      <c r="CF172">
        <v>10</v>
      </c>
      <c r="CG172">
        <v>137</v>
      </c>
      <c r="CH172">
        <v>10</v>
      </c>
      <c r="CI172">
        <v>526</v>
      </c>
      <c r="CJ172">
        <v>513</v>
      </c>
      <c r="CK172">
        <v>341</v>
      </c>
      <c r="CL172">
        <v>169</v>
      </c>
      <c r="CM172">
        <v>207</v>
      </c>
      <c r="CN172">
        <v>115</v>
      </c>
      <c r="CO172">
        <v>125</v>
      </c>
      <c r="CP172">
        <v>505</v>
      </c>
      <c r="CQ172">
        <v>2144</v>
      </c>
      <c r="CR172">
        <v>626</v>
      </c>
      <c r="CS172">
        <v>0</v>
      </c>
      <c r="CT172">
        <v>198</v>
      </c>
      <c r="CU172">
        <v>1753</v>
      </c>
      <c r="CV172">
        <v>13807</v>
      </c>
      <c r="CW172">
        <v>0</v>
      </c>
      <c r="CX172">
        <v>118</v>
      </c>
      <c r="CY172">
        <v>62</v>
      </c>
      <c r="CZ172">
        <v>0</v>
      </c>
      <c r="DA172">
        <v>0</v>
      </c>
      <c r="DB172">
        <v>0</v>
      </c>
      <c r="DC172">
        <v>488</v>
      </c>
      <c r="DD172">
        <v>0</v>
      </c>
      <c r="DE172">
        <v>543</v>
      </c>
      <c r="DF172">
        <v>0</v>
      </c>
      <c r="DG172">
        <v>-112</v>
      </c>
      <c r="DH172">
        <v>135</v>
      </c>
      <c r="DI172">
        <v>0</v>
      </c>
      <c r="DJ172">
        <v>904</v>
      </c>
      <c r="DK172">
        <v>0</v>
      </c>
      <c r="DL172">
        <v>-13</v>
      </c>
      <c r="DM172">
        <v>311</v>
      </c>
      <c r="DN172">
        <v>1276</v>
      </c>
      <c r="DO172">
        <v>466</v>
      </c>
      <c r="DP172">
        <v>2967</v>
      </c>
      <c r="DQ172">
        <v>0</v>
      </c>
      <c r="DR172">
        <v>0</v>
      </c>
      <c r="DS172">
        <v>0</v>
      </c>
      <c r="DT172">
        <v>-120</v>
      </c>
      <c r="DU172">
        <v>389</v>
      </c>
      <c r="DV172">
        <v>914</v>
      </c>
      <c r="DW172">
        <v>0</v>
      </c>
      <c r="DX172">
        <v>5181</v>
      </c>
      <c r="DY172">
        <v>0</v>
      </c>
      <c r="DZ172">
        <v>0</v>
      </c>
      <c r="EA172">
        <v>0</v>
      </c>
      <c r="EB172">
        <v>0</v>
      </c>
      <c r="EC172">
        <v>0</v>
      </c>
      <c r="ED172">
        <v>0</v>
      </c>
      <c r="EE172">
        <v>0</v>
      </c>
      <c r="EF172">
        <v>0</v>
      </c>
      <c r="EG172">
        <v>0</v>
      </c>
      <c r="EH172">
        <v>0</v>
      </c>
      <c r="EI172">
        <v>0</v>
      </c>
      <c r="EJ172">
        <v>0</v>
      </c>
      <c r="EK172">
        <v>0</v>
      </c>
      <c r="EL172">
        <v>0</v>
      </c>
      <c r="EM172">
        <v>0</v>
      </c>
      <c r="EN172">
        <v>0</v>
      </c>
      <c r="EO172">
        <v>0</v>
      </c>
      <c r="EP172">
        <v>0</v>
      </c>
      <c r="EQ172">
        <v>0</v>
      </c>
      <c r="ER172">
        <v>0</v>
      </c>
      <c r="ES172">
        <v>0</v>
      </c>
      <c r="ET172">
        <v>0</v>
      </c>
      <c r="EU172">
        <v>389</v>
      </c>
      <c r="EV172">
        <v>0</v>
      </c>
      <c r="EW172">
        <v>54</v>
      </c>
      <c r="EX172">
        <v>217</v>
      </c>
      <c r="EY172">
        <v>0</v>
      </c>
      <c r="EZ172">
        <v>0</v>
      </c>
      <c r="FA172">
        <v>0</v>
      </c>
      <c r="FB172">
        <v>57</v>
      </c>
      <c r="FC172">
        <v>0</v>
      </c>
      <c r="FD172">
        <v>257</v>
      </c>
      <c r="FE172">
        <v>0</v>
      </c>
      <c r="FF172">
        <v>91</v>
      </c>
      <c r="FG172">
        <v>1292</v>
      </c>
      <c r="FH172">
        <v>2357</v>
      </c>
      <c r="FI172">
        <v>-1153</v>
      </c>
      <c r="FJ172">
        <v>1746</v>
      </c>
      <c r="FK172">
        <v>-25</v>
      </c>
      <c r="FL172">
        <v>0</v>
      </c>
      <c r="FM172">
        <v>-228</v>
      </c>
      <c r="FN172">
        <v>-46</v>
      </c>
      <c r="FO172">
        <v>77</v>
      </c>
      <c r="FP172">
        <v>0</v>
      </c>
      <c r="FQ172">
        <v>0</v>
      </c>
      <c r="FR172">
        <v>-4</v>
      </c>
      <c r="FS172">
        <v>0</v>
      </c>
      <c r="FT172">
        <v>95</v>
      </c>
      <c r="FU172">
        <v>-408</v>
      </c>
      <c r="FV172">
        <v>25</v>
      </c>
      <c r="FW172">
        <v>214</v>
      </c>
      <c r="FX172">
        <v>76</v>
      </c>
      <c r="FY172">
        <v>28</v>
      </c>
      <c r="FZ172">
        <v>0</v>
      </c>
      <c r="GA172">
        <v>247</v>
      </c>
      <c r="GB172">
        <v>0</v>
      </c>
      <c r="GC172">
        <v>0</v>
      </c>
      <c r="GD172">
        <v>25</v>
      </c>
      <c r="GE172">
        <v>2256</v>
      </c>
      <c r="GF172">
        <v>12291</v>
      </c>
      <c r="GG172">
        <v>-899</v>
      </c>
      <c r="GH172">
        <v>2001</v>
      </c>
      <c r="GI172">
        <v>0</v>
      </c>
      <c r="GJ172">
        <v>401</v>
      </c>
      <c r="GK172">
        <v>16719</v>
      </c>
      <c r="GL172">
        <v>-113</v>
      </c>
      <c r="GM172">
        <v>565</v>
      </c>
      <c r="GN172">
        <v>736</v>
      </c>
      <c r="GO172">
        <v>1001</v>
      </c>
      <c r="GP172">
        <v>0</v>
      </c>
      <c r="GQ172">
        <v>395</v>
      </c>
      <c r="GR172">
        <v>0</v>
      </c>
      <c r="GS172">
        <v>4289</v>
      </c>
      <c r="GT172">
        <v>1023</v>
      </c>
      <c r="GU172">
        <v>7896</v>
      </c>
      <c r="GV172">
        <v>26972</v>
      </c>
      <c r="GW172">
        <v>0</v>
      </c>
      <c r="GX172">
        <v>0</v>
      </c>
      <c r="GY172">
        <v>0</v>
      </c>
      <c r="GZ172">
        <v>0</v>
      </c>
      <c r="HA172">
        <v>0</v>
      </c>
      <c r="HB172">
        <v>1773</v>
      </c>
      <c r="HC172">
        <v>-51</v>
      </c>
      <c r="HD172">
        <v>0</v>
      </c>
      <c r="HE172">
        <v>0</v>
      </c>
      <c r="HF172">
        <v>3</v>
      </c>
      <c r="HG172">
        <v>-351</v>
      </c>
      <c r="HH172">
        <v>0</v>
      </c>
      <c r="HI172">
        <v>-244</v>
      </c>
      <c r="HJ172">
        <v>313</v>
      </c>
      <c r="HK172">
        <v>71</v>
      </c>
      <c r="HL172">
        <v>3942</v>
      </c>
      <c r="HM172">
        <v>43</v>
      </c>
      <c r="HN172">
        <v>0</v>
      </c>
      <c r="HO172">
        <v>0</v>
      </c>
      <c r="HP172">
        <v>312</v>
      </c>
      <c r="HQ172">
        <v>0</v>
      </c>
      <c r="HR172">
        <v>3437</v>
      </c>
      <c r="HS172">
        <v>126</v>
      </c>
      <c r="HT172">
        <v>0</v>
      </c>
      <c r="HU172">
        <v>4334</v>
      </c>
      <c r="HV172">
        <v>13708</v>
      </c>
      <c r="HW172">
        <v>0</v>
      </c>
      <c r="HX172">
        <v>0</v>
      </c>
      <c r="HY172">
        <v>0</v>
      </c>
      <c r="HZ172">
        <v>0</v>
      </c>
      <c r="IA172">
        <v>598</v>
      </c>
      <c r="IB172">
        <v>0</v>
      </c>
      <c r="IC172">
        <v>97672</v>
      </c>
      <c r="ID172">
        <v>6635</v>
      </c>
      <c r="IE172">
        <v>51761</v>
      </c>
      <c r="IF172">
        <v>65950</v>
      </c>
      <c r="IG172">
        <v>13807</v>
      </c>
      <c r="IH172">
        <v>5181</v>
      </c>
      <c r="II172">
        <v>2357</v>
      </c>
      <c r="IJ172">
        <v>16719</v>
      </c>
      <c r="IK172">
        <v>7896</v>
      </c>
      <c r="IL172">
        <v>0</v>
      </c>
      <c r="IM172">
        <v>0</v>
      </c>
      <c r="IN172">
        <v>13708</v>
      </c>
      <c r="IO172">
        <v>0</v>
      </c>
      <c r="IP172">
        <v>281686</v>
      </c>
      <c r="IQ172">
        <v>30433</v>
      </c>
      <c r="IR172">
        <v>335</v>
      </c>
      <c r="IS172">
        <v>0</v>
      </c>
      <c r="IT172">
        <v>0</v>
      </c>
      <c r="IU172">
        <v>0</v>
      </c>
      <c r="IV172">
        <v>4884</v>
      </c>
      <c r="IW172">
        <v>0</v>
      </c>
      <c r="IX172">
        <v>0</v>
      </c>
      <c r="IY172">
        <v>0</v>
      </c>
      <c r="IZ172">
        <v>0</v>
      </c>
      <c r="JA172">
        <v>-3077</v>
      </c>
      <c r="JB172">
        <v>26</v>
      </c>
      <c r="JC172">
        <v>0</v>
      </c>
      <c r="JD172">
        <v>0</v>
      </c>
      <c r="JE172">
        <v>467</v>
      </c>
      <c r="JF172">
        <v>0</v>
      </c>
      <c r="JG172">
        <v>314754</v>
      </c>
      <c r="JH172">
        <v>233</v>
      </c>
      <c r="JI172">
        <v>266</v>
      </c>
      <c r="JJ172">
        <v>0</v>
      </c>
      <c r="JK172">
        <v>0</v>
      </c>
      <c r="JL172">
        <v>0</v>
      </c>
      <c r="JM172">
        <v>491</v>
      </c>
      <c r="JN172">
        <v>10731</v>
      </c>
      <c r="JO172">
        <v>0</v>
      </c>
      <c r="JP172">
        <v>4537</v>
      </c>
      <c r="JQ172">
        <v>0</v>
      </c>
      <c r="JR172">
        <v>331012</v>
      </c>
      <c r="JS172">
        <v>-2440</v>
      </c>
      <c r="JT172">
        <v>0</v>
      </c>
      <c r="JU172">
        <v>6</v>
      </c>
      <c r="JV172">
        <v>0</v>
      </c>
      <c r="JW172">
        <v>-30351</v>
      </c>
      <c r="JX172">
        <v>0</v>
      </c>
      <c r="JY172">
        <v>0</v>
      </c>
      <c r="JZ172">
        <v>0</v>
      </c>
      <c r="KA172">
        <v>0</v>
      </c>
      <c r="KB172">
        <v>-268</v>
      </c>
      <c r="KC172">
        <v>297959</v>
      </c>
      <c r="KD172">
        <v>-1746</v>
      </c>
      <c r="KE172">
        <v>-134007</v>
      </c>
      <c r="KF172">
        <v>162206</v>
      </c>
      <c r="KG172">
        <v>0</v>
      </c>
      <c r="KH172">
        <v>-980</v>
      </c>
      <c r="KI172">
        <v>-432</v>
      </c>
      <c r="KJ172">
        <v>639</v>
      </c>
      <c r="KK172">
        <v>-5465</v>
      </c>
      <c r="KL172">
        <v>541</v>
      </c>
      <c r="KM172">
        <v>-638</v>
      </c>
      <c r="KN172">
        <v>0</v>
      </c>
      <c r="KO172">
        <v>-18157</v>
      </c>
      <c r="KP172">
        <v>-3316</v>
      </c>
      <c r="KQ172">
        <v>0</v>
      </c>
      <c r="KR172">
        <v>117827</v>
      </c>
      <c r="KS172">
        <v>10354</v>
      </c>
      <c r="KT172">
        <v>432</v>
      </c>
      <c r="KU172">
        <v>1634</v>
      </c>
      <c r="KV172">
        <v>93201</v>
      </c>
      <c r="KW172">
        <v>9098</v>
      </c>
      <c r="KX172">
        <v>9374</v>
      </c>
      <c r="KY172">
        <v>0</v>
      </c>
      <c r="KZ172">
        <v>2273</v>
      </c>
      <c r="LA172">
        <v>87736</v>
      </c>
      <c r="LB172">
        <v>9639</v>
      </c>
      <c r="LC172">
        <v>0</v>
      </c>
      <c r="LD172">
        <v>16600</v>
      </c>
      <c r="LE172">
        <v>0</v>
      </c>
      <c r="LF172">
        <v>-8400</v>
      </c>
      <c r="LG172">
        <v>17135</v>
      </c>
      <c r="LH172">
        <v>300</v>
      </c>
      <c r="LI172">
        <v>20300</v>
      </c>
      <c r="LJ172">
        <v>6315</v>
      </c>
      <c r="LK172">
        <v>7648</v>
      </c>
      <c r="LL172">
        <v>13963</v>
      </c>
      <c r="LM172">
        <v>0</v>
      </c>
      <c r="LN172">
        <v>0</v>
      </c>
      <c r="LO172">
        <v>0</v>
      </c>
      <c r="LP172">
        <v>0</v>
      </c>
      <c r="LQ172">
        <v>0</v>
      </c>
      <c r="LR172">
        <v>0</v>
      </c>
      <c r="LS172">
        <v>0</v>
      </c>
      <c r="LT172">
        <v>0</v>
      </c>
      <c r="LU172">
        <v>97672</v>
      </c>
      <c r="LV172">
        <v>6635</v>
      </c>
      <c r="LW172">
        <v>51761</v>
      </c>
      <c r="LX172">
        <v>65950</v>
      </c>
      <c r="LY172">
        <v>13807</v>
      </c>
      <c r="LZ172">
        <v>5181</v>
      </c>
      <c r="MA172">
        <v>2357</v>
      </c>
      <c r="MB172">
        <v>16719</v>
      </c>
      <c r="MC172">
        <v>7896</v>
      </c>
      <c r="MD172">
        <v>0</v>
      </c>
      <c r="ME172">
        <v>0</v>
      </c>
      <c r="MF172">
        <v>13708</v>
      </c>
      <c r="MG172">
        <v>0</v>
      </c>
      <c r="MH172">
        <v>281686</v>
      </c>
      <c r="MI172">
        <v>0</v>
      </c>
      <c r="MJ172">
        <v>0</v>
      </c>
      <c r="MK172">
        <v>0</v>
      </c>
      <c r="ML172">
        <v>0</v>
      </c>
      <c r="MM172">
        <v>0</v>
      </c>
      <c r="MN172">
        <v>0</v>
      </c>
      <c r="MO172">
        <v>0</v>
      </c>
      <c r="MP172">
        <v>0</v>
      </c>
      <c r="MQ172">
        <v>0</v>
      </c>
      <c r="MR172">
        <v>0</v>
      </c>
      <c r="MS172">
        <v>0</v>
      </c>
      <c r="MT172">
        <v>0</v>
      </c>
      <c r="MU172">
        <v>0</v>
      </c>
      <c r="MV172">
        <v>0</v>
      </c>
      <c r="MW172">
        <v>-958</v>
      </c>
      <c r="MX172">
        <v>-1509</v>
      </c>
      <c r="MY172">
        <v>-191</v>
      </c>
      <c r="MZ172">
        <v>-346</v>
      </c>
      <c r="NA172">
        <v>-3077</v>
      </c>
      <c r="NB172">
        <v>0</v>
      </c>
      <c r="NC172">
        <v>-3077</v>
      </c>
      <c r="ND172">
        <v>0</v>
      </c>
      <c r="NE172">
        <v>0</v>
      </c>
      <c r="NF172">
        <v>0</v>
      </c>
      <c r="NG172">
        <v>0</v>
      </c>
      <c r="NH172">
        <v>0</v>
      </c>
      <c r="NI172">
        <v>0</v>
      </c>
      <c r="NJ172">
        <v>0</v>
      </c>
      <c r="NK172">
        <v>0</v>
      </c>
      <c r="NL172">
        <v>0</v>
      </c>
      <c r="NM172">
        <v>26</v>
      </c>
      <c r="NN172">
        <v>0</v>
      </c>
      <c r="NO172">
        <v>0</v>
      </c>
      <c r="NP172">
        <v>0</v>
      </c>
      <c r="NQ172">
        <v>0</v>
      </c>
      <c r="NR172">
        <v>0</v>
      </c>
      <c r="NS172">
        <v>0</v>
      </c>
      <c r="NT172">
        <v>0</v>
      </c>
      <c r="NU172">
        <v>0</v>
      </c>
      <c r="NV172">
        <v>0</v>
      </c>
      <c r="NW172">
        <v>0</v>
      </c>
      <c r="NX172">
        <v>0</v>
      </c>
      <c r="NY172">
        <v>0</v>
      </c>
      <c r="NZ172">
        <v>26</v>
      </c>
      <c r="OA172">
        <v>0</v>
      </c>
      <c r="OB172">
        <v>26</v>
      </c>
      <c r="OC172">
        <v>0</v>
      </c>
      <c r="OD172">
        <v>0</v>
      </c>
      <c r="OE172">
        <v>0</v>
      </c>
      <c r="OF172">
        <v>0</v>
      </c>
      <c r="OG172">
        <v>0</v>
      </c>
      <c r="OH172">
        <v>0</v>
      </c>
      <c r="OI172">
        <v>0</v>
      </c>
      <c r="OJ172">
        <v>0</v>
      </c>
      <c r="OK172">
        <v>0</v>
      </c>
      <c r="OL172">
        <v>0</v>
      </c>
      <c r="OM172">
        <v>0</v>
      </c>
      <c r="ON172">
        <v>0</v>
      </c>
    </row>
    <row r="173" spans="1:404" x14ac:dyDescent="0.25">
      <c r="A173" t="s">
        <v>584</v>
      </c>
      <c r="B173" t="s">
        <v>585</v>
      </c>
      <c r="C173" t="s">
        <v>583</v>
      </c>
      <c r="E173" t="s">
        <v>1942</v>
      </c>
      <c r="F173">
        <v>92196</v>
      </c>
      <c r="G173">
        <v>398803</v>
      </c>
      <c r="H173">
        <v>97268</v>
      </c>
      <c r="I173">
        <v>90665</v>
      </c>
      <c r="J173">
        <v>8601</v>
      </c>
      <c r="K173">
        <v>66112</v>
      </c>
      <c r="L173">
        <v>753645</v>
      </c>
      <c r="M173">
        <v>4388</v>
      </c>
      <c r="N173">
        <v>0</v>
      </c>
      <c r="O173">
        <v>1009</v>
      </c>
      <c r="P173">
        <v>3643</v>
      </c>
      <c r="Q173">
        <v>1321</v>
      </c>
      <c r="R173">
        <v>5542</v>
      </c>
      <c r="S173">
        <v>17269</v>
      </c>
      <c r="T173">
        <v>4862</v>
      </c>
      <c r="U173">
        <v>5881</v>
      </c>
      <c r="V173">
        <v>0</v>
      </c>
      <c r="W173">
        <v>0</v>
      </c>
      <c r="X173">
        <v>1756</v>
      </c>
      <c r="Y173">
        <v>5965</v>
      </c>
      <c r="Z173">
        <v>0</v>
      </c>
      <c r="AA173">
        <v>0</v>
      </c>
      <c r="AB173">
        <v>12064</v>
      </c>
      <c r="AC173">
        <v>813</v>
      </c>
      <c r="AD173">
        <v>4027</v>
      </c>
      <c r="AE173">
        <v>0</v>
      </c>
      <c r="AF173">
        <v>0</v>
      </c>
      <c r="AG173">
        <v>3602</v>
      </c>
      <c r="AH173">
        <v>0</v>
      </c>
      <c r="AI173">
        <v>72142</v>
      </c>
      <c r="AJ173">
        <v>0</v>
      </c>
      <c r="AK173">
        <v>0</v>
      </c>
      <c r="AL173">
        <v>0</v>
      </c>
      <c r="AM173">
        <v>0</v>
      </c>
      <c r="AN173">
        <v>0</v>
      </c>
      <c r="AO173">
        <v>0</v>
      </c>
      <c r="AP173">
        <v>0</v>
      </c>
      <c r="AQ173">
        <v>0</v>
      </c>
      <c r="AR173">
        <v>0</v>
      </c>
      <c r="AS173">
        <v>0</v>
      </c>
      <c r="AT173">
        <v>0</v>
      </c>
      <c r="AU173">
        <v>0</v>
      </c>
      <c r="AV173">
        <v>9408</v>
      </c>
      <c r="AW173">
        <v>94669</v>
      </c>
      <c r="AX173">
        <v>773</v>
      </c>
      <c r="AY173">
        <v>30671</v>
      </c>
      <c r="AZ173">
        <v>4051</v>
      </c>
      <c r="BA173">
        <v>44747</v>
      </c>
      <c r="BB173">
        <v>0</v>
      </c>
      <c r="BC173">
        <v>13407</v>
      </c>
      <c r="BD173">
        <v>197726</v>
      </c>
      <c r="BE173">
        <v>25726</v>
      </c>
      <c r="BF173">
        <v>68272</v>
      </c>
      <c r="BG173">
        <v>225</v>
      </c>
      <c r="BH173">
        <v>441</v>
      </c>
      <c r="BI173">
        <v>951</v>
      </c>
      <c r="BJ173">
        <v>16797</v>
      </c>
      <c r="BK173">
        <v>148841</v>
      </c>
      <c r="BL173">
        <v>19359</v>
      </c>
      <c r="BM173">
        <v>12563</v>
      </c>
      <c r="BN173">
        <v>9314</v>
      </c>
      <c r="BO173">
        <v>26</v>
      </c>
      <c r="BP173">
        <v>0</v>
      </c>
      <c r="BQ173">
        <v>0</v>
      </c>
      <c r="BR173">
        <v>11382</v>
      </c>
      <c r="BS173">
        <v>4326</v>
      </c>
      <c r="BT173">
        <v>38302</v>
      </c>
      <c r="BU173">
        <v>10065</v>
      </c>
      <c r="BV173">
        <v>29540</v>
      </c>
      <c r="BW173">
        <v>428185</v>
      </c>
      <c r="BX173">
        <v>5261</v>
      </c>
      <c r="BY173">
        <v>4112</v>
      </c>
      <c r="BZ173">
        <v>349</v>
      </c>
      <c r="CA173">
        <v>803</v>
      </c>
      <c r="CB173">
        <v>265</v>
      </c>
      <c r="CC173">
        <v>109</v>
      </c>
      <c r="CD173">
        <v>110</v>
      </c>
      <c r="CE173">
        <v>116</v>
      </c>
      <c r="CF173">
        <v>214</v>
      </c>
      <c r="CG173">
        <v>106</v>
      </c>
      <c r="CH173">
        <v>202</v>
      </c>
      <c r="CI173">
        <v>3604</v>
      </c>
      <c r="CJ173">
        <v>2936</v>
      </c>
      <c r="CK173">
        <v>428</v>
      </c>
      <c r="CL173">
        <v>261</v>
      </c>
      <c r="CM173">
        <v>467</v>
      </c>
      <c r="CN173">
        <v>892</v>
      </c>
      <c r="CO173">
        <v>52</v>
      </c>
      <c r="CP173">
        <v>4047</v>
      </c>
      <c r="CQ173">
        <v>14894</v>
      </c>
      <c r="CR173">
        <v>0</v>
      </c>
      <c r="CS173">
        <v>15</v>
      </c>
      <c r="CT173">
        <v>88</v>
      </c>
      <c r="CU173">
        <v>7657</v>
      </c>
      <c r="CV173">
        <v>69246</v>
      </c>
      <c r="CW173">
        <v>1515</v>
      </c>
      <c r="CX173">
        <v>0</v>
      </c>
      <c r="CY173">
        <v>246</v>
      </c>
      <c r="CZ173">
        <v>0</v>
      </c>
      <c r="DA173">
        <v>0</v>
      </c>
      <c r="DB173">
        <v>0</v>
      </c>
      <c r="DC173">
        <v>0</v>
      </c>
      <c r="DD173">
        <v>0</v>
      </c>
      <c r="DE173">
        <v>0</v>
      </c>
      <c r="DF173">
        <v>0</v>
      </c>
      <c r="DG173">
        <v>0</v>
      </c>
      <c r="DH173">
        <v>0</v>
      </c>
      <c r="DI173">
        <v>0</v>
      </c>
      <c r="DJ173">
        <v>0</v>
      </c>
      <c r="DK173">
        <v>0</v>
      </c>
      <c r="DL173">
        <v>0</v>
      </c>
      <c r="DM173">
        <v>0</v>
      </c>
      <c r="DN173">
        <v>0</v>
      </c>
      <c r="DO173">
        <v>3353</v>
      </c>
      <c r="DP173">
        <v>3353</v>
      </c>
      <c r="DQ173">
        <v>0</v>
      </c>
      <c r="DR173">
        <v>0</v>
      </c>
      <c r="DS173">
        <v>0</v>
      </c>
      <c r="DT173">
        <v>0</v>
      </c>
      <c r="DU173">
        <v>-779</v>
      </c>
      <c r="DV173">
        <v>3790</v>
      </c>
      <c r="DW173">
        <v>0</v>
      </c>
      <c r="DX173">
        <v>6364</v>
      </c>
      <c r="DY173">
        <v>0</v>
      </c>
      <c r="DZ173">
        <v>0</v>
      </c>
      <c r="EA173">
        <v>0</v>
      </c>
      <c r="EB173">
        <v>0</v>
      </c>
      <c r="EC173">
        <v>0</v>
      </c>
      <c r="ED173">
        <v>0</v>
      </c>
      <c r="EE173">
        <v>0</v>
      </c>
      <c r="EF173">
        <v>0</v>
      </c>
      <c r="EG173">
        <v>0</v>
      </c>
      <c r="EH173">
        <v>0</v>
      </c>
      <c r="EI173">
        <v>0</v>
      </c>
      <c r="EJ173">
        <v>0</v>
      </c>
      <c r="EK173">
        <v>0</v>
      </c>
      <c r="EL173">
        <v>0</v>
      </c>
      <c r="EM173">
        <v>0</v>
      </c>
      <c r="EN173">
        <v>0</v>
      </c>
      <c r="EO173">
        <v>0</v>
      </c>
      <c r="EP173">
        <v>0</v>
      </c>
      <c r="EQ173">
        <v>0</v>
      </c>
      <c r="ER173">
        <v>0</v>
      </c>
      <c r="ES173">
        <v>0</v>
      </c>
      <c r="ET173">
        <v>0</v>
      </c>
      <c r="EU173">
        <v>963</v>
      </c>
      <c r="EV173">
        <v>0</v>
      </c>
      <c r="EW173">
        <v>50</v>
      </c>
      <c r="EX173">
        <v>84</v>
      </c>
      <c r="EY173">
        <v>0</v>
      </c>
      <c r="EZ173">
        <v>0</v>
      </c>
      <c r="FA173">
        <v>0</v>
      </c>
      <c r="FB173">
        <v>0</v>
      </c>
      <c r="FC173">
        <v>0</v>
      </c>
      <c r="FD173">
        <v>1066</v>
      </c>
      <c r="FE173">
        <v>0</v>
      </c>
      <c r="FF173">
        <v>0</v>
      </c>
      <c r="FG173">
        <v>16141</v>
      </c>
      <c r="FH173">
        <v>18304</v>
      </c>
      <c r="FI173">
        <v>0</v>
      </c>
      <c r="FJ173">
        <v>2903</v>
      </c>
      <c r="FK173">
        <v>0</v>
      </c>
      <c r="FL173">
        <v>0</v>
      </c>
      <c r="FM173">
        <v>0</v>
      </c>
      <c r="FN173">
        <v>0</v>
      </c>
      <c r="FO173">
        <v>0</v>
      </c>
      <c r="FP173">
        <v>0</v>
      </c>
      <c r="FQ173">
        <v>0</v>
      </c>
      <c r="FR173">
        <v>0</v>
      </c>
      <c r="FS173">
        <v>0</v>
      </c>
      <c r="FT173">
        <v>0</v>
      </c>
      <c r="FU173">
        <v>0</v>
      </c>
      <c r="FV173">
        <v>296</v>
      </c>
      <c r="FW173">
        <v>0</v>
      </c>
      <c r="FX173">
        <v>0</v>
      </c>
      <c r="FY173">
        <v>0</v>
      </c>
      <c r="FZ173">
        <v>781</v>
      </c>
      <c r="GA173">
        <v>0</v>
      </c>
      <c r="GB173">
        <v>0</v>
      </c>
      <c r="GC173">
        <v>-82</v>
      </c>
      <c r="GD173">
        <v>0</v>
      </c>
      <c r="GE173">
        <v>0</v>
      </c>
      <c r="GF173">
        <v>38011</v>
      </c>
      <c r="GG173">
        <v>0</v>
      </c>
      <c r="GH173">
        <v>11139</v>
      </c>
      <c r="GI173">
        <v>1301</v>
      </c>
      <c r="GJ173">
        <v>870</v>
      </c>
      <c r="GK173">
        <v>55219</v>
      </c>
      <c r="GL173">
        <v>0</v>
      </c>
      <c r="GM173">
        <v>539</v>
      </c>
      <c r="GN173">
        <v>0</v>
      </c>
      <c r="GO173">
        <v>3937</v>
      </c>
      <c r="GP173">
        <v>189</v>
      </c>
      <c r="GQ173">
        <v>1956</v>
      </c>
      <c r="GR173">
        <v>0</v>
      </c>
      <c r="GS173">
        <v>0</v>
      </c>
      <c r="GT173">
        <v>300</v>
      </c>
      <c r="GU173">
        <v>6921</v>
      </c>
      <c r="GV173">
        <v>80444</v>
      </c>
      <c r="GW173">
        <v>0</v>
      </c>
      <c r="GX173">
        <v>2594</v>
      </c>
      <c r="GY173">
        <v>40668</v>
      </c>
      <c r="GZ173">
        <v>0</v>
      </c>
      <c r="HA173">
        <v>43262</v>
      </c>
      <c r="HB173">
        <v>5844</v>
      </c>
      <c r="HC173">
        <v>0</v>
      </c>
      <c r="HD173">
        <v>0</v>
      </c>
      <c r="HE173">
        <v>0</v>
      </c>
      <c r="HF173">
        <v>0</v>
      </c>
      <c r="HG173">
        <v>0</v>
      </c>
      <c r="HH173">
        <v>0</v>
      </c>
      <c r="HI173">
        <v>583</v>
      </c>
      <c r="HJ173">
        <v>0</v>
      </c>
      <c r="HK173">
        <v>983</v>
      </c>
      <c r="HL173">
        <v>220</v>
      </c>
      <c r="HM173">
        <v>8</v>
      </c>
      <c r="HN173">
        <v>965</v>
      </c>
      <c r="HO173">
        <v>674</v>
      </c>
      <c r="HP173">
        <v>1443</v>
      </c>
      <c r="HQ173">
        <v>0</v>
      </c>
      <c r="HR173">
        <v>0</v>
      </c>
      <c r="HS173">
        <v>0</v>
      </c>
      <c r="HT173">
        <v>1352</v>
      </c>
      <c r="HU173">
        <v>1756</v>
      </c>
      <c r="HV173">
        <v>13828</v>
      </c>
      <c r="HW173">
        <v>0</v>
      </c>
      <c r="HX173">
        <v>54824</v>
      </c>
      <c r="HY173">
        <v>0</v>
      </c>
      <c r="HZ173">
        <v>0</v>
      </c>
      <c r="IA173">
        <v>5757</v>
      </c>
      <c r="IB173">
        <v>2289</v>
      </c>
      <c r="IC173">
        <v>753645</v>
      </c>
      <c r="ID173">
        <v>72142</v>
      </c>
      <c r="IE173">
        <v>197726</v>
      </c>
      <c r="IF173">
        <v>428185</v>
      </c>
      <c r="IG173">
        <v>69246</v>
      </c>
      <c r="IH173">
        <v>6364</v>
      </c>
      <c r="II173">
        <v>18304</v>
      </c>
      <c r="IJ173">
        <v>55219</v>
      </c>
      <c r="IK173">
        <v>6921</v>
      </c>
      <c r="IL173">
        <v>0</v>
      </c>
      <c r="IM173">
        <v>43262</v>
      </c>
      <c r="IN173">
        <v>13828</v>
      </c>
      <c r="IO173">
        <v>2289</v>
      </c>
      <c r="IP173">
        <v>1667131</v>
      </c>
      <c r="IQ173">
        <v>0</v>
      </c>
      <c r="IR173">
        <v>0</v>
      </c>
      <c r="IS173">
        <v>0</v>
      </c>
      <c r="IT173">
        <v>0</v>
      </c>
      <c r="IU173">
        <v>0</v>
      </c>
      <c r="IV173">
        <v>0</v>
      </c>
      <c r="IW173">
        <v>0</v>
      </c>
      <c r="IX173">
        <v>0</v>
      </c>
      <c r="IY173">
        <v>0</v>
      </c>
      <c r="IZ173">
        <v>2254</v>
      </c>
      <c r="JA173">
        <v>-8506</v>
      </c>
      <c r="JB173">
        <v>-1076</v>
      </c>
      <c r="JC173">
        <v>0</v>
      </c>
      <c r="JD173">
        <v>-154</v>
      </c>
      <c r="JE173">
        <v>716</v>
      </c>
      <c r="JF173">
        <v>0</v>
      </c>
      <c r="JG173">
        <v>1660365</v>
      </c>
      <c r="JH173">
        <v>1029</v>
      </c>
      <c r="JI173">
        <v>10102</v>
      </c>
      <c r="JJ173">
        <v>0</v>
      </c>
      <c r="JK173">
        <v>0</v>
      </c>
      <c r="JL173">
        <v>0</v>
      </c>
      <c r="JM173">
        <v>1521</v>
      </c>
      <c r="JN173">
        <v>16991</v>
      </c>
      <c r="JO173">
        <v>0</v>
      </c>
      <c r="JP173">
        <v>11832</v>
      </c>
      <c r="JQ173">
        <v>0</v>
      </c>
      <c r="JR173">
        <v>1701840</v>
      </c>
      <c r="JS173">
        <v>-4694</v>
      </c>
      <c r="JT173">
        <v>4518</v>
      </c>
      <c r="JU173">
        <v>-1883</v>
      </c>
      <c r="JV173">
        <v>0</v>
      </c>
      <c r="JW173">
        <v>-45540</v>
      </c>
      <c r="JX173">
        <v>0</v>
      </c>
      <c r="JY173">
        <v>0</v>
      </c>
      <c r="JZ173">
        <v>0</v>
      </c>
      <c r="KA173">
        <v>0</v>
      </c>
      <c r="KB173">
        <v>0</v>
      </c>
      <c r="KC173">
        <v>1654241</v>
      </c>
      <c r="KD173">
        <v>0</v>
      </c>
      <c r="KE173">
        <v>-843957</v>
      </c>
      <c r="KF173">
        <v>810283</v>
      </c>
      <c r="KG173">
        <v>0</v>
      </c>
      <c r="KH173">
        <v>5987</v>
      </c>
      <c r="KI173">
        <v>-3546</v>
      </c>
      <c r="KJ173">
        <v>3052</v>
      </c>
      <c r="KK173">
        <v>11323</v>
      </c>
      <c r="KL173">
        <v>175</v>
      </c>
      <c r="KM173">
        <v>-1932</v>
      </c>
      <c r="KN173">
        <v>0</v>
      </c>
      <c r="KO173">
        <v>-110986</v>
      </c>
      <c r="KP173">
        <v>321</v>
      </c>
      <c r="KQ173">
        <v>0</v>
      </c>
      <c r="KR173">
        <v>662385</v>
      </c>
      <c r="KS173">
        <v>83684</v>
      </c>
      <c r="KT173">
        <v>20412</v>
      </c>
      <c r="KU173">
        <v>7560</v>
      </c>
      <c r="KV173">
        <v>239438</v>
      </c>
      <c r="KW173">
        <v>52087</v>
      </c>
      <c r="KX173">
        <v>89671</v>
      </c>
      <c r="KY173">
        <v>16866</v>
      </c>
      <c r="KZ173">
        <v>10612</v>
      </c>
      <c r="LA173">
        <v>250761</v>
      </c>
      <c r="LB173">
        <v>52262</v>
      </c>
      <c r="LC173">
        <v>0</v>
      </c>
      <c r="LD173">
        <v>82471</v>
      </c>
      <c r="LE173">
        <v>0</v>
      </c>
      <c r="LF173">
        <v>-4270</v>
      </c>
      <c r="LG173">
        <v>-102193</v>
      </c>
      <c r="LH173">
        <v>39068</v>
      </c>
      <c r="LI173">
        <v>15495</v>
      </c>
      <c r="LJ173">
        <v>0</v>
      </c>
      <c r="LK173">
        <v>0</v>
      </c>
      <c r="LL173">
        <v>0</v>
      </c>
      <c r="LM173">
        <v>0</v>
      </c>
      <c r="LN173">
        <v>0</v>
      </c>
      <c r="LO173">
        <v>0</v>
      </c>
      <c r="LP173">
        <v>0</v>
      </c>
      <c r="LQ173">
        <v>0</v>
      </c>
      <c r="LR173">
        <v>0</v>
      </c>
      <c r="LS173">
        <v>0</v>
      </c>
      <c r="LT173">
        <v>0</v>
      </c>
      <c r="LU173">
        <v>753645</v>
      </c>
      <c r="LV173">
        <v>72142</v>
      </c>
      <c r="LW173">
        <v>197726</v>
      </c>
      <c r="LX173">
        <v>428185</v>
      </c>
      <c r="LY173">
        <v>69246</v>
      </c>
      <c r="LZ173">
        <v>6364</v>
      </c>
      <c r="MA173">
        <v>18304</v>
      </c>
      <c r="MB173">
        <v>55219</v>
      </c>
      <c r="MC173">
        <v>6921</v>
      </c>
      <c r="MD173">
        <v>0</v>
      </c>
      <c r="ME173">
        <v>43262</v>
      </c>
      <c r="MF173">
        <v>13828</v>
      </c>
      <c r="MG173">
        <v>2289</v>
      </c>
      <c r="MH173">
        <v>1667131</v>
      </c>
      <c r="MI173">
        <v>0</v>
      </c>
      <c r="MJ173">
        <v>0</v>
      </c>
      <c r="MK173">
        <v>0</v>
      </c>
      <c r="ML173">
        <v>0</v>
      </c>
      <c r="MM173">
        <v>0</v>
      </c>
      <c r="MN173">
        <v>0</v>
      </c>
      <c r="MO173">
        <v>0</v>
      </c>
      <c r="MP173">
        <v>0</v>
      </c>
      <c r="MQ173">
        <v>0</v>
      </c>
      <c r="MR173">
        <v>0</v>
      </c>
      <c r="MS173">
        <v>0</v>
      </c>
      <c r="MT173">
        <v>0</v>
      </c>
      <c r="MU173">
        <v>0</v>
      </c>
      <c r="MV173">
        <v>0</v>
      </c>
      <c r="MW173">
        <v>0</v>
      </c>
      <c r="MX173">
        <v>0</v>
      </c>
      <c r="MY173">
        <v>0</v>
      </c>
      <c r="MZ173">
        <v>0</v>
      </c>
      <c r="NA173">
        <v>-8506</v>
      </c>
      <c r="NB173">
        <v>0</v>
      </c>
      <c r="NC173">
        <v>-8506</v>
      </c>
      <c r="ND173">
        <v>0</v>
      </c>
      <c r="NE173">
        <v>0</v>
      </c>
      <c r="NF173">
        <v>0</v>
      </c>
      <c r="NG173">
        <v>0</v>
      </c>
      <c r="NH173">
        <v>0</v>
      </c>
      <c r="NI173">
        <v>0</v>
      </c>
      <c r="NJ173">
        <v>0</v>
      </c>
      <c r="NK173">
        <v>0</v>
      </c>
      <c r="NL173">
        <v>0</v>
      </c>
      <c r="NM173">
        <v>0</v>
      </c>
      <c r="NN173">
        <v>0</v>
      </c>
      <c r="NO173">
        <v>0</v>
      </c>
      <c r="NP173">
        <v>0</v>
      </c>
      <c r="NQ173">
        <v>0</v>
      </c>
      <c r="NR173">
        <v>0</v>
      </c>
      <c r="NS173">
        <v>0</v>
      </c>
      <c r="NT173">
        <v>0</v>
      </c>
      <c r="NU173">
        <v>-923</v>
      </c>
      <c r="NV173">
        <v>0</v>
      </c>
      <c r="NW173">
        <v>0</v>
      </c>
      <c r="NX173">
        <v>0</v>
      </c>
      <c r="NY173">
        <v>0</v>
      </c>
      <c r="NZ173">
        <v>-1230</v>
      </c>
      <c r="OA173">
        <v>154</v>
      </c>
      <c r="OB173">
        <v>-1076</v>
      </c>
      <c r="OC173">
        <v>0</v>
      </c>
      <c r="OD173">
        <v>0</v>
      </c>
      <c r="OE173">
        <v>0</v>
      </c>
      <c r="OF173">
        <v>0</v>
      </c>
      <c r="OG173">
        <v>0</v>
      </c>
      <c r="OH173">
        <v>0</v>
      </c>
      <c r="OI173">
        <v>154</v>
      </c>
      <c r="OJ173">
        <v>0</v>
      </c>
      <c r="OK173">
        <v>0</v>
      </c>
      <c r="OL173">
        <v>0</v>
      </c>
      <c r="OM173">
        <v>0</v>
      </c>
      <c r="ON173">
        <v>154</v>
      </c>
    </row>
    <row r="174" spans="1:404" x14ac:dyDescent="0.25">
      <c r="A174" t="s">
        <v>587</v>
      </c>
      <c r="B174" t="s">
        <v>588</v>
      </c>
      <c r="C174" t="s">
        <v>586</v>
      </c>
      <c r="E174" t="s">
        <v>71</v>
      </c>
      <c r="F174">
        <v>0</v>
      </c>
      <c r="G174">
        <v>0</v>
      </c>
      <c r="H174">
        <v>0</v>
      </c>
      <c r="I174">
        <v>0</v>
      </c>
      <c r="J174">
        <v>0</v>
      </c>
      <c r="K174">
        <v>0</v>
      </c>
      <c r="L174">
        <v>0</v>
      </c>
      <c r="M174">
        <v>0</v>
      </c>
      <c r="N174">
        <v>0</v>
      </c>
      <c r="O174">
        <v>0</v>
      </c>
      <c r="P174">
        <v>0</v>
      </c>
      <c r="Q174">
        <v>0</v>
      </c>
      <c r="R174">
        <v>0</v>
      </c>
      <c r="S174">
        <v>0</v>
      </c>
      <c r="T174">
        <v>0</v>
      </c>
      <c r="U174">
        <v>0</v>
      </c>
      <c r="V174">
        <v>0</v>
      </c>
      <c r="W174">
        <v>0</v>
      </c>
      <c r="X174">
        <v>0</v>
      </c>
      <c r="Y174">
        <v>0</v>
      </c>
      <c r="Z174">
        <v>0</v>
      </c>
      <c r="AA174">
        <v>0</v>
      </c>
      <c r="AB174">
        <v>0</v>
      </c>
      <c r="AC174">
        <v>0</v>
      </c>
      <c r="AD174">
        <v>0</v>
      </c>
      <c r="AE174">
        <v>0</v>
      </c>
      <c r="AF174">
        <v>0</v>
      </c>
      <c r="AG174">
        <v>0</v>
      </c>
      <c r="AH174">
        <v>0</v>
      </c>
      <c r="AI174">
        <v>0</v>
      </c>
      <c r="AJ174">
        <v>0</v>
      </c>
      <c r="AK174">
        <v>0</v>
      </c>
      <c r="AL174">
        <v>0</v>
      </c>
      <c r="AM174">
        <v>0</v>
      </c>
      <c r="AN174">
        <v>0</v>
      </c>
      <c r="AO174">
        <v>0</v>
      </c>
      <c r="AP174">
        <v>0</v>
      </c>
      <c r="AQ174">
        <v>0</v>
      </c>
      <c r="AR174">
        <v>0</v>
      </c>
      <c r="AS174">
        <v>0</v>
      </c>
      <c r="AT174">
        <v>0</v>
      </c>
      <c r="AU174">
        <v>0</v>
      </c>
      <c r="AV174">
        <v>0</v>
      </c>
      <c r="AW174">
        <v>0</v>
      </c>
      <c r="AX174">
        <v>0</v>
      </c>
      <c r="AY174">
        <v>0</v>
      </c>
      <c r="AZ174">
        <v>0</v>
      </c>
      <c r="BA174">
        <v>0</v>
      </c>
      <c r="BB174">
        <v>0</v>
      </c>
      <c r="BC174">
        <v>0</v>
      </c>
      <c r="BD174">
        <v>0</v>
      </c>
      <c r="BE174">
        <v>0</v>
      </c>
      <c r="BF174">
        <v>0</v>
      </c>
      <c r="BG174">
        <v>0</v>
      </c>
      <c r="BH174">
        <v>0</v>
      </c>
      <c r="BI174">
        <v>0</v>
      </c>
      <c r="BJ174">
        <v>0</v>
      </c>
      <c r="BK174">
        <v>0</v>
      </c>
      <c r="BL174">
        <v>0</v>
      </c>
      <c r="BM174">
        <v>0</v>
      </c>
      <c r="BN174">
        <v>0</v>
      </c>
      <c r="BO174">
        <v>0</v>
      </c>
      <c r="BP174">
        <v>0</v>
      </c>
      <c r="BQ174">
        <v>0</v>
      </c>
      <c r="BR174">
        <v>0</v>
      </c>
      <c r="BS174">
        <v>0</v>
      </c>
      <c r="BT174">
        <v>0</v>
      </c>
      <c r="BU174">
        <v>0</v>
      </c>
      <c r="BV174">
        <v>0</v>
      </c>
      <c r="BW174">
        <v>0</v>
      </c>
      <c r="BX174">
        <v>0</v>
      </c>
      <c r="BY174">
        <v>0</v>
      </c>
      <c r="BZ174">
        <v>0</v>
      </c>
      <c r="CA174">
        <v>0</v>
      </c>
      <c r="CB174">
        <v>0</v>
      </c>
      <c r="CC174">
        <v>0</v>
      </c>
      <c r="CD174">
        <v>0</v>
      </c>
      <c r="CE174">
        <v>0</v>
      </c>
      <c r="CF174">
        <v>0</v>
      </c>
      <c r="CG174">
        <v>0</v>
      </c>
      <c r="CH174">
        <v>0</v>
      </c>
      <c r="CI174">
        <v>0</v>
      </c>
      <c r="CJ174">
        <v>0</v>
      </c>
      <c r="CK174">
        <v>0</v>
      </c>
      <c r="CL174">
        <v>0</v>
      </c>
      <c r="CM174">
        <v>0</v>
      </c>
      <c r="CN174">
        <v>0</v>
      </c>
      <c r="CO174">
        <v>0</v>
      </c>
      <c r="CP174">
        <v>0</v>
      </c>
      <c r="CQ174">
        <v>0</v>
      </c>
      <c r="CR174">
        <v>0</v>
      </c>
      <c r="CS174">
        <v>0</v>
      </c>
      <c r="CT174">
        <v>0</v>
      </c>
      <c r="CU174">
        <v>0</v>
      </c>
      <c r="CV174">
        <v>0</v>
      </c>
      <c r="CW174">
        <v>0</v>
      </c>
      <c r="CX174">
        <v>0</v>
      </c>
      <c r="CY174">
        <v>0</v>
      </c>
      <c r="CZ174">
        <v>0</v>
      </c>
      <c r="DA174">
        <v>0</v>
      </c>
      <c r="DB174">
        <v>0</v>
      </c>
      <c r="DC174">
        <v>0</v>
      </c>
      <c r="DD174">
        <v>0</v>
      </c>
      <c r="DE174">
        <v>0</v>
      </c>
      <c r="DF174">
        <v>0</v>
      </c>
      <c r="DG174">
        <v>0</v>
      </c>
      <c r="DH174">
        <v>0</v>
      </c>
      <c r="DI174">
        <v>0</v>
      </c>
      <c r="DJ174">
        <v>0</v>
      </c>
      <c r="DK174">
        <v>0</v>
      </c>
      <c r="DL174">
        <v>0</v>
      </c>
      <c r="DM174">
        <v>0</v>
      </c>
      <c r="DN174">
        <v>0</v>
      </c>
      <c r="DO174">
        <v>0</v>
      </c>
      <c r="DP174">
        <v>0</v>
      </c>
      <c r="DQ174">
        <v>0</v>
      </c>
      <c r="DR174">
        <v>0</v>
      </c>
      <c r="DS174">
        <v>0</v>
      </c>
      <c r="DT174">
        <v>0</v>
      </c>
      <c r="DU174">
        <v>0</v>
      </c>
      <c r="DV174">
        <v>0</v>
      </c>
      <c r="DW174">
        <v>0</v>
      </c>
      <c r="DX174">
        <v>0</v>
      </c>
      <c r="DY174">
        <v>0</v>
      </c>
      <c r="DZ174">
        <v>0</v>
      </c>
      <c r="EA174">
        <v>0</v>
      </c>
      <c r="EB174">
        <v>0</v>
      </c>
      <c r="EC174">
        <v>0</v>
      </c>
      <c r="ED174">
        <v>0</v>
      </c>
      <c r="EE174">
        <v>0</v>
      </c>
      <c r="EF174">
        <v>0</v>
      </c>
      <c r="EG174">
        <v>0</v>
      </c>
      <c r="EH174">
        <v>0</v>
      </c>
      <c r="EI174">
        <v>0</v>
      </c>
      <c r="EJ174">
        <v>0</v>
      </c>
      <c r="EK174">
        <v>0</v>
      </c>
      <c r="EL174">
        <v>0</v>
      </c>
      <c r="EM174">
        <v>0</v>
      </c>
      <c r="EN174">
        <v>0</v>
      </c>
      <c r="EO174">
        <v>0</v>
      </c>
      <c r="EP174">
        <v>0</v>
      </c>
      <c r="EQ174">
        <v>0</v>
      </c>
      <c r="ER174">
        <v>0</v>
      </c>
      <c r="ES174">
        <v>0</v>
      </c>
      <c r="ET174">
        <v>0</v>
      </c>
      <c r="EU174">
        <v>0</v>
      </c>
      <c r="EV174">
        <v>0</v>
      </c>
      <c r="EW174">
        <v>0</v>
      </c>
      <c r="EX174">
        <v>0</v>
      </c>
      <c r="EY174">
        <v>0</v>
      </c>
      <c r="EZ174">
        <v>0</v>
      </c>
      <c r="FA174">
        <v>0</v>
      </c>
      <c r="FB174">
        <v>0</v>
      </c>
      <c r="FC174">
        <v>0</v>
      </c>
      <c r="FD174">
        <v>0</v>
      </c>
      <c r="FE174">
        <v>0</v>
      </c>
      <c r="FF174">
        <v>0</v>
      </c>
      <c r="FG174">
        <v>0</v>
      </c>
      <c r="FH174">
        <v>0</v>
      </c>
      <c r="FI174">
        <v>0</v>
      </c>
      <c r="FJ174">
        <v>0</v>
      </c>
      <c r="FK174">
        <v>0</v>
      </c>
      <c r="FL174">
        <v>0</v>
      </c>
      <c r="FM174">
        <v>0</v>
      </c>
      <c r="FN174">
        <v>0</v>
      </c>
      <c r="FO174">
        <v>0</v>
      </c>
      <c r="FP174">
        <v>0</v>
      </c>
      <c r="FQ174">
        <v>0</v>
      </c>
      <c r="FR174">
        <v>0</v>
      </c>
      <c r="FS174">
        <v>0</v>
      </c>
      <c r="FT174">
        <v>0</v>
      </c>
      <c r="FU174">
        <v>0</v>
      </c>
      <c r="FV174">
        <v>0</v>
      </c>
      <c r="FW174">
        <v>0</v>
      </c>
      <c r="FX174">
        <v>0</v>
      </c>
      <c r="FY174">
        <v>0</v>
      </c>
      <c r="FZ174">
        <v>0</v>
      </c>
      <c r="GA174">
        <v>0</v>
      </c>
      <c r="GB174">
        <v>0</v>
      </c>
      <c r="GC174">
        <v>0</v>
      </c>
      <c r="GD174">
        <v>0</v>
      </c>
      <c r="GE174">
        <v>0</v>
      </c>
      <c r="GF174">
        <v>0</v>
      </c>
      <c r="GG174">
        <v>0</v>
      </c>
      <c r="GH174">
        <v>0</v>
      </c>
      <c r="GI174">
        <v>0</v>
      </c>
      <c r="GJ174">
        <v>0</v>
      </c>
      <c r="GK174">
        <v>0</v>
      </c>
      <c r="GL174">
        <v>0</v>
      </c>
      <c r="GM174">
        <v>0</v>
      </c>
      <c r="GN174">
        <v>0</v>
      </c>
      <c r="GO174">
        <v>0</v>
      </c>
      <c r="GP174">
        <v>0</v>
      </c>
      <c r="GQ174">
        <v>0</v>
      </c>
      <c r="GR174">
        <v>0</v>
      </c>
      <c r="GS174">
        <v>0</v>
      </c>
      <c r="GT174">
        <v>0</v>
      </c>
      <c r="GU174">
        <v>0</v>
      </c>
      <c r="GV174">
        <v>0</v>
      </c>
      <c r="GW174">
        <v>247245</v>
      </c>
      <c r="GX174">
        <v>0</v>
      </c>
      <c r="GY174">
        <v>0</v>
      </c>
      <c r="GZ174">
        <v>0</v>
      </c>
      <c r="HA174">
        <v>0</v>
      </c>
      <c r="HB174">
        <v>0</v>
      </c>
      <c r="HC174">
        <v>0</v>
      </c>
      <c r="HD174">
        <v>0</v>
      </c>
      <c r="HE174">
        <v>0</v>
      </c>
      <c r="HF174">
        <v>0</v>
      </c>
      <c r="HG174">
        <v>0</v>
      </c>
      <c r="HH174">
        <v>0</v>
      </c>
      <c r="HI174">
        <v>0</v>
      </c>
      <c r="HJ174">
        <v>0</v>
      </c>
      <c r="HK174">
        <v>0</v>
      </c>
      <c r="HL174">
        <v>0</v>
      </c>
      <c r="HM174">
        <v>0</v>
      </c>
      <c r="HN174">
        <v>0</v>
      </c>
      <c r="HO174">
        <v>0</v>
      </c>
      <c r="HP174">
        <v>0</v>
      </c>
      <c r="HQ174">
        <v>0</v>
      </c>
      <c r="HR174">
        <v>0</v>
      </c>
      <c r="HS174">
        <v>0</v>
      </c>
      <c r="HT174">
        <v>0</v>
      </c>
      <c r="HU174">
        <v>0</v>
      </c>
      <c r="HV174">
        <v>0</v>
      </c>
      <c r="HW174">
        <v>0</v>
      </c>
      <c r="HX174">
        <v>0</v>
      </c>
      <c r="HY174">
        <v>0</v>
      </c>
      <c r="HZ174">
        <v>0</v>
      </c>
      <c r="IA174">
        <v>0</v>
      </c>
      <c r="IB174">
        <v>0</v>
      </c>
      <c r="IC174">
        <v>0</v>
      </c>
      <c r="ID174">
        <v>0</v>
      </c>
      <c r="IE174">
        <v>0</v>
      </c>
      <c r="IF174">
        <v>0</v>
      </c>
      <c r="IG174">
        <v>0</v>
      </c>
      <c r="IH174">
        <v>0</v>
      </c>
      <c r="II174">
        <v>0</v>
      </c>
      <c r="IJ174">
        <v>0</v>
      </c>
      <c r="IK174">
        <v>0</v>
      </c>
      <c r="IL174">
        <v>247245</v>
      </c>
      <c r="IM174">
        <v>0</v>
      </c>
      <c r="IN174">
        <v>0</v>
      </c>
      <c r="IO174">
        <v>0</v>
      </c>
      <c r="IP174">
        <v>247245</v>
      </c>
      <c r="IQ174">
        <v>0</v>
      </c>
      <c r="IR174">
        <v>0</v>
      </c>
      <c r="IS174">
        <v>0</v>
      </c>
      <c r="IT174">
        <v>0</v>
      </c>
      <c r="IU174">
        <v>0</v>
      </c>
      <c r="IV174">
        <v>0</v>
      </c>
      <c r="IW174">
        <v>0</v>
      </c>
      <c r="IX174">
        <v>0</v>
      </c>
      <c r="IY174">
        <v>0</v>
      </c>
      <c r="IZ174">
        <v>0</v>
      </c>
      <c r="JA174">
        <v>0</v>
      </c>
      <c r="JB174">
        <v>0</v>
      </c>
      <c r="JC174">
        <v>0</v>
      </c>
      <c r="JD174">
        <v>0</v>
      </c>
      <c r="JE174">
        <v>179</v>
      </c>
      <c r="JF174">
        <v>0</v>
      </c>
      <c r="JG174">
        <v>247424</v>
      </c>
      <c r="JH174">
        <v>0</v>
      </c>
      <c r="JI174">
        <v>167</v>
      </c>
      <c r="JJ174">
        <v>0</v>
      </c>
      <c r="JK174">
        <v>0</v>
      </c>
      <c r="JL174">
        <v>0</v>
      </c>
      <c r="JM174">
        <v>0</v>
      </c>
      <c r="JN174">
        <v>4676</v>
      </c>
      <c r="JO174">
        <v>0</v>
      </c>
      <c r="JP174">
        <v>841</v>
      </c>
      <c r="JQ174">
        <v>0</v>
      </c>
      <c r="JR174">
        <v>253108</v>
      </c>
      <c r="JS174">
        <v>-98</v>
      </c>
      <c r="JT174">
        <v>0</v>
      </c>
      <c r="JU174">
        <v>0</v>
      </c>
      <c r="JV174">
        <v>0</v>
      </c>
      <c r="JW174">
        <v>0</v>
      </c>
      <c r="JX174">
        <v>0</v>
      </c>
      <c r="JY174">
        <v>0</v>
      </c>
      <c r="JZ174">
        <v>0</v>
      </c>
      <c r="KA174">
        <v>0</v>
      </c>
      <c r="KB174">
        <v>0</v>
      </c>
      <c r="KC174">
        <v>253010</v>
      </c>
      <c r="KD174">
        <v>0</v>
      </c>
      <c r="KE174">
        <v>-22429</v>
      </c>
      <c r="KF174">
        <v>230581</v>
      </c>
      <c r="KG174">
        <v>0</v>
      </c>
      <c r="KH174">
        <v>0</v>
      </c>
      <c r="KI174">
        <v>0</v>
      </c>
      <c r="KJ174">
        <v>0</v>
      </c>
      <c r="KK174">
        <v>634</v>
      </c>
      <c r="KL174">
        <v>285</v>
      </c>
      <c r="KM174">
        <v>0</v>
      </c>
      <c r="KN174">
        <v>-134186</v>
      </c>
      <c r="KO174">
        <v>0</v>
      </c>
      <c r="KP174">
        <v>64</v>
      </c>
      <c r="KQ174">
        <v>0</v>
      </c>
      <c r="KR174">
        <v>95937</v>
      </c>
      <c r="KS174">
        <v>0</v>
      </c>
      <c r="KT174">
        <v>0</v>
      </c>
      <c r="KU174">
        <v>0</v>
      </c>
      <c r="KV174">
        <v>15635</v>
      </c>
      <c r="KW174">
        <v>7715</v>
      </c>
      <c r="KX174">
        <v>0</v>
      </c>
      <c r="KY174">
        <v>0</v>
      </c>
      <c r="KZ174">
        <v>0</v>
      </c>
      <c r="LA174">
        <v>16269</v>
      </c>
      <c r="LB174">
        <v>8000</v>
      </c>
      <c r="LC174">
        <v>0</v>
      </c>
      <c r="LD174">
        <v>7025</v>
      </c>
      <c r="LE174">
        <v>553</v>
      </c>
      <c r="LF174">
        <v>0</v>
      </c>
      <c r="LG174">
        <v>187</v>
      </c>
      <c r="LH174">
        <v>167</v>
      </c>
      <c r="LI174">
        <v>7932</v>
      </c>
      <c r="LJ174">
        <v>0</v>
      </c>
      <c r="LK174">
        <v>0</v>
      </c>
      <c r="LL174">
        <v>0</v>
      </c>
      <c r="LM174">
        <v>0</v>
      </c>
      <c r="LN174">
        <v>0</v>
      </c>
      <c r="LO174">
        <v>0</v>
      </c>
      <c r="LP174">
        <v>0</v>
      </c>
      <c r="LQ174">
        <v>0</v>
      </c>
      <c r="LR174">
        <v>0</v>
      </c>
      <c r="LS174">
        <v>0</v>
      </c>
      <c r="LT174">
        <v>0</v>
      </c>
      <c r="LU174">
        <v>0</v>
      </c>
      <c r="LV174">
        <v>0</v>
      </c>
      <c r="LW174">
        <v>0</v>
      </c>
      <c r="LX174">
        <v>0</v>
      </c>
      <c r="LY174">
        <v>0</v>
      </c>
      <c r="LZ174">
        <v>0</v>
      </c>
      <c r="MA174">
        <v>0</v>
      </c>
      <c r="MB174">
        <v>0</v>
      </c>
      <c r="MC174">
        <v>0</v>
      </c>
      <c r="MD174">
        <v>247245</v>
      </c>
      <c r="ME174">
        <v>0</v>
      </c>
      <c r="MF174">
        <v>0</v>
      </c>
      <c r="MG174">
        <v>0</v>
      </c>
      <c r="MH174">
        <v>247245</v>
      </c>
      <c r="MI174">
        <v>0</v>
      </c>
      <c r="MJ174">
        <v>0</v>
      </c>
      <c r="MK174">
        <v>0</v>
      </c>
      <c r="ML174">
        <v>0</v>
      </c>
      <c r="MM174">
        <v>0</v>
      </c>
      <c r="MN174">
        <v>0</v>
      </c>
      <c r="MO174">
        <v>0</v>
      </c>
      <c r="MP174">
        <v>0</v>
      </c>
      <c r="MQ174">
        <v>0</v>
      </c>
      <c r="MR174">
        <v>0</v>
      </c>
      <c r="MS174">
        <v>0</v>
      </c>
      <c r="MT174">
        <v>0</v>
      </c>
      <c r="MU174">
        <v>0</v>
      </c>
      <c r="MV174">
        <v>0</v>
      </c>
      <c r="MW174">
        <v>0</v>
      </c>
      <c r="MX174">
        <v>0</v>
      </c>
      <c r="MY174">
        <v>0</v>
      </c>
      <c r="MZ174">
        <v>0</v>
      </c>
      <c r="NA174">
        <v>0</v>
      </c>
      <c r="NB174">
        <v>0</v>
      </c>
      <c r="NC174">
        <v>0</v>
      </c>
      <c r="ND174">
        <v>0</v>
      </c>
      <c r="NE174">
        <v>0</v>
      </c>
      <c r="NF174">
        <v>0</v>
      </c>
      <c r="NG174">
        <v>0</v>
      </c>
      <c r="NH174">
        <v>0</v>
      </c>
      <c r="NI174">
        <v>0</v>
      </c>
      <c r="NJ174">
        <v>0</v>
      </c>
      <c r="NK174">
        <v>0</v>
      </c>
      <c r="NL174">
        <v>0</v>
      </c>
      <c r="NM174">
        <v>0</v>
      </c>
      <c r="NN174">
        <v>0</v>
      </c>
      <c r="NO174">
        <v>0</v>
      </c>
      <c r="NP174">
        <v>0</v>
      </c>
      <c r="NQ174">
        <v>0</v>
      </c>
      <c r="NR174">
        <v>0</v>
      </c>
      <c r="NS174">
        <v>0</v>
      </c>
      <c r="NT174">
        <v>0</v>
      </c>
      <c r="NU174">
        <v>0</v>
      </c>
      <c r="NV174">
        <v>0</v>
      </c>
      <c r="NW174">
        <v>0</v>
      </c>
      <c r="NX174">
        <v>0</v>
      </c>
      <c r="NY174">
        <v>0</v>
      </c>
      <c r="NZ174">
        <v>0</v>
      </c>
      <c r="OA174">
        <v>0</v>
      </c>
      <c r="OB174">
        <v>0</v>
      </c>
      <c r="OC174">
        <v>0</v>
      </c>
      <c r="OD174">
        <v>0</v>
      </c>
      <c r="OE174">
        <v>0</v>
      </c>
      <c r="OF174">
        <v>0</v>
      </c>
      <c r="OG174">
        <v>0</v>
      </c>
      <c r="OH174">
        <v>0</v>
      </c>
      <c r="OI174">
        <v>0</v>
      </c>
      <c r="OJ174">
        <v>0</v>
      </c>
      <c r="OK174">
        <v>0</v>
      </c>
      <c r="OL174">
        <v>0</v>
      </c>
      <c r="OM174">
        <v>0</v>
      </c>
      <c r="ON174">
        <v>0</v>
      </c>
    </row>
    <row r="175" spans="1:404" x14ac:dyDescent="0.25">
      <c r="A175" t="s">
        <v>590</v>
      </c>
      <c r="B175" t="s">
        <v>591</v>
      </c>
      <c r="C175" t="s">
        <v>589</v>
      </c>
      <c r="E175" t="s">
        <v>61</v>
      </c>
      <c r="F175">
        <v>0</v>
      </c>
      <c r="G175">
        <v>0</v>
      </c>
      <c r="H175">
        <v>0</v>
      </c>
      <c r="I175">
        <v>0</v>
      </c>
      <c r="J175">
        <v>0</v>
      </c>
      <c r="K175">
        <v>0</v>
      </c>
      <c r="L175">
        <v>0</v>
      </c>
      <c r="M175">
        <v>0</v>
      </c>
      <c r="N175">
        <v>0</v>
      </c>
      <c r="O175">
        <v>0</v>
      </c>
      <c r="P175">
        <v>0</v>
      </c>
      <c r="Q175">
        <v>0</v>
      </c>
      <c r="R175">
        <v>0</v>
      </c>
      <c r="S175">
        <v>79</v>
      </c>
      <c r="T175">
        <v>0</v>
      </c>
      <c r="U175">
        <v>0</v>
      </c>
      <c r="V175">
        <v>0</v>
      </c>
      <c r="W175">
        <v>0</v>
      </c>
      <c r="X175">
        <v>0</v>
      </c>
      <c r="Y175">
        <v>0</v>
      </c>
      <c r="Z175">
        <v>-31</v>
      </c>
      <c r="AA175">
        <v>-205</v>
      </c>
      <c r="AB175">
        <v>0</v>
      </c>
      <c r="AC175">
        <v>0</v>
      </c>
      <c r="AD175">
        <v>20</v>
      </c>
      <c r="AE175">
        <v>0</v>
      </c>
      <c r="AF175">
        <v>0</v>
      </c>
      <c r="AG175">
        <v>0</v>
      </c>
      <c r="AH175">
        <v>0</v>
      </c>
      <c r="AI175">
        <v>-137</v>
      </c>
      <c r="AJ175">
        <v>0</v>
      </c>
      <c r="AK175">
        <v>0</v>
      </c>
      <c r="AL175">
        <v>0</v>
      </c>
      <c r="AM175">
        <v>0</v>
      </c>
      <c r="AN175">
        <v>0</v>
      </c>
      <c r="AO175">
        <v>0</v>
      </c>
      <c r="AP175">
        <v>0</v>
      </c>
      <c r="AQ175">
        <v>55</v>
      </c>
      <c r="AR175">
        <v>451</v>
      </c>
      <c r="AS175">
        <v>0</v>
      </c>
      <c r="AT175">
        <v>0</v>
      </c>
      <c r="AU175">
        <v>0</v>
      </c>
      <c r="AV175">
        <v>0</v>
      </c>
      <c r="AW175">
        <v>0</v>
      </c>
      <c r="AX175">
        <v>0</v>
      </c>
      <c r="AY175">
        <v>0</v>
      </c>
      <c r="AZ175">
        <v>0</v>
      </c>
      <c r="BA175">
        <v>0</v>
      </c>
      <c r="BB175">
        <v>0</v>
      </c>
      <c r="BC175">
        <v>0</v>
      </c>
      <c r="BD175">
        <v>0</v>
      </c>
      <c r="BE175">
        <v>0</v>
      </c>
      <c r="BF175">
        <v>0</v>
      </c>
      <c r="BG175">
        <v>0</v>
      </c>
      <c r="BH175">
        <v>0</v>
      </c>
      <c r="BI175">
        <v>0</v>
      </c>
      <c r="BJ175">
        <v>0</v>
      </c>
      <c r="BK175">
        <v>0</v>
      </c>
      <c r="BL175">
        <v>0</v>
      </c>
      <c r="BM175">
        <v>0</v>
      </c>
      <c r="BN175">
        <v>0</v>
      </c>
      <c r="BO175">
        <v>0</v>
      </c>
      <c r="BP175">
        <v>0</v>
      </c>
      <c r="BQ175">
        <v>0</v>
      </c>
      <c r="BR175">
        <v>0</v>
      </c>
      <c r="BS175">
        <v>0</v>
      </c>
      <c r="BT175">
        <v>0</v>
      </c>
      <c r="BU175">
        <v>0</v>
      </c>
      <c r="BV175">
        <v>0</v>
      </c>
      <c r="BW175">
        <v>0</v>
      </c>
      <c r="BX175">
        <v>0</v>
      </c>
      <c r="BY175">
        <v>0</v>
      </c>
      <c r="BZ175">
        <v>0</v>
      </c>
      <c r="CA175">
        <v>0</v>
      </c>
      <c r="CB175">
        <v>0</v>
      </c>
      <c r="CC175">
        <v>0</v>
      </c>
      <c r="CD175">
        <v>0</v>
      </c>
      <c r="CE175">
        <v>0</v>
      </c>
      <c r="CF175">
        <v>0</v>
      </c>
      <c r="CG175">
        <v>0</v>
      </c>
      <c r="CH175">
        <v>0</v>
      </c>
      <c r="CI175">
        <v>0</v>
      </c>
      <c r="CJ175">
        <v>0</v>
      </c>
      <c r="CK175">
        <v>0</v>
      </c>
      <c r="CL175">
        <v>0</v>
      </c>
      <c r="CM175">
        <v>0</v>
      </c>
      <c r="CN175">
        <v>0</v>
      </c>
      <c r="CO175">
        <v>0</v>
      </c>
      <c r="CP175">
        <v>0</v>
      </c>
      <c r="CQ175">
        <v>0</v>
      </c>
      <c r="CR175">
        <v>0</v>
      </c>
      <c r="CS175">
        <v>0</v>
      </c>
      <c r="CT175">
        <v>0</v>
      </c>
      <c r="CU175">
        <v>0</v>
      </c>
      <c r="CV175">
        <v>0</v>
      </c>
      <c r="CW175">
        <v>0</v>
      </c>
      <c r="CX175">
        <v>0</v>
      </c>
      <c r="CY175">
        <v>0</v>
      </c>
      <c r="CZ175">
        <v>0</v>
      </c>
      <c r="DA175">
        <v>0</v>
      </c>
      <c r="DB175">
        <v>0</v>
      </c>
      <c r="DC175">
        <v>902</v>
      </c>
      <c r="DD175">
        <v>0</v>
      </c>
      <c r="DE175">
        <v>185</v>
      </c>
      <c r="DF175">
        <v>35</v>
      </c>
      <c r="DG175">
        <v>0</v>
      </c>
      <c r="DH175">
        <v>0</v>
      </c>
      <c r="DI175">
        <v>0</v>
      </c>
      <c r="DJ175">
        <v>0</v>
      </c>
      <c r="DK175">
        <v>0</v>
      </c>
      <c r="DL175">
        <v>232</v>
      </c>
      <c r="DM175">
        <v>445</v>
      </c>
      <c r="DN175">
        <v>0</v>
      </c>
      <c r="DO175">
        <v>480</v>
      </c>
      <c r="DP175">
        <v>1157</v>
      </c>
      <c r="DQ175">
        <v>0</v>
      </c>
      <c r="DR175">
        <v>0</v>
      </c>
      <c r="DS175">
        <v>0</v>
      </c>
      <c r="DT175">
        <v>519</v>
      </c>
      <c r="DU175">
        <v>-317</v>
      </c>
      <c r="DV175">
        <v>0</v>
      </c>
      <c r="DW175">
        <v>0</v>
      </c>
      <c r="DX175">
        <v>2481</v>
      </c>
      <c r="DY175">
        <v>0</v>
      </c>
      <c r="DZ175">
        <v>0</v>
      </c>
      <c r="EA175">
        <v>0</v>
      </c>
      <c r="EB175">
        <v>0</v>
      </c>
      <c r="EC175">
        <v>0</v>
      </c>
      <c r="ED175">
        <v>0</v>
      </c>
      <c r="EE175">
        <v>0</v>
      </c>
      <c r="EF175">
        <v>0</v>
      </c>
      <c r="EG175">
        <v>0</v>
      </c>
      <c r="EH175">
        <v>0</v>
      </c>
      <c r="EI175">
        <v>0</v>
      </c>
      <c r="EJ175">
        <v>0</v>
      </c>
      <c r="EK175">
        <v>0</v>
      </c>
      <c r="EL175">
        <v>0</v>
      </c>
      <c r="EM175">
        <v>0</v>
      </c>
      <c r="EN175">
        <v>0</v>
      </c>
      <c r="EO175">
        <v>0</v>
      </c>
      <c r="EP175">
        <v>0</v>
      </c>
      <c r="EQ175">
        <v>0</v>
      </c>
      <c r="ER175">
        <v>0</v>
      </c>
      <c r="ES175">
        <v>0</v>
      </c>
      <c r="ET175">
        <v>0</v>
      </c>
      <c r="EU175">
        <v>0</v>
      </c>
      <c r="EV175">
        <v>27</v>
      </c>
      <c r="EW175">
        <v>0</v>
      </c>
      <c r="EX175">
        <v>97</v>
      </c>
      <c r="EY175">
        <v>0</v>
      </c>
      <c r="EZ175">
        <v>68</v>
      </c>
      <c r="FA175">
        <v>0</v>
      </c>
      <c r="FB175">
        <v>145</v>
      </c>
      <c r="FC175">
        <v>-181</v>
      </c>
      <c r="FD175">
        <v>1178</v>
      </c>
      <c r="FE175">
        <v>25</v>
      </c>
      <c r="FF175">
        <v>0</v>
      </c>
      <c r="FG175">
        <v>0</v>
      </c>
      <c r="FH175">
        <v>1359</v>
      </c>
      <c r="FI175">
        <v>7</v>
      </c>
      <c r="FJ175">
        <v>0</v>
      </c>
      <c r="FK175">
        <v>0</v>
      </c>
      <c r="FL175">
        <v>148</v>
      </c>
      <c r="FM175">
        <v>330</v>
      </c>
      <c r="FN175">
        <v>1</v>
      </c>
      <c r="FO175">
        <v>273</v>
      </c>
      <c r="FP175">
        <v>0</v>
      </c>
      <c r="FQ175">
        <v>0</v>
      </c>
      <c r="FR175">
        <v>126</v>
      </c>
      <c r="FS175">
        <v>17</v>
      </c>
      <c r="FT175">
        <v>123</v>
      </c>
      <c r="FU175">
        <v>179</v>
      </c>
      <c r="FV175">
        <v>347</v>
      </c>
      <c r="FW175">
        <v>0</v>
      </c>
      <c r="FX175">
        <v>109</v>
      </c>
      <c r="FY175">
        <v>350</v>
      </c>
      <c r="FZ175">
        <v>0</v>
      </c>
      <c r="GA175">
        <v>0</v>
      </c>
      <c r="GB175">
        <v>0</v>
      </c>
      <c r="GC175">
        <v>0</v>
      </c>
      <c r="GD175">
        <v>1557</v>
      </c>
      <c r="GE175">
        <v>1607</v>
      </c>
      <c r="GF175">
        <v>0</v>
      </c>
      <c r="GG175">
        <v>28</v>
      </c>
      <c r="GH175">
        <v>803</v>
      </c>
      <c r="GI175">
        <v>0</v>
      </c>
      <c r="GJ175">
        <v>0</v>
      </c>
      <c r="GK175">
        <v>6005</v>
      </c>
      <c r="GL175">
        <v>52</v>
      </c>
      <c r="GM175">
        <v>1049</v>
      </c>
      <c r="GN175">
        <v>0</v>
      </c>
      <c r="GO175">
        <v>1290</v>
      </c>
      <c r="GP175">
        <v>0</v>
      </c>
      <c r="GQ175">
        <v>-2936</v>
      </c>
      <c r="GR175">
        <v>0</v>
      </c>
      <c r="GS175">
        <v>0</v>
      </c>
      <c r="GT175">
        <v>172</v>
      </c>
      <c r="GU175">
        <v>-373</v>
      </c>
      <c r="GV175">
        <v>6991</v>
      </c>
      <c r="GW175">
        <v>0</v>
      </c>
      <c r="GX175">
        <v>0</v>
      </c>
      <c r="GY175">
        <v>0</v>
      </c>
      <c r="GZ175">
        <v>0</v>
      </c>
      <c r="HA175">
        <v>0</v>
      </c>
      <c r="HB175">
        <v>3049</v>
      </c>
      <c r="HC175">
        <v>343</v>
      </c>
      <c r="HD175">
        <v>0</v>
      </c>
      <c r="HE175">
        <v>0</v>
      </c>
      <c r="HF175">
        <v>279</v>
      </c>
      <c r="HG175">
        <v>147</v>
      </c>
      <c r="HH175">
        <v>0</v>
      </c>
      <c r="HI175">
        <v>0</v>
      </c>
      <c r="HJ175">
        <v>236</v>
      </c>
      <c r="HK175">
        <v>66</v>
      </c>
      <c r="HL175">
        <v>48</v>
      </c>
      <c r="HM175">
        <v>37</v>
      </c>
      <c r="HN175">
        <v>0</v>
      </c>
      <c r="HO175">
        <v>437</v>
      </c>
      <c r="HP175">
        <v>0</v>
      </c>
      <c r="HQ175">
        <v>0</v>
      </c>
      <c r="HR175">
        <v>0</v>
      </c>
      <c r="HS175">
        <v>0</v>
      </c>
      <c r="HT175">
        <v>0</v>
      </c>
      <c r="HU175">
        <v>622</v>
      </c>
      <c r="HV175">
        <v>5264</v>
      </c>
      <c r="HW175">
        <v>0</v>
      </c>
      <c r="HX175">
        <v>8352</v>
      </c>
      <c r="HY175">
        <v>0</v>
      </c>
      <c r="HZ175">
        <v>0</v>
      </c>
      <c r="IA175">
        <v>0</v>
      </c>
      <c r="IB175">
        <v>0</v>
      </c>
      <c r="IC175">
        <v>0</v>
      </c>
      <c r="ID175">
        <v>-137</v>
      </c>
      <c r="IE175">
        <v>0</v>
      </c>
      <c r="IF175">
        <v>0</v>
      </c>
      <c r="IG175">
        <v>0</v>
      </c>
      <c r="IH175">
        <v>2481</v>
      </c>
      <c r="II175">
        <v>1359</v>
      </c>
      <c r="IJ175">
        <v>6005</v>
      </c>
      <c r="IK175">
        <v>-373</v>
      </c>
      <c r="IL175">
        <v>0</v>
      </c>
      <c r="IM175">
        <v>0</v>
      </c>
      <c r="IN175">
        <v>5264</v>
      </c>
      <c r="IO175">
        <v>0</v>
      </c>
      <c r="IP175">
        <v>14599</v>
      </c>
      <c r="IQ175">
        <v>26782</v>
      </c>
      <c r="IR175">
        <v>0</v>
      </c>
      <c r="IS175">
        <v>0</v>
      </c>
      <c r="IT175">
        <v>0</v>
      </c>
      <c r="IU175">
        <v>0</v>
      </c>
      <c r="IV175">
        <v>1225</v>
      </c>
      <c r="IW175">
        <v>0</v>
      </c>
      <c r="IX175">
        <v>0</v>
      </c>
      <c r="IY175">
        <v>0</v>
      </c>
      <c r="IZ175">
        <v>0</v>
      </c>
      <c r="JA175">
        <v>0</v>
      </c>
      <c r="JB175">
        <v>0</v>
      </c>
      <c r="JC175">
        <v>0</v>
      </c>
      <c r="JD175">
        <v>0</v>
      </c>
      <c r="JE175">
        <v>0</v>
      </c>
      <c r="JF175">
        <v>0</v>
      </c>
      <c r="JG175">
        <v>42606</v>
      </c>
      <c r="JH175">
        <v>0</v>
      </c>
      <c r="JI175">
        <v>946</v>
      </c>
      <c r="JJ175">
        <v>0</v>
      </c>
      <c r="JK175">
        <v>0</v>
      </c>
      <c r="JL175">
        <v>0</v>
      </c>
      <c r="JM175">
        <v>132</v>
      </c>
      <c r="JN175">
        <v>242</v>
      </c>
      <c r="JO175">
        <v>0</v>
      </c>
      <c r="JP175">
        <v>50</v>
      </c>
      <c r="JQ175">
        <v>0</v>
      </c>
      <c r="JR175">
        <v>43976</v>
      </c>
      <c r="JS175">
        <v>-345</v>
      </c>
      <c r="JT175">
        <v>0</v>
      </c>
      <c r="JU175">
        <v>0</v>
      </c>
      <c r="JV175">
        <v>0</v>
      </c>
      <c r="JW175">
        <v>-26881</v>
      </c>
      <c r="JX175">
        <v>0</v>
      </c>
      <c r="JY175">
        <v>-190</v>
      </c>
      <c r="JZ175">
        <v>0</v>
      </c>
      <c r="KA175">
        <v>0</v>
      </c>
      <c r="KB175">
        <v>0</v>
      </c>
      <c r="KC175">
        <v>16560</v>
      </c>
      <c r="KD175">
        <v>0</v>
      </c>
      <c r="KE175">
        <v>-2535</v>
      </c>
      <c r="KF175">
        <v>14025</v>
      </c>
      <c r="KG175">
        <v>0</v>
      </c>
      <c r="KH175">
        <v>0</v>
      </c>
      <c r="KI175">
        <v>0</v>
      </c>
      <c r="KJ175">
        <v>0</v>
      </c>
      <c r="KK175">
        <v>-3781</v>
      </c>
      <c r="KL175">
        <v>53</v>
      </c>
      <c r="KM175">
        <v>0</v>
      </c>
      <c r="KN175">
        <v>0</v>
      </c>
      <c r="KO175">
        <v>-2421</v>
      </c>
      <c r="KP175">
        <v>-163</v>
      </c>
      <c r="KQ175">
        <v>7215</v>
      </c>
      <c r="KR175">
        <v>9072</v>
      </c>
      <c r="KS175">
        <v>0</v>
      </c>
      <c r="KT175">
        <v>0</v>
      </c>
      <c r="KU175">
        <v>0</v>
      </c>
      <c r="KV175">
        <v>35622</v>
      </c>
      <c r="KW175">
        <v>8392</v>
      </c>
      <c r="KX175">
        <v>0</v>
      </c>
      <c r="KY175">
        <v>0</v>
      </c>
      <c r="KZ175">
        <v>0</v>
      </c>
      <c r="LA175">
        <v>31841</v>
      </c>
      <c r="LB175">
        <v>8445</v>
      </c>
      <c r="LC175">
        <v>0</v>
      </c>
      <c r="LD175">
        <v>2422</v>
      </c>
      <c r="LE175">
        <v>0</v>
      </c>
      <c r="LF175">
        <v>-2838</v>
      </c>
      <c r="LG175">
        <v>-10979</v>
      </c>
      <c r="LH175">
        <v>1232</v>
      </c>
      <c r="LI175">
        <v>-11346</v>
      </c>
      <c r="LJ175">
        <v>2736</v>
      </c>
      <c r="LK175">
        <v>4494</v>
      </c>
      <c r="LL175">
        <v>7230</v>
      </c>
      <c r="LM175">
        <v>0</v>
      </c>
      <c r="LN175">
        <v>0</v>
      </c>
      <c r="LO175">
        <v>0</v>
      </c>
      <c r="LP175">
        <v>0</v>
      </c>
      <c r="LQ175">
        <v>0</v>
      </c>
      <c r="LR175">
        <v>0</v>
      </c>
      <c r="LS175">
        <v>0</v>
      </c>
      <c r="LT175">
        <v>0</v>
      </c>
      <c r="LU175">
        <v>0</v>
      </c>
      <c r="LV175">
        <v>-137</v>
      </c>
      <c r="LW175">
        <v>0</v>
      </c>
      <c r="LX175">
        <v>0</v>
      </c>
      <c r="LY175">
        <v>0</v>
      </c>
      <c r="LZ175">
        <v>2481</v>
      </c>
      <c r="MA175">
        <v>1359</v>
      </c>
      <c r="MB175">
        <v>6005</v>
      </c>
      <c r="MC175">
        <v>-373</v>
      </c>
      <c r="MD175">
        <v>0</v>
      </c>
      <c r="ME175">
        <v>0</v>
      </c>
      <c r="MF175">
        <v>5264</v>
      </c>
      <c r="MG175">
        <v>0</v>
      </c>
      <c r="MH175">
        <v>14599</v>
      </c>
      <c r="MI175">
        <v>0</v>
      </c>
      <c r="MJ175">
        <v>0</v>
      </c>
      <c r="MK175">
        <v>0</v>
      </c>
      <c r="ML175">
        <v>0</v>
      </c>
      <c r="MM175">
        <v>0</v>
      </c>
      <c r="MN175">
        <v>0</v>
      </c>
      <c r="MO175">
        <v>0</v>
      </c>
      <c r="MP175">
        <v>0</v>
      </c>
      <c r="MQ175">
        <v>0</v>
      </c>
      <c r="MR175">
        <v>0</v>
      </c>
      <c r="MS175">
        <v>0</v>
      </c>
      <c r="MT175">
        <v>0</v>
      </c>
      <c r="MU175">
        <v>0</v>
      </c>
      <c r="MV175">
        <v>0</v>
      </c>
      <c r="MW175">
        <v>0</v>
      </c>
      <c r="MX175">
        <v>0</v>
      </c>
      <c r="MY175">
        <v>0</v>
      </c>
      <c r="MZ175">
        <v>0</v>
      </c>
      <c r="NA175">
        <v>0</v>
      </c>
      <c r="NB175">
        <v>0</v>
      </c>
      <c r="NC175">
        <v>0</v>
      </c>
      <c r="ND175">
        <v>0</v>
      </c>
      <c r="NE175">
        <v>0</v>
      </c>
      <c r="NF175">
        <v>0</v>
      </c>
      <c r="NG175">
        <v>0</v>
      </c>
      <c r="NH175">
        <v>0</v>
      </c>
      <c r="NI175">
        <v>0</v>
      </c>
      <c r="NJ175">
        <v>0</v>
      </c>
      <c r="NK175">
        <v>0</v>
      </c>
      <c r="NL175">
        <v>0</v>
      </c>
      <c r="NM175">
        <v>0</v>
      </c>
      <c r="NN175">
        <v>0</v>
      </c>
      <c r="NO175">
        <v>0</v>
      </c>
      <c r="NP175">
        <v>0</v>
      </c>
      <c r="NQ175">
        <v>0</v>
      </c>
      <c r="NR175">
        <v>0</v>
      </c>
      <c r="NS175">
        <v>0</v>
      </c>
      <c r="NT175">
        <v>0</v>
      </c>
      <c r="NU175">
        <v>0</v>
      </c>
      <c r="NV175">
        <v>0</v>
      </c>
      <c r="NW175">
        <v>0</v>
      </c>
      <c r="NX175">
        <v>0</v>
      </c>
      <c r="NY175">
        <v>0</v>
      </c>
      <c r="NZ175">
        <v>0</v>
      </c>
      <c r="OA175">
        <v>0</v>
      </c>
      <c r="OB175">
        <v>0</v>
      </c>
      <c r="OC175">
        <v>0</v>
      </c>
      <c r="OD175">
        <v>0</v>
      </c>
      <c r="OE175">
        <v>0</v>
      </c>
      <c r="OF175">
        <v>0</v>
      </c>
      <c r="OG175">
        <v>0</v>
      </c>
      <c r="OH175">
        <v>0</v>
      </c>
      <c r="OI175">
        <v>0</v>
      </c>
      <c r="OJ175">
        <v>0</v>
      </c>
      <c r="OK175">
        <v>0</v>
      </c>
      <c r="OL175">
        <v>0</v>
      </c>
      <c r="OM175">
        <v>0</v>
      </c>
      <c r="ON175">
        <v>0</v>
      </c>
    </row>
    <row r="176" spans="1:404" x14ac:dyDescent="0.25">
      <c r="A176" t="s">
        <v>593</v>
      </c>
      <c r="B176" t="s">
        <v>594</v>
      </c>
      <c r="C176" t="s">
        <v>592</v>
      </c>
      <c r="E176" t="s">
        <v>61</v>
      </c>
      <c r="F176">
        <v>0</v>
      </c>
      <c r="G176">
        <v>0</v>
      </c>
      <c r="H176">
        <v>0</v>
      </c>
      <c r="I176">
        <v>0</v>
      </c>
      <c r="J176">
        <v>0</v>
      </c>
      <c r="K176">
        <v>0</v>
      </c>
      <c r="L176">
        <v>0</v>
      </c>
      <c r="M176">
        <v>-12</v>
      </c>
      <c r="N176">
        <v>0</v>
      </c>
      <c r="O176">
        <v>0</v>
      </c>
      <c r="P176">
        <v>0</v>
      </c>
      <c r="Q176">
        <v>0</v>
      </c>
      <c r="R176">
        <v>0</v>
      </c>
      <c r="S176">
        <v>0</v>
      </c>
      <c r="T176">
        <v>0</v>
      </c>
      <c r="U176">
        <v>0</v>
      </c>
      <c r="V176">
        <v>0</v>
      </c>
      <c r="W176">
        <v>0</v>
      </c>
      <c r="X176">
        <v>0</v>
      </c>
      <c r="Y176">
        <v>0</v>
      </c>
      <c r="Z176">
        <v>3</v>
      </c>
      <c r="AA176">
        <v>-786</v>
      </c>
      <c r="AB176">
        <v>0</v>
      </c>
      <c r="AC176">
        <v>0</v>
      </c>
      <c r="AD176">
        <v>0</v>
      </c>
      <c r="AE176">
        <v>0</v>
      </c>
      <c r="AF176">
        <v>0</v>
      </c>
      <c r="AG176">
        <v>0</v>
      </c>
      <c r="AH176">
        <v>0</v>
      </c>
      <c r="AI176">
        <v>-795</v>
      </c>
      <c r="AJ176">
        <v>0</v>
      </c>
      <c r="AK176">
        <v>0</v>
      </c>
      <c r="AL176">
        <v>0</v>
      </c>
      <c r="AM176">
        <v>0</v>
      </c>
      <c r="AN176">
        <v>0</v>
      </c>
      <c r="AO176">
        <v>0</v>
      </c>
      <c r="AP176">
        <v>0</v>
      </c>
      <c r="AQ176">
        <v>0</v>
      </c>
      <c r="AR176">
        <v>74</v>
      </c>
      <c r="AS176">
        <v>0</v>
      </c>
      <c r="AT176">
        <v>0</v>
      </c>
      <c r="AU176">
        <v>0</v>
      </c>
      <c r="AV176">
        <v>0</v>
      </c>
      <c r="AW176">
        <v>0</v>
      </c>
      <c r="AX176">
        <v>0</v>
      </c>
      <c r="AY176">
        <v>0</v>
      </c>
      <c r="AZ176">
        <v>0</v>
      </c>
      <c r="BA176">
        <v>0</v>
      </c>
      <c r="BB176">
        <v>0</v>
      </c>
      <c r="BC176">
        <v>0</v>
      </c>
      <c r="BD176">
        <v>0</v>
      </c>
      <c r="BE176">
        <v>0</v>
      </c>
      <c r="BF176">
        <v>0</v>
      </c>
      <c r="BG176">
        <v>0</v>
      </c>
      <c r="BH176">
        <v>0</v>
      </c>
      <c r="BI176">
        <v>0</v>
      </c>
      <c r="BJ176">
        <v>0</v>
      </c>
      <c r="BK176">
        <v>0</v>
      </c>
      <c r="BL176">
        <v>0</v>
      </c>
      <c r="BM176">
        <v>0</v>
      </c>
      <c r="BN176">
        <v>0</v>
      </c>
      <c r="BO176">
        <v>0</v>
      </c>
      <c r="BP176">
        <v>0</v>
      </c>
      <c r="BQ176">
        <v>0</v>
      </c>
      <c r="BR176">
        <v>0</v>
      </c>
      <c r="BS176">
        <v>0</v>
      </c>
      <c r="BT176">
        <v>0</v>
      </c>
      <c r="BU176">
        <v>0</v>
      </c>
      <c r="BV176">
        <v>0</v>
      </c>
      <c r="BW176">
        <v>0</v>
      </c>
      <c r="BX176">
        <v>0</v>
      </c>
      <c r="BY176">
        <v>0</v>
      </c>
      <c r="BZ176">
        <v>0</v>
      </c>
      <c r="CA176">
        <v>0</v>
      </c>
      <c r="CB176">
        <v>0</v>
      </c>
      <c r="CC176">
        <v>0</v>
      </c>
      <c r="CD176">
        <v>0</v>
      </c>
      <c r="CE176">
        <v>0</v>
      </c>
      <c r="CF176">
        <v>0</v>
      </c>
      <c r="CG176">
        <v>0</v>
      </c>
      <c r="CH176">
        <v>0</v>
      </c>
      <c r="CI176">
        <v>0</v>
      </c>
      <c r="CJ176">
        <v>0</v>
      </c>
      <c r="CK176">
        <v>0</v>
      </c>
      <c r="CL176">
        <v>0</v>
      </c>
      <c r="CM176">
        <v>0</v>
      </c>
      <c r="CN176">
        <v>0</v>
      </c>
      <c r="CO176">
        <v>0</v>
      </c>
      <c r="CP176">
        <v>0</v>
      </c>
      <c r="CQ176">
        <v>0</v>
      </c>
      <c r="CR176">
        <v>0</v>
      </c>
      <c r="CS176">
        <v>0</v>
      </c>
      <c r="CT176">
        <v>0</v>
      </c>
      <c r="CU176">
        <v>0</v>
      </c>
      <c r="CV176">
        <v>0</v>
      </c>
      <c r="CW176">
        <v>0</v>
      </c>
      <c r="CX176">
        <v>0</v>
      </c>
      <c r="CY176">
        <v>0</v>
      </c>
      <c r="CZ176">
        <v>0</v>
      </c>
      <c r="DA176">
        <v>0</v>
      </c>
      <c r="DB176">
        <v>0</v>
      </c>
      <c r="DC176">
        <v>112</v>
      </c>
      <c r="DD176">
        <v>0</v>
      </c>
      <c r="DE176">
        <v>54</v>
      </c>
      <c r="DF176">
        <v>0</v>
      </c>
      <c r="DG176">
        <v>0</v>
      </c>
      <c r="DH176">
        <v>0</v>
      </c>
      <c r="DI176">
        <v>40</v>
      </c>
      <c r="DJ176">
        <v>42</v>
      </c>
      <c r="DK176">
        <v>0</v>
      </c>
      <c r="DL176">
        <v>0</v>
      </c>
      <c r="DM176">
        <v>0</v>
      </c>
      <c r="DN176">
        <v>230</v>
      </c>
      <c r="DO176">
        <v>-5</v>
      </c>
      <c r="DP176">
        <v>307</v>
      </c>
      <c r="DQ176">
        <v>0</v>
      </c>
      <c r="DR176">
        <v>0</v>
      </c>
      <c r="DS176">
        <v>0</v>
      </c>
      <c r="DT176">
        <v>560</v>
      </c>
      <c r="DU176">
        <v>0</v>
      </c>
      <c r="DV176">
        <v>-82</v>
      </c>
      <c r="DW176">
        <v>0</v>
      </c>
      <c r="DX176">
        <v>951</v>
      </c>
      <c r="DY176">
        <v>14484</v>
      </c>
      <c r="DZ176">
        <v>251</v>
      </c>
      <c r="EA176">
        <v>384</v>
      </c>
      <c r="EB176">
        <v>142</v>
      </c>
      <c r="EC176">
        <v>0</v>
      </c>
      <c r="ED176">
        <v>17</v>
      </c>
      <c r="EE176">
        <v>0</v>
      </c>
      <c r="EF176">
        <v>0</v>
      </c>
      <c r="EG176">
        <v>0</v>
      </c>
      <c r="EH176">
        <v>4678</v>
      </c>
      <c r="EI176">
        <v>2150</v>
      </c>
      <c r="EJ176">
        <v>0</v>
      </c>
      <c r="EK176">
        <v>147</v>
      </c>
      <c r="EL176">
        <v>1750</v>
      </c>
      <c r="EM176">
        <v>694</v>
      </c>
      <c r="EN176">
        <v>3856</v>
      </c>
      <c r="EO176">
        <v>54</v>
      </c>
      <c r="EP176">
        <v>845</v>
      </c>
      <c r="EQ176">
        <v>2522</v>
      </c>
      <c r="ER176">
        <v>22</v>
      </c>
      <c r="ES176">
        <v>17799</v>
      </c>
      <c r="ET176">
        <v>16359</v>
      </c>
      <c r="EU176">
        <v>0</v>
      </c>
      <c r="EV176">
        <v>0</v>
      </c>
      <c r="EW176">
        <v>40</v>
      </c>
      <c r="EX176">
        <v>89</v>
      </c>
      <c r="EY176">
        <v>532</v>
      </c>
      <c r="EZ176">
        <v>0</v>
      </c>
      <c r="FA176">
        <v>0</v>
      </c>
      <c r="FB176">
        <v>-25</v>
      </c>
      <c r="FC176">
        <v>410</v>
      </c>
      <c r="FD176">
        <v>606</v>
      </c>
      <c r="FE176">
        <v>12</v>
      </c>
      <c r="FF176">
        <v>39</v>
      </c>
      <c r="FG176">
        <v>0</v>
      </c>
      <c r="FH176">
        <v>1703</v>
      </c>
      <c r="FI176">
        <v>7</v>
      </c>
      <c r="FJ176">
        <v>0</v>
      </c>
      <c r="FK176">
        <v>0</v>
      </c>
      <c r="FL176">
        <v>0</v>
      </c>
      <c r="FM176">
        <v>115</v>
      </c>
      <c r="FN176">
        <v>0</v>
      </c>
      <c r="FO176">
        <v>163</v>
      </c>
      <c r="FP176">
        <v>0</v>
      </c>
      <c r="FQ176">
        <v>0</v>
      </c>
      <c r="FR176">
        <v>53</v>
      </c>
      <c r="FS176">
        <v>298</v>
      </c>
      <c r="FT176">
        <v>84</v>
      </c>
      <c r="FU176">
        <v>-94</v>
      </c>
      <c r="FV176">
        <v>0</v>
      </c>
      <c r="FW176">
        <v>90</v>
      </c>
      <c r="FX176">
        <v>101</v>
      </c>
      <c r="FY176">
        <v>0</v>
      </c>
      <c r="FZ176">
        <v>0</v>
      </c>
      <c r="GA176">
        <v>0</v>
      </c>
      <c r="GB176">
        <v>0</v>
      </c>
      <c r="GC176">
        <v>0</v>
      </c>
      <c r="GD176">
        <v>571</v>
      </c>
      <c r="GE176">
        <v>690</v>
      </c>
      <c r="GF176">
        <v>0</v>
      </c>
      <c r="GG176">
        <v>-232</v>
      </c>
      <c r="GH176">
        <v>1210</v>
      </c>
      <c r="GI176">
        <v>0</v>
      </c>
      <c r="GJ176">
        <v>0</v>
      </c>
      <c r="GK176">
        <v>3056</v>
      </c>
      <c r="GL176">
        <v>95</v>
      </c>
      <c r="GM176">
        <v>510</v>
      </c>
      <c r="GN176">
        <v>44</v>
      </c>
      <c r="GO176">
        <v>332</v>
      </c>
      <c r="GP176">
        <v>40</v>
      </c>
      <c r="GQ176">
        <v>389</v>
      </c>
      <c r="GR176">
        <v>0</v>
      </c>
      <c r="GS176">
        <v>0</v>
      </c>
      <c r="GT176">
        <v>233</v>
      </c>
      <c r="GU176">
        <v>1643</v>
      </c>
      <c r="GV176">
        <v>6402</v>
      </c>
      <c r="GW176">
        <v>0</v>
      </c>
      <c r="GX176">
        <v>0</v>
      </c>
      <c r="GY176">
        <v>0</v>
      </c>
      <c r="GZ176">
        <v>0</v>
      </c>
      <c r="HA176">
        <v>0</v>
      </c>
      <c r="HB176">
        <v>520</v>
      </c>
      <c r="HC176">
        <v>263</v>
      </c>
      <c r="HD176">
        <v>0</v>
      </c>
      <c r="HE176">
        <v>0</v>
      </c>
      <c r="HF176">
        <v>0</v>
      </c>
      <c r="HG176">
        <v>0</v>
      </c>
      <c r="HH176">
        <v>0</v>
      </c>
      <c r="HI176">
        <v>0</v>
      </c>
      <c r="HJ176">
        <v>225</v>
      </c>
      <c r="HK176">
        <v>3</v>
      </c>
      <c r="HL176">
        <v>47</v>
      </c>
      <c r="HM176">
        <v>-14</v>
      </c>
      <c r="HN176">
        <v>0</v>
      </c>
      <c r="HO176">
        <v>0</v>
      </c>
      <c r="HP176">
        <v>0</v>
      </c>
      <c r="HQ176">
        <v>0</v>
      </c>
      <c r="HR176">
        <v>1926</v>
      </c>
      <c r="HS176">
        <v>0</v>
      </c>
      <c r="HT176">
        <v>0</v>
      </c>
      <c r="HU176">
        <v>415</v>
      </c>
      <c r="HV176">
        <v>3385</v>
      </c>
      <c r="HW176">
        <v>1425</v>
      </c>
      <c r="HX176">
        <v>2830</v>
      </c>
      <c r="HY176">
        <v>0</v>
      </c>
      <c r="HZ176">
        <v>0</v>
      </c>
      <c r="IA176">
        <v>0</v>
      </c>
      <c r="IB176">
        <v>0</v>
      </c>
      <c r="IC176">
        <v>0</v>
      </c>
      <c r="ID176">
        <v>-795</v>
      </c>
      <c r="IE176">
        <v>0</v>
      </c>
      <c r="IF176">
        <v>0</v>
      </c>
      <c r="IG176">
        <v>0</v>
      </c>
      <c r="IH176">
        <v>951</v>
      </c>
      <c r="II176">
        <v>1703</v>
      </c>
      <c r="IJ176">
        <v>3056</v>
      </c>
      <c r="IK176">
        <v>1643</v>
      </c>
      <c r="IL176">
        <v>0</v>
      </c>
      <c r="IM176">
        <v>0</v>
      </c>
      <c r="IN176">
        <v>3385</v>
      </c>
      <c r="IO176">
        <v>0</v>
      </c>
      <c r="IP176">
        <v>9943</v>
      </c>
      <c r="IQ176">
        <v>9167</v>
      </c>
      <c r="IR176">
        <v>0</v>
      </c>
      <c r="IS176">
        <v>5512</v>
      </c>
      <c r="IT176">
        <v>0</v>
      </c>
      <c r="IU176">
        <v>0</v>
      </c>
      <c r="IV176">
        <v>687</v>
      </c>
      <c r="IW176">
        <v>0</v>
      </c>
      <c r="IX176">
        <v>0</v>
      </c>
      <c r="IY176">
        <v>0</v>
      </c>
      <c r="IZ176">
        <v>0</v>
      </c>
      <c r="JA176">
        <v>0</v>
      </c>
      <c r="JB176">
        <v>0</v>
      </c>
      <c r="JC176">
        <v>0</v>
      </c>
      <c r="JD176">
        <v>0</v>
      </c>
      <c r="JE176">
        <v>32</v>
      </c>
      <c r="JF176">
        <v>0</v>
      </c>
      <c r="JG176">
        <v>25341</v>
      </c>
      <c r="JH176">
        <v>0</v>
      </c>
      <c r="JI176">
        <v>0</v>
      </c>
      <c r="JJ176">
        <v>0</v>
      </c>
      <c r="JK176">
        <v>0</v>
      </c>
      <c r="JL176">
        <v>0</v>
      </c>
      <c r="JM176">
        <v>0</v>
      </c>
      <c r="JN176">
        <v>836</v>
      </c>
      <c r="JO176">
        <v>0</v>
      </c>
      <c r="JP176">
        <v>868</v>
      </c>
      <c r="JQ176">
        <v>0</v>
      </c>
      <c r="JR176">
        <v>27045</v>
      </c>
      <c r="JS176">
        <v>-53</v>
      </c>
      <c r="JT176">
        <v>0</v>
      </c>
      <c r="JU176">
        <v>58</v>
      </c>
      <c r="JV176">
        <v>0</v>
      </c>
      <c r="JW176">
        <v>-14373</v>
      </c>
      <c r="JX176">
        <v>0</v>
      </c>
      <c r="JY176">
        <v>0</v>
      </c>
      <c r="JZ176">
        <v>0</v>
      </c>
      <c r="KA176">
        <v>0</v>
      </c>
      <c r="KB176">
        <v>0</v>
      </c>
      <c r="KC176">
        <v>12677</v>
      </c>
      <c r="KD176">
        <v>0</v>
      </c>
      <c r="KE176">
        <v>-1068</v>
      </c>
      <c r="KF176">
        <v>11609</v>
      </c>
      <c r="KG176">
        <v>0</v>
      </c>
      <c r="KH176">
        <v>0</v>
      </c>
      <c r="KI176">
        <v>0</v>
      </c>
      <c r="KJ176">
        <v>0</v>
      </c>
      <c r="KK176">
        <v>2093</v>
      </c>
      <c r="KL176">
        <v>-2506</v>
      </c>
      <c r="KM176">
        <v>0</v>
      </c>
      <c r="KN176">
        <v>0</v>
      </c>
      <c r="KO176">
        <v>-3710</v>
      </c>
      <c r="KP176">
        <v>2197</v>
      </c>
      <c r="KQ176">
        <v>0</v>
      </c>
      <c r="KR176">
        <v>6881</v>
      </c>
      <c r="KS176">
        <v>0</v>
      </c>
      <c r="KT176">
        <v>0</v>
      </c>
      <c r="KU176">
        <v>0</v>
      </c>
      <c r="KV176">
        <v>7709</v>
      </c>
      <c r="KW176">
        <v>4082</v>
      </c>
      <c r="KX176">
        <v>0</v>
      </c>
      <c r="KY176">
        <v>0</v>
      </c>
      <c r="KZ176">
        <v>0</v>
      </c>
      <c r="LA176">
        <v>9802</v>
      </c>
      <c r="LB176">
        <v>1576</v>
      </c>
      <c r="LC176">
        <v>0</v>
      </c>
      <c r="LD176">
        <v>2564</v>
      </c>
      <c r="LE176">
        <v>0</v>
      </c>
      <c r="LF176">
        <v>-1068</v>
      </c>
      <c r="LG176">
        <v>-966</v>
      </c>
      <c r="LH176">
        <v>866</v>
      </c>
      <c r="LI176">
        <v>1396</v>
      </c>
      <c r="LJ176">
        <v>2215</v>
      </c>
      <c r="LK176">
        <v>3603</v>
      </c>
      <c r="LL176">
        <v>5818</v>
      </c>
      <c r="LM176">
        <v>51</v>
      </c>
      <c r="LN176">
        <v>0</v>
      </c>
      <c r="LO176">
        <v>0</v>
      </c>
      <c r="LP176">
        <v>15278</v>
      </c>
      <c r="LQ176">
        <v>16718</v>
      </c>
      <c r="LR176">
        <v>-1440</v>
      </c>
      <c r="LS176">
        <v>17799</v>
      </c>
      <c r="LT176">
        <v>16359</v>
      </c>
      <c r="LU176">
        <v>0</v>
      </c>
      <c r="LV176">
        <v>-795</v>
      </c>
      <c r="LW176">
        <v>0</v>
      </c>
      <c r="LX176">
        <v>0</v>
      </c>
      <c r="LY176">
        <v>0</v>
      </c>
      <c r="LZ176">
        <v>951</v>
      </c>
      <c r="MA176">
        <v>1703</v>
      </c>
      <c r="MB176">
        <v>3056</v>
      </c>
      <c r="MC176">
        <v>1643</v>
      </c>
      <c r="MD176">
        <v>0</v>
      </c>
      <c r="ME176">
        <v>0</v>
      </c>
      <c r="MF176">
        <v>3385</v>
      </c>
      <c r="MG176">
        <v>0</v>
      </c>
      <c r="MH176">
        <v>9943</v>
      </c>
      <c r="MI176">
        <v>0</v>
      </c>
      <c r="MJ176">
        <v>0</v>
      </c>
      <c r="MK176">
        <v>0</v>
      </c>
      <c r="ML176">
        <v>0</v>
      </c>
      <c r="MM176">
        <v>0</v>
      </c>
      <c r="MN176">
        <v>0</v>
      </c>
      <c r="MO176">
        <v>0</v>
      </c>
      <c r="MP176">
        <v>0</v>
      </c>
      <c r="MQ176">
        <v>0</v>
      </c>
      <c r="MR176">
        <v>0</v>
      </c>
      <c r="MS176">
        <v>0</v>
      </c>
      <c r="MT176">
        <v>0</v>
      </c>
      <c r="MU176">
        <v>0</v>
      </c>
      <c r="MV176">
        <v>0</v>
      </c>
      <c r="MW176">
        <v>0</v>
      </c>
      <c r="MX176">
        <v>0</v>
      </c>
      <c r="MY176">
        <v>0</v>
      </c>
      <c r="MZ176">
        <v>0</v>
      </c>
      <c r="NA176">
        <v>0</v>
      </c>
      <c r="NB176">
        <v>0</v>
      </c>
      <c r="NC176">
        <v>0</v>
      </c>
      <c r="ND176">
        <v>0</v>
      </c>
      <c r="NE176">
        <v>0</v>
      </c>
      <c r="NF176">
        <v>0</v>
      </c>
      <c r="NG176">
        <v>0</v>
      </c>
      <c r="NH176">
        <v>0</v>
      </c>
      <c r="NI176">
        <v>0</v>
      </c>
      <c r="NJ176">
        <v>0</v>
      </c>
      <c r="NK176">
        <v>0</v>
      </c>
      <c r="NL176">
        <v>0</v>
      </c>
      <c r="NM176">
        <v>0</v>
      </c>
      <c r="NN176">
        <v>0</v>
      </c>
      <c r="NO176">
        <v>0</v>
      </c>
      <c r="NP176">
        <v>0</v>
      </c>
      <c r="NQ176">
        <v>0</v>
      </c>
      <c r="NR176">
        <v>0</v>
      </c>
      <c r="NS176">
        <v>0</v>
      </c>
      <c r="NT176">
        <v>0</v>
      </c>
      <c r="NU176">
        <v>0</v>
      </c>
      <c r="NV176">
        <v>0</v>
      </c>
      <c r="NW176">
        <v>0</v>
      </c>
      <c r="NX176">
        <v>0</v>
      </c>
      <c r="NY176">
        <v>0</v>
      </c>
      <c r="NZ176">
        <v>0</v>
      </c>
      <c r="OA176">
        <v>0</v>
      </c>
      <c r="OB176">
        <v>0</v>
      </c>
      <c r="OC176">
        <v>0</v>
      </c>
      <c r="OD176">
        <v>0</v>
      </c>
      <c r="OE176">
        <v>0</v>
      </c>
      <c r="OF176">
        <v>0</v>
      </c>
      <c r="OG176">
        <v>0</v>
      </c>
      <c r="OH176">
        <v>0</v>
      </c>
      <c r="OI176">
        <v>0</v>
      </c>
      <c r="OJ176">
        <v>0</v>
      </c>
      <c r="OK176">
        <v>0</v>
      </c>
      <c r="OL176">
        <v>0</v>
      </c>
      <c r="OM176">
        <v>0</v>
      </c>
      <c r="ON176">
        <v>0</v>
      </c>
    </row>
    <row r="177" spans="1:404" x14ac:dyDescent="0.25">
      <c r="A177" t="s">
        <v>596</v>
      </c>
      <c r="B177" t="s">
        <v>597</v>
      </c>
      <c r="C177" t="s">
        <v>595</v>
      </c>
      <c r="E177" t="s">
        <v>1940</v>
      </c>
      <c r="F177">
        <v>22758</v>
      </c>
      <c r="G177">
        <v>107786</v>
      </c>
      <c r="H177">
        <v>13306</v>
      </c>
      <c r="I177">
        <v>38644</v>
      </c>
      <c r="J177">
        <v>1752</v>
      </c>
      <c r="K177">
        <v>21765</v>
      </c>
      <c r="L177">
        <v>206011</v>
      </c>
      <c r="M177">
        <v>0</v>
      </c>
      <c r="N177">
        <v>514</v>
      </c>
      <c r="O177">
        <v>2936</v>
      </c>
      <c r="P177">
        <v>-6</v>
      </c>
      <c r="Q177">
        <v>115</v>
      </c>
      <c r="R177">
        <v>0</v>
      </c>
      <c r="S177">
        <v>950</v>
      </c>
      <c r="T177">
        <v>236</v>
      </c>
      <c r="U177">
        <v>1225</v>
      </c>
      <c r="V177">
        <v>0</v>
      </c>
      <c r="W177">
        <v>0</v>
      </c>
      <c r="X177">
        <v>457</v>
      </c>
      <c r="Y177">
        <v>2240</v>
      </c>
      <c r="Z177">
        <v>-3208</v>
      </c>
      <c r="AA177">
        <v>65</v>
      </c>
      <c r="AB177">
        <v>7138</v>
      </c>
      <c r="AC177">
        <v>0</v>
      </c>
      <c r="AD177">
        <v>0</v>
      </c>
      <c r="AE177">
        <v>0</v>
      </c>
      <c r="AF177">
        <v>0</v>
      </c>
      <c r="AG177">
        <v>0</v>
      </c>
      <c r="AH177">
        <v>0</v>
      </c>
      <c r="AI177">
        <v>12662</v>
      </c>
      <c r="AJ177">
        <v>0</v>
      </c>
      <c r="AK177">
        <v>0</v>
      </c>
      <c r="AL177">
        <v>0</v>
      </c>
      <c r="AM177">
        <v>0</v>
      </c>
      <c r="AN177">
        <v>0</v>
      </c>
      <c r="AO177">
        <v>0</v>
      </c>
      <c r="AP177">
        <v>0</v>
      </c>
      <c r="AQ177">
        <v>3784</v>
      </c>
      <c r="AR177">
        <v>1567</v>
      </c>
      <c r="AS177">
        <v>0</v>
      </c>
      <c r="AT177">
        <v>0</v>
      </c>
      <c r="AU177">
        <v>0</v>
      </c>
      <c r="AV177">
        <v>3347</v>
      </c>
      <c r="AW177">
        <v>31968</v>
      </c>
      <c r="AX177">
        <v>120</v>
      </c>
      <c r="AY177">
        <v>5266</v>
      </c>
      <c r="AZ177">
        <v>1273</v>
      </c>
      <c r="BA177">
        <v>19072</v>
      </c>
      <c r="BB177">
        <v>1770</v>
      </c>
      <c r="BC177">
        <v>2924</v>
      </c>
      <c r="BD177">
        <v>65740</v>
      </c>
      <c r="BE177">
        <v>6584</v>
      </c>
      <c r="BF177">
        <v>9048</v>
      </c>
      <c r="BG177">
        <v>94</v>
      </c>
      <c r="BH177">
        <v>6</v>
      </c>
      <c r="BI177">
        <v>837</v>
      </c>
      <c r="BJ177">
        <v>6986</v>
      </c>
      <c r="BK177">
        <v>29592</v>
      </c>
      <c r="BL177">
        <v>3079</v>
      </c>
      <c r="BM177">
        <v>6656</v>
      </c>
      <c r="BN177">
        <v>1789</v>
      </c>
      <c r="BO177">
        <v>3</v>
      </c>
      <c r="BP177">
        <v>0</v>
      </c>
      <c r="BQ177">
        <v>0</v>
      </c>
      <c r="BR177">
        <v>299</v>
      </c>
      <c r="BS177">
        <v>113</v>
      </c>
      <c r="BT177">
        <v>9323</v>
      </c>
      <c r="BU177">
        <v>473</v>
      </c>
      <c r="BV177">
        <v>9197</v>
      </c>
      <c r="BW177">
        <v>84079</v>
      </c>
      <c r="BX177">
        <v>2666</v>
      </c>
      <c r="BY177">
        <v>867</v>
      </c>
      <c r="BZ177">
        <v>0</v>
      </c>
      <c r="CA177">
        <v>186</v>
      </c>
      <c r="CB177">
        <v>353</v>
      </c>
      <c r="CC177">
        <v>262</v>
      </c>
      <c r="CD177">
        <v>0</v>
      </c>
      <c r="CE177">
        <v>36</v>
      </c>
      <c r="CF177">
        <v>0</v>
      </c>
      <c r="CG177">
        <v>277</v>
      </c>
      <c r="CH177">
        <v>0</v>
      </c>
      <c r="CI177">
        <v>638</v>
      </c>
      <c r="CJ177">
        <v>533</v>
      </c>
      <c r="CK177">
        <v>586</v>
      </c>
      <c r="CL177">
        <v>560</v>
      </c>
      <c r="CM177">
        <v>987</v>
      </c>
      <c r="CN177">
        <v>175</v>
      </c>
      <c r="CO177">
        <v>0</v>
      </c>
      <c r="CP177">
        <v>608</v>
      </c>
      <c r="CQ177">
        <v>3866</v>
      </c>
      <c r="CR177">
        <v>1107</v>
      </c>
      <c r="CS177">
        <v>48</v>
      </c>
      <c r="CT177">
        <v>1316</v>
      </c>
      <c r="CU177">
        <v>2759</v>
      </c>
      <c r="CV177">
        <v>23334</v>
      </c>
      <c r="CW177">
        <v>0</v>
      </c>
      <c r="CX177">
        <v>0</v>
      </c>
      <c r="CY177">
        <v>0</v>
      </c>
      <c r="CZ177">
        <v>0</v>
      </c>
      <c r="DA177">
        <v>0</v>
      </c>
      <c r="DB177">
        <v>0</v>
      </c>
      <c r="DC177">
        <v>552</v>
      </c>
      <c r="DD177">
        <v>0</v>
      </c>
      <c r="DE177">
        <v>152</v>
      </c>
      <c r="DF177">
        <v>7</v>
      </c>
      <c r="DG177">
        <v>0</v>
      </c>
      <c r="DH177">
        <v>0</v>
      </c>
      <c r="DI177">
        <v>0</v>
      </c>
      <c r="DJ177">
        <v>1550</v>
      </c>
      <c r="DK177">
        <v>0</v>
      </c>
      <c r="DL177">
        <v>308</v>
      </c>
      <c r="DM177">
        <v>3486</v>
      </c>
      <c r="DN177">
        <v>4020</v>
      </c>
      <c r="DO177">
        <v>0</v>
      </c>
      <c r="DP177">
        <v>9364</v>
      </c>
      <c r="DQ177">
        <v>0</v>
      </c>
      <c r="DR177">
        <v>0</v>
      </c>
      <c r="DS177">
        <v>0</v>
      </c>
      <c r="DT177">
        <v>1995</v>
      </c>
      <c r="DU177">
        <v>0</v>
      </c>
      <c r="DV177">
        <v>943</v>
      </c>
      <c r="DW177">
        <v>0</v>
      </c>
      <c r="DX177">
        <v>13013</v>
      </c>
      <c r="DY177">
        <v>58325</v>
      </c>
      <c r="DZ177">
        <v>48</v>
      </c>
      <c r="EA177">
        <v>4943</v>
      </c>
      <c r="EB177">
        <v>846</v>
      </c>
      <c r="EC177">
        <v>0</v>
      </c>
      <c r="ED177">
        <v>0</v>
      </c>
      <c r="EE177">
        <v>0</v>
      </c>
      <c r="EF177">
        <v>0</v>
      </c>
      <c r="EG177">
        <v>0</v>
      </c>
      <c r="EH177">
        <v>10689</v>
      </c>
      <c r="EI177">
        <v>17498</v>
      </c>
      <c r="EJ177">
        <v>3715</v>
      </c>
      <c r="EK177">
        <v>0</v>
      </c>
      <c r="EL177">
        <v>9795</v>
      </c>
      <c r="EM177">
        <v>5600</v>
      </c>
      <c r="EN177">
        <v>12208</v>
      </c>
      <c r="EO177">
        <v>0</v>
      </c>
      <c r="EP177">
        <v>0</v>
      </c>
      <c r="EQ177">
        <v>4246</v>
      </c>
      <c r="ER177">
        <v>485</v>
      </c>
      <c r="ES177">
        <v>15428</v>
      </c>
      <c r="ET177">
        <v>15354</v>
      </c>
      <c r="EU177">
        <v>0</v>
      </c>
      <c r="EV177">
        <v>93</v>
      </c>
      <c r="EW177">
        <v>44</v>
      </c>
      <c r="EX177">
        <v>1194</v>
      </c>
      <c r="EY177">
        <v>177</v>
      </c>
      <c r="EZ177">
        <v>961</v>
      </c>
      <c r="FA177">
        <v>0</v>
      </c>
      <c r="FB177">
        <v>538</v>
      </c>
      <c r="FC177">
        <v>972</v>
      </c>
      <c r="FD177">
        <v>6246</v>
      </c>
      <c r="FE177">
        <v>0</v>
      </c>
      <c r="FF177">
        <v>-124</v>
      </c>
      <c r="FG177">
        <v>6471</v>
      </c>
      <c r="FH177">
        <v>16572</v>
      </c>
      <c r="FI177">
        <v>-1161</v>
      </c>
      <c r="FJ177">
        <v>323</v>
      </c>
      <c r="FK177">
        <v>0</v>
      </c>
      <c r="FL177">
        <v>730</v>
      </c>
      <c r="FM177">
        <v>185</v>
      </c>
      <c r="FN177">
        <v>490</v>
      </c>
      <c r="FO177">
        <v>0</v>
      </c>
      <c r="FP177">
        <v>162</v>
      </c>
      <c r="FQ177">
        <v>0</v>
      </c>
      <c r="FR177">
        <v>52</v>
      </c>
      <c r="FS177">
        <v>59</v>
      </c>
      <c r="FT177">
        <v>47</v>
      </c>
      <c r="FU177">
        <v>378</v>
      </c>
      <c r="FV177">
        <v>-248</v>
      </c>
      <c r="FW177">
        <v>2999</v>
      </c>
      <c r="FX177">
        <v>233</v>
      </c>
      <c r="FY177">
        <v>198</v>
      </c>
      <c r="FZ177">
        <v>0</v>
      </c>
      <c r="GA177">
        <v>0</v>
      </c>
      <c r="GB177">
        <v>0</v>
      </c>
      <c r="GC177">
        <v>-176</v>
      </c>
      <c r="GD177">
        <v>4351</v>
      </c>
      <c r="GE177">
        <v>5707</v>
      </c>
      <c r="GF177">
        <v>2416</v>
      </c>
      <c r="GG177">
        <v>-890</v>
      </c>
      <c r="GH177">
        <v>4283</v>
      </c>
      <c r="GI177">
        <v>0</v>
      </c>
      <c r="GJ177">
        <v>0</v>
      </c>
      <c r="GK177">
        <v>20138</v>
      </c>
      <c r="GL177">
        <v>-142</v>
      </c>
      <c r="GM177">
        <v>1325</v>
      </c>
      <c r="GN177">
        <v>0</v>
      </c>
      <c r="GO177">
        <v>287</v>
      </c>
      <c r="GP177">
        <v>0</v>
      </c>
      <c r="GQ177">
        <v>-2029</v>
      </c>
      <c r="GR177">
        <v>631</v>
      </c>
      <c r="GS177">
        <v>627</v>
      </c>
      <c r="GT177">
        <v>1294</v>
      </c>
      <c r="GU177">
        <v>1993</v>
      </c>
      <c r="GV177">
        <v>38703</v>
      </c>
      <c r="GW177">
        <v>0</v>
      </c>
      <c r="GX177">
        <v>0</v>
      </c>
      <c r="GY177">
        <v>0</v>
      </c>
      <c r="GZ177">
        <v>0</v>
      </c>
      <c r="HA177">
        <v>0</v>
      </c>
      <c r="HB177">
        <v>5111</v>
      </c>
      <c r="HC177">
        <v>242</v>
      </c>
      <c r="HD177">
        <v>0</v>
      </c>
      <c r="HE177">
        <v>1555</v>
      </c>
      <c r="HF177">
        <v>1122</v>
      </c>
      <c r="HG177">
        <v>255</v>
      </c>
      <c r="HH177">
        <v>0</v>
      </c>
      <c r="HI177">
        <v>391</v>
      </c>
      <c r="HJ177">
        <v>11</v>
      </c>
      <c r="HK177">
        <v>0</v>
      </c>
      <c r="HL177">
        <v>148</v>
      </c>
      <c r="HM177">
        <v>120</v>
      </c>
      <c r="HN177">
        <v>1209</v>
      </c>
      <c r="HO177">
        <v>980</v>
      </c>
      <c r="HP177">
        <v>0</v>
      </c>
      <c r="HQ177">
        <v>0</v>
      </c>
      <c r="HR177">
        <v>0</v>
      </c>
      <c r="HS177">
        <v>0</v>
      </c>
      <c r="HT177">
        <v>59</v>
      </c>
      <c r="HU177">
        <v>635</v>
      </c>
      <c r="HV177">
        <v>11838</v>
      </c>
      <c r="HW177">
        <v>1518</v>
      </c>
      <c r="HX177">
        <v>29406</v>
      </c>
      <c r="HY177">
        <v>0</v>
      </c>
      <c r="HZ177">
        <v>11090</v>
      </c>
      <c r="IA177">
        <v>0</v>
      </c>
      <c r="IB177">
        <v>0</v>
      </c>
      <c r="IC177">
        <v>206011</v>
      </c>
      <c r="ID177">
        <v>12662</v>
      </c>
      <c r="IE177">
        <v>65740</v>
      </c>
      <c r="IF177">
        <v>84079</v>
      </c>
      <c r="IG177">
        <v>23334</v>
      </c>
      <c r="IH177">
        <v>13013</v>
      </c>
      <c r="II177">
        <v>16572</v>
      </c>
      <c r="IJ177">
        <v>20138</v>
      </c>
      <c r="IK177">
        <v>1993</v>
      </c>
      <c r="IL177">
        <v>0</v>
      </c>
      <c r="IM177">
        <v>0</v>
      </c>
      <c r="IN177">
        <v>11838</v>
      </c>
      <c r="IO177">
        <v>0</v>
      </c>
      <c r="IP177">
        <v>455380</v>
      </c>
      <c r="IQ177">
        <v>68065</v>
      </c>
      <c r="IR177">
        <v>2221</v>
      </c>
      <c r="IS177">
        <v>23983</v>
      </c>
      <c r="IT177">
        <v>0</v>
      </c>
      <c r="IU177">
        <v>0</v>
      </c>
      <c r="IV177">
        <v>0</v>
      </c>
      <c r="IW177">
        <v>0</v>
      </c>
      <c r="IX177">
        <v>11331</v>
      </c>
      <c r="IY177">
        <v>349</v>
      </c>
      <c r="IZ177">
        <v>246</v>
      </c>
      <c r="JA177">
        <v>0</v>
      </c>
      <c r="JB177">
        <v>0</v>
      </c>
      <c r="JC177">
        <v>0</v>
      </c>
      <c r="JD177">
        <v>0</v>
      </c>
      <c r="JE177">
        <v>0</v>
      </c>
      <c r="JF177">
        <v>0</v>
      </c>
      <c r="JG177">
        <v>561575</v>
      </c>
      <c r="JH177">
        <v>240</v>
      </c>
      <c r="JI177">
        <v>0</v>
      </c>
      <c r="JJ177">
        <v>0</v>
      </c>
      <c r="JK177">
        <v>0</v>
      </c>
      <c r="JL177">
        <v>0</v>
      </c>
      <c r="JM177">
        <v>2058</v>
      </c>
      <c r="JN177">
        <v>6685</v>
      </c>
      <c r="JO177">
        <v>0</v>
      </c>
      <c r="JP177">
        <v>2179</v>
      </c>
      <c r="JQ177">
        <v>5</v>
      </c>
      <c r="JR177">
        <v>572742</v>
      </c>
      <c r="JS177">
        <v>-645</v>
      </c>
      <c r="JT177">
        <v>0</v>
      </c>
      <c r="JU177">
        <v>-56</v>
      </c>
      <c r="JV177">
        <v>0</v>
      </c>
      <c r="JW177">
        <v>-101155</v>
      </c>
      <c r="JX177">
        <v>0</v>
      </c>
      <c r="JY177">
        <v>0</v>
      </c>
      <c r="JZ177">
        <v>0</v>
      </c>
      <c r="KA177">
        <v>0</v>
      </c>
      <c r="KB177">
        <v>0</v>
      </c>
      <c r="KC177">
        <v>470886</v>
      </c>
      <c r="KD177">
        <v>0</v>
      </c>
      <c r="KE177">
        <v>-271212</v>
      </c>
      <c r="KF177">
        <v>199673</v>
      </c>
      <c r="KG177">
        <v>0</v>
      </c>
      <c r="KH177">
        <v>695</v>
      </c>
      <c r="KI177">
        <v>1861</v>
      </c>
      <c r="KJ177">
        <v>-2224</v>
      </c>
      <c r="KK177">
        <v>-15487</v>
      </c>
      <c r="KL177">
        <v>-1805</v>
      </c>
      <c r="KM177">
        <v>-6801</v>
      </c>
      <c r="KN177">
        <v>0</v>
      </c>
      <c r="KO177">
        <v>-30139</v>
      </c>
      <c r="KP177">
        <v>-1924</v>
      </c>
      <c r="KQ177">
        <v>0</v>
      </c>
      <c r="KR177">
        <v>126539</v>
      </c>
      <c r="KS177">
        <v>13824</v>
      </c>
      <c r="KT177">
        <v>-25382</v>
      </c>
      <c r="KU177">
        <v>3625</v>
      </c>
      <c r="KV177">
        <v>63843</v>
      </c>
      <c r="KW177">
        <v>28516</v>
      </c>
      <c r="KX177">
        <v>14519</v>
      </c>
      <c r="KY177">
        <v>-23521</v>
      </c>
      <c r="KZ177">
        <v>1401</v>
      </c>
      <c r="LA177">
        <v>48356</v>
      </c>
      <c r="LB177">
        <v>26711</v>
      </c>
      <c r="LC177">
        <v>0</v>
      </c>
      <c r="LD177">
        <v>24422</v>
      </c>
      <c r="LE177">
        <v>6246</v>
      </c>
      <c r="LF177">
        <v>0</v>
      </c>
      <c r="LG177">
        <v>-10855</v>
      </c>
      <c r="LH177">
        <v>7300</v>
      </c>
      <c r="LI177">
        <v>27113</v>
      </c>
      <c r="LJ177">
        <v>5016</v>
      </c>
      <c r="LK177">
        <v>12703</v>
      </c>
      <c r="LL177">
        <v>17719</v>
      </c>
      <c r="LM177">
        <v>0</v>
      </c>
      <c r="LN177">
        <v>0</v>
      </c>
      <c r="LO177">
        <v>0</v>
      </c>
      <c r="LP177">
        <v>64162</v>
      </c>
      <c r="LQ177">
        <v>64236</v>
      </c>
      <c r="LR177">
        <v>-74</v>
      </c>
      <c r="LS177">
        <v>15428</v>
      </c>
      <c r="LT177">
        <v>15354</v>
      </c>
      <c r="LU177">
        <v>206011</v>
      </c>
      <c r="LV177">
        <v>12662</v>
      </c>
      <c r="LW177">
        <v>65740</v>
      </c>
      <c r="LX177">
        <v>84079</v>
      </c>
      <c r="LY177">
        <v>23334</v>
      </c>
      <c r="LZ177">
        <v>13013</v>
      </c>
      <c r="MA177">
        <v>16572</v>
      </c>
      <c r="MB177">
        <v>20138</v>
      </c>
      <c r="MC177">
        <v>1993</v>
      </c>
      <c r="MD177">
        <v>0</v>
      </c>
      <c r="ME177">
        <v>0</v>
      </c>
      <c r="MF177">
        <v>11838</v>
      </c>
      <c r="MG177">
        <v>0</v>
      </c>
      <c r="MH177">
        <v>455380</v>
      </c>
      <c r="MI177">
        <v>0</v>
      </c>
      <c r="MJ177">
        <v>0</v>
      </c>
      <c r="MK177">
        <v>0</v>
      </c>
      <c r="ML177">
        <v>0</v>
      </c>
      <c r="MM177">
        <v>0</v>
      </c>
      <c r="MN177">
        <v>0</v>
      </c>
      <c r="MO177">
        <v>0</v>
      </c>
      <c r="MP177">
        <v>0</v>
      </c>
      <c r="MQ177">
        <v>0</v>
      </c>
      <c r="MR177">
        <v>0</v>
      </c>
      <c r="MS177">
        <v>0</v>
      </c>
      <c r="MT177">
        <v>0</v>
      </c>
      <c r="MU177">
        <v>0</v>
      </c>
      <c r="MV177">
        <v>0</v>
      </c>
      <c r="MW177">
        <v>0</v>
      </c>
      <c r="MX177">
        <v>0</v>
      </c>
      <c r="MY177">
        <v>0</v>
      </c>
      <c r="MZ177">
        <v>0</v>
      </c>
      <c r="NA177">
        <v>0</v>
      </c>
      <c r="NB177">
        <v>0</v>
      </c>
      <c r="NC177">
        <v>0</v>
      </c>
      <c r="ND177">
        <v>0</v>
      </c>
      <c r="NE177">
        <v>0</v>
      </c>
      <c r="NF177">
        <v>0</v>
      </c>
      <c r="NG177">
        <v>0</v>
      </c>
      <c r="NH177">
        <v>0</v>
      </c>
      <c r="NI177">
        <v>0</v>
      </c>
      <c r="NJ177">
        <v>0</v>
      </c>
      <c r="NK177">
        <v>0</v>
      </c>
      <c r="NL177">
        <v>0</v>
      </c>
      <c r="NM177">
        <v>0</v>
      </c>
      <c r="NN177">
        <v>0</v>
      </c>
      <c r="NO177">
        <v>0</v>
      </c>
      <c r="NP177">
        <v>0</v>
      </c>
      <c r="NQ177">
        <v>0</v>
      </c>
      <c r="NR177">
        <v>0</v>
      </c>
      <c r="NS177">
        <v>0</v>
      </c>
      <c r="NT177">
        <v>0</v>
      </c>
      <c r="NU177">
        <v>0</v>
      </c>
      <c r="NV177">
        <v>0</v>
      </c>
      <c r="NW177">
        <v>0</v>
      </c>
      <c r="NX177">
        <v>0</v>
      </c>
      <c r="NY177">
        <v>0</v>
      </c>
      <c r="NZ177">
        <v>0</v>
      </c>
      <c r="OA177">
        <v>0</v>
      </c>
      <c r="OB177">
        <v>0</v>
      </c>
      <c r="OC177">
        <v>0</v>
      </c>
      <c r="OD177">
        <v>0</v>
      </c>
      <c r="OE177">
        <v>0</v>
      </c>
      <c r="OF177">
        <v>0</v>
      </c>
      <c r="OG177">
        <v>0</v>
      </c>
      <c r="OH177">
        <v>0</v>
      </c>
      <c r="OI177">
        <v>0</v>
      </c>
      <c r="OJ177">
        <v>0</v>
      </c>
      <c r="OK177">
        <v>0</v>
      </c>
      <c r="OL177">
        <v>0</v>
      </c>
      <c r="OM177">
        <v>0</v>
      </c>
      <c r="ON177">
        <v>0</v>
      </c>
    </row>
    <row r="178" spans="1:404" x14ac:dyDescent="0.25">
      <c r="A178" t="s">
        <v>599</v>
      </c>
      <c r="B178" t="s">
        <v>600</v>
      </c>
      <c r="C178" t="s">
        <v>598</v>
      </c>
      <c r="E178" t="s">
        <v>61</v>
      </c>
      <c r="F178">
        <v>0</v>
      </c>
      <c r="G178">
        <v>0</v>
      </c>
      <c r="H178">
        <v>0</v>
      </c>
      <c r="I178">
        <v>0</v>
      </c>
      <c r="J178">
        <v>0</v>
      </c>
      <c r="K178">
        <v>0</v>
      </c>
      <c r="L178">
        <v>0</v>
      </c>
      <c r="M178">
        <v>0</v>
      </c>
      <c r="N178">
        <v>0</v>
      </c>
      <c r="O178">
        <v>0</v>
      </c>
      <c r="P178">
        <v>0</v>
      </c>
      <c r="Q178">
        <v>0</v>
      </c>
      <c r="R178">
        <v>0</v>
      </c>
      <c r="S178">
        <v>101</v>
      </c>
      <c r="T178">
        <v>0</v>
      </c>
      <c r="U178">
        <v>42</v>
      </c>
      <c r="V178">
        <v>0</v>
      </c>
      <c r="W178">
        <v>0</v>
      </c>
      <c r="X178">
        <v>0</v>
      </c>
      <c r="Y178">
        <v>0</v>
      </c>
      <c r="Z178">
        <v>0</v>
      </c>
      <c r="AA178">
        <v>26</v>
      </c>
      <c r="AB178">
        <v>0</v>
      </c>
      <c r="AC178">
        <v>0</v>
      </c>
      <c r="AD178">
        <v>0</v>
      </c>
      <c r="AE178">
        <v>0</v>
      </c>
      <c r="AF178">
        <v>0</v>
      </c>
      <c r="AG178">
        <v>0</v>
      </c>
      <c r="AH178">
        <v>0</v>
      </c>
      <c r="AI178">
        <v>169</v>
      </c>
      <c r="AJ178">
        <v>0</v>
      </c>
      <c r="AK178">
        <v>0</v>
      </c>
      <c r="AL178">
        <v>0</v>
      </c>
      <c r="AM178">
        <v>0</v>
      </c>
      <c r="AN178">
        <v>0</v>
      </c>
      <c r="AO178">
        <v>0</v>
      </c>
      <c r="AP178">
        <v>0</v>
      </c>
      <c r="AQ178">
        <v>0</v>
      </c>
      <c r="AR178">
        <v>0</v>
      </c>
      <c r="AS178">
        <v>0</v>
      </c>
      <c r="AT178">
        <v>0</v>
      </c>
      <c r="AU178">
        <v>0</v>
      </c>
      <c r="AV178">
        <v>0</v>
      </c>
      <c r="AW178">
        <v>0</v>
      </c>
      <c r="AX178">
        <v>0</v>
      </c>
      <c r="AY178">
        <v>0</v>
      </c>
      <c r="AZ178">
        <v>0</v>
      </c>
      <c r="BA178">
        <v>0</v>
      </c>
      <c r="BB178">
        <v>0</v>
      </c>
      <c r="BC178">
        <v>0</v>
      </c>
      <c r="BD178">
        <v>0</v>
      </c>
      <c r="BE178">
        <v>0</v>
      </c>
      <c r="BF178">
        <v>0</v>
      </c>
      <c r="BG178">
        <v>0</v>
      </c>
      <c r="BH178">
        <v>0</v>
      </c>
      <c r="BI178">
        <v>0</v>
      </c>
      <c r="BJ178">
        <v>0</v>
      </c>
      <c r="BK178">
        <v>0</v>
      </c>
      <c r="BL178">
        <v>0</v>
      </c>
      <c r="BM178">
        <v>0</v>
      </c>
      <c r="BN178">
        <v>0</v>
      </c>
      <c r="BO178">
        <v>0</v>
      </c>
      <c r="BP178">
        <v>0</v>
      </c>
      <c r="BQ178">
        <v>0</v>
      </c>
      <c r="BR178">
        <v>0</v>
      </c>
      <c r="BS178">
        <v>0</v>
      </c>
      <c r="BT178">
        <v>0</v>
      </c>
      <c r="BU178">
        <v>0</v>
      </c>
      <c r="BV178">
        <v>0</v>
      </c>
      <c r="BW178">
        <v>0</v>
      </c>
      <c r="BX178">
        <v>0</v>
      </c>
      <c r="BY178">
        <v>0</v>
      </c>
      <c r="BZ178">
        <v>0</v>
      </c>
      <c r="CA178">
        <v>0</v>
      </c>
      <c r="CB178">
        <v>0</v>
      </c>
      <c r="CC178">
        <v>0</v>
      </c>
      <c r="CD178">
        <v>0</v>
      </c>
      <c r="CE178">
        <v>0</v>
      </c>
      <c r="CF178">
        <v>0</v>
      </c>
      <c r="CG178">
        <v>0</v>
      </c>
      <c r="CH178">
        <v>0</v>
      </c>
      <c r="CI178">
        <v>0</v>
      </c>
      <c r="CJ178">
        <v>0</v>
      </c>
      <c r="CK178">
        <v>0</v>
      </c>
      <c r="CL178">
        <v>0</v>
      </c>
      <c r="CM178">
        <v>0</v>
      </c>
      <c r="CN178">
        <v>0</v>
      </c>
      <c r="CO178">
        <v>0</v>
      </c>
      <c r="CP178">
        <v>0</v>
      </c>
      <c r="CQ178">
        <v>0</v>
      </c>
      <c r="CR178">
        <v>0</v>
      </c>
      <c r="CS178">
        <v>0</v>
      </c>
      <c r="CT178">
        <v>0</v>
      </c>
      <c r="CU178">
        <v>0</v>
      </c>
      <c r="CV178">
        <v>0</v>
      </c>
      <c r="CW178">
        <v>0</v>
      </c>
      <c r="CX178">
        <v>0</v>
      </c>
      <c r="CY178">
        <v>0</v>
      </c>
      <c r="CZ178">
        <v>0</v>
      </c>
      <c r="DA178">
        <v>0</v>
      </c>
      <c r="DB178">
        <v>0</v>
      </c>
      <c r="DC178">
        <v>66</v>
      </c>
      <c r="DD178">
        <v>0</v>
      </c>
      <c r="DE178">
        <v>362</v>
      </c>
      <c r="DF178">
        <v>0</v>
      </c>
      <c r="DG178">
        <v>0</v>
      </c>
      <c r="DH178">
        <v>0</v>
      </c>
      <c r="DI178">
        <v>0</v>
      </c>
      <c r="DJ178">
        <v>453</v>
      </c>
      <c r="DK178">
        <v>0</v>
      </c>
      <c r="DL178">
        <v>0</v>
      </c>
      <c r="DM178">
        <v>0</v>
      </c>
      <c r="DN178">
        <v>106</v>
      </c>
      <c r="DO178">
        <v>157</v>
      </c>
      <c r="DP178">
        <v>716</v>
      </c>
      <c r="DQ178">
        <v>0</v>
      </c>
      <c r="DR178">
        <v>0</v>
      </c>
      <c r="DS178">
        <v>0</v>
      </c>
      <c r="DT178">
        <v>311</v>
      </c>
      <c r="DU178">
        <v>-7</v>
      </c>
      <c r="DV178">
        <v>0</v>
      </c>
      <c r="DW178">
        <v>0</v>
      </c>
      <c r="DX178">
        <v>1448</v>
      </c>
      <c r="DY178">
        <v>12850</v>
      </c>
      <c r="DZ178">
        <v>78</v>
      </c>
      <c r="EA178">
        <v>697</v>
      </c>
      <c r="EB178">
        <v>900</v>
      </c>
      <c r="EC178">
        <v>0</v>
      </c>
      <c r="ED178">
        <v>0</v>
      </c>
      <c r="EE178">
        <v>23</v>
      </c>
      <c r="EF178">
        <v>0</v>
      </c>
      <c r="EG178">
        <v>0</v>
      </c>
      <c r="EH178">
        <v>2944</v>
      </c>
      <c r="EI178">
        <v>3787</v>
      </c>
      <c r="EJ178">
        <v>0</v>
      </c>
      <c r="EK178">
        <v>314</v>
      </c>
      <c r="EL178">
        <v>1991</v>
      </c>
      <c r="EM178">
        <v>2975</v>
      </c>
      <c r="EN178">
        <v>0</v>
      </c>
      <c r="EO178">
        <v>1</v>
      </c>
      <c r="EP178">
        <v>0</v>
      </c>
      <c r="EQ178">
        <v>4889</v>
      </c>
      <c r="ER178">
        <v>126</v>
      </c>
      <c r="ES178">
        <v>10078</v>
      </c>
      <c r="ET178">
        <v>7599</v>
      </c>
      <c r="EU178">
        <v>0</v>
      </c>
      <c r="EV178">
        <v>107</v>
      </c>
      <c r="EW178">
        <v>0</v>
      </c>
      <c r="EX178">
        <v>0</v>
      </c>
      <c r="EY178">
        <v>-3</v>
      </c>
      <c r="EZ178">
        <v>0</v>
      </c>
      <c r="FA178">
        <v>0</v>
      </c>
      <c r="FB178">
        <v>187</v>
      </c>
      <c r="FC178">
        <v>-383</v>
      </c>
      <c r="FD178">
        <v>994</v>
      </c>
      <c r="FE178">
        <v>0</v>
      </c>
      <c r="FF178">
        <v>0</v>
      </c>
      <c r="FG178">
        <v>0</v>
      </c>
      <c r="FH178">
        <v>902</v>
      </c>
      <c r="FI178">
        <v>160</v>
      </c>
      <c r="FJ178">
        <v>0</v>
      </c>
      <c r="FK178">
        <v>0</v>
      </c>
      <c r="FL178">
        <v>0</v>
      </c>
      <c r="FM178">
        <v>848</v>
      </c>
      <c r="FN178">
        <v>0</v>
      </c>
      <c r="FO178">
        <v>0</v>
      </c>
      <c r="FP178">
        <v>0</v>
      </c>
      <c r="FQ178">
        <v>0</v>
      </c>
      <c r="FR178">
        <v>34</v>
      </c>
      <c r="FS178">
        <v>45</v>
      </c>
      <c r="FT178">
        <v>47</v>
      </c>
      <c r="FU178">
        <v>81</v>
      </c>
      <c r="FV178">
        <v>726</v>
      </c>
      <c r="FW178">
        <v>0</v>
      </c>
      <c r="FX178">
        <v>154</v>
      </c>
      <c r="FY178">
        <v>0</v>
      </c>
      <c r="FZ178">
        <v>31</v>
      </c>
      <c r="GA178">
        <v>0</v>
      </c>
      <c r="GB178">
        <v>0</v>
      </c>
      <c r="GC178">
        <v>0</v>
      </c>
      <c r="GD178">
        <v>914</v>
      </c>
      <c r="GE178">
        <v>1133</v>
      </c>
      <c r="GF178">
        <v>0</v>
      </c>
      <c r="GG178">
        <v>-233</v>
      </c>
      <c r="GH178">
        <v>931</v>
      </c>
      <c r="GI178">
        <v>0</v>
      </c>
      <c r="GJ178">
        <v>0</v>
      </c>
      <c r="GK178">
        <v>4871</v>
      </c>
      <c r="GL178">
        <v>145</v>
      </c>
      <c r="GM178">
        <v>481</v>
      </c>
      <c r="GN178">
        <v>0</v>
      </c>
      <c r="GO178">
        <v>362</v>
      </c>
      <c r="GP178">
        <v>38</v>
      </c>
      <c r="GQ178">
        <v>441</v>
      </c>
      <c r="GR178">
        <v>0</v>
      </c>
      <c r="GS178">
        <v>0</v>
      </c>
      <c r="GT178">
        <v>204</v>
      </c>
      <c r="GU178">
        <v>1671</v>
      </c>
      <c r="GV178">
        <v>7444</v>
      </c>
      <c r="GW178">
        <v>0</v>
      </c>
      <c r="GX178">
        <v>0</v>
      </c>
      <c r="GY178">
        <v>0</v>
      </c>
      <c r="GZ178">
        <v>0</v>
      </c>
      <c r="HA178">
        <v>0</v>
      </c>
      <c r="HB178">
        <v>8839</v>
      </c>
      <c r="HC178">
        <v>412</v>
      </c>
      <c r="HD178">
        <v>0</v>
      </c>
      <c r="HE178">
        <v>67</v>
      </c>
      <c r="HF178">
        <v>432</v>
      </c>
      <c r="HG178">
        <v>25</v>
      </c>
      <c r="HH178">
        <v>0</v>
      </c>
      <c r="HI178">
        <v>0</v>
      </c>
      <c r="HJ178">
        <v>233</v>
      </c>
      <c r="HK178">
        <v>54</v>
      </c>
      <c r="HL178">
        <v>56</v>
      </c>
      <c r="HM178">
        <v>31</v>
      </c>
      <c r="HN178">
        <v>0</v>
      </c>
      <c r="HO178">
        <v>67</v>
      </c>
      <c r="HP178">
        <v>0</v>
      </c>
      <c r="HQ178">
        <v>0</v>
      </c>
      <c r="HR178">
        <v>0</v>
      </c>
      <c r="HS178">
        <v>0</v>
      </c>
      <c r="HT178">
        <v>0</v>
      </c>
      <c r="HU178">
        <v>-1349</v>
      </c>
      <c r="HV178">
        <v>8867</v>
      </c>
      <c r="HW178">
        <v>1759</v>
      </c>
      <c r="HX178">
        <v>2830</v>
      </c>
      <c r="HY178">
        <v>0</v>
      </c>
      <c r="HZ178">
        <v>1087</v>
      </c>
      <c r="IA178">
        <v>3803</v>
      </c>
      <c r="IB178">
        <v>161</v>
      </c>
      <c r="IC178">
        <v>0</v>
      </c>
      <c r="ID178">
        <v>169</v>
      </c>
      <c r="IE178">
        <v>0</v>
      </c>
      <c r="IF178">
        <v>0</v>
      </c>
      <c r="IG178">
        <v>0</v>
      </c>
      <c r="IH178">
        <v>1448</v>
      </c>
      <c r="II178">
        <v>902</v>
      </c>
      <c r="IJ178">
        <v>4871</v>
      </c>
      <c r="IK178">
        <v>1671</v>
      </c>
      <c r="IL178">
        <v>0</v>
      </c>
      <c r="IM178">
        <v>0</v>
      </c>
      <c r="IN178">
        <v>8867</v>
      </c>
      <c r="IO178">
        <v>161</v>
      </c>
      <c r="IP178">
        <v>18089</v>
      </c>
      <c r="IQ178">
        <v>7004</v>
      </c>
      <c r="IR178">
        <v>0</v>
      </c>
      <c r="IS178">
        <v>4289</v>
      </c>
      <c r="IT178">
        <v>0</v>
      </c>
      <c r="IU178">
        <v>22</v>
      </c>
      <c r="IV178">
        <v>2209</v>
      </c>
      <c r="IW178">
        <v>0</v>
      </c>
      <c r="IX178">
        <v>0</v>
      </c>
      <c r="IY178">
        <v>0</v>
      </c>
      <c r="IZ178">
        <v>0</v>
      </c>
      <c r="JA178">
        <v>-199</v>
      </c>
      <c r="JB178">
        <v>250</v>
      </c>
      <c r="JC178">
        <v>-93</v>
      </c>
      <c r="JD178">
        <v>-28</v>
      </c>
      <c r="JE178">
        <v>-2</v>
      </c>
      <c r="JF178">
        <v>0</v>
      </c>
      <c r="JG178">
        <v>31541</v>
      </c>
      <c r="JH178">
        <v>0</v>
      </c>
      <c r="JI178">
        <v>1747</v>
      </c>
      <c r="JJ178">
        <v>0</v>
      </c>
      <c r="JK178">
        <v>0</v>
      </c>
      <c r="JL178">
        <v>0</v>
      </c>
      <c r="JM178">
        <v>-82</v>
      </c>
      <c r="JN178">
        <v>1325</v>
      </c>
      <c r="JO178">
        <v>589</v>
      </c>
      <c r="JP178">
        <v>299</v>
      </c>
      <c r="JQ178">
        <v>23</v>
      </c>
      <c r="JR178">
        <v>35442</v>
      </c>
      <c r="JS178">
        <v>-84</v>
      </c>
      <c r="JT178">
        <v>0</v>
      </c>
      <c r="JU178">
        <v>0</v>
      </c>
      <c r="JV178">
        <v>0</v>
      </c>
      <c r="JW178">
        <v>-11019</v>
      </c>
      <c r="JX178">
        <v>0</v>
      </c>
      <c r="JY178">
        <v>0</v>
      </c>
      <c r="JZ178">
        <v>0</v>
      </c>
      <c r="KA178">
        <v>0</v>
      </c>
      <c r="KB178">
        <v>0</v>
      </c>
      <c r="KC178">
        <v>24339</v>
      </c>
      <c r="KD178">
        <v>0</v>
      </c>
      <c r="KE178">
        <v>-3178</v>
      </c>
      <c r="KF178">
        <v>21161</v>
      </c>
      <c r="KG178">
        <v>0</v>
      </c>
      <c r="KH178">
        <v>0</v>
      </c>
      <c r="KI178">
        <v>0</v>
      </c>
      <c r="KJ178">
        <v>0</v>
      </c>
      <c r="KK178">
        <v>-3836</v>
      </c>
      <c r="KL178">
        <v>-547</v>
      </c>
      <c r="KM178">
        <v>-86</v>
      </c>
      <c r="KN178">
        <v>0</v>
      </c>
      <c r="KO178">
        <v>-5113</v>
      </c>
      <c r="KP178">
        <v>55</v>
      </c>
      <c r="KQ178">
        <v>-106</v>
      </c>
      <c r="KR178">
        <v>7624</v>
      </c>
      <c r="KS178">
        <v>0</v>
      </c>
      <c r="KT178">
        <v>0</v>
      </c>
      <c r="KU178">
        <v>0</v>
      </c>
      <c r="KV178">
        <v>18060</v>
      </c>
      <c r="KW178">
        <v>1900</v>
      </c>
      <c r="KX178">
        <v>0</v>
      </c>
      <c r="KY178">
        <v>0</v>
      </c>
      <c r="KZ178">
        <v>0</v>
      </c>
      <c r="LA178">
        <v>14224</v>
      </c>
      <c r="LB178">
        <v>1353</v>
      </c>
      <c r="LC178">
        <v>0</v>
      </c>
      <c r="LD178">
        <v>-1413</v>
      </c>
      <c r="LE178">
        <v>0</v>
      </c>
      <c r="LF178">
        <v>-454</v>
      </c>
      <c r="LG178">
        <v>167</v>
      </c>
      <c r="LH178">
        <v>-875</v>
      </c>
      <c r="LI178">
        <v>-2575</v>
      </c>
      <c r="LJ178">
        <v>2463</v>
      </c>
      <c r="LK178">
        <v>2562</v>
      </c>
      <c r="LL178">
        <v>5025</v>
      </c>
      <c r="LM178">
        <v>0</v>
      </c>
      <c r="LN178">
        <v>0</v>
      </c>
      <c r="LO178">
        <v>0</v>
      </c>
      <c r="LP178">
        <v>14548</v>
      </c>
      <c r="LQ178">
        <v>17027</v>
      </c>
      <c r="LR178">
        <v>-2479</v>
      </c>
      <c r="LS178">
        <v>10078</v>
      </c>
      <c r="LT178">
        <v>7599</v>
      </c>
      <c r="LU178">
        <v>0</v>
      </c>
      <c r="LV178">
        <v>169</v>
      </c>
      <c r="LW178">
        <v>0</v>
      </c>
      <c r="LX178">
        <v>0</v>
      </c>
      <c r="LY178">
        <v>0</v>
      </c>
      <c r="LZ178">
        <v>1448</v>
      </c>
      <c r="MA178">
        <v>902</v>
      </c>
      <c r="MB178">
        <v>4871</v>
      </c>
      <c r="MC178">
        <v>1671</v>
      </c>
      <c r="MD178">
        <v>0</v>
      </c>
      <c r="ME178">
        <v>0</v>
      </c>
      <c r="MF178">
        <v>8867</v>
      </c>
      <c r="MG178">
        <v>161</v>
      </c>
      <c r="MH178">
        <v>18089</v>
      </c>
      <c r="MI178">
        <v>0</v>
      </c>
      <c r="MJ178">
        <v>0</v>
      </c>
      <c r="MK178">
        <v>0</v>
      </c>
      <c r="ML178">
        <v>0</v>
      </c>
      <c r="MM178">
        <v>0</v>
      </c>
      <c r="MN178">
        <v>0</v>
      </c>
      <c r="MO178">
        <v>0</v>
      </c>
      <c r="MP178">
        <v>0</v>
      </c>
      <c r="MQ178">
        <v>0</v>
      </c>
      <c r="MR178">
        <v>0</v>
      </c>
      <c r="MS178">
        <v>0</v>
      </c>
      <c r="MT178">
        <v>0</v>
      </c>
      <c r="MU178">
        <v>0</v>
      </c>
      <c r="MV178">
        <v>0</v>
      </c>
      <c r="MW178">
        <v>0</v>
      </c>
      <c r="MX178">
        <v>-409</v>
      </c>
      <c r="MY178">
        <v>0</v>
      </c>
      <c r="MZ178">
        <v>117</v>
      </c>
      <c r="NA178">
        <v>-292</v>
      </c>
      <c r="NB178">
        <v>93</v>
      </c>
      <c r="NC178">
        <v>-199</v>
      </c>
      <c r="ND178">
        <v>0</v>
      </c>
      <c r="NE178">
        <v>0</v>
      </c>
      <c r="NF178">
        <v>0</v>
      </c>
      <c r="NG178">
        <v>0</v>
      </c>
      <c r="NH178">
        <v>0</v>
      </c>
      <c r="NI178">
        <v>0</v>
      </c>
      <c r="NJ178">
        <v>0</v>
      </c>
      <c r="NK178">
        <v>0</v>
      </c>
      <c r="NL178">
        <v>0</v>
      </c>
      <c r="NM178">
        <v>0</v>
      </c>
      <c r="NN178">
        <v>0</v>
      </c>
      <c r="NO178">
        <v>0</v>
      </c>
      <c r="NP178">
        <v>-12</v>
      </c>
      <c r="NQ178">
        <v>0</v>
      </c>
      <c r="NR178">
        <v>0</v>
      </c>
      <c r="NS178">
        <v>0</v>
      </c>
      <c r="NT178">
        <v>0</v>
      </c>
      <c r="NU178">
        <v>0</v>
      </c>
      <c r="NV178">
        <v>0</v>
      </c>
      <c r="NW178">
        <v>0</v>
      </c>
      <c r="NX178">
        <v>0</v>
      </c>
      <c r="NY178">
        <v>0</v>
      </c>
      <c r="NZ178">
        <v>222</v>
      </c>
      <c r="OA178">
        <v>28</v>
      </c>
      <c r="OB178">
        <v>250</v>
      </c>
      <c r="OC178">
        <v>93</v>
      </c>
      <c r="OD178">
        <v>0</v>
      </c>
      <c r="OE178">
        <v>0</v>
      </c>
      <c r="OF178">
        <v>0</v>
      </c>
      <c r="OG178">
        <v>0</v>
      </c>
      <c r="OH178">
        <v>93</v>
      </c>
      <c r="OI178">
        <v>28</v>
      </c>
      <c r="OJ178">
        <v>0</v>
      </c>
      <c r="OK178">
        <v>0</v>
      </c>
      <c r="OL178">
        <v>0</v>
      </c>
      <c r="OM178">
        <v>0</v>
      </c>
      <c r="ON178">
        <v>28</v>
      </c>
    </row>
    <row r="179" spans="1:404" x14ac:dyDescent="0.25">
      <c r="A179" t="s">
        <v>602</v>
      </c>
      <c r="B179" t="s">
        <v>603</v>
      </c>
      <c r="C179" t="s">
        <v>601</v>
      </c>
      <c r="E179" t="s">
        <v>61</v>
      </c>
      <c r="F179">
        <v>0</v>
      </c>
      <c r="G179">
        <v>0</v>
      </c>
      <c r="H179">
        <v>0</v>
      </c>
      <c r="I179">
        <v>0</v>
      </c>
      <c r="J179">
        <v>0</v>
      </c>
      <c r="K179">
        <v>0</v>
      </c>
      <c r="L179">
        <v>0</v>
      </c>
      <c r="M179">
        <v>0</v>
      </c>
      <c r="N179">
        <v>0</v>
      </c>
      <c r="O179">
        <v>0</v>
      </c>
      <c r="P179">
        <v>0</v>
      </c>
      <c r="Q179">
        <v>0</v>
      </c>
      <c r="R179">
        <v>0</v>
      </c>
      <c r="S179">
        <v>0</v>
      </c>
      <c r="T179">
        <v>0</v>
      </c>
      <c r="U179">
        <v>0</v>
      </c>
      <c r="V179">
        <v>0</v>
      </c>
      <c r="W179">
        <v>0</v>
      </c>
      <c r="X179">
        <v>0</v>
      </c>
      <c r="Y179">
        <v>0</v>
      </c>
      <c r="Z179">
        <v>247</v>
      </c>
      <c r="AA179">
        <v>-2095</v>
      </c>
      <c r="AB179">
        <v>0</v>
      </c>
      <c r="AC179">
        <v>0</v>
      </c>
      <c r="AD179">
        <v>0</v>
      </c>
      <c r="AE179">
        <v>0</v>
      </c>
      <c r="AF179">
        <v>60</v>
      </c>
      <c r="AG179">
        <v>0</v>
      </c>
      <c r="AH179">
        <v>0</v>
      </c>
      <c r="AI179">
        <v>-1788</v>
      </c>
      <c r="AJ179">
        <v>0</v>
      </c>
      <c r="AK179">
        <v>0</v>
      </c>
      <c r="AL179">
        <v>0</v>
      </c>
      <c r="AM179">
        <v>0</v>
      </c>
      <c r="AN179">
        <v>0</v>
      </c>
      <c r="AO179">
        <v>0</v>
      </c>
      <c r="AP179">
        <v>0</v>
      </c>
      <c r="AQ179">
        <v>201</v>
      </c>
      <c r="AR179">
        <v>140</v>
      </c>
      <c r="AS179">
        <v>0</v>
      </c>
      <c r="AT179">
        <v>0</v>
      </c>
      <c r="AU179">
        <v>0</v>
      </c>
      <c r="AV179">
        <v>0</v>
      </c>
      <c r="AW179">
        <v>0</v>
      </c>
      <c r="AX179">
        <v>0</v>
      </c>
      <c r="AY179">
        <v>0</v>
      </c>
      <c r="AZ179">
        <v>0</v>
      </c>
      <c r="BA179">
        <v>0</v>
      </c>
      <c r="BB179">
        <v>0</v>
      </c>
      <c r="BC179">
        <v>0</v>
      </c>
      <c r="BD179">
        <v>0</v>
      </c>
      <c r="BE179">
        <v>31</v>
      </c>
      <c r="BF179">
        <v>0</v>
      </c>
      <c r="BG179">
        <v>0</v>
      </c>
      <c r="BH179">
        <v>0</v>
      </c>
      <c r="BI179">
        <v>0</v>
      </c>
      <c r="BJ179">
        <v>0</v>
      </c>
      <c r="BK179">
        <v>0</v>
      </c>
      <c r="BL179">
        <v>0</v>
      </c>
      <c r="BM179">
        <v>0</v>
      </c>
      <c r="BN179">
        <v>0</v>
      </c>
      <c r="BO179">
        <v>0</v>
      </c>
      <c r="BP179">
        <v>0</v>
      </c>
      <c r="BQ179">
        <v>0</v>
      </c>
      <c r="BR179">
        <v>0</v>
      </c>
      <c r="BS179">
        <v>248</v>
      </c>
      <c r="BT179">
        <v>0</v>
      </c>
      <c r="BU179">
        <v>0</v>
      </c>
      <c r="BV179">
        <v>0</v>
      </c>
      <c r="BW179">
        <v>279</v>
      </c>
      <c r="BX179">
        <v>0</v>
      </c>
      <c r="BY179">
        <v>0</v>
      </c>
      <c r="BZ179">
        <v>0</v>
      </c>
      <c r="CA179">
        <v>0</v>
      </c>
      <c r="CB179">
        <v>0</v>
      </c>
      <c r="CC179">
        <v>0</v>
      </c>
      <c r="CD179">
        <v>0</v>
      </c>
      <c r="CE179">
        <v>92</v>
      </c>
      <c r="CF179">
        <v>0</v>
      </c>
      <c r="CG179">
        <v>18</v>
      </c>
      <c r="CH179">
        <v>0</v>
      </c>
      <c r="CI179">
        <v>0</v>
      </c>
      <c r="CJ179">
        <v>0</v>
      </c>
      <c r="CK179">
        <v>0</v>
      </c>
      <c r="CL179">
        <v>-40</v>
      </c>
      <c r="CM179">
        <v>0</v>
      </c>
      <c r="CN179">
        <v>0</v>
      </c>
      <c r="CO179">
        <v>0</v>
      </c>
      <c r="CP179">
        <v>0</v>
      </c>
      <c r="CQ179">
        <v>0</v>
      </c>
      <c r="CR179">
        <v>5</v>
      </c>
      <c r="CS179">
        <v>0</v>
      </c>
      <c r="CT179">
        <v>0</v>
      </c>
      <c r="CU179">
        <v>0</v>
      </c>
      <c r="CV179">
        <v>75</v>
      </c>
      <c r="CW179">
        <v>0</v>
      </c>
      <c r="CX179">
        <v>0</v>
      </c>
      <c r="CY179">
        <v>0</v>
      </c>
      <c r="CZ179">
        <v>0</v>
      </c>
      <c r="DA179">
        <v>0</v>
      </c>
      <c r="DB179">
        <v>0</v>
      </c>
      <c r="DC179">
        <v>938</v>
      </c>
      <c r="DD179">
        <v>0</v>
      </c>
      <c r="DE179">
        <v>0</v>
      </c>
      <c r="DF179">
        <v>0</v>
      </c>
      <c r="DG179">
        <v>0</v>
      </c>
      <c r="DH179">
        <v>0</v>
      </c>
      <c r="DI179">
        <v>0</v>
      </c>
      <c r="DJ179">
        <v>46</v>
      </c>
      <c r="DK179">
        <v>0</v>
      </c>
      <c r="DL179">
        <v>-298</v>
      </c>
      <c r="DM179">
        <v>0</v>
      </c>
      <c r="DN179">
        <v>358</v>
      </c>
      <c r="DO179">
        <v>259</v>
      </c>
      <c r="DP179">
        <v>365</v>
      </c>
      <c r="DQ179">
        <v>0</v>
      </c>
      <c r="DR179">
        <v>0</v>
      </c>
      <c r="DS179">
        <v>0</v>
      </c>
      <c r="DT179">
        <v>45</v>
      </c>
      <c r="DU179">
        <v>7</v>
      </c>
      <c r="DV179">
        <v>0</v>
      </c>
      <c r="DW179">
        <v>0</v>
      </c>
      <c r="DX179">
        <v>1355</v>
      </c>
      <c r="DY179">
        <v>0</v>
      </c>
      <c r="DZ179">
        <v>0</v>
      </c>
      <c r="EA179">
        <v>0</v>
      </c>
      <c r="EB179">
        <v>0</v>
      </c>
      <c r="EC179">
        <v>0</v>
      </c>
      <c r="ED179">
        <v>0</v>
      </c>
      <c r="EE179">
        <v>0</v>
      </c>
      <c r="EF179">
        <v>0</v>
      </c>
      <c r="EG179">
        <v>0</v>
      </c>
      <c r="EH179">
        <v>0</v>
      </c>
      <c r="EI179">
        <v>0</v>
      </c>
      <c r="EJ179">
        <v>0</v>
      </c>
      <c r="EK179">
        <v>0</v>
      </c>
      <c r="EL179">
        <v>0</v>
      </c>
      <c r="EM179">
        <v>0</v>
      </c>
      <c r="EN179">
        <v>0</v>
      </c>
      <c r="EO179">
        <v>0</v>
      </c>
      <c r="EP179">
        <v>0</v>
      </c>
      <c r="EQ179">
        <v>0</v>
      </c>
      <c r="ER179">
        <v>0</v>
      </c>
      <c r="ES179">
        <v>0</v>
      </c>
      <c r="ET179">
        <v>0</v>
      </c>
      <c r="EU179">
        <v>0</v>
      </c>
      <c r="EV179">
        <v>-109</v>
      </c>
      <c r="EW179">
        <v>0</v>
      </c>
      <c r="EX179">
        <v>297</v>
      </c>
      <c r="EY179">
        <v>603</v>
      </c>
      <c r="EZ179">
        <v>20</v>
      </c>
      <c r="FA179">
        <v>0</v>
      </c>
      <c r="FB179">
        <v>517</v>
      </c>
      <c r="FC179">
        <v>549</v>
      </c>
      <c r="FD179">
        <v>1653</v>
      </c>
      <c r="FE179">
        <v>-7</v>
      </c>
      <c r="FF179">
        <v>5</v>
      </c>
      <c r="FG179">
        <v>0</v>
      </c>
      <c r="FH179">
        <v>3528</v>
      </c>
      <c r="FI179">
        <v>53</v>
      </c>
      <c r="FJ179">
        <v>0</v>
      </c>
      <c r="FK179">
        <v>0</v>
      </c>
      <c r="FL179">
        <v>389</v>
      </c>
      <c r="FM179">
        <v>0</v>
      </c>
      <c r="FN179">
        <v>346</v>
      </c>
      <c r="FO179">
        <v>0</v>
      </c>
      <c r="FP179">
        <v>0</v>
      </c>
      <c r="FQ179">
        <v>0</v>
      </c>
      <c r="FR179">
        <v>5</v>
      </c>
      <c r="FS179">
        <v>31</v>
      </c>
      <c r="FT179">
        <v>820</v>
      </c>
      <c r="FU179">
        <v>428</v>
      </c>
      <c r="FV179">
        <v>50</v>
      </c>
      <c r="FW179">
        <v>488</v>
      </c>
      <c r="FX179">
        <v>0</v>
      </c>
      <c r="FY179">
        <v>0</v>
      </c>
      <c r="FZ179">
        <v>14</v>
      </c>
      <c r="GA179">
        <v>0</v>
      </c>
      <c r="GB179">
        <v>0</v>
      </c>
      <c r="GC179">
        <v>0</v>
      </c>
      <c r="GD179">
        <v>1223</v>
      </c>
      <c r="GE179">
        <v>1933</v>
      </c>
      <c r="GF179">
        <v>0</v>
      </c>
      <c r="GG179">
        <v>140</v>
      </c>
      <c r="GH179">
        <v>644</v>
      </c>
      <c r="GI179">
        <v>100</v>
      </c>
      <c r="GJ179">
        <v>0</v>
      </c>
      <c r="GK179">
        <v>6664</v>
      </c>
      <c r="GL179">
        <v>252</v>
      </c>
      <c r="GM179">
        <v>901</v>
      </c>
      <c r="GN179">
        <v>0</v>
      </c>
      <c r="GO179">
        <v>1407</v>
      </c>
      <c r="GP179">
        <v>47</v>
      </c>
      <c r="GQ179">
        <v>1586</v>
      </c>
      <c r="GR179">
        <v>0</v>
      </c>
      <c r="GS179">
        <v>0</v>
      </c>
      <c r="GT179">
        <v>38</v>
      </c>
      <c r="GU179">
        <v>4231</v>
      </c>
      <c r="GV179">
        <v>14423</v>
      </c>
      <c r="GW179">
        <v>0</v>
      </c>
      <c r="GX179">
        <v>0</v>
      </c>
      <c r="GY179">
        <v>0</v>
      </c>
      <c r="GZ179">
        <v>0</v>
      </c>
      <c r="HA179">
        <v>0</v>
      </c>
      <c r="HB179">
        <v>1747</v>
      </c>
      <c r="HC179">
        <v>143</v>
      </c>
      <c r="HD179">
        <v>0</v>
      </c>
      <c r="HE179">
        <v>0</v>
      </c>
      <c r="HF179">
        <v>0</v>
      </c>
      <c r="HG179">
        <v>388</v>
      </c>
      <c r="HH179">
        <v>0</v>
      </c>
      <c r="HI179">
        <v>0</v>
      </c>
      <c r="HJ179">
        <v>240</v>
      </c>
      <c r="HK179">
        <v>0</v>
      </c>
      <c r="HL179">
        <v>132</v>
      </c>
      <c r="HM179">
        <v>-5</v>
      </c>
      <c r="HN179">
        <v>0</v>
      </c>
      <c r="HO179">
        <v>235</v>
      </c>
      <c r="HP179">
        <v>0</v>
      </c>
      <c r="HQ179">
        <v>0</v>
      </c>
      <c r="HR179">
        <v>0</v>
      </c>
      <c r="HS179">
        <v>0</v>
      </c>
      <c r="HT179">
        <v>0</v>
      </c>
      <c r="HU179">
        <v>66</v>
      </c>
      <c r="HV179">
        <v>2946</v>
      </c>
      <c r="HW179">
        <v>831</v>
      </c>
      <c r="HX179">
        <v>9822</v>
      </c>
      <c r="HY179">
        <v>0</v>
      </c>
      <c r="HZ179">
        <v>0</v>
      </c>
      <c r="IA179">
        <v>99</v>
      </c>
      <c r="IB179">
        <v>0</v>
      </c>
      <c r="IC179">
        <v>0</v>
      </c>
      <c r="ID179">
        <v>-1788</v>
      </c>
      <c r="IE179">
        <v>0</v>
      </c>
      <c r="IF179">
        <v>279</v>
      </c>
      <c r="IG179">
        <v>75</v>
      </c>
      <c r="IH179">
        <v>1355</v>
      </c>
      <c r="II179">
        <v>3528</v>
      </c>
      <c r="IJ179">
        <v>6664</v>
      </c>
      <c r="IK179">
        <v>4231</v>
      </c>
      <c r="IL179">
        <v>0</v>
      </c>
      <c r="IM179">
        <v>0</v>
      </c>
      <c r="IN179">
        <v>2946</v>
      </c>
      <c r="IO179">
        <v>0</v>
      </c>
      <c r="IP179">
        <v>17290</v>
      </c>
      <c r="IQ179">
        <v>25525</v>
      </c>
      <c r="IR179">
        <v>878</v>
      </c>
      <c r="IS179">
        <v>0</v>
      </c>
      <c r="IT179">
        <v>0</v>
      </c>
      <c r="IU179">
        <v>0</v>
      </c>
      <c r="IV179">
        <v>3939</v>
      </c>
      <c r="IW179">
        <v>0</v>
      </c>
      <c r="IX179">
        <v>0</v>
      </c>
      <c r="IY179">
        <v>0</v>
      </c>
      <c r="IZ179">
        <v>0</v>
      </c>
      <c r="JA179">
        <v>0</v>
      </c>
      <c r="JB179">
        <v>0</v>
      </c>
      <c r="JC179">
        <v>0</v>
      </c>
      <c r="JD179">
        <v>0</v>
      </c>
      <c r="JE179">
        <v>-175</v>
      </c>
      <c r="JF179">
        <v>0</v>
      </c>
      <c r="JG179">
        <v>47457</v>
      </c>
      <c r="JH179">
        <v>0</v>
      </c>
      <c r="JI179">
        <v>86</v>
      </c>
      <c r="JJ179">
        <v>0</v>
      </c>
      <c r="JK179">
        <v>0</v>
      </c>
      <c r="JL179">
        <v>0</v>
      </c>
      <c r="JM179">
        <v>-940</v>
      </c>
      <c r="JN179">
        <v>918</v>
      </c>
      <c r="JO179">
        <v>0</v>
      </c>
      <c r="JP179">
        <v>0</v>
      </c>
      <c r="JQ179">
        <v>0</v>
      </c>
      <c r="JR179">
        <v>47521</v>
      </c>
      <c r="JS179">
        <v>-6526</v>
      </c>
      <c r="JT179">
        <v>0</v>
      </c>
      <c r="JU179">
        <v>0</v>
      </c>
      <c r="JV179">
        <v>0</v>
      </c>
      <c r="JW179">
        <v>-25798</v>
      </c>
      <c r="JX179">
        <v>0</v>
      </c>
      <c r="JY179">
        <v>-78</v>
      </c>
      <c r="JZ179">
        <v>0</v>
      </c>
      <c r="KA179">
        <v>0</v>
      </c>
      <c r="KB179">
        <v>0</v>
      </c>
      <c r="KC179">
        <v>15119</v>
      </c>
      <c r="KD179">
        <v>0</v>
      </c>
      <c r="KE179">
        <v>-5651</v>
      </c>
      <c r="KF179">
        <v>9468</v>
      </c>
      <c r="KG179">
        <v>0</v>
      </c>
      <c r="KH179">
        <v>0</v>
      </c>
      <c r="KI179">
        <v>0</v>
      </c>
      <c r="KJ179">
        <v>0</v>
      </c>
      <c r="KK179">
        <v>11617</v>
      </c>
      <c r="KL179">
        <v>-713</v>
      </c>
      <c r="KM179">
        <v>0</v>
      </c>
      <c r="KN179">
        <v>0</v>
      </c>
      <c r="KO179">
        <v>-2623</v>
      </c>
      <c r="KP179">
        <v>6</v>
      </c>
      <c r="KQ179">
        <v>0</v>
      </c>
      <c r="KR179">
        <v>14191</v>
      </c>
      <c r="KS179">
        <v>0</v>
      </c>
      <c r="KT179">
        <v>0</v>
      </c>
      <c r="KU179">
        <v>0</v>
      </c>
      <c r="KV179">
        <v>12042</v>
      </c>
      <c r="KW179">
        <v>24896</v>
      </c>
      <c r="KX179">
        <v>0</v>
      </c>
      <c r="KY179">
        <v>0</v>
      </c>
      <c r="KZ179">
        <v>0</v>
      </c>
      <c r="LA179">
        <v>23659</v>
      </c>
      <c r="LB179">
        <v>24183</v>
      </c>
      <c r="LC179">
        <v>0</v>
      </c>
      <c r="LD179">
        <v>2392</v>
      </c>
      <c r="LE179">
        <v>1269</v>
      </c>
      <c r="LF179">
        <v>0</v>
      </c>
      <c r="LG179">
        <v>0</v>
      </c>
      <c r="LH179">
        <v>3044</v>
      </c>
      <c r="LI179">
        <v>6705</v>
      </c>
      <c r="LJ179">
        <v>2613</v>
      </c>
      <c r="LK179">
        <v>3785</v>
      </c>
      <c r="LL179">
        <v>6398</v>
      </c>
      <c r="LM179">
        <v>0</v>
      </c>
      <c r="LN179">
        <v>0</v>
      </c>
      <c r="LO179">
        <v>0</v>
      </c>
      <c r="LP179">
        <v>0</v>
      </c>
      <c r="LQ179">
        <v>0</v>
      </c>
      <c r="LR179">
        <v>0</v>
      </c>
      <c r="LS179">
        <v>0</v>
      </c>
      <c r="LT179">
        <v>0</v>
      </c>
      <c r="LU179">
        <v>0</v>
      </c>
      <c r="LV179">
        <v>-1788</v>
      </c>
      <c r="LW179">
        <v>0</v>
      </c>
      <c r="LX179">
        <v>279</v>
      </c>
      <c r="LY179">
        <v>75</v>
      </c>
      <c r="LZ179">
        <v>1355</v>
      </c>
      <c r="MA179">
        <v>3528</v>
      </c>
      <c r="MB179">
        <v>6664</v>
      </c>
      <c r="MC179">
        <v>4231</v>
      </c>
      <c r="MD179">
        <v>0</v>
      </c>
      <c r="ME179">
        <v>0</v>
      </c>
      <c r="MF179">
        <v>2946</v>
      </c>
      <c r="MG179">
        <v>0</v>
      </c>
      <c r="MH179">
        <v>17290</v>
      </c>
      <c r="MI179">
        <v>0</v>
      </c>
      <c r="MJ179">
        <v>0</v>
      </c>
      <c r="MK179">
        <v>0</v>
      </c>
      <c r="ML179">
        <v>0</v>
      </c>
      <c r="MM179">
        <v>0</v>
      </c>
      <c r="MN179">
        <v>0</v>
      </c>
      <c r="MO179">
        <v>0</v>
      </c>
      <c r="MP179">
        <v>0</v>
      </c>
      <c r="MQ179">
        <v>0</v>
      </c>
      <c r="MR179">
        <v>0</v>
      </c>
      <c r="MS179">
        <v>0</v>
      </c>
      <c r="MT179">
        <v>0</v>
      </c>
      <c r="MU179">
        <v>0</v>
      </c>
      <c r="MV179">
        <v>0</v>
      </c>
      <c r="MW179">
        <v>0</v>
      </c>
      <c r="MX179">
        <v>0</v>
      </c>
      <c r="MY179">
        <v>0</v>
      </c>
      <c r="MZ179">
        <v>0</v>
      </c>
      <c r="NA179">
        <v>0</v>
      </c>
      <c r="NB179">
        <v>0</v>
      </c>
      <c r="NC179">
        <v>0</v>
      </c>
      <c r="ND179">
        <v>0</v>
      </c>
      <c r="NE179">
        <v>0</v>
      </c>
      <c r="NF179">
        <v>0</v>
      </c>
      <c r="NG179">
        <v>0</v>
      </c>
      <c r="NH179">
        <v>0</v>
      </c>
      <c r="NI179">
        <v>0</v>
      </c>
      <c r="NJ179">
        <v>0</v>
      </c>
      <c r="NK179">
        <v>0</v>
      </c>
      <c r="NL179">
        <v>0</v>
      </c>
      <c r="NM179">
        <v>0</v>
      </c>
      <c r="NN179">
        <v>0</v>
      </c>
      <c r="NO179">
        <v>0</v>
      </c>
      <c r="NP179">
        <v>0</v>
      </c>
      <c r="NQ179">
        <v>0</v>
      </c>
      <c r="NR179">
        <v>0</v>
      </c>
      <c r="NS179">
        <v>0</v>
      </c>
      <c r="NT179">
        <v>0</v>
      </c>
      <c r="NU179">
        <v>0</v>
      </c>
      <c r="NV179">
        <v>0</v>
      </c>
      <c r="NW179">
        <v>0</v>
      </c>
      <c r="NX179">
        <v>0</v>
      </c>
      <c r="NY179">
        <v>0</v>
      </c>
      <c r="NZ179">
        <v>0</v>
      </c>
      <c r="OA179">
        <v>0</v>
      </c>
      <c r="OB179">
        <v>0</v>
      </c>
      <c r="OC179">
        <v>0</v>
      </c>
      <c r="OD179">
        <v>0</v>
      </c>
      <c r="OE179">
        <v>0</v>
      </c>
      <c r="OF179">
        <v>0</v>
      </c>
      <c r="OG179">
        <v>0</v>
      </c>
      <c r="OH179">
        <v>0</v>
      </c>
      <c r="OI179">
        <v>0</v>
      </c>
      <c r="OJ179">
        <v>0</v>
      </c>
      <c r="OK179">
        <v>0</v>
      </c>
      <c r="OL179">
        <v>0</v>
      </c>
      <c r="OM179">
        <v>0</v>
      </c>
      <c r="ON179">
        <v>0</v>
      </c>
    </row>
    <row r="180" spans="1:404" x14ac:dyDescent="0.25">
      <c r="A180" t="s">
        <v>605</v>
      </c>
      <c r="B180" t="s">
        <v>606</v>
      </c>
      <c r="C180" t="s">
        <v>604</v>
      </c>
      <c r="E180" t="s">
        <v>1940</v>
      </c>
      <c r="F180">
        <v>22032</v>
      </c>
      <c r="G180">
        <v>110901</v>
      </c>
      <c r="H180">
        <v>20067</v>
      </c>
      <c r="I180">
        <v>43000</v>
      </c>
      <c r="J180">
        <v>-25</v>
      </c>
      <c r="K180">
        <v>29787</v>
      </c>
      <c r="L180">
        <v>225762</v>
      </c>
      <c r="M180">
        <v>11347</v>
      </c>
      <c r="N180">
        <v>0</v>
      </c>
      <c r="O180">
        <v>2788</v>
      </c>
      <c r="P180">
        <v>2788</v>
      </c>
      <c r="Q180">
        <v>270</v>
      </c>
      <c r="R180">
        <v>2846</v>
      </c>
      <c r="S180">
        <v>3188</v>
      </c>
      <c r="T180">
        <v>252</v>
      </c>
      <c r="U180">
        <v>4709</v>
      </c>
      <c r="V180">
        <v>0</v>
      </c>
      <c r="W180">
        <v>61</v>
      </c>
      <c r="X180">
        <v>124</v>
      </c>
      <c r="Y180">
        <v>-119</v>
      </c>
      <c r="Z180">
        <v>-11112</v>
      </c>
      <c r="AA180">
        <v>-92</v>
      </c>
      <c r="AB180">
        <v>8224</v>
      </c>
      <c r="AC180">
        <v>0</v>
      </c>
      <c r="AD180">
        <v>0</v>
      </c>
      <c r="AE180">
        <v>0</v>
      </c>
      <c r="AF180">
        <v>3</v>
      </c>
      <c r="AG180">
        <v>0</v>
      </c>
      <c r="AH180">
        <v>0</v>
      </c>
      <c r="AI180">
        <v>25277</v>
      </c>
      <c r="AJ180">
        <v>0</v>
      </c>
      <c r="AK180">
        <v>0</v>
      </c>
      <c r="AL180">
        <v>0</v>
      </c>
      <c r="AM180">
        <v>0</v>
      </c>
      <c r="AN180">
        <v>0</v>
      </c>
      <c r="AO180">
        <v>0</v>
      </c>
      <c r="AP180">
        <v>0</v>
      </c>
      <c r="AQ180">
        <v>9508</v>
      </c>
      <c r="AR180">
        <v>6581</v>
      </c>
      <c r="AS180">
        <v>0</v>
      </c>
      <c r="AT180">
        <v>0</v>
      </c>
      <c r="AU180">
        <v>0</v>
      </c>
      <c r="AV180">
        <v>915</v>
      </c>
      <c r="AW180">
        <v>30111</v>
      </c>
      <c r="AX180">
        <v>1283</v>
      </c>
      <c r="AY180">
        <v>3849</v>
      </c>
      <c r="AZ180">
        <v>2470</v>
      </c>
      <c r="BA180">
        <v>9306</v>
      </c>
      <c r="BB180">
        <v>4092</v>
      </c>
      <c r="BC180">
        <v>4141</v>
      </c>
      <c r="BD180">
        <v>56168</v>
      </c>
      <c r="BE180">
        <v>3521</v>
      </c>
      <c r="BF180">
        <v>15233</v>
      </c>
      <c r="BG180">
        <v>36</v>
      </c>
      <c r="BH180">
        <v>54</v>
      </c>
      <c r="BI180">
        <v>96</v>
      </c>
      <c r="BJ180">
        <v>1029</v>
      </c>
      <c r="BK180">
        <v>22807</v>
      </c>
      <c r="BL180">
        <v>1371</v>
      </c>
      <c r="BM180">
        <v>3325</v>
      </c>
      <c r="BN180">
        <v>1676</v>
      </c>
      <c r="BO180">
        <v>25</v>
      </c>
      <c r="BP180">
        <v>106</v>
      </c>
      <c r="BQ180">
        <v>233</v>
      </c>
      <c r="BR180">
        <v>26</v>
      </c>
      <c r="BS180">
        <v>125</v>
      </c>
      <c r="BT180">
        <v>10443</v>
      </c>
      <c r="BU180">
        <v>0</v>
      </c>
      <c r="BV180">
        <v>5312</v>
      </c>
      <c r="BW180">
        <v>65416</v>
      </c>
      <c r="BX180">
        <v>2037</v>
      </c>
      <c r="BY180">
        <v>759</v>
      </c>
      <c r="BZ180">
        <v>141</v>
      </c>
      <c r="CA180">
        <v>209</v>
      </c>
      <c r="CB180">
        <v>82</v>
      </c>
      <c r="CC180">
        <v>387</v>
      </c>
      <c r="CD180">
        <v>286</v>
      </c>
      <c r="CE180">
        <v>336</v>
      </c>
      <c r="CF180">
        <v>393</v>
      </c>
      <c r="CG180">
        <v>373</v>
      </c>
      <c r="CH180">
        <v>212</v>
      </c>
      <c r="CI180">
        <v>1178</v>
      </c>
      <c r="CJ180">
        <v>84</v>
      </c>
      <c r="CK180">
        <v>288</v>
      </c>
      <c r="CL180">
        <v>168</v>
      </c>
      <c r="CM180">
        <v>84</v>
      </c>
      <c r="CN180">
        <v>441</v>
      </c>
      <c r="CO180">
        <v>0</v>
      </c>
      <c r="CP180">
        <v>590</v>
      </c>
      <c r="CQ180">
        <v>3829</v>
      </c>
      <c r="CR180">
        <v>728</v>
      </c>
      <c r="CS180">
        <v>0</v>
      </c>
      <c r="CT180">
        <v>244</v>
      </c>
      <c r="CU180">
        <v>2843</v>
      </c>
      <c r="CV180">
        <v>20249</v>
      </c>
      <c r="CW180">
        <v>0</v>
      </c>
      <c r="CX180">
        <v>0</v>
      </c>
      <c r="CY180">
        <v>0</v>
      </c>
      <c r="CZ180">
        <v>0</v>
      </c>
      <c r="DA180">
        <v>0</v>
      </c>
      <c r="DB180">
        <v>0</v>
      </c>
      <c r="DC180">
        <v>1608</v>
      </c>
      <c r="DD180">
        <v>0</v>
      </c>
      <c r="DE180">
        <v>0</v>
      </c>
      <c r="DF180">
        <v>371</v>
      </c>
      <c r="DG180">
        <v>565</v>
      </c>
      <c r="DH180">
        <v>2468</v>
      </c>
      <c r="DI180">
        <v>0</v>
      </c>
      <c r="DJ180">
        <v>633</v>
      </c>
      <c r="DK180">
        <v>0</v>
      </c>
      <c r="DL180">
        <v>-121</v>
      </c>
      <c r="DM180">
        <v>3174</v>
      </c>
      <c r="DN180">
        <v>1381</v>
      </c>
      <c r="DO180">
        <v>2692</v>
      </c>
      <c r="DP180">
        <v>10792</v>
      </c>
      <c r="DQ180">
        <v>0</v>
      </c>
      <c r="DR180">
        <v>0</v>
      </c>
      <c r="DS180">
        <v>0</v>
      </c>
      <c r="DT180">
        <v>0</v>
      </c>
      <c r="DU180">
        <v>-59</v>
      </c>
      <c r="DV180">
        <v>1584</v>
      </c>
      <c r="DW180">
        <v>0</v>
      </c>
      <c r="DX180">
        <v>14296</v>
      </c>
      <c r="DY180">
        <v>69487</v>
      </c>
      <c r="DZ180">
        <v>2045</v>
      </c>
      <c r="EA180">
        <v>12414</v>
      </c>
      <c r="EB180">
        <v>4315</v>
      </c>
      <c r="EC180">
        <v>0</v>
      </c>
      <c r="ED180">
        <v>422</v>
      </c>
      <c r="EE180">
        <v>0</v>
      </c>
      <c r="EF180">
        <v>0</v>
      </c>
      <c r="EG180">
        <v>0</v>
      </c>
      <c r="EH180">
        <v>18769</v>
      </c>
      <c r="EI180">
        <v>23134</v>
      </c>
      <c r="EJ180">
        <v>17629</v>
      </c>
      <c r="EK180">
        <v>620</v>
      </c>
      <c r="EL180">
        <v>8924</v>
      </c>
      <c r="EM180">
        <v>14521</v>
      </c>
      <c r="EN180">
        <v>19572</v>
      </c>
      <c r="EO180">
        <v>14</v>
      </c>
      <c r="EP180">
        <v>0</v>
      </c>
      <c r="EQ180">
        <v>57</v>
      </c>
      <c r="ER180">
        <v>0</v>
      </c>
      <c r="ES180">
        <v>16606</v>
      </c>
      <c r="ET180">
        <v>2049</v>
      </c>
      <c r="EU180">
        <v>0</v>
      </c>
      <c r="EV180">
        <v>218</v>
      </c>
      <c r="EW180">
        <v>297</v>
      </c>
      <c r="EX180">
        <v>0</v>
      </c>
      <c r="EY180">
        <v>0</v>
      </c>
      <c r="EZ180">
        <v>458</v>
      </c>
      <c r="FA180">
        <v>0</v>
      </c>
      <c r="FB180">
        <v>342</v>
      </c>
      <c r="FC180">
        <v>154</v>
      </c>
      <c r="FD180">
        <v>4875</v>
      </c>
      <c r="FE180">
        <v>0</v>
      </c>
      <c r="FF180">
        <v>0</v>
      </c>
      <c r="FG180">
        <v>2786</v>
      </c>
      <c r="FH180">
        <v>9130</v>
      </c>
      <c r="FI180">
        <v>-148</v>
      </c>
      <c r="FJ180">
        <v>333</v>
      </c>
      <c r="FK180">
        <v>0</v>
      </c>
      <c r="FL180">
        <v>158</v>
      </c>
      <c r="FM180">
        <v>593</v>
      </c>
      <c r="FN180">
        <v>0</v>
      </c>
      <c r="FO180">
        <v>56</v>
      </c>
      <c r="FP180">
        <v>0</v>
      </c>
      <c r="FQ180">
        <v>0</v>
      </c>
      <c r="FR180">
        <v>129</v>
      </c>
      <c r="FS180">
        <v>0</v>
      </c>
      <c r="FT180">
        <v>49</v>
      </c>
      <c r="FU180">
        <v>-310</v>
      </c>
      <c r="FV180">
        <v>0</v>
      </c>
      <c r="FW180">
        <v>0</v>
      </c>
      <c r="FX180">
        <v>765</v>
      </c>
      <c r="FY180">
        <v>0</v>
      </c>
      <c r="FZ180">
        <v>0</v>
      </c>
      <c r="GA180">
        <v>0</v>
      </c>
      <c r="GB180">
        <v>0</v>
      </c>
      <c r="GC180">
        <v>0</v>
      </c>
      <c r="GD180">
        <v>2768</v>
      </c>
      <c r="GE180">
        <v>5784</v>
      </c>
      <c r="GF180">
        <v>-294</v>
      </c>
      <c r="GG180">
        <v>-331</v>
      </c>
      <c r="GH180">
        <v>5072</v>
      </c>
      <c r="GI180">
        <v>0</v>
      </c>
      <c r="GJ180">
        <v>857</v>
      </c>
      <c r="GK180">
        <v>15481</v>
      </c>
      <c r="GL180">
        <v>544</v>
      </c>
      <c r="GM180">
        <v>477</v>
      </c>
      <c r="GN180">
        <v>0</v>
      </c>
      <c r="GO180">
        <v>945</v>
      </c>
      <c r="GP180">
        <v>0</v>
      </c>
      <c r="GQ180">
        <v>-1734</v>
      </c>
      <c r="GR180">
        <v>0</v>
      </c>
      <c r="GS180">
        <v>-2304</v>
      </c>
      <c r="GT180">
        <v>301</v>
      </c>
      <c r="GU180">
        <v>-1771</v>
      </c>
      <c r="GV180">
        <v>22840</v>
      </c>
      <c r="GW180">
        <v>0</v>
      </c>
      <c r="GX180">
        <v>0</v>
      </c>
      <c r="GY180">
        <v>0</v>
      </c>
      <c r="GZ180">
        <v>0</v>
      </c>
      <c r="HA180">
        <v>0</v>
      </c>
      <c r="HB180">
        <v>3778</v>
      </c>
      <c r="HC180">
        <v>1562</v>
      </c>
      <c r="HD180">
        <v>0</v>
      </c>
      <c r="HE180">
        <v>-28</v>
      </c>
      <c r="HF180">
        <v>2768</v>
      </c>
      <c r="HG180">
        <v>-203</v>
      </c>
      <c r="HH180">
        <v>0</v>
      </c>
      <c r="HI180">
        <v>-135</v>
      </c>
      <c r="HJ180">
        <v>567</v>
      </c>
      <c r="HK180">
        <v>130</v>
      </c>
      <c r="HL180">
        <v>932</v>
      </c>
      <c r="HM180">
        <v>-232</v>
      </c>
      <c r="HN180">
        <v>805</v>
      </c>
      <c r="HO180">
        <v>1528</v>
      </c>
      <c r="HP180">
        <v>0</v>
      </c>
      <c r="HQ180">
        <v>0</v>
      </c>
      <c r="HR180">
        <v>1190</v>
      </c>
      <c r="HS180">
        <v>0</v>
      </c>
      <c r="HT180">
        <v>0</v>
      </c>
      <c r="HU180">
        <v>0</v>
      </c>
      <c r="HV180">
        <v>12662</v>
      </c>
      <c r="HW180">
        <v>4383</v>
      </c>
      <c r="HX180">
        <v>21633</v>
      </c>
      <c r="HY180">
        <v>441</v>
      </c>
      <c r="HZ180">
        <v>5754</v>
      </c>
      <c r="IA180">
        <v>1378</v>
      </c>
      <c r="IB180">
        <v>0</v>
      </c>
      <c r="IC180">
        <v>225762</v>
      </c>
      <c r="ID180">
        <v>25277</v>
      </c>
      <c r="IE180">
        <v>56168</v>
      </c>
      <c r="IF180">
        <v>65416</v>
      </c>
      <c r="IG180">
        <v>20249</v>
      </c>
      <c r="IH180">
        <v>14296</v>
      </c>
      <c r="II180">
        <v>9130</v>
      </c>
      <c r="IJ180">
        <v>15481</v>
      </c>
      <c r="IK180">
        <v>-1771</v>
      </c>
      <c r="IL180">
        <v>0</v>
      </c>
      <c r="IM180">
        <v>0</v>
      </c>
      <c r="IN180">
        <v>12662</v>
      </c>
      <c r="IO180">
        <v>0</v>
      </c>
      <c r="IP180">
        <v>442670</v>
      </c>
      <c r="IQ180">
        <v>51564</v>
      </c>
      <c r="IR180">
        <v>6059</v>
      </c>
      <c r="IS180">
        <v>24293</v>
      </c>
      <c r="IT180">
        <v>0</v>
      </c>
      <c r="IU180">
        <v>0</v>
      </c>
      <c r="IV180">
        <v>0</v>
      </c>
      <c r="IW180">
        <v>0</v>
      </c>
      <c r="IX180">
        <v>10824</v>
      </c>
      <c r="IY180">
        <v>294</v>
      </c>
      <c r="IZ180">
        <v>623</v>
      </c>
      <c r="JA180">
        <v>232</v>
      </c>
      <c r="JB180">
        <v>1442</v>
      </c>
      <c r="JC180">
        <v>0</v>
      </c>
      <c r="JD180">
        <v>0</v>
      </c>
      <c r="JE180">
        <v>0</v>
      </c>
      <c r="JF180">
        <v>0</v>
      </c>
      <c r="JG180">
        <v>538002</v>
      </c>
      <c r="JH180">
        <v>202</v>
      </c>
      <c r="JI180">
        <v>6686</v>
      </c>
      <c r="JJ180">
        <v>576</v>
      </c>
      <c r="JK180">
        <v>0</v>
      </c>
      <c r="JL180">
        <v>0</v>
      </c>
      <c r="JM180">
        <v>1510</v>
      </c>
      <c r="JN180">
        <v>9165</v>
      </c>
      <c r="JO180">
        <v>0</v>
      </c>
      <c r="JP180">
        <v>9367</v>
      </c>
      <c r="JQ180">
        <v>-8363</v>
      </c>
      <c r="JR180">
        <v>557144</v>
      </c>
      <c r="JS180">
        <v>-5745</v>
      </c>
      <c r="JT180">
        <v>0</v>
      </c>
      <c r="JU180">
        <v>0</v>
      </c>
      <c r="JV180">
        <v>0</v>
      </c>
      <c r="JW180">
        <v>-97651</v>
      </c>
      <c r="JX180">
        <v>0</v>
      </c>
      <c r="JY180">
        <v>-4175</v>
      </c>
      <c r="JZ180">
        <v>0</v>
      </c>
      <c r="KA180">
        <v>0</v>
      </c>
      <c r="KB180">
        <v>-5636</v>
      </c>
      <c r="KC180">
        <v>443937</v>
      </c>
      <c r="KD180">
        <v>0</v>
      </c>
      <c r="KE180">
        <v>-260889</v>
      </c>
      <c r="KF180">
        <v>183048</v>
      </c>
      <c r="KG180">
        <v>0</v>
      </c>
      <c r="KH180">
        <v>-3158</v>
      </c>
      <c r="KI180">
        <v>0</v>
      </c>
      <c r="KJ180">
        <v>1205</v>
      </c>
      <c r="KK180">
        <v>4240</v>
      </c>
      <c r="KL180">
        <v>-9700</v>
      </c>
      <c r="KM180">
        <v>-9706</v>
      </c>
      <c r="KN180">
        <v>0</v>
      </c>
      <c r="KO180">
        <v>-31070</v>
      </c>
      <c r="KP180">
        <v>34</v>
      </c>
      <c r="KQ180">
        <v>0</v>
      </c>
      <c r="KR180">
        <v>115098</v>
      </c>
      <c r="KS180">
        <v>12933</v>
      </c>
      <c r="KT180">
        <v>0</v>
      </c>
      <c r="KU180">
        <v>6978</v>
      </c>
      <c r="KV180">
        <v>195086</v>
      </c>
      <c r="KW180">
        <v>22882</v>
      </c>
      <c r="KX180">
        <v>9775</v>
      </c>
      <c r="KY180">
        <v>0</v>
      </c>
      <c r="KZ180">
        <v>8183</v>
      </c>
      <c r="LA180">
        <v>199326</v>
      </c>
      <c r="LB180">
        <v>13182</v>
      </c>
      <c r="LC180">
        <v>0</v>
      </c>
      <c r="LD180">
        <v>16665</v>
      </c>
      <c r="LE180">
        <v>21</v>
      </c>
      <c r="LF180">
        <v>-150029</v>
      </c>
      <c r="LG180">
        <v>-36415</v>
      </c>
      <c r="LH180">
        <v>3165</v>
      </c>
      <c r="LI180">
        <v>-186642</v>
      </c>
      <c r="LJ180">
        <v>7004</v>
      </c>
      <c r="LK180">
        <v>15091</v>
      </c>
      <c r="LL180">
        <v>22095</v>
      </c>
      <c r="LM180">
        <v>0</v>
      </c>
      <c r="LN180">
        <v>0</v>
      </c>
      <c r="LO180">
        <v>0</v>
      </c>
      <c r="LP180">
        <v>88683</v>
      </c>
      <c r="LQ180">
        <v>103240</v>
      </c>
      <c r="LR180">
        <v>-14557</v>
      </c>
      <c r="LS180">
        <v>16606</v>
      </c>
      <c r="LT180">
        <v>2049</v>
      </c>
      <c r="LU180">
        <v>225762</v>
      </c>
      <c r="LV180">
        <v>25277</v>
      </c>
      <c r="LW180">
        <v>56168</v>
      </c>
      <c r="LX180">
        <v>65416</v>
      </c>
      <c r="LY180">
        <v>20249</v>
      </c>
      <c r="LZ180">
        <v>14296</v>
      </c>
      <c r="MA180">
        <v>9130</v>
      </c>
      <c r="MB180">
        <v>15481</v>
      </c>
      <c r="MC180">
        <v>-1771</v>
      </c>
      <c r="MD180">
        <v>0</v>
      </c>
      <c r="ME180">
        <v>0</v>
      </c>
      <c r="MF180">
        <v>12662</v>
      </c>
      <c r="MG180">
        <v>0</v>
      </c>
      <c r="MH180">
        <v>442670</v>
      </c>
      <c r="MI180">
        <v>0</v>
      </c>
      <c r="MJ180">
        <v>0</v>
      </c>
      <c r="MK180">
        <v>0</v>
      </c>
      <c r="ML180">
        <v>0</v>
      </c>
      <c r="MM180">
        <v>0</v>
      </c>
      <c r="MN180">
        <v>0</v>
      </c>
      <c r="MO180">
        <v>0</v>
      </c>
      <c r="MP180">
        <v>0</v>
      </c>
      <c r="MQ180">
        <v>0</v>
      </c>
      <c r="MR180">
        <v>0</v>
      </c>
      <c r="MS180">
        <v>0</v>
      </c>
      <c r="MT180">
        <v>0</v>
      </c>
      <c r="MU180">
        <v>0</v>
      </c>
      <c r="MV180">
        <v>0</v>
      </c>
      <c r="MW180">
        <v>0</v>
      </c>
      <c r="MX180">
        <v>0</v>
      </c>
      <c r="MY180">
        <v>0</v>
      </c>
      <c r="MZ180">
        <v>0</v>
      </c>
      <c r="NA180">
        <v>232</v>
      </c>
      <c r="NB180">
        <v>0</v>
      </c>
      <c r="NC180">
        <v>232</v>
      </c>
      <c r="ND180">
        <v>0</v>
      </c>
      <c r="NE180">
        <v>0</v>
      </c>
      <c r="NF180">
        <v>0</v>
      </c>
      <c r="NG180">
        <v>0</v>
      </c>
      <c r="NH180">
        <v>0</v>
      </c>
      <c r="NI180">
        <v>0</v>
      </c>
      <c r="NJ180">
        <v>0</v>
      </c>
      <c r="NK180">
        <v>0</v>
      </c>
      <c r="NL180">
        <v>0</v>
      </c>
      <c r="NM180">
        <v>0</v>
      </c>
      <c r="NN180">
        <v>676</v>
      </c>
      <c r="NO180">
        <v>-82</v>
      </c>
      <c r="NP180">
        <v>0</v>
      </c>
      <c r="NQ180">
        <v>-2217</v>
      </c>
      <c r="NR180">
        <v>0</v>
      </c>
      <c r="NS180">
        <v>0</v>
      </c>
      <c r="NT180">
        <v>0</v>
      </c>
      <c r="NU180">
        <v>0</v>
      </c>
      <c r="NV180">
        <v>0</v>
      </c>
      <c r="NW180">
        <v>0</v>
      </c>
      <c r="NX180">
        <v>0</v>
      </c>
      <c r="NY180">
        <v>0</v>
      </c>
      <c r="NZ180">
        <v>1442</v>
      </c>
      <c r="OA180">
        <v>0</v>
      </c>
      <c r="OB180">
        <v>1442</v>
      </c>
      <c r="OC180">
        <v>0</v>
      </c>
      <c r="OD180">
        <v>0</v>
      </c>
      <c r="OE180">
        <v>0</v>
      </c>
      <c r="OF180">
        <v>0</v>
      </c>
      <c r="OG180">
        <v>0</v>
      </c>
      <c r="OH180">
        <v>0</v>
      </c>
      <c r="OI180">
        <v>0</v>
      </c>
      <c r="OJ180">
        <v>0</v>
      </c>
      <c r="OK180">
        <v>0</v>
      </c>
      <c r="OL180">
        <v>0</v>
      </c>
      <c r="OM180">
        <v>0</v>
      </c>
      <c r="ON180">
        <v>0</v>
      </c>
    </row>
    <row r="181" spans="1:404" x14ac:dyDescent="0.25">
      <c r="A181" t="s">
        <v>608</v>
      </c>
      <c r="B181" t="s">
        <v>609</v>
      </c>
      <c r="C181" t="s">
        <v>5430</v>
      </c>
      <c r="E181" t="s">
        <v>5408</v>
      </c>
      <c r="F181">
        <v>0</v>
      </c>
      <c r="G181">
        <v>0</v>
      </c>
      <c r="H181">
        <v>0</v>
      </c>
      <c r="I181">
        <v>0</v>
      </c>
      <c r="J181">
        <v>0</v>
      </c>
      <c r="K181">
        <v>0</v>
      </c>
      <c r="L181">
        <v>0</v>
      </c>
      <c r="M181">
        <v>0</v>
      </c>
      <c r="N181">
        <v>0</v>
      </c>
      <c r="O181">
        <v>0</v>
      </c>
      <c r="P181">
        <v>0</v>
      </c>
      <c r="Q181">
        <v>0</v>
      </c>
      <c r="R181">
        <v>0</v>
      </c>
      <c r="S181">
        <v>0</v>
      </c>
      <c r="T181">
        <v>0</v>
      </c>
      <c r="U181">
        <v>0</v>
      </c>
      <c r="V181">
        <v>0</v>
      </c>
      <c r="W181">
        <v>0</v>
      </c>
      <c r="X181">
        <v>0</v>
      </c>
      <c r="Y181">
        <v>0</v>
      </c>
      <c r="Z181">
        <v>0</v>
      </c>
      <c r="AA181">
        <v>0</v>
      </c>
      <c r="AB181">
        <v>0</v>
      </c>
      <c r="AC181">
        <v>0</v>
      </c>
      <c r="AD181">
        <v>0</v>
      </c>
      <c r="AE181">
        <v>0</v>
      </c>
      <c r="AF181">
        <v>0</v>
      </c>
      <c r="AG181">
        <v>0</v>
      </c>
      <c r="AH181">
        <v>0</v>
      </c>
      <c r="AI181">
        <v>0</v>
      </c>
      <c r="AJ181">
        <v>0</v>
      </c>
      <c r="AK181">
        <v>0</v>
      </c>
      <c r="AL181">
        <v>0</v>
      </c>
      <c r="AM181">
        <v>0</v>
      </c>
      <c r="AN181">
        <v>0</v>
      </c>
      <c r="AO181">
        <v>0</v>
      </c>
      <c r="AP181">
        <v>0</v>
      </c>
      <c r="AQ181">
        <v>0</v>
      </c>
      <c r="AR181">
        <v>0</v>
      </c>
      <c r="AS181">
        <v>0</v>
      </c>
      <c r="AT181">
        <v>0</v>
      </c>
      <c r="AU181">
        <v>0</v>
      </c>
      <c r="AV181">
        <v>0</v>
      </c>
      <c r="AW181">
        <v>0</v>
      </c>
      <c r="AX181">
        <v>0</v>
      </c>
      <c r="AY181">
        <v>0</v>
      </c>
      <c r="AZ181">
        <v>0</v>
      </c>
      <c r="BA181">
        <v>0</v>
      </c>
      <c r="BB181">
        <v>0</v>
      </c>
      <c r="BC181">
        <v>0</v>
      </c>
      <c r="BD181">
        <v>0</v>
      </c>
      <c r="BE181">
        <v>0</v>
      </c>
      <c r="BF181">
        <v>0</v>
      </c>
      <c r="BG181">
        <v>0</v>
      </c>
      <c r="BH181">
        <v>0</v>
      </c>
      <c r="BI181">
        <v>0</v>
      </c>
      <c r="BJ181">
        <v>0</v>
      </c>
      <c r="BK181">
        <v>0</v>
      </c>
      <c r="BL181">
        <v>0</v>
      </c>
      <c r="BM181">
        <v>0</v>
      </c>
      <c r="BN181">
        <v>0</v>
      </c>
      <c r="BO181">
        <v>0</v>
      </c>
      <c r="BP181">
        <v>0</v>
      </c>
      <c r="BQ181">
        <v>0</v>
      </c>
      <c r="BR181">
        <v>0</v>
      </c>
      <c r="BS181">
        <v>0</v>
      </c>
      <c r="BT181">
        <v>0</v>
      </c>
      <c r="BU181">
        <v>0</v>
      </c>
      <c r="BV181">
        <v>0</v>
      </c>
      <c r="BW181">
        <v>0</v>
      </c>
      <c r="BX181">
        <v>0</v>
      </c>
      <c r="BY181">
        <v>0</v>
      </c>
      <c r="BZ181">
        <v>0</v>
      </c>
      <c r="CA181">
        <v>0</v>
      </c>
      <c r="CB181">
        <v>0</v>
      </c>
      <c r="CC181">
        <v>0</v>
      </c>
      <c r="CD181">
        <v>0</v>
      </c>
      <c r="CE181">
        <v>0</v>
      </c>
      <c r="CF181">
        <v>0</v>
      </c>
      <c r="CG181">
        <v>0</v>
      </c>
      <c r="CH181">
        <v>0</v>
      </c>
      <c r="CI181">
        <v>0</v>
      </c>
      <c r="CJ181">
        <v>0</v>
      </c>
      <c r="CK181">
        <v>0</v>
      </c>
      <c r="CL181">
        <v>0</v>
      </c>
      <c r="CM181">
        <v>0</v>
      </c>
      <c r="CN181">
        <v>0</v>
      </c>
      <c r="CO181">
        <v>0</v>
      </c>
      <c r="CP181">
        <v>0</v>
      </c>
      <c r="CQ181">
        <v>0</v>
      </c>
      <c r="CR181">
        <v>0</v>
      </c>
      <c r="CS181">
        <v>0</v>
      </c>
      <c r="CT181">
        <v>0</v>
      </c>
      <c r="CU181">
        <v>0</v>
      </c>
      <c r="CV181">
        <v>0</v>
      </c>
      <c r="CW181">
        <v>0</v>
      </c>
      <c r="CX181">
        <v>0</v>
      </c>
      <c r="CY181">
        <v>0</v>
      </c>
      <c r="CZ181">
        <v>0</v>
      </c>
      <c r="DA181">
        <v>0</v>
      </c>
      <c r="DB181">
        <v>0</v>
      </c>
      <c r="DC181">
        <v>0</v>
      </c>
      <c r="DD181">
        <v>0</v>
      </c>
      <c r="DE181">
        <v>0</v>
      </c>
      <c r="DF181">
        <v>0</v>
      </c>
      <c r="DG181">
        <v>0</v>
      </c>
      <c r="DH181">
        <v>0</v>
      </c>
      <c r="DI181">
        <v>0</v>
      </c>
      <c r="DJ181">
        <v>0</v>
      </c>
      <c r="DK181">
        <v>0</v>
      </c>
      <c r="DL181">
        <v>0</v>
      </c>
      <c r="DM181">
        <v>0</v>
      </c>
      <c r="DN181">
        <v>0</v>
      </c>
      <c r="DO181">
        <v>0</v>
      </c>
      <c r="DP181">
        <v>0</v>
      </c>
      <c r="DQ181">
        <v>0</v>
      </c>
      <c r="DR181">
        <v>0</v>
      </c>
      <c r="DS181">
        <v>0</v>
      </c>
      <c r="DT181">
        <v>0</v>
      </c>
      <c r="DU181">
        <v>0</v>
      </c>
      <c r="DV181">
        <v>0</v>
      </c>
      <c r="DW181">
        <v>0</v>
      </c>
      <c r="DX181">
        <v>0</v>
      </c>
      <c r="DY181">
        <v>0</v>
      </c>
      <c r="DZ181">
        <v>0</v>
      </c>
      <c r="EA181">
        <v>0</v>
      </c>
      <c r="EB181">
        <v>0</v>
      </c>
      <c r="EC181">
        <v>0</v>
      </c>
      <c r="ED181">
        <v>0</v>
      </c>
      <c r="EE181">
        <v>0</v>
      </c>
      <c r="EF181">
        <v>0</v>
      </c>
      <c r="EG181">
        <v>0</v>
      </c>
      <c r="EH181">
        <v>0</v>
      </c>
      <c r="EI181">
        <v>0</v>
      </c>
      <c r="EJ181">
        <v>0</v>
      </c>
      <c r="EK181">
        <v>0</v>
      </c>
      <c r="EL181">
        <v>0</v>
      </c>
      <c r="EM181">
        <v>0</v>
      </c>
      <c r="EN181">
        <v>0</v>
      </c>
      <c r="EO181">
        <v>0</v>
      </c>
      <c r="EP181">
        <v>0</v>
      </c>
      <c r="EQ181">
        <v>0</v>
      </c>
      <c r="ER181">
        <v>0</v>
      </c>
      <c r="ES181">
        <v>0</v>
      </c>
      <c r="ET181">
        <v>0</v>
      </c>
      <c r="EU181">
        <v>0</v>
      </c>
      <c r="EV181">
        <v>0</v>
      </c>
      <c r="EW181">
        <v>0</v>
      </c>
      <c r="EX181">
        <v>0</v>
      </c>
      <c r="EY181">
        <v>0</v>
      </c>
      <c r="EZ181">
        <v>0</v>
      </c>
      <c r="FA181">
        <v>0</v>
      </c>
      <c r="FB181">
        <v>0</v>
      </c>
      <c r="FC181">
        <v>0</v>
      </c>
      <c r="FD181">
        <v>0</v>
      </c>
      <c r="FE181">
        <v>0</v>
      </c>
      <c r="FF181">
        <v>0</v>
      </c>
      <c r="FG181">
        <v>0</v>
      </c>
      <c r="FH181">
        <v>0</v>
      </c>
      <c r="FI181">
        <v>0</v>
      </c>
      <c r="FJ181">
        <v>0</v>
      </c>
      <c r="FK181">
        <v>0</v>
      </c>
      <c r="FL181">
        <v>0</v>
      </c>
      <c r="FM181">
        <v>0</v>
      </c>
      <c r="FN181">
        <v>0</v>
      </c>
      <c r="FO181">
        <v>0</v>
      </c>
      <c r="FP181">
        <v>0</v>
      </c>
      <c r="FQ181">
        <v>0</v>
      </c>
      <c r="FR181">
        <v>0</v>
      </c>
      <c r="FS181">
        <v>0</v>
      </c>
      <c r="FT181">
        <v>0</v>
      </c>
      <c r="FU181">
        <v>0</v>
      </c>
      <c r="FV181">
        <v>0</v>
      </c>
      <c r="FW181">
        <v>0</v>
      </c>
      <c r="FX181">
        <v>0</v>
      </c>
      <c r="FY181">
        <v>0</v>
      </c>
      <c r="FZ181">
        <v>0</v>
      </c>
      <c r="GA181">
        <v>0</v>
      </c>
      <c r="GB181">
        <v>0</v>
      </c>
      <c r="GC181">
        <v>0</v>
      </c>
      <c r="GD181">
        <v>0</v>
      </c>
      <c r="GE181">
        <v>0</v>
      </c>
      <c r="GF181">
        <v>0</v>
      </c>
      <c r="GG181">
        <v>0</v>
      </c>
      <c r="GH181">
        <v>0</v>
      </c>
      <c r="GI181">
        <v>0</v>
      </c>
      <c r="GJ181">
        <v>0</v>
      </c>
      <c r="GK181">
        <v>0</v>
      </c>
      <c r="GL181">
        <v>0</v>
      </c>
      <c r="GM181">
        <v>0</v>
      </c>
      <c r="GN181">
        <v>0</v>
      </c>
      <c r="GO181">
        <v>0</v>
      </c>
      <c r="GP181">
        <v>0</v>
      </c>
      <c r="GQ181">
        <v>0</v>
      </c>
      <c r="GR181">
        <v>0</v>
      </c>
      <c r="GS181">
        <v>0</v>
      </c>
      <c r="GT181">
        <v>0</v>
      </c>
      <c r="GU181">
        <v>0</v>
      </c>
      <c r="GV181">
        <v>0</v>
      </c>
      <c r="GW181">
        <v>0</v>
      </c>
      <c r="GX181">
        <v>3196</v>
      </c>
      <c r="GY181">
        <v>37593</v>
      </c>
      <c r="GZ181">
        <v>-15</v>
      </c>
      <c r="HA181">
        <v>40774</v>
      </c>
      <c r="HB181">
        <v>147</v>
      </c>
      <c r="HC181">
        <v>0</v>
      </c>
      <c r="HD181">
        <v>0</v>
      </c>
      <c r="HE181">
        <v>0</v>
      </c>
      <c r="HF181">
        <v>0</v>
      </c>
      <c r="HG181">
        <v>0</v>
      </c>
      <c r="HH181">
        <v>0</v>
      </c>
      <c r="HI181">
        <v>0</v>
      </c>
      <c r="HJ181">
        <v>0</v>
      </c>
      <c r="HK181">
        <v>0</v>
      </c>
      <c r="HL181">
        <v>0</v>
      </c>
      <c r="HM181">
        <v>0</v>
      </c>
      <c r="HN181">
        <v>0</v>
      </c>
      <c r="HO181">
        <v>0</v>
      </c>
      <c r="HP181">
        <v>0</v>
      </c>
      <c r="HQ181">
        <v>0</v>
      </c>
      <c r="HR181">
        <v>0</v>
      </c>
      <c r="HS181">
        <v>0</v>
      </c>
      <c r="HT181">
        <v>0</v>
      </c>
      <c r="HU181">
        <v>0</v>
      </c>
      <c r="HV181">
        <v>147</v>
      </c>
      <c r="HW181">
        <v>0</v>
      </c>
      <c r="HX181">
        <v>0</v>
      </c>
      <c r="HY181">
        <v>0</v>
      </c>
      <c r="HZ181">
        <v>0</v>
      </c>
      <c r="IA181">
        <v>0</v>
      </c>
      <c r="IB181">
        <v>0</v>
      </c>
      <c r="IC181">
        <v>0</v>
      </c>
      <c r="ID181">
        <v>0</v>
      </c>
      <c r="IE181">
        <v>0</v>
      </c>
      <c r="IF181">
        <v>0</v>
      </c>
      <c r="IG181">
        <v>0</v>
      </c>
      <c r="IH181">
        <v>0</v>
      </c>
      <c r="II181">
        <v>0</v>
      </c>
      <c r="IJ181">
        <v>0</v>
      </c>
      <c r="IK181">
        <v>0</v>
      </c>
      <c r="IL181">
        <v>0</v>
      </c>
      <c r="IM181">
        <v>40774</v>
      </c>
      <c r="IN181">
        <v>147</v>
      </c>
      <c r="IO181">
        <v>0</v>
      </c>
      <c r="IP181">
        <v>40921</v>
      </c>
      <c r="IQ181">
        <v>0</v>
      </c>
      <c r="IR181">
        <v>0</v>
      </c>
      <c r="IS181">
        <v>0</v>
      </c>
      <c r="IT181">
        <v>0</v>
      </c>
      <c r="IU181">
        <v>0</v>
      </c>
      <c r="IV181">
        <v>0</v>
      </c>
      <c r="IW181">
        <v>0</v>
      </c>
      <c r="IX181">
        <v>0</v>
      </c>
      <c r="IY181">
        <v>0</v>
      </c>
      <c r="IZ181">
        <v>0</v>
      </c>
      <c r="JA181">
        <v>0</v>
      </c>
      <c r="JB181">
        <v>0</v>
      </c>
      <c r="JC181">
        <v>0</v>
      </c>
      <c r="JD181">
        <v>0</v>
      </c>
      <c r="JE181">
        <v>-210</v>
      </c>
      <c r="JF181">
        <v>0</v>
      </c>
      <c r="JG181">
        <v>40711</v>
      </c>
      <c r="JH181">
        <v>0</v>
      </c>
      <c r="JI181">
        <v>1960</v>
      </c>
      <c r="JJ181">
        <v>0</v>
      </c>
      <c r="JK181">
        <v>0</v>
      </c>
      <c r="JL181">
        <v>0</v>
      </c>
      <c r="JM181">
        <v>0</v>
      </c>
      <c r="JN181">
        <v>788</v>
      </c>
      <c r="JO181">
        <v>0</v>
      </c>
      <c r="JP181">
        <v>589</v>
      </c>
      <c r="JQ181">
        <v>0</v>
      </c>
      <c r="JR181">
        <v>44048</v>
      </c>
      <c r="JS181">
        <v>-16</v>
      </c>
      <c r="JT181">
        <v>0</v>
      </c>
      <c r="JU181">
        <v>0</v>
      </c>
      <c r="JV181">
        <v>0</v>
      </c>
      <c r="JW181">
        <v>0</v>
      </c>
      <c r="JX181">
        <v>0</v>
      </c>
      <c r="JY181">
        <v>0</v>
      </c>
      <c r="JZ181">
        <v>0</v>
      </c>
      <c r="KA181">
        <v>0</v>
      </c>
      <c r="KB181">
        <v>0</v>
      </c>
      <c r="KC181">
        <v>44032</v>
      </c>
      <c r="KD181">
        <v>0</v>
      </c>
      <c r="KE181">
        <v>0</v>
      </c>
      <c r="KF181">
        <v>44032</v>
      </c>
      <c r="KG181">
        <v>0</v>
      </c>
      <c r="KH181">
        <v>0</v>
      </c>
      <c r="KI181">
        <v>0</v>
      </c>
      <c r="KJ181">
        <v>0</v>
      </c>
      <c r="KK181">
        <v>-266</v>
      </c>
      <c r="KL181">
        <v>1065</v>
      </c>
      <c r="KM181">
        <v>-7378</v>
      </c>
      <c r="KN181">
        <v>0</v>
      </c>
      <c r="KO181">
        <v>-12058</v>
      </c>
      <c r="KP181">
        <v>137</v>
      </c>
      <c r="KQ181">
        <v>0</v>
      </c>
      <c r="KR181">
        <v>24148</v>
      </c>
      <c r="KS181">
        <v>0</v>
      </c>
      <c r="KT181">
        <v>0</v>
      </c>
      <c r="KU181">
        <v>0</v>
      </c>
      <c r="KV181">
        <v>7363</v>
      </c>
      <c r="KW181">
        <v>6373</v>
      </c>
      <c r="KX181">
        <v>0</v>
      </c>
      <c r="KY181">
        <v>0</v>
      </c>
      <c r="KZ181">
        <v>0</v>
      </c>
      <c r="LA181">
        <v>7097</v>
      </c>
      <c r="LB181">
        <v>7438</v>
      </c>
      <c r="LC181">
        <v>0</v>
      </c>
      <c r="LD181">
        <v>2087</v>
      </c>
      <c r="LE181">
        <v>1354</v>
      </c>
      <c r="LF181">
        <v>0</v>
      </c>
      <c r="LG181">
        <v>0</v>
      </c>
      <c r="LH181">
        <v>0</v>
      </c>
      <c r="LI181">
        <v>3441</v>
      </c>
      <c r="LJ181">
        <v>0</v>
      </c>
      <c r="LK181">
        <v>0</v>
      </c>
      <c r="LL181">
        <v>0</v>
      </c>
      <c r="LM181">
        <v>0</v>
      </c>
      <c r="LN181">
        <v>0</v>
      </c>
      <c r="LO181">
        <v>0</v>
      </c>
      <c r="LP181">
        <v>0</v>
      </c>
      <c r="LQ181">
        <v>0</v>
      </c>
      <c r="LR181">
        <v>0</v>
      </c>
      <c r="LS181">
        <v>0</v>
      </c>
      <c r="LT181">
        <v>0</v>
      </c>
      <c r="LU181">
        <v>0</v>
      </c>
      <c r="LV181">
        <v>0</v>
      </c>
      <c r="LW181">
        <v>0</v>
      </c>
      <c r="LX181">
        <v>0</v>
      </c>
      <c r="LY181">
        <v>0</v>
      </c>
      <c r="LZ181">
        <v>0</v>
      </c>
      <c r="MA181">
        <v>0</v>
      </c>
      <c r="MB181">
        <v>0</v>
      </c>
      <c r="MC181">
        <v>0</v>
      </c>
      <c r="MD181">
        <v>0</v>
      </c>
      <c r="ME181">
        <v>40774</v>
      </c>
      <c r="MF181">
        <v>147</v>
      </c>
      <c r="MG181">
        <v>0</v>
      </c>
      <c r="MH181">
        <v>40921</v>
      </c>
      <c r="MI181">
        <v>0</v>
      </c>
      <c r="MJ181">
        <v>0</v>
      </c>
      <c r="MK181">
        <v>0</v>
      </c>
      <c r="ML181">
        <v>0</v>
      </c>
      <c r="MM181">
        <v>0</v>
      </c>
      <c r="MN181">
        <v>0</v>
      </c>
      <c r="MO181">
        <v>0</v>
      </c>
      <c r="MP181">
        <v>0</v>
      </c>
      <c r="MQ181">
        <v>0</v>
      </c>
      <c r="MR181">
        <v>0</v>
      </c>
      <c r="MS181">
        <v>0</v>
      </c>
      <c r="MT181">
        <v>0</v>
      </c>
      <c r="MU181">
        <v>0</v>
      </c>
      <c r="MV181">
        <v>0</v>
      </c>
      <c r="MW181">
        <v>0</v>
      </c>
      <c r="MX181">
        <v>0</v>
      </c>
      <c r="MY181">
        <v>0</v>
      </c>
      <c r="MZ181">
        <v>0</v>
      </c>
      <c r="NA181">
        <v>0</v>
      </c>
      <c r="NB181">
        <v>0</v>
      </c>
      <c r="NC181">
        <v>0</v>
      </c>
      <c r="ND181">
        <v>0</v>
      </c>
      <c r="NE181">
        <v>0</v>
      </c>
      <c r="NF181">
        <v>0</v>
      </c>
      <c r="NG181">
        <v>0</v>
      </c>
      <c r="NH181">
        <v>0</v>
      </c>
      <c r="NI181">
        <v>0</v>
      </c>
      <c r="NJ181">
        <v>0</v>
      </c>
      <c r="NK181">
        <v>0</v>
      </c>
      <c r="NL181">
        <v>0</v>
      </c>
      <c r="NM181">
        <v>0</v>
      </c>
      <c r="NN181">
        <v>0</v>
      </c>
      <c r="NO181">
        <v>0</v>
      </c>
      <c r="NP181">
        <v>0</v>
      </c>
      <c r="NQ181">
        <v>0</v>
      </c>
      <c r="NR181">
        <v>0</v>
      </c>
      <c r="NS181">
        <v>0</v>
      </c>
      <c r="NT181">
        <v>0</v>
      </c>
      <c r="NU181">
        <v>0</v>
      </c>
      <c r="NV181">
        <v>0</v>
      </c>
      <c r="NW181">
        <v>0</v>
      </c>
      <c r="NX181">
        <v>0</v>
      </c>
      <c r="NY181">
        <v>0</v>
      </c>
      <c r="NZ181">
        <v>0</v>
      </c>
      <c r="OA181">
        <v>0</v>
      </c>
      <c r="OB181">
        <v>0</v>
      </c>
      <c r="OC181">
        <v>0</v>
      </c>
      <c r="OD181">
        <v>0</v>
      </c>
      <c r="OE181">
        <v>0</v>
      </c>
      <c r="OF181">
        <v>0</v>
      </c>
      <c r="OG181">
        <v>0</v>
      </c>
      <c r="OH181">
        <v>0</v>
      </c>
      <c r="OI181">
        <v>0</v>
      </c>
      <c r="OJ181">
        <v>0</v>
      </c>
      <c r="OK181">
        <v>0</v>
      </c>
      <c r="OL181">
        <v>0</v>
      </c>
      <c r="OM181">
        <v>0</v>
      </c>
      <c r="ON181">
        <v>0</v>
      </c>
    </row>
    <row r="182" spans="1:404" x14ac:dyDescent="0.25">
      <c r="A182" t="s">
        <v>611</v>
      </c>
      <c r="B182" t="s">
        <v>612</v>
      </c>
      <c r="C182" t="s">
        <v>610</v>
      </c>
      <c r="E182" t="s">
        <v>71</v>
      </c>
      <c r="F182">
        <v>0</v>
      </c>
      <c r="G182">
        <v>0</v>
      </c>
      <c r="H182">
        <v>0</v>
      </c>
      <c r="I182">
        <v>0</v>
      </c>
      <c r="J182">
        <v>0</v>
      </c>
      <c r="K182">
        <v>0</v>
      </c>
      <c r="L182">
        <v>0</v>
      </c>
      <c r="M182">
        <v>0</v>
      </c>
      <c r="N182">
        <v>0</v>
      </c>
      <c r="O182">
        <v>0</v>
      </c>
      <c r="P182">
        <v>0</v>
      </c>
      <c r="Q182">
        <v>0</v>
      </c>
      <c r="R182">
        <v>0</v>
      </c>
      <c r="S182">
        <v>0</v>
      </c>
      <c r="T182">
        <v>0</v>
      </c>
      <c r="U182">
        <v>0</v>
      </c>
      <c r="V182">
        <v>0</v>
      </c>
      <c r="W182">
        <v>0</v>
      </c>
      <c r="X182">
        <v>0</v>
      </c>
      <c r="Y182">
        <v>0</v>
      </c>
      <c r="Z182">
        <v>0</v>
      </c>
      <c r="AA182">
        <v>0</v>
      </c>
      <c r="AB182">
        <v>0</v>
      </c>
      <c r="AC182">
        <v>0</v>
      </c>
      <c r="AD182">
        <v>0</v>
      </c>
      <c r="AE182">
        <v>0</v>
      </c>
      <c r="AF182">
        <v>0</v>
      </c>
      <c r="AG182">
        <v>0</v>
      </c>
      <c r="AH182">
        <v>0</v>
      </c>
      <c r="AI182">
        <v>0</v>
      </c>
      <c r="AJ182">
        <v>0</v>
      </c>
      <c r="AK182">
        <v>0</v>
      </c>
      <c r="AL182">
        <v>0</v>
      </c>
      <c r="AM182">
        <v>0</v>
      </c>
      <c r="AN182">
        <v>0</v>
      </c>
      <c r="AO182">
        <v>0</v>
      </c>
      <c r="AP182">
        <v>0</v>
      </c>
      <c r="AQ182">
        <v>0</v>
      </c>
      <c r="AR182">
        <v>0</v>
      </c>
      <c r="AS182">
        <v>0</v>
      </c>
      <c r="AT182">
        <v>0</v>
      </c>
      <c r="AU182">
        <v>0</v>
      </c>
      <c r="AV182">
        <v>0</v>
      </c>
      <c r="AW182">
        <v>0</v>
      </c>
      <c r="AX182">
        <v>0</v>
      </c>
      <c r="AY182">
        <v>0</v>
      </c>
      <c r="AZ182">
        <v>0</v>
      </c>
      <c r="BA182">
        <v>0</v>
      </c>
      <c r="BB182">
        <v>0</v>
      </c>
      <c r="BC182">
        <v>0</v>
      </c>
      <c r="BD182">
        <v>0</v>
      </c>
      <c r="BE182">
        <v>0</v>
      </c>
      <c r="BF182">
        <v>0</v>
      </c>
      <c r="BG182">
        <v>0</v>
      </c>
      <c r="BH182">
        <v>0</v>
      </c>
      <c r="BI182">
        <v>0</v>
      </c>
      <c r="BJ182">
        <v>0</v>
      </c>
      <c r="BK182">
        <v>0</v>
      </c>
      <c r="BL182">
        <v>0</v>
      </c>
      <c r="BM182">
        <v>0</v>
      </c>
      <c r="BN182">
        <v>0</v>
      </c>
      <c r="BO182">
        <v>0</v>
      </c>
      <c r="BP182">
        <v>0</v>
      </c>
      <c r="BQ182">
        <v>0</v>
      </c>
      <c r="BR182">
        <v>0</v>
      </c>
      <c r="BS182">
        <v>0</v>
      </c>
      <c r="BT182">
        <v>0</v>
      </c>
      <c r="BU182">
        <v>0</v>
      </c>
      <c r="BV182">
        <v>0</v>
      </c>
      <c r="BW182">
        <v>0</v>
      </c>
      <c r="BX182">
        <v>0</v>
      </c>
      <c r="BY182">
        <v>0</v>
      </c>
      <c r="BZ182">
        <v>0</v>
      </c>
      <c r="CA182">
        <v>0</v>
      </c>
      <c r="CB182">
        <v>0</v>
      </c>
      <c r="CC182">
        <v>0</v>
      </c>
      <c r="CD182">
        <v>0</v>
      </c>
      <c r="CE182">
        <v>0</v>
      </c>
      <c r="CF182">
        <v>0</v>
      </c>
      <c r="CG182">
        <v>0</v>
      </c>
      <c r="CH182">
        <v>0</v>
      </c>
      <c r="CI182">
        <v>0</v>
      </c>
      <c r="CJ182">
        <v>0</v>
      </c>
      <c r="CK182">
        <v>0</v>
      </c>
      <c r="CL182">
        <v>0</v>
      </c>
      <c r="CM182">
        <v>0</v>
      </c>
      <c r="CN182">
        <v>0</v>
      </c>
      <c r="CO182">
        <v>0</v>
      </c>
      <c r="CP182">
        <v>0</v>
      </c>
      <c r="CQ182">
        <v>0</v>
      </c>
      <c r="CR182">
        <v>0</v>
      </c>
      <c r="CS182">
        <v>0</v>
      </c>
      <c r="CT182">
        <v>0</v>
      </c>
      <c r="CU182">
        <v>0</v>
      </c>
      <c r="CV182">
        <v>0</v>
      </c>
      <c r="CW182">
        <v>0</v>
      </c>
      <c r="CX182">
        <v>0</v>
      </c>
      <c r="CY182">
        <v>0</v>
      </c>
      <c r="CZ182">
        <v>0</v>
      </c>
      <c r="DA182">
        <v>0</v>
      </c>
      <c r="DB182">
        <v>0</v>
      </c>
      <c r="DC182">
        <v>0</v>
      </c>
      <c r="DD182">
        <v>0</v>
      </c>
      <c r="DE182">
        <v>0</v>
      </c>
      <c r="DF182">
        <v>0</v>
      </c>
      <c r="DG182">
        <v>0</v>
      </c>
      <c r="DH182">
        <v>0</v>
      </c>
      <c r="DI182">
        <v>0</v>
      </c>
      <c r="DJ182">
        <v>0</v>
      </c>
      <c r="DK182">
        <v>0</v>
      </c>
      <c r="DL182">
        <v>0</v>
      </c>
      <c r="DM182">
        <v>0</v>
      </c>
      <c r="DN182">
        <v>0</v>
      </c>
      <c r="DO182">
        <v>0</v>
      </c>
      <c r="DP182">
        <v>0</v>
      </c>
      <c r="DQ182">
        <v>0</v>
      </c>
      <c r="DR182">
        <v>0</v>
      </c>
      <c r="DS182">
        <v>0</v>
      </c>
      <c r="DT182">
        <v>0</v>
      </c>
      <c r="DU182">
        <v>0</v>
      </c>
      <c r="DV182">
        <v>0</v>
      </c>
      <c r="DW182">
        <v>0</v>
      </c>
      <c r="DX182">
        <v>0</v>
      </c>
      <c r="DY182">
        <v>0</v>
      </c>
      <c r="DZ182">
        <v>0</v>
      </c>
      <c r="EA182">
        <v>0</v>
      </c>
      <c r="EB182">
        <v>0</v>
      </c>
      <c r="EC182">
        <v>0</v>
      </c>
      <c r="ED182">
        <v>0</v>
      </c>
      <c r="EE182">
        <v>0</v>
      </c>
      <c r="EF182">
        <v>0</v>
      </c>
      <c r="EG182">
        <v>0</v>
      </c>
      <c r="EH182">
        <v>0</v>
      </c>
      <c r="EI182">
        <v>0</v>
      </c>
      <c r="EJ182">
        <v>0</v>
      </c>
      <c r="EK182">
        <v>0</v>
      </c>
      <c r="EL182">
        <v>0</v>
      </c>
      <c r="EM182">
        <v>0</v>
      </c>
      <c r="EN182">
        <v>0</v>
      </c>
      <c r="EO182">
        <v>0</v>
      </c>
      <c r="EP182">
        <v>0</v>
      </c>
      <c r="EQ182">
        <v>0</v>
      </c>
      <c r="ER182">
        <v>0</v>
      </c>
      <c r="ES182">
        <v>0</v>
      </c>
      <c r="ET182">
        <v>0</v>
      </c>
      <c r="EU182">
        <v>0</v>
      </c>
      <c r="EV182">
        <v>0</v>
      </c>
      <c r="EW182">
        <v>0</v>
      </c>
      <c r="EX182">
        <v>0</v>
      </c>
      <c r="EY182">
        <v>0</v>
      </c>
      <c r="EZ182">
        <v>0</v>
      </c>
      <c r="FA182">
        <v>0</v>
      </c>
      <c r="FB182">
        <v>0</v>
      </c>
      <c r="FC182">
        <v>0</v>
      </c>
      <c r="FD182">
        <v>0</v>
      </c>
      <c r="FE182">
        <v>0</v>
      </c>
      <c r="FF182">
        <v>0</v>
      </c>
      <c r="FG182">
        <v>0</v>
      </c>
      <c r="FH182">
        <v>0</v>
      </c>
      <c r="FI182">
        <v>0</v>
      </c>
      <c r="FJ182">
        <v>0</v>
      </c>
      <c r="FK182">
        <v>0</v>
      </c>
      <c r="FL182">
        <v>0</v>
      </c>
      <c r="FM182">
        <v>0</v>
      </c>
      <c r="FN182">
        <v>0</v>
      </c>
      <c r="FO182">
        <v>0</v>
      </c>
      <c r="FP182">
        <v>0</v>
      </c>
      <c r="FQ182">
        <v>0</v>
      </c>
      <c r="FR182">
        <v>0</v>
      </c>
      <c r="FS182">
        <v>0</v>
      </c>
      <c r="FT182">
        <v>0</v>
      </c>
      <c r="FU182">
        <v>0</v>
      </c>
      <c r="FV182">
        <v>0</v>
      </c>
      <c r="FW182">
        <v>0</v>
      </c>
      <c r="FX182">
        <v>0</v>
      </c>
      <c r="FY182">
        <v>0</v>
      </c>
      <c r="FZ182">
        <v>0</v>
      </c>
      <c r="GA182">
        <v>0</v>
      </c>
      <c r="GB182">
        <v>0</v>
      </c>
      <c r="GC182">
        <v>0</v>
      </c>
      <c r="GD182">
        <v>0</v>
      </c>
      <c r="GE182">
        <v>0</v>
      </c>
      <c r="GF182">
        <v>0</v>
      </c>
      <c r="GG182">
        <v>0</v>
      </c>
      <c r="GH182">
        <v>0</v>
      </c>
      <c r="GI182">
        <v>0</v>
      </c>
      <c r="GJ182">
        <v>0</v>
      </c>
      <c r="GK182">
        <v>0</v>
      </c>
      <c r="GL182">
        <v>0</v>
      </c>
      <c r="GM182">
        <v>0</v>
      </c>
      <c r="GN182">
        <v>0</v>
      </c>
      <c r="GO182">
        <v>0</v>
      </c>
      <c r="GP182">
        <v>0</v>
      </c>
      <c r="GQ182">
        <v>0</v>
      </c>
      <c r="GR182">
        <v>0</v>
      </c>
      <c r="GS182">
        <v>0</v>
      </c>
      <c r="GT182">
        <v>0</v>
      </c>
      <c r="GU182">
        <v>0</v>
      </c>
      <c r="GV182">
        <v>0</v>
      </c>
      <c r="GW182">
        <v>199127</v>
      </c>
      <c r="GX182">
        <v>0</v>
      </c>
      <c r="GY182">
        <v>0</v>
      </c>
      <c r="GZ182">
        <v>0</v>
      </c>
      <c r="HA182">
        <v>0</v>
      </c>
      <c r="HB182">
        <v>6355</v>
      </c>
      <c r="HC182">
        <v>0</v>
      </c>
      <c r="HD182">
        <v>0</v>
      </c>
      <c r="HE182">
        <v>0</v>
      </c>
      <c r="HF182">
        <v>0</v>
      </c>
      <c r="HG182">
        <v>0</v>
      </c>
      <c r="HH182">
        <v>0</v>
      </c>
      <c r="HI182">
        <v>0</v>
      </c>
      <c r="HJ182">
        <v>0</v>
      </c>
      <c r="HK182">
        <v>0</v>
      </c>
      <c r="HL182">
        <v>0</v>
      </c>
      <c r="HM182">
        <v>0</v>
      </c>
      <c r="HN182">
        <v>0</v>
      </c>
      <c r="HO182">
        <v>0</v>
      </c>
      <c r="HP182">
        <v>0</v>
      </c>
      <c r="HQ182">
        <v>0</v>
      </c>
      <c r="HR182">
        <v>0</v>
      </c>
      <c r="HS182">
        <v>0</v>
      </c>
      <c r="HT182">
        <v>0</v>
      </c>
      <c r="HU182">
        <v>0</v>
      </c>
      <c r="HV182">
        <v>6355</v>
      </c>
      <c r="HW182">
        <v>0</v>
      </c>
      <c r="HX182">
        <v>0</v>
      </c>
      <c r="HY182">
        <v>0</v>
      </c>
      <c r="HZ182">
        <v>0</v>
      </c>
      <c r="IA182">
        <v>0</v>
      </c>
      <c r="IB182">
        <v>0</v>
      </c>
      <c r="IC182">
        <v>0</v>
      </c>
      <c r="ID182">
        <v>0</v>
      </c>
      <c r="IE182">
        <v>0</v>
      </c>
      <c r="IF182">
        <v>0</v>
      </c>
      <c r="IG182">
        <v>0</v>
      </c>
      <c r="IH182">
        <v>0</v>
      </c>
      <c r="II182">
        <v>0</v>
      </c>
      <c r="IJ182">
        <v>0</v>
      </c>
      <c r="IK182">
        <v>0</v>
      </c>
      <c r="IL182">
        <v>199127</v>
      </c>
      <c r="IM182">
        <v>0</v>
      </c>
      <c r="IN182">
        <v>6355</v>
      </c>
      <c r="IO182">
        <v>0</v>
      </c>
      <c r="IP182">
        <v>205483</v>
      </c>
      <c r="IQ182">
        <v>0</v>
      </c>
      <c r="IR182">
        <v>0</v>
      </c>
      <c r="IS182">
        <v>0</v>
      </c>
      <c r="IT182">
        <v>0</v>
      </c>
      <c r="IU182">
        <v>0</v>
      </c>
      <c r="IV182">
        <v>0</v>
      </c>
      <c r="IW182">
        <v>0</v>
      </c>
      <c r="IX182">
        <v>0</v>
      </c>
      <c r="IY182">
        <v>0</v>
      </c>
      <c r="IZ182">
        <v>0</v>
      </c>
      <c r="JA182">
        <v>0</v>
      </c>
      <c r="JB182">
        <v>0</v>
      </c>
      <c r="JC182">
        <v>0</v>
      </c>
      <c r="JD182">
        <v>0</v>
      </c>
      <c r="JE182">
        <v>0</v>
      </c>
      <c r="JF182">
        <v>0</v>
      </c>
      <c r="JG182">
        <v>205483</v>
      </c>
      <c r="JH182">
        <v>0</v>
      </c>
      <c r="JI182">
        <v>369</v>
      </c>
      <c r="JJ182">
        <v>0</v>
      </c>
      <c r="JK182">
        <v>0</v>
      </c>
      <c r="JL182">
        <v>0</v>
      </c>
      <c r="JM182">
        <v>0</v>
      </c>
      <c r="JN182">
        <v>3768</v>
      </c>
      <c r="JO182">
        <v>0</v>
      </c>
      <c r="JP182">
        <v>1916</v>
      </c>
      <c r="JQ182">
        <v>0</v>
      </c>
      <c r="JR182">
        <v>211536</v>
      </c>
      <c r="JS182">
        <v>-27</v>
      </c>
      <c r="JT182">
        <v>0</v>
      </c>
      <c r="JU182">
        <v>0</v>
      </c>
      <c r="JV182">
        <v>0</v>
      </c>
      <c r="JW182">
        <v>0</v>
      </c>
      <c r="JX182">
        <v>0</v>
      </c>
      <c r="JY182">
        <v>0</v>
      </c>
      <c r="JZ182">
        <v>0</v>
      </c>
      <c r="KA182">
        <v>0</v>
      </c>
      <c r="KB182">
        <v>0</v>
      </c>
      <c r="KC182">
        <v>211508</v>
      </c>
      <c r="KD182">
        <v>0</v>
      </c>
      <c r="KE182">
        <v>-9795</v>
      </c>
      <c r="KF182">
        <v>201713</v>
      </c>
      <c r="KG182">
        <v>0</v>
      </c>
      <c r="KH182">
        <v>0</v>
      </c>
      <c r="KI182">
        <v>0</v>
      </c>
      <c r="KJ182">
        <v>0</v>
      </c>
      <c r="KK182">
        <v>6533</v>
      </c>
      <c r="KL182">
        <v>280</v>
      </c>
      <c r="KM182">
        <v>0</v>
      </c>
      <c r="KN182">
        <v>-140959</v>
      </c>
      <c r="KO182">
        <v>0</v>
      </c>
      <c r="KP182">
        <v>222</v>
      </c>
      <c r="KQ182">
        <v>0</v>
      </c>
      <c r="KR182">
        <v>66474</v>
      </c>
      <c r="KS182">
        <v>0</v>
      </c>
      <c r="KT182">
        <v>0</v>
      </c>
      <c r="KU182">
        <v>0</v>
      </c>
      <c r="KV182">
        <v>14233</v>
      </c>
      <c r="KW182">
        <v>6120</v>
      </c>
      <c r="KX182">
        <v>0</v>
      </c>
      <c r="KY182">
        <v>0</v>
      </c>
      <c r="KZ182">
        <v>0</v>
      </c>
      <c r="LA182">
        <v>20766</v>
      </c>
      <c r="LB182">
        <v>6400</v>
      </c>
      <c r="LC182">
        <v>0</v>
      </c>
      <c r="LD182">
        <v>0</v>
      </c>
      <c r="LE182">
        <v>0</v>
      </c>
      <c r="LF182">
        <v>0</v>
      </c>
      <c r="LG182">
        <v>0</v>
      </c>
      <c r="LH182">
        <v>0</v>
      </c>
      <c r="LI182">
        <v>0</v>
      </c>
      <c r="LJ182">
        <v>0</v>
      </c>
      <c r="LK182">
        <v>0</v>
      </c>
      <c r="LL182">
        <v>0</v>
      </c>
      <c r="LM182">
        <v>0</v>
      </c>
      <c r="LN182">
        <v>0</v>
      </c>
      <c r="LO182">
        <v>0</v>
      </c>
      <c r="LP182">
        <v>0</v>
      </c>
      <c r="LQ182">
        <v>0</v>
      </c>
      <c r="LR182">
        <v>0</v>
      </c>
      <c r="LS182">
        <v>0</v>
      </c>
      <c r="LT182">
        <v>0</v>
      </c>
      <c r="LU182">
        <v>0</v>
      </c>
      <c r="LV182">
        <v>0</v>
      </c>
      <c r="LW182">
        <v>0</v>
      </c>
      <c r="LX182">
        <v>0</v>
      </c>
      <c r="LY182">
        <v>0</v>
      </c>
      <c r="LZ182">
        <v>0</v>
      </c>
      <c r="MA182">
        <v>0</v>
      </c>
      <c r="MB182">
        <v>0</v>
      </c>
      <c r="MC182">
        <v>0</v>
      </c>
      <c r="MD182">
        <v>199127</v>
      </c>
      <c r="ME182">
        <v>0</v>
      </c>
      <c r="MF182">
        <v>6355</v>
      </c>
      <c r="MG182">
        <v>0</v>
      </c>
      <c r="MH182">
        <v>205483</v>
      </c>
      <c r="MI182">
        <v>0</v>
      </c>
      <c r="MJ182">
        <v>0</v>
      </c>
      <c r="MK182">
        <v>0</v>
      </c>
      <c r="ML182">
        <v>0</v>
      </c>
      <c r="MM182">
        <v>0</v>
      </c>
      <c r="MN182">
        <v>0</v>
      </c>
      <c r="MO182">
        <v>0</v>
      </c>
      <c r="MP182">
        <v>0</v>
      </c>
      <c r="MQ182">
        <v>0</v>
      </c>
      <c r="MR182">
        <v>0</v>
      </c>
      <c r="MS182">
        <v>0</v>
      </c>
      <c r="MT182">
        <v>0</v>
      </c>
      <c r="MU182">
        <v>0</v>
      </c>
      <c r="MV182">
        <v>0</v>
      </c>
      <c r="MW182">
        <v>0</v>
      </c>
      <c r="MX182">
        <v>0</v>
      </c>
      <c r="MY182">
        <v>0</v>
      </c>
      <c r="MZ182">
        <v>0</v>
      </c>
      <c r="NA182">
        <v>0</v>
      </c>
      <c r="NB182">
        <v>0</v>
      </c>
      <c r="NC182">
        <v>0</v>
      </c>
      <c r="ND182">
        <v>0</v>
      </c>
      <c r="NE182">
        <v>0</v>
      </c>
      <c r="NF182">
        <v>0</v>
      </c>
      <c r="NG182">
        <v>0</v>
      </c>
      <c r="NH182">
        <v>0</v>
      </c>
      <c r="NI182">
        <v>0</v>
      </c>
      <c r="NJ182">
        <v>0</v>
      </c>
      <c r="NK182">
        <v>0</v>
      </c>
      <c r="NL182">
        <v>0</v>
      </c>
      <c r="NM182">
        <v>0</v>
      </c>
      <c r="NN182">
        <v>0</v>
      </c>
      <c r="NO182">
        <v>0</v>
      </c>
      <c r="NP182">
        <v>0</v>
      </c>
      <c r="NQ182">
        <v>0</v>
      </c>
      <c r="NR182">
        <v>0</v>
      </c>
      <c r="NS182">
        <v>0</v>
      </c>
      <c r="NT182">
        <v>0</v>
      </c>
      <c r="NU182">
        <v>0</v>
      </c>
      <c r="NV182">
        <v>0</v>
      </c>
      <c r="NW182">
        <v>0</v>
      </c>
      <c r="NX182">
        <v>0</v>
      </c>
      <c r="NY182">
        <v>0</v>
      </c>
      <c r="NZ182">
        <v>0</v>
      </c>
      <c r="OA182">
        <v>0</v>
      </c>
      <c r="OB182">
        <v>0</v>
      </c>
      <c r="OC182">
        <v>0</v>
      </c>
      <c r="OD182">
        <v>0</v>
      </c>
      <c r="OE182">
        <v>0</v>
      </c>
      <c r="OF182">
        <v>0</v>
      </c>
      <c r="OG182">
        <v>0</v>
      </c>
      <c r="OH182">
        <v>0</v>
      </c>
      <c r="OI182">
        <v>0</v>
      </c>
      <c r="OJ182">
        <v>0</v>
      </c>
      <c r="OK182">
        <v>0</v>
      </c>
      <c r="OL182">
        <v>0</v>
      </c>
      <c r="OM182">
        <v>0</v>
      </c>
      <c r="ON182">
        <v>0</v>
      </c>
    </row>
    <row r="183" spans="1:404" x14ac:dyDescent="0.25">
      <c r="A183" t="s">
        <v>614</v>
      </c>
      <c r="B183" t="s">
        <v>615</v>
      </c>
      <c r="C183" t="s">
        <v>613</v>
      </c>
      <c r="E183" t="s">
        <v>61</v>
      </c>
      <c r="F183">
        <v>0</v>
      </c>
      <c r="G183">
        <v>0</v>
      </c>
      <c r="H183">
        <v>0</v>
      </c>
      <c r="I183">
        <v>0</v>
      </c>
      <c r="J183">
        <v>0</v>
      </c>
      <c r="K183">
        <v>0</v>
      </c>
      <c r="L183">
        <v>0</v>
      </c>
      <c r="M183">
        <v>0</v>
      </c>
      <c r="N183">
        <v>0</v>
      </c>
      <c r="O183">
        <v>0</v>
      </c>
      <c r="P183">
        <v>0</v>
      </c>
      <c r="Q183">
        <v>0</v>
      </c>
      <c r="R183">
        <v>0</v>
      </c>
      <c r="S183">
        <v>1</v>
      </c>
      <c r="T183">
        <v>0</v>
      </c>
      <c r="U183">
        <v>0</v>
      </c>
      <c r="V183">
        <v>0</v>
      </c>
      <c r="W183">
        <v>0</v>
      </c>
      <c r="X183">
        <v>0</v>
      </c>
      <c r="Y183">
        <v>0</v>
      </c>
      <c r="Z183">
        <v>-6</v>
      </c>
      <c r="AA183">
        <v>-1119</v>
      </c>
      <c r="AB183">
        <v>23</v>
      </c>
      <c r="AC183">
        <v>0</v>
      </c>
      <c r="AD183">
        <v>0</v>
      </c>
      <c r="AE183">
        <v>0</v>
      </c>
      <c r="AF183">
        <v>0</v>
      </c>
      <c r="AG183">
        <v>113</v>
      </c>
      <c r="AH183">
        <v>0</v>
      </c>
      <c r="AI183">
        <v>-988</v>
      </c>
      <c r="AJ183">
        <v>0</v>
      </c>
      <c r="AK183">
        <v>0</v>
      </c>
      <c r="AL183">
        <v>0</v>
      </c>
      <c r="AM183">
        <v>0</v>
      </c>
      <c r="AN183">
        <v>0</v>
      </c>
      <c r="AO183">
        <v>0</v>
      </c>
      <c r="AP183">
        <v>0</v>
      </c>
      <c r="AQ183">
        <v>16</v>
      </c>
      <c r="AR183">
        <v>0</v>
      </c>
      <c r="AS183">
        <v>0</v>
      </c>
      <c r="AT183">
        <v>0</v>
      </c>
      <c r="AU183">
        <v>0</v>
      </c>
      <c r="AV183">
        <v>0</v>
      </c>
      <c r="AW183">
        <v>0</v>
      </c>
      <c r="AX183">
        <v>0</v>
      </c>
      <c r="AY183">
        <v>0</v>
      </c>
      <c r="AZ183">
        <v>0</v>
      </c>
      <c r="BA183">
        <v>0</v>
      </c>
      <c r="BB183">
        <v>0</v>
      </c>
      <c r="BC183">
        <v>0</v>
      </c>
      <c r="BD183">
        <v>0</v>
      </c>
      <c r="BE183">
        <v>0</v>
      </c>
      <c r="BF183">
        <v>0</v>
      </c>
      <c r="BG183">
        <v>0</v>
      </c>
      <c r="BH183">
        <v>0</v>
      </c>
      <c r="BI183">
        <v>0</v>
      </c>
      <c r="BJ183">
        <v>0</v>
      </c>
      <c r="BK183">
        <v>0</v>
      </c>
      <c r="BL183">
        <v>0</v>
      </c>
      <c r="BM183">
        <v>0</v>
      </c>
      <c r="BN183">
        <v>0</v>
      </c>
      <c r="BO183">
        <v>0</v>
      </c>
      <c r="BP183">
        <v>0</v>
      </c>
      <c r="BQ183">
        <v>0</v>
      </c>
      <c r="BR183">
        <v>0</v>
      </c>
      <c r="BS183">
        <v>0</v>
      </c>
      <c r="BT183">
        <v>0</v>
      </c>
      <c r="BU183">
        <v>0</v>
      </c>
      <c r="BV183">
        <v>0</v>
      </c>
      <c r="BW183">
        <v>0</v>
      </c>
      <c r="BX183">
        <v>0</v>
      </c>
      <c r="BY183">
        <v>0</v>
      </c>
      <c r="BZ183">
        <v>0</v>
      </c>
      <c r="CA183">
        <v>0</v>
      </c>
      <c r="CB183">
        <v>0</v>
      </c>
      <c r="CC183">
        <v>0</v>
      </c>
      <c r="CD183">
        <v>0</v>
      </c>
      <c r="CE183">
        <v>0</v>
      </c>
      <c r="CF183">
        <v>0</v>
      </c>
      <c r="CG183">
        <v>0</v>
      </c>
      <c r="CH183">
        <v>0</v>
      </c>
      <c r="CI183">
        <v>0</v>
      </c>
      <c r="CJ183">
        <v>0</v>
      </c>
      <c r="CK183">
        <v>0</v>
      </c>
      <c r="CL183">
        <v>0</v>
      </c>
      <c r="CM183">
        <v>0</v>
      </c>
      <c r="CN183">
        <v>0</v>
      </c>
      <c r="CO183">
        <v>0</v>
      </c>
      <c r="CP183">
        <v>0</v>
      </c>
      <c r="CQ183">
        <v>0</v>
      </c>
      <c r="CR183">
        <v>0</v>
      </c>
      <c r="CS183">
        <v>0</v>
      </c>
      <c r="CT183">
        <v>0</v>
      </c>
      <c r="CU183">
        <v>0</v>
      </c>
      <c r="CV183">
        <v>0</v>
      </c>
      <c r="CW183">
        <v>0</v>
      </c>
      <c r="CX183">
        <v>0</v>
      </c>
      <c r="CY183">
        <v>0</v>
      </c>
      <c r="CZ183">
        <v>0</v>
      </c>
      <c r="DA183">
        <v>0</v>
      </c>
      <c r="DB183">
        <v>0</v>
      </c>
      <c r="DC183">
        <v>150</v>
      </c>
      <c r="DD183">
        <v>0</v>
      </c>
      <c r="DE183">
        <v>105</v>
      </c>
      <c r="DF183">
        <v>0</v>
      </c>
      <c r="DG183">
        <v>0</v>
      </c>
      <c r="DH183">
        <v>0</v>
      </c>
      <c r="DI183">
        <v>118</v>
      </c>
      <c r="DJ183">
        <v>17</v>
      </c>
      <c r="DK183">
        <v>0</v>
      </c>
      <c r="DL183">
        <v>0</v>
      </c>
      <c r="DM183">
        <v>0</v>
      </c>
      <c r="DN183">
        <v>424</v>
      </c>
      <c r="DO183">
        <v>0</v>
      </c>
      <c r="DP183">
        <v>559</v>
      </c>
      <c r="DQ183">
        <v>33</v>
      </c>
      <c r="DR183">
        <v>0</v>
      </c>
      <c r="DS183">
        <v>0</v>
      </c>
      <c r="DT183">
        <v>745</v>
      </c>
      <c r="DU183">
        <v>-76</v>
      </c>
      <c r="DV183">
        <v>0</v>
      </c>
      <c r="DW183">
        <v>0</v>
      </c>
      <c r="DX183">
        <v>1516</v>
      </c>
      <c r="DY183">
        <v>0</v>
      </c>
      <c r="DZ183">
        <v>0</v>
      </c>
      <c r="EA183">
        <v>0</v>
      </c>
      <c r="EB183">
        <v>0</v>
      </c>
      <c r="EC183">
        <v>0</v>
      </c>
      <c r="ED183">
        <v>0</v>
      </c>
      <c r="EE183">
        <v>0</v>
      </c>
      <c r="EF183">
        <v>0</v>
      </c>
      <c r="EG183">
        <v>0</v>
      </c>
      <c r="EH183">
        <v>0</v>
      </c>
      <c r="EI183">
        <v>0</v>
      </c>
      <c r="EJ183">
        <v>0</v>
      </c>
      <c r="EK183">
        <v>0</v>
      </c>
      <c r="EL183">
        <v>0</v>
      </c>
      <c r="EM183">
        <v>0</v>
      </c>
      <c r="EN183">
        <v>0</v>
      </c>
      <c r="EO183">
        <v>0</v>
      </c>
      <c r="EP183">
        <v>0</v>
      </c>
      <c r="EQ183">
        <v>0</v>
      </c>
      <c r="ER183">
        <v>0</v>
      </c>
      <c r="ES183">
        <v>0</v>
      </c>
      <c r="ET183">
        <v>0</v>
      </c>
      <c r="EU183">
        <v>0</v>
      </c>
      <c r="EV183">
        <v>0</v>
      </c>
      <c r="EW183">
        <v>0</v>
      </c>
      <c r="EX183">
        <v>0</v>
      </c>
      <c r="EY183">
        <v>0</v>
      </c>
      <c r="EZ183">
        <v>0</v>
      </c>
      <c r="FA183">
        <v>0</v>
      </c>
      <c r="FB183">
        <v>223</v>
      </c>
      <c r="FC183">
        <v>1175</v>
      </c>
      <c r="FD183">
        <v>791</v>
      </c>
      <c r="FE183">
        <v>0</v>
      </c>
      <c r="FF183">
        <v>0</v>
      </c>
      <c r="FG183">
        <v>0</v>
      </c>
      <c r="FH183">
        <v>2189</v>
      </c>
      <c r="FI183">
        <v>0</v>
      </c>
      <c r="FJ183">
        <v>0</v>
      </c>
      <c r="FK183">
        <v>0</v>
      </c>
      <c r="FL183">
        <v>35</v>
      </c>
      <c r="FM183">
        <v>209</v>
      </c>
      <c r="FN183">
        <v>1</v>
      </c>
      <c r="FO183">
        <v>15</v>
      </c>
      <c r="FP183">
        <v>0</v>
      </c>
      <c r="FQ183">
        <v>0</v>
      </c>
      <c r="FR183">
        <v>4</v>
      </c>
      <c r="FS183">
        <v>-5</v>
      </c>
      <c r="FT183">
        <v>32</v>
      </c>
      <c r="FU183">
        <v>-59</v>
      </c>
      <c r="FV183">
        <v>15</v>
      </c>
      <c r="FW183">
        <v>0</v>
      </c>
      <c r="FX183">
        <v>300</v>
      </c>
      <c r="FY183">
        <v>0</v>
      </c>
      <c r="FZ183">
        <v>116</v>
      </c>
      <c r="GA183">
        <v>464</v>
      </c>
      <c r="GB183">
        <v>0</v>
      </c>
      <c r="GC183">
        <v>0</v>
      </c>
      <c r="GD183">
        <v>924</v>
      </c>
      <c r="GE183">
        <v>2084</v>
      </c>
      <c r="GF183">
        <v>0</v>
      </c>
      <c r="GG183">
        <v>0</v>
      </c>
      <c r="GH183">
        <v>249</v>
      </c>
      <c r="GI183">
        <v>137</v>
      </c>
      <c r="GJ183">
        <v>0</v>
      </c>
      <c r="GK183">
        <v>4521</v>
      </c>
      <c r="GL183">
        <v>132</v>
      </c>
      <c r="GM183">
        <v>-929</v>
      </c>
      <c r="GN183">
        <v>0</v>
      </c>
      <c r="GO183">
        <v>-53</v>
      </c>
      <c r="GP183">
        <v>13</v>
      </c>
      <c r="GQ183">
        <v>2714</v>
      </c>
      <c r="GR183">
        <v>0</v>
      </c>
      <c r="GS183">
        <v>0</v>
      </c>
      <c r="GT183">
        <v>144</v>
      </c>
      <c r="GU183">
        <v>2021</v>
      </c>
      <c r="GV183">
        <v>8731</v>
      </c>
      <c r="GW183">
        <v>0</v>
      </c>
      <c r="GX183">
        <v>0</v>
      </c>
      <c r="GY183">
        <v>0</v>
      </c>
      <c r="GZ183">
        <v>0</v>
      </c>
      <c r="HA183">
        <v>0</v>
      </c>
      <c r="HB183">
        <v>2190</v>
      </c>
      <c r="HC183">
        <v>323</v>
      </c>
      <c r="HD183">
        <v>0</v>
      </c>
      <c r="HE183">
        <v>0</v>
      </c>
      <c r="HF183">
        <v>254</v>
      </c>
      <c r="HG183">
        <v>37</v>
      </c>
      <c r="HH183">
        <v>0</v>
      </c>
      <c r="HI183">
        <v>0</v>
      </c>
      <c r="HJ183">
        <v>209</v>
      </c>
      <c r="HK183">
        <v>21</v>
      </c>
      <c r="HL183">
        <v>15</v>
      </c>
      <c r="HM183">
        <v>-92</v>
      </c>
      <c r="HN183">
        <v>0</v>
      </c>
      <c r="HO183">
        <v>0</v>
      </c>
      <c r="HP183">
        <v>0</v>
      </c>
      <c r="HQ183">
        <v>0</v>
      </c>
      <c r="HR183">
        <v>343</v>
      </c>
      <c r="HS183">
        <v>0</v>
      </c>
      <c r="HT183">
        <v>0</v>
      </c>
      <c r="HU183">
        <v>11524</v>
      </c>
      <c r="HV183">
        <v>14824</v>
      </c>
      <c r="HW183">
        <v>7441</v>
      </c>
      <c r="HX183">
        <v>0</v>
      </c>
      <c r="HY183">
        <v>0</v>
      </c>
      <c r="HZ183">
        <v>0</v>
      </c>
      <c r="IA183">
        <v>0</v>
      </c>
      <c r="IB183">
        <v>0</v>
      </c>
      <c r="IC183">
        <v>0</v>
      </c>
      <c r="ID183">
        <v>-988</v>
      </c>
      <c r="IE183">
        <v>0</v>
      </c>
      <c r="IF183">
        <v>0</v>
      </c>
      <c r="IG183">
        <v>0</v>
      </c>
      <c r="IH183">
        <v>1516</v>
      </c>
      <c r="II183">
        <v>2189</v>
      </c>
      <c r="IJ183">
        <v>4521</v>
      </c>
      <c r="IK183">
        <v>2021</v>
      </c>
      <c r="IL183">
        <v>0</v>
      </c>
      <c r="IM183">
        <v>0</v>
      </c>
      <c r="IN183">
        <v>14824</v>
      </c>
      <c r="IO183">
        <v>0</v>
      </c>
      <c r="IP183">
        <v>24083</v>
      </c>
      <c r="IQ183">
        <v>24324</v>
      </c>
      <c r="IR183">
        <v>355</v>
      </c>
      <c r="IS183">
        <v>0</v>
      </c>
      <c r="IT183">
        <v>0</v>
      </c>
      <c r="IU183">
        <v>0</v>
      </c>
      <c r="IV183">
        <v>7543</v>
      </c>
      <c r="IW183">
        <v>0</v>
      </c>
      <c r="IX183">
        <v>0</v>
      </c>
      <c r="IY183">
        <v>0</v>
      </c>
      <c r="IZ183">
        <v>0</v>
      </c>
      <c r="JA183">
        <v>-370</v>
      </c>
      <c r="JB183">
        <v>0</v>
      </c>
      <c r="JC183">
        <v>-1738</v>
      </c>
      <c r="JD183">
        <v>0</v>
      </c>
      <c r="JE183">
        <v>0</v>
      </c>
      <c r="JF183">
        <v>0</v>
      </c>
      <c r="JG183">
        <v>54197</v>
      </c>
      <c r="JH183">
        <v>0</v>
      </c>
      <c r="JI183">
        <v>0</v>
      </c>
      <c r="JJ183">
        <v>0</v>
      </c>
      <c r="JK183">
        <v>0</v>
      </c>
      <c r="JL183">
        <v>0</v>
      </c>
      <c r="JM183">
        <v>0</v>
      </c>
      <c r="JN183">
        <v>2758</v>
      </c>
      <c r="JO183">
        <v>0</v>
      </c>
      <c r="JP183">
        <v>1691</v>
      </c>
      <c r="JQ183">
        <v>0</v>
      </c>
      <c r="JR183">
        <v>58646</v>
      </c>
      <c r="JS183">
        <v>-2881</v>
      </c>
      <c r="JT183">
        <v>0</v>
      </c>
      <c r="JU183">
        <v>648</v>
      </c>
      <c r="JV183">
        <v>0</v>
      </c>
      <c r="JW183">
        <v>-24677</v>
      </c>
      <c r="JX183">
        <v>0</v>
      </c>
      <c r="JY183">
        <v>-520</v>
      </c>
      <c r="JZ183">
        <v>0</v>
      </c>
      <c r="KA183">
        <v>0</v>
      </c>
      <c r="KB183">
        <v>0</v>
      </c>
      <c r="KC183">
        <v>31216</v>
      </c>
      <c r="KD183">
        <v>0</v>
      </c>
      <c r="KE183">
        <v>-4087</v>
      </c>
      <c r="KF183">
        <v>27129</v>
      </c>
      <c r="KG183">
        <v>0</v>
      </c>
      <c r="KH183">
        <v>0</v>
      </c>
      <c r="KI183">
        <v>0</v>
      </c>
      <c r="KJ183">
        <v>0</v>
      </c>
      <c r="KK183">
        <v>-1052</v>
      </c>
      <c r="KL183">
        <v>1771</v>
      </c>
      <c r="KM183">
        <v>0</v>
      </c>
      <c r="KN183">
        <v>0</v>
      </c>
      <c r="KO183">
        <v>-2964</v>
      </c>
      <c r="KP183">
        <v>-296</v>
      </c>
      <c r="KQ183">
        <v>0</v>
      </c>
      <c r="KR183">
        <v>16784</v>
      </c>
      <c r="KS183">
        <v>0</v>
      </c>
      <c r="KT183">
        <v>0</v>
      </c>
      <c r="KU183">
        <v>0</v>
      </c>
      <c r="KV183">
        <v>29250</v>
      </c>
      <c r="KW183">
        <v>5379</v>
      </c>
      <c r="KX183">
        <v>0</v>
      </c>
      <c r="KY183">
        <v>0</v>
      </c>
      <c r="KZ183">
        <v>0</v>
      </c>
      <c r="LA183">
        <v>28198</v>
      </c>
      <c r="LB183">
        <v>7150</v>
      </c>
      <c r="LC183">
        <v>0</v>
      </c>
      <c r="LD183">
        <v>4380</v>
      </c>
      <c r="LE183">
        <v>0</v>
      </c>
      <c r="LF183">
        <v>3614</v>
      </c>
      <c r="LG183">
        <v>-2217</v>
      </c>
      <c r="LH183">
        <v>2268</v>
      </c>
      <c r="LI183">
        <v>9361</v>
      </c>
      <c r="LJ183">
        <v>3317</v>
      </c>
      <c r="LK183">
        <v>4109</v>
      </c>
      <c r="LL183">
        <v>7426</v>
      </c>
      <c r="LM183">
        <v>0</v>
      </c>
      <c r="LN183">
        <v>0</v>
      </c>
      <c r="LO183">
        <v>0</v>
      </c>
      <c r="LP183">
        <v>0</v>
      </c>
      <c r="LQ183">
        <v>0</v>
      </c>
      <c r="LR183">
        <v>0</v>
      </c>
      <c r="LS183">
        <v>0</v>
      </c>
      <c r="LT183">
        <v>0</v>
      </c>
      <c r="LU183">
        <v>0</v>
      </c>
      <c r="LV183">
        <v>-988</v>
      </c>
      <c r="LW183">
        <v>0</v>
      </c>
      <c r="LX183">
        <v>0</v>
      </c>
      <c r="LY183">
        <v>0</v>
      </c>
      <c r="LZ183">
        <v>1516</v>
      </c>
      <c r="MA183">
        <v>2189</v>
      </c>
      <c r="MB183">
        <v>4521</v>
      </c>
      <c r="MC183">
        <v>2021</v>
      </c>
      <c r="MD183">
        <v>0</v>
      </c>
      <c r="ME183">
        <v>0</v>
      </c>
      <c r="MF183">
        <v>14824</v>
      </c>
      <c r="MG183">
        <v>0</v>
      </c>
      <c r="MH183">
        <v>24083</v>
      </c>
      <c r="MI183">
        <v>0</v>
      </c>
      <c r="MJ183">
        <v>0</v>
      </c>
      <c r="MK183">
        <v>0</v>
      </c>
      <c r="ML183">
        <v>0</v>
      </c>
      <c r="MM183">
        <v>0</v>
      </c>
      <c r="MN183">
        <v>0</v>
      </c>
      <c r="MO183">
        <v>0</v>
      </c>
      <c r="MP183">
        <v>0</v>
      </c>
      <c r="MQ183">
        <v>0</v>
      </c>
      <c r="MR183">
        <v>0</v>
      </c>
      <c r="MS183">
        <v>0</v>
      </c>
      <c r="MT183">
        <v>0</v>
      </c>
      <c r="MU183">
        <v>-82</v>
      </c>
      <c r="MV183">
        <v>0</v>
      </c>
      <c r="MW183">
        <v>0</v>
      </c>
      <c r="MX183">
        <v>-836</v>
      </c>
      <c r="MY183">
        <v>-1288</v>
      </c>
      <c r="MZ183">
        <v>98</v>
      </c>
      <c r="NA183">
        <v>-2108</v>
      </c>
      <c r="NB183">
        <v>1738</v>
      </c>
      <c r="NC183">
        <v>-370</v>
      </c>
      <c r="ND183">
        <v>0</v>
      </c>
      <c r="NE183">
        <v>0</v>
      </c>
      <c r="NF183">
        <v>0</v>
      </c>
      <c r="NG183">
        <v>0</v>
      </c>
      <c r="NH183">
        <v>0</v>
      </c>
      <c r="NI183">
        <v>0</v>
      </c>
      <c r="NJ183">
        <v>0</v>
      </c>
      <c r="NK183">
        <v>0</v>
      </c>
      <c r="NL183">
        <v>0</v>
      </c>
      <c r="NM183">
        <v>0</v>
      </c>
      <c r="NN183">
        <v>0</v>
      </c>
      <c r="NO183">
        <v>0</v>
      </c>
      <c r="NP183">
        <v>0</v>
      </c>
      <c r="NQ183">
        <v>0</v>
      </c>
      <c r="NR183">
        <v>0</v>
      </c>
      <c r="NS183">
        <v>0</v>
      </c>
      <c r="NT183">
        <v>0</v>
      </c>
      <c r="NU183">
        <v>0</v>
      </c>
      <c r="NV183">
        <v>0</v>
      </c>
      <c r="NW183">
        <v>0</v>
      </c>
      <c r="NX183">
        <v>0</v>
      </c>
      <c r="NY183">
        <v>0</v>
      </c>
      <c r="NZ183">
        <v>0</v>
      </c>
      <c r="OA183">
        <v>0</v>
      </c>
      <c r="OB183">
        <v>0</v>
      </c>
      <c r="OC183">
        <v>21</v>
      </c>
      <c r="OD183">
        <v>1717</v>
      </c>
      <c r="OE183">
        <v>0</v>
      </c>
      <c r="OF183">
        <v>0</v>
      </c>
      <c r="OG183">
        <v>0</v>
      </c>
      <c r="OH183">
        <v>1738</v>
      </c>
      <c r="OI183">
        <v>0</v>
      </c>
      <c r="OJ183">
        <v>0</v>
      </c>
      <c r="OK183">
        <v>0</v>
      </c>
      <c r="OL183">
        <v>0</v>
      </c>
      <c r="OM183">
        <v>0</v>
      </c>
      <c r="ON183">
        <v>0</v>
      </c>
    </row>
    <row r="184" spans="1:404" x14ac:dyDescent="0.25">
      <c r="A184" t="s">
        <v>617</v>
      </c>
      <c r="B184" t="s">
        <v>618</v>
      </c>
      <c r="C184" t="s">
        <v>616</v>
      </c>
      <c r="E184" t="s">
        <v>61</v>
      </c>
    </row>
    <row r="185" spans="1:404" x14ac:dyDescent="0.25">
      <c r="A185" t="s">
        <v>620</v>
      </c>
      <c r="B185" t="s">
        <v>621</v>
      </c>
      <c r="C185" t="s">
        <v>619</v>
      </c>
      <c r="E185" t="s">
        <v>61</v>
      </c>
      <c r="F185">
        <v>0</v>
      </c>
      <c r="G185">
        <v>0</v>
      </c>
      <c r="H185">
        <v>0</v>
      </c>
      <c r="I185">
        <v>0</v>
      </c>
      <c r="J185">
        <v>0</v>
      </c>
      <c r="K185">
        <v>0</v>
      </c>
      <c r="L185">
        <v>0</v>
      </c>
      <c r="M185">
        <v>0</v>
      </c>
      <c r="N185">
        <v>96</v>
      </c>
      <c r="O185">
        <v>0</v>
      </c>
      <c r="P185">
        <v>0</v>
      </c>
      <c r="Q185">
        <v>0</v>
      </c>
      <c r="R185">
        <v>0</v>
      </c>
      <c r="S185">
        <v>78</v>
      </c>
      <c r="T185">
        <v>0</v>
      </c>
      <c r="U185">
        <v>68</v>
      </c>
      <c r="V185">
        <v>0</v>
      </c>
      <c r="W185">
        <v>0</v>
      </c>
      <c r="X185">
        <v>0</v>
      </c>
      <c r="Y185">
        <v>0</v>
      </c>
      <c r="Z185">
        <v>-100</v>
      </c>
      <c r="AA185">
        <v>-599</v>
      </c>
      <c r="AB185">
        <v>0</v>
      </c>
      <c r="AC185">
        <v>0</v>
      </c>
      <c r="AD185">
        <v>128</v>
      </c>
      <c r="AE185">
        <v>0</v>
      </c>
      <c r="AF185">
        <v>17</v>
      </c>
      <c r="AG185">
        <v>17</v>
      </c>
      <c r="AH185">
        <v>0</v>
      </c>
      <c r="AI185">
        <v>-295</v>
      </c>
      <c r="AJ185">
        <v>0</v>
      </c>
      <c r="AK185">
        <v>0</v>
      </c>
      <c r="AL185">
        <v>0</v>
      </c>
      <c r="AM185">
        <v>0</v>
      </c>
      <c r="AN185">
        <v>0</v>
      </c>
      <c r="AO185">
        <v>0</v>
      </c>
      <c r="AP185">
        <v>0</v>
      </c>
      <c r="AQ185">
        <v>66</v>
      </c>
      <c r="AR185">
        <v>501</v>
      </c>
      <c r="AS185">
        <v>0</v>
      </c>
      <c r="AT185">
        <v>0</v>
      </c>
      <c r="AU185">
        <v>0</v>
      </c>
      <c r="AV185">
        <v>0</v>
      </c>
      <c r="AW185">
        <v>0</v>
      </c>
      <c r="AX185">
        <v>0</v>
      </c>
      <c r="AY185">
        <v>0</v>
      </c>
      <c r="AZ185">
        <v>0</v>
      </c>
      <c r="BA185">
        <v>0</v>
      </c>
      <c r="BB185">
        <v>0</v>
      </c>
      <c r="BC185">
        <v>0</v>
      </c>
      <c r="BD185">
        <v>0</v>
      </c>
      <c r="BE185">
        <v>0</v>
      </c>
      <c r="BF185">
        <v>0</v>
      </c>
      <c r="BG185">
        <v>0</v>
      </c>
      <c r="BH185">
        <v>0</v>
      </c>
      <c r="BI185">
        <v>0</v>
      </c>
      <c r="BJ185">
        <v>0</v>
      </c>
      <c r="BK185">
        <v>0</v>
      </c>
      <c r="BL185">
        <v>0</v>
      </c>
      <c r="BM185">
        <v>0</v>
      </c>
      <c r="BN185">
        <v>0</v>
      </c>
      <c r="BO185">
        <v>0</v>
      </c>
      <c r="BP185">
        <v>0</v>
      </c>
      <c r="BQ185">
        <v>0</v>
      </c>
      <c r="BR185">
        <v>0</v>
      </c>
      <c r="BS185">
        <v>0</v>
      </c>
      <c r="BT185">
        <v>0</v>
      </c>
      <c r="BU185">
        <v>0</v>
      </c>
      <c r="BV185">
        <v>0</v>
      </c>
      <c r="BW185">
        <v>0</v>
      </c>
      <c r="BX185">
        <v>0</v>
      </c>
      <c r="BY185">
        <v>0</v>
      </c>
      <c r="BZ185">
        <v>0</v>
      </c>
      <c r="CA185">
        <v>0</v>
      </c>
      <c r="CB185">
        <v>0</v>
      </c>
      <c r="CC185">
        <v>0</v>
      </c>
      <c r="CD185">
        <v>0</v>
      </c>
      <c r="CE185">
        <v>0</v>
      </c>
      <c r="CF185">
        <v>0</v>
      </c>
      <c r="CG185">
        <v>0</v>
      </c>
      <c r="CH185">
        <v>0</v>
      </c>
      <c r="CI185">
        <v>0</v>
      </c>
      <c r="CJ185">
        <v>0</v>
      </c>
      <c r="CK185">
        <v>0</v>
      </c>
      <c r="CL185">
        <v>0</v>
      </c>
      <c r="CM185">
        <v>0</v>
      </c>
      <c r="CN185">
        <v>0</v>
      </c>
      <c r="CO185">
        <v>0</v>
      </c>
      <c r="CP185">
        <v>0</v>
      </c>
      <c r="CQ185">
        <v>0</v>
      </c>
      <c r="CR185">
        <v>0</v>
      </c>
      <c r="CS185">
        <v>0</v>
      </c>
      <c r="CT185">
        <v>0</v>
      </c>
      <c r="CU185">
        <v>0</v>
      </c>
      <c r="CV185">
        <v>0</v>
      </c>
      <c r="CW185">
        <v>0</v>
      </c>
      <c r="CX185">
        <v>0</v>
      </c>
      <c r="CY185">
        <v>0</v>
      </c>
      <c r="CZ185">
        <v>0</v>
      </c>
      <c r="DA185">
        <v>0</v>
      </c>
      <c r="DB185">
        <v>0</v>
      </c>
      <c r="DC185">
        <v>323</v>
      </c>
      <c r="DD185">
        <v>0</v>
      </c>
      <c r="DE185">
        <v>-2</v>
      </c>
      <c r="DF185">
        <v>385</v>
      </c>
      <c r="DG185">
        <v>0</v>
      </c>
      <c r="DH185">
        <v>0</v>
      </c>
      <c r="DI185">
        <v>899</v>
      </c>
      <c r="DJ185">
        <v>166</v>
      </c>
      <c r="DK185">
        <v>0</v>
      </c>
      <c r="DL185">
        <v>6</v>
      </c>
      <c r="DM185">
        <v>215</v>
      </c>
      <c r="DN185">
        <v>1077</v>
      </c>
      <c r="DO185">
        <v>863</v>
      </c>
      <c r="DP185">
        <v>3226</v>
      </c>
      <c r="DQ185">
        <v>271</v>
      </c>
      <c r="DR185">
        <v>0</v>
      </c>
      <c r="DS185">
        <v>16</v>
      </c>
      <c r="DT185">
        <v>973</v>
      </c>
      <c r="DU185">
        <v>0</v>
      </c>
      <c r="DV185">
        <v>0</v>
      </c>
      <c r="DW185">
        <v>0</v>
      </c>
      <c r="DX185">
        <v>5192</v>
      </c>
      <c r="DY185">
        <v>33562</v>
      </c>
      <c r="DZ185">
        <v>1203</v>
      </c>
      <c r="EA185">
        <v>905</v>
      </c>
      <c r="EB185">
        <v>0</v>
      </c>
      <c r="EC185">
        <v>0</v>
      </c>
      <c r="ED185">
        <v>115</v>
      </c>
      <c r="EE185">
        <v>219</v>
      </c>
      <c r="EF185">
        <v>0</v>
      </c>
      <c r="EG185">
        <v>0</v>
      </c>
      <c r="EH185">
        <v>9552</v>
      </c>
      <c r="EI185">
        <v>5802</v>
      </c>
      <c r="EJ185">
        <v>2887</v>
      </c>
      <c r="EK185">
        <v>522</v>
      </c>
      <c r="EL185">
        <v>3436</v>
      </c>
      <c r="EM185">
        <v>2937</v>
      </c>
      <c r="EN185">
        <v>1000</v>
      </c>
      <c r="EO185">
        <v>21</v>
      </c>
      <c r="EP185">
        <v>0</v>
      </c>
      <c r="EQ185">
        <v>12228</v>
      </c>
      <c r="ER185">
        <v>-63</v>
      </c>
      <c r="ES185">
        <v>8489</v>
      </c>
      <c r="ET185">
        <v>6171</v>
      </c>
      <c r="EU185">
        <v>0</v>
      </c>
      <c r="EV185">
        <v>201</v>
      </c>
      <c r="EW185">
        <v>72</v>
      </c>
      <c r="EX185">
        <v>1424</v>
      </c>
      <c r="EY185">
        <v>1382</v>
      </c>
      <c r="EZ185">
        <v>0</v>
      </c>
      <c r="FA185">
        <v>0</v>
      </c>
      <c r="FB185">
        <v>146</v>
      </c>
      <c r="FC185">
        <v>2835</v>
      </c>
      <c r="FD185">
        <v>2338</v>
      </c>
      <c r="FE185">
        <v>-9</v>
      </c>
      <c r="FF185">
        <v>3</v>
      </c>
      <c r="FG185">
        <v>0</v>
      </c>
      <c r="FH185">
        <v>8392</v>
      </c>
      <c r="FI185">
        <v>-648</v>
      </c>
      <c r="FJ185">
        <v>0</v>
      </c>
      <c r="FK185">
        <v>0</v>
      </c>
      <c r="FL185">
        <v>77</v>
      </c>
      <c r="FM185">
        <v>712</v>
      </c>
      <c r="FN185">
        <v>0</v>
      </c>
      <c r="FO185">
        <v>282</v>
      </c>
      <c r="FP185">
        <v>-64</v>
      </c>
      <c r="FQ185">
        <v>0</v>
      </c>
      <c r="FR185">
        <v>6</v>
      </c>
      <c r="FS185">
        <v>90</v>
      </c>
      <c r="FT185">
        <v>9</v>
      </c>
      <c r="FU185">
        <v>-70</v>
      </c>
      <c r="FV185">
        <v>-1542</v>
      </c>
      <c r="FW185">
        <v>114</v>
      </c>
      <c r="FX185">
        <v>672</v>
      </c>
      <c r="FY185">
        <v>0</v>
      </c>
      <c r="FZ185">
        <v>0</v>
      </c>
      <c r="GA185">
        <v>38</v>
      </c>
      <c r="GB185">
        <v>0</v>
      </c>
      <c r="GC185">
        <v>0</v>
      </c>
      <c r="GD185">
        <v>1676</v>
      </c>
      <c r="GE185">
        <v>3019</v>
      </c>
      <c r="GF185">
        <v>0</v>
      </c>
      <c r="GG185">
        <v>-572</v>
      </c>
      <c r="GH185">
        <v>0</v>
      </c>
      <c r="GI185">
        <v>147</v>
      </c>
      <c r="GJ185">
        <v>31</v>
      </c>
      <c r="GK185">
        <v>3977</v>
      </c>
      <c r="GL185">
        <v>278</v>
      </c>
      <c r="GM185">
        <v>237</v>
      </c>
      <c r="GN185">
        <v>0</v>
      </c>
      <c r="GO185">
        <v>193</v>
      </c>
      <c r="GP185">
        <v>0</v>
      </c>
      <c r="GQ185">
        <v>316</v>
      </c>
      <c r="GR185">
        <v>0</v>
      </c>
      <c r="GS185">
        <v>-377</v>
      </c>
      <c r="GT185">
        <v>366</v>
      </c>
      <c r="GU185">
        <v>1013</v>
      </c>
      <c r="GV185">
        <v>13382</v>
      </c>
      <c r="GW185">
        <v>0</v>
      </c>
      <c r="GX185">
        <v>0</v>
      </c>
      <c r="GY185">
        <v>0</v>
      </c>
      <c r="GZ185">
        <v>0</v>
      </c>
      <c r="HA185">
        <v>0</v>
      </c>
      <c r="HB185">
        <v>1121</v>
      </c>
      <c r="HC185">
        <v>749</v>
      </c>
      <c r="HD185">
        <v>0</v>
      </c>
      <c r="HE185">
        <v>0</v>
      </c>
      <c r="HF185">
        <v>416</v>
      </c>
      <c r="HG185">
        <v>-58</v>
      </c>
      <c r="HH185">
        <v>0</v>
      </c>
      <c r="HI185">
        <v>0</v>
      </c>
      <c r="HJ185">
        <v>201</v>
      </c>
      <c r="HK185">
        <v>106</v>
      </c>
      <c r="HL185">
        <v>61</v>
      </c>
      <c r="HM185">
        <v>2</v>
      </c>
      <c r="HN185">
        <v>0</v>
      </c>
      <c r="HO185">
        <v>394</v>
      </c>
      <c r="HP185">
        <v>0</v>
      </c>
      <c r="HQ185">
        <v>0</v>
      </c>
      <c r="HR185">
        <v>-140</v>
      </c>
      <c r="HS185">
        <v>22</v>
      </c>
      <c r="HT185">
        <v>0</v>
      </c>
      <c r="HU185">
        <v>1003</v>
      </c>
      <c r="HV185">
        <v>3877</v>
      </c>
      <c r="HW185">
        <v>1453</v>
      </c>
      <c r="HX185">
        <v>6315</v>
      </c>
      <c r="HY185">
        <v>0</v>
      </c>
      <c r="HZ185">
        <v>3562</v>
      </c>
      <c r="IA185">
        <v>125</v>
      </c>
      <c r="IB185">
        <v>0</v>
      </c>
      <c r="IC185">
        <v>0</v>
      </c>
      <c r="ID185">
        <v>-295</v>
      </c>
      <c r="IE185">
        <v>0</v>
      </c>
      <c r="IF185">
        <v>0</v>
      </c>
      <c r="IG185">
        <v>0</v>
      </c>
      <c r="IH185">
        <v>5192</v>
      </c>
      <c r="II185">
        <v>8392</v>
      </c>
      <c r="IJ185">
        <v>3977</v>
      </c>
      <c r="IK185">
        <v>1013</v>
      </c>
      <c r="IL185">
        <v>0</v>
      </c>
      <c r="IM185">
        <v>0</v>
      </c>
      <c r="IN185">
        <v>3877</v>
      </c>
      <c r="IO185">
        <v>0</v>
      </c>
      <c r="IP185">
        <v>22156</v>
      </c>
      <c r="IQ185">
        <v>20986</v>
      </c>
      <c r="IR185">
        <v>566</v>
      </c>
      <c r="IS185">
        <v>11631</v>
      </c>
      <c r="IT185">
        <v>0</v>
      </c>
      <c r="IU185">
        <v>219</v>
      </c>
      <c r="IV185">
        <v>0</v>
      </c>
      <c r="IW185">
        <v>0</v>
      </c>
      <c r="IX185">
        <v>0</v>
      </c>
      <c r="IY185">
        <v>0</v>
      </c>
      <c r="IZ185">
        <v>0</v>
      </c>
      <c r="JA185">
        <v>806</v>
      </c>
      <c r="JB185">
        <v>0</v>
      </c>
      <c r="JC185">
        <v>-1503</v>
      </c>
      <c r="JD185">
        <v>0</v>
      </c>
      <c r="JE185">
        <v>0</v>
      </c>
      <c r="JF185">
        <v>0</v>
      </c>
      <c r="JG185">
        <v>54861</v>
      </c>
      <c r="JH185">
        <v>0</v>
      </c>
      <c r="JI185">
        <v>192</v>
      </c>
      <c r="JJ185">
        <v>0</v>
      </c>
      <c r="JK185">
        <v>0</v>
      </c>
      <c r="JL185">
        <v>0</v>
      </c>
      <c r="JM185">
        <v>0</v>
      </c>
      <c r="JN185">
        <v>2768</v>
      </c>
      <c r="JO185">
        <v>0</v>
      </c>
      <c r="JP185">
        <v>6208</v>
      </c>
      <c r="JQ185">
        <v>-3436</v>
      </c>
      <c r="JR185">
        <v>60593</v>
      </c>
      <c r="JS185">
        <v>-6661</v>
      </c>
      <c r="JT185">
        <v>0</v>
      </c>
      <c r="JU185">
        <v>0</v>
      </c>
      <c r="JV185">
        <v>0</v>
      </c>
      <c r="JW185">
        <v>-33012</v>
      </c>
      <c r="JX185">
        <v>0</v>
      </c>
      <c r="JY185">
        <v>0</v>
      </c>
      <c r="JZ185">
        <v>0</v>
      </c>
      <c r="KA185">
        <v>0</v>
      </c>
      <c r="KB185">
        <v>0</v>
      </c>
      <c r="KC185">
        <v>20920</v>
      </c>
      <c r="KD185">
        <v>0</v>
      </c>
      <c r="KE185">
        <v>-3245</v>
      </c>
      <c r="KF185">
        <v>17675</v>
      </c>
      <c r="KG185">
        <v>0</v>
      </c>
      <c r="KH185">
        <v>0</v>
      </c>
      <c r="KI185">
        <v>0</v>
      </c>
      <c r="KJ185">
        <v>0</v>
      </c>
      <c r="KK185">
        <v>12964</v>
      </c>
      <c r="KL185">
        <v>-120</v>
      </c>
      <c r="KM185">
        <v>0</v>
      </c>
      <c r="KN185">
        <v>0</v>
      </c>
      <c r="KO185">
        <v>-5636</v>
      </c>
      <c r="KP185">
        <v>104</v>
      </c>
      <c r="KQ185">
        <v>0</v>
      </c>
      <c r="KR185">
        <v>14469</v>
      </c>
      <c r="KS185">
        <v>0</v>
      </c>
      <c r="KT185">
        <v>0</v>
      </c>
      <c r="KU185">
        <v>0</v>
      </c>
      <c r="KV185">
        <v>25986</v>
      </c>
      <c r="KW185">
        <v>6584</v>
      </c>
      <c r="KX185">
        <v>0</v>
      </c>
      <c r="KY185">
        <v>0</v>
      </c>
      <c r="KZ185">
        <v>0</v>
      </c>
      <c r="LA185">
        <v>38950</v>
      </c>
      <c r="LB185">
        <v>6464</v>
      </c>
      <c r="LC185">
        <v>0</v>
      </c>
      <c r="LD185">
        <v>2446</v>
      </c>
      <c r="LE185">
        <v>0</v>
      </c>
      <c r="LF185">
        <v>1248</v>
      </c>
      <c r="LG185">
        <v>0</v>
      </c>
      <c r="LH185">
        <v>1054</v>
      </c>
      <c r="LI185">
        <v>4748</v>
      </c>
      <c r="LJ185">
        <v>3598</v>
      </c>
      <c r="LK185">
        <v>7359</v>
      </c>
      <c r="LL185">
        <v>10957</v>
      </c>
      <c r="LM185">
        <v>0</v>
      </c>
      <c r="LN185">
        <v>0</v>
      </c>
      <c r="LO185">
        <v>0</v>
      </c>
      <c r="LP185">
        <v>36004</v>
      </c>
      <c r="LQ185">
        <v>38322</v>
      </c>
      <c r="LR185">
        <v>-2318</v>
      </c>
      <c r="LS185">
        <v>8489</v>
      </c>
      <c r="LT185">
        <v>6171</v>
      </c>
      <c r="LU185">
        <v>0</v>
      </c>
      <c r="LV185">
        <v>-295</v>
      </c>
      <c r="LW185">
        <v>0</v>
      </c>
      <c r="LX185">
        <v>0</v>
      </c>
      <c r="LY185">
        <v>0</v>
      </c>
      <c r="LZ185">
        <v>5192</v>
      </c>
      <c r="MA185">
        <v>8392</v>
      </c>
      <c r="MB185">
        <v>3977</v>
      </c>
      <c r="MC185">
        <v>1013</v>
      </c>
      <c r="MD185">
        <v>0</v>
      </c>
      <c r="ME185">
        <v>0</v>
      </c>
      <c r="MF185">
        <v>3877</v>
      </c>
      <c r="MG185">
        <v>0</v>
      </c>
      <c r="MH185">
        <v>22156</v>
      </c>
      <c r="MI185">
        <v>0</v>
      </c>
      <c r="MJ185">
        <v>0</v>
      </c>
      <c r="MK185">
        <v>0</v>
      </c>
      <c r="ML185">
        <v>0</v>
      </c>
      <c r="MM185">
        <v>0</v>
      </c>
      <c r="MN185">
        <v>0</v>
      </c>
      <c r="MO185">
        <v>0</v>
      </c>
      <c r="MP185">
        <v>0</v>
      </c>
      <c r="MQ185">
        <v>0</v>
      </c>
      <c r="MR185">
        <v>0</v>
      </c>
      <c r="MS185">
        <v>0</v>
      </c>
      <c r="MT185">
        <v>0</v>
      </c>
      <c r="MU185">
        <v>0</v>
      </c>
      <c r="MV185">
        <v>0</v>
      </c>
      <c r="MW185">
        <v>-766</v>
      </c>
      <c r="MX185">
        <v>0</v>
      </c>
      <c r="MY185">
        <v>0</v>
      </c>
      <c r="MZ185">
        <v>69</v>
      </c>
      <c r="NA185">
        <v>-697</v>
      </c>
      <c r="NB185">
        <v>1503</v>
      </c>
      <c r="NC185">
        <v>806</v>
      </c>
      <c r="ND185">
        <v>0</v>
      </c>
      <c r="NE185">
        <v>0</v>
      </c>
      <c r="NF185">
        <v>0</v>
      </c>
      <c r="NG185">
        <v>0</v>
      </c>
      <c r="NH185">
        <v>0</v>
      </c>
      <c r="NI185">
        <v>0</v>
      </c>
      <c r="NJ185">
        <v>0</v>
      </c>
      <c r="NK185">
        <v>0</v>
      </c>
      <c r="NL185">
        <v>0</v>
      </c>
      <c r="NM185">
        <v>0</v>
      </c>
      <c r="NN185">
        <v>0</v>
      </c>
      <c r="NO185">
        <v>0</v>
      </c>
      <c r="NP185">
        <v>0</v>
      </c>
      <c r="NQ185">
        <v>0</v>
      </c>
      <c r="NR185">
        <v>0</v>
      </c>
      <c r="NS185">
        <v>0</v>
      </c>
      <c r="NT185">
        <v>0</v>
      </c>
      <c r="NU185">
        <v>0</v>
      </c>
      <c r="NV185">
        <v>0</v>
      </c>
      <c r="NW185">
        <v>0</v>
      </c>
      <c r="NX185">
        <v>0</v>
      </c>
      <c r="NY185">
        <v>0</v>
      </c>
      <c r="NZ185">
        <v>0</v>
      </c>
      <c r="OA185">
        <v>0</v>
      </c>
      <c r="OB185">
        <v>0</v>
      </c>
      <c r="OC185">
        <v>228</v>
      </c>
      <c r="OD185">
        <v>0</v>
      </c>
      <c r="OE185">
        <v>1181</v>
      </c>
      <c r="OF185">
        <v>0</v>
      </c>
      <c r="OG185">
        <v>94</v>
      </c>
      <c r="OH185">
        <v>1503</v>
      </c>
      <c r="OI185">
        <v>0</v>
      </c>
      <c r="OJ185">
        <v>0</v>
      </c>
      <c r="OK185">
        <v>0</v>
      </c>
      <c r="OL185">
        <v>0</v>
      </c>
      <c r="OM185">
        <v>0</v>
      </c>
      <c r="ON185">
        <v>0</v>
      </c>
    </row>
    <row r="186" spans="1:404" x14ac:dyDescent="0.25">
      <c r="A186" t="s">
        <v>623</v>
      </c>
      <c r="B186" t="s">
        <v>624</v>
      </c>
      <c r="C186" t="s">
        <v>622</v>
      </c>
      <c r="E186" t="s">
        <v>125</v>
      </c>
      <c r="F186">
        <v>6776</v>
      </c>
      <c r="G186">
        <v>44116</v>
      </c>
      <c r="H186">
        <v>27322</v>
      </c>
      <c r="I186">
        <v>12852</v>
      </c>
      <c r="J186">
        <v>2166</v>
      </c>
      <c r="K186">
        <v>7590</v>
      </c>
      <c r="L186">
        <v>100822</v>
      </c>
      <c r="M186">
        <v>939</v>
      </c>
      <c r="N186">
        <v>0</v>
      </c>
      <c r="O186">
        <v>567</v>
      </c>
      <c r="P186">
        <v>1627</v>
      </c>
      <c r="Q186">
        <v>307</v>
      </c>
      <c r="R186">
        <v>622</v>
      </c>
      <c r="S186">
        <v>1828</v>
      </c>
      <c r="T186">
        <v>639</v>
      </c>
      <c r="U186">
        <v>815</v>
      </c>
      <c r="V186">
        <v>0</v>
      </c>
      <c r="W186">
        <v>0</v>
      </c>
      <c r="X186">
        <v>607</v>
      </c>
      <c r="Y186">
        <v>0</v>
      </c>
      <c r="Z186">
        <v>-997</v>
      </c>
      <c r="AA186">
        <v>-2474</v>
      </c>
      <c r="AB186">
        <v>4746</v>
      </c>
      <c r="AC186">
        <v>0</v>
      </c>
      <c r="AD186">
        <v>0</v>
      </c>
      <c r="AE186">
        <v>0</v>
      </c>
      <c r="AF186">
        <v>0</v>
      </c>
      <c r="AG186">
        <v>35</v>
      </c>
      <c r="AH186">
        <v>2280</v>
      </c>
      <c r="AI186">
        <v>11541</v>
      </c>
      <c r="AJ186">
        <v>0</v>
      </c>
      <c r="AK186">
        <v>0</v>
      </c>
      <c r="AL186">
        <v>0</v>
      </c>
      <c r="AM186">
        <v>0</v>
      </c>
      <c r="AN186">
        <v>0</v>
      </c>
      <c r="AO186">
        <v>0</v>
      </c>
      <c r="AP186">
        <v>0</v>
      </c>
      <c r="AQ186">
        <v>179</v>
      </c>
      <c r="AR186">
        <v>1566</v>
      </c>
      <c r="AS186">
        <v>0</v>
      </c>
      <c r="AT186">
        <v>0</v>
      </c>
      <c r="AU186">
        <v>0</v>
      </c>
      <c r="AV186">
        <v>659</v>
      </c>
      <c r="AW186">
        <v>13763</v>
      </c>
      <c r="AX186">
        <v>19</v>
      </c>
      <c r="AY186">
        <v>3708</v>
      </c>
      <c r="AZ186">
        <v>541</v>
      </c>
      <c r="BA186">
        <v>10088</v>
      </c>
      <c r="BB186">
        <v>489</v>
      </c>
      <c r="BC186">
        <v>367</v>
      </c>
      <c r="BD186">
        <v>29634</v>
      </c>
      <c r="BE186">
        <v>2736</v>
      </c>
      <c r="BF186">
        <v>14478</v>
      </c>
      <c r="BG186">
        <v>33</v>
      </c>
      <c r="BH186">
        <v>56</v>
      </c>
      <c r="BI186">
        <v>379</v>
      </c>
      <c r="BJ186">
        <v>4666</v>
      </c>
      <c r="BK186">
        <v>18911</v>
      </c>
      <c r="BL186">
        <v>1059</v>
      </c>
      <c r="BM186">
        <v>2497</v>
      </c>
      <c r="BN186">
        <v>1277</v>
      </c>
      <c r="BO186">
        <v>119</v>
      </c>
      <c r="BP186">
        <v>31</v>
      </c>
      <c r="BQ186">
        <v>796</v>
      </c>
      <c r="BR186">
        <v>1413</v>
      </c>
      <c r="BS186">
        <v>639</v>
      </c>
      <c r="BT186">
        <v>5812</v>
      </c>
      <c r="BU186">
        <v>483</v>
      </c>
      <c r="BV186">
        <v>8066</v>
      </c>
      <c r="BW186">
        <v>68757</v>
      </c>
      <c r="BX186">
        <v>727</v>
      </c>
      <c r="BY186">
        <v>385</v>
      </c>
      <c r="BZ186">
        <v>106</v>
      </c>
      <c r="CA186">
        <v>57</v>
      </c>
      <c r="CB186">
        <v>79</v>
      </c>
      <c r="CC186">
        <v>27</v>
      </c>
      <c r="CD186">
        <v>16</v>
      </c>
      <c r="CE186">
        <v>66</v>
      </c>
      <c r="CF186">
        <v>153</v>
      </c>
      <c r="CG186">
        <v>38</v>
      </c>
      <c r="CH186">
        <v>53</v>
      </c>
      <c r="CI186">
        <v>1040</v>
      </c>
      <c r="CJ186">
        <v>479</v>
      </c>
      <c r="CK186">
        <v>9</v>
      </c>
      <c r="CL186">
        <v>10</v>
      </c>
      <c r="CM186">
        <v>295</v>
      </c>
      <c r="CN186">
        <v>211</v>
      </c>
      <c r="CO186">
        <v>57</v>
      </c>
      <c r="CP186">
        <v>522</v>
      </c>
      <c r="CQ186">
        <v>1669</v>
      </c>
      <c r="CR186">
        <v>408</v>
      </c>
      <c r="CS186">
        <v>0</v>
      </c>
      <c r="CT186">
        <v>258</v>
      </c>
      <c r="CU186">
        <v>735</v>
      </c>
      <c r="CV186">
        <v>10296</v>
      </c>
      <c r="CW186">
        <v>0</v>
      </c>
      <c r="CX186">
        <v>0</v>
      </c>
      <c r="CY186">
        <v>0</v>
      </c>
      <c r="CZ186">
        <v>0</v>
      </c>
      <c r="DA186">
        <v>0</v>
      </c>
      <c r="DB186">
        <v>0</v>
      </c>
      <c r="DC186">
        <v>191</v>
      </c>
      <c r="DD186">
        <v>0</v>
      </c>
      <c r="DE186">
        <v>0</v>
      </c>
      <c r="DF186">
        <v>336</v>
      </c>
      <c r="DG186">
        <v>0</v>
      </c>
      <c r="DH186">
        <v>204</v>
      </c>
      <c r="DI186">
        <v>0</v>
      </c>
      <c r="DJ186">
        <v>440</v>
      </c>
      <c r="DK186">
        <v>0</v>
      </c>
      <c r="DL186">
        <v>0</v>
      </c>
      <c r="DM186">
        <v>231</v>
      </c>
      <c r="DN186">
        <v>391</v>
      </c>
      <c r="DO186">
        <v>2109</v>
      </c>
      <c r="DP186">
        <v>3375</v>
      </c>
      <c r="DQ186">
        <v>307</v>
      </c>
      <c r="DR186">
        <v>0</v>
      </c>
      <c r="DS186">
        <v>0</v>
      </c>
      <c r="DT186">
        <v>694</v>
      </c>
      <c r="DU186">
        <v>-117</v>
      </c>
      <c r="DV186">
        <v>690</v>
      </c>
      <c r="DW186">
        <v>0</v>
      </c>
      <c r="DX186">
        <v>5476</v>
      </c>
      <c r="DY186">
        <v>0</v>
      </c>
      <c r="DZ186">
        <v>0</v>
      </c>
      <c r="EA186">
        <v>0</v>
      </c>
      <c r="EB186">
        <v>0</v>
      </c>
      <c r="EC186">
        <v>0</v>
      </c>
      <c r="ED186">
        <v>0</v>
      </c>
      <c r="EE186">
        <v>0</v>
      </c>
      <c r="EF186">
        <v>0</v>
      </c>
      <c r="EG186">
        <v>0</v>
      </c>
      <c r="EH186">
        <v>0</v>
      </c>
      <c r="EI186">
        <v>0</v>
      </c>
      <c r="EJ186">
        <v>0</v>
      </c>
      <c r="EK186">
        <v>0</v>
      </c>
      <c r="EL186">
        <v>0</v>
      </c>
      <c r="EM186">
        <v>0</v>
      </c>
      <c r="EN186">
        <v>0</v>
      </c>
      <c r="EO186">
        <v>0</v>
      </c>
      <c r="EP186">
        <v>0</v>
      </c>
      <c r="EQ186">
        <v>0</v>
      </c>
      <c r="ER186">
        <v>0</v>
      </c>
      <c r="ES186">
        <v>0</v>
      </c>
      <c r="ET186">
        <v>0</v>
      </c>
      <c r="EU186">
        <v>218</v>
      </c>
      <c r="EV186">
        <v>0</v>
      </c>
      <c r="EW186">
        <v>118</v>
      </c>
      <c r="EX186">
        <v>330</v>
      </c>
      <c r="EY186">
        <v>93</v>
      </c>
      <c r="EZ186">
        <v>0</v>
      </c>
      <c r="FA186">
        <v>-485</v>
      </c>
      <c r="FB186">
        <v>289</v>
      </c>
      <c r="FC186">
        <v>1721</v>
      </c>
      <c r="FD186">
        <v>1277</v>
      </c>
      <c r="FE186">
        <v>1</v>
      </c>
      <c r="FF186">
        <v>4</v>
      </c>
      <c r="FG186">
        <v>1157</v>
      </c>
      <c r="FH186">
        <v>4723</v>
      </c>
      <c r="FI186">
        <v>-373</v>
      </c>
      <c r="FJ186">
        <v>318</v>
      </c>
      <c r="FK186">
        <v>3</v>
      </c>
      <c r="FL186">
        <v>200</v>
      </c>
      <c r="FM186">
        <v>474</v>
      </c>
      <c r="FN186">
        <v>0</v>
      </c>
      <c r="FO186">
        <v>143</v>
      </c>
      <c r="FP186">
        <v>50</v>
      </c>
      <c r="FQ186">
        <v>0</v>
      </c>
      <c r="FR186">
        <v>14</v>
      </c>
      <c r="FS186">
        <v>0</v>
      </c>
      <c r="FT186">
        <v>130</v>
      </c>
      <c r="FU186">
        <v>58</v>
      </c>
      <c r="FV186">
        <v>51</v>
      </c>
      <c r="FW186">
        <v>67</v>
      </c>
      <c r="FX186">
        <v>18</v>
      </c>
      <c r="FY186">
        <v>20</v>
      </c>
      <c r="FZ186">
        <v>0</v>
      </c>
      <c r="GA186">
        <v>0</v>
      </c>
      <c r="GB186">
        <v>162</v>
      </c>
      <c r="GC186">
        <v>113</v>
      </c>
      <c r="GD186">
        <v>3033</v>
      </c>
      <c r="GE186">
        <v>999</v>
      </c>
      <c r="GF186">
        <v>2627</v>
      </c>
      <c r="GG186">
        <v>0</v>
      </c>
      <c r="GH186">
        <v>359</v>
      </c>
      <c r="GI186">
        <v>0</v>
      </c>
      <c r="GJ186">
        <v>107</v>
      </c>
      <c r="GK186">
        <v>8573</v>
      </c>
      <c r="GL186">
        <v>271</v>
      </c>
      <c r="GM186">
        <v>340</v>
      </c>
      <c r="GN186">
        <v>0</v>
      </c>
      <c r="GO186">
        <v>-194</v>
      </c>
      <c r="GP186">
        <v>449</v>
      </c>
      <c r="GQ186">
        <v>1294</v>
      </c>
      <c r="GR186">
        <v>0</v>
      </c>
      <c r="GS186">
        <v>-158</v>
      </c>
      <c r="GT186">
        <v>0</v>
      </c>
      <c r="GU186">
        <v>2002</v>
      </c>
      <c r="GV186">
        <v>15298</v>
      </c>
      <c r="GW186">
        <v>0</v>
      </c>
      <c r="GX186">
        <v>0</v>
      </c>
      <c r="GY186">
        <v>0</v>
      </c>
      <c r="GZ186">
        <v>0</v>
      </c>
      <c r="HA186">
        <v>0</v>
      </c>
      <c r="HB186">
        <v>3566</v>
      </c>
      <c r="HC186">
        <v>610</v>
      </c>
      <c r="HD186">
        <v>0</v>
      </c>
      <c r="HE186">
        <v>80</v>
      </c>
      <c r="HF186">
        <v>337</v>
      </c>
      <c r="HG186">
        <v>-59</v>
      </c>
      <c r="HH186">
        <v>0</v>
      </c>
      <c r="HI186">
        <v>-10</v>
      </c>
      <c r="HJ186">
        <v>230</v>
      </c>
      <c r="HK186">
        <v>191</v>
      </c>
      <c r="HL186">
        <v>1712</v>
      </c>
      <c r="HM186">
        <v>-111</v>
      </c>
      <c r="HN186">
        <v>0</v>
      </c>
      <c r="HO186">
        <v>7</v>
      </c>
      <c r="HP186">
        <v>741</v>
      </c>
      <c r="HQ186">
        <v>0</v>
      </c>
      <c r="HR186">
        <v>1338</v>
      </c>
      <c r="HS186">
        <v>0</v>
      </c>
      <c r="HT186">
        <v>0</v>
      </c>
      <c r="HU186">
        <v>0</v>
      </c>
      <c r="HV186">
        <v>8632</v>
      </c>
      <c r="HW186">
        <v>5983</v>
      </c>
      <c r="HX186">
        <v>13639</v>
      </c>
      <c r="HY186">
        <v>396</v>
      </c>
      <c r="HZ186">
        <v>43</v>
      </c>
      <c r="IA186">
        <v>585</v>
      </c>
      <c r="IB186">
        <v>0</v>
      </c>
      <c r="IC186">
        <v>100822</v>
      </c>
      <c r="ID186">
        <v>11541</v>
      </c>
      <c r="IE186">
        <v>29634</v>
      </c>
      <c r="IF186">
        <v>68757</v>
      </c>
      <c r="IG186">
        <v>10296</v>
      </c>
      <c r="IH186">
        <v>5476</v>
      </c>
      <c r="II186">
        <v>4723</v>
      </c>
      <c r="IJ186">
        <v>8573</v>
      </c>
      <c r="IK186">
        <v>2002</v>
      </c>
      <c r="IL186">
        <v>0</v>
      </c>
      <c r="IM186">
        <v>0</v>
      </c>
      <c r="IN186">
        <v>8632</v>
      </c>
      <c r="IO186">
        <v>0</v>
      </c>
      <c r="IP186">
        <v>250456</v>
      </c>
      <c r="IQ186">
        <v>31637</v>
      </c>
      <c r="IR186">
        <v>862</v>
      </c>
      <c r="IS186">
        <v>0</v>
      </c>
      <c r="IT186">
        <v>0</v>
      </c>
      <c r="IU186">
        <v>0</v>
      </c>
      <c r="IV186">
        <v>5028</v>
      </c>
      <c r="IW186">
        <v>0</v>
      </c>
      <c r="IX186">
        <v>0</v>
      </c>
      <c r="IY186">
        <v>0</v>
      </c>
      <c r="IZ186">
        <v>0</v>
      </c>
      <c r="JA186">
        <v>0</v>
      </c>
      <c r="JB186">
        <v>0</v>
      </c>
      <c r="JC186">
        <v>0</v>
      </c>
      <c r="JD186">
        <v>0</v>
      </c>
      <c r="JE186">
        <v>-206</v>
      </c>
      <c r="JF186">
        <v>0</v>
      </c>
      <c r="JG186">
        <v>287777</v>
      </c>
      <c r="JH186">
        <v>43</v>
      </c>
      <c r="JI186">
        <v>2261</v>
      </c>
      <c r="JJ186">
        <v>0</v>
      </c>
      <c r="JK186">
        <v>0</v>
      </c>
      <c r="JL186">
        <v>0</v>
      </c>
      <c r="JM186">
        <v>0</v>
      </c>
      <c r="JN186">
        <v>5171</v>
      </c>
      <c r="JO186">
        <v>35</v>
      </c>
      <c r="JP186">
        <v>16676</v>
      </c>
      <c r="JQ186">
        <v>0</v>
      </c>
      <c r="JR186">
        <v>311963</v>
      </c>
      <c r="JS186">
        <v>-1628</v>
      </c>
      <c r="JT186">
        <v>0</v>
      </c>
      <c r="JU186">
        <v>0</v>
      </c>
      <c r="JV186">
        <v>0</v>
      </c>
      <c r="JW186">
        <v>-37433</v>
      </c>
      <c r="JX186">
        <v>0</v>
      </c>
      <c r="JY186">
        <v>0</v>
      </c>
      <c r="JZ186">
        <v>0</v>
      </c>
      <c r="KA186">
        <v>0</v>
      </c>
      <c r="KB186">
        <v>-2046</v>
      </c>
      <c r="KC186">
        <v>270856</v>
      </c>
      <c r="KD186">
        <v>-14</v>
      </c>
      <c r="KE186">
        <v>-145202</v>
      </c>
      <c r="KF186">
        <v>125640</v>
      </c>
      <c r="KG186">
        <v>0</v>
      </c>
      <c r="KH186">
        <v>138</v>
      </c>
      <c r="KI186">
        <v>0</v>
      </c>
      <c r="KJ186">
        <v>584</v>
      </c>
      <c r="KK186">
        <v>8578</v>
      </c>
      <c r="KL186">
        <v>-1589</v>
      </c>
      <c r="KM186">
        <v>-3642</v>
      </c>
      <c r="KN186">
        <v>0</v>
      </c>
      <c r="KO186">
        <v>-30545</v>
      </c>
      <c r="KP186">
        <v>1102</v>
      </c>
      <c r="KQ186">
        <v>0</v>
      </c>
      <c r="KR186">
        <v>94581</v>
      </c>
      <c r="KS186">
        <v>1994</v>
      </c>
      <c r="KT186">
        <v>0</v>
      </c>
      <c r="KU186">
        <v>920</v>
      </c>
      <c r="KV186">
        <v>100812</v>
      </c>
      <c r="KW186">
        <v>13646</v>
      </c>
      <c r="KX186">
        <v>2132</v>
      </c>
      <c r="KY186">
        <v>0</v>
      </c>
      <c r="KZ186">
        <v>1504</v>
      </c>
      <c r="LA186">
        <v>109390</v>
      </c>
      <c r="LB186">
        <v>12057</v>
      </c>
      <c r="LC186">
        <v>0</v>
      </c>
      <c r="LD186">
        <v>18945</v>
      </c>
      <c r="LE186">
        <v>0</v>
      </c>
      <c r="LF186">
        <v>0</v>
      </c>
      <c r="LG186">
        <v>-1975</v>
      </c>
      <c r="LH186">
        <v>2028</v>
      </c>
      <c r="LI186">
        <v>18998</v>
      </c>
      <c r="LJ186">
        <v>6549</v>
      </c>
      <c r="LK186">
        <v>3738</v>
      </c>
      <c r="LL186">
        <v>10287</v>
      </c>
      <c r="LM186">
        <v>0</v>
      </c>
      <c r="LN186">
        <v>0</v>
      </c>
      <c r="LO186">
        <v>0</v>
      </c>
      <c r="LP186">
        <v>0</v>
      </c>
      <c r="LQ186">
        <v>0</v>
      </c>
      <c r="LR186">
        <v>0</v>
      </c>
      <c r="LS186">
        <v>0</v>
      </c>
      <c r="LT186">
        <v>0</v>
      </c>
      <c r="LU186">
        <v>100822</v>
      </c>
      <c r="LV186">
        <v>11541</v>
      </c>
      <c r="LW186">
        <v>29634</v>
      </c>
      <c r="LX186">
        <v>68757</v>
      </c>
      <c r="LY186">
        <v>10296</v>
      </c>
      <c r="LZ186">
        <v>5476</v>
      </c>
      <c r="MA186">
        <v>4723</v>
      </c>
      <c r="MB186">
        <v>8573</v>
      </c>
      <c r="MC186">
        <v>2002</v>
      </c>
      <c r="MD186">
        <v>0</v>
      </c>
      <c r="ME186">
        <v>0</v>
      </c>
      <c r="MF186">
        <v>8632</v>
      </c>
      <c r="MG186">
        <v>0</v>
      </c>
      <c r="MH186">
        <v>250456</v>
      </c>
      <c r="MI186">
        <v>0</v>
      </c>
      <c r="MJ186">
        <v>0</v>
      </c>
      <c r="MK186">
        <v>0</v>
      </c>
      <c r="ML186">
        <v>0</v>
      </c>
      <c r="MM186">
        <v>0</v>
      </c>
      <c r="MN186">
        <v>0</v>
      </c>
      <c r="MO186">
        <v>0</v>
      </c>
      <c r="MP186">
        <v>0</v>
      </c>
      <c r="MQ186">
        <v>0</v>
      </c>
      <c r="MR186">
        <v>0</v>
      </c>
      <c r="MS186">
        <v>0</v>
      </c>
      <c r="MT186">
        <v>0</v>
      </c>
      <c r="MU186">
        <v>0</v>
      </c>
      <c r="MV186">
        <v>0</v>
      </c>
      <c r="MW186">
        <v>0</v>
      </c>
      <c r="MX186">
        <v>0</v>
      </c>
      <c r="MY186">
        <v>0</v>
      </c>
      <c r="MZ186">
        <v>0</v>
      </c>
      <c r="NA186">
        <v>0</v>
      </c>
      <c r="NB186">
        <v>0</v>
      </c>
      <c r="NC186">
        <v>0</v>
      </c>
      <c r="ND186">
        <v>0</v>
      </c>
      <c r="NE186">
        <v>0</v>
      </c>
      <c r="NF186">
        <v>0</v>
      </c>
      <c r="NG186">
        <v>0</v>
      </c>
      <c r="NH186">
        <v>0</v>
      </c>
      <c r="NI186">
        <v>0</v>
      </c>
      <c r="NJ186">
        <v>0</v>
      </c>
      <c r="NK186">
        <v>0</v>
      </c>
      <c r="NL186">
        <v>0</v>
      </c>
      <c r="NM186">
        <v>0</v>
      </c>
      <c r="NN186">
        <v>0</v>
      </c>
      <c r="NO186">
        <v>0</v>
      </c>
      <c r="NP186">
        <v>0</v>
      </c>
      <c r="NQ186">
        <v>0</v>
      </c>
      <c r="NR186">
        <v>0</v>
      </c>
      <c r="NS186">
        <v>0</v>
      </c>
      <c r="NT186">
        <v>0</v>
      </c>
      <c r="NU186">
        <v>0</v>
      </c>
      <c r="NV186">
        <v>0</v>
      </c>
      <c r="NW186">
        <v>0</v>
      </c>
      <c r="NX186">
        <v>0</v>
      </c>
      <c r="NY186">
        <v>0</v>
      </c>
      <c r="NZ186">
        <v>0</v>
      </c>
      <c r="OA186">
        <v>0</v>
      </c>
      <c r="OB186">
        <v>0</v>
      </c>
      <c r="OC186">
        <v>0</v>
      </c>
      <c r="OD186">
        <v>0</v>
      </c>
      <c r="OE186">
        <v>0</v>
      </c>
      <c r="OF186">
        <v>0</v>
      </c>
      <c r="OG186">
        <v>0</v>
      </c>
      <c r="OH186">
        <v>0</v>
      </c>
      <c r="OI186">
        <v>0</v>
      </c>
      <c r="OJ186">
        <v>0</v>
      </c>
      <c r="OK186">
        <v>0</v>
      </c>
      <c r="OL186">
        <v>0</v>
      </c>
      <c r="OM186">
        <v>0</v>
      </c>
      <c r="ON186">
        <v>0</v>
      </c>
    </row>
    <row r="187" spans="1:404" x14ac:dyDescent="0.25">
      <c r="A187" t="s">
        <v>626</v>
      </c>
      <c r="B187" t="s">
        <v>627</v>
      </c>
      <c r="C187" t="s">
        <v>625</v>
      </c>
      <c r="E187" t="s">
        <v>125</v>
      </c>
      <c r="F187">
        <v>204</v>
      </c>
      <c r="G187">
        <v>0</v>
      </c>
      <c r="H187">
        <v>0</v>
      </c>
      <c r="I187">
        <v>0</v>
      </c>
      <c r="J187">
        <v>186</v>
      </c>
      <c r="K187">
        <v>552</v>
      </c>
      <c r="L187">
        <v>942</v>
      </c>
      <c r="M187">
        <v>0</v>
      </c>
      <c r="N187">
        <v>64</v>
      </c>
      <c r="O187">
        <v>0</v>
      </c>
      <c r="P187">
        <v>0</v>
      </c>
      <c r="Q187">
        <v>0</v>
      </c>
      <c r="R187">
        <v>0</v>
      </c>
      <c r="S187">
        <v>148</v>
      </c>
      <c r="T187">
        <v>0</v>
      </c>
      <c r="U187">
        <v>0</v>
      </c>
      <c r="V187">
        <v>0</v>
      </c>
      <c r="W187">
        <v>0</v>
      </c>
      <c r="X187">
        <v>0</v>
      </c>
      <c r="Y187">
        <v>0</v>
      </c>
      <c r="Z187">
        <v>0</v>
      </c>
      <c r="AA187">
        <v>0</v>
      </c>
      <c r="AB187">
        <v>0</v>
      </c>
      <c r="AC187">
        <v>0</v>
      </c>
      <c r="AD187">
        <v>0</v>
      </c>
      <c r="AE187">
        <v>0</v>
      </c>
      <c r="AF187">
        <v>0</v>
      </c>
      <c r="AG187">
        <v>0</v>
      </c>
      <c r="AH187">
        <v>282</v>
      </c>
      <c r="AI187">
        <v>494</v>
      </c>
      <c r="AJ187">
        <v>0</v>
      </c>
      <c r="AK187">
        <v>0</v>
      </c>
      <c r="AL187">
        <v>0</v>
      </c>
      <c r="AM187">
        <v>0</v>
      </c>
      <c r="AN187">
        <v>0</v>
      </c>
      <c r="AO187">
        <v>0</v>
      </c>
      <c r="AP187">
        <v>0</v>
      </c>
      <c r="AQ187">
        <v>0</v>
      </c>
      <c r="AR187">
        <v>0</v>
      </c>
      <c r="AS187">
        <v>0</v>
      </c>
      <c r="AT187">
        <v>0</v>
      </c>
      <c r="AU187">
        <v>0</v>
      </c>
      <c r="AV187">
        <v>259</v>
      </c>
      <c r="AW187">
        <v>59</v>
      </c>
      <c r="AX187">
        <v>84</v>
      </c>
      <c r="AY187">
        <v>16</v>
      </c>
      <c r="AZ187">
        <v>0</v>
      </c>
      <c r="BA187">
        <v>78</v>
      </c>
      <c r="BB187">
        <v>0</v>
      </c>
      <c r="BC187">
        <v>0</v>
      </c>
      <c r="BD187">
        <v>496</v>
      </c>
      <c r="BE187">
        <v>0</v>
      </c>
      <c r="BF187">
        <v>244</v>
      </c>
      <c r="BG187">
        <v>0</v>
      </c>
      <c r="BH187">
        <v>0</v>
      </c>
      <c r="BI187">
        <v>0</v>
      </c>
      <c r="BJ187">
        <v>270</v>
      </c>
      <c r="BK187">
        <v>0</v>
      </c>
      <c r="BL187">
        <v>0</v>
      </c>
      <c r="BM187">
        <v>0</v>
      </c>
      <c r="BN187">
        <v>109</v>
      </c>
      <c r="BO187">
        <v>8</v>
      </c>
      <c r="BP187">
        <v>0</v>
      </c>
      <c r="BQ187">
        <v>0</v>
      </c>
      <c r="BR187">
        <v>17</v>
      </c>
      <c r="BS187">
        <v>32</v>
      </c>
      <c r="BT187">
        <v>50</v>
      </c>
      <c r="BU187">
        <v>41</v>
      </c>
      <c r="BV187">
        <v>67</v>
      </c>
      <c r="BW187">
        <v>838</v>
      </c>
      <c r="BX187">
        <v>2</v>
      </c>
      <c r="BY187">
        <v>1</v>
      </c>
      <c r="BZ187">
        <v>7</v>
      </c>
      <c r="CA187">
        <v>6</v>
      </c>
      <c r="CB187">
        <v>16</v>
      </c>
      <c r="CC187">
        <v>1</v>
      </c>
      <c r="CD187">
        <v>1</v>
      </c>
      <c r="CE187">
        <v>2</v>
      </c>
      <c r="CF187">
        <v>1</v>
      </c>
      <c r="CG187">
        <v>1</v>
      </c>
      <c r="CH187">
        <v>1</v>
      </c>
      <c r="CI187">
        <v>9</v>
      </c>
      <c r="CJ187">
        <v>9</v>
      </c>
      <c r="CK187">
        <v>0</v>
      </c>
      <c r="CL187">
        <v>0</v>
      </c>
      <c r="CM187">
        <v>0</v>
      </c>
      <c r="CN187">
        <v>3</v>
      </c>
      <c r="CO187">
        <v>1</v>
      </c>
      <c r="CP187">
        <v>61</v>
      </c>
      <c r="CQ187">
        <v>1</v>
      </c>
      <c r="CR187">
        <v>1</v>
      </c>
      <c r="CS187">
        <v>0</v>
      </c>
      <c r="CT187">
        <v>0</v>
      </c>
      <c r="CU187">
        <v>0</v>
      </c>
      <c r="CV187">
        <v>198</v>
      </c>
      <c r="CW187">
        <v>0</v>
      </c>
      <c r="CX187">
        <v>0</v>
      </c>
      <c r="CY187">
        <v>0</v>
      </c>
      <c r="CZ187">
        <v>0</v>
      </c>
      <c r="DA187">
        <v>0</v>
      </c>
      <c r="DB187">
        <v>0</v>
      </c>
      <c r="DC187">
        <v>78</v>
      </c>
      <c r="DD187">
        <v>0</v>
      </c>
      <c r="DE187">
        <v>0</v>
      </c>
      <c r="DF187">
        <v>0</v>
      </c>
      <c r="DG187">
        <v>0</v>
      </c>
      <c r="DH187">
        <v>0</v>
      </c>
      <c r="DI187">
        <v>0</v>
      </c>
      <c r="DJ187">
        <v>0</v>
      </c>
      <c r="DK187">
        <v>0</v>
      </c>
      <c r="DL187">
        <v>0</v>
      </c>
      <c r="DM187">
        <v>0</v>
      </c>
      <c r="DN187">
        <v>0</v>
      </c>
      <c r="DO187">
        <v>0</v>
      </c>
      <c r="DP187">
        <v>0</v>
      </c>
      <c r="DQ187">
        <v>0</v>
      </c>
      <c r="DR187">
        <v>0</v>
      </c>
      <c r="DS187">
        <v>0</v>
      </c>
      <c r="DT187">
        <v>0</v>
      </c>
      <c r="DU187">
        <v>-240</v>
      </c>
      <c r="DV187">
        <v>0</v>
      </c>
      <c r="DW187">
        <v>0</v>
      </c>
      <c r="DX187">
        <v>-162</v>
      </c>
      <c r="DY187">
        <v>0</v>
      </c>
      <c r="DZ187">
        <v>0</v>
      </c>
      <c r="EA187">
        <v>0</v>
      </c>
      <c r="EB187">
        <v>0</v>
      </c>
      <c r="EC187">
        <v>0</v>
      </c>
      <c r="ED187">
        <v>0</v>
      </c>
      <c r="EE187">
        <v>0</v>
      </c>
      <c r="EF187">
        <v>0</v>
      </c>
      <c r="EG187">
        <v>0</v>
      </c>
      <c r="EH187">
        <v>0</v>
      </c>
      <c r="EI187">
        <v>0</v>
      </c>
      <c r="EJ187">
        <v>0</v>
      </c>
      <c r="EK187">
        <v>0</v>
      </c>
      <c r="EL187">
        <v>0</v>
      </c>
      <c r="EM187">
        <v>0</v>
      </c>
      <c r="EN187">
        <v>0</v>
      </c>
      <c r="EO187">
        <v>0</v>
      </c>
      <c r="EP187">
        <v>0</v>
      </c>
      <c r="EQ187">
        <v>0</v>
      </c>
      <c r="ER187">
        <v>0</v>
      </c>
      <c r="ES187">
        <v>0</v>
      </c>
      <c r="ET187">
        <v>0</v>
      </c>
      <c r="EU187">
        <v>0</v>
      </c>
      <c r="EV187">
        <v>0</v>
      </c>
      <c r="EW187">
        <v>1</v>
      </c>
      <c r="EX187">
        <v>0</v>
      </c>
      <c r="EY187">
        <v>0</v>
      </c>
      <c r="EZ187">
        <v>0</v>
      </c>
      <c r="FA187">
        <v>0</v>
      </c>
      <c r="FB187">
        <v>0</v>
      </c>
      <c r="FC187">
        <v>285</v>
      </c>
      <c r="FD187">
        <v>107</v>
      </c>
      <c r="FE187">
        <v>0</v>
      </c>
      <c r="FF187">
        <v>0</v>
      </c>
      <c r="FG187">
        <v>47</v>
      </c>
      <c r="FH187">
        <v>440</v>
      </c>
      <c r="FI187">
        <v>6</v>
      </c>
      <c r="FJ187">
        <v>0</v>
      </c>
      <c r="FK187">
        <v>0</v>
      </c>
      <c r="FL187">
        <v>82</v>
      </c>
      <c r="FM187">
        <v>82</v>
      </c>
      <c r="FN187">
        <v>0</v>
      </c>
      <c r="FO187">
        <v>0</v>
      </c>
      <c r="FP187">
        <v>0</v>
      </c>
      <c r="FQ187">
        <v>0</v>
      </c>
      <c r="FR187">
        <v>6</v>
      </c>
      <c r="FS187">
        <v>63</v>
      </c>
      <c r="FT187">
        <v>6</v>
      </c>
      <c r="FU187">
        <v>17</v>
      </c>
      <c r="FV187">
        <v>0</v>
      </c>
      <c r="FW187">
        <v>0</v>
      </c>
      <c r="FX187">
        <v>0</v>
      </c>
      <c r="FY187">
        <v>12</v>
      </c>
      <c r="FZ187">
        <v>0</v>
      </c>
      <c r="GA187">
        <v>0</v>
      </c>
      <c r="GB187">
        <v>331</v>
      </c>
      <c r="GC187">
        <v>117</v>
      </c>
      <c r="GD187">
        <v>0</v>
      </c>
      <c r="GE187">
        <v>355</v>
      </c>
      <c r="GF187">
        <v>215</v>
      </c>
      <c r="GG187">
        <v>72</v>
      </c>
      <c r="GH187">
        <v>144</v>
      </c>
      <c r="GI187">
        <v>0</v>
      </c>
      <c r="GJ187">
        <v>0</v>
      </c>
      <c r="GK187">
        <v>1508</v>
      </c>
      <c r="GL187">
        <v>6</v>
      </c>
      <c r="GM187">
        <v>132</v>
      </c>
      <c r="GN187">
        <v>0</v>
      </c>
      <c r="GO187">
        <v>-60</v>
      </c>
      <c r="GP187">
        <v>0</v>
      </c>
      <c r="GQ187">
        <v>272</v>
      </c>
      <c r="GR187">
        <v>0</v>
      </c>
      <c r="GS187">
        <v>0</v>
      </c>
      <c r="GT187">
        <v>0</v>
      </c>
      <c r="GU187">
        <v>350</v>
      </c>
      <c r="GV187">
        <v>2298</v>
      </c>
      <c r="GW187">
        <v>0</v>
      </c>
      <c r="GX187">
        <v>505</v>
      </c>
      <c r="GY187">
        <v>233</v>
      </c>
      <c r="GZ187">
        <v>3</v>
      </c>
      <c r="HA187">
        <v>741</v>
      </c>
      <c r="HB187">
        <v>704</v>
      </c>
      <c r="HC187">
        <v>-1</v>
      </c>
      <c r="HD187">
        <v>0</v>
      </c>
      <c r="HE187">
        <v>0</v>
      </c>
      <c r="HF187">
        <v>0</v>
      </c>
      <c r="HG187">
        <v>0</v>
      </c>
      <c r="HH187">
        <v>0</v>
      </c>
      <c r="HI187">
        <v>12</v>
      </c>
      <c r="HJ187">
        <v>28</v>
      </c>
      <c r="HK187">
        <v>7</v>
      </c>
      <c r="HL187">
        <v>0</v>
      </c>
      <c r="HM187">
        <v>-10</v>
      </c>
      <c r="HN187">
        <v>0</v>
      </c>
      <c r="HO187">
        <v>40</v>
      </c>
      <c r="HP187">
        <v>0</v>
      </c>
      <c r="HQ187">
        <v>0</v>
      </c>
      <c r="HR187">
        <v>0</v>
      </c>
      <c r="HS187">
        <v>0</v>
      </c>
      <c r="HT187">
        <v>0</v>
      </c>
      <c r="HU187">
        <v>0</v>
      </c>
      <c r="HV187">
        <v>780</v>
      </c>
      <c r="HW187">
        <v>0</v>
      </c>
      <c r="HX187">
        <v>0</v>
      </c>
      <c r="HY187">
        <v>0</v>
      </c>
      <c r="HZ187">
        <v>0</v>
      </c>
      <c r="IA187">
        <v>0</v>
      </c>
      <c r="IB187">
        <v>3</v>
      </c>
      <c r="IC187">
        <v>942</v>
      </c>
      <c r="ID187">
        <v>494</v>
      </c>
      <c r="IE187">
        <v>496</v>
      </c>
      <c r="IF187">
        <v>838</v>
      </c>
      <c r="IG187">
        <v>198</v>
      </c>
      <c r="IH187">
        <v>-162</v>
      </c>
      <c r="II187">
        <v>440</v>
      </c>
      <c r="IJ187">
        <v>1508</v>
      </c>
      <c r="IK187">
        <v>350</v>
      </c>
      <c r="IL187">
        <v>0</v>
      </c>
      <c r="IM187">
        <v>741</v>
      </c>
      <c r="IN187">
        <v>780</v>
      </c>
      <c r="IO187">
        <v>3</v>
      </c>
      <c r="IP187">
        <v>6628</v>
      </c>
      <c r="IQ187">
        <v>137</v>
      </c>
      <c r="IR187">
        <v>57</v>
      </c>
      <c r="IS187">
        <v>0</v>
      </c>
      <c r="IT187">
        <v>0</v>
      </c>
      <c r="IU187">
        <v>0</v>
      </c>
      <c r="IV187">
        <v>0</v>
      </c>
      <c r="IW187">
        <v>0</v>
      </c>
      <c r="IX187">
        <v>0</v>
      </c>
      <c r="IY187">
        <v>0</v>
      </c>
      <c r="IZ187">
        <v>0</v>
      </c>
      <c r="JA187">
        <v>0</v>
      </c>
      <c r="JB187">
        <v>92</v>
      </c>
      <c r="JC187">
        <v>0</v>
      </c>
      <c r="JD187">
        <v>-27</v>
      </c>
      <c r="JE187">
        <v>51</v>
      </c>
      <c r="JF187">
        <v>12</v>
      </c>
      <c r="JG187">
        <v>6950</v>
      </c>
      <c r="JH187">
        <v>0</v>
      </c>
      <c r="JI187">
        <v>76</v>
      </c>
      <c r="JJ187">
        <v>0</v>
      </c>
      <c r="JK187">
        <v>0</v>
      </c>
      <c r="JL187">
        <v>0</v>
      </c>
      <c r="JM187">
        <v>-10</v>
      </c>
      <c r="JN187">
        <v>165</v>
      </c>
      <c r="JO187">
        <v>0</v>
      </c>
      <c r="JP187">
        <v>37</v>
      </c>
      <c r="JQ187">
        <v>0</v>
      </c>
      <c r="JR187">
        <v>7218</v>
      </c>
      <c r="JS187">
        <v>-12</v>
      </c>
      <c r="JT187">
        <v>0</v>
      </c>
      <c r="JU187">
        <v>-8</v>
      </c>
      <c r="JV187">
        <v>0</v>
      </c>
      <c r="JW187">
        <v>-684</v>
      </c>
      <c r="JX187">
        <v>0</v>
      </c>
      <c r="JY187">
        <v>0</v>
      </c>
      <c r="JZ187">
        <v>0</v>
      </c>
      <c r="KA187">
        <v>0</v>
      </c>
      <c r="KB187">
        <v>0</v>
      </c>
      <c r="KC187">
        <v>6514</v>
      </c>
      <c r="KD187">
        <v>-110</v>
      </c>
      <c r="KE187">
        <v>-1954</v>
      </c>
      <c r="KF187">
        <v>4450</v>
      </c>
      <c r="KG187">
        <v>0</v>
      </c>
      <c r="KH187">
        <v>0</v>
      </c>
      <c r="KI187">
        <v>20</v>
      </c>
      <c r="KJ187">
        <v>16</v>
      </c>
      <c r="KK187">
        <v>104</v>
      </c>
      <c r="KL187">
        <v>633</v>
      </c>
      <c r="KM187">
        <v>-1880</v>
      </c>
      <c r="KN187">
        <v>0</v>
      </c>
      <c r="KO187">
        <v>-1038</v>
      </c>
      <c r="KP187">
        <v>51</v>
      </c>
      <c r="KQ187">
        <v>0</v>
      </c>
      <c r="KR187">
        <v>1738</v>
      </c>
      <c r="KS187">
        <v>0</v>
      </c>
      <c r="KT187">
        <v>50</v>
      </c>
      <c r="KU187">
        <v>36</v>
      </c>
      <c r="KV187">
        <v>2124</v>
      </c>
      <c r="KW187">
        <v>2484</v>
      </c>
      <c r="KX187">
        <v>0</v>
      </c>
      <c r="KY187">
        <v>70</v>
      </c>
      <c r="KZ187">
        <v>52</v>
      </c>
      <c r="LA187">
        <v>2228</v>
      </c>
      <c r="LB187">
        <v>3117</v>
      </c>
      <c r="LC187">
        <v>0</v>
      </c>
      <c r="LD187">
        <v>1114</v>
      </c>
      <c r="LE187">
        <v>0</v>
      </c>
      <c r="LF187">
        <v>428</v>
      </c>
      <c r="LG187">
        <v>-1900</v>
      </c>
      <c r="LH187">
        <v>245</v>
      </c>
      <c r="LI187">
        <v>-113</v>
      </c>
      <c r="LJ187">
        <v>54</v>
      </c>
      <c r="LK187">
        <v>28</v>
      </c>
      <c r="LL187">
        <v>82</v>
      </c>
      <c r="LM187">
        <v>0</v>
      </c>
      <c r="LN187">
        <v>0</v>
      </c>
      <c r="LO187">
        <v>0</v>
      </c>
      <c r="LP187">
        <v>0</v>
      </c>
      <c r="LQ187">
        <v>0</v>
      </c>
      <c r="LR187">
        <v>0</v>
      </c>
      <c r="LS187">
        <v>0</v>
      </c>
      <c r="LT187">
        <v>0</v>
      </c>
      <c r="LU187">
        <v>942</v>
      </c>
      <c r="LV187">
        <v>494</v>
      </c>
      <c r="LW187">
        <v>496</v>
      </c>
      <c r="LX187">
        <v>838</v>
      </c>
      <c r="LY187">
        <v>198</v>
      </c>
      <c r="LZ187">
        <v>-162</v>
      </c>
      <c r="MA187">
        <v>440</v>
      </c>
      <c r="MB187">
        <v>1508</v>
      </c>
      <c r="MC187">
        <v>350</v>
      </c>
      <c r="MD187">
        <v>0</v>
      </c>
      <c r="ME187">
        <v>741</v>
      </c>
      <c r="MF187">
        <v>780</v>
      </c>
      <c r="MG187">
        <v>3</v>
      </c>
      <c r="MH187">
        <v>6628</v>
      </c>
      <c r="MI187">
        <v>0</v>
      </c>
      <c r="MJ187">
        <v>0</v>
      </c>
      <c r="MK187">
        <v>0</v>
      </c>
      <c r="ML187">
        <v>0</v>
      </c>
      <c r="MM187">
        <v>0</v>
      </c>
      <c r="MN187">
        <v>0</v>
      </c>
      <c r="MO187">
        <v>0</v>
      </c>
      <c r="MP187">
        <v>0</v>
      </c>
      <c r="MQ187">
        <v>0</v>
      </c>
      <c r="MR187">
        <v>0</v>
      </c>
      <c r="MS187">
        <v>0</v>
      </c>
      <c r="MT187">
        <v>0</v>
      </c>
      <c r="MU187">
        <v>0</v>
      </c>
      <c r="MV187">
        <v>0</v>
      </c>
      <c r="MW187">
        <v>0</v>
      </c>
      <c r="MX187">
        <v>0</v>
      </c>
      <c r="MY187">
        <v>0</v>
      </c>
      <c r="MZ187">
        <v>0</v>
      </c>
      <c r="NA187">
        <v>0</v>
      </c>
      <c r="NB187">
        <v>0</v>
      </c>
      <c r="NC187">
        <v>0</v>
      </c>
      <c r="ND187">
        <v>0</v>
      </c>
      <c r="NE187">
        <v>0</v>
      </c>
      <c r="NF187">
        <v>0</v>
      </c>
      <c r="NG187">
        <v>0</v>
      </c>
      <c r="NH187">
        <v>0</v>
      </c>
      <c r="NI187">
        <v>0</v>
      </c>
      <c r="NJ187">
        <v>0</v>
      </c>
      <c r="NK187">
        <v>0</v>
      </c>
      <c r="NL187">
        <v>0</v>
      </c>
      <c r="NM187">
        <v>65</v>
      </c>
      <c r="NN187">
        <v>0</v>
      </c>
      <c r="NO187">
        <v>0</v>
      </c>
      <c r="NP187">
        <v>0</v>
      </c>
      <c r="NQ187">
        <v>0</v>
      </c>
      <c r="NR187">
        <v>0</v>
      </c>
      <c r="NS187">
        <v>0</v>
      </c>
      <c r="NT187">
        <v>0</v>
      </c>
      <c r="NU187">
        <v>0</v>
      </c>
      <c r="NV187">
        <v>0</v>
      </c>
      <c r="NW187">
        <v>0</v>
      </c>
      <c r="NX187">
        <v>0</v>
      </c>
      <c r="NY187">
        <v>0</v>
      </c>
      <c r="NZ187">
        <v>65</v>
      </c>
      <c r="OA187">
        <v>27</v>
      </c>
      <c r="OB187">
        <v>92</v>
      </c>
      <c r="OC187">
        <v>0</v>
      </c>
      <c r="OD187">
        <v>0</v>
      </c>
      <c r="OE187">
        <v>0</v>
      </c>
      <c r="OF187">
        <v>0</v>
      </c>
      <c r="OG187">
        <v>0</v>
      </c>
      <c r="OH187">
        <v>0</v>
      </c>
      <c r="OI187">
        <v>27</v>
      </c>
      <c r="OJ187">
        <v>0</v>
      </c>
      <c r="OK187">
        <v>0</v>
      </c>
      <c r="OL187">
        <v>0</v>
      </c>
      <c r="OM187">
        <v>0</v>
      </c>
      <c r="ON187">
        <v>27</v>
      </c>
    </row>
    <row r="188" spans="1:404" x14ac:dyDescent="0.25">
      <c r="A188" t="s">
        <v>629</v>
      </c>
      <c r="B188" t="s">
        <v>630</v>
      </c>
      <c r="C188" t="s">
        <v>628</v>
      </c>
      <c r="E188" t="s">
        <v>1940</v>
      </c>
      <c r="F188">
        <v>2405</v>
      </c>
      <c r="G188">
        <v>83526</v>
      </c>
      <c r="H188">
        <v>35631</v>
      </c>
      <c r="I188">
        <v>7951</v>
      </c>
      <c r="J188">
        <v>3761</v>
      </c>
      <c r="K188">
        <v>52893</v>
      </c>
      <c r="L188">
        <v>186167</v>
      </c>
      <c r="M188">
        <v>1489</v>
      </c>
      <c r="N188">
        <v>5242</v>
      </c>
      <c r="O188">
        <v>0</v>
      </c>
      <c r="P188">
        <v>0</v>
      </c>
      <c r="Q188">
        <v>0</v>
      </c>
      <c r="R188">
        <v>0</v>
      </c>
      <c r="S188">
        <v>-111</v>
      </c>
      <c r="T188">
        <v>114</v>
      </c>
      <c r="U188">
        <v>1506</v>
      </c>
      <c r="V188">
        <v>0</v>
      </c>
      <c r="W188">
        <v>0</v>
      </c>
      <c r="X188">
        <v>434</v>
      </c>
      <c r="Y188">
        <v>254</v>
      </c>
      <c r="Z188">
        <v>-32875</v>
      </c>
      <c r="AA188">
        <v>0</v>
      </c>
      <c r="AB188">
        <v>9935</v>
      </c>
      <c r="AC188">
        <v>0</v>
      </c>
      <c r="AD188">
        <v>0</v>
      </c>
      <c r="AE188">
        <v>0</v>
      </c>
      <c r="AF188">
        <v>0</v>
      </c>
      <c r="AG188">
        <v>0</v>
      </c>
      <c r="AH188">
        <v>0</v>
      </c>
      <c r="AI188">
        <v>-14011</v>
      </c>
      <c r="AJ188">
        <v>0</v>
      </c>
      <c r="AK188">
        <v>0</v>
      </c>
      <c r="AL188">
        <v>0</v>
      </c>
      <c r="AM188">
        <v>0</v>
      </c>
      <c r="AN188">
        <v>0</v>
      </c>
      <c r="AO188">
        <v>0</v>
      </c>
      <c r="AP188">
        <v>0</v>
      </c>
      <c r="AQ188">
        <v>19053</v>
      </c>
      <c r="AR188">
        <v>26083</v>
      </c>
      <c r="AS188">
        <v>0</v>
      </c>
      <c r="AT188">
        <v>0</v>
      </c>
      <c r="AU188">
        <v>0</v>
      </c>
      <c r="AV188">
        <v>25841</v>
      </c>
      <c r="AW188">
        <v>5049</v>
      </c>
      <c r="AX188">
        <v>352</v>
      </c>
      <c r="AY188">
        <v>2880</v>
      </c>
      <c r="AZ188">
        <v>41</v>
      </c>
      <c r="BA188">
        <v>48323</v>
      </c>
      <c r="BB188">
        <v>4116</v>
      </c>
      <c r="BC188">
        <v>6736</v>
      </c>
      <c r="BD188">
        <v>93337</v>
      </c>
      <c r="BE188">
        <v>7248</v>
      </c>
      <c r="BF188">
        <v>17310</v>
      </c>
      <c r="BG188">
        <v>100</v>
      </c>
      <c r="BH188">
        <v>28</v>
      </c>
      <c r="BI188">
        <v>1142</v>
      </c>
      <c r="BJ188">
        <v>1982</v>
      </c>
      <c r="BK188">
        <v>32474</v>
      </c>
      <c r="BL188">
        <v>749</v>
      </c>
      <c r="BM188">
        <v>5548</v>
      </c>
      <c r="BN188">
        <v>2375</v>
      </c>
      <c r="BO188">
        <v>29</v>
      </c>
      <c r="BP188">
        <v>1142</v>
      </c>
      <c r="BQ188">
        <v>26</v>
      </c>
      <c r="BR188">
        <v>1962</v>
      </c>
      <c r="BS188">
        <v>-400</v>
      </c>
      <c r="BT188">
        <v>22719</v>
      </c>
      <c r="BU188">
        <v>-2059</v>
      </c>
      <c r="BV188">
        <v>4232</v>
      </c>
      <c r="BW188">
        <v>96608</v>
      </c>
      <c r="BX188">
        <v>4454</v>
      </c>
      <c r="BY188">
        <v>414</v>
      </c>
      <c r="BZ188">
        <v>219</v>
      </c>
      <c r="CA188">
        <v>155</v>
      </c>
      <c r="CB188">
        <v>174</v>
      </c>
      <c r="CC188">
        <v>77</v>
      </c>
      <c r="CD188">
        <v>1011</v>
      </c>
      <c r="CE188">
        <v>124</v>
      </c>
      <c r="CF188">
        <v>17</v>
      </c>
      <c r="CG188">
        <v>157</v>
      </c>
      <c r="CH188">
        <v>251</v>
      </c>
      <c r="CI188">
        <v>5395</v>
      </c>
      <c r="CJ188">
        <v>2239</v>
      </c>
      <c r="CK188">
        <v>71</v>
      </c>
      <c r="CL188">
        <v>71</v>
      </c>
      <c r="CM188">
        <v>269</v>
      </c>
      <c r="CN188">
        <v>466</v>
      </c>
      <c r="CO188">
        <v>57</v>
      </c>
      <c r="CP188">
        <v>3097</v>
      </c>
      <c r="CQ188">
        <v>3565</v>
      </c>
      <c r="CR188">
        <v>546</v>
      </c>
      <c r="CS188">
        <v>20</v>
      </c>
      <c r="CT188">
        <v>818</v>
      </c>
      <c r="CU188">
        <v>5168</v>
      </c>
      <c r="CV188">
        <v>28969</v>
      </c>
      <c r="CW188">
        <v>0</v>
      </c>
      <c r="CX188">
        <v>0</v>
      </c>
      <c r="CY188">
        <v>0</v>
      </c>
      <c r="CZ188">
        <v>0</v>
      </c>
      <c r="DA188">
        <v>0</v>
      </c>
      <c r="DB188">
        <v>0</v>
      </c>
      <c r="DC188">
        <v>15618</v>
      </c>
      <c r="DD188">
        <v>0</v>
      </c>
      <c r="DE188">
        <v>0</v>
      </c>
      <c r="DF188">
        <v>0</v>
      </c>
      <c r="DG188">
        <v>2451</v>
      </c>
      <c r="DH188">
        <v>208</v>
      </c>
      <c r="DI188">
        <v>0</v>
      </c>
      <c r="DJ188">
        <v>0</v>
      </c>
      <c r="DK188">
        <v>0</v>
      </c>
      <c r="DL188">
        <v>0</v>
      </c>
      <c r="DM188">
        <v>0</v>
      </c>
      <c r="DN188">
        <v>1724</v>
      </c>
      <c r="DO188">
        <v>1158</v>
      </c>
      <c r="DP188">
        <v>5541</v>
      </c>
      <c r="DQ188">
        <v>0</v>
      </c>
      <c r="DR188">
        <v>0</v>
      </c>
      <c r="DS188">
        <v>203</v>
      </c>
      <c r="DT188">
        <v>5295</v>
      </c>
      <c r="DU188">
        <v>241</v>
      </c>
      <c r="DV188">
        <v>5072</v>
      </c>
      <c r="DW188">
        <v>0</v>
      </c>
      <c r="DX188">
        <v>31970</v>
      </c>
      <c r="DY188">
        <v>160480</v>
      </c>
      <c r="DZ188">
        <v>1472</v>
      </c>
      <c r="EA188">
        <v>40826</v>
      </c>
      <c r="EB188">
        <v>108</v>
      </c>
      <c r="EC188">
        <v>22855</v>
      </c>
      <c r="ED188">
        <v>834</v>
      </c>
      <c r="EE188">
        <v>816</v>
      </c>
      <c r="EF188">
        <v>0</v>
      </c>
      <c r="EG188">
        <v>0</v>
      </c>
      <c r="EH188">
        <v>36080</v>
      </c>
      <c r="EI188">
        <v>99935</v>
      </c>
      <c r="EJ188">
        <v>24675</v>
      </c>
      <c r="EK188">
        <v>4565</v>
      </c>
      <c r="EL188">
        <v>16532</v>
      </c>
      <c r="EM188">
        <v>32375</v>
      </c>
      <c r="EN188">
        <v>46604</v>
      </c>
      <c r="EO188">
        <v>289</v>
      </c>
      <c r="EP188">
        <v>0</v>
      </c>
      <c r="EQ188">
        <v>0</v>
      </c>
      <c r="ER188">
        <v>1338</v>
      </c>
      <c r="ES188">
        <v>109030</v>
      </c>
      <c r="ET188">
        <v>74028</v>
      </c>
      <c r="EU188">
        <v>0</v>
      </c>
      <c r="EV188">
        <v>3</v>
      </c>
      <c r="EW188">
        <v>42</v>
      </c>
      <c r="EX188">
        <v>406</v>
      </c>
      <c r="EY188">
        <v>0</v>
      </c>
      <c r="EZ188">
        <v>0</v>
      </c>
      <c r="FA188">
        <v>0</v>
      </c>
      <c r="FB188">
        <v>721</v>
      </c>
      <c r="FC188">
        <v>-2294</v>
      </c>
      <c r="FD188">
        <v>4275</v>
      </c>
      <c r="FE188">
        <v>0</v>
      </c>
      <c r="FF188">
        <v>0</v>
      </c>
      <c r="FG188">
        <v>4256</v>
      </c>
      <c r="FH188">
        <v>7411</v>
      </c>
      <c r="FI188">
        <v>-15</v>
      </c>
      <c r="FJ188">
        <v>506</v>
      </c>
      <c r="FK188">
        <v>0</v>
      </c>
      <c r="FL188">
        <v>1018</v>
      </c>
      <c r="FM188">
        <v>2644</v>
      </c>
      <c r="FN188">
        <v>781</v>
      </c>
      <c r="FO188">
        <v>0</v>
      </c>
      <c r="FP188">
        <v>0</v>
      </c>
      <c r="FQ188">
        <v>0</v>
      </c>
      <c r="FR188">
        <v>-37</v>
      </c>
      <c r="FS188">
        <v>171</v>
      </c>
      <c r="FT188">
        <v>173</v>
      </c>
      <c r="FU188">
        <v>-82</v>
      </c>
      <c r="FV188">
        <v>1683</v>
      </c>
      <c r="FW188">
        <v>664</v>
      </c>
      <c r="FX188">
        <v>1474</v>
      </c>
      <c r="FY188">
        <v>0</v>
      </c>
      <c r="FZ188">
        <v>0</v>
      </c>
      <c r="GA188">
        <v>0</v>
      </c>
      <c r="GB188">
        <v>0</v>
      </c>
      <c r="GC188">
        <v>0</v>
      </c>
      <c r="GD188">
        <v>9319</v>
      </c>
      <c r="GE188">
        <v>7058</v>
      </c>
      <c r="GF188">
        <v>0</v>
      </c>
      <c r="GG188">
        <v>0</v>
      </c>
      <c r="GH188">
        <v>208</v>
      </c>
      <c r="GI188">
        <v>2745</v>
      </c>
      <c r="GJ188">
        <v>850</v>
      </c>
      <c r="GK188">
        <v>29161</v>
      </c>
      <c r="GL188">
        <v>129</v>
      </c>
      <c r="GM188">
        <v>1796</v>
      </c>
      <c r="GN188">
        <v>0</v>
      </c>
      <c r="GO188">
        <v>832</v>
      </c>
      <c r="GP188">
        <v>1331</v>
      </c>
      <c r="GQ188">
        <v>1001</v>
      </c>
      <c r="GR188">
        <v>0</v>
      </c>
      <c r="GS188">
        <v>143</v>
      </c>
      <c r="GT188">
        <v>5437</v>
      </c>
      <c r="GU188">
        <v>10669</v>
      </c>
      <c r="GV188">
        <v>47241</v>
      </c>
      <c r="GW188">
        <v>0</v>
      </c>
      <c r="GX188">
        <v>0</v>
      </c>
      <c r="GY188">
        <v>0</v>
      </c>
      <c r="GZ188">
        <v>0</v>
      </c>
      <c r="HA188">
        <v>0</v>
      </c>
      <c r="HB188">
        <v>6960</v>
      </c>
      <c r="HC188">
        <v>1490</v>
      </c>
      <c r="HD188">
        <v>0</v>
      </c>
      <c r="HE188">
        <v>0</v>
      </c>
      <c r="HF188">
        <v>0</v>
      </c>
      <c r="HG188">
        <v>993</v>
      </c>
      <c r="HH188">
        <v>0</v>
      </c>
      <c r="HI188">
        <v>-129</v>
      </c>
      <c r="HJ188">
        <v>466</v>
      </c>
      <c r="HK188">
        <v>2</v>
      </c>
      <c r="HL188">
        <v>326</v>
      </c>
      <c r="HM188">
        <v>-330</v>
      </c>
      <c r="HN188">
        <v>23</v>
      </c>
      <c r="HO188">
        <v>3</v>
      </c>
      <c r="HP188">
        <v>440</v>
      </c>
      <c r="HQ188">
        <v>0</v>
      </c>
      <c r="HR188">
        <v>-29525</v>
      </c>
      <c r="HS188">
        <v>0</v>
      </c>
      <c r="HT188">
        <v>0</v>
      </c>
      <c r="HU188">
        <v>40283</v>
      </c>
      <c r="HV188">
        <v>21004</v>
      </c>
      <c r="HW188">
        <v>1852</v>
      </c>
      <c r="HX188">
        <v>0</v>
      </c>
      <c r="HY188">
        <v>0</v>
      </c>
      <c r="HZ188">
        <v>1304</v>
      </c>
      <c r="IA188">
        <v>5815</v>
      </c>
      <c r="IB188">
        <v>14024</v>
      </c>
      <c r="IC188">
        <v>186167</v>
      </c>
      <c r="ID188">
        <v>-14011</v>
      </c>
      <c r="IE188">
        <v>93337</v>
      </c>
      <c r="IF188">
        <v>96608</v>
      </c>
      <c r="IG188">
        <v>28969</v>
      </c>
      <c r="IH188">
        <v>31970</v>
      </c>
      <c r="II188">
        <v>7411</v>
      </c>
      <c r="IJ188">
        <v>29161</v>
      </c>
      <c r="IK188">
        <v>10669</v>
      </c>
      <c r="IL188">
        <v>0</v>
      </c>
      <c r="IM188">
        <v>0</v>
      </c>
      <c r="IN188">
        <v>21004</v>
      </c>
      <c r="IO188">
        <v>14024</v>
      </c>
      <c r="IP188">
        <v>505309</v>
      </c>
      <c r="IQ188">
        <v>69778</v>
      </c>
      <c r="IR188">
        <v>6821</v>
      </c>
      <c r="IS188">
        <v>70766</v>
      </c>
      <c r="IT188">
        <v>0</v>
      </c>
      <c r="IU188">
        <v>0</v>
      </c>
      <c r="IV188">
        <v>0</v>
      </c>
      <c r="IW188">
        <v>0</v>
      </c>
      <c r="IX188">
        <v>6026</v>
      </c>
      <c r="IY188">
        <v>1123</v>
      </c>
      <c r="IZ188">
        <v>368</v>
      </c>
      <c r="JA188">
        <v>675</v>
      </c>
      <c r="JB188">
        <v>2203</v>
      </c>
      <c r="JC188">
        <v>0</v>
      </c>
      <c r="JD188">
        <v>0</v>
      </c>
      <c r="JE188">
        <v>1007</v>
      </c>
      <c r="JF188">
        <v>0</v>
      </c>
      <c r="JG188">
        <v>664076</v>
      </c>
      <c r="JH188">
        <v>183</v>
      </c>
      <c r="JI188">
        <v>18344</v>
      </c>
      <c r="JJ188">
        <v>0</v>
      </c>
      <c r="JK188">
        <v>0</v>
      </c>
      <c r="JL188">
        <v>0</v>
      </c>
      <c r="JM188">
        <v>2787</v>
      </c>
      <c r="JN188">
        <v>5782</v>
      </c>
      <c r="JO188">
        <v>0</v>
      </c>
      <c r="JP188">
        <v>11016</v>
      </c>
      <c r="JQ188">
        <v>-7440</v>
      </c>
      <c r="JR188">
        <v>694747</v>
      </c>
      <c r="JS188">
        <v>-2777</v>
      </c>
      <c r="JT188">
        <v>0</v>
      </c>
      <c r="JU188">
        <v>0</v>
      </c>
      <c r="JV188">
        <v>0</v>
      </c>
      <c r="JW188">
        <v>-150917</v>
      </c>
      <c r="JX188">
        <v>0</v>
      </c>
      <c r="JY188">
        <v>-508</v>
      </c>
      <c r="JZ188">
        <v>0</v>
      </c>
      <c r="KA188">
        <v>0</v>
      </c>
      <c r="KB188">
        <v>0</v>
      </c>
      <c r="KC188">
        <v>540545</v>
      </c>
      <c r="KD188">
        <v>0</v>
      </c>
      <c r="KE188">
        <v>-313024</v>
      </c>
      <c r="KF188">
        <v>227521</v>
      </c>
      <c r="KG188">
        <v>0</v>
      </c>
      <c r="KH188">
        <v>-1795</v>
      </c>
      <c r="KI188">
        <v>5218</v>
      </c>
      <c r="KJ188">
        <v>359</v>
      </c>
      <c r="KK188">
        <v>8553</v>
      </c>
      <c r="KL188">
        <v>5054</v>
      </c>
      <c r="KM188">
        <v>-24590</v>
      </c>
      <c r="KN188">
        <v>0</v>
      </c>
      <c r="KO188">
        <v>-91104</v>
      </c>
      <c r="KP188">
        <v>7843</v>
      </c>
      <c r="KQ188">
        <v>0</v>
      </c>
      <c r="KR188">
        <v>99249</v>
      </c>
      <c r="KS188">
        <v>10109</v>
      </c>
      <c r="KT188">
        <v>0</v>
      </c>
      <c r="KU188">
        <v>1353</v>
      </c>
      <c r="KV188">
        <v>163094</v>
      </c>
      <c r="KW188">
        <v>16664</v>
      </c>
      <c r="KX188">
        <v>8314</v>
      </c>
      <c r="KY188">
        <v>5218</v>
      </c>
      <c r="KZ188">
        <v>1712</v>
      </c>
      <c r="LA188">
        <v>171647</v>
      </c>
      <c r="LB188">
        <v>21718</v>
      </c>
      <c r="LC188">
        <v>0</v>
      </c>
      <c r="LD188">
        <v>25834</v>
      </c>
      <c r="LE188">
        <v>0</v>
      </c>
      <c r="LF188">
        <v>0</v>
      </c>
      <c r="LG188">
        <v>0</v>
      </c>
      <c r="LH188">
        <v>0</v>
      </c>
      <c r="LI188">
        <v>25834</v>
      </c>
      <c r="LJ188">
        <v>9100</v>
      </c>
      <c r="LK188">
        <v>21400</v>
      </c>
      <c r="LL188">
        <v>30500</v>
      </c>
      <c r="LM188">
        <v>0</v>
      </c>
      <c r="LN188">
        <v>0</v>
      </c>
      <c r="LO188">
        <v>0</v>
      </c>
      <c r="LP188">
        <v>227391</v>
      </c>
      <c r="LQ188">
        <v>262393</v>
      </c>
      <c r="LR188">
        <v>-35002</v>
      </c>
      <c r="LS188">
        <v>109030</v>
      </c>
      <c r="LT188">
        <v>74028</v>
      </c>
      <c r="LU188">
        <v>186167</v>
      </c>
      <c r="LV188">
        <v>-14011</v>
      </c>
      <c r="LW188">
        <v>93337</v>
      </c>
      <c r="LX188">
        <v>96608</v>
      </c>
      <c r="LY188">
        <v>28969</v>
      </c>
      <c r="LZ188">
        <v>31970</v>
      </c>
      <c r="MA188">
        <v>7411</v>
      </c>
      <c r="MB188">
        <v>29161</v>
      </c>
      <c r="MC188">
        <v>10669</v>
      </c>
      <c r="MD188">
        <v>0</v>
      </c>
      <c r="ME188">
        <v>0</v>
      </c>
      <c r="MF188">
        <v>21004</v>
      </c>
      <c r="MG188">
        <v>14024</v>
      </c>
      <c r="MH188">
        <v>505309</v>
      </c>
      <c r="MI188">
        <v>0</v>
      </c>
      <c r="MJ188">
        <v>0</v>
      </c>
      <c r="MK188">
        <v>0</v>
      </c>
      <c r="ML188">
        <v>0</v>
      </c>
      <c r="MM188">
        <v>0</v>
      </c>
      <c r="MN188">
        <v>0</v>
      </c>
      <c r="MO188">
        <v>0</v>
      </c>
      <c r="MP188">
        <v>0</v>
      </c>
      <c r="MQ188">
        <v>0</v>
      </c>
      <c r="MR188">
        <v>0</v>
      </c>
      <c r="MS188">
        <v>539</v>
      </c>
      <c r="MT188">
        <v>0</v>
      </c>
      <c r="MU188">
        <v>0</v>
      </c>
      <c r="MV188">
        <v>0</v>
      </c>
      <c r="MW188">
        <v>0</v>
      </c>
      <c r="MX188">
        <v>0</v>
      </c>
      <c r="MY188">
        <v>0</v>
      </c>
      <c r="MZ188">
        <v>48</v>
      </c>
      <c r="NA188">
        <v>675</v>
      </c>
      <c r="NB188">
        <v>0</v>
      </c>
      <c r="NC188">
        <v>675</v>
      </c>
      <c r="ND188">
        <v>0</v>
      </c>
      <c r="NE188">
        <v>0</v>
      </c>
      <c r="NF188">
        <v>0</v>
      </c>
      <c r="NG188">
        <v>0</v>
      </c>
      <c r="NH188">
        <v>0</v>
      </c>
      <c r="NI188">
        <v>0</v>
      </c>
      <c r="NJ188">
        <v>0</v>
      </c>
      <c r="NK188">
        <v>0</v>
      </c>
      <c r="NL188">
        <v>0</v>
      </c>
      <c r="NM188">
        <v>0</v>
      </c>
      <c r="NN188">
        <v>0</v>
      </c>
      <c r="NO188">
        <v>0</v>
      </c>
      <c r="NP188">
        <v>0</v>
      </c>
      <c r="NQ188">
        <v>1334</v>
      </c>
      <c r="NR188">
        <v>0</v>
      </c>
      <c r="NS188">
        <v>0</v>
      </c>
      <c r="NT188">
        <v>0</v>
      </c>
      <c r="NU188">
        <v>0</v>
      </c>
      <c r="NV188">
        <v>0</v>
      </c>
      <c r="NW188">
        <v>0</v>
      </c>
      <c r="NX188">
        <v>0</v>
      </c>
      <c r="NY188">
        <v>0</v>
      </c>
      <c r="NZ188">
        <v>2203</v>
      </c>
      <c r="OA188">
        <v>0</v>
      </c>
      <c r="OB188">
        <v>2203</v>
      </c>
      <c r="OC188">
        <v>0</v>
      </c>
      <c r="OD188">
        <v>0</v>
      </c>
      <c r="OE188">
        <v>0</v>
      </c>
      <c r="OF188">
        <v>0</v>
      </c>
      <c r="OG188">
        <v>0</v>
      </c>
      <c r="OH188">
        <v>0</v>
      </c>
      <c r="OI188">
        <v>0</v>
      </c>
      <c r="OJ188">
        <v>0</v>
      </c>
      <c r="OK188">
        <v>0</v>
      </c>
      <c r="OL188">
        <v>0</v>
      </c>
      <c r="OM188">
        <v>0</v>
      </c>
      <c r="ON188">
        <v>0</v>
      </c>
    </row>
    <row r="189" spans="1:404" x14ac:dyDescent="0.25">
      <c r="A189" t="s">
        <v>632</v>
      </c>
      <c r="B189" t="s">
        <v>633</v>
      </c>
      <c r="C189" t="s">
        <v>631</v>
      </c>
      <c r="E189" t="s">
        <v>1940</v>
      </c>
      <c r="F189">
        <v>10727</v>
      </c>
      <c r="G189">
        <v>48013</v>
      </c>
      <c r="H189">
        <v>12060</v>
      </c>
      <c r="I189">
        <v>8922</v>
      </c>
      <c r="J189">
        <v>2173</v>
      </c>
      <c r="K189">
        <v>11363</v>
      </c>
      <c r="L189">
        <v>93258</v>
      </c>
      <c r="M189">
        <v>-834</v>
      </c>
      <c r="N189">
        <v>868</v>
      </c>
      <c r="O189">
        <v>174</v>
      </c>
      <c r="P189">
        <v>2988</v>
      </c>
      <c r="Q189">
        <v>0</v>
      </c>
      <c r="R189">
        <v>501</v>
      </c>
      <c r="S189">
        <v>0</v>
      </c>
      <c r="T189">
        <v>0</v>
      </c>
      <c r="U189">
        <v>1924</v>
      </c>
      <c r="V189">
        <v>0</v>
      </c>
      <c r="W189">
        <v>0</v>
      </c>
      <c r="X189">
        <v>-5</v>
      </c>
      <c r="Y189">
        <v>515</v>
      </c>
      <c r="Z189">
        <v>-38029</v>
      </c>
      <c r="AA189">
        <v>0</v>
      </c>
      <c r="AB189">
        <v>7713</v>
      </c>
      <c r="AC189">
        <v>75</v>
      </c>
      <c r="AD189">
        <v>0</v>
      </c>
      <c r="AE189">
        <v>0</v>
      </c>
      <c r="AF189">
        <v>0</v>
      </c>
      <c r="AG189">
        <v>0</v>
      </c>
      <c r="AH189">
        <v>0</v>
      </c>
      <c r="AI189">
        <v>-24110</v>
      </c>
      <c r="AJ189">
        <v>0</v>
      </c>
      <c r="AK189">
        <v>0</v>
      </c>
      <c r="AL189">
        <v>0</v>
      </c>
      <c r="AM189">
        <v>0</v>
      </c>
      <c r="AN189">
        <v>0</v>
      </c>
      <c r="AO189">
        <v>0</v>
      </c>
      <c r="AP189">
        <v>0</v>
      </c>
      <c r="AQ189">
        <v>11880</v>
      </c>
      <c r="AR189">
        <v>38352</v>
      </c>
      <c r="AS189">
        <v>0</v>
      </c>
      <c r="AT189">
        <v>0</v>
      </c>
      <c r="AU189">
        <v>0</v>
      </c>
      <c r="AV189">
        <v>1554</v>
      </c>
      <c r="AW189">
        <v>13279</v>
      </c>
      <c r="AX189">
        <v>1629</v>
      </c>
      <c r="AY189">
        <v>8380</v>
      </c>
      <c r="AZ189">
        <v>2041</v>
      </c>
      <c r="BA189">
        <v>15228</v>
      </c>
      <c r="BB189">
        <v>730</v>
      </c>
      <c r="BC189">
        <v>2455</v>
      </c>
      <c r="BD189">
        <v>45296</v>
      </c>
      <c r="BE189">
        <v>3737</v>
      </c>
      <c r="BF189">
        <v>14866</v>
      </c>
      <c r="BG189">
        <v>21</v>
      </c>
      <c r="BH189">
        <v>116</v>
      </c>
      <c r="BI189">
        <v>168</v>
      </c>
      <c r="BJ189">
        <v>1219</v>
      </c>
      <c r="BK189">
        <v>8895</v>
      </c>
      <c r="BL189">
        <v>1455</v>
      </c>
      <c r="BM189">
        <v>2989</v>
      </c>
      <c r="BN189">
        <v>1403</v>
      </c>
      <c r="BO189">
        <v>0</v>
      </c>
      <c r="BP189">
        <v>0</v>
      </c>
      <c r="BQ189">
        <v>0</v>
      </c>
      <c r="BR189">
        <v>-82</v>
      </c>
      <c r="BS189">
        <v>294</v>
      </c>
      <c r="BT189">
        <v>8042</v>
      </c>
      <c r="BU189">
        <v>0</v>
      </c>
      <c r="BV189">
        <v>11599</v>
      </c>
      <c r="BW189">
        <v>54722</v>
      </c>
      <c r="BX189">
        <v>2430</v>
      </c>
      <c r="BY189">
        <v>254</v>
      </c>
      <c r="BZ189">
        <v>283</v>
      </c>
      <c r="CA189">
        <v>170</v>
      </c>
      <c r="CB189">
        <v>34</v>
      </c>
      <c r="CC189">
        <v>145</v>
      </c>
      <c r="CD189">
        <v>94</v>
      </c>
      <c r="CE189">
        <v>1548</v>
      </c>
      <c r="CF189">
        <v>522</v>
      </c>
      <c r="CG189">
        <v>1392</v>
      </c>
      <c r="CH189">
        <v>500</v>
      </c>
      <c r="CI189">
        <v>1716</v>
      </c>
      <c r="CJ189">
        <v>751</v>
      </c>
      <c r="CK189">
        <v>1138</v>
      </c>
      <c r="CL189">
        <v>632</v>
      </c>
      <c r="CM189">
        <v>147</v>
      </c>
      <c r="CN189">
        <v>464</v>
      </c>
      <c r="CO189">
        <v>13</v>
      </c>
      <c r="CP189">
        <v>1211</v>
      </c>
      <c r="CQ189">
        <v>2182</v>
      </c>
      <c r="CR189">
        <v>153</v>
      </c>
      <c r="CS189">
        <v>0</v>
      </c>
      <c r="CT189">
        <v>238</v>
      </c>
      <c r="CU189">
        <v>3650</v>
      </c>
      <c r="CV189">
        <v>25056</v>
      </c>
      <c r="CW189">
        <v>0</v>
      </c>
      <c r="CX189">
        <v>0</v>
      </c>
      <c r="CY189">
        <v>0</v>
      </c>
      <c r="CZ189">
        <v>0</v>
      </c>
      <c r="DA189">
        <v>0</v>
      </c>
      <c r="DB189">
        <v>0</v>
      </c>
      <c r="DC189">
        <v>3218</v>
      </c>
      <c r="DD189">
        <v>0</v>
      </c>
      <c r="DE189">
        <v>12</v>
      </c>
      <c r="DF189">
        <v>0</v>
      </c>
      <c r="DG189">
        <v>0</v>
      </c>
      <c r="DH189">
        <v>5562</v>
      </c>
      <c r="DI189">
        <v>0</v>
      </c>
      <c r="DJ189">
        <v>-183</v>
      </c>
      <c r="DK189">
        <v>117</v>
      </c>
      <c r="DL189">
        <v>3401</v>
      </c>
      <c r="DM189">
        <v>2822</v>
      </c>
      <c r="DN189">
        <v>6574</v>
      </c>
      <c r="DO189">
        <v>1298</v>
      </c>
      <c r="DP189">
        <v>19591</v>
      </c>
      <c r="DQ189">
        <v>0</v>
      </c>
      <c r="DR189">
        <v>0</v>
      </c>
      <c r="DS189">
        <v>0</v>
      </c>
      <c r="DT189">
        <v>2864</v>
      </c>
      <c r="DU189">
        <v>458</v>
      </c>
      <c r="DV189">
        <v>5597</v>
      </c>
      <c r="DW189">
        <v>0</v>
      </c>
      <c r="DX189">
        <v>31740</v>
      </c>
      <c r="DY189">
        <v>42630</v>
      </c>
      <c r="DZ189">
        <v>4292</v>
      </c>
      <c r="EA189">
        <v>12496</v>
      </c>
      <c r="EB189">
        <v>7</v>
      </c>
      <c r="EC189">
        <v>0</v>
      </c>
      <c r="ED189">
        <v>62</v>
      </c>
      <c r="EE189">
        <v>0</v>
      </c>
      <c r="EF189">
        <v>0</v>
      </c>
      <c r="EG189">
        <v>0</v>
      </c>
      <c r="EH189">
        <v>14590</v>
      </c>
      <c r="EI189">
        <v>19045</v>
      </c>
      <c r="EJ189">
        <v>9645</v>
      </c>
      <c r="EK189">
        <v>383</v>
      </c>
      <c r="EL189">
        <v>6568</v>
      </c>
      <c r="EM189">
        <v>0</v>
      </c>
      <c r="EN189">
        <v>0</v>
      </c>
      <c r="EO189">
        <v>52</v>
      </c>
      <c r="EP189">
        <v>0</v>
      </c>
      <c r="EQ189">
        <v>11410</v>
      </c>
      <c r="ER189">
        <v>1229</v>
      </c>
      <c r="ES189">
        <v>8435</v>
      </c>
      <c r="ET189">
        <v>5000</v>
      </c>
      <c r="EU189">
        <v>95</v>
      </c>
      <c r="EV189">
        <v>467</v>
      </c>
      <c r="EW189">
        <v>0</v>
      </c>
      <c r="EX189">
        <v>1311</v>
      </c>
      <c r="EY189">
        <v>728</v>
      </c>
      <c r="EZ189">
        <v>0</v>
      </c>
      <c r="FA189">
        <v>0</v>
      </c>
      <c r="FB189">
        <v>0</v>
      </c>
      <c r="FC189">
        <v>542</v>
      </c>
      <c r="FD189">
        <v>4465</v>
      </c>
      <c r="FE189">
        <v>0</v>
      </c>
      <c r="FF189">
        <v>0</v>
      </c>
      <c r="FG189">
        <v>5655</v>
      </c>
      <c r="FH189">
        <v>13263</v>
      </c>
      <c r="FI189">
        <v>320</v>
      </c>
      <c r="FJ189">
        <v>450</v>
      </c>
      <c r="FK189">
        <v>0</v>
      </c>
      <c r="FL189">
        <v>1134</v>
      </c>
      <c r="FM189">
        <v>4652</v>
      </c>
      <c r="FN189">
        <v>1354</v>
      </c>
      <c r="FO189">
        <v>664</v>
      </c>
      <c r="FP189">
        <v>0</v>
      </c>
      <c r="FQ189">
        <v>0</v>
      </c>
      <c r="FR189">
        <v>252</v>
      </c>
      <c r="FS189">
        <v>750</v>
      </c>
      <c r="FT189">
        <v>15</v>
      </c>
      <c r="FU189">
        <v>487</v>
      </c>
      <c r="FV189">
        <v>795</v>
      </c>
      <c r="FW189">
        <v>1821</v>
      </c>
      <c r="FX189">
        <v>220</v>
      </c>
      <c r="FY189">
        <v>0</v>
      </c>
      <c r="FZ189">
        <v>0</v>
      </c>
      <c r="GA189">
        <v>0</v>
      </c>
      <c r="GB189">
        <v>0</v>
      </c>
      <c r="GC189">
        <v>0</v>
      </c>
      <c r="GD189">
        <v>4776</v>
      </c>
      <c r="GE189">
        <v>5614</v>
      </c>
      <c r="GF189">
        <v>7157</v>
      </c>
      <c r="GG189">
        <v>-483</v>
      </c>
      <c r="GH189">
        <v>3471</v>
      </c>
      <c r="GI189">
        <v>0</v>
      </c>
      <c r="GJ189">
        <v>420</v>
      </c>
      <c r="GK189">
        <v>33869</v>
      </c>
      <c r="GL189">
        <v>532</v>
      </c>
      <c r="GM189">
        <v>2264</v>
      </c>
      <c r="GN189">
        <v>701</v>
      </c>
      <c r="GO189">
        <v>1905</v>
      </c>
      <c r="GP189">
        <v>282</v>
      </c>
      <c r="GQ189">
        <v>1468</v>
      </c>
      <c r="GR189">
        <v>0</v>
      </c>
      <c r="GS189">
        <v>5764</v>
      </c>
      <c r="GT189">
        <v>7335</v>
      </c>
      <c r="GU189">
        <v>20251</v>
      </c>
      <c r="GV189">
        <v>67383</v>
      </c>
      <c r="GW189">
        <v>0</v>
      </c>
      <c r="GX189">
        <v>0</v>
      </c>
      <c r="GY189">
        <v>0</v>
      </c>
      <c r="GZ189">
        <v>0</v>
      </c>
      <c r="HA189">
        <v>0</v>
      </c>
      <c r="HB189">
        <v>15801</v>
      </c>
      <c r="HC189">
        <v>1099</v>
      </c>
      <c r="HD189">
        <v>0</v>
      </c>
      <c r="HE189">
        <v>125</v>
      </c>
      <c r="HF189">
        <v>764</v>
      </c>
      <c r="HG189">
        <v>56</v>
      </c>
      <c r="HH189">
        <v>0</v>
      </c>
      <c r="HI189">
        <v>436</v>
      </c>
      <c r="HJ189">
        <v>933</v>
      </c>
      <c r="HK189">
        <v>171</v>
      </c>
      <c r="HL189">
        <v>440</v>
      </c>
      <c r="HM189">
        <v>-1573</v>
      </c>
      <c r="HN189">
        <v>1833</v>
      </c>
      <c r="HO189">
        <v>0</v>
      </c>
      <c r="HP189">
        <v>292</v>
      </c>
      <c r="HQ189">
        <v>0</v>
      </c>
      <c r="HR189">
        <v>335</v>
      </c>
      <c r="HS189">
        <v>5</v>
      </c>
      <c r="HT189">
        <v>0</v>
      </c>
      <c r="HU189">
        <v>-4417</v>
      </c>
      <c r="HV189">
        <v>16300</v>
      </c>
      <c r="HW189">
        <v>0</v>
      </c>
      <c r="HX189">
        <v>51661</v>
      </c>
      <c r="HY189">
        <v>0</v>
      </c>
      <c r="HZ189">
        <v>0</v>
      </c>
      <c r="IA189">
        <v>424</v>
      </c>
      <c r="IB189">
        <v>4087</v>
      </c>
      <c r="IC189">
        <v>93258</v>
      </c>
      <c r="ID189">
        <v>-24110</v>
      </c>
      <c r="IE189">
        <v>45296</v>
      </c>
      <c r="IF189">
        <v>54722</v>
      </c>
      <c r="IG189">
        <v>25056</v>
      </c>
      <c r="IH189">
        <v>31740</v>
      </c>
      <c r="II189">
        <v>13263</v>
      </c>
      <c r="IJ189">
        <v>33869</v>
      </c>
      <c r="IK189">
        <v>20251</v>
      </c>
      <c r="IL189">
        <v>0</v>
      </c>
      <c r="IM189">
        <v>0</v>
      </c>
      <c r="IN189">
        <v>16300</v>
      </c>
      <c r="IO189">
        <v>4087</v>
      </c>
      <c r="IP189">
        <v>313732</v>
      </c>
      <c r="IQ189">
        <v>64887</v>
      </c>
      <c r="IR189">
        <v>29878</v>
      </c>
      <c r="IS189">
        <v>21854</v>
      </c>
      <c r="IT189">
        <v>0</v>
      </c>
      <c r="IU189">
        <v>0</v>
      </c>
      <c r="IV189">
        <v>0</v>
      </c>
      <c r="IW189">
        <v>0</v>
      </c>
      <c r="IX189">
        <v>1018</v>
      </c>
      <c r="IY189">
        <v>1401</v>
      </c>
      <c r="IZ189">
        <v>2583</v>
      </c>
      <c r="JA189">
        <v>-9388</v>
      </c>
      <c r="JB189">
        <v>30</v>
      </c>
      <c r="JC189">
        <v>0</v>
      </c>
      <c r="JD189">
        <v>0</v>
      </c>
      <c r="JE189">
        <v>0</v>
      </c>
      <c r="JF189">
        <v>191</v>
      </c>
      <c r="JG189">
        <v>426186</v>
      </c>
      <c r="JH189">
        <v>228</v>
      </c>
      <c r="JI189">
        <v>1855</v>
      </c>
      <c r="JJ189">
        <v>0</v>
      </c>
      <c r="JK189">
        <v>0</v>
      </c>
      <c r="JL189">
        <v>0</v>
      </c>
      <c r="JM189">
        <v>3126</v>
      </c>
      <c r="JN189">
        <v>1856</v>
      </c>
      <c r="JO189">
        <v>0</v>
      </c>
      <c r="JP189">
        <v>8944</v>
      </c>
      <c r="JQ189">
        <v>-6507</v>
      </c>
      <c r="JR189">
        <v>435688</v>
      </c>
      <c r="JS189">
        <v>-307</v>
      </c>
      <c r="JT189">
        <v>0</v>
      </c>
      <c r="JU189">
        <v>67</v>
      </c>
      <c r="JV189">
        <v>0</v>
      </c>
      <c r="JW189">
        <v>-116930</v>
      </c>
      <c r="JX189">
        <v>0</v>
      </c>
      <c r="JY189">
        <v>0</v>
      </c>
      <c r="JZ189">
        <v>0</v>
      </c>
      <c r="KA189">
        <v>0</v>
      </c>
      <c r="KB189">
        <v>-2215</v>
      </c>
      <c r="KC189">
        <v>316303</v>
      </c>
      <c r="KD189">
        <v>0</v>
      </c>
      <c r="KE189">
        <v>-151416</v>
      </c>
      <c r="KF189">
        <v>164887</v>
      </c>
      <c r="KG189">
        <v>0</v>
      </c>
      <c r="KH189">
        <v>1089</v>
      </c>
      <c r="KI189">
        <v>0</v>
      </c>
      <c r="KJ189">
        <v>1913</v>
      </c>
      <c r="KK189">
        <v>-35029</v>
      </c>
      <c r="KL189">
        <v>0</v>
      </c>
      <c r="KM189">
        <v>-10164</v>
      </c>
      <c r="KN189">
        <v>0</v>
      </c>
      <c r="KO189">
        <v>16265</v>
      </c>
      <c r="KP189">
        <v>2440</v>
      </c>
      <c r="KQ189">
        <v>0</v>
      </c>
      <c r="KR189">
        <v>93831</v>
      </c>
      <c r="KS189">
        <v>5753</v>
      </c>
      <c r="KT189">
        <v>0</v>
      </c>
      <c r="KU189">
        <v>4332</v>
      </c>
      <c r="KV189">
        <v>205226</v>
      </c>
      <c r="KW189">
        <v>10000</v>
      </c>
      <c r="KX189">
        <v>6842</v>
      </c>
      <c r="KY189">
        <v>0</v>
      </c>
      <c r="KZ189">
        <v>6245</v>
      </c>
      <c r="LA189">
        <v>170197</v>
      </c>
      <c r="LB189">
        <v>10000</v>
      </c>
      <c r="LC189">
        <v>0</v>
      </c>
      <c r="LD189">
        <v>15838</v>
      </c>
      <c r="LE189">
        <v>0</v>
      </c>
      <c r="LF189">
        <v>48307</v>
      </c>
      <c r="LG189">
        <v>-23728</v>
      </c>
      <c r="LH189">
        <v>4637</v>
      </c>
      <c r="LI189">
        <v>56948</v>
      </c>
      <c r="LJ189">
        <v>5046</v>
      </c>
      <c r="LK189">
        <v>8748</v>
      </c>
      <c r="LL189">
        <v>13794</v>
      </c>
      <c r="LM189">
        <v>0</v>
      </c>
      <c r="LN189">
        <v>0</v>
      </c>
      <c r="LO189">
        <v>0</v>
      </c>
      <c r="LP189">
        <v>59487</v>
      </c>
      <c r="LQ189">
        <v>62922</v>
      </c>
      <c r="LR189">
        <v>-3435</v>
      </c>
      <c r="LS189">
        <v>8435</v>
      </c>
      <c r="LT189">
        <v>5000</v>
      </c>
      <c r="LU189">
        <v>93258</v>
      </c>
      <c r="LV189">
        <v>-24110</v>
      </c>
      <c r="LW189">
        <v>45296</v>
      </c>
      <c r="LX189">
        <v>54722</v>
      </c>
      <c r="LY189">
        <v>25056</v>
      </c>
      <c r="LZ189">
        <v>31740</v>
      </c>
      <c r="MA189">
        <v>13263</v>
      </c>
      <c r="MB189">
        <v>33869</v>
      </c>
      <c r="MC189">
        <v>20251</v>
      </c>
      <c r="MD189">
        <v>0</v>
      </c>
      <c r="ME189">
        <v>0</v>
      </c>
      <c r="MF189">
        <v>16300</v>
      </c>
      <c r="MG189">
        <v>4087</v>
      </c>
      <c r="MH189">
        <v>313732</v>
      </c>
      <c r="MI189">
        <v>0</v>
      </c>
      <c r="MJ189">
        <v>0</v>
      </c>
      <c r="MK189">
        <v>0</v>
      </c>
      <c r="ML189">
        <v>0</v>
      </c>
      <c r="MM189">
        <v>0</v>
      </c>
      <c r="MN189">
        <v>0</v>
      </c>
      <c r="MO189">
        <v>0</v>
      </c>
      <c r="MP189">
        <v>0</v>
      </c>
      <c r="MQ189">
        <v>0</v>
      </c>
      <c r="MR189">
        <v>0</v>
      </c>
      <c r="MS189">
        <v>0</v>
      </c>
      <c r="MT189">
        <v>0</v>
      </c>
      <c r="MU189">
        <v>0</v>
      </c>
      <c r="MV189">
        <v>0</v>
      </c>
      <c r="MW189">
        <v>0</v>
      </c>
      <c r="MX189">
        <v>0</v>
      </c>
      <c r="MY189">
        <v>-9388</v>
      </c>
      <c r="MZ189">
        <v>0</v>
      </c>
      <c r="NA189">
        <v>-9388</v>
      </c>
      <c r="NB189">
        <v>0</v>
      </c>
      <c r="NC189">
        <v>-9388</v>
      </c>
      <c r="ND189">
        <v>0</v>
      </c>
      <c r="NE189">
        <v>0</v>
      </c>
      <c r="NF189">
        <v>0</v>
      </c>
      <c r="NG189">
        <v>0</v>
      </c>
      <c r="NH189">
        <v>0</v>
      </c>
      <c r="NI189">
        <v>0</v>
      </c>
      <c r="NJ189">
        <v>0</v>
      </c>
      <c r="NK189">
        <v>0</v>
      </c>
      <c r="NL189">
        <v>0</v>
      </c>
      <c r="NM189">
        <v>0</v>
      </c>
      <c r="NN189">
        <v>0</v>
      </c>
      <c r="NO189">
        <v>0</v>
      </c>
      <c r="NP189">
        <v>0</v>
      </c>
      <c r="NQ189">
        <v>0</v>
      </c>
      <c r="NR189">
        <v>0</v>
      </c>
      <c r="NS189">
        <v>0</v>
      </c>
      <c r="NT189">
        <v>0</v>
      </c>
      <c r="NU189">
        <v>-42</v>
      </c>
      <c r="NV189">
        <v>0</v>
      </c>
      <c r="NW189">
        <v>0</v>
      </c>
      <c r="NX189">
        <v>72</v>
      </c>
      <c r="NY189">
        <v>0</v>
      </c>
      <c r="NZ189">
        <v>30</v>
      </c>
      <c r="OA189">
        <v>0</v>
      </c>
      <c r="OB189">
        <v>30</v>
      </c>
      <c r="OC189">
        <v>0</v>
      </c>
      <c r="OD189">
        <v>0</v>
      </c>
      <c r="OE189">
        <v>0</v>
      </c>
      <c r="OF189">
        <v>0</v>
      </c>
      <c r="OG189">
        <v>0</v>
      </c>
      <c r="OH189">
        <v>0</v>
      </c>
      <c r="OI189">
        <v>0</v>
      </c>
      <c r="OJ189">
        <v>0</v>
      </c>
      <c r="OK189">
        <v>0</v>
      </c>
      <c r="OL189">
        <v>0</v>
      </c>
      <c r="OM189">
        <v>0</v>
      </c>
      <c r="ON189">
        <v>0</v>
      </c>
    </row>
    <row r="190" spans="1:404" x14ac:dyDescent="0.25">
      <c r="A190" t="s">
        <v>635</v>
      </c>
      <c r="B190" t="s">
        <v>636</v>
      </c>
      <c r="C190" t="s">
        <v>634</v>
      </c>
      <c r="E190" t="s">
        <v>1942</v>
      </c>
      <c r="F190">
        <v>81894</v>
      </c>
      <c r="G190">
        <v>394283</v>
      </c>
      <c r="H190">
        <v>166498</v>
      </c>
      <c r="I190">
        <v>202603</v>
      </c>
      <c r="J190">
        <v>13408</v>
      </c>
      <c r="K190">
        <v>101554</v>
      </c>
      <c r="L190">
        <v>960239</v>
      </c>
      <c r="M190">
        <v>4122</v>
      </c>
      <c r="N190">
        <v>730</v>
      </c>
      <c r="O190">
        <v>0</v>
      </c>
      <c r="P190">
        <v>0</v>
      </c>
      <c r="Q190">
        <v>2776</v>
      </c>
      <c r="R190">
        <v>2852</v>
      </c>
      <c r="S190">
        <v>22953</v>
      </c>
      <c r="T190">
        <v>3650</v>
      </c>
      <c r="U190">
        <v>5584</v>
      </c>
      <c r="V190">
        <v>0</v>
      </c>
      <c r="W190">
        <v>0</v>
      </c>
      <c r="X190">
        <v>1654</v>
      </c>
      <c r="Y190">
        <v>1942</v>
      </c>
      <c r="Z190">
        <v>0</v>
      </c>
      <c r="AA190">
        <v>0</v>
      </c>
      <c r="AB190">
        <v>16372</v>
      </c>
      <c r="AC190">
        <v>8989</v>
      </c>
      <c r="AD190">
        <v>11180</v>
      </c>
      <c r="AE190">
        <v>0</v>
      </c>
      <c r="AF190">
        <v>0</v>
      </c>
      <c r="AG190">
        <v>518</v>
      </c>
      <c r="AH190">
        <v>0</v>
      </c>
      <c r="AI190">
        <v>83322</v>
      </c>
      <c r="AJ190">
        <v>0</v>
      </c>
      <c r="AK190">
        <v>0</v>
      </c>
      <c r="AL190">
        <v>0</v>
      </c>
      <c r="AM190">
        <v>0</v>
      </c>
      <c r="AN190">
        <v>0</v>
      </c>
      <c r="AO190">
        <v>0</v>
      </c>
      <c r="AP190">
        <v>0</v>
      </c>
      <c r="AQ190">
        <v>0</v>
      </c>
      <c r="AR190">
        <v>0</v>
      </c>
      <c r="AS190">
        <v>0</v>
      </c>
      <c r="AT190">
        <v>0</v>
      </c>
      <c r="AU190">
        <v>0</v>
      </c>
      <c r="AV190">
        <v>8637</v>
      </c>
      <c r="AW190">
        <v>133103</v>
      </c>
      <c r="AX190">
        <v>22</v>
      </c>
      <c r="AY190">
        <v>31631</v>
      </c>
      <c r="AZ190">
        <v>2179</v>
      </c>
      <c r="BA190">
        <v>64015</v>
      </c>
      <c r="BB190">
        <v>13999</v>
      </c>
      <c r="BC190">
        <v>7078</v>
      </c>
      <c r="BD190">
        <v>260664</v>
      </c>
      <c r="BE190">
        <v>43076</v>
      </c>
      <c r="BF190">
        <v>102732</v>
      </c>
      <c r="BG190">
        <v>1661</v>
      </c>
      <c r="BH190">
        <v>1777</v>
      </c>
      <c r="BI190">
        <v>5040</v>
      </c>
      <c r="BJ190">
        <v>9564</v>
      </c>
      <c r="BK190">
        <v>188948</v>
      </c>
      <c r="BL190">
        <v>20340</v>
      </c>
      <c r="BM190">
        <v>25079</v>
      </c>
      <c r="BN190">
        <v>4509</v>
      </c>
      <c r="BO190">
        <v>0</v>
      </c>
      <c r="BP190">
        <v>0</v>
      </c>
      <c r="BQ190">
        <v>11743</v>
      </c>
      <c r="BR190">
        <v>10618</v>
      </c>
      <c r="BS190">
        <v>2706</v>
      </c>
      <c r="BT190">
        <v>42387</v>
      </c>
      <c r="BU190">
        <v>1831</v>
      </c>
      <c r="BV190">
        <v>39955</v>
      </c>
      <c r="BW190">
        <v>557555</v>
      </c>
      <c r="BX190">
        <v>5331</v>
      </c>
      <c r="BY190">
        <v>4017</v>
      </c>
      <c r="BZ190">
        <v>1348</v>
      </c>
      <c r="CA190">
        <v>1145</v>
      </c>
      <c r="CB190">
        <v>21</v>
      </c>
      <c r="CC190">
        <v>220</v>
      </c>
      <c r="CD190">
        <v>411</v>
      </c>
      <c r="CE190">
        <v>954</v>
      </c>
      <c r="CF190">
        <v>2041</v>
      </c>
      <c r="CG190">
        <v>415</v>
      </c>
      <c r="CH190">
        <v>152</v>
      </c>
      <c r="CI190">
        <v>5361</v>
      </c>
      <c r="CJ190">
        <v>2571</v>
      </c>
      <c r="CK190">
        <v>916</v>
      </c>
      <c r="CL190">
        <v>484</v>
      </c>
      <c r="CM190">
        <v>1047</v>
      </c>
      <c r="CN190">
        <v>3136</v>
      </c>
      <c r="CO190">
        <v>125</v>
      </c>
      <c r="CP190">
        <v>4476</v>
      </c>
      <c r="CQ190">
        <v>9270</v>
      </c>
      <c r="CR190">
        <v>13328</v>
      </c>
      <c r="CS190">
        <v>211</v>
      </c>
      <c r="CT190">
        <v>4119</v>
      </c>
      <c r="CU190">
        <v>3252</v>
      </c>
      <c r="CV190">
        <v>110917</v>
      </c>
      <c r="CW190">
        <v>0</v>
      </c>
      <c r="CX190">
        <v>0</v>
      </c>
      <c r="CY190">
        <v>0</v>
      </c>
      <c r="CZ190">
        <v>0</v>
      </c>
      <c r="DA190">
        <v>0</v>
      </c>
      <c r="DB190">
        <v>0</v>
      </c>
      <c r="DC190">
        <v>0</v>
      </c>
      <c r="DD190">
        <v>0</v>
      </c>
      <c r="DE190">
        <v>0</v>
      </c>
      <c r="DF190">
        <v>-97</v>
      </c>
      <c r="DG190">
        <v>0</v>
      </c>
      <c r="DH190">
        <v>0</v>
      </c>
      <c r="DI190">
        <v>0</v>
      </c>
      <c r="DJ190">
        <v>0</v>
      </c>
      <c r="DK190">
        <v>0</v>
      </c>
      <c r="DL190">
        <v>0</v>
      </c>
      <c r="DM190">
        <v>0</v>
      </c>
      <c r="DN190">
        <v>0</v>
      </c>
      <c r="DO190">
        <v>0</v>
      </c>
      <c r="DP190">
        <v>0</v>
      </c>
      <c r="DQ190">
        <v>0</v>
      </c>
      <c r="DR190">
        <v>0</v>
      </c>
      <c r="DS190">
        <v>0</v>
      </c>
      <c r="DT190">
        <v>0</v>
      </c>
      <c r="DU190">
        <v>666</v>
      </c>
      <c r="DV190">
        <v>7915</v>
      </c>
      <c r="DW190">
        <v>0</v>
      </c>
      <c r="DX190">
        <v>8484</v>
      </c>
      <c r="DY190">
        <v>0</v>
      </c>
      <c r="DZ190">
        <v>0</v>
      </c>
      <c r="EA190">
        <v>0</v>
      </c>
      <c r="EB190">
        <v>0</v>
      </c>
      <c r="EC190">
        <v>0</v>
      </c>
      <c r="ED190">
        <v>0</v>
      </c>
      <c r="EE190">
        <v>0</v>
      </c>
      <c r="EF190">
        <v>0</v>
      </c>
      <c r="EG190">
        <v>0</v>
      </c>
      <c r="EH190">
        <v>0</v>
      </c>
      <c r="EI190">
        <v>0</v>
      </c>
      <c r="EJ190">
        <v>0</v>
      </c>
      <c r="EK190">
        <v>0</v>
      </c>
      <c r="EL190">
        <v>0</v>
      </c>
      <c r="EM190">
        <v>0</v>
      </c>
      <c r="EN190">
        <v>0</v>
      </c>
      <c r="EO190">
        <v>0</v>
      </c>
      <c r="EP190">
        <v>0</v>
      </c>
      <c r="EQ190">
        <v>0</v>
      </c>
      <c r="ER190">
        <v>0</v>
      </c>
      <c r="ES190">
        <v>0</v>
      </c>
      <c r="ET190">
        <v>0</v>
      </c>
      <c r="EU190">
        <v>925</v>
      </c>
      <c r="EV190">
        <v>1511</v>
      </c>
      <c r="EW190">
        <v>257</v>
      </c>
      <c r="EX190">
        <v>0</v>
      </c>
      <c r="EY190">
        <v>0</v>
      </c>
      <c r="EZ190">
        <v>0</v>
      </c>
      <c r="FA190">
        <v>0</v>
      </c>
      <c r="FB190">
        <v>392</v>
      </c>
      <c r="FC190">
        <v>165</v>
      </c>
      <c r="FD190">
        <v>3971</v>
      </c>
      <c r="FE190">
        <v>0</v>
      </c>
      <c r="FF190">
        <v>320</v>
      </c>
      <c r="FG190">
        <v>16528</v>
      </c>
      <c r="FH190">
        <v>24069</v>
      </c>
      <c r="FI190">
        <v>0</v>
      </c>
      <c r="FJ190">
        <v>2979</v>
      </c>
      <c r="FK190">
        <v>0</v>
      </c>
      <c r="FL190">
        <v>0</v>
      </c>
      <c r="FM190">
        <v>0</v>
      </c>
      <c r="FN190">
        <v>0</v>
      </c>
      <c r="FO190">
        <v>0</v>
      </c>
      <c r="FP190">
        <v>0</v>
      </c>
      <c r="FQ190">
        <v>0</v>
      </c>
      <c r="FR190">
        <v>0</v>
      </c>
      <c r="FS190">
        <v>0</v>
      </c>
      <c r="FT190">
        <v>0</v>
      </c>
      <c r="FU190">
        <v>0</v>
      </c>
      <c r="FV190">
        <v>0</v>
      </c>
      <c r="FW190">
        <v>3095</v>
      </c>
      <c r="FX190">
        <v>0</v>
      </c>
      <c r="FY190">
        <v>0</v>
      </c>
      <c r="FZ190">
        <v>110</v>
      </c>
      <c r="GA190">
        <v>0</v>
      </c>
      <c r="GB190">
        <v>368</v>
      </c>
      <c r="GC190">
        <v>0</v>
      </c>
      <c r="GD190">
        <v>0</v>
      </c>
      <c r="GE190">
        <v>0</v>
      </c>
      <c r="GF190">
        <v>66541</v>
      </c>
      <c r="GG190">
        <v>-531</v>
      </c>
      <c r="GH190">
        <v>11192</v>
      </c>
      <c r="GI190">
        <v>990</v>
      </c>
      <c r="GJ190">
        <v>470</v>
      </c>
      <c r="GK190">
        <v>85214</v>
      </c>
      <c r="GL190">
        <v>46</v>
      </c>
      <c r="GM190">
        <v>1823</v>
      </c>
      <c r="GN190">
        <v>0</v>
      </c>
      <c r="GO190">
        <v>801</v>
      </c>
      <c r="GP190">
        <v>2626</v>
      </c>
      <c r="GQ190">
        <v>3735</v>
      </c>
      <c r="GR190">
        <v>0</v>
      </c>
      <c r="GS190">
        <v>1790</v>
      </c>
      <c r="GT190">
        <v>1226</v>
      </c>
      <c r="GU190">
        <v>12047</v>
      </c>
      <c r="GV190">
        <v>121330</v>
      </c>
      <c r="GW190">
        <v>0</v>
      </c>
      <c r="GX190">
        <v>0</v>
      </c>
      <c r="GY190">
        <v>0</v>
      </c>
      <c r="GZ190">
        <v>0</v>
      </c>
      <c r="HA190">
        <v>0</v>
      </c>
      <c r="HB190">
        <v>14455</v>
      </c>
      <c r="HC190">
        <v>0</v>
      </c>
      <c r="HD190">
        <v>0</v>
      </c>
      <c r="HE190">
        <v>0</v>
      </c>
      <c r="HF190">
        <v>0</v>
      </c>
      <c r="HG190">
        <v>0</v>
      </c>
      <c r="HH190">
        <v>0</v>
      </c>
      <c r="HI190">
        <v>-1556</v>
      </c>
      <c r="HJ190">
        <v>0</v>
      </c>
      <c r="HK190">
        <v>1284</v>
      </c>
      <c r="HL190">
        <v>630</v>
      </c>
      <c r="HM190">
        <v>0</v>
      </c>
      <c r="HN190">
        <v>10190</v>
      </c>
      <c r="HO190">
        <v>0</v>
      </c>
      <c r="HP190">
        <v>5936</v>
      </c>
      <c r="HQ190">
        <v>0</v>
      </c>
      <c r="HR190">
        <v>12382</v>
      </c>
      <c r="HS190">
        <v>0</v>
      </c>
      <c r="HT190">
        <v>3364</v>
      </c>
      <c r="HU190">
        <v>-365</v>
      </c>
      <c r="HV190">
        <v>46319</v>
      </c>
      <c r="HW190">
        <v>68901</v>
      </c>
      <c r="HX190">
        <v>9664</v>
      </c>
      <c r="HY190">
        <v>0</v>
      </c>
      <c r="HZ190">
        <v>3479</v>
      </c>
      <c r="IA190">
        <v>4044</v>
      </c>
      <c r="IB190">
        <v>0</v>
      </c>
      <c r="IC190">
        <v>960239</v>
      </c>
      <c r="ID190">
        <v>83322</v>
      </c>
      <c r="IE190">
        <v>260664</v>
      </c>
      <c r="IF190">
        <v>557555</v>
      </c>
      <c r="IG190">
        <v>110917</v>
      </c>
      <c r="IH190">
        <v>8484</v>
      </c>
      <c r="II190">
        <v>24069</v>
      </c>
      <c r="IJ190">
        <v>85214</v>
      </c>
      <c r="IK190">
        <v>12047</v>
      </c>
      <c r="IL190">
        <v>0</v>
      </c>
      <c r="IM190">
        <v>0</v>
      </c>
      <c r="IN190">
        <v>46319</v>
      </c>
      <c r="IO190">
        <v>0</v>
      </c>
      <c r="IP190">
        <v>2148831</v>
      </c>
      <c r="IQ190">
        <v>0</v>
      </c>
      <c r="IR190">
        <v>0</v>
      </c>
      <c r="IS190">
        <v>0</v>
      </c>
      <c r="IT190">
        <v>0</v>
      </c>
      <c r="IU190">
        <v>0</v>
      </c>
      <c r="IV190">
        <v>0</v>
      </c>
      <c r="IW190">
        <v>0</v>
      </c>
      <c r="IX190">
        <v>0</v>
      </c>
      <c r="IY190">
        <v>0</v>
      </c>
      <c r="IZ190">
        <v>1613</v>
      </c>
      <c r="JA190">
        <v>-696</v>
      </c>
      <c r="JB190">
        <v>74</v>
      </c>
      <c r="JC190">
        <v>0</v>
      </c>
      <c r="JD190">
        <v>-60</v>
      </c>
      <c r="JE190">
        <v>365</v>
      </c>
      <c r="JF190">
        <v>-2796</v>
      </c>
      <c r="JG190">
        <v>2147330</v>
      </c>
      <c r="JH190">
        <v>448</v>
      </c>
      <c r="JI190">
        <v>24587</v>
      </c>
      <c r="JJ190">
        <v>195</v>
      </c>
      <c r="JK190">
        <v>0</v>
      </c>
      <c r="JL190">
        <v>0</v>
      </c>
      <c r="JM190">
        <v>3589</v>
      </c>
      <c r="JN190">
        <v>48026</v>
      </c>
      <c r="JO190">
        <v>0</v>
      </c>
      <c r="JP190">
        <v>36668</v>
      </c>
      <c r="JQ190">
        <v>0</v>
      </c>
      <c r="JR190">
        <v>2260844</v>
      </c>
      <c r="JS190">
        <v>-11208</v>
      </c>
      <c r="JT190">
        <v>0</v>
      </c>
      <c r="JU190">
        <v>1779</v>
      </c>
      <c r="JV190">
        <v>0</v>
      </c>
      <c r="JW190">
        <v>-50699</v>
      </c>
      <c r="JX190">
        <v>0</v>
      </c>
      <c r="JY190">
        <v>0</v>
      </c>
      <c r="JZ190">
        <v>0</v>
      </c>
      <c r="KA190">
        <v>0</v>
      </c>
      <c r="KB190">
        <v>-46567</v>
      </c>
      <c r="KC190">
        <v>2154149</v>
      </c>
      <c r="KD190">
        <v>-2640</v>
      </c>
      <c r="KE190">
        <v>-1140809</v>
      </c>
      <c r="KF190">
        <v>1010701</v>
      </c>
      <c r="KG190">
        <v>0</v>
      </c>
      <c r="KH190">
        <v>5370</v>
      </c>
      <c r="KI190">
        <v>0</v>
      </c>
      <c r="KJ190">
        <v>5691</v>
      </c>
      <c r="KK190">
        <v>-14319</v>
      </c>
      <c r="KL190">
        <v>19113</v>
      </c>
      <c r="KM190">
        <v>-9695</v>
      </c>
      <c r="KN190">
        <v>0</v>
      </c>
      <c r="KO190">
        <v>-180420</v>
      </c>
      <c r="KP190">
        <v>3257</v>
      </c>
      <c r="KQ190">
        <v>238</v>
      </c>
      <c r="KR190">
        <v>778704</v>
      </c>
      <c r="KS190">
        <v>55950</v>
      </c>
      <c r="KT190">
        <v>0</v>
      </c>
      <c r="KU190">
        <v>11126</v>
      </c>
      <c r="KV190">
        <v>349375</v>
      </c>
      <c r="KW190">
        <v>37075</v>
      </c>
      <c r="KX190">
        <v>61320</v>
      </c>
      <c r="KY190">
        <v>0</v>
      </c>
      <c r="KZ190">
        <v>16817</v>
      </c>
      <c r="LA190">
        <v>335056</v>
      </c>
      <c r="LB190">
        <v>56188</v>
      </c>
      <c r="LC190">
        <v>0</v>
      </c>
      <c r="LD190">
        <v>91677</v>
      </c>
      <c r="LE190">
        <v>734</v>
      </c>
      <c r="LF190">
        <v>-8932</v>
      </c>
      <c r="LG190">
        <v>-152147</v>
      </c>
      <c r="LH190">
        <v>162064</v>
      </c>
      <c r="LI190">
        <v>83167</v>
      </c>
      <c r="LJ190">
        <v>0</v>
      </c>
      <c r="LK190">
        <v>0</v>
      </c>
      <c r="LL190">
        <v>0</v>
      </c>
      <c r="LM190">
        <v>0</v>
      </c>
      <c r="LN190">
        <v>0</v>
      </c>
      <c r="LO190">
        <v>0</v>
      </c>
      <c r="LP190">
        <v>0</v>
      </c>
      <c r="LQ190">
        <v>0</v>
      </c>
      <c r="LR190">
        <v>0</v>
      </c>
      <c r="LS190">
        <v>0</v>
      </c>
      <c r="LT190">
        <v>0</v>
      </c>
      <c r="LU190">
        <v>960239</v>
      </c>
      <c r="LV190">
        <v>83322</v>
      </c>
      <c r="LW190">
        <v>260664</v>
      </c>
      <c r="LX190">
        <v>557555</v>
      </c>
      <c r="LY190">
        <v>110917</v>
      </c>
      <c r="LZ190">
        <v>8484</v>
      </c>
      <c r="MA190">
        <v>24069</v>
      </c>
      <c r="MB190">
        <v>85214</v>
      </c>
      <c r="MC190">
        <v>12047</v>
      </c>
      <c r="MD190">
        <v>0</v>
      </c>
      <c r="ME190">
        <v>0</v>
      </c>
      <c r="MF190">
        <v>46319</v>
      </c>
      <c r="MG190">
        <v>0</v>
      </c>
      <c r="MH190">
        <v>2148831</v>
      </c>
      <c r="MI190">
        <v>0</v>
      </c>
      <c r="MJ190">
        <v>0</v>
      </c>
      <c r="MK190">
        <v>0</v>
      </c>
      <c r="ML190">
        <v>0</v>
      </c>
      <c r="MM190">
        <v>0</v>
      </c>
      <c r="MN190">
        <v>0</v>
      </c>
      <c r="MO190">
        <v>0</v>
      </c>
      <c r="MP190">
        <v>0</v>
      </c>
      <c r="MQ190">
        <v>0</v>
      </c>
      <c r="MR190">
        <v>0</v>
      </c>
      <c r="MS190">
        <v>0</v>
      </c>
      <c r="MT190">
        <v>0</v>
      </c>
      <c r="MU190">
        <v>0</v>
      </c>
      <c r="MV190">
        <v>0</v>
      </c>
      <c r="MW190">
        <v>0</v>
      </c>
      <c r="MX190">
        <v>0</v>
      </c>
      <c r="MY190">
        <v>-1232</v>
      </c>
      <c r="MZ190">
        <v>77</v>
      </c>
      <c r="NA190">
        <v>-696</v>
      </c>
      <c r="NB190">
        <v>0</v>
      </c>
      <c r="NC190">
        <v>-696</v>
      </c>
      <c r="ND190">
        <v>0</v>
      </c>
      <c r="NE190">
        <v>14</v>
      </c>
      <c r="NF190">
        <v>0</v>
      </c>
      <c r="NG190">
        <v>0</v>
      </c>
      <c r="NH190">
        <v>0</v>
      </c>
      <c r="NI190">
        <v>0</v>
      </c>
      <c r="NJ190">
        <v>0</v>
      </c>
      <c r="NK190">
        <v>0</v>
      </c>
      <c r="NL190">
        <v>0</v>
      </c>
      <c r="NM190">
        <v>0</v>
      </c>
      <c r="NN190">
        <v>0</v>
      </c>
      <c r="NO190">
        <v>0</v>
      </c>
      <c r="NP190">
        <v>0</v>
      </c>
      <c r="NQ190">
        <v>0</v>
      </c>
      <c r="NR190">
        <v>0</v>
      </c>
      <c r="NS190">
        <v>0</v>
      </c>
      <c r="NT190">
        <v>0</v>
      </c>
      <c r="NU190">
        <v>0</v>
      </c>
      <c r="NV190">
        <v>0</v>
      </c>
      <c r="NW190">
        <v>0</v>
      </c>
      <c r="NX190">
        <v>0</v>
      </c>
      <c r="NY190">
        <v>0</v>
      </c>
      <c r="NZ190">
        <v>14</v>
      </c>
      <c r="OA190">
        <v>60</v>
      </c>
      <c r="OB190">
        <v>74</v>
      </c>
      <c r="OC190">
        <v>0</v>
      </c>
      <c r="OD190">
        <v>0</v>
      </c>
      <c r="OE190">
        <v>0</v>
      </c>
      <c r="OF190">
        <v>0</v>
      </c>
      <c r="OG190">
        <v>0</v>
      </c>
      <c r="OH190">
        <v>0</v>
      </c>
      <c r="OI190">
        <v>60</v>
      </c>
      <c r="OJ190">
        <v>0</v>
      </c>
      <c r="OK190">
        <v>0</v>
      </c>
      <c r="OL190">
        <v>0</v>
      </c>
      <c r="OM190">
        <v>0</v>
      </c>
      <c r="ON190">
        <v>60</v>
      </c>
    </row>
    <row r="191" spans="1:404" x14ac:dyDescent="0.25">
      <c r="A191" t="s">
        <v>638</v>
      </c>
      <c r="B191" t="s">
        <v>639</v>
      </c>
      <c r="C191" t="s">
        <v>5431</v>
      </c>
      <c r="E191" t="s">
        <v>5408</v>
      </c>
      <c r="F191">
        <v>0</v>
      </c>
      <c r="G191">
        <v>0</v>
      </c>
      <c r="H191">
        <v>0</v>
      </c>
      <c r="I191">
        <v>0</v>
      </c>
      <c r="J191">
        <v>0</v>
      </c>
      <c r="K191">
        <v>0</v>
      </c>
      <c r="L191">
        <v>0</v>
      </c>
      <c r="M191">
        <v>0</v>
      </c>
      <c r="N191">
        <v>0</v>
      </c>
      <c r="O191">
        <v>0</v>
      </c>
      <c r="P191">
        <v>0</v>
      </c>
      <c r="Q191">
        <v>0</v>
      </c>
      <c r="R191">
        <v>0</v>
      </c>
      <c r="S191">
        <v>0</v>
      </c>
      <c r="T191">
        <v>0</v>
      </c>
      <c r="U191">
        <v>0</v>
      </c>
      <c r="V191">
        <v>0</v>
      </c>
      <c r="W191">
        <v>0</v>
      </c>
      <c r="X191">
        <v>0</v>
      </c>
      <c r="Y191">
        <v>0</v>
      </c>
      <c r="Z191">
        <v>0</v>
      </c>
      <c r="AA191">
        <v>0</v>
      </c>
      <c r="AB191">
        <v>0</v>
      </c>
      <c r="AC191">
        <v>0</v>
      </c>
      <c r="AD191">
        <v>0</v>
      </c>
      <c r="AE191">
        <v>0</v>
      </c>
      <c r="AF191">
        <v>0</v>
      </c>
      <c r="AG191">
        <v>0</v>
      </c>
      <c r="AH191">
        <v>0</v>
      </c>
      <c r="AI191">
        <v>0</v>
      </c>
      <c r="AJ191">
        <v>0</v>
      </c>
      <c r="AK191">
        <v>0</v>
      </c>
      <c r="AL191">
        <v>0</v>
      </c>
      <c r="AM191">
        <v>0</v>
      </c>
      <c r="AN191">
        <v>0</v>
      </c>
      <c r="AO191">
        <v>0</v>
      </c>
      <c r="AP191">
        <v>0</v>
      </c>
      <c r="AQ191">
        <v>0</v>
      </c>
      <c r="AR191">
        <v>0</v>
      </c>
      <c r="AS191">
        <v>0</v>
      </c>
      <c r="AT191">
        <v>0</v>
      </c>
      <c r="AU191">
        <v>0</v>
      </c>
      <c r="AV191">
        <v>0</v>
      </c>
      <c r="AW191">
        <v>0</v>
      </c>
      <c r="AX191">
        <v>0</v>
      </c>
      <c r="AY191">
        <v>0</v>
      </c>
      <c r="AZ191">
        <v>0</v>
      </c>
      <c r="BA191">
        <v>0</v>
      </c>
      <c r="BB191">
        <v>0</v>
      </c>
      <c r="BC191">
        <v>0</v>
      </c>
      <c r="BD191">
        <v>0</v>
      </c>
      <c r="BE191">
        <v>0</v>
      </c>
      <c r="BF191">
        <v>0</v>
      </c>
      <c r="BG191">
        <v>0</v>
      </c>
      <c r="BH191">
        <v>0</v>
      </c>
      <c r="BI191">
        <v>0</v>
      </c>
      <c r="BJ191">
        <v>0</v>
      </c>
      <c r="BK191">
        <v>0</v>
      </c>
      <c r="BL191">
        <v>0</v>
      </c>
      <c r="BM191">
        <v>0</v>
      </c>
      <c r="BN191">
        <v>0</v>
      </c>
      <c r="BO191">
        <v>0</v>
      </c>
      <c r="BP191">
        <v>0</v>
      </c>
      <c r="BQ191">
        <v>0</v>
      </c>
      <c r="BR191">
        <v>0</v>
      </c>
      <c r="BS191">
        <v>0</v>
      </c>
      <c r="BT191">
        <v>0</v>
      </c>
      <c r="BU191">
        <v>0</v>
      </c>
      <c r="BV191">
        <v>0</v>
      </c>
      <c r="BW191">
        <v>0</v>
      </c>
      <c r="BX191">
        <v>0</v>
      </c>
      <c r="BY191">
        <v>0</v>
      </c>
      <c r="BZ191">
        <v>0</v>
      </c>
      <c r="CA191">
        <v>0</v>
      </c>
      <c r="CB191">
        <v>0</v>
      </c>
      <c r="CC191">
        <v>0</v>
      </c>
      <c r="CD191">
        <v>0</v>
      </c>
      <c r="CE191">
        <v>0</v>
      </c>
      <c r="CF191">
        <v>0</v>
      </c>
      <c r="CG191">
        <v>0</v>
      </c>
      <c r="CH191">
        <v>0</v>
      </c>
      <c r="CI191">
        <v>0</v>
      </c>
      <c r="CJ191">
        <v>0</v>
      </c>
      <c r="CK191">
        <v>0</v>
      </c>
      <c r="CL191">
        <v>0</v>
      </c>
      <c r="CM191">
        <v>0</v>
      </c>
      <c r="CN191">
        <v>0</v>
      </c>
      <c r="CO191">
        <v>0</v>
      </c>
      <c r="CP191">
        <v>0</v>
      </c>
      <c r="CQ191">
        <v>0</v>
      </c>
      <c r="CR191">
        <v>0</v>
      </c>
      <c r="CS191">
        <v>0</v>
      </c>
      <c r="CT191">
        <v>0</v>
      </c>
      <c r="CU191">
        <v>0</v>
      </c>
      <c r="CV191">
        <v>0</v>
      </c>
      <c r="CW191">
        <v>0</v>
      </c>
      <c r="CX191">
        <v>0</v>
      </c>
      <c r="CY191">
        <v>0</v>
      </c>
      <c r="CZ191">
        <v>0</v>
      </c>
      <c r="DA191">
        <v>0</v>
      </c>
      <c r="DB191">
        <v>0</v>
      </c>
      <c r="DC191">
        <v>0</v>
      </c>
      <c r="DD191">
        <v>0</v>
      </c>
      <c r="DE191">
        <v>0</v>
      </c>
      <c r="DF191">
        <v>0</v>
      </c>
      <c r="DG191">
        <v>0</v>
      </c>
      <c r="DH191">
        <v>0</v>
      </c>
      <c r="DI191">
        <v>0</v>
      </c>
      <c r="DJ191">
        <v>0</v>
      </c>
      <c r="DK191">
        <v>0</v>
      </c>
      <c r="DL191">
        <v>0</v>
      </c>
      <c r="DM191">
        <v>0</v>
      </c>
      <c r="DN191">
        <v>0</v>
      </c>
      <c r="DO191">
        <v>0</v>
      </c>
      <c r="DP191">
        <v>0</v>
      </c>
      <c r="DQ191">
        <v>0</v>
      </c>
      <c r="DR191">
        <v>0</v>
      </c>
      <c r="DS191">
        <v>0</v>
      </c>
      <c r="DT191">
        <v>0</v>
      </c>
      <c r="DU191">
        <v>0</v>
      </c>
      <c r="DV191">
        <v>0</v>
      </c>
      <c r="DW191">
        <v>0</v>
      </c>
      <c r="DX191">
        <v>0</v>
      </c>
      <c r="DY191">
        <v>0</v>
      </c>
      <c r="DZ191">
        <v>0</v>
      </c>
      <c r="EA191">
        <v>0</v>
      </c>
      <c r="EB191">
        <v>0</v>
      </c>
      <c r="EC191">
        <v>0</v>
      </c>
      <c r="ED191">
        <v>0</v>
      </c>
      <c r="EE191">
        <v>0</v>
      </c>
      <c r="EF191">
        <v>0</v>
      </c>
      <c r="EG191">
        <v>0</v>
      </c>
      <c r="EH191">
        <v>0</v>
      </c>
      <c r="EI191">
        <v>0</v>
      </c>
      <c r="EJ191">
        <v>0</v>
      </c>
      <c r="EK191">
        <v>0</v>
      </c>
      <c r="EL191">
        <v>0</v>
      </c>
      <c r="EM191">
        <v>0</v>
      </c>
      <c r="EN191">
        <v>0</v>
      </c>
      <c r="EO191">
        <v>0</v>
      </c>
      <c r="EP191">
        <v>0</v>
      </c>
      <c r="EQ191">
        <v>0</v>
      </c>
      <c r="ER191">
        <v>0</v>
      </c>
      <c r="ES191">
        <v>0</v>
      </c>
      <c r="ET191">
        <v>0</v>
      </c>
      <c r="EU191">
        <v>0</v>
      </c>
      <c r="EV191">
        <v>0</v>
      </c>
      <c r="EW191">
        <v>0</v>
      </c>
      <c r="EX191">
        <v>0</v>
      </c>
      <c r="EY191">
        <v>0</v>
      </c>
      <c r="EZ191">
        <v>0</v>
      </c>
      <c r="FA191">
        <v>0</v>
      </c>
      <c r="FB191">
        <v>0</v>
      </c>
      <c r="FC191">
        <v>0</v>
      </c>
      <c r="FD191">
        <v>0</v>
      </c>
      <c r="FE191">
        <v>0</v>
      </c>
      <c r="FF191">
        <v>0</v>
      </c>
      <c r="FG191">
        <v>0</v>
      </c>
      <c r="FH191">
        <v>0</v>
      </c>
      <c r="FI191">
        <v>0</v>
      </c>
      <c r="FJ191">
        <v>0</v>
      </c>
      <c r="FK191">
        <v>0</v>
      </c>
      <c r="FL191">
        <v>0</v>
      </c>
      <c r="FM191">
        <v>0</v>
      </c>
      <c r="FN191">
        <v>0</v>
      </c>
      <c r="FO191">
        <v>0</v>
      </c>
      <c r="FP191">
        <v>0</v>
      </c>
      <c r="FQ191">
        <v>0</v>
      </c>
      <c r="FR191">
        <v>0</v>
      </c>
      <c r="FS191">
        <v>0</v>
      </c>
      <c r="FT191">
        <v>0</v>
      </c>
      <c r="FU191">
        <v>0</v>
      </c>
      <c r="FV191">
        <v>0</v>
      </c>
      <c r="FW191">
        <v>0</v>
      </c>
      <c r="FX191">
        <v>0</v>
      </c>
      <c r="FY191">
        <v>0</v>
      </c>
      <c r="FZ191">
        <v>0</v>
      </c>
      <c r="GA191">
        <v>0</v>
      </c>
      <c r="GB191">
        <v>0</v>
      </c>
      <c r="GC191">
        <v>0</v>
      </c>
      <c r="GD191">
        <v>0</v>
      </c>
      <c r="GE191">
        <v>0</v>
      </c>
      <c r="GF191">
        <v>0</v>
      </c>
      <c r="GG191">
        <v>0</v>
      </c>
      <c r="GH191">
        <v>0</v>
      </c>
      <c r="GI191">
        <v>0</v>
      </c>
      <c r="GJ191">
        <v>0</v>
      </c>
      <c r="GK191">
        <v>0</v>
      </c>
      <c r="GL191">
        <v>0</v>
      </c>
      <c r="GM191">
        <v>0</v>
      </c>
      <c r="GN191">
        <v>0</v>
      </c>
      <c r="GO191">
        <v>0</v>
      </c>
      <c r="GP191">
        <v>0</v>
      </c>
      <c r="GQ191">
        <v>0</v>
      </c>
      <c r="GR191">
        <v>0</v>
      </c>
      <c r="GS191">
        <v>0</v>
      </c>
      <c r="GT191">
        <v>0</v>
      </c>
      <c r="GU191">
        <v>0</v>
      </c>
      <c r="GV191">
        <v>0</v>
      </c>
      <c r="GW191">
        <v>0</v>
      </c>
      <c r="GX191">
        <v>12710</v>
      </c>
      <c r="GY191">
        <v>60583</v>
      </c>
      <c r="GZ191">
        <v>1139</v>
      </c>
      <c r="HA191">
        <v>74432</v>
      </c>
      <c r="HB191">
        <v>2149</v>
      </c>
      <c r="HC191">
        <v>0</v>
      </c>
      <c r="HD191">
        <v>0</v>
      </c>
      <c r="HE191">
        <v>0</v>
      </c>
      <c r="HF191">
        <v>0</v>
      </c>
      <c r="HG191">
        <v>0</v>
      </c>
      <c r="HH191">
        <v>0</v>
      </c>
      <c r="HI191">
        <v>0</v>
      </c>
      <c r="HJ191">
        <v>0</v>
      </c>
      <c r="HK191">
        <v>0</v>
      </c>
      <c r="HL191">
        <v>0</v>
      </c>
      <c r="HM191">
        <v>0</v>
      </c>
      <c r="HN191">
        <v>0</v>
      </c>
      <c r="HO191">
        <v>0</v>
      </c>
      <c r="HP191">
        <v>0</v>
      </c>
      <c r="HQ191">
        <v>0</v>
      </c>
      <c r="HR191">
        <v>0</v>
      </c>
      <c r="HS191">
        <v>0</v>
      </c>
      <c r="HT191">
        <v>0</v>
      </c>
      <c r="HU191">
        <v>0</v>
      </c>
      <c r="HV191">
        <v>2149</v>
      </c>
      <c r="HW191">
        <v>1975</v>
      </c>
      <c r="HX191">
        <v>12139</v>
      </c>
      <c r="HY191">
        <v>0</v>
      </c>
      <c r="HZ191">
        <v>0</v>
      </c>
      <c r="IA191">
        <v>0</v>
      </c>
      <c r="IB191">
        <v>0</v>
      </c>
      <c r="IC191">
        <v>0</v>
      </c>
      <c r="ID191">
        <v>0</v>
      </c>
      <c r="IE191">
        <v>0</v>
      </c>
      <c r="IF191">
        <v>0</v>
      </c>
      <c r="IG191">
        <v>0</v>
      </c>
      <c r="IH191">
        <v>0</v>
      </c>
      <c r="II191">
        <v>0</v>
      </c>
      <c r="IJ191">
        <v>0</v>
      </c>
      <c r="IK191">
        <v>0</v>
      </c>
      <c r="IL191">
        <v>0</v>
      </c>
      <c r="IM191">
        <v>74432</v>
      </c>
      <c r="IN191">
        <v>2149</v>
      </c>
      <c r="IO191">
        <v>0</v>
      </c>
      <c r="IP191">
        <v>76581</v>
      </c>
      <c r="IQ191">
        <v>0</v>
      </c>
      <c r="IR191">
        <v>0</v>
      </c>
      <c r="IS191">
        <v>0</v>
      </c>
      <c r="IT191">
        <v>0</v>
      </c>
      <c r="IU191">
        <v>0</v>
      </c>
      <c r="IV191">
        <v>0</v>
      </c>
      <c r="IW191">
        <v>0</v>
      </c>
      <c r="IX191">
        <v>0</v>
      </c>
      <c r="IY191">
        <v>0</v>
      </c>
      <c r="IZ191">
        <v>0</v>
      </c>
      <c r="JA191">
        <v>0</v>
      </c>
      <c r="JB191">
        <v>0</v>
      </c>
      <c r="JC191">
        <v>0</v>
      </c>
      <c r="JD191">
        <v>0</v>
      </c>
      <c r="JE191">
        <v>104</v>
      </c>
      <c r="JF191">
        <v>0</v>
      </c>
      <c r="JG191">
        <v>76685</v>
      </c>
      <c r="JH191">
        <v>0</v>
      </c>
      <c r="JI191">
        <v>1989</v>
      </c>
      <c r="JJ191">
        <v>0</v>
      </c>
      <c r="JK191">
        <v>0</v>
      </c>
      <c r="JL191">
        <v>0</v>
      </c>
      <c r="JM191">
        <v>4</v>
      </c>
      <c r="JN191">
        <v>969</v>
      </c>
      <c r="JO191">
        <v>0</v>
      </c>
      <c r="JP191">
        <v>55</v>
      </c>
      <c r="JQ191">
        <v>0</v>
      </c>
      <c r="JR191">
        <v>79702</v>
      </c>
      <c r="JS191">
        <v>-82</v>
      </c>
      <c r="JT191">
        <v>0</v>
      </c>
      <c r="JU191">
        <v>0</v>
      </c>
      <c r="JV191">
        <v>0</v>
      </c>
      <c r="JW191">
        <v>0</v>
      </c>
      <c r="JX191">
        <v>0</v>
      </c>
      <c r="JY191">
        <v>0</v>
      </c>
      <c r="JZ191">
        <v>0</v>
      </c>
      <c r="KA191">
        <v>0</v>
      </c>
      <c r="KB191">
        <v>0</v>
      </c>
      <c r="KC191">
        <v>79620</v>
      </c>
      <c r="KD191">
        <v>0</v>
      </c>
      <c r="KE191">
        <v>-5442</v>
      </c>
      <c r="KF191">
        <v>74178</v>
      </c>
      <c r="KG191">
        <v>0</v>
      </c>
      <c r="KH191">
        <v>0</v>
      </c>
      <c r="KI191">
        <v>0</v>
      </c>
      <c r="KJ191">
        <v>0</v>
      </c>
      <c r="KK191">
        <v>-660</v>
      </c>
      <c r="KL191">
        <v>50</v>
      </c>
      <c r="KM191">
        <v>-6457</v>
      </c>
      <c r="KN191">
        <v>0</v>
      </c>
      <c r="KO191">
        <v>-12875</v>
      </c>
      <c r="KP191">
        <v>238</v>
      </c>
      <c r="KQ191">
        <v>0</v>
      </c>
      <c r="KR191">
        <v>51397</v>
      </c>
      <c r="KS191">
        <v>0</v>
      </c>
      <c r="KT191">
        <v>0</v>
      </c>
      <c r="KU191">
        <v>0</v>
      </c>
      <c r="KV191">
        <v>38221</v>
      </c>
      <c r="KW191">
        <v>3710</v>
      </c>
      <c r="KX191">
        <v>0</v>
      </c>
      <c r="KY191">
        <v>0</v>
      </c>
      <c r="KZ191">
        <v>0</v>
      </c>
      <c r="LA191">
        <v>37561</v>
      </c>
      <c r="LB191">
        <v>3760</v>
      </c>
      <c r="LC191">
        <v>0</v>
      </c>
      <c r="LD191">
        <v>4963</v>
      </c>
      <c r="LE191">
        <v>-689</v>
      </c>
      <c r="LF191">
        <v>0</v>
      </c>
      <c r="LG191">
        <v>0</v>
      </c>
      <c r="LH191">
        <v>0</v>
      </c>
      <c r="LI191">
        <v>4274</v>
      </c>
      <c r="LJ191">
        <v>0</v>
      </c>
      <c r="LK191">
        <v>0</v>
      </c>
      <c r="LL191">
        <v>0</v>
      </c>
      <c r="LM191">
        <v>0</v>
      </c>
      <c r="LN191">
        <v>0</v>
      </c>
      <c r="LO191">
        <v>0</v>
      </c>
      <c r="LP191">
        <v>0</v>
      </c>
      <c r="LQ191">
        <v>0</v>
      </c>
      <c r="LR191">
        <v>0</v>
      </c>
      <c r="LS191">
        <v>0</v>
      </c>
      <c r="LT191">
        <v>0</v>
      </c>
      <c r="LU191">
        <v>0</v>
      </c>
      <c r="LV191">
        <v>0</v>
      </c>
      <c r="LW191">
        <v>0</v>
      </c>
      <c r="LX191">
        <v>0</v>
      </c>
      <c r="LY191">
        <v>0</v>
      </c>
      <c r="LZ191">
        <v>0</v>
      </c>
      <c r="MA191">
        <v>0</v>
      </c>
      <c r="MB191">
        <v>0</v>
      </c>
      <c r="MC191">
        <v>0</v>
      </c>
      <c r="MD191">
        <v>0</v>
      </c>
      <c r="ME191">
        <v>74432</v>
      </c>
      <c r="MF191">
        <v>2149</v>
      </c>
      <c r="MG191">
        <v>0</v>
      </c>
      <c r="MH191">
        <v>76581</v>
      </c>
      <c r="MI191">
        <v>0</v>
      </c>
      <c r="MJ191">
        <v>0</v>
      </c>
      <c r="MK191">
        <v>0</v>
      </c>
      <c r="ML191">
        <v>0</v>
      </c>
      <c r="MM191">
        <v>0</v>
      </c>
      <c r="MN191">
        <v>0</v>
      </c>
      <c r="MO191">
        <v>0</v>
      </c>
      <c r="MP191">
        <v>0</v>
      </c>
      <c r="MQ191">
        <v>0</v>
      </c>
      <c r="MR191">
        <v>0</v>
      </c>
      <c r="MS191">
        <v>0</v>
      </c>
      <c r="MT191">
        <v>0</v>
      </c>
      <c r="MU191">
        <v>0</v>
      </c>
      <c r="MV191">
        <v>0</v>
      </c>
      <c r="MW191">
        <v>0</v>
      </c>
      <c r="MX191">
        <v>0</v>
      </c>
      <c r="MY191">
        <v>0</v>
      </c>
      <c r="MZ191">
        <v>0</v>
      </c>
      <c r="NA191">
        <v>0</v>
      </c>
      <c r="NB191">
        <v>0</v>
      </c>
      <c r="NC191">
        <v>0</v>
      </c>
      <c r="ND191">
        <v>0</v>
      </c>
      <c r="NE191">
        <v>0</v>
      </c>
      <c r="NF191">
        <v>0</v>
      </c>
      <c r="NG191">
        <v>0</v>
      </c>
      <c r="NH191">
        <v>0</v>
      </c>
      <c r="NI191">
        <v>0</v>
      </c>
      <c r="NJ191">
        <v>0</v>
      </c>
      <c r="NK191">
        <v>0</v>
      </c>
      <c r="NL191">
        <v>0</v>
      </c>
      <c r="NM191">
        <v>0</v>
      </c>
      <c r="NN191">
        <v>0</v>
      </c>
      <c r="NO191">
        <v>0</v>
      </c>
      <c r="NP191">
        <v>0</v>
      </c>
      <c r="NQ191">
        <v>0</v>
      </c>
      <c r="NR191">
        <v>0</v>
      </c>
      <c r="NS191">
        <v>0</v>
      </c>
      <c r="NT191">
        <v>0</v>
      </c>
      <c r="NU191">
        <v>0</v>
      </c>
      <c r="NV191">
        <v>0</v>
      </c>
      <c r="NW191">
        <v>0</v>
      </c>
      <c r="NX191">
        <v>0</v>
      </c>
      <c r="NY191">
        <v>0</v>
      </c>
      <c r="NZ191">
        <v>0</v>
      </c>
      <c r="OA191">
        <v>0</v>
      </c>
      <c r="OB191">
        <v>0</v>
      </c>
      <c r="OC191">
        <v>0</v>
      </c>
      <c r="OD191">
        <v>0</v>
      </c>
      <c r="OE191">
        <v>0</v>
      </c>
      <c r="OF191">
        <v>0</v>
      </c>
      <c r="OG191">
        <v>0</v>
      </c>
      <c r="OH191">
        <v>0</v>
      </c>
      <c r="OI191">
        <v>0</v>
      </c>
      <c r="OJ191">
        <v>0</v>
      </c>
      <c r="OK191">
        <v>0</v>
      </c>
      <c r="OL191">
        <v>0</v>
      </c>
      <c r="OM191">
        <v>0</v>
      </c>
      <c r="ON191">
        <v>0</v>
      </c>
    </row>
    <row r="192" spans="1:404" x14ac:dyDescent="0.25">
      <c r="A192" t="s">
        <v>641</v>
      </c>
      <c r="B192" t="s">
        <v>642</v>
      </c>
      <c r="C192" t="s">
        <v>640</v>
      </c>
      <c r="E192" t="s">
        <v>71</v>
      </c>
      <c r="F192">
        <v>0</v>
      </c>
      <c r="G192">
        <v>0</v>
      </c>
      <c r="H192">
        <v>0</v>
      </c>
      <c r="I192">
        <v>0</v>
      </c>
      <c r="J192">
        <v>0</v>
      </c>
      <c r="K192">
        <v>0</v>
      </c>
      <c r="L192">
        <v>0</v>
      </c>
      <c r="M192">
        <v>0</v>
      </c>
      <c r="N192">
        <v>0</v>
      </c>
      <c r="O192">
        <v>0</v>
      </c>
      <c r="P192">
        <v>0</v>
      </c>
      <c r="Q192">
        <v>0</v>
      </c>
      <c r="R192">
        <v>0</v>
      </c>
      <c r="S192">
        <v>0</v>
      </c>
      <c r="T192">
        <v>0</v>
      </c>
      <c r="U192">
        <v>0</v>
      </c>
      <c r="V192">
        <v>0</v>
      </c>
      <c r="W192">
        <v>0</v>
      </c>
      <c r="X192">
        <v>0</v>
      </c>
      <c r="Y192">
        <v>0</v>
      </c>
      <c r="Z192">
        <v>0</v>
      </c>
      <c r="AA192">
        <v>0</v>
      </c>
      <c r="AB192">
        <v>0</v>
      </c>
      <c r="AC192">
        <v>0</v>
      </c>
      <c r="AD192">
        <v>0</v>
      </c>
      <c r="AE192">
        <v>0</v>
      </c>
      <c r="AF192">
        <v>0</v>
      </c>
      <c r="AG192">
        <v>0</v>
      </c>
      <c r="AH192">
        <v>0</v>
      </c>
      <c r="AI192">
        <v>0</v>
      </c>
      <c r="AJ192">
        <v>0</v>
      </c>
      <c r="AK192">
        <v>0</v>
      </c>
      <c r="AL192">
        <v>0</v>
      </c>
      <c r="AM192">
        <v>0</v>
      </c>
      <c r="AN192">
        <v>0</v>
      </c>
      <c r="AO192">
        <v>0</v>
      </c>
      <c r="AP192">
        <v>0</v>
      </c>
      <c r="AQ192">
        <v>0</v>
      </c>
      <c r="AR192">
        <v>0</v>
      </c>
      <c r="AS192">
        <v>0</v>
      </c>
      <c r="AT192">
        <v>0</v>
      </c>
      <c r="AU192">
        <v>0</v>
      </c>
      <c r="AV192">
        <v>0</v>
      </c>
      <c r="AW192">
        <v>0</v>
      </c>
      <c r="AX192">
        <v>0</v>
      </c>
      <c r="AY192">
        <v>0</v>
      </c>
      <c r="AZ192">
        <v>0</v>
      </c>
      <c r="BA192">
        <v>0</v>
      </c>
      <c r="BB192">
        <v>0</v>
      </c>
      <c r="BC192">
        <v>0</v>
      </c>
      <c r="BD192">
        <v>0</v>
      </c>
      <c r="BE192">
        <v>0</v>
      </c>
      <c r="BF192">
        <v>0</v>
      </c>
      <c r="BG192">
        <v>0</v>
      </c>
      <c r="BH192">
        <v>0</v>
      </c>
      <c r="BI192">
        <v>0</v>
      </c>
      <c r="BJ192">
        <v>0</v>
      </c>
      <c r="BK192">
        <v>0</v>
      </c>
      <c r="BL192">
        <v>0</v>
      </c>
      <c r="BM192">
        <v>0</v>
      </c>
      <c r="BN192">
        <v>0</v>
      </c>
      <c r="BO192">
        <v>0</v>
      </c>
      <c r="BP192">
        <v>0</v>
      </c>
      <c r="BQ192">
        <v>0</v>
      </c>
      <c r="BR192">
        <v>0</v>
      </c>
      <c r="BS192">
        <v>0</v>
      </c>
      <c r="BT192">
        <v>0</v>
      </c>
      <c r="BU192">
        <v>0</v>
      </c>
      <c r="BV192">
        <v>0</v>
      </c>
      <c r="BW192">
        <v>0</v>
      </c>
      <c r="BX192">
        <v>0</v>
      </c>
      <c r="BY192">
        <v>0</v>
      </c>
      <c r="BZ192">
        <v>0</v>
      </c>
      <c r="CA192">
        <v>0</v>
      </c>
      <c r="CB192">
        <v>0</v>
      </c>
      <c r="CC192">
        <v>0</v>
      </c>
      <c r="CD192">
        <v>0</v>
      </c>
      <c r="CE192">
        <v>0</v>
      </c>
      <c r="CF192">
        <v>0</v>
      </c>
      <c r="CG192">
        <v>0</v>
      </c>
      <c r="CH192">
        <v>0</v>
      </c>
      <c r="CI192">
        <v>0</v>
      </c>
      <c r="CJ192">
        <v>0</v>
      </c>
      <c r="CK192">
        <v>0</v>
      </c>
      <c r="CL192">
        <v>0</v>
      </c>
      <c r="CM192">
        <v>0</v>
      </c>
      <c r="CN192">
        <v>0</v>
      </c>
      <c r="CO192">
        <v>0</v>
      </c>
      <c r="CP192">
        <v>0</v>
      </c>
      <c r="CQ192">
        <v>0</v>
      </c>
      <c r="CR192">
        <v>0</v>
      </c>
      <c r="CS192">
        <v>0</v>
      </c>
      <c r="CT192">
        <v>0</v>
      </c>
      <c r="CU192">
        <v>0</v>
      </c>
      <c r="CV192">
        <v>0</v>
      </c>
      <c r="CW192">
        <v>0</v>
      </c>
      <c r="CX192">
        <v>0</v>
      </c>
      <c r="CY192">
        <v>0</v>
      </c>
      <c r="CZ192">
        <v>0</v>
      </c>
      <c r="DA192">
        <v>0</v>
      </c>
      <c r="DB192">
        <v>0</v>
      </c>
      <c r="DC192">
        <v>0</v>
      </c>
      <c r="DD192">
        <v>0</v>
      </c>
      <c r="DE192">
        <v>0</v>
      </c>
      <c r="DF192">
        <v>0</v>
      </c>
      <c r="DG192">
        <v>0</v>
      </c>
      <c r="DH192">
        <v>0</v>
      </c>
      <c r="DI192">
        <v>0</v>
      </c>
      <c r="DJ192">
        <v>0</v>
      </c>
      <c r="DK192">
        <v>0</v>
      </c>
      <c r="DL192">
        <v>0</v>
      </c>
      <c r="DM192">
        <v>0</v>
      </c>
      <c r="DN192">
        <v>0</v>
      </c>
      <c r="DO192">
        <v>0</v>
      </c>
      <c r="DP192">
        <v>0</v>
      </c>
      <c r="DQ192">
        <v>0</v>
      </c>
      <c r="DR192">
        <v>0</v>
      </c>
      <c r="DS192">
        <v>0</v>
      </c>
      <c r="DT192">
        <v>0</v>
      </c>
      <c r="DU192">
        <v>0</v>
      </c>
      <c r="DV192">
        <v>0</v>
      </c>
      <c r="DW192">
        <v>0</v>
      </c>
      <c r="DX192">
        <v>0</v>
      </c>
      <c r="DY192">
        <v>0</v>
      </c>
      <c r="DZ192">
        <v>0</v>
      </c>
      <c r="EA192">
        <v>0</v>
      </c>
      <c r="EB192">
        <v>0</v>
      </c>
      <c r="EC192">
        <v>0</v>
      </c>
      <c r="ED192">
        <v>0</v>
      </c>
      <c r="EE192">
        <v>0</v>
      </c>
      <c r="EF192">
        <v>0</v>
      </c>
      <c r="EG192">
        <v>0</v>
      </c>
      <c r="EH192">
        <v>0</v>
      </c>
      <c r="EI192">
        <v>0</v>
      </c>
      <c r="EJ192">
        <v>0</v>
      </c>
      <c r="EK192">
        <v>0</v>
      </c>
      <c r="EL192">
        <v>0</v>
      </c>
      <c r="EM192">
        <v>0</v>
      </c>
      <c r="EN192">
        <v>0</v>
      </c>
      <c r="EO192">
        <v>0</v>
      </c>
      <c r="EP192">
        <v>0</v>
      </c>
      <c r="EQ192">
        <v>0</v>
      </c>
      <c r="ER192">
        <v>0</v>
      </c>
      <c r="ES192">
        <v>0</v>
      </c>
      <c r="ET192">
        <v>0</v>
      </c>
      <c r="EU192">
        <v>0</v>
      </c>
      <c r="EV192">
        <v>0</v>
      </c>
      <c r="EW192">
        <v>0</v>
      </c>
      <c r="EX192">
        <v>0</v>
      </c>
      <c r="EY192">
        <v>0</v>
      </c>
      <c r="EZ192">
        <v>0</v>
      </c>
      <c r="FA192">
        <v>0</v>
      </c>
      <c r="FB192">
        <v>0</v>
      </c>
      <c r="FC192">
        <v>0</v>
      </c>
      <c r="FD192">
        <v>0</v>
      </c>
      <c r="FE192">
        <v>0</v>
      </c>
      <c r="FF192">
        <v>0</v>
      </c>
      <c r="FG192">
        <v>0</v>
      </c>
      <c r="FH192">
        <v>0</v>
      </c>
      <c r="FI192">
        <v>0</v>
      </c>
      <c r="FJ192">
        <v>0</v>
      </c>
      <c r="FK192">
        <v>0</v>
      </c>
      <c r="FL192">
        <v>0</v>
      </c>
      <c r="FM192">
        <v>0</v>
      </c>
      <c r="FN192">
        <v>0</v>
      </c>
      <c r="FO192">
        <v>0</v>
      </c>
      <c r="FP192">
        <v>0</v>
      </c>
      <c r="FQ192">
        <v>0</v>
      </c>
      <c r="FR192">
        <v>0</v>
      </c>
      <c r="FS192">
        <v>0</v>
      </c>
      <c r="FT192">
        <v>0</v>
      </c>
      <c r="FU192">
        <v>0</v>
      </c>
      <c r="FV192">
        <v>0</v>
      </c>
      <c r="FW192">
        <v>0</v>
      </c>
      <c r="FX192">
        <v>0</v>
      </c>
      <c r="FY192">
        <v>0</v>
      </c>
      <c r="FZ192">
        <v>0</v>
      </c>
      <c r="GA192">
        <v>0</v>
      </c>
      <c r="GB192">
        <v>0</v>
      </c>
      <c r="GC192">
        <v>0</v>
      </c>
      <c r="GD192">
        <v>0</v>
      </c>
      <c r="GE192">
        <v>0</v>
      </c>
      <c r="GF192">
        <v>0</v>
      </c>
      <c r="GG192">
        <v>0</v>
      </c>
      <c r="GH192">
        <v>0</v>
      </c>
      <c r="GI192">
        <v>0</v>
      </c>
      <c r="GJ192">
        <v>0</v>
      </c>
      <c r="GK192">
        <v>0</v>
      </c>
      <c r="GL192">
        <v>0</v>
      </c>
      <c r="GM192">
        <v>0</v>
      </c>
      <c r="GN192">
        <v>0</v>
      </c>
      <c r="GO192">
        <v>0</v>
      </c>
      <c r="GP192">
        <v>0</v>
      </c>
      <c r="GQ192">
        <v>0</v>
      </c>
      <c r="GR192">
        <v>0</v>
      </c>
      <c r="GS192">
        <v>0</v>
      </c>
      <c r="GT192">
        <v>0</v>
      </c>
      <c r="GU192">
        <v>0</v>
      </c>
      <c r="GV192">
        <v>0</v>
      </c>
      <c r="GW192">
        <v>359277</v>
      </c>
      <c r="GX192">
        <v>0</v>
      </c>
      <c r="GY192">
        <v>0</v>
      </c>
      <c r="GZ192">
        <v>0</v>
      </c>
      <c r="HA192">
        <v>0</v>
      </c>
      <c r="HB192">
        <v>4893</v>
      </c>
      <c r="HC192">
        <v>0</v>
      </c>
      <c r="HD192">
        <v>0</v>
      </c>
      <c r="HE192">
        <v>0</v>
      </c>
      <c r="HF192">
        <v>0</v>
      </c>
      <c r="HG192">
        <v>0</v>
      </c>
      <c r="HH192">
        <v>0</v>
      </c>
      <c r="HI192">
        <v>0</v>
      </c>
      <c r="HJ192">
        <v>0</v>
      </c>
      <c r="HK192">
        <v>0</v>
      </c>
      <c r="HL192">
        <v>0</v>
      </c>
      <c r="HM192">
        <v>0</v>
      </c>
      <c r="HN192">
        <v>0</v>
      </c>
      <c r="HO192">
        <v>0</v>
      </c>
      <c r="HP192">
        <v>0</v>
      </c>
      <c r="HQ192">
        <v>0</v>
      </c>
      <c r="HR192">
        <v>4297</v>
      </c>
      <c r="HS192">
        <v>0</v>
      </c>
      <c r="HT192">
        <v>0</v>
      </c>
      <c r="HU192">
        <v>0</v>
      </c>
      <c r="HV192">
        <v>9190</v>
      </c>
      <c r="HW192">
        <v>0</v>
      </c>
      <c r="HX192">
        <v>0</v>
      </c>
      <c r="HY192">
        <v>0</v>
      </c>
      <c r="HZ192">
        <v>0</v>
      </c>
      <c r="IA192">
        <v>0</v>
      </c>
      <c r="IB192">
        <v>0</v>
      </c>
      <c r="IC192">
        <v>0</v>
      </c>
      <c r="ID192">
        <v>0</v>
      </c>
      <c r="IE192">
        <v>0</v>
      </c>
      <c r="IF192">
        <v>0</v>
      </c>
      <c r="IG192">
        <v>0</v>
      </c>
      <c r="IH192">
        <v>0</v>
      </c>
      <c r="II192">
        <v>0</v>
      </c>
      <c r="IJ192">
        <v>0</v>
      </c>
      <c r="IK192">
        <v>0</v>
      </c>
      <c r="IL192">
        <v>359277</v>
      </c>
      <c r="IM192">
        <v>0</v>
      </c>
      <c r="IN192">
        <v>9190</v>
      </c>
      <c r="IO192">
        <v>0</v>
      </c>
      <c r="IP192">
        <v>368467</v>
      </c>
      <c r="IQ192">
        <v>0</v>
      </c>
      <c r="IR192">
        <v>0</v>
      </c>
      <c r="IS192">
        <v>0</v>
      </c>
      <c r="IT192">
        <v>0</v>
      </c>
      <c r="IU192">
        <v>0</v>
      </c>
      <c r="IV192">
        <v>0</v>
      </c>
      <c r="IW192">
        <v>0</v>
      </c>
      <c r="IX192">
        <v>0</v>
      </c>
      <c r="IY192">
        <v>0</v>
      </c>
      <c r="IZ192">
        <v>0</v>
      </c>
      <c r="JA192">
        <v>0</v>
      </c>
      <c r="JB192">
        <v>0</v>
      </c>
      <c r="JC192">
        <v>0</v>
      </c>
      <c r="JD192">
        <v>0</v>
      </c>
      <c r="JE192">
        <v>0</v>
      </c>
      <c r="JF192">
        <v>0</v>
      </c>
      <c r="JG192">
        <v>368467</v>
      </c>
      <c r="JH192">
        <v>0</v>
      </c>
      <c r="JI192">
        <v>187</v>
      </c>
      <c r="JJ192">
        <v>0</v>
      </c>
      <c r="JK192">
        <v>0</v>
      </c>
      <c r="JL192">
        <v>0</v>
      </c>
      <c r="JM192">
        <v>-75</v>
      </c>
      <c r="JN192">
        <v>3161</v>
      </c>
      <c r="JO192">
        <v>0</v>
      </c>
      <c r="JP192">
        <v>54</v>
      </c>
      <c r="JQ192">
        <v>0</v>
      </c>
      <c r="JR192">
        <v>371794</v>
      </c>
      <c r="JS192">
        <v>-223</v>
      </c>
      <c r="JT192">
        <v>3658</v>
      </c>
      <c r="JU192">
        <v>0</v>
      </c>
      <c r="JV192">
        <v>0</v>
      </c>
      <c r="JW192">
        <v>0</v>
      </c>
      <c r="JX192">
        <v>0</v>
      </c>
      <c r="JY192">
        <v>0</v>
      </c>
      <c r="JZ192">
        <v>0</v>
      </c>
      <c r="KA192">
        <v>0</v>
      </c>
      <c r="KB192">
        <v>0</v>
      </c>
      <c r="KC192">
        <v>375229</v>
      </c>
      <c r="KD192">
        <v>0</v>
      </c>
      <c r="KE192">
        <v>-23228</v>
      </c>
      <c r="KF192">
        <v>352001</v>
      </c>
      <c r="KG192">
        <v>0</v>
      </c>
      <c r="KH192">
        <v>0</v>
      </c>
      <c r="KI192">
        <v>0</v>
      </c>
      <c r="KJ192">
        <v>0</v>
      </c>
      <c r="KK192">
        <v>-2631</v>
      </c>
      <c r="KL192">
        <v>3523</v>
      </c>
      <c r="KM192">
        <v>0</v>
      </c>
      <c r="KN192">
        <v>-212159</v>
      </c>
      <c r="KO192">
        <v>0</v>
      </c>
      <c r="KP192">
        <v>446</v>
      </c>
      <c r="KQ192">
        <v>0</v>
      </c>
      <c r="KR192">
        <v>138731</v>
      </c>
      <c r="KS192">
        <v>0</v>
      </c>
      <c r="KT192">
        <v>0</v>
      </c>
      <c r="KU192">
        <v>0</v>
      </c>
      <c r="KV192">
        <v>14001</v>
      </c>
      <c r="KW192">
        <v>6985</v>
      </c>
      <c r="KX192">
        <v>0</v>
      </c>
      <c r="KY192">
        <v>0</v>
      </c>
      <c r="KZ192">
        <v>0</v>
      </c>
      <c r="LA192">
        <v>11370</v>
      </c>
      <c r="LB192">
        <v>10508</v>
      </c>
      <c r="LC192">
        <v>0</v>
      </c>
      <c r="LD192">
        <v>3237</v>
      </c>
      <c r="LE192">
        <v>222</v>
      </c>
      <c r="LF192">
        <v>7603</v>
      </c>
      <c r="LG192">
        <v>0</v>
      </c>
      <c r="LH192">
        <v>0</v>
      </c>
      <c r="LI192">
        <v>12081</v>
      </c>
      <c r="LJ192">
        <v>0</v>
      </c>
      <c r="LK192">
        <v>0</v>
      </c>
      <c r="LL192">
        <v>0</v>
      </c>
      <c r="LM192">
        <v>0</v>
      </c>
      <c r="LN192">
        <v>0</v>
      </c>
      <c r="LO192">
        <v>0</v>
      </c>
      <c r="LP192">
        <v>0</v>
      </c>
      <c r="LQ192">
        <v>0</v>
      </c>
      <c r="LR192">
        <v>0</v>
      </c>
      <c r="LS192">
        <v>0</v>
      </c>
      <c r="LT192">
        <v>0</v>
      </c>
      <c r="LU192">
        <v>0</v>
      </c>
      <c r="LV192">
        <v>0</v>
      </c>
      <c r="LW192">
        <v>0</v>
      </c>
      <c r="LX192">
        <v>0</v>
      </c>
      <c r="LY192">
        <v>0</v>
      </c>
      <c r="LZ192">
        <v>0</v>
      </c>
      <c r="MA192">
        <v>0</v>
      </c>
      <c r="MB192">
        <v>0</v>
      </c>
      <c r="MC192">
        <v>0</v>
      </c>
      <c r="MD192">
        <v>359277</v>
      </c>
      <c r="ME192">
        <v>0</v>
      </c>
      <c r="MF192">
        <v>9190</v>
      </c>
      <c r="MG192">
        <v>0</v>
      </c>
      <c r="MH192">
        <v>368467</v>
      </c>
      <c r="MI192">
        <v>0</v>
      </c>
      <c r="MJ192">
        <v>0</v>
      </c>
      <c r="MK192">
        <v>0</v>
      </c>
      <c r="ML192">
        <v>0</v>
      </c>
      <c r="MM192">
        <v>0</v>
      </c>
      <c r="MN192">
        <v>0</v>
      </c>
      <c r="MO192">
        <v>0</v>
      </c>
      <c r="MP192">
        <v>0</v>
      </c>
      <c r="MQ192">
        <v>0</v>
      </c>
      <c r="MR192">
        <v>0</v>
      </c>
      <c r="MS192">
        <v>0</v>
      </c>
      <c r="MT192">
        <v>0</v>
      </c>
      <c r="MU192">
        <v>0</v>
      </c>
      <c r="MV192">
        <v>0</v>
      </c>
      <c r="MW192">
        <v>0</v>
      </c>
      <c r="MX192">
        <v>0</v>
      </c>
      <c r="MY192">
        <v>0</v>
      </c>
      <c r="MZ192">
        <v>0</v>
      </c>
      <c r="NA192">
        <v>0</v>
      </c>
      <c r="NB192">
        <v>0</v>
      </c>
      <c r="NC192">
        <v>0</v>
      </c>
      <c r="ND192">
        <v>0</v>
      </c>
      <c r="NE192">
        <v>0</v>
      </c>
      <c r="NF192">
        <v>0</v>
      </c>
      <c r="NG192">
        <v>0</v>
      </c>
      <c r="NH192">
        <v>0</v>
      </c>
      <c r="NI192">
        <v>0</v>
      </c>
      <c r="NJ192">
        <v>0</v>
      </c>
      <c r="NK192">
        <v>0</v>
      </c>
      <c r="NL192">
        <v>0</v>
      </c>
      <c r="NM192">
        <v>0</v>
      </c>
      <c r="NN192">
        <v>0</v>
      </c>
      <c r="NO192">
        <v>0</v>
      </c>
      <c r="NP192">
        <v>0</v>
      </c>
      <c r="NQ192">
        <v>0</v>
      </c>
      <c r="NR192">
        <v>0</v>
      </c>
      <c r="NS192">
        <v>0</v>
      </c>
      <c r="NT192">
        <v>0</v>
      </c>
      <c r="NU192">
        <v>0</v>
      </c>
      <c r="NV192">
        <v>0</v>
      </c>
      <c r="NW192">
        <v>0</v>
      </c>
      <c r="NX192">
        <v>0</v>
      </c>
      <c r="NY192">
        <v>0</v>
      </c>
      <c r="NZ192">
        <v>0</v>
      </c>
      <c r="OA192">
        <v>0</v>
      </c>
      <c r="OB192">
        <v>0</v>
      </c>
      <c r="OC192">
        <v>0</v>
      </c>
      <c r="OD192">
        <v>0</v>
      </c>
      <c r="OE192">
        <v>0</v>
      </c>
      <c r="OF192">
        <v>0</v>
      </c>
      <c r="OG192">
        <v>0</v>
      </c>
      <c r="OH192">
        <v>0</v>
      </c>
      <c r="OI192">
        <v>0</v>
      </c>
      <c r="OJ192">
        <v>0</v>
      </c>
      <c r="OK192">
        <v>0</v>
      </c>
      <c r="OL192">
        <v>0</v>
      </c>
      <c r="OM192">
        <v>0</v>
      </c>
      <c r="ON192">
        <v>0</v>
      </c>
    </row>
    <row r="193" spans="1:404" x14ac:dyDescent="0.25">
      <c r="A193" t="s">
        <v>644</v>
      </c>
      <c r="B193" t="s">
        <v>645</v>
      </c>
      <c r="C193" t="s">
        <v>643</v>
      </c>
      <c r="E193" t="s">
        <v>61</v>
      </c>
      <c r="F193">
        <v>0</v>
      </c>
      <c r="G193">
        <v>0</v>
      </c>
      <c r="H193">
        <v>0</v>
      </c>
      <c r="I193">
        <v>0</v>
      </c>
      <c r="J193">
        <v>0</v>
      </c>
      <c r="K193">
        <v>0</v>
      </c>
      <c r="L193">
        <v>0</v>
      </c>
      <c r="M193">
        <v>0</v>
      </c>
      <c r="N193">
        <v>0</v>
      </c>
      <c r="O193">
        <v>0</v>
      </c>
      <c r="P193">
        <v>0</v>
      </c>
      <c r="Q193">
        <v>0</v>
      </c>
      <c r="R193">
        <v>0</v>
      </c>
      <c r="S193">
        <v>0</v>
      </c>
      <c r="T193">
        <v>0</v>
      </c>
      <c r="U193">
        <v>91</v>
      </c>
      <c r="V193">
        <v>0</v>
      </c>
      <c r="W193">
        <v>0</v>
      </c>
      <c r="X193">
        <v>0</v>
      </c>
      <c r="Y193">
        <v>0</v>
      </c>
      <c r="Z193">
        <v>-39</v>
      </c>
      <c r="AA193">
        <v>-2918</v>
      </c>
      <c r="AB193">
        <v>110</v>
      </c>
      <c r="AC193">
        <v>0</v>
      </c>
      <c r="AD193">
        <v>0</v>
      </c>
      <c r="AE193">
        <v>0</v>
      </c>
      <c r="AF193">
        <v>0</v>
      </c>
      <c r="AG193">
        <v>0</v>
      </c>
      <c r="AH193">
        <v>0</v>
      </c>
      <c r="AI193">
        <v>-2756</v>
      </c>
      <c r="AJ193">
        <v>0</v>
      </c>
      <c r="AK193">
        <v>0</v>
      </c>
      <c r="AL193">
        <v>0</v>
      </c>
      <c r="AM193">
        <v>0</v>
      </c>
      <c r="AN193">
        <v>0</v>
      </c>
      <c r="AO193">
        <v>0</v>
      </c>
      <c r="AP193">
        <v>0</v>
      </c>
      <c r="AQ193">
        <v>536</v>
      </c>
      <c r="AR193">
        <v>703</v>
      </c>
      <c r="AS193">
        <v>0</v>
      </c>
      <c r="AT193">
        <v>0</v>
      </c>
      <c r="AU193">
        <v>0</v>
      </c>
      <c r="AV193">
        <v>0</v>
      </c>
      <c r="AW193">
        <v>0</v>
      </c>
      <c r="AX193">
        <v>0</v>
      </c>
      <c r="AY193">
        <v>0</v>
      </c>
      <c r="AZ193">
        <v>0</v>
      </c>
      <c r="BA193">
        <v>0</v>
      </c>
      <c r="BB193">
        <v>0</v>
      </c>
      <c r="BC193">
        <v>0</v>
      </c>
      <c r="BD193">
        <v>0</v>
      </c>
      <c r="BE193">
        <v>0</v>
      </c>
      <c r="BF193">
        <v>0</v>
      </c>
      <c r="BG193">
        <v>0</v>
      </c>
      <c r="BH193">
        <v>0</v>
      </c>
      <c r="BI193">
        <v>0</v>
      </c>
      <c r="BJ193">
        <v>0</v>
      </c>
      <c r="BK193">
        <v>0</v>
      </c>
      <c r="BL193">
        <v>0</v>
      </c>
      <c r="BM193">
        <v>0</v>
      </c>
      <c r="BN193">
        <v>0</v>
      </c>
      <c r="BO193">
        <v>0</v>
      </c>
      <c r="BP193">
        <v>0</v>
      </c>
      <c r="BQ193">
        <v>0</v>
      </c>
      <c r="BR193">
        <v>0</v>
      </c>
      <c r="BS193">
        <v>0</v>
      </c>
      <c r="BT193">
        <v>0</v>
      </c>
      <c r="BU193">
        <v>0</v>
      </c>
      <c r="BV193">
        <v>0</v>
      </c>
      <c r="BW193">
        <v>0</v>
      </c>
      <c r="BX193">
        <v>0</v>
      </c>
      <c r="BY193">
        <v>0</v>
      </c>
      <c r="BZ193">
        <v>0</v>
      </c>
      <c r="CA193">
        <v>0</v>
      </c>
      <c r="CB193">
        <v>0</v>
      </c>
      <c r="CC193">
        <v>0</v>
      </c>
      <c r="CD193">
        <v>0</v>
      </c>
      <c r="CE193">
        <v>0</v>
      </c>
      <c r="CF193">
        <v>0</v>
      </c>
      <c r="CG193">
        <v>0</v>
      </c>
      <c r="CH193">
        <v>0</v>
      </c>
      <c r="CI193">
        <v>0</v>
      </c>
      <c r="CJ193">
        <v>0</v>
      </c>
      <c r="CK193">
        <v>0</v>
      </c>
      <c r="CL193">
        <v>0</v>
      </c>
      <c r="CM193">
        <v>0</v>
      </c>
      <c r="CN193">
        <v>0</v>
      </c>
      <c r="CO193">
        <v>0</v>
      </c>
      <c r="CP193">
        <v>0</v>
      </c>
      <c r="CQ193">
        <v>0</v>
      </c>
      <c r="CR193">
        <v>0</v>
      </c>
      <c r="CS193">
        <v>0</v>
      </c>
      <c r="CT193">
        <v>0</v>
      </c>
      <c r="CU193">
        <v>0</v>
      </c>
      <c r="CV193">
        <v>0</v>
      </c>
      <c r="CW193">
        <v>0</v>
      </c>
      <c r="CX193">
        <v>0</v>
      </c>
      <c r="CY193">
        <v>0</v>
      </c>
      <c r="CZ193">
        <v>0</v>
      </c>
      <c r="DA193">
        <v>0</v>
      </c>
      <c r="DB193">
        <v>0</v>
      </c>
      <c r="DC193">
        <v>291</v>
      </c>
      <c r="DD193">
        <v>0</v>
      </c>
      <c r="DE193">
        <v>531</v>
      </c>
      <c r="DF193">
        <v>0</v>
      </c>
      <c r="DG193">
        <v>39</v>
      </c>
      <c r="DH193">
        <v>0</v>
      </c>
      <c r="DI193">
        <v>0</v>
      </c>
      <c r="DJ193">
        <v>0</v>
      </c>
      <c r="DK193">
        <v>0</v>
      </c>
      <c r="DL193">
        <v>0</v>
      </c>
      <c r="DM193">
        <v>0</v>
      </c>
      <c r="DN193">
        <v>618</v>
      </c>
      <c r="DO193">
        <v>0</v>
      </c>
      <c r="DP193">
        <v>657</v>
      </c>
      <c r="DQ193">
        <v>-259</v>
      </c>
      <c r="DR193">
        <v>0</v>
      </c>
      <c r="DS193">
        <v>0</v>
      </c>
      <c r="DT193">
        <v>382</v>
      </c>
      <c r="DU193">
        <v>0</v>
      </c>
      <c r="DV193">
        <v>-234</v>
      </c>
      <c r="DW193">
        <v>0</v>
      </c>
      <c r="DX193">
        <v>1368</v>
      </c>
      <c r="DY193">
        <v>0</v>
      </c>
      <c r="DZ193">
        <v>0</v>
      </c>
      <c r="EA193">
        <v>0</v>
      </c>
      <c r="EB193">
        <v>0</v>
      </c>
      <c r="EC193">
        <v>0</v>
      </c>
      <c r="ED193">
        <v>0</v>
      </c>
      <c r="EE193">
        <v>0</v>
      </c>
      <c r="EF193">
        <v>0</v>
      </c>
      <c r="EG193">
        <v>0</v>
      </c>
      <c r="EH193">
        <v>0</v>
      </c>
      <c r="EI193">
        <v>0</v>
      </c>
      <c r="EJ193">
        <v>0</v>
      </c>
      <c r="EK193">
        <v>0</v>
      </c>
      <c r="EL193">
        <v>0</v>
      </c>
      <c r="EM193">
        <v>0</v>
      </c>
      <c r="EN193">
        <v>0</v>
      </c>
      <c r="EO193">
        <v>0</v>
      </c>
      <c r="EP193">
        <v>0</v>
      </c>
      <c r="EQ193">
        <v>0</v>
      </c>
      <c r="ER193">
        <v>0</v>
      </c>
      <c r="ES193">
        <v>0</v>
      </c>
      <c r="ET193">
        <v>0</v>
      </c>
      <c r="EU193">
        <v>0</v>
      </c>
      <c r="EV193">
        <v>38</v>
      </c>
      <c r="EW193">
        <v>209</v>
      </c>
      <c r="EX193">
        <v>109</v>
      </c>
      <c r="EY193">
        <v>454</v>
      </c>
      <c r="EZ193">
        <v>2</v>
      </c>
      <c r="FA193">
        <v>0</v>
      </c>
      <c r="FB193">
        <v>-51</v>
      </c>
      <c r="FC193">
        <v>966</v>
      </c>
      <c r="FD193">
        <v>733</v>
      </c>
      <c r="FE193">
        <v>0</v>
      </c>
      <c r="FF193">
        <v>653</v>
      </c>
      <c r="FG193">
        <v>0</v>
      </c>
      <c r="FH193">
        <v>3113</v>
      </c>
      <c r="FI193">
        <v>-495</v>
      </c>
      <c r="FJ193">
        <v>0</v>
      </c>
      <c r="FK193">
        <v>347</v>
      </c>
      <c r="FL193">
        <v>447</v>
      </c>
      <c r="FM193">
        <v>601</v>
      </c>
      <c r="FN193">
        <v>0</v>
      </c>
      <c r="FO193">
        <v>-3</v>
      </c>
      <c r="FP193">
        <v>0</v>
      </c>
      <c r="FQ193">
        <v>0</v>
      </c>
      <c r="FR193">
        <v>0</v>
      </c>
      <c r="FS193">
        <v>347</v>
      </c>
      <c r="FT193">
        <v>42</v>
      </c>
      <c r="FU193">
        <v>-22</v>
      </c>
      <c r="FV193">
        <v>197</v>
      </c>
      <c r="FW193">
        <v>143</v>
      </c>
      <c r="FX193">
        <v>-118</v>
      </c>
      <c r="FY193">
        <v>0</v>
      </c>
      <c r="FZ193">
        <v>2882</v>
      </c>
      <c r="GA193">
        <v>0</v>
      </c>
      <c r="GB193">
        <v>119</v>
      </c>
      <c r="GC193">
        <v>0</v>
      </c>
      <c r="GD193">
        <v>1116</v>
      </c>
      <c r="GE193">
        <v>1609</v>
      </c>
      <c r="GF193">
        <v>0</v>
      </c>
      <c r="GG193">
        <v>-565</v>
      </c>
      <c r="GH193">
        <v>1052</v>
      </c>
      <c r="GI193">
        <v>0</v>
      </c>
      <c r="GJ193">
        <v>0</v>
      </c>
      <c r="GK193">
        <v>7699</v>
      </c>
      <c r="GL193">
        <v>266</v>
      </c>
      <c r="GM193">
        <v>-380</v>
      </c>
      <c r="GN193">
        <v>0</v>
      </c>
      <c r="GO193">
        <v>144</v>
      </c>
      <c r="GP193">
        <v>0</v>
      </c>
      <c r="GQ193">
        <v>265</v>
      </c>
      <c r="GR193">
        <v>0</v>
      </c>
      <c r="GS193">
        <v>-189</v>
      </c>
      <c r="GT193">
        <v>151</v>
      </c>
      <c r="GU193">
        <v>257</v>
      </c>
      <c r="GV193">
        <v>11069</v>
      </c>
      <c r="GW193">
        <v>0</v>
      </c>
      <c r="GX193">
        <v>0</v>
      </c>
      <c r="GY193">
        <v>0</v>
      </c>
      <c r="GZ193">
        <v>0</v>
      </c>
      <c r="HA193">
        <v>0</v>
      </c>
      <c r="HB193">
        <v>11950</v>
      </c>
      <c r="HC193">
        <v>586</v>
      </c>
      <c r="HD193">
        <v>0</v>
      </c>
      <c r="HE193">
        <v>0</v>
      </c>
      <c r="HF193">
        <v>211</v>
      </c>
      <c r="HG193">
        <v>-225</v>
      </c>
      <c r="HH193">
        <v>0</v>
      </c>
      <c r="HI193">
        <v>0</v>
      </c>
      <c r="HJ193">
        <v>235</v>
      </c>
      <c r="HK193">
        <v>33</v>
      </c>
      <c r="HL193">
        <v>87</v>
      </c>
      <c r="HM193">
        <v>-9</v>
      </c>
      <c r="HN193">
        <v>0</v>
      </c>
      <c r="HO193">
        <v>109</v>
      </c>
      <c r="HP193">
        <v>0</v>
      </c>
      <c r="HQ193">
        <v>0</v>
      </c>
      <c r="HR193">
        <v>0</v>
      </c>
      <c r="HS193">
        <v>0</v>
      </c>
      <c r="HT193">
        <v>0</v>
      </c>
      <c r="HU193">
        <v>52</v>
      </c>
      <c r="HV193">
        <v>13029</v>
      </c>
      <c r="HW193">
        <v>0</v>
      </c>
      <c r="HX193">
        <v>0</v>
      </c>
      <c r="HY193">
        <v>0</v>
      </c>
      <c r="HZ193">
        <v>0</v>
      </c>
      <c r="IA193">
        <v>0</v>
      </c>
      <c r="IB193">
        <v>0</v>
      </c>
      <c r="IC193">
        <v>0</v>
      </c>
      <c r="ID193">
        <v>-2756</v>
      </c>
      <c r="IE193">
        <v>0</v>
      </c>
      <c r="IF193">
        <v>0</v>
      </c>
      <c r="IG193">
        <v>0</v>
      </c>
      <c r="IH193">
        <v>1368</v>
      </c>
      <c r="II193">
        <v>3113</v>
      </c>
      <c r="IJ193">
        <v>7699</v>
      </c>
      <c r="IK193">
        <v>257</v>
      </c>
      <c r="IL193">
        <v>0</v>
      </c>
      <c r="IM193">
        <v>0</v>
      </c>
      <c r="IN193">
        <v>13029</v>
      </c>
      <c r="IO193">
        <v>0</v>
      </c>
      <c r="IP193">
        <v>22710</v>
      </c>
      <c r="IQ193">
        <v>26419</v>
      </c>
      <c r="IR193">
        <v>0</v>
      </c>
      <c r="IS193">
        <v>0</v>
      </c>
      <c r="IT193">
        <v>0</v>
      </c>
      <c r="IU193">
        <v>0</v>
      </c>
      <c r="IV193">
        <v>2756</v>
      </c>
      <c r="IW193">
        <v>0</v>
      </c>
      <c r="IX193">
        <v>0</v>
      </c>
      <c r="IY193">
        <v>0</v>
      </c>
      <c r="IZ193">
        <v>0</v>
      </c>
      <c r="JA193">
        <v>-1907</v>
      </c>
      <c r="JB193">
        <v>0</v>
      </c>
      <c r="JC193">
        <v>0</v>
      </c>
      <c r="JD193">
        <v>0</v>
      </c>
      <c r="JE193">
        <v>0</v>
      </c>
      <c r="JF193">
        <v>0</v>
      </c>
      <c r="JG193">
        <v>49978</v>
      </c>
      <c r="JH193">
        <v>0</v>
      </c>
      <c r="JI193">
        <v>1819</v>
      </c>
      <c r="JJ193">
        <v>0</v>
      </c>
      <c r="JK193">
        <v>0</v>
      </c>
      <c r="JL193">
        <v>0</v>
      </c>
      <c r="JM193">
        <v>0</v>
      </c>
      <c r="JN193">
        <v>398</v>
      </c>
      <c r="JO193">
        <v>0</v>
      </c>
      <c r="JP193">
        <v>381</v>
      </c>
      <c r="JQ193">
        <v>0</v>
      </c>
      <c r="JR193">
        <v>52576</v>
      </c>
      <c r="JS193">
        <v>-226</v>
      </c>
      <c r="JT193">
        <v>0</v>
      </c>
      <c r="JU193">
        <v>0</v>
      </c>
      <c r="JV193">
        <v>0</v>
      </c>
      <c r="JW193">
        <v>-25697</v>
      </c>
      <c r="JX193">
        <v>0</v>
      </c>
      <c r="JY193">
        <v>-145</v>
      </c>
      <c r="JZ193">
        <v>0</v>
      </c>
      <c r="KA193">
        <v>0</v>
      </c>
      <c r="KB193">
        <v>0</v>
      </c>
      <c r="KC193">
        <v>26508</v>
      </c>
      <c r="KD193">
        <v>0</v>
      </c>
      <c r="KE193">
        <v>-2883</v>
      </c>
      <c r="KF193">
        <v>23625</v>
      </c>
      <c r="KG193">
        <v>0</v>
      </c>
      <c r="KH193">
        <v>0</v>
      </c>
      <c r="KI193">
        <v>0</v>
      </c>
      <c r="KJ193">
        <v>0</v>
      </c>
      <c r="KK193">
        <v>194</v>
      </c>
      <c r="KL193">
        <v>0</v>
      </c>
      <c r="KM193">
        <v>-628</v>
      </c>
      <c r="KN193">
        <v>0</v>
      </c>
      <c r="KO193">
        <v>-11443</v>
      </c>
      <c r="KP193">
        <v>-144</v>
      </c>
      <c r="KQ193">
        <v>0</v>
      </c>
      <c r="KR193">
        <v>10528</v>
      </c>
      <c r="KS193">
        <v>0</v>
      </c>
      <c r="KT193">
        <v>0</v>
      </c>
      <c r="KU193">
        <v>0</v>
      </c>
      <c r="KV193">
        <v>36112</v>
      </c>
      <c r="KW193">
        <v>12812</v>
      </c>
      <c r="KX193">
        <v>0</v>
      </c>
      <c r="KY193">
        <v>0</v>
      </c>
      <c r="KZ193">
        <v>0</v>
      </c>
      <c r="LA193">
        <v>36306</v>
      </c>
      <c r="LB193">
        <v>12812</v>
      </c>
      <c r="LC193">
        <v>0</v>
      </c>
      <c r="LD193">
        <v>0</v>
      </c>
      <c r="LE193">
        <v>0</v>
      </c>
      <c r="LF193">
        <v>0</v>
      </c>
      <c r="LG193">
        <v>0</v>
      </c>
      <c r="LH193">
        <v>0</v>
      </c>
      <c r="LI193">
        <v>0</v>
      </c>
      <c r="LJ193">
        <v>4781</v>
      </c>
      <c r="LK193">
        <v>5075</v>
      </c>
      <c r="LL193">
        <v>9856</v>
      </c>
      <c r="LM193">
        <v>21</v>
      </c>
      <c r="LN193">
        <v>0</v>
      </c>
      <c r="LO193">
        <v>0</v>
      </c>
      <c r="LP193">
        <v>0</v>
      </c>
      <c r="LQ193">
        <v>0</v>
      </c>
      <c r="LR193">
        <v>0</v>
      </c>
      <c r="LS193">
        <v>0</v>
      </c>
      <c r="LT193">
        <v>0</v>
      </c>
      <c r="LU193">
        <v>0</v>
      </c>
      <c r="LV193">
        <v>-2756</v>
      </c>
      <c r="LW193">
        <v>0</v>
      </c>
      <c r="LX193">
        <v>0</v>
      </c>
      <c r="LY193">
        <v>0</v>
      </c>
      <c r="LZ193">
        <v>1368</v>
      </c>
      <c r="MA193">
        <v>3113</v>
      </c>
      <c r="MB193">
        <v>7699</v>
      </c>
      <c r="MC193">
        <v>257</v>
      </c>
      <c r="MD193">
        <v>0</v>
      </c>
      <c r="ME193">
        <v>0</v>
      </c>
      <c r="MF193">
        <v>13029</v>
      </c>
      <c r="MG193">
        <v>0</v>
      </c>
      <c r="MH193">
        <v>22710</v>
      </c>
      <c r="MI193">
        <v>0</v>
      </c>
      <c r="MJ193">
        <v>0</v>
      </c>
      <c r="MK193">
        <v>0</v>
      </c>
      <c r="ML193">
        <v>0</v>
      </c>
      <c r="MM193">
        <v>0</v>
      </c>
      <c r="MN193">
        <v>0</v>
      </c>
      <c r="MO193">
        <v>0</v>
      </c>
      <c r="MP193">
        <v>0</v>
      </c>
      <c r="MQ193">
        <v>0</v>
      </c>
      <c r="MR193">
        <v>0</v>
      </c>
      <c r="MS193">
        <v>0</v>
      </c>
      <c r="MT193">
        <v>0</v>
      </c>
      <c r="MU193">
        <v>0</v>
      </c>
      <c r="MV193">
        <v>0</v>
      </c>
      <c r="MW193">
        <v>0</v>
      </c>
      <c r="MX193">
        <v>-1693</v>
      </c>
      <c r="MY193">
        <v>0</v>
      </c>
      <c r="MZ193">
        <v>-1</v>
      </c>
      <c r="NA193">
        <v>-1907</v>
      </c>
      <c r="NB193">
        <v>0</v>
      </c>
      <c r="NC193">
        <v>-1907</v>
      </c>
      <c r="ND193">
        <v>0</v>
      </c>
      <c r="NE193">
        <v>0</v>
      </c>
      <c r="NF193">
        <v>0</v>
      </c>
      <c r="NG193">
        <v>0</v>
      </c>
      <c r="NH193">
        <v>0</v>
      </c>
      <c r="NI193">
        <v>0</v>
      </c>
      <c r="NJ193">
        <v>0</v>
      </c>
      <c r="NK193">
        <v>0</v>
      </c>
      <c r="NL193">
        <v>0</v>
      </c>
      <c r="NM193">
        <v>0</v>
      </c>
      <c r="NN193">
        <v>0</v>
      </c>
      <c r="NO193">
        <v>0</v>
      </c>
      <c r="NP193">
        <v>0</v>
      </c>
      <c r="NQ193">
        <v>0</v>
      </c>
      <c r="NR193">
        <v>0</v>
      </c>
      <c r="NS193">
        <v>0</v>
      </c>
      <c r="NT193">
        <v>0</v>
      </c>
      <c r="NU193">
        <v>0</v>
      </c>
      <c r="NV193">
        <v>0</v>
      </c>
      <c r="NW193">
        <v>0</v>
      </c>
      <c r="NX193">
        <v>0</v>
      </c>
      <c r="NY193">
        <v>0</v>
      </c>
      <c r="NZ193">
        <v>0</v>
      </c>
      <c r="OA193">
        <v>0</v>
      </c>
      <c r="OB193">
        <v>0</v>
      </c>
      <c r="OC193">
        <v>0</v>
      </c>
      <c r="OD193">
        <v>0</v>
      </c>
      <c r="OE193">
        <v>0</v>
      </c>
      <c r="OF193">
        <v>0</v>
      </c>
      <c r="OG193">
        <v>0</v>
      </c>
      <c r="OH193">
        <v>0</v>
      </c>
      <c r="OI193">
        <v>0</v>
      </c>
      <c r="OJ193">
        <v>0</v>
      </c>
      <c r="OK193">
        <v>0</v>
      </c>
      <c r="OL193">
        <v>0</v>
      </c>
      <c r="OM193">
        <v>0</v>
      </c>
      <c r="ON193">
        <v>0</v>
      </c>
    </row>
    <row r="194" spans="1:404" x14ac:dyDescent="0.25">
      <c r="A194" t="s">
        <v>647</v>
      </c>
      <c r="B194" t="s">
        <v>648</v>
      </c>
      <c r="C194" t="s">
        <v>646</v>
      </c>
      <c r="E194" t="s">
        <v>125</v>
      </c>
      <c r="F194">
        <v>23950</v>
      </c>
      <c r="G194">
        <v>6596</v>
      </c>
      <c r="H194">
        <v>104</v>
      </c>
      <c r="I194">
        <v>33253</v>
      </c>
      <c r="J194">
        <v>1479</v>
      </c>
      <c r="K194">
        <v>10920</v>
      </c>
      <c r="L194">
        <v>76302</v>
      </c>
      <c r="M194">
        <v>377</v>
      </c>
      <c r="N194">
        <v>739</v>
      </c>
      <c r="O194">
        <v>0</v>
      </c>
      <c r="P194">
        <v>-85</v>
      </c>
      <c r="Q194">
        <v>797</v>
      </c>
      <c r="R194">
        <v>457</v>
      </c>
      <c r="S194">
        <v>1221</v>
      </c>
      <c r="T194">
        <v>380</v>
      </c>
      <c r="U194">
        <v>2091</v>
      </c>
      <c r="V194">
        <v>0</v>
      </c>
      <c r="W194">
        <v>-773</v>
      </c>
      <c r="X194">
        <v>406</v>
      </c>
      <c r="Y194">
        <v>253</v>
      </c>
      <c r="Z194">
        <v>-682</v>
      </c>
      <c r="AA194">
        <v>-668</v>
      </c>
      <c r="AB194">
        <v>6053</v>
      </c>
      <c r="AC194">
        <v>165</v>
      </c>
      <c r="AD194">
        <v>499</v>
      </c>
      <c r="AE194">
        <v>0</v>
      </c>
      <c r="AF194">
        <v>0</v>
      </c>
      <c r="AG194">
        <v>218</v>
      </c>
      <c r="AH194">
        <v>25</v>
      </c>
      <c r="AI194">
        <v>11473</v>
      </c>
      <c r="AJ194">
        <v>0</v>
      </c>
      <c r="AK194">
        <v>0</v>
      </c>
      <c r="AL194">
        <v>0</v>
      </c>
      <c r="AM194">
        <v>0</v>
      </c>
      <c r="AN194">
        <v>0</v>
      </c>
      <c r="AO194">
        <v>0</v>
      </c>
      <c r="AP194">
        <v>0</v>
      </c>
      <c r="AQ194">
        <v>0</v>
      </c>
      <c r="AR194">
        <v>2167</v>
      </c>
      <c r="AS194">
        <v>0</v>
      </c>
      <c r="AT194">
        <v>0</v>
      </c>
      <c r="AU194">
        <v>0</v>
      </c>
      <c r="AV194">
        <v>5928</v>
      </c>
      <c r="AW194">
        <v>51854</v>
      </c>
      <c r="AX194">
        <v>5043</v>
      </c>
      <c r="AY194">
        <v>8127</v>
      </c>
      <c r="AZ194">
        <v>1998</v>
      </c>
      <c r="BA194">
        <v>10098</v>
      </c>
      <c r="BB194">
        <v>2838</v>
      </c>
      <c r="BC194">
        <v>1082</v>
      </c>
      <c r="BD194">
        <v>86968</v>
      </c>
      <c r="BE194">
        <v>10283</v>
      </c>
      <c r="BF194">
        <v>23413</v>
      </c>
      <c r="BG194">
        <v>185</v>
      </c>
      <c r="BH194">
        <v>356</v>
      </c>
      <c r="BI194">
        <v>638</v>
      </c>
      <c r="BJ194">
        <v>3482</v>
      </c>
      <c r="BK194">
        <v>18680</v>
      </c>
      <c r="BL194">
        <v>2616</v>
      </c>
      <c r="BM194">
        <v>8899</v>
      </c>
      <c r="BN194">
        <v>2437</v>
      </c>
      <c r="BO194">
        <v>0</v>
      </c>
      <c r="BP194">
        <v>480</v>
      </c>
      <c r="BQ194">
        <v>92</v>
      </c>
      <c r="BR194">
        <v>987</v>
      </c>
      <c r="BS194">
        <v>11</v>
      </c>
      <c r="BT194">
        <v>255</v>
      </c>
      <c r="BU194">
        <v>1301</v>
      </c>
      <c r="BV194">
        <v>10914</v>
      </c>
      <c r="BW194">
        <v>90639</v>
      </c>
      <c r="BX194">
        <v>1745</v>
      </c>
      <c r="BY194">
        <v>795</v>
      </c>
      <c r="BZ194">
        <v>802</v>
      </c>
      <c r="CA194">
        <v>92</v>
      </c>
      <c r="CB194">
        <v>32</v>
      </c>
      <c r="CC194">
        <v>275</v>
      </c>
      <c r="CD194">
        <v>355</v>
      </c>
      <c r="CE194">
        <v>477</v>
      </c>
      <c r="CF194">
        <v>751</v>
      </c>
      <c r="CG194">
        <v>11</v>
      </c>
      <c r="CH194">
        <v>372</v>
      </c>
      <c r="CI194">
        <v>3701</v>
      </c>
      <c r="CJ194">
        <v>1412</v>
      </c>
      <c r="CK194">
        <v>853</v>
      </c>
      <c r="CL194">
        <v>244</v>
      </c>
      <c r="CM194">
        <v>470</v>
      </c>
      <c r="CN194">
        <v>681</v>
      </c>
      <c r="CO194">
        <v>283</v>
      </c>
      <c r="CP194">
        <v>1542</v>
      </c>
      <c r="CQ194">
        <v>2956</v>
      </c>
      <c r="CR194">
        <v>3412</v>
      </c>
      <c r="CS194">
        <v>95</v>
      </c>
      <c r="CT194">
        <v>694</v>
      </c>
      <c r="CU194">
        <v>4069</v>
      </c>
      <c r="CV194">
        <v>27991</v>
      </c>
      <c r="CW194">
        <v>0</v>
      </c>
      <c r="CX194">
        <v>0</v>
      </c>
      <c r="CY194">
        <v>75</v>
      </c>
      <c r="CZ194">
        <v>0</v>
      </c>
      <c r="DA194">
        <v>0</v>
      </c>
      <c r="DB194">
        <v>0</v>
      </c>
      <c r="DC194">
        <v>581</v>
      </c>
      <c r="DD194">
        <v>1247</v>
      </c>
      <c r="DE194">
        <v>43</v>
      </c>
      <c r="DF194">
        <v>-60</v>
      </c>
      <c r="DG194">
        <v>30</v>
      </c>
      <c r="DH194">
        <v>0</v>
      </c>
      <c r="DI194">
        <v>187</v>
      </c>
      <c r="DJ194">
        <v>96</v>
      </c>
      <c r="DK194">
        <v>0</v>
      </c>
      <c r="DL194">
        <v>0</v>
      </c>
      <c r="DM194">
        <v>0</v>
      </c>
      <c r="DN194">
        <v>1302</v>
      </c>
      <c r="DO194">
        <v>1710</v>
      </c>
      <c r="DP194">
        <v>3325</v>
      </c>
      <c r="DQ194">
        <v>648</v>
      </c>
      <c r="DR194">
        <v>0</v>
      </c>
      <c r="DS194">
        <v>41</v>
      </c>
      <c r="DT194">
        <v>7929</v>
      </c>
      <c r="DU194">
        <v>-40</v>
      </c>
      <c r="DV194">
        <v>4228</v>
      </c>
      <c r="DW194">
        <v>251</v>
      </c>
      <c r="DX194">
        <v>18193</v>
      </c>
      <c r="DY194">
        <v>89924</v>
      </c>
      <c r="DZ194">
        <v>1191</v>
      </c>
      <c r="EA194">
        <v>3155</v>
      </c>
      <c r="EB194">
        <v>808</v>
      </c>
      <c r="EC194">
        <v>0</v>
      </c>
      <c r="ED194">
        <v>46</v>
      </c>
      <c r="EE194">
        <v>965</v>
      </c>
      <c r="EF194">
        <v>0</v>
      </c>
      <c r="EG194">
        <v>0</v>
      </c>
      <c r="EH194">
        <v>25074</v>
      </c>
      <c r="EI194">
        <v>17159</v>
      </c>
      <c r="EJ194">
        <v>5782</v>
      </c>
      <c r="EK194">
        <v>1131</v>
      </c>
      <c r="EL194">
        <v>8663</v>
      </c>
      <c r="EM194">
        <v>13040</v>
      </c>
      <c r="EN194">
        <v>0</v>
      </c>
      <c r="EO194">
        <v>41</v>
      </c>
      <c r="EP194">
        <v>0</v>
      </c>
      <c r="EQ194">
        <v>0</v>
      </c>
      <c r="ER194">
        <v>586</v>
      </c>
      <c r="ES194">
        <v>19550</v>
      </c>
      <c r="ET194">
        <v>44163</v>
      </c>
      <c r="EU194">
        <v>0</v>
      </c>
      <c r="EV194">
        <v>605</v>
      </c>
      <c r="EW194">
        <v>27</v>
      </c>
      <c r="EX194">
        <v>3918</v>
      </c>
      <c r="EY194">
        <v>1497</v>
      </c>
      <c r="EZ194">
        <v>57</v>
      </c>
      <c r="FA194">
        <v>0</v>
      </c>
      <c r="FB194">
        <v>509</v>
      </c>
      <c r="FC194">
        <v>738</v>
      </c>
      <c r="FD194">
        <v>7175</v>
      </c>
      <c r="FE194">
        <v>0</v>
      </c>
      <c r="FF194">
        <v>764</v>
      </c>
      <c r="FG194">
        <v>5298</v>
      </c>
      <c r="FH194">
        <v>20588</v>
      </c>
      <c r="FI194">
        <v>18</v>
      </c>
      <c r="FJ194">
        <v>534</v>
      </c>
      <c r="FK194">
        <v>0</v>
      </c>
      <c r="FL194">
        <v>263</v>
      </c>
      <c r="FM194">
        <v>932</v>
      </c>
      <c r="FN194">
        <v>0</v>
      </c>
      <c r="FO194">
        <v>0</v>
      </c>
      <c r="FP194">
        <v>-31</v>
      </c>
      <c r="FQ194">
        <v>183</v>
      </c>
      <c r="FR194">
        <v>613</v>
      </c>
      <c r="FS194">
        <v>0</v>
      </c>
      <c r="FT194">
        <v>2500</v>
      </c>
      <c r="FU194">
        <v>-137</v>
      </c>
      <c r="FV194">
        <v>2492</v>
      </c>
      <c r="FW194">
        <v>1382</v>
      </c>
      <c r="FX194">
        <v>0</v>
      </c>
      <c r="FY194">
        <v>302</v>
      </c>
      <c r="FZ194">
        <v>0</v>
      </c>
      <c r="GA194">
        <v>0</v>
      </c>
      <c r="GB194">
        <v>0</v>
      </c>
      <c r="GC194">
        <v>0</v>
      </c>
      <c r="GD194">
        <v>4979</v>
      </c>
      <c r="GE194">
        <v>9059</v>
      </c>
      <c r="GF194">
        <v>6846</v>
      </c>
      <c r="GG194">
        <v>-626</v>
      </c>
      <c r="GH194">
        <v>754</v>
      </c>
      <c r="GI194">
        <v>217</v>
      </c>
      <c r="GJ194">
        <v>154</v>
      </c>
      <c r="GK194">
        <v>30434</v>
      </c>
      <c r="GL194">
        <v>259</v>
      </c>
      <c r="GM194">
        <v>-244</v>
      </c>
      <c r="GN194">
        <v>0</v>
      </c>
      <c r="GO194">
        <v>1162</v>
      </c>
      <c r="GP194">
        <v>346</v>
      </c>
      <c r="GQ194">
        <v>2522</v>
      </c>
      <c r="GR194">
        <v>0</v>
      </c>
      <c r="GS194">
        <v>5073</v>
      </c>
      <c r="GT194">
        <v>1937</v>
      </c>
      <c r="GU194">
        <v>11055</v>
      </c>
      <c r="GV194">
        <v>62077</v>
      </c>
      <c r="GW194">
        <v>0</v>
      </c>
      <c r="GX194">
        <v>0</v>
      </c>
      <c r="GY194">
        <v>0</v>
      </c>
      <c r="GZ194">
        <v>0</v>
      </c>
      <c r="HA194">
        <v>0</v>
      </c>
      <c r="HB194">
        <v>8773</v>
      </c>
      <c r="HC194">
        <v>-168</v>
      </c>
      <c r="HD194">
        <v>0</v>
      </c>
      <c r="HE194">
        <v>0</v>
      </c>
      <c r="HF194">
        <v>-1720</v>
      </c>
      <c r="HG194">
        <v>-185</v>
      </c>
      <c r="HH194">
        <v>0</v>
      </c>
      <c r="HI194">
        <v>304</v>
      </c>
      <c r="HJ194">
        <v>112</v>
      </c>
      <c r="HK194">
        <v>551</v>
      </c>
      <c r="HL194">
        <v>110</v>
      </c>
      <c r="HM194">
        <v>-8</v>
      </c>
      <c r="HN194">
        <v>3144</v>
      </c>
      <c r="HO194">
        <v>0</v>
      </c>
      <c r="HP194">
        <v>575</v>
      </c>
      <c r="HQ194">
        <v>0</v>
      </c>
      <c r="HR194">
        <v>13162</v>
      </c>
      <c r="HS194">
        <v>0</v>
      </c>
      <c r="HT194">
        <v>0</v>
      </c>
      <c r="HU194">
        <v>-16573</v>
      </c>
      <c r="HV194">
        <v>8077</v>
      </c>
      <c r="HW194">
        <v>57136</v>
      </c>
      <c r="HX194">
        <v>0</v>
      </c>
      <c r="HY194">
        <v>0</v>
      </c>
      <c r="HZ194">
        <v>0</v>
      </c>
      <c r="IA194">
        <v>5811</v>
      </c>
      <c r="IB194">
        <v>1371</v>
      </c>
      <c r="IC194">
        <v>76302</v>
      </c>
      <c r="ID194">
        <v>11473</v>
      </c>
      <c r="IE194">
        <v>86968</v>
      </c>
      <c r="IF194">
        <v>90639</v>
      </c>
      <c r="IG194">
        <v>27991</v>
      </c>
      <c r="IH194">
        <v>18193</v>
      </c>
      <c r="II194">
        <v>20588</v>
      </c>
      <c r="IJ194">
        <v>30434</v>
      </c>
      <c r="IK194">
        <v>11055</v>
      </c>
      <c r="IL194">
        <v>0</v>
      </c>
      <c r="IM194">
        <v>0</v>
      </c>
      <c r="IN194">
        <v>8077</v>
      </c>
      <c r="IO194">
        <v>1371</v>
      </c>
      <c r="IP194">
        <v>383091</v>
      </c>
      <c r="IQ194">
        <v>52931</v>
      </c>
      <c r="IR194">
        <v>187</v>
      </c>
      <c r="IS194">
        <v>34075</v>
      </c>
      <c r="IT194">
        <v>0</v>
      </c>
      <c r="IU194">
        <v>-89</v>
      </c>
      <c r="IV194">
        <v>0</v>
      </c>
      <c r="IW194">
        <v>0</v>
      </c>
      <c r="IX194">
        <v>0</v>
      </c>
      <c r="IY194">
        <v>0</v>
      </c>
      <c r="IZ194">
        <v>144</v>
      </c>
      <c r="JA194">
        <v>2588</v>
      </c>
      <c r="JB194">
        <v>561</v>
      </c>
      <c r="JC194">
        <v>-5835</v>
      </c>
      <c r="JD194">
        <v>0</v>
      </c>
      <c r="JE194">
        <v>26</v>
      </c>
      <c r="JF194">
        <v>39</v>
      </c>
      <c r="JG194">
        <v>467718</v>
      </c>
      <c r="JH194">
        <v>109</v>
      </c>
      <c r="JI194">
        <v>545</v>
      </c>
      <c r="JJ194">
        <v>0</v>
      </c>
      <c r="JK194">
        <v>-6289</v>
      </c>
      <c r="JL194">
        <v>0</v>
      </c>
      <c r="JM194">
        <v>676</v>
      </c>
      <c r="JN194">
        <v>78</v>
      </c>
      <c r="JO194">
        <v>0</v>
      </c>
      <c r="JP194">
        <v>8185</v>
      </c>
      <c r="JQ194">
        <v>0</v>
      </c>
      <c r="JR194">
        <v>471022</v>
      </c>
      <c r="JS194">
        <v>-1058</v>
      </c>
      <c r="JT194">
        <v>0</v>
      </c>
      <c r="JU194">
        <v>0</v>
      </c>
      <c r="JV194">
        <v>0</v>
      </c>
      <c r="JW194">
        <v>-94626</v>
      </c>
      <c r="JX194">
        <v>0</v>
      </c>
      <c r="JY194">
        <v>0</v>
      </c>
      <c r="JZ194">
        <v>0</v>
      </c>
      <c r="KA194">
        <v>0</v>
      </c>
      <c r="KB194">
        <v>0</v>
      </c>
      <c r="KC194">
        <v>375338</v>
      </c>
      <c r="KD194">
        <v>0</v>
      </c>
      <c r="KE194">
        <v>-163396</v>
      </c>
      <c r="KF194">
        <v>211942</v>
      </c>
      <c r="KG194">
        <v>0</v>
      </c>
      <c r="KH194">
        <v>279</v>
      </c>
      <c r="KI194">
        <v>-383</v>
      </c>
      <c r="KJ194">
        <v>0</v>
      </c>
      <c r="KK194">
        <v>-3169</v>
      </c>
      <c r="KL194">
        <v>0</v>
      </c>
      <c r="KM194">
        <v>-24514</v>
      </c>
      <c r="KN194">
        <v>0</v>
      </c>
      <c r="KO194">
        <v>-65994</v>
      </c>
      <c r="KP194">
        <v>1370</v>
      </c>
      <c r="KQ194">
        <v>0</v>
      </c>
      <c r="KR194">
        <v>92765</v>
      </c>
      <c r="KS194">
        <v>2913</v>
      </c>
      <c r="KT194">
        <v>-3126</v>
      </c>
      <c r="KU194">
        <v>0</v>
      </c>
      <c r="KV194">
        <v>47541</v>
      </c>
      <c r="KW194">
        <v>20968</v>
      </c>
      <c r="KX194">
        <v>3192</v>
      </c>
      <c r="KY194">
        <v>-3509</v>
      </c>
      <c r="KZ194">
        <v>0</v>
      </c>
      <c r="LA194">
        <v>44372</v>
      </c>
      <c r="LB194">
        <v>20968</v>
      </c>
      <c r="LC194">
        <v>0</v>
      </c>
      <c r="LD194">
        <v>28547</v>
      </c>
      <c r="LE194">
        <v>276</v>
      </c>
      <c r="LF194">
        <v>27503</v>
      </c>
      <c r="LG194">
        <v>-42094</v>
      </c>
      <c r="LH194">
        <v>42373</v>
      </c>
      <c r="LI194">
        <v>54104</v>
      </c>
      <c r="LJ194">
        <v>9516</v>
      </c>
      <c r="LK194">
        <v>14236</v>
      </c>
      <c r="LL194">
        <v>23752</v>
      </c>
      <c r="LM194">
        <v>0</v>
      </c>
      <c r="LN194">
        <v>0</v>
      </c>
      <c r="LO194">
        <v>0</v>
      </c>
      <c r="LP194">
        <v>96089</v>
      </c>
      <c r="LQ194">
        <v>71476</v>
      </c>
      <c r="LR194">
        <v>24613</v>
      </c>
      <c r="LS194">
        <v>19550</v>
      </c>
      <c r="LT194">
        <v>44163</v>
      </c>
      <c r="LU194">
        <v>76302</v>
      </c>
      <c r="LV194">
        <v>11473</v>
      </c>
      <c r="LW194">
        <v>86968</v>
      </c>
      <c r="LX194">
        <v>90639</v>
      </c>
      <c r="LY194">
        <v>27991</v>
      </c>
      <c r="LZ194">
        <v>18193</v>
      </c>
      <c r="MA194">
        <v>20588</v>
      </c>
      <c r="MB194">
        <v>30434</v>
      </c>
      <c r="MC194">
        <v>11055</v>
      </c>
      <c r="MD194">
        <v>0</v>
      </c>
      <c r="ME194">
        <v>0</v>
      </c>
      <c r="MF194">
        <v>8077</v>
      </c>
      <c r="MG194">
        <v>1371</v>
      </c>
      <c r="MH194">
        <v>383091</v>
      </c>
      <c r="MI194">
        <v>0</v>
      </c>
      <c r="MJ194">
        <v>0</v>
      </c>
      <c r="MK194">
        <v>0</v>
      </c>
      <c r="ML194">
        <v>0</v>
      </c>
      <c r="MM194">
        <v>0</v>
      </c>
      <c r="MN194">
        <v>0</v>
      </c>
      <c r="MO194">
        <v>0</v>
      </c>
      <c r="MP194">
        <v>0</v>
      </c>
      <c r="MQ194">
        <v>16</v>
      </c>
      <c r="MR194">
        <v>0</v>
      </c>
      <c r="MS194">
        <v>0</v>
      </c>
      <c r="MT194">
        <v>0</v>
      </c>
      <c r="MU194">
        <v>0</v>
      </c>
      <c r="MV194">
        <v>0</v>
      </c>
      <c r="MW194">
        <v>-2317</v>
      </c>
      <c r="MX194">
        <v>-1091</v>
      </c>
      <c r="MY194">
        <v>145</v>
      </c>
      <c r="MZ194">
        <v>0</v>
      </c>
      <c r="NA194">
        <v>-3247</v>
      </c>
      <c r="NB194">
        <v>5835</v>
      </c>
      <c r="NC194">
        <v>2588</v>
      </c>
      <c r="ND194">
        <v>0</v>
      </c>
      <c r="NE194">
        <v>0</v>
      </c>
      <c r="NF194">
        <v>0</v>
      </c>
      <c r="NG194">
        <v>0</v>
      </c>
      <c r="NH194">
        <v>0</v>
      </c>
      <c r="NI194">
        <v>0</v>
      </c>
      <c r="NJ194">
        <v>0</v>
      </c>
      <c r="NK194">
        <v>0</v>
      </c>
      <c r="NL194">
        <v>0</v>
      </c>
      <c r="NM194">
        <v>0</v>
      </c>
      <c r="NN194">
        <v>-121</v>
      </c>
      <c r="NO194">
        <v>0</v>
      </c>
      <c r="NP194">
        <v>0</v>
      </c>
      <c r="NQ194">
        <v>8</v>
      </c>
      <c r="NR194">
        <v>0</v>
      </c>
      <c r="NS194">
        <v>0</v>
      </c>
      <c r="NT194">
        <v>703</v>
      </c>
      <c r="NU194">
        <v>0</v>
      </c>
      <c r="NV194">
        <v>0</v>
      </c>
      <c r="NW194">
        <v>-29</v>
      </c>
      <c r="NX194">
        <v>0</v>
      </c>
      <c r="NY194">
        <v>0</v>
      </c>
      <c r="NZ194">
        <v>561</v>
      </c>
      <c r="OA194">
        <v>0</v>
      </c>
      <c r="OB194">
        <v>561</v>
      </c>
      <c r="OC194">
        <v>2897</v>
      </c>
      <c r="OD194">
        <v>0</v>
      </c>
      <c r="OE194">
        <v>2938</v>
      </c>
      <c r="OF194">
        <v>0</v>
      </c>
      <c r="OG194">
        <v>0</v>
      </c>
      <c r="OH194">
        <v>5835</v>
      </c>
      <c r="OI194">
        <v>0</v>
      </c>
      <c r="OJ194">
        <v>0</v>
      </c>
      <c r="OK194">
        <v>0</v>
      </c>
      <c r="OL194">
        <v>0</v>
      </c>
      <c r="OM194">
        <v>0</v>
      </c>
      <c r="ON194">
        <v>0</v>
      </c>
    </row>
    <row r="195" spans="1:404" x14ac:dyDescent="0.25">
      <c r="A195" t="s">
        <v>650</v>
      </c>
      <c r="B195" t="s">
        <v>651</v>
      </c>
      <c r="C195" t="s">
        <v>649</v>
      </c>
      <c r="E195" t="s">
        <v>1940</v>
      </c>
      <c r="F195">
        <v>13031</v>
      </c>
      <c r="G195">
        <v>66664</v>
      </c>
      <c r="H195">
        <v>5577</v>
      </c>
      <c r="I195">
        <v>18833</v>
      </c>
      <c r="J195">
        <v>2768</v>
      </c>
      <c r="K195">
        <v>215</v>
      </c>
      <c r="L195">
        <v>107088</v>
      </c>
      <c r="M195">
        <v>0</v>
      </c>
      <c r="N195">
        <v>6772</v>
      </c>
      <c r="O195">
        <v>0</v>
      </c>
      <c r="P195">
        <v>4356</v>
      </c>
      <c r="Q195">
        <v>0</v>
      </c>
      <c r="R195">
        <v>0</v>
      </c>
      <c r="S195">
        <v>23</v>
      </c>
      <c r="T195">
        <v>274</v>
      </c>
      <c r="U195">
        <v>0</v>
      </c>
      <c r="V195">
        <v>0</v>
      </c>
      <c r="W195">
        <v>-653</v>
      </c>
      <c r="X195">
        <v>770</v>
      </c>
      <c r="Y195">
        <v>-4223</v>
      </c>
      <c r="Z195">
        <v>1868</v>
      </c>
      <c r="AA195">
        <v>-1297</v>
      </c>
      <c r="AB195">
        <v>6534</v>
      </c>
      <c r="AC195">
        <v>0</v>
      </c>
      <c r="AD195">
        <v>0</v>
      </c>
      <c r="AE195">
        <v>0</v>
      </c>
      <c r="AF195">
        <v>0</v>
      </c>
      <c r="AG195">
        <v>0</v>
      </c>
      <c r="AH195">
        <v>0</v>
      </c>
      <c r="AI195">
        <v>14424</v>
      </c>
      <c r="AJ195">
        <v>0</v>
      </c>
      <c r="AK195">
        <v>0</v>
      </c>
      <c r="AL195">
        <v>0</v>
      </c>
      <c r="AM195">
        <v>0</v>
      </c>
      <c r="AN195">
        <v>0</v>
      </c>
      <c r="AO195">
        <v>0</v>
      </c>
      <c r="AP195">
        <v>0</v>
      </c>
      <c r="AQ195">
        <v>2296</v>
      </c>
      <c r="AR195">
        <v>0</v>
      </c>
      <c r="AS195">
        <v>0</v>
      </c>
      <c r="AT195">
        <v>0</v>
      </c>
      <c r="AU195">
        <v>0</v>
      </c>
      <c r="AV195">
        <v>997</v>
      </c>
      <c r="AW195">
        <v>13408</v>
      </c>
      <c r="AX195">
        <v>0</v>
      </c>
      <c r="AY195">
        <v>2666</v>
      </c>
      <c r="AZ195">
        <v>214</v>
      </c>
      <c r="BA195">
        <v>6496</v>
      </c>
      <c r="BB195">
        <v>485</v>
      </c>
      <c r="BC195">
        <v>1749</v>
      </c>
      <c r="BD195">
        <v>26015</v>
      </c>
      <c r="BE195">
        <v>1620</v>
      </c>
      <c r="BF195">
        <v>6774</v>
      </c>
      <c r="BG195">
        <v>159</v>
      </c>
      <c r="BH195">
        <v>11</v>
      </c>
      <c r="BI195">
        <v>253</v>
      </c>
      <c r="BJ195">
        <v>2180</v>
      </c>
      <c r="BK195">
        <v>14434</v>
      </c>
      <c r="BL195">
        <v>1921</v>
      </c>
      <c r="BM195">
        <v>2709</v>
      </c>
      <c r="BN195">
        <v>354</v>
      </c>
      <c r="BO195">
        <v>52</v>
      </c>
      <c r="BP195">
        <v>0</v>
      </c>
      <c r="BQ195">
        <v>1397</v>
      </c>
      <c r="BR195">
        <v>133</v>
      </c>
      <c r="BS195">
        <v>410</v>
      </c>
      <c r="BT195">
        <v>9964</v>
      </c>
      <c r="BU195">
        <v>16</v>
      </c>
      <c r="BV195">
        <v>1814</v>
      </c>
      <c r="BW195">
        <v>44201</v>
      </c>
      <c r="BX195">
        <v>2050</v>
      </c>
      <c r="BY195">
        <v>269</v>
      </c>
      <c r="BZ195">
        <v>511</v>
      </c>
      <c r="CA195">
        <v>147</v>
      </c>
      <c r="CB195">
        <v>110</v>
      </c>
      <c r="CC195">
        <v>39</v>
      </c>
      <c r="CD195">
        <v>154</v>
      </c>
      <c r="CE195">
        <v>88</v>
      </c>
      <c r="CF195">
        <v>33</v>
      </c>
      <c r="CG195">
        <v>377</v>
      </c>
      <c r="CH195">
        <v>32</v>
      </c>
      <c r="CI195">
        <v>696</v>
      </c>
      <c r="CJ195">
        <v>617</v>
      </c>
      <c r="CK195">
        <v>109</v>
      </c>
      <c r="CL195">
        <v>132</v>
      </c>
      <c r="CM195">
        <v>67</v>
      </c>
      <c r="CN195">
        <v>187</v>
      </c>
      <c r="CO195">
        <v>24</v>
      </c>
      <c r="CP195">
        <v>631</v>
      </c>
      <c r="CQ195">
        <v>1544</v>
      </c>
      <c r="CR195">
        <v>1056</v>
      </c>
      <c r="CS195">
        <v>92</v>
      </c>
      <c r="CT195">
        <v>163</v>
      </c>
      <c r="CU195">
        <v>518</v>
      </c>
      <c r="CV195">
        <v>9659</v>
      </c>
      <c r="CW195">
        <v>0</v>
      </c>
      <c r="CX195">
        <v>0</v>
      </c>
      <c r="CY195">
        <v>0</v>
      </c>
      <c r="CZ195">
        <v>0</v>
      </c>
      <c r="DA195">
        <v>0</v>
      </c>
      <c r="DB195">
        <v>0</v>
      </c>
      <c r="DC195">
        <v>1698</v>
      </c>
      <c r="DD195">
        <v>0</v>
      </c>
      <c r="DE195">
        <v>0</v>
      </c>
      <c r="DF195">
        <v>0</v>
      </c>
      <c r="DG195">
        <v>0</v>
      </c>
      <c r="DH195">
        <v>3991</v>
      </c>
      <c r="DI195">
        <v>0</v>
      </c>
      <c r="DJ195">
        <v>3129</v>
      </c>
      <c r="DK195">
        <v>0</v>
      </c>
      <c r="DL195">
        <v>0</v>
      </c>
      <c r="DM195">
        <v>661</v>
      </c>
      <c r="DN195">
        <v>0</v>
      </c>
      <c r="DO195">
        <v>0</v>
      </c>
      <c r="DP195">
        <v>7781</v>
      </c>
      <c r="DQ195">
        <v>0</v>
      </c>
      <c r="DR195">
        <v>0</v>
      </c>
      <c r="DS195">
        <v>0</v>
      </c>
      <c r="DT195">
        <v>928</v>
      </c>
      <c r="DU195">
        <v>-140</v>
      </c>
      <c r="DV195">
        <v>0</v>
      </c>
      <c r="DW195">
        <v>0</v>
      </c>
      <c r="DX195">
        <v>10267</v>
      </c>
      <c r="DY195">
        <v>26574</v>
      </c>
      <c r="DZ195">
        <v>405</v>
      </c>
      <c r="EA195">
        <v>2767</v>
      </c>
      <c r="EB195">
        <v>590</v>
      </c>
      <c r="EC195">
        <v>0</v>
      </c>
      <c r="ED195">
        <v>0</v>
      </c>
      <c r="EE195">
        <v>0</v>
      </c>
      <c r="EF195">
        <v>0</v>
      </c>
      <c r="EG195">
        <v>0</v>
      </c>
      <c r="EH195">
        <v>4912</v>
      </c>
      <c r="EI195">
        <v>9829</v>
      </c>
      <c r="EJ195">
        <v>1048</v>
      </c>
      <c r="EK195">
        <v>84</v>
      </c>
      <c r="EL195">
        <v>0</v>
      </c>
      <c r="EM195">
        <v>0</v>
      </c>
      <c r="EN195">
        <v>0</v>
      </c>
      <c r="EO195">
        <v>40</v>
      </c>
      <c r="EP195">
        <v>0</v>
      </c>
      <c r="EQ195">
        <v>9817</v>
      </c>
      <c r="ER195">
        <v>509</v>
      </c>
      <c r="ES195">
        <v>4847</v>
      </c>
      <c r="ET195">
        <v>4366</v>
      </c>
      <c r="EU195">
        <v>0</v>
      </c>
      <c r="EV195">
        <v>190</v>
      </c>
      <c r="EW195">
        <v>917</v>
      </c>
      <c r="EX195">
        <v>0</v>
      </c>
      <c r="EY195">
        <v>304</v>
      </c>
      <c r="EZ195">
        <v>0</v>
      </c>
      <c r="FA195">
        <v>0</v>
      </c>
      <c r="FB195">
        <v>0</v>
      </c>
      <c r="FC195">
        <v>2132</v>
      </c>
      <c r="FD195">
        <v>2613</v>
      </c>
      <c r="FE195">
        <v>0</v>
      </c>
      <c r="FF195">
        <v>0</v>
      </c>
      <c r="FG195">
        <v>2479</v>
      </c>
      <c r="FH195">
        <v>8635</v>
      </c>
      <c r="FI195">
        <v>-154</v>
      </c>
      <c r="FJ195">
        <v>431</v>
      </c>
      <c r="FK195">
        <v>0</v>
      </c>
      <c r="FL195">
        <v>552</v>
      </c>
      <c r="FM195">
        <v>1456</v>
      </c>
      <c r="FN195">
        <v>803</v>
      </c>
      <c r="FO195">
        <v>0</v>
      </c>
      <c r="FP195">
        <v>0</v>
      </c>
      <c r="FQ195">
        <v>0</v>
      </c>
      <c r="FR195">
        <v>0</v>
      </c>
      <c r="FS195">
        <v>0</v>
      </c>
      <c r="FT195">
        <v>0</v>
      </c>
      <c r="FU195">
        <v>-211</v>
      </c>
      <c r="FV195">
        <v>693</v>
      </c>
      <c r="FW195">
        <v>0</v>
      </c>
      <c r="FX195">
        <v>0</v>
      </c>
      <c r="FY195">
        <v>0</v>
      </c>
      <c r="FZ195">
        <v>0</v>
      </c>
      <c r="GA195">
        <v>0</v>
      </c>
      <c r="GB195">
        <v>0</v>
      </c>
      <c r="GC195">
        <v>0</v>
      </c>
      <c r="GD195">
        <v>3466</v>
      </c>
      <c r="GE195">
        <v>4914</v>
      </c>
      <c r="GF195">
        <v>3336</v>
      </c>
      <c r="GG195">
        <v>0</v>
      </c>
      <c r="GH195">
        <v>2783</v>
      </c>
      <c r="GI195">
        <v>0</v>
      </c>
      <c r="GJ195">
        <v>112</v>
      </c>
      <c r="GK195">
        <v>18181</v>
      </c>
      <c r="GL195">
        <v>79</v>
      </c>
      <c r="GM195">
        <v>278</v>
      </c>
      <c r="GN195">
        <v>0</v>
      </c>
      <c r="GO195">
        <v>726</v>
      </c>
      <c r="GP195">
        <v>0</v>
      </c>
      <c r="GQ195">
        <v>998</v>
      </c>
      <c r="GR195">
        <v>46</v>
      </c>
      <c r="GS195">
        <v>241</v>
      </c>
      <c r="GT195">
        <v>3169</v>
      </c>
      <c r="GU195">
        <v>5537</v>
      </c>
      <c r="GV195">
        <v>32353</v>
      </c>
      <c r="GW195">
        <v>0</v>
      </c>
      <c r="GX195">
        <v>0</v>
      </c>
      <c r="GY195">
        <v>0</v>
      </c>
      <c r="GZ195">
        <v>0</v>
      </c>
      <c r="HA195">
        <v>0</v>
      </c>
      <c r="HB195">
        <v>5717</v>
      </c>
      <c r="HC195">
        <v>116</v>
      </c>
      <c r="HD195">
        <v>0</v>
      </c>
      <c r="HE195">
        <v>10</v>
      </c>
      <c r="HF195">
        <v>-41</v>
      </c>
      <c r="HG195">
        <v>1725</v>
      </c>
      <c r="HH195">
        <v>0</v>
      </c>
      <c r="HI195">
        <v>59</v>
      </c>
      <c r="HJ195">
        <v>0</v>
      </c>
      <c r="HK195">
        <v>0</v>
      </c>
      <c r="HL195">
        <v>81</v>
      </c>
      <c r="HM195">
        <v>-27</v>
      </c>
      <c r="HN195">
        <v>359</v>
      </c>
      <c r="HO195">
        <v>551</v>
      </c>
      <c r="HP195">
        <v>0</v>
      </c>
      <c r="HQ195">
        <v>0</v>
      </c>
      <c r="HR195">
        <v>3882</v>
      </c>
      <c r="HS195">
        <v>0</v>
      </c>
      <c r="HT195">
        <v>0</v>
      </c>
      <c r="HU195">
        <v>0</v>
      </c>
      <c r="HV195">
        <v>12432</v>
      </c>
      <c r="HW195">
        <v>0</v>
      </c>
      <c r="HX195">
        <v>0</v>
      </c>
      <c r="HY195">
        <v>0</v>
      </c>
      <c r="HZ195">
        <v>0</v>
      </c>
      <c r="IA195">
        <v>0</v>
      </c>
      <c r="IB195">
        <v>0</v>
      </c>
      <c r="IC195">
        <v>107088</v>
      </c>
      <c r="ID195">
        <v>14424</v>
      </c>
      <c r="IE195">
        <v>26015</v>
      </c>
      <c r="IF195">
        <v>44201</v>
      </c>
      <c r="IG195">
        <v>9659</v>
      </c>
      <c r="IH195">
        <v>10267</v>
      </c>
      <c r="II195">
        <v>8635</v>
      </c>
      <c r="IJ195">
        <v>18181</v>
      </c>
      <c r="IK195">
        <v>5537</v>
      </c>
      <c r="IL195">
        <v>0</v>
      </c>
      <c r="IM195">
        <v>0</v>
      </c>
      <c r="IN195">
        <v>12432</v>
      </c>
      <c r="IO195">
        <v>0</v>
      </c>
      <c r="IP195">
        <v>256439</v>
      </c>
      <c r="IQ195">
        <v>31736</v>
      </c>
      <c r="IR195">
        <v>7036</v>
      </c>
      <c r="IS195">
        <v>12337</v>
      </c>
      <c r="IT195">
        <v>0</v>
      </c>
      <c r="IU195">
        <v>0</v>
      </c>
      <c r="IV195">
        <v>0</v>
      </c>
      <c r="IW195">
        <v>0</v>
      </c>
      <c r="IX195">
        <v>0</v>
      </c>
      <c r="IY195">
        <v>214</v>
      </c>
      <c r="IZ195">
        <v>198</v>
      </c>
      <c r="JA195">
        <v>497</v>
      </c>
      <c r="JB195">
        <v>0</v>
      </c>
      <c r="JC195">
        <v>0</v>
      </c>
      <c r="JD195">
        <v>0</v>
      </c>
      <c r="JE195">
        <v>0</v>
      </c>
      <c r="JF195">
        <v>0</v>
      </c>
      <c r="JG195">
        <v>308457</v>
      </c>
      <c r="JH195">
        <v>147</v>
      </c>
      <c r="JI195">
        <v>0</v>
      </c>
      <c r="JJ195">
        <v>0</v>
      </c>
      <c r="JK195">
        <v>0</v>
      </c>
      <c r="JL195">
        <v>0</v>
      </c>
      <c r="JM195">
        <v>-544</v>
      </c>
      <c r="JN195">
        <v>3177</v>
      </c>
      <c r="JO195">
        <v>0</v>
      </c>
      <c r="JP195">
        <v>11486</v>
      </c>
      <c r="JQ195">
        <v>-4309</v>
      </c>
      <c r="JR195">
        <v>318414</v>
      </c>
      <c r="JS195">
        <v>-7363</v>
      </c>
      <c r="JT195">
        <v>0</v>
      </c>
      <c r="JU195">
        <v>0</v>
      </c>
      <c r="JV195">
        <v>0</v>
      </c>
      <c r="JW195">
        <v>-58901</v>
      </c>
      <c r="JX195">
        <v>0</v>
      </c>
      <c r="JY195">
        <v>0</v>
      </c>
      <c r="JZ195">
        <v>0</v>
      </c>
      <c r="KA195">
        <v>0</v>
      </c>
      <c r="KB195">
        <v>0</v>
      </c>
      <c r="KC195">
        <v>252150</v>
      </c>
      <c r="KD195">
        <v>0</v>
      </c>
      <c r="KE195">
        <v>-119577</v>
      </c>
      <c r="KF195">
        <v>132573</v>
      </c>
      <c r="KG195">
        <v>0</v>
      </c>
      <c r="KH195">
        <v>548</v>
      </c>
      <c r="KI195">
        <v>0</v>
      </c>
      <c r="KJ195">
        <v>806</v>
      </c>
      <c r="KK195">
        <v>-5420</v>
      </c>
      <c r="KL195">
        <v>0</v>
      </c>
      <c r="KM195">
        <v>0</v>
      </c>
      <c r="KN195">
        <v>0</v>
      </c>
      <c r="KO195">
        <v>-13909</v>
      </c>
      <c r="KP195">
        <v>600</v>
      </c>
      <c r="KQ195">
        <v>0</v>
      </c>
      <c r="KR195">
        <v>106449</v>
      </c>
      <c r="KS195">
        <v>5026</v>
      </c>
      <c r="KT195">
        <v>0</v>
      </c>
      <c r="KU195">
        <v>785</v>
      </c>
      <c r="KV195">
        <v>54783</v>
      </c>
      <c r="KW195">
        <v>19632</v>
      </c>
      <c r="KX195">
        <v>5574</v>
      </c>
      <c r="KY195">
        <v>0</v>
      </c>
      <c r="KZ195">
        <v>1591</v>
      </c>
      <c r="LA195">
        <v>49363</v>
      </c>
      <c r="LB195">
        <v>19632</v>
      </c>
      <c r="LC195">
        <v>0</v>
      </c>
      <c r="LD195">
        <v>25659</v>
      </c>
      <c r="LE195">
        <v>0</v>
      </c>
      <c r="LF195">
        <v>30759</v>
      </c>
      <c r="LG195">
        <v>-14061</v>
      </c>
      <c r="LH195">
        <v>1097</v>
      </c>
      <c r="LI195">
        <v>42204</v>
      </c>
      <c r="LJ195">
        <v>3847</v>
      </c>
      <c r="LK195">
        <v>8601</v>
      </c>
      <c r="LL195">
        <v>12448</v>
      </c>
      <c r="LM195">
        <v>0</v>
      </c>
      <c r="LN195">
        <v>0</v>
      </c>
      <c r="LO195">
        <v>0</v>
      </c>
      <c r="LP195">
        <v>30336</v>
      </c>
      <c r="LQ195">
        <v>26239</v>
      </c>
      <c r="LR195">
        <v>4097</v>
      </c>
      <c r="LS195">
        <v>4847</v>
      </c>
      <c r="LT195">
        <v>4366</v>
      </c>
      <c r="LU195">
        <v>107088</v>
      </c>
      <c r="LV195">
        <v>14424</v>
      </c>
      <c r="LW195">
        <v>26015</v>
      </c>
      <c r="LX195">
        <v>44201</v>
      </c>
      <c r="LY195">
        <v>9659</v>
      </c>
      <c r="LZ195">
        <v>10267</v>
      </c>
      <c r="MA195">
        <v>8635</v>
      </c>
      <c r="MB195">
        <v>18181</v>
      </c>
      <c r="MC195">
        <v>5537</v>
      </c>
      <c r="MD195">
        <v>0</v>
      </c>
      <c r="ME195">
        <v>0</v>
      </c>
      <c r="MF195">
        <v>12432</v>
      </c>
      <c r="MG195">
        <v>0</v>
      </c>
      <c r="MH195">
        <v>256439</v>
      </c>
      <c r="MI195">
        <v>0</v>
      </c>
      <c r="MJ195">
        <v>0</v>
      </c>
      <c r="MK195">
        <v>0</v>
      </c>
      <c r="ML195">
        <v>0</v>
      </c>
      <c r="MM195">
        <v>0</v>
      </c>
      <c r="MN195">
        <v>0</v>
      </c>
      <c r="MO195">
        <v>0</v>
      </c>
      <c r="MP195">
        <v>0</v>
      </c>
      <c r="MQ195">
        <v>0</v>
      </c>
      <c r="MR195">
        <v>0</v>
      </c>
      <c r="MS195">
        <v>0</v>
      </c>
      <c r="MT195">
        <v>0</v>
      </c>
      <c r="MU195">
        <v>0</v>
      </c>
      <c r="MV195">
        <v>0</v>
      </c>
      <c r="MW195">
        <v>0</v>
      </c>
      <c r="MX195">
        <v>0</v>
      </c>
      <c r="MY195">
        <v>0</v>
      </c>
      <c r="MZ195">
        <v>-59</v>
      </c>
      <c r="NA195">
        <v>497</v>
      </c>
      <c r="NB195">
        <v>0</v>
      </c>
      <c r="NC195">
        <v>497</v>
      </c>
      <c r="ND195">
        <v>0</v>
      </c>
      <c r="NE195">
        <v>0</v>
      </c>
      <c r="NF195">
        <v>0</v>
      </c>
      <c r="NG195">
        <v>0</v>
      </c>
      <c r="NH195">
        <v>0</v>
      </c>
      <c r="NI195">
        <v>0</v>
      </c>
      <c r="NJ195">
        <v>0</v>
      </c>
      <c r="NK195">
        <v>0</v>
      </c>
      <c r="NL195">
        <v>0</v>
      </c>
      <c r="NM195">
        <v>0</v>
      </c>
      <c r="NN195">
        <v>0</v>
      </c>
      <c r="NO195">
        <v>0</v>
      </c>
      <c r="NP195">
        <v>0</v>
      </c>
      <c r="NQ195">
        <v>0</v>
      </c>
      <c r="NR195">
        <v>0</v>
      </c>
      <c r="NS195">
        <v>0</v>
      </c>
      <c r="NT195">
        <v>0</v>
      </c>
      <c r="NU195">
        <v>0</v>
      </c>
      <c r="NV195">
        <v>0</v>
      </c>
      <c r="NW195">
        <v>0</v>
      </c>
      <c r="NX195">
        <v>0</v>
      </c>
      <c r="NY195">
        <v>0</v>
      </c>
      <c r="NZ195">
        <v>0</v>
      </c>
      <c r="OA195">
        <v>0</v>
      </c>
      <c r="OB195">
        <v>0</v>
      </c>
      <c r="OC195">
        <v>0</v>
      </c>
      <c r="OD195">
        <v>0</v>
      </c>
      <c r="OE195">
        <v>0</v>
      </c>
      <c r="OF195">
        <v>0</v>
      </c>
      <c r="OG195">
        <v>0</v>
      </c>
      <c r="OH195">
        <v>0</v>
      </c>
      <c r="OI195">
        <v>0</v>
      </c>
      <c r="OJ195">
        <v>0</v>
      </c>
      <c r="OK195">
        <v>0</v>
      </c>
      <c r="OL195">
        <v>0</v>
      </c>
      <c r="OM195">
        <v>0</v>
      </c>
      <c r="ON195">
        <v>0</v>
      </c>
    </row>
    <row r="196" spans="1:404" x14ac:dyDescent="0.25">
      <c r="A196" t="s">
        <v>653</v>
      </c>
      <c r="B196" t="s">
        <v>654</v>
      </c>
      <c r="C196" t="s">
        <v>652</v>
      </c>
      <c r="E196" t="s">
        <v>97</v>
      </c>
      <c r="F196">
        <v>23697</v>
      </c>
      <c r="G196">
        <v>171893</v>
      </c>
      <c r="H196">
        <v>73223</v>
      </c>
      <c r="I196">
        <v>26164</v>
      </c>
      <c r="J196">
        <v>4957</v>
      </c>
      <c r="K196">
        <v>13614</v>
      </c>
      <c r="L196">
        <v>313548</v>
      </c>
      <c r="M196">
        <v>-331</v>
      </c>
      <c r="N196">
        <v>0</v>
      </c>
      <c r="O196">
        <v>132</v>
      </c>
      <c r="P196">
        <v>1279</v>
      </c>
      <c r="Q196">
        <v>112</v>
      </c>
      <c r="R196">
        <v>593</v>
      </c>
      <c r="S196">
        <v>2197</v>
      </c>
      <c r="T196">
        <v>2027</v>
      </c>
      <c r="U196">
        <v>2863</v>
      </c>
      <c r="V196">
        <v>0</v>
      </c>
      <c r="W196">
        <v>26</v>
      </c>
      <c r="X196">
        <v>775</v>
      </c>
      <c r="Y196">
        <v>472</v>
      </c>
      <c r="Z196">
        <v>-500</v>
      </c>
      <c r="AA196">
        <v>-4</v>
      </c>
      <c r="AB196">
        <v>0</v>
      </c>
      <c r="AC196">
        <v>0</v>
      </c>
      <c r="AD196">
        <v>0</v>
      </c>
      <c r="AE196">
        <v>0</v>
      </c>
      <c r="AF196">
        <v>0</v>
      </c>
      <c r="AG196">
        <v>0</v>
      </c>
      <c r="AH196">
        <v>0</v>
      </c>
      <c r="AI196">
        <v>9641</v>
      </c>
      <c r="AJ196">
        <v>0</v>
      </c>
      <c r="AK196">
        <v>0</v>
      </c>
      <c r="AL196">
        <v>0</v>
      </c>
      <c r="AM196">
        <v>0</v>
      </c>
      <c r="AN196">
        <v>0</v>
      </c>
      <c r="AO196">
        <v>0</v>
      </c>
      <c r="AP196">
        <v>0</v>
      </c>
      <c r="AQ196">
        <v>464</v>
      </c>
      <c r="AR196">
        <v>1006</v>
      </c>
      <c r="AS196">
        <v>0</v>
      </c>
      <c r="AT196">
        <v>0</v>
      </c>
      <c r="AU196">
        <v>0</v>
      </c>
      <c r="AV196">
        <v>4391</v>
      </c>
      <c r="AW196">
        <v>39209</v>
      </c>
      <c r="AX196">
        <v>0</v>
      </c>
      <c r="AY196">
        <v>12556</v>
      </c>
      <c r="AZ196">
        <v>884</v>
      </c>
      <c r="BA196">
        <v>16646</v>
      </c>
      <c r="BB196">
        <v>480</v>
      </c>
      <c r="BC196">
        <v>2187</v>
      </c>
      <c r="BD196">
        <v>76353</v>
      </c>
      <c r="BE196">
        <v>9778</v>
      </c>
      <c r="BF196">
        <v>20001</v>
      </c>
      <c r="BG196">
        <v>201</v>
      </c>
      <c r="BH196">
        <v>855</v>
      </c>
      <c r="BI196">
        <v>257</v>
      </c>
      <c r="BJ196">
        <v>8969</v>
      </c>
      <c r="BK196">
        <v>45006</v>
      </c>
      <c r="BL196">
        <v>5268</v>
      </c>
      <c r="BM196">
        <v>10227</v>
      </c>
      <c r="BN196">
        <v>5414</v>
      </c>
      <c r="BO196">
        <v>1</v>
      </c>
      <c r="BP196">
        <v>160</v>
      </c>
      <c r="BQ196">
        <v>60</v>
      </c>
      <c r="BR196">
        <v>2732</v>
      </c>
      <c r="BS196">
        <v>810</v>
      </c>
      <c r="BT196">
        <v>11662</v>
      </c>
      <c r="BU196">
        <v>4259</v>
      </c>
      <c r="BV196">
        <v>14153</v>
      </c>
      <c r="BW196">
        <v>149422</v>
      </c>
      <c r="BX196">
        <v>1928</v>
      </c>
      <c r="BY196">
        <v>1966</v>
      </c>
      <c r="BZ196">
        <v>200</v>
      </c>
      <c r="CA196">
        <v>144</v>
      </c>
      <c r="CB196">
        <v>1248</v>
      </c>
      <c r="CC196">
        <v>9</v>
      </c>
      <c r="CD196">
        <v>286</v>
      </c>
      <c r="CE196">
        <v>148</v>
      </c>
      <c r="CF196">
        <v>0</v>
      </c>
      <c r="CG196">
        <v>728</v>
      </c>
      <c r="CH196">
        <v>400</v>
      </c>
      <c r="CI196">
        <v>4369</v>
      </c>
      <c r="CJ196">
        <v>1678</v>
      </c>
      <c r="CK196">
        <v>70</v>
      </c>
      <c r="CL196">
        <v>48</v>
      </c>
      <c r="CM196">
        <v>396</v>
      </c>
      <c r="CN196">
        <v>521</v>
      </c>
      <c r="CO196">
        <v>25</v>
      </c>
      <c r="CP196">
        <v>1785</v>
      </c>
      <c r="CQ196">
        <v>4980</v>
      </c>
      <c r="CR196">
        <v>430</v>
      </c>
      <c r="CS196">
        <v>4</v>
      </c>
      <c r="CT196">
        <v>633</v>
      </c>
      <c r="CU196">
        <v>5517</v>
      </c>
      <c r="CV196">
        <v>31915</v>
      </c>
      <c r="CW196">
        <v>430</v>
      </c>
      <c r="CX196">
        <v>15</v>
      </c>
      <c r="CY196">
        <v>832</v>
      </c>
      <c r="CZ196">
        <v>0</v>
      </c>
      <c r="DA196">
        <v>0</v>
      </c>
      <c r="DB196">
        <v>0</v>
      </c>
      <c r="DC196">
        <v>500</v>
      </c>
      <c r="DD196">
        <v>0</v>
      </c>
      <c r="DE196">
        <v>735</v>
      </c>
      <c r="DF196">
        <v>409</v>
      </c>
      <c r="DG196">
        <v>0</v>
      </c>
      <c r="DH196">
        <v>0</v>
      </c>
      <c r="DI196">
        <v>0</v>
      </c>
      <c r="DJ196">
        <v>1900</v>
      </c>
      <c r="DK196">
        <v>0</v>
      </c>
      <c r="DL196">
        <v>0</v>
      </c>
      <c r="DM196">
        <v>1430</v>
      </c>
      <c r="DN196">
        <v>1221</v>
      </c>
      <c r="DO196">
        <v>0</v>
      </c>
      <c r="DP196">
        <v>4551</v>
      </c>
      <c r="DQ196">
        <v>814</v>
      </c>
      <c r="DR196">
        <v>0</v>
      </c>
      <c r="DS196">
        <v>0</v>
      </c>
      <c r="DT196">
        <v>1258</v>
      </c>
      <c r="DU196">
        <v>0</v>
      </c>
      <c r="DV196">
        <v>3499</v>
      </c>
      <c r="DW196">
        <v>0</v>
      </c>
      <c r="DX196">
        <v>11766</v>
      </c>
      <c r="DY196">
        <v>80110</v>
      </c>
      <c r="DZ196">
        <v>633</v>
      </c>
      <c r="EA196">
        <v>2584</v>
      </c>
      <c r="EB196">
        <v>0</v>
      </c>
      <c r="EC196">
        <v>7912</v>
      </c>
      <c r="ED196">
        <v>58</v>
      </c>
      <c r="EE196">
        <v>4360</v>
      </c>
      <c r="EF196">
        <v>0</v>
      </c>
      <c r="EG196">
        <v>0</v>
      </c>
      <c r="EH196">
        <v>29298</v>
      </c>
      <c r="EI196">
        <v>36540</v>
      </c>
      <c r="EJ196">
        <v>1731</v>
      </c>
      <c r="EK196">
        <v>974</v>
      </c>
      <c r="EL196">
        <v>7552</v>
      </c>
      <c r="EM196">
        <v>18289</v>
      </c>
      <c r="EN196">
        <v>4590</v>
      </c>
      <c r="EO196">
        <v>22</v>
      </c>
      <c r="EP196">
        <v>0</v>
      </c>
      <c r="EQ196">
        <v>0</v>
      </c>
      <c r="ER196">
        <v>384</v>
      </c>
      <c r="ES196">
        <v>58417</v>
      </c>
      <c r="ET196">
        <v>54694</v>
      </c>
      <c r="EU196">
        <v>310</v>
      </c>
      <c r="EV196">
        <v>765</v>
      </c>
      <c r="EW196">
        <v>49</v>
      </c>
      <c r="EX196">
        <v>1400</v>
      </c>
      <c r="EY196">
        <v>2630</v>
      </c>
      <c r="EZ196">
        <v>1114</v>
      </c>
      <c r="FA196">
        <v>0</v>
      </c>
      <c r="FB196">
        <v>72</v>
      </c>
      <c r="FC196">
        <v>5001</v>
      </c>
      <c r="FD196">
        <v>5041</v>
      </c>
      <c r="FE196">
        <v>0</v>
      </c>
      <c r="FF196">
        <v>123</v>
      </c>
      <c r="FG196">
        <v>5928</v>
      </c>
      <c r="FH196">
        <v>22433</v>
      </c>
      <c r="FI196">
        <v>-338</v>
      </c>
      <c r="FJ196">
        <v>407</v>
      </c>
      <c r="FK196">
        <v>76</v>
      </c>
      <c r="FL196">
        <v>-24</v>
      </c>
      <c r="FM196">
        <v>2777</v>
      </c>
      <c r="FN196">
        <v>0</v>
      </c>
      <c r="FO196">
        <v>55</v>
      </c>
      <c r="FP196">
        <v>0</v>
      </c>
      <c r="FQ196">
        <v>0</v>
      </c>
      <c r="FR196">
        <v>37</v>
      </c>
      <c r="FS196">
        <v>0</v>
      </c>
      <c r="FT196">
        <v>291</v>
      </c>
      <c r="FU196">
        <v>-175</v>
      </c>
      <c r="FV196">
        <v>2317</v>
      </c>
      <c r="FW196">
        <v>0</v>
      </c>
      <c r="FX196">
        <v>0</v>
      </c>
      <c r="FY196">
        <v>0</v>
      </c>
      <c r="FZ196">
        <v>98</v>
      </c>
      <c r="GA196">
        <v>0</v>
      </c>
      <c r="GB196">
        <v>0</v>
      </c>
      <c r="GC196">
        <v>0</v>
      </c>
      <c r="GD196">
        <v>5659</v>
      </c>
      <c r="GE196">
        <v>5548</v>
      </c>
      <c r="GF196">
        <v>11372</v>
      </c>
      <c r="GG196">
        <v>848</v>
      </c>
      <c r="GH196">
        <v>8482</v>
      </c>
      <c r="GI196">
        <v>0</v>
      </c>
      <c r="GJ196">
        <v>0</v>
      </c>
      <c r="GK196">
        <v>37430</v>
      </c>
      <c r="GL196">
        <v>314</v>
      </c>
      <c r="GM196">
        <v>572</v>
      </c>
      <c r="GN196">
        <v>181</v>
      </c>
      <c r="GO196">
        <v>3080</v>
      </c>
      <c r="GP196">
        <v>341</v>
      </c>
      <c r="GQ196">
        <v>2836</v>
      </c>
      <c r="GR196">
        <v>0</v>
      </c>
      <c r="GS196">
        <v>828</v>
      </c>
      <c r="GT196">
        <v>1242</v>
      </c>
      <c r="GU196">
        <v>9394</v>
      </c>
      <c r="GV196">
        <v>69257</v>
      </c>
      <c r="GW196">
        <v>0</v>
      </c>
      <c r="GX196">
        <v>0</v>
      </c>
      <c r="GY196">
        <v>0</v>
      </c>
      <c r="GZ196">
        <v>0</v>
      </c>
      <c r="HA196">
        <v>0</v>
      </c>
      <c r="HB196">
        <v>6814</v>
      </c>
      <c r="HC196">
        <v>3326</v>
      </c>
      <c r="HD196">
        <v>0</v>
      </c>
      <c r="HE196">
        <v>2873</v>
      </c>
      <c r="HF196">
        <v>1411</v>
      </c>
      <c r="HG196">
        <v>337</v>
      </c>
      <c r="HH196">
        <v>0</v>
      </c>
      <c r="HI196">
        <v>287</v>
      </c>
      <c r="HJ196">
        <v>939</v>
      </c>
      <c r="HK196">
        <v>514</v>
      </c>
      <c r="HL196">
        <v>73</v>
      </c>
      <c r="HM196">
        <v>27</v>
      </c>
      <c r="HN196">
        <v>6115</v>
      </c>
      <c r="HO196">
        <v>523</v>
      </c>
      <c r="HP196">
        <v>876</v>
      </c>
      <c r="HQ196">
        <v>0</v>
      </c>
      <c r="HR196">
        <v>5391</v>
      </c>
      <c r="HS196">
        <v>0</v>
      </c>
      <c r="HT196">
        <v>0</v>
      </c>
      <c r="HU196">
        <v>-8210</v>
      </c>
      <c r="HV196">
        <v>21296</v>
      </c>
      <c r="HW196">
        <v>8594</v>
      </c>
      <c r="HX196">
        <v>54259</v>
      </c>
      <c r="HY196">
        <v>0</v>
      </c>
      <c r="HZ196">
        <v>4463</v>
      </c>
      <c r="IA196">
        <v>33</v>
      </c>
      <c r="IB196">
        <v>1056</v>
      </c>
      <c r="IC196">
        <v>313548</v>
      </c>
      <c r="ID196">
        <v>9641</v>
      </c>
      <c r="IE196">
        <v>76353</v>
      </c>
      <c r="IF196">
        <v>149422</v>
      </c>
      <c r="IG196">
        <v>31915</v>
      </c>
      <c r="IH196">
        <v>11766</v>
      </c>
      <c r="II196">
        <v>22433</v>
      </c>
      <c r="IJ196">
        <v>37430</v>
      </c>
      <c r="IK196">
        <v>9394</v>
      </c>
      <c r="IL196">
        <v>0</v>
      </c>
      <c r="IM196">
        <v>0</v>
      </c>
      <c r="IN196">
        <v>21296</v>
      </c>
      <c r="IO196">
        <v>1056</v>
      </c>
      <c r="IP196">
        <v>684254</v>
      </c>
      <c r="IQ196">
        <v>36714</v>
      </c>
      <c r="IR196">
        <v>0</v>
      </c>
      <c r="IS196">
        <v>31010</v>
      </c>
      <c r="IT196">
        <v>0</v>
      </c>
      <c r="IU196">
        <v>0</v>
      </c>
      <c r="IV196">
        <v>703</v>
      </c>
      <c r="IW196">
        <v>17924</v>
      </c>
      <c r="IX196">
        <v>0</v>
      </c>
      <c r="IY196">
        <v>0</v>
      </c>
      <c r="IZ196">
        <v>0</v>
      </c>
      <c r="JA196">
        <v>276</v>
      </c>
      <c r="JB196">
        <v>-1789</v>
      </c>
      <c r="JC196">
        <v>-171</v>
      </c>
      <c r="JD196">
        <v>-235</v>
      </c>
      <c r="JE196">
        <v>-632</v>
      </c>
      <c r="JF196">
        <v>0</v>
      </c>
      <c r="JG196">
        <v>768054</v>
      </c>
      <c r="JH196">
        <v>210</v>
      </c>
      <c r="JI196">
        <v>0</v>
      </c>
      <c r="JJ196">
        <v>0</v>
      </c>
      <c r="JK196">
        <v>-3100</v>
      </c>
      <c r="JL196">
        <v>0</v>
      </c>
      <c r="JM196">
        <v>904</v>
      </c>
      <c r="JN196">
        <v>1893</v>
      </c>
      <c r="JO196">
        <v>0</v>
      </c>
      <c r="JP196">
        <v>18307</v>
      </c>
      <c r="JQ196">
        <v>-7587</v>
      </c>
      <c r="JR196">
        <v>778681</v>
      </c>
      <c r="JS196">
        <v>-2807</v>
      </c>
      <c r="JT196">
        <v>0</v>
      </c>
      <c r="JU196">
        <v>286</v>
      </c>
      <c r="JV196">
        <v>0</v>
      </c>
      <c r="JW196">
        <v>-67732</v>
      </c>
      <c r="JX196">
        <v>0</v>
      </c>
      <c r="JY196">
        <v>0</v>
      </c>
      <c r="JZ196">
        <v>0</v>
      </c>
      <c r="KA196">
        <v>0</v>
      </c>
      <c r="KB196">
        <v>2852</v>
      </c>
      <c r="KC196">
        <v>711280</v>
      </c>
      <c r="KD196">
        <v>0</v>
      </c>
      <c r="KE196">
        <v>-372432</v>
      </c>
      <c r="KF196">
        <v>338848</v>
      </c>
      <c r="KG196">
        <v>0</v>
      </c>
      <c r="KH196">
        <v>1941</v>
      </c>
      <c r="KI196">
        <v>0</v>
      </c>
      <c r="KJ196">
        <v>-97</v>
      </c>
      <c r="KK196">
        <v>-32363</v>
      </c>
      <c r="KL196">
        <v>-41</v>
      </c>
      <c r="KM196">
        <v>-13105</v>
      </c>
      <c r="KN196">
        <v>0</v>
      </c>
      <c r="KO196">
        <v>-60167</v>
      </c>
      <c r="KP196">
        <v>-3810</v>
      </c>
      <c r="KQ196">
        <v>0</v>
      </c>
      <c r="KR196">
        <v>197123</v>
      </c>
      <c r="KS196">
        <v>13562</v>
      </c>
      <c r="KT196">
        <v>0</v>
      </c>
      <c r="KU196">
        <v>1539</v>
      </c>
      <c r="KV196">
        <v>172249</v>
      </c>
      <c r="KW196">
        <v>10003</v>
      </c>
      <c r="KX196">
        <v>15503</v>
      </c>
      <c r="KY196">
        <v>0</v>
      </c>
      <c r="KZ196">
        <v>1442</v>
      </c>
      <c r="LA196">
        <v>139886</v>
      </c>
      <c r="LB196">
        <v>9962</v>
      </c>
      <c r="LC196">
        <v>0</v>
      </c>
      <c r="LD196">
        <v>37253</v>
      </c>
      <c r="LE196">
        <v>0</v>
      </c>
      <c r="LF196">
        <v>8085</v>
      </c>
      <c r="LG196">
        <v>-6835</v>
      </c>
      <c r="LH196">
        <v>28343</v>
      </c>
      <c r="LI196">
        <v>66846</v>
      </c>
      <c r="LJ196">
        <v>11985</v>
      </c>
      <c r="LK196">
        <v>22132</v>
      </c>
      <c r="LL196">
        <v>34117</v>
      </c>
      <c r="LM196">
        <v>0</v>
      </c>
      <c r="LN196">
        <v>0</v>
      </c>
      <c r="LO196">
        <v>0</v>
      </c>
      <c r="LP196">
        <v>95657</v>
      </c>
      <c r="LQ196">
        <v>99380</v>
      </c>
      <c r="LR196">
        <v>-3723</v>
      </c>
      <c r="LS196">
        <v>58417</v>
      </c>
      <c r="LT196">
        <v>54694</v>
      </c>
      <c r="LU196">
        <v>313548</v>
      </c>
      <c r="LV196">
        <v>9641</v>
      </c>
      <c r="LW196">
        <v>76353</v>
      </c>
      <c r="LX196">
        <v>149422</v>
      </c>
      <c r="LY196">
        <v>31915</v>
      </c>
      <c r="LZ196">
        <v>11766</v>
      </c>
      <c r="MA196">
        <v>22433</v>
      </c>
      <c r="MB196">
        <v>37430</v>
      </c>
      <c r="MC196">
        <v>9394</v>
      </c>
      <c r="MD196">
        <v>0</v>
      </c>
      <c r="ME196">
        <v>0</v>
      </c>
      <c r="MF196">
        <v>21296</v>
      </c>
      <c r="MG196">
        <v>1056</v>
      </c>
      <c r="MH196">
        <v>684254</v>
      </c>
      <c r="MI196">
        <v>0</v>
      </c>
      <c r="MJ196">
        <v>0</v>
      </c>
      <c r="MK196">
        <v>0</v>
      </c>
      <c r="ML196">
        <v>0</v>
      </c>
      <c r="MM196">
        <v>0</v>
      </c>
      <c r="MN196">
        <v>0</v>
      </c>
      <c r="MO196">
        <v>0</v>
      </c>
      <c r="MP196">
        <v>0</v>
      </c>
      <c r="MQ196">
        <v>0</v>
      </c>
      <c r="MR196">
        <v>0</v>
      </c>
      <c r="MS196">
        <v>0</v>
      </c>
      <c r="MT196">
        <v>0</v>
      </c>
      <c r="MU196">
        <v>0</v>
      </c>
      <c r="MV196">
        <v>0</v>
      </c>
      <c r="MW196">
        <v>0</v>
      </c>
      <c r="MX196">
        <v>0</v>
      </c>
      <c r="MY196">
        <v>0</v>
      </c>
      <c r="MZ196">
        <v>0</v>
      </c>
      <c r="NA196">
        <v>105</v>
      </c>
      <c r="NB196">
        <v>171</v>
      </c>
      <c r="NC196">
        <v>276</v>
      </c>
      <c r="ND196">
        <v>0</v>
      </c>
      <c r="NE196">
        <v>0</v>
      </c>
      <c r="NF196">
        <v>0</v>
      </c>
      <c r="NG196">
        <v>0</v>
      </c>
      <c r="NH196">
        <v>0</v>
      </c>
      <c r="NI196">
        <v>0</v>
      </c>
      <c r="NJ196">
        <v>0</v>
      </c>
      <c r="NK196">
        <v>0</v>
      </c>
      <c r="NL196">
        <v>0</v>
      </c>
      <c r="NM196">
        <v>0</v>
      </c>
      <c r="NN196">
        <v>-1334</v>
      </c>
      <c r="NO196">
        <v>0</v>
      </c>
      <c r="NP196">
        <v>0</v>
      </c>
      <c r="NQ196">
        <v>-690</v>
      </c>
      <c r="NR196">
        <v>0</v>
      </c>
      <c r="NS196">
        <v>0</v>
      </c>
      <c r="NT196">
        <v>0</v>
      </c>
      <c r="NU196">
        <v>0</v>
      </c>
      <c r="NV196">
        <v>0</v>
      </c>
      <c r="NW196">
        <v>0</v>
      </c>
      <c r="NX196">
        <v>0</v>
      </c>
      <c r="NY196">
        <v>0</v>
      </c>
      <c r="NZ196">
        <v>-2024</v>
      </c>
      <c r="OA196">
        <v>235</v>
      </c>
      <c r="OB196">
        <v>-1789</v>
      </c>
      <c r="OC196">
        <v>171</v>
      </c>
      <c r="OD196">
        <v>0</v>
      </c>
      <c r="OE196">
        <v>0</v>
      </c>
      <c r="OF196">
        <v>0</v>
      </c>
      <c r="OG196">
        <v>0</v>
      </c>
      <c r="OH196">
        <v>171</v>
      </c>
      <c r="OI196">
        <v>235</v>
      </c>
      <c r="OJ196">
        <v>0</v>
      </c>
      <c r="OK196">
        <v>0</v>
      </c>
      <c r="OL196">
        <v>0</v>
      </c>
      <c r="OM196">
        <v>0</v>
      </c>
      <c r="ON196">
        <v>235</v>
      </c>
    </row>
    <row r="197" spans="1:404" x14ac:dyDescent="0.25">
      <c r="A197" t="s">
        <v>656</v>
      </c>
      <c r="B197" t="s">
        <v>657</v>
      </c>
      <c r="C197" t="s">
        <v>655</v>
      </c>
      <c r="E197" t="s">
        <v>97</v>
      </c>
      <c r="F197">
        <v>8406</v>
      </c>
      <c r="G197">
        <v>59575</v>
      </c>
      <c r="H197">
        <v>29214</v>
      </c>
      <c r="I197">
        <v>27156</v>
      </c>
      <c r="J197">
        <v>1816</v>
      </c>
      <c r="K197">
        <v>9641</v>
      </c>
      <c r="L197">
        <v>135808</v>
      </c>
      <c r="M197">
        <v>47</v>
      </c>
      <c r="N197">
        <v>178</v>
      </c>
      <c r="O197">
        <v>0</v>
      </c>
      <c r="P197">
        <v>0</v>
      </c>
      <c r="Q197">
        <v>171</v>
      </c>
      <c r="R197">
        <v>792</v>
      </c>
      <c r="S197">
        <v>1205</v>
      </c>
      <c r="T197">
        <v>183</v>
      </c>
      <c r="U197">
        <v>5806</v>
      </c>
      <c r="V197">
        <v>0</v>
      </c>
      <c r="W197">
        <v>0</v>
      </c>
      <c r="X197">
        <v>316</v>
      </c>
      <c r="Y197">
        <v>490</v>
      </c>
      <c r="Z197">
        <v>-60</v>
      </c>
      <c r="AA197">
        <v>300</v>
      </c>
      <c r="AB197">
        <v>0</v>
      </c>
      <c r="AC197">
        <v>0</v>
      </c>
      <c r="AD197">
        <v>82</v>
      </c>
      <c r="AE197">
        <v>0</v>
      </c>
      <c r="AF197">
        <v>0</v>
      </c>
      <c r="AG197">
        <v>0</v>
      </c>
      <c r="AH197">
        <v>0</v>
      </c>
      <c r="AI197">
        <v>9510</v>
      </c>
      <c r="AJ197">
        <v>0</v>
      </c>
      <c r="AK197">
        <v>0</v>
      </c>
      <c r="AL197">
        <v>0</v>
      </c>
      <c r="AM197">
        <v>0</v>
      </c>
      <c r="AN197">
        <v>0</v>
      </c>
      <c r="AO197">
        <v>0</v>
      </c>
      <c r="AP197">
        <v>0</v>
      </c>
      <c r="AQ197">
        <v>168</v>
      </c>
      <c r="AR197">
        <v>0</v>
      </c>
      <c r="AS197">
        <v>0</v>
      </c>
      <c r="AT197">
        <v>0</v>
      </c>
      <c r="AU197">
        <v>0</v>
      </c>
      <c r="AV197">
        <v>179</v>
      </c>
      <c r="AW197">
        <v>18228</v>
      </c>
      <c r="AX197">
        <v>203</v>
      </c>
      <c r="AY197">
        <v>6307</v>
      </c>
      <c r="AZ197">
        <v>2009</v>
      </c>
      <c r="BA197">
        <v>7204</v>
      </c>
      <c r="BB197">
        <v>0</v>
      </c>
      <c r="BC197">
        <v>1052</v>
      </c>
      <c r="BD197">
        <v>35182</v>
      </c>
      <c r="BE197">
        <v>2242</v>
      </c>
      <c r="BF197">
        <v>7476</v>
      </c>
      <c r="BG197">
        <v>611</v>
      </c>
      <c r="BH197">
        <v>91</v>
      </c>
      <c r="BI197">
        <v>120</v>
      </c>
      <c r="BJ197">
        <v>2127</v>
      </c>
      <c r="BK197">
        <v>25234</v>
      </c>
      <c r="BL197">
        <v>4198</v>
      </c>
      <c r="BM197">
        <v>2185</v>
      </c>
      <c r="BN197">
        <v>1472</v>
      </c>
      <c r="BO197">
        <v>169</v>
      </c>
      <c r="BP197">
        <v>0</v>
      </c>
      <c r="BQ197">
        <v>135</v>
      </c>
      <c r="BR197">
        <v>1662</v>
      </c>
      <c r="BS197">
        <v>1377</v>
      </c>
      <c r="BT197">
        <v>6774</v>
      </c>
      <c r="BU197">
        <v>1907</v>
      </c>
      <c r="BV197">
        <v>3629</v>
      </c>
      <c r="BW197">
        <v>65158</v>
      </c>
      <c r="BX197">
        <v>547</v>
      </c>
      <c r="BY197">
        <v>975</v>
      </c>
      <c r="BZ197">
        <v>331</v>
      </c>
      <c r="CA197">
        <v>89</v>
      </c>
      <c r="CB197">
        <v>92</v>
      </c>
      <c r="CC197">
        <v>24</v>
      </c>
      <c r="CD197">
        <v>48</v>
      </c>
      <c r="CE197">
        <v>555</v>
      </c>
      <c r="CF197">
        <v>271</v>
      </c>
      <c r="CG197">
        <v>365</v>
      </c>
      <c r="CH197">
        <v>78</v>
      </c>
      <c r="CI197">
        <v>1484</v>
      </c>
      <c r="CJ197">
        <v>1046</v>
      </c>
      <c r="CK197">
        <v>280</v>
      </c>
      <c r="CL197">
        <v>339</v>
      </c>
      <c r="CM197">
        <v>24</v>
      </c>
      <c r="CN197">
        <v>609</v>
      </c>
      <c r="CO197">
        <v>110</v>
      </c>
      <c r="CP197">
        <v>2252</v>
      </c>
      <c r="CQ197">
        <v>2357</v>
      </c>
      <c r="CR197">
        <v>2296</v>
      </c>
      <c r="CS197">
        <v>74</v>
      </c>
      <c r="CT197">
        <v>331</v>
      </c>
      <c r="CU197">
        <v>1567</v>
      </c>
      <c r="CV197">
        <v>24690</v>
      </c>
      <c r="CW197">
        <v>143</v>
      </c>
      <c r="CX197">
        <v>10</v>
      </c>
      <c r="CY197">
        <v>228</v>
      </c>
      <c r="CZ197">
        <v>59</v>
      </c>
      <c r="DA197">
        <v>0</v>
      </c>
      <c r="DB197">
        <v>0</v>
      </c>
      <c r="DC197">
        <v>403</v>
      </c>
      <c r="DD197">
        <v>0</v>
      </c>
      <c r="DE197">
        <v>455</v>
      </c>
      <c r="DF197">
        <v>518</v>
      </c>
      <c r="DG197">
        <v>0</v>
      </c>
      <c r="DH197">
        <v>0</v>
      </c>
      <c r="DI197">
        <v>0</v>
      </c>
      <c r="DJ197">
        <v>0</v>
      </c>
      <c r="DK197">
        <v>0</v>
      </c>
      <c r="DL197">
        <v>0</v>
      </c>
      <c r="DM197">
        <v>336</v>
      </c>
      <c r="DN197">
        <v>0</v>
      </c>
      <c r="DO197">
        <v>437</v>
      </c>
      <c r="DP197">
        <v>773</v>
      </c>
      <c r="DQ197">
        <v>0</v>
      </c>
      <c r="DR197">
        <v>0</v>
      </c>
      <c r="DS197">
        <v>0</v>
      </c>
      <c r="DT197">
        <v>591</v>
      </c>
      <c r="DU197">
        <v>0</v>
      </c>
      <c r="DV197">
        <v>0</v>
      </c>
      <c r="DW197">
        <v>0</v>
      </c>
      <c r="DX197">
        <v>2740</v>
      </c>
      <c r="DY197">
        <v>0</v>
      </c>
      <c r="DZ197">
        <v>0</v>
      </c>
      <c r="EA197">
        <v>0</v>
      </c>
      <c r="EB197">
        <v>0</v>
      </c>
      <c r="EC197">
        <v>0</v>
      </c>
      <c r="ED197">
        <v>0</v>
      </c>
      <c r="EE197">
        <v>0</v>
      </c>
      <c r="EF197">
        <v>0</v>
      </c>
      <c r="EG197">
        <v>0</v>
      </c>
      <c r="EH197">
        <v>0</v>
      </c>
      <c r="EI197">
        <v>0</v>
      </c>
      <c r="EJ197">
        <v>0</v>
      </c>
      <c r="EK197">
        <v>0</v>
      </c>
      <c r="EL197">
        <v>0</v>
      </c>
      <c r="EM197">
        <v>0</v>
      </c>
      <c r="EN197">
        <v>0</v>
      </c>
      <c r="EO197">
        <v>0</v>
      </c>
      <c r="EP197">
        <v>0</v>
      </c>
      <c r="EQ197">
        <v>0</v>
      </c>
      <c r="ER197">
        <v>0</v>
      </c>
      <c r="ES197">
        <v>0</v>
      </c>
      <c r="ET197">
        <v>0</v>
      </c>
      <c r="EU197">
        <v>0</v>
      </c>
      <c r="EV197">
        <v>1137</v>
      </c>
      <c r="EW197">
        <v>525</v>
      </c>
      <c r="EX197">
        <v>0</v>
      </c>
      <c r="EY197">
        <v>212</v>
      </c>
      <c r="EZ197">
        <v>112</v>
      </c>
      <c r="FA197">
        <v>0</v>
      </c>
      <c r="FB197">
        <v>8</v>
      </c>
      <c r="FC197">
        <v>1215</v>
      </c>
      <c r="FD197">
        <v>1150</v>
      </c>
      <c r="FE197">
        <v>2</v>
      </c>
      <c r="FF197">
        <v>0</v>
      </c>
      <c r="FG197">
        <v>1265</v>
      </c>
      <c r="FH197">
        <v>5626</v>
      </c>
      <c r="FI197">
        <v>-64</v>
      </c>
      <c r="FJ197">
        <v>445</v>
      </c>
      <c r="FK197">
        <v>0</v>
      </c>
      <c r="FL197">
        <v>100</v>
      </c>
      <c r="FM197">
        <v>309</v>
      </c>
      <c r="FN197">
        <v>110</v>
      </c>
      <c r="FO197">
        <v>80</v>
      </c>
      <c r="FP197">
        <v>0</v>
      </c>
      <c r="FQ197">
        <v>0</v>
      </c>
      <c r="FR197">
        <v>9</v>
      </c>
      <c r="FS197">
        <v>0</v>
      </c>
      <c r="FT197">
        <v>208</v>
      </c>
      <c r="FU197">
        <v>59</v>
      </c>
      <c r="FV197">
        <v>714</v>
      </c>
      <c r="FW197">
        <v>0</v>
      </c>
      <c r="FX197">
        <v>9</v>
      </c>
      <c r="FY197">
        <v>0</v>
      </c>
      <c r="FZ197">
        <v>0</v>
      </c>
      <c r="GA197">
        <v>0</v>
      </c>
      <c r="GB197">
        <v>0</v>
      </c>
      <c r="GC197">
        <v>0</v>
      </c>
      <c r="GD197">
        <v>0</v>
      </c>
      <c r="GE197">
        <v>2171</v>
      </c>
      <c r="GF197">
        <v>0</v>
      </c>
      <c r="GG197">
        <v>-36</v>
      </c>
      <c r="GH197">
        <v>37</v>
      </c>
      <c r="GI197">
        <v>0</v>
      </c>
      <c r="GJ197">
        <v>125</v>
      </c>
      <c r="GK197">
        <v>4276</v>
      </c>
      <c r="GL197">
        <v>38</v>
      </c>
      <c r="GM197">
        <v>311</v>
      </c>
      <c r="GN197">
        <v>0</v>
      </c>
      <c r="GO197">
        <v>207</v>
      </c>
      <c r="GP197">
        <v>472</v>
      </c>
      <c r="GQ197">
        <v>3238</v>
      </c>
      <c r="GR197">
        <v>0</v>
      </c>
      <c r="GS197">
        <v>-1671</v>
      </c>
      <c r="GT197">
        <v>2516</v>
      </c>
      <c r="GU197">
        <v>5111</v>
      </c>
      <c r="GV197">
        <v>15013</v>
      </c>
      <c r="GW197">
        <v>0</v>
      </c>
      <c r="GX197">
        <v>0</v>
      </c>
      <c r="GY197">
        <v>0</v>
      </c>
      <c r="GZ197">
        <v>0</v>
      </c>
      <c r="HA197">
        <v>0</v>
      </c>
      <c r="HB197">
        <v>4081</v>
      </c>
      <c r="HC197">
        <v>129</v>
      </c>
      <c r="HD197">
        <v>0</v>
      </c>
      <c r="HE197">
        <v>0</v>
      </c>
      <c r="HF197">
        <v>516</v>
      </c>
      <c r="HG197">
        <v>47</v>
      </c>
      <c r="HH197">
        <v>0</v>
      </c>
      <c r="HI197">
        <v>-44</v>
      </c>
      <c r="HJ197">
        <v>144</v>
      </c>
      <c r="HK197">
        <v>233</v>
      </c>
      <c r="HL197">
        <v>57</v>
      </c>
      <c r="HM197">
        <v>-74</v>
      </c>
      <c r="HN197">
        <v>1063</v>
      </c>
      <c r="HO197">
        <v>325</v>
      </c>
      <c r="HP197">
        <v>0</v>
      </c>
      <c r="HQ197">
        <v>0</v>
      </c>
      <c r="HR197">
        <v>0</v>
      </c>
      <c r="HS197">
        <v>0</v>
      </c>
      <c r="HT197">
        <v>0</v>
      </c>
      <c r="HU197">
        <v>13165</v>
      </c>
      <c r="HV197">
        <v>19642</v>
      </c>
      <c r="HW197">
        <v>0</v>
      </c>
      <c r="HX197">
        <v>0</v>
      </c>
      <c r="HY197">
        <v>0</v>
      </c>
      <c r="HZ197">
        <v>0</v>
      </c>
      <c r="IA197">
        <v>1050</v>
      </c>
      <c r="IB197">
        <v>0</v>
      </c>
      <c r="IC197">
        <v>135808</v>
      </c>
      <c r="ID197">
        <v>9510</v>
      </c>
      <c r="IE197">
        <v>35182</v>
      </c>
      <c r="IF197">
        <v>65158</v>
      </c>
      <c r="IG197">
        <v>24690</v>
      </c>
      <c r="IH197">
        <v>2740</v>
      </c>
      <c r="II197">
        <v>5626</v>
      </c>
      <c r="IJ197">
        <v>4276</v>
      </c>
      <c r="IK197">
        <v>5111</v>
      </c>
      <c r="IL197">
        <v>0</v>
      </c>
      <c r="IM197">
        <v>0</v>
      </c>
      <c r="IN197">
        <v>19642</v>
      </c>
      <c r="IO197">
        <v>0</v>
      </c>
      <c r="IP197">
        <v>307743</v>
      </c>
      <c r="IQ197">
        <v>48284</v>
      </c>
      <c r="IR197">
        <v>0</v>
      </c>
      <c r="IS197">
        <v>0</v>
      </c>
      <c r="IT197">
        <v>0</v>
      </c>
      <c r="IU197">
        <v>0</v>
      </c>
      <c r="IV197">
        <v>1354</v>
      </c>
      <c r="IW197">
        <v>10279</v>
      </c>
      <c r="IX197">
        <v>8426</v>
      </c>
      <c r="IY197">
        <v>0</v>
      </c>
      <c r="IZ197">
        <v>276</v>
      </c>
      <c r="JA197">
        <v>-216</v>
      </c>
      <c r="JB197">
        <v>5812</v>
      </c>
      <c r="JC197">
        <v>0</v>
      </c>
      <c r="JD197">
        <v>0</v>
      </c>
      <c r="JE197">
        <v>0</v>
      </c>
      <c r="JF197">
        <v>0</v>
      </c>
      <c r="JG197">
        <v>381958</v>
      </c>
      <c r="JH197">
        <v>72</v>
      </c>
      <c r="JI197">
        <v>3729</v>
      </c>
      <c r="JJ197">
        <v>51</v>
      </c>
      <c r="JK197">
        <v>0</v>
      </c>
      <c r="JL197">
        <v>-1215</v>
      </c>
      <c r="JM197">
        <v>995</v>
      </c>
      <c r="JN197">
        <v>3972</v>
      </c>
      <c r="JO197">
        <v>0</v>
      </c>
      <c r="JP197">
        <v>12350</v>
      </c>
      <c r="JQ197">
        <v>0</v>
      </c>
      <c r="JR197">
        <v>401912</v>
      </c>
      <c r="JS197">
        <v>-4338</v>
      </c>
      <c r="JT197">
        <v>-3485</v>
      </c>
      <c r="JU197">
        <v>42</v>
      </c>
      <c r="JV197">
        <v>0</v>
      </c>
      <c r="JW197">
        <v>-52030</v>
      </c>
      <c r="JX197">
        <v>0</v>
      </c>
      <c r="JY197">
        <v>0</v>
      </c>
      <c r="JZ197">
        <v>0</v>
      </c>
      <c r="KA197">
        <v>0</v>
      </c>
      <c r="KB197">
        <v>2476</v>
      </c>
      <c r="KC197">
        <v>344577</v>
      </c>
      <c r="KD197">
        <v>0</v>
      </c>
      <c r="KE197">
        <v>-168860</v>
      </c>
      <c r="KF197">
        <v>175717</v>
      </c>
      <c r="KG197">
        <v>0</v>
      </c>
      <c r="KH197">
        <v>3691</v>
      </c>
      <c r="KI197">
        <v>-2475</v>
      </c>
      <c r="KJ197">
        <v>12</v>
      </c>
      <c r="KK197">
        <v>752</v>
      </c>
      <c r="KL197">
        <v>3591</v>
      </c>
      <c r="KM197">
        <v>0</v>
      </c>
      <c r="KN197">
        <v>0</v>
      </c>
      <c r="KO197">
        <v>-104707</v>
      </c>
      <c r="KP197">
        <v>0</v>
      </c>
      <c r="KQ197">
        <v>0</v>
      </c>
      <c r="KR197">
        <v>61556</v>
      </c>
      <c r="KS197">
        <v>24969</v>
      </c>
      <c r="KT197">
        <v>-412</v>
      </c>
      <c r="KU197">
        <v>2986</v>
      </c>
      <c r="KV197">
        <v>78304</v>
      </c>
      <c r="KW197">
        <v>4984</v>
      </c>
      <c r="KX197">
        <v>28660</v>
      </c>
      <c r="KY197">
        <v>-2887</v>
      </c>
      <c r="KZ197">
        <v>2998</v>
      </c>
      <c r="LA197">
        <v>79056</v>
      </c>
      <c r="LB197">
        <v>8575</v>
      </c>
      <c r="LC197">
        <v>0</v>
      </c>
      <c r="LD197">
        <v>12999</v>
      </c>
      <c r="LE197">
        <v>1540</v>
      </c>
      <c r="LF197">
        <v>1124</v>
      </c>
      <c r="LG197">
        <v>0</v>
      </c>
      <c r="LH197">
        <v>4057</v>
      </c>
      <c r="LI197">
        <v>6068</v>
      </c>
      <c r="LJ197">
        <v>7767</v>
      </c>
      <c r="LK197">
        <v>9469</v>
      </c>
      <c r="LL197">
        <v>17236</v>
      </c>
      <c r="LM197">
        <v>0</v>
      </c>
      <c r="LN197">
        <v>0</v>
      </c>
      <c r="LO197">
        <v>0</v>
      </c>
      <c r="LP197">
        <v>0</v>
      </c>
      <c r="LQ197">
        <v>0</v>
      </c>
      <c r="LR197">
        <v>0</v>
      </c>
      <c r="LS197">
        <v>0</v>
      </c>
      <c r="LT197">
        <v>0</v>
      </c>
      <c r="LU197">
        <v>135808</v>
      </c>
      <c r="LV197">
        <v>9510</v>
      </c>
      <c r="LW197">
        <v>35182</v>
      </c>
      <c r="LX197">
        <v>65158</v>
      </c>
      <c r="LY197">
        <v>24690</v>
      </c>
      <c r="LZ197">
        <v>2740</v>
      </c>
      <c r="MA197">
        <v>5626</v>
      </c>
      <c r="MB197">
        <v>4276</v>
      </c>
      <c r="MC197">
        <v>5111</v>
      </c>
      <c r="MD197">
        <v>0</v>
      </c>
      <c r="ME197">
        <v>0</v>
      </c>
      <c r="MF197">
        <v>19642</v>
      </c>
      <c r="MG197">
        <v>0</v>
      </c>
      <c r="MH197">
        <v>307743</v>
      </c>
      <c r="MI197">
        <v>0</v>
      </c>
      <c r="MJ197">
        <v>0</v>
      </c>
      <c r="MK197">
        <v>0</v>
      </c>
      <c r="ML197">
        <v>0</v>
      </c>
      <c r="MM197">
        <v>0</v>
      </c>
      <c r="MN197">
        <v>0</v>
      </c>
      <c r="MO197">
        <v>0</v>
      </c>
      <c r="MP197">
        <v>0</v>
      </c>
      <c r="MQ197">
        <v>0</v>
      </c>
      <c r="MR197">
        <v>0</v>
      </c>
      <c r="MS197">
        <v>0</v>
      </c>
      <c r="MT197">
        <v>0</v>
      </c>
      <c r="MU197">
        <v>0</v>
      </c>
      <c r="MV197">
        <v>0</v>
      </c>
      <c r="MW197">
        <v>0</v>
      </c>
      <c r="MX197">
        <v>0</v>
      </c>
      <c r="MY197">
        <v>0</v>
      </c>
      <c r="MZ197">
        <v>-216</v>
      </c>
      <c r="NA197">
        <v>-216</v>
      </c>
      <c r="NB197">
        <v>0</v>
      </c>
      <c r="NC197">
        <v>-216</v>
      </c>
      <c r="ND197">
        <v>0</v>
      </c>
      <c r="NE197">
        <v>0</v>
      </c>
      <c r="NF197">
        <v>0</v>
      </c>
      <c r="NG197">
        <v>0</v>
      </c>
      <c r="NH197">
        <v>0</v>
      </c>
      <c r="NI197">
        <v>0</v>
      </c>
      <c r="NJ197">
        <v>0</v>
      </c>
      <c r="NK197">
        <v>0</v>
      </c>
      <c r="NL197">
        <v>2150</v>
      </c>
      <c r="NM197">
        <v>0</v>
      </c>
      <c r="NN197">
        <v>-570</v>
      </c>
      <c r="NO197">
        <v>0</v>
      </c>
      <c r="NP197">
        <v>1717</v>
      </c>
      <c r="NQ197">
        <v>-532</v>
      </c>
      <c r="NR197">
        <v>0</v>
      </c>
      <c r="NS197">
        <v>0</v>
      </c>
      <c r="NT197">
        <v>1016</v>
      </c>
      <c r="NU197">
        <v>0</v>
      </c>
      <c r="NV197">
        <v>0</v>
      </c>
      <c r="NW197">
        <v>0</v>
      </c>
      <c r="NX197">
        <v>0</v>
      </c>
      <c r="NY197">
        <v>0</v>
      </c>
      <c r="NZ197">
        <v>5812</v>
      </c>
      <c r="OA197">
        <v>0</v>
      </c>
      <c r="OB197">
        <v>5812</v>
      </c>
      <c r="OC197">
        <v>0</v>
      </c>
      <c r="OD197">
        <v>0</v>
      </c>
      <c r="OE197">
        <v>0</v>
      </c>
      <c r="OF197">
        <v>0</v>
      </c>
      <c r="OG197">
        <v>0</v>
      </c>
      <c r="OH197">
        <v>0</v>
      </c>
      <c r="OI197">
        <v>0</v>
      </c>
      <c r="OJ197">
        <v>0</v>
      </c>
      <c r="OK197">
        <v>0</v>
      </c>
      <c r="OL197">
        <v>0</v>
      </c>
      <c r="OM197">
        <v>0</v>
      </c>
      <c r="ON197">
        <v>0</v>
      </c>
    </row>
    <row r="198" spans="1:404" x14ac:dyDescent="0.25">
      <c r="A198" t="s">
        <v>659</v>
      </c>
      <c r="B198" t="s">
        <v>660</v>
      </c>
      <c r="C198" t="s">
        <v>5432</v>
      </c>
      <c r="E198" t="s">
        <v>5418</v>
      </c>
      <c r="F198">
        <v>0</v>
      </c>
      <c r="G198">
        <v>0</v>
      </c>
      <c r="H198">
        <v>0</v>
      </c>
      <c r="I198">
        <v>0</v>
      </c>
      <c r="J198">
        <v>0</v>
      </c>
      <c r="K198">
        <v>0</v>
      </c>
      <c r="L198">
        <v>0</v>
      </c>
      <c r="M198">
        <v>0</v>
      </c>
      <c r="N198">
        <v>39</v>
      </c>
      <c r="O198">
        <v>0</v>
      </c>
      <c r="P198">
        <v>0</v>
      </c>
      <c r="Q198">
        <v>0</v>
      </c>
      <c r="R198">
        <v>0</v>
      </c>
      <c r="S198">
        <v>0</v>
      </c>
      <c r="T198">
        <v>0</v>
      </c>
      <c r="U198">
        <v>0</v>
      </c>
      <c r="V198">
        <v>0</v>
      </c>
      <c r="W198">
        <v>0</v>
      </c>
      <c r="X198">
        <v>0</v>
      </c>
      <c r="Y198">
        <v>0</v>
      </c>
      <c r="Z198">
        <v>0</v>
      </c>
      <c r="AA198">
        <v>-1102</v>
      </c>
      <c r="AB198">
        <v>0</v>
      </c>
      <c r="AC198">
        <v>0</v>
      </c>
      <c r="AD198">
        <v>0</v>
      </c>
      <c r="AE198">
        <v>0</v>
      </c>
      <c r="AF198">
        <v>0</v>
      </c>
      <c r="AG198">
        <v>0</v>
      </c>
      <c r="AH198">
        <v>0</v>
      </c>
      <c r="AI198">
        <v>-1063</v>
      </c>
      <c r="AJ198">
        <v>0</v>
      </c>
      <c r="AK198">
        <v>0</v>
      </c>
      <c r="AL198">
        <v>0</v>
      </c>
      <c r="AM198">
        <v>0</v>
      </c>
      <c r="AN198">
        <v>0</v>
      </c>
      <c r="AO198">
        <v>0</v>
      </c>
      <c r="AP198">
        <v>0</v>
      </c>
      <c r="AQ198">
        <v>0</v>
      </c>
      <c r="AR198">
        <v>0</v>
      </c>
      <c r="AS198">
        <v>0</v>
      </c>
      <c r="AT198">
        <v>0</v>
      </c>
      <c r="AU198">
        <v>0</v>
      </c>
      <c r="AV198">
        <v>0</v>
      </c>
      <c r="AW198">
        <v>0</v>
      </c>
      <c r="AX198">
        <v>0</v>
      </c>
      <c r="AY198">
        <v>0</v>
      </c>
      <c r="AZ198">
        <v>0</v>
      </c>
      <c r="BA198">
        <v>0</v>
      </c>
      <c r="BB198">
        <v>0</v>
      </c>
      <c r="BC198">
        <v>0</v>
      </c>
      <c r="BD198">
        <v>0</v>
      </c>
      <c r="BE198">
        <v>0</v>
      </c>
      <c r="BF198">
        <v>0</v>
      </c>
      <c r="BG198">
        <v>0</v>
      </c>
      <c r="BH198">
        <v>0</v>
      </c>
      <c r="BI198">
        <v>0</v>
      </c>
      <c r="BJ198">
        <v>0</v>
      </c>
      <c r="BK198">
        <v>0</v>
      </c>
      <c r="BL198">
        <v>0</v>
      </c>
      <c r="BM198">
        <v>0</v>
      </c>
      <c r="BN198">
        <v>0</v>
      </c>
      <c r="BO198">
        <v>0</v>
      </c>
      <c r="BP198">
        <v>0</v>
      </c>
      <c r="BQ198">
        <v>0</v>
      </c>
      <c r="BR198">
        <v>0</v>
      </c>
      <c r="BS198">
        <v>0</v>
      </c>
      <c r="BT198">
        <v>0</v>
      </c>
      <c r="BU198">
        <v>0</v>
      </c>
      <c r="BV198">
        <v>0</v>
      </c>
      <c r="BW198">
        <v>0</v>
      </c>
      <c r="BX198">
        <v>0</v>
      </c>
      <c r="BY198">
        <v>0</v>
      </c>
      <c r="BZ198">
        <v>0</v>
      </c>
      <c r="CA198">
        <v>0</v>
      </c>
      <c r="CB198">
        <v>0</v>
      </c>
      <c r="CC198">
        <v>0</v>
      </c>
      <c r="CD198">
        <v>0</v>
      </c>
      <c r="CE198">
        <v>0</v>
      </c>
      <c r="CF198">
        <v>0</v>
      </c>
      <c r="CG198">
        <v>0</v>
      </c>
      <c r="CH198">
        <v>0</v>
      </c>
      <c r="CI198">
        <v>0</v>
      </c>
      <c r="CJ198">
        <v>0</v>
      </c>
      <c r="CK198">
        <v>0</v>
      </c>
      <c r="CL198">
        <v>0</v>
      </c>
      <c r="CM198">
        <v>0</v>
      </c>
      <c r="CN198">
        <v>0</v>
      </c>
      <c r="CO198">
        <v>0</v>
      </c>
      <c r="CP198">
        <v>0</v>
      </c>
      <c r="CQ198">
        <v>0</v>
      </c>
      <c r="CR198">
        <v>0</v>
      </c>
      <c r="CS198">
        <v>0</v>
      </c>
      <c r="CT198">
        <v>0</v>
      </c>
      <c r="CU198">
        <v>0</v>
      </c>
      <c r="CV198">
        <v>0</v>
      </c>
      <c r="CW198">
        <v>0</v>
      </c>
      <c r="CX198">
        <v>0</v>
      </c>
      <c r="CY198">
        <v>0</v>
      </c>
      <c r="CZ198">
        <v>0</v>
      </c>
      <c r="DA198">
        <v>0</v>
      </c>
      <c r="DB198">
        <v>0</v>
      </c>
      <c r="DC198">
        <v>0</v>
      </c>
      <c r="DD198">
        <v>0</v>
      </c>
      <c r="DE198">
        <v>0</v>
      </c>
      <c r="DF198">
        <v>0</v>
      </c>
      <c r="DG198">
        <v>0</v>
      </c>
      <c r="DH198">
        <v>0</v>
      </c>
      <c r="DI198">
        <v>0</v>
      </c>
      <c r="DJ198">
        <v>0</v>
      </c>
      <c r="DK198">
        <v>0</v>
      </c>
      <c r="DL198">
        <v>0</v>
      </c>
      <c r="DM198">
        <v>0</v>
      </c>
      <c r="DN198">
        <v>0</v>
      </c>
      <c r="DO198">
        <v>0</v>
      </c>
      <c r="DP198">
        <v>0</v>
      </c>
      <c r="DQ198">
        <v>0</v>
      </c>
      <c r="DR198">
        <v>0</v>
      </c>
      <c r="DS198">
        <v>0</v>
      </c>
      <c r="DT198">
        <v>0</v>
      </c>
      <c r="DU198">
        <v>0</v>
      </c>
      <c r="DV198">
        <v>0</v>
      </c>
      <c r="DW198">
        <v>0</v>
      </c>
      <c r="DX198">
        <v>0</v>
      </c>
      <c r="DY198">
        <v>0</v>
      </c>
      <c r="DZ198">
        <v>0</v>
      </c>
      <c r="EA198">
        <v>0</v>
      </c>
      <c r="EB198">
        <v>0</v>
      </c>
      <c r="EC198">
        <v>0</v>
      </c>
      <c r="ED198">
        <v>0</v>
      </c>
      <c r="EE198">
        <v>0</v>
      </c>
      <c r="EF198">
        <v>0</v>
      </c>
      <c r="EG198">
        <v>0</v>
      </c>
      <c r="EH198">
        <v>0</v>
      </c>
      <c r="EI198">
        <v>0</v>
      </c>
      <c r="EJ198">
        <v>0</v>
      </c>
      <c r="EK198">
        <v>0</v>
      </c>
      <c r="EL198">
        <v>0</v>
      </c>
      <c r="EM198">
        <v>0</v>
      </c>
      <c r="EN198">
        <v>0</v>
      </c>
      <c r="EO198">
        <v>0</v>
      </c>
      <c r="EP198">
        <v>0</v>
      </c>
      <c r="EQ198">
        <v>0</v>
      </c>
      <c r="ER198">
        <v>0</v>
      </c>
      <c r="ES198">
        <v>0</v>
      </c>
      <c r="ET198">
        <v>0</v>
      </c>
      <c r="EU198">
        <v>0</v>
      </c>
      <c r="EV198">
        <v>0</v>
      </c>
      <c r="EW198">
        <v>25</v>
      </c>
      <c r="EX198">
        <v>0</v>
      </c>
      <c r="EY198">
        <v>0</v>
      </c>
      <c r="EZ198">
        <v>0</v>
      </c>
      <c r="FA198">
        <v>0</v>
      </c>
      <c r="FB198">
        <v>0</v>
      </c>
      <c r="FC198">
        <v>0</v>
      </c>
      <c r="FD198">
        <v>4054</v>
      </c>
      <c r="FE198">
        <v>0</v>
      </c>
      <c r="FF198">
        <v>646</v>
      </c>
      <c r="FG198">
        <v>0</v>
      </c>
      <c r="FH198">
        <v>4725</v>
      </c>
      <c r="FI198">
        <v>0</v>
      </c>
      <c r="FJ198">
        <v>0</v>
      </c>
      <c r="FK198">
        <v>0</v>
      </c>
      <c r="FL198">
        <v>0</v>
      </c>
      <c r="FM198">
        <v>0</v>
      </c>
      <c r="FN198">
        <v>0</v>
      </c>
      <c r="FO198">
        <v>0</v>
      </c>
      <c r="FP198">
        <v>0</v>
      </c>
      <c r="FQ198">
        <v>0</v>
      </c>
      <c r="FR198">
        <v>0</v>
      </c>
      <c r="FS198">
        <v>26</v>
      </c>
      <c r="FT198">
        <v>0</v>
      </c>
      <c r="FU198">
        <v>0</v>
      </c>
      <c r="FV198">
        <v>0</v>
      </c>
      <c r="FW198">
        <v>0</v>
      </c>
      <c r="FX198">
        <v>0</v>
      </c>
      <c r="FY198">
        <v>0</v>
      </c>
      <c r="FZ198">
        <v>0</v>
      </c>
      <c r="GA198">
        <v>0</v>
      </c>
      <c r="GB198">
        <v>0</v>
      </c>
      <c r="GC198">
        <v>0</v>
      </c>
      <c r="GD198">
        <v>0</v>
      </c>
      <c r="GE198">
        <v>0</v>
      </c>
      <c r="GF198">
        <v>0</v>
      </c>
      <c r="GG198">
        <v>0</v>
      </c>
      <c r="GH198">
        <v>0</v>
      </c>
      <c r="GI198">
        <v>0</v>
      </c>
      <c r="GJ198">
        <v>0</v>
      </c>
      <c r="GK198">
        <v>26</v>
      </c>
      <c r="GL198">
        <v>0</v>
      </c>
      <c r="GM198">
        <v>-521</v>
      </c>
      <c r="GN198">
        <v>326</v>
      </c>
      <c r="GO198">
        <v>46</v>
      </c>
      <c r="GP198">
        <v>0</v>
      </c>
      <c r="GQ198">
        <v>0</v>
      </c>
      <c r="GR198">
        <v>0</v>
      </c>
      <c r="GS198">
        <v>0</v>
      </c>
      <c r="GT198">
        <v>0</v>
      </c>
      <c r="GU198">
        <v>-149</v>
      </c>
      <c r="GV198">
        <v>4602</v>
      </c>
      <c r="GW198">
        <v>0</v>
      </c>
      <c r="GX198">
        <v>0</v>
      </c>
      <c r="GY198">
        <v>0</v>
      </c>
      <c r="GZ198">
        <v>0</v>
      </c>
      <c r="HA198">
        <v>0</v>
      </c>
      <c r="HB198">
        <v>464</v>
      </c>
      <c r="HC198">
        <v>0</v>
      </c>
      <c r="HD198">
        <v>0</v>
      </c>
      <c r="HE198">
        <v>0</v>
      </c>
      <c r="HF198">
        <v>0</v>
      </c>
      <c r="HG198">
        <v>0</v>
      </c>
      <c r="HH198">
        <v>0</v>
      </c>
      <c r="HI198">
        <v>0</v>
      </c>
      <c r="HJ198">
        <v>0</v>
      </c>
      <c r="HK198">
        <v>0</v>
      </c>
      <c r="HL198">
        <v>0</v>
      </c>
      <c r="HM198">
        <v>0</v>
      </c>
      <c r="HN198">
        <v>0</v>
      </c>
      <c r="HO198">
        <v>0</v>
      </c>
      <c r="HP198">
        <v>0</v>
      </c>
      <c r="HQ198">
        <v>0</v>
      </c>
      <c r="HR198">
        <v>71</v>
      </c>
      <c r="HS198">
        <v>0</v>
      </c>
      <c r="HT198">
        <v>0</v>
      </c>
      <c r="HU198">
        <v>0</v>
      </c>
      <c r="HV198">
        <v>535</v>
      </c>
      <c r="HW198">
        <v>0</v>
      </c>
      <c r="HX198">
        <v>0</v>
      </c>
      <c r="HY198">
        <v>0</v>
      </c>
      <c r="HZ198">
        <v>0</v>
      </c>
      <c r="IA198">
        <v>0</v>
      </c>
      <c r="IB198">
        <v>0</v>
      </c>
      <c r="IC198">
        <v>0</v>
      </c>
      <c r="ID198">
        <v>-1063</v>
      </c>
      <c r="IE198">
        <v>0</v>
      </c>
      <c r="IF198">
        <v>0</v>
      </c>
      <c r="IG198">
        <v>0</v>
      </c>
      <c r="IH198">
        <v>0</v>
      </c>
      <c r="II198">
        <v>4725</v>
      </c>
      <c r="IJ198">
        <v>26</v>
      </c>
      <c r="IK198">
        <v>-149</v>
      </c>
      <c r="IL198">
        <v>0</v>
      </c>
      <c r="IM198">
        <v>0</v>
      </c>
      <c r="IN198">
        <v>535</v>
      </c>
      <c r="IO198">
        <v>0</v>
      </c>
      <c r="IP198">
        <v>4074</v>
      </c>
      <c r="IQ198">
        <v>0</v>
      </c>
      <c r="IR198">
        <v>0</v>
      </c>
      <c r="IS198">
        <v>0</v>
      </c>
      <c r="IT198">
        <v>0</v>
      </c>
      <c r="IU198">
        <v>0</v>
      </c>
      <c r="IV198">
        <v>0</v>
      </c>
      <c r="IW198">
        <v>0</v>
      </c>
      <c r="IX198">
        <v>0</v>
      </c>
      <c r="IY198">
        <v>0</v>
      </c>
      <c r="IZ198">
        <v>0</v>
      </c>
      <c r="JA198">
        <v>0</v>
      </c>
      <c r="JB198">
        <v>0</v>
      </c>
      <c r="JC198">
        <v>0</v>
      </c>
      <c r="JD198">
        <v>0</v>
      </c>
      <c r="JE198">
        <v>81</v>
      </c>
      <c r="JF198">
        <v>0</v>
      </c>
      <c r="JG198">
        <v>4155</v>
      </c>
      <c r="JH198">
        <v>0</v>
      </c>
      <c r="JI198">
        <v>458</v>
      </c>
      <c r="JJ198">
        <v>0</v>
      </c>
      <c r="JK198">
        <v>0</v>
      </c>
      <c r="JL198">
        <v>0</v>
      </c>
      <c r="JM198">
        <v>0</v>
      </c>
      <c r="JN198">
        <v>0</v>
      </c>
      <c r="JO198">
        <v>0</v>
      </c>
      <c r="JP198">
        <v>0</v>
      </c>
      <c r="JQ198">
        <v>0</v>
      </c>
      <c r="JR198">
        <v>4613</v>
      </c>
      <c r="JS198">
        <v>-4</v>
      </c>
      <c r="JT198">
        <v>0</v>
      </c>
      <c r="JU198">
        <v>0</v>
      </c>
      <c r="JV198">
        <v>0</v>
      </c>
      <c r="JW198">
        <v>0</v>
      </c>
      <c r="JX198">
        <v>0</v>
      </c>
      <c r="JY198">
        <v>0</v>
      </c>
      <c r="JZ198">
        <v>0</v>
      </c>
      <c r="KA198">
        <v>0</v>
      </c>
      <c r="KB198">
        <v>0</v>
      </c>
      <c r="KC198">
        <v>4609</v>
      </c>
      <c r="KD198">
        <v>0</v>
      </c>
      <c r="KE198">
        <v>-5590</v>
      </c>
      <c r="KF198">
        <v>-981</v>
      </c>
      <c r="KG198">
        <v>0</v>
      </c>
      <c r="KH198">
        <v>0</v>
      </c>
      <c r="KI198">
        <v>0</v>
      </c>
      <c r="KJ198">
        <v>0</v>
      </c>
      <c r="KK198">
        <v>756</v>
      </c>
      <c r="KL198">
        <v>186</v>
      </c>
      <c r="KM198">
        <v>0</v>
      </c>
      <c r="KN198">
        <v>0</v>
      </c>
      <c r="KO198">
        <v>0</v>
      </c>
      <c r="KP198">
        <v>0</v>
      </c>
      <c r="KQ198">
        <v>39</v>
      </c>
      <c r="KR198">
        <v>0</v>
      </c>
      <c r="KS198">
        <v>0</v>
      </c>
      <c r="KT198">
        <v>0</v>
      </c>
      <c r="KU198">
        <v>0</v>
      </c>
      <c r="KV198">
        <v>1520</v>
      </c>
      <c r="KW198">
        <v>1163</v>
      </c>
      <c r="KX198">
        <v>0</v>
      </c>
      <c r="KY198">
        <v>0</v>
      </c>
      <c r="KZ198">
        <v>0</v>
      </c>
      <c r="LA198">
        <v>2276</v>
      </c>
      <c r="LB198">
        <v>1349</v>
      </c>
      <c r="LC198">
        <v>0</v>
      </c>
      <c r="LD198">
        <v>896</v>
      </c>
      <c r="LE198">
        <v>847</v>
      </c>
      <c r="LF198">
        <v>0</v>
      </c>
      <c r="LG198">
        <v>0</v>
      </c>
      <c r="LH198">
        <v>0</v>
      </c>
      <c r="LI198">
        <v>860</v>
      </c>
      <c r="LJ198">
        <v>0</v>
      </c>
      <c r="LK198">
        <v>0</v>
      </c>
      <c r="LL198">
        <v>0</v>
      </c>
      <c r="LM198">
        <v>0</v>
      </c>
      <c r="LN198">
        <v>0</v>
      </c>
      <c r="LO198">
        <v>0</v>
      </c>
      <c r="LP198">
        <v>0</v>
      </c>
      <c r="LQ198">
        <v>0</v>
      </c>
      <c r="LR198">
        <v>0</v>
      </c>
      <c r="LS198">
        <v>0</v>
      </c>
      <c r="LT198">
        <v>0</v>
      </c>
      <c r="LU198">
        <v>0</v>
      </c>
      <c r="LV198">
        <v>-1063</v>
      </c>
      <c r="LW198">
        <v>0</v>
      </c>
      <c r="LX198">
        <v>0</v>
      </c>
      <c r="LY198">
        <v>0</v>
      </c>
      <c r="LZ198">
        <v>0</v>
      </c>
      <c r="MA198">
        <v>4725</v>
      </c>
      <c r="MB198">
        <v>26</v>
      </c>
      <c r="MC198">
        <v>-149</v>
      </c>
      <c r="MD198">
        <v>0</v>
      </c>
      <c r="ME198">
        <v>0</v>
      </c>
      <c r="MF198">
        <v>535</v>
      </c>
      <c r="MG198">
        <v>0</v>
      </c>
      <c r="MH198">
        <v>4074</v>
      </c>
      <c r="MI198">
        <v>0</v>
      </c>
      <c r="MJ198">
        <v>0</v>
      </c>
      <c r="MK198">
        <v>0</v>
      </c>
      <c r="ML198">
        <v>0</v>
      </c>
      <c r="MM198">
        <v>0</v>
      </c>
      <c r="MN198">
        <v>0</v>
      </c>
      <c r="MO198">
        <v>0</v>
      </c>
      <c r="MP198">
        <v>0</v>
      </c>
      <c r="MQ198">
        <v>0</v>
      </c>
      <c r="MR198">
        <v>0</v>
      </c>
      <c r="MS198">
        <v>0</v>
      </c>
      <c r="MT198">
        <v>0</v>
      </c>
      <c r="MU198">
        <v>0</v>
      </c>
      <c r="MV198">
        <v>0</v>
      </c>
      <c r="MW198">
        <v>0</v>
      </c>
      <c r="MX198">
        <v>0</v>
      </c>
      <c r="MY198">
        <v>0</v>
      </c>
      <c r="MZ198">
        <v>0</v>
      </c>
      <c r="NA198">
        <v>0</v>
      </c>
      <c r="NB198">
        <v>0</v>
      </c>
      <c r="NC198">
        <v>0</v>
      </c>
      <c r="ND198">
        <v>0</v>
      </c>
      <c r="NE198">
        <v>0</v>
      </c>
      <c r="NF198">
        <v>0</v>
      </c>
      <c r="NG198">
        <v>0</v>
      </c>
      <c r="NH198">
        <v>0</v>
      </c>
      <c r="NI198">
        <v>0</v>
      </c>
      <c r="NJ198">
        <v>0</v>
      </c>
      <c r="NK198">
        <v>0</v>
      </c>
      <c r="NL198">
        <v>0</v>
      </c>
      <c r="NM198">
        <v>0</v>
      </c>
      <c r="NN198">
        <v>0</v>
      </c>
      <c r="NO198">
        <v>0</v>
      </c>
      <c r="NP198">
        <v>0</v>
      </c>
      <c r="NQ198">
        <v>0</v>
      </c>
      <c r="NR198">
        <v>0</v>
      </c>
      <c r="NS198">
        <v>0</v>
      </c>
      <c r="NT198">
        <v>0</v>
      </c>
      <c r="NU198">
        <v>0</v>
      </c>
      <c r="NV198">
        <v>0</v>
      </c>
      <c r="NW198">
        <v>0</v>
      </c>
      <c r="NX198">
        <v>0</v>
      </c>
      <c r="NY198">
        <v>0</v>
      </c>
      <c r="NZ198">
        <v>0</v>
      </c>
      <c r="OA198">
        <v>0</v>
      </c>
      <c r="OB198">
        <v>0</v>
      </c>
      <c r="OC198">
        <v>0</v>
      </c>
      <c r="OD198">
        <v>0</v>
      </c>
      <c r="OE198">
        <v>0</v>
      </c>
      <c r="OF198">
        <v>0</v>
      </c>
      <c r="OG198">
        <v>0</v>
      </c>
      <c r="OH198">
        <v>0</v>
      </c>
      <c r="OI198">
        <v>0</v>
      </c>
      <c r="OJ198">
        <v>0</v>
      </c>
      <c r="OK198">
        <v>0</v>
      </c>
      <c r="OL198">
        <v>0</v>
      </c>
      <c r="OM198">
        <v>0</v>
      </c>
      <c r="ON198">
        <v>0</v>
      </c>
    </row>
    <row r="199" spans="1:404" x14ac:dyDescent="0.25">
      <c r="A199" t="s">
        <v>663</v>
      </c>
      <c r="B199" t="s">
        <v>664</v>
      </c>
      <c r="C199" t="s">
        <v>662</v>
      </c>
      <c r="E199" t="s">
        <v>1940</v>
      </c>
      <c r="F199">
        <v>39270</v>
      </c>
      <c r="G199">
        <v>115037</v>
      </c>
      <c r="H199">
        <v>44172</v>
      </c>
      <c r="I199">
        <v>37137</v>
      </c>
      <c r="J199">
        <v>16452</v>
      </c>
      <c r="K199">
        <v>47770</v>
      </c>
      <c r="L199">
        <v>299838</v>
      </c>
      <c r="M199">
        <v>0</v>
      </c>
      <c r="N199">
        <v>-924</v>
      </c>
      <c r="O199">
        <v>310</v>
      </c>
      <c r="P199">
        <v>752</v>
      </c>
      <c r="Q199">
        <v>0</v>
      </c>
      <c r="R199">
        <v>0</v>
      </c>
      <c r="S199">
        <v>0</v>
      </c>
      <c r="T199">
        <v>0</v>
      </c>
      <c r="U199">
        <v>3503</v>
      </c>
      <c r="V199">
        <v>0</v>
      </c>
      <c r="W199">
        <v>0</v>
      </c>
      <c r="X199">
        <v>944</v>
      </c>
      <c r="Y199">
        <v>0</v>
      </c>
      <c r="Z199">
        <v>-22549</v>
      </c>
      <c r="AA199">
        <v>407</v>
      </c>
      <c r="AB199">
        <v>12140</v>
      </c>
      <c r="AC199">
        <v>0</v>
      </c>
      <c r="AD199">
        <v>0</v>
      </c>
      <c r="AE199">
        <v>0</v>
      </c>
      <c r="AF199">
        <v>0</v>
      </c>
      <c r="AG199">
        <v>0</v>
      </c>
      <c r="AH199">
        <v>0</v>
      </c>
      <c r="AI199">
        <v>-5417</v>
      </c>
      <c r="AJ199">
        <v>0</v>
      </c>
      <c r="AK199">
        <v>0</v>
      </c>
      <c r="AL199">
        <v>0</v>
      </c>
      <c r="AM199">
        <v>0</v>
      </c>
      <c r="AN199">
        <v>0</v>
      </c>
      <c r="AO199">
        <v>0</v>
      </c>
      <c r="AP199">
        <v>0</v>
      </c>
      <c r="AQ199">
        <v>30125</v>
      </c>
      <c r="AR199">
        <v>19260</v>
      </c>
      <c r="AS199">
        <v>0</v>
      </c>
      <c r="AT199">
        <v>0</v>
      </c>
      <c r="AU199">
        <v>0</v>
      </c>
      <c r="AV199">
        <v>3247</v>
      </c>
      <c r="AW199">
        <v>45578</v>
      </c>
      <c r="AX199">
        <v>2795</v>
      </c>
      <c r="AY199">
        <v>22645</v>
      </c>
      <c r="AZ199">
        <v>3293</v>
      </c>
      <c r="BA199">
        <v>10513</v>
      </c>
      <c r="BB199">
        <v>1</v>
      </c>
      <c r="BC199">
        <v>6293</v>
      </c>
      <c r="BD199">
        <v>94365</v>
      </c>
      <c r="BE199">
        <v>8870</v>
      </c>
      <c r="BF199">
        <v>26334</v>
      </c>
      <c r="BG199">
        <v>293</v>
      </c>
      <c r="BH199">
        <v>354</v>
      </c>
      <c r="BI199">
        <v>240</v>
      </c>
      <c r="BJ199">
        <v>3382</v>
      </c>
      <c r="BK199">
        <v>35441</v>
      </c>
      <c r="BL199">
        <v>2597</v>
      </c>
      <c r="BM199">
        <v>8684</v>
      </c>
      <c r="BN199">
        <v>3147</v>
      </c>
      <c r="BO199">
        <v>220</v>
      </c>
      <c r="BP199">
        <v>0</v>
      </c>
      <c r="BQ199">
        <v>0</v>
      </c>
      <c r="BR199">
        <v>1665</v>
      </c>
      <c r="BS199">
        <v>-65</v>
      </c>
      <c r="BT199">
        <v>4456</v>
      </c>
      <c r="BU199">
        <v>259</v>
      </c>
      <c r="BV199">
        <v>-2994</v>
      </c>
      <c r="BW199">
        <v>98024</v>
      </c>
      <c r="BX199">
        <v>6732</v>
      </c>
      <c r="BY199">
        <v>1828</v>
      </c>
      <c r="BZ199">
        <v>637</v>
      </c>
      <c r="CA199">
        <v>245</v>
      </c>
      <c r="CB199">
        <v>510</v>
      </c>
      <c r="CC199">
        <v>67</v>
      </c>
      <c r="CD199">
        <v>315</v>
      </c>
      <c r="CE199">
        <v>616</v>
      </c>
      <c r="CF199">
        <v>308</v>
      </c>
      <c r="CG199">
        <v>61</v>
      </c>
      <c r="CH199">
        <v>65</v>
      </c>
      <c r="CI199">
        <v>2435</v>
      </c>
      <c r="CJ199">
        <v>2235</v>
      </c>
      <c r="CK199">
        <v>46</v>
      </c>
      <c r="CL199">
        <v>78</v>
      </c>
      <c r="CM199">
        <v>68</v>
      </c>
      <c r="CN199">
        <v>658</v>
      </c>
      <c r="CO199">
        <v>0</v>
      </c>
      <c r="CP199">
        <v>1864</v>
      </c>
      <c r="CQ199">
        <v>7059</v>
      </c>
      <c r="CR199">
        <v>124</v>
      </c>
      <c r="CS199">
        <v>0</v>
      </c>
      <c r="CT199">
        <v>509</v>
      </c>
      <c r="CU199">
        <v>6642</v>
      </c>
      <c r="CV199">
        <v>33459</v>
      </c>
      <c r="CW199">
        <v>0</v>
      </c>
      <c r="CX199">
        <v>0</v>
      </c>
      <c r="CY199">
        <v>0</v>
      </c>
      <c r="CZ199">
        <v>0</v>
      </c>
      <c r="DA199">
        <v>0</v>
      </c>
      <c r="DB199">
        <v>0</v>
      </c>
      <c r="DC199">
        <v>2956</v>
      </c>
      <c r="DD199">
        <v>0</v>
      </c>
      <c r="DE199">
        <v>0</v>
      </c>
      <c r="DF199">
        <v>0</v>
      </c>
      <c r="DG199">
        <v>0</v>
      </c>
      <c r="DH199">
        <v>0</v>
      </c>
      <c r="DI199">
        <v>0</v>
      </c>
      <c r="DJ199">
        <v>23047</v>
      </c>
      <c r="DK199">
        <v>0</v>
      </c>
      <c r="DL199">
        <v>0</v>
      </c>
      <c r="DM199">
        <v>0</v>
      </c>
      <c r="DN199">
        <v>4967</v>
      </c>
      <c r="DO199">
        <v>0</v>
      </c>
      <c r="DP199">
        <v>28014</v>
      </c>
      <c r="DQ199">
        <v>2734</v>
      </c>
      <c r="DR199">
        <v>0</v>
      </c>
      <c r="DS199">
        <v>0</v>
      </c>
      <c r="DT199">
        <v>9297</v>
      </c>
      <c r="DU199">
        <v>0</v>
      </c>
      <c r="DV199">
        <v>0</v>
      </c>
      <c r="DW199">
        <v>0</v>
      </c>
      <c r="DX199">
        <v>43001</v>
      </c>
      <c r="DY199">
        <v>137129</v>
      </c>
      <c r="DZ199">
        <v>0</v>
      </c>
      <c r="EA199">
        <v>37675</v>
      </c>
      <c r="EB199">
        <v>7971</v>
      </c>
      <c r="EC199">
        <v>0</v>
      </c>
      <c r="ED199">
        <v>0</v>
      </c>
      <c r="EE199">
        <v>0</v>
      </c>
      <c r="EF199">
        <v>0</v>
      </c>
      <c r="EG199">
        <v>0</v>
      </c>
      <c r="EH199">
        <v>28221</v>
      </c>
      <c r="EI199">
        <v>89336</v>
      </c>
      <c r="EJ199">
        <v>0</v>
      </c>
      <c r="EK199">
        <v>1935</v>
      </c>
      <c r="EL199">
        <v>8521</v>
      </c>
      <c r="EM199">
        <v>0</v>
      </c>
      <c r="EN199">
        <v>0</v>
      </c>
      <c r="EO199">
        <v>0</v>
      </c>
      <c r="EP199">
        <v>0</v>
      </c>
      <c r="EQ199">
        <v>38584</v>
      </c>
      <c r="ER199">
        <v>9255</v>
      </c>
      <c r="ES199">
        <v>10970</v>
      </c>
      <c r="ET199">
        <v>17893</v>
      </c>
      <c r="EU199">
        <v>192</v>
      </c>
      <c r="EV199">
        <v>807</v>
      </c>
      <c r="EW199">
        <v>0</v>
      </c>
      <c r="EX199">
        <v>0</v>
      </c>
      <c r="EY199">
        <v>0</v>
      </c>
      <c r="EZ199">
        <v>1456</v>
      </c>
      <c r="FA199">
        <v>0</v>
      </c>
      <c r="FB199">
        <v>216</v>
      </c>
      <c r="FC199">
        <v>708</v>
      </c>
      <c r="FD199">
        <v>4624</v>
      </c>
      <c r="FE199">
        <v>0</v>
      </c>
      <c r="FF199">
        <v>39</v>
      </c>
      <c r="FG199">
        <v>3983</v>
      </c>
      <c r="FH199">
        <v>12025</v>
      </c>
      <c r="FI199">
        <v>-331</v>
      </c>
      <c r="FJ199">
        <v>47</v>
      </c>
      <c r="FK199">
        <v>0</v>
      </c>
      <c r="FL199">
        <v>638</v>
      </c>
      <c r="FM199">
        <v>1138</v>
      </c>
      <c r="FN199">
        <v>545</v>
      </c>
      <c r="FO199">
        <v>61</v>
      </c>
      <c r="FP199">
        <v>0</v>
      </c>
      <c r="FQ199">
        <v>0</v>
      </c>
      <c r="FR199">
        <v>-1</v>
      </c>
      <c r="FS199">
        <v>43</v>
      </c>
      <c r="FT199">
        <v>-3</v>
      </c>
      <c r="FU199">
        <v>-1081</v>
      </c>
      <c r="FV199">
        <v>169</v>
      </c>
      <c r="FW199">
        <v>595</v>
      </c>
      <c r="FX199">
        <v>290</v>
      </c>
      <c r="FY199">
        <v>0</v>
      </c>
      <c r="FZ199">
        <v>0</v>
      </c>
      <c r="GA199">
        <v>0</v>
      </c>
      <c r="GB199">
        <v>0</v>
      </c>
      <c r="GC199">
        <v>0</v>
      </c>
      <c r="GD199">
        <v>3736</v>
      </c>
      <c r="GE199">
        <v>6866</v>
      </c>
      <c r="GF199">
        <v>16143</v>
      </c>
      <c r="GG199">
        <v>5401</v>
      </c>
      <c r="GH199">
        <v>476</v>
      </c>
      <c r="GI199">
        <v>0</v>
      </c>
      <c r="GJ199">
        <v>0</v>
      </c>
      <c r="GK199">
        <v>34732</v>
      </c>
      <c r="GL199">
        <v>172</v>
      </c>
      <c r="GM199">
        <v>1435</v>
      </c>
      <c r="GN199">
        <v>0</v>
      </c>
      <c r="GO199">
        <v>1920</v>
      </c>
      <c r="GP199">
        <v>0</v>
      </c>
      <c r="GQ199">
        <v>2967</v>
      </c>
      <c r="GR199">
        <v>0</v>
      </c>
      <c r="GS199">
        <v>18939</v>
      </c>
      <c r="GT199">
        <v>435</v>
      </c>
      <c r="GU199">
        <v>25868</v>
      </c>
      <c r="GV199">
        <v>72625</v>
      </c>
      <c r="GW199">
        <v>0</v>
      </c>
      <c r="GX199">
        <v>0</v>
      </c>
      <c r="GY199">
        <v>0</v>
      </c>
      <c r="GZ199">
        <v>0</v>
      </c>
      <c r="HA199">
        <v>0</v>
      </c>
      <c r="HB199">
        <v>4594</v>
      </c>
      <c r="HC199">
        <v>6769</v>
      </c>
      <c r="HD199">
        <v>0</v>
      </c>
      <c r="HE199">
        <v>0</v>
      </c>
      <c r="HF199">
        <v>0</v>
      </c>
      <c r="HG199">
        <v>7941</v>
      </c>
      <c r="HH199">
        <v>0</v>
      </c>
      <c r="HI199">
        <v>172</v>
      </c>
      <c r="HJ199">
        <v>280</v>
      </c>
      <c r="HK199">
        <v>1308</v>
      </c>
      <c r="HL199">
        <v>400</v>
      </c>
      <c r="HM199">
        <v>-707</v>
      </c>
      <c r="HN199">
        <v>711</v>
      </c>
      <c r="HO199">
        <v>0</v>
      </c>
      <c r="HP199">
        <v>0</v>
      </c>
      <c r="HQ199">
        <v>0</v>
      </c>
      <c r="HR199">
        <v>20570</v>
      </c>
      <c r="HS199">
        <v>0</v>
      </c>
      <c r="HT199">
        <v>0</v>
      </c>
      <c r="HU199">
        <v>0</v>
      </c>
      <c r="HV199">
        <v>42038</v>
      </c>
      <c r="HW199">
        <v>0</v>
      </c>
      <c r="HX199">
        <v>0</v>
      </c>
      <c r="HY199">
        <v>0</v>
      </c>
      <c r="HZ199">
        <v>0</v>
      </c>
      <c r="IA199">
        <v>0</v>
      </c>
      <c r="IB199">
        <v>0</v>
      </c>
      <c r="IC199">
        <v>299838</v>
      </c>
      <c r="ID199">
        <v>-5417</v>
      </c>
      <c r="IE199">
        <v>94365</v>
      </c>
      <c r="IF199">
        <v>98024</v>
      </c>
      <c r="IG199">
        <v>33459</v>
      </c>
      <c r="IH199">
        <v>43001</v>
      </c>
      <c r="II199">
        <v>12025</v>
      </c>
      <c r="IJ199">
        <v>34732</v>
      </c>
      <c r="IK199">
        <v>25868</v>
      </c>
      <c r="IL199">
        <v>0</v>
      </c>
      <c r="IM199">
        <v>0</v>
      </c>
      <c r="IN199">
        <v>42038</v>
      </c>
      <c r="IO199">
        <v>0</v>
      </c>
      <c r="IP199">
        <v>677933</v>
      </c>
      <c r="IQ199">
        <v>104641</v>
      </c>
      <c r="IR199">
        <v>22901</v>
      </c>
      <c r="IS199">
        <v>42730</v>
      </c>
      <c r="IT199">
        <v>0</v>
      </c>
      <c r="IU199">
        <v>0</v>
      </c>
      <c r="IV199">
        <v>0</v>
      </c>
      <c r="IW199">
        <v>0</v>
      </c>
      <c r="IX199">
        <v>1150</v>
      </c>
      <c r="IY199">
        <v>1601</v>
      </c>
      <c r="IZ199">
        <v>2003</v>
      </c>
      <c r="JA199">
        <v>0</v>
      </c>
      <c r="JB199">
        <v>0</v>
      </c>
      <c r="JC199">
        <v>0</v>
      </c>
      <c r="JD199">
        <v>0</v>
      </c>
      <c r="JE199">
        <v>0</v>
      </c>
      <c r="JF199">
        <v>30</v>
      </c>
      <c r="JG199">
        <v>852989</v>
      </c>
      <c r="JH199">
        <v>260</v>
      </c>
      <c r="JI199">
        <v>6081</v>
      </c>
      <c r="JJ199">
        <v>0</v>
      </c>
      <c r="JK199">
        <v>0</v>
      </c>
      <c r="JL199">
        <v>0</v>
      </c>
      <c r="JM199">
        <v>7131</v>
      </c>
      <c r="JN199">
        <v>13678</v>
      </c>
      <c r="JO199">
        <v>0</v>
      </c>
      <c r="JP199">
        <v>34984</v>
      </c>
      <c r="JQ199">
        <v>-18681</v>
      </c>
      <c r="JR199">
        <v>896442</v>
      </c>
      <c r="JS199">
        <v>-2129</v>
      </c>
      <c r="JT199">
        <v>0</v>
      </c>
      <c r="JU199">
        <v>0</v>
      </c>
      <c r="JV199">
        <v>0</v>
      </c>
      <c r="JW199">
        <v>-180212</v>
      </c>
      <c r="JX199">
        <v>0</v>
      </c>
      <c r="JY199">
        <v>-5866</v>
      </c>
      <c r="JZ199">
        <v>0</v>
      </c>
      <c r="KA199">
        <v>0</v>
      </c>
      <c r="KB199">
        <v>0</v>
      </c>
      <c r="KC199">
        <v>708235</v>
      </c>
      <c r="KD199">
        <v>0</v>
      </c>
      <c r="KE199">
        <v>-378609</v>
      </c>
      <c r="KF199">
        <v>329626</v>
      </c>
      <c r="KG199">
        <v>0</v>
      </c>
      <c r="KH199">
        <v>1924</v>
      </c>
      <c r="KI199">
        <v>0</v>
      </c>
      <c r="KJ199">
        <v>0</v>
      </c>
      <c r="KK199">
        <v>-9257</v>
      </c>
      <c r="KL199">
        <v>4081</v>
      </c>
      <c r="KM199">
        <v>-32385</v>
      </c>
      <c r="KN199">
        <v>0</v>
      </c>
      <c r="KO199">
        <v>-122021</v>
      </c>
      <c r="KP199">
        <v>0</v>
      </c>
      <c r="KQ199">
        <v>0</v>
      </c>
      <c r="KR199">
        <v>136143</v>
      </c>
      <c r="KS199">
        <v>17486</v>
      </c>
      <c r="KT199">
        <v>0</v>
      </c>
      <c r="KU199">
        <v>0</v>
      </c>
      <c r="KV199">
        <v>151068</v>
      </c>
      <c r="KW199">
        <v>25870</v>
      </c>
      <c r="KX199">
        <v>19410</v>
      </c>
      <c r="KY199">
        <v>0</v>
      </c>
      <c r="KZ199">
        <v>0</v>
      </c>
      <c r="LA199">
        <v>141811</v>
      </c>
      <c r="LB199">
        <v>29951</v>
      </c>
      <c r="LC199">
        <v>0</v>
      </c>
      <c r="LD199">
        <v>56706</v>
      </c>
      <c r="LE199">
        <v>3428</v>
      </c>
      <c r="LF199">
        <v>1072</v>
      </c>
      <c r="LG199">
        <v>19694</v>
      </c>
      <c r="LH199">
        <v>30851</v>
      </c>
      <c r="LI199">
        <v>111751</v>
      </c>
      <c r="LJ199">
        <v>8633</v>
      </c>
      <c r="LK199">
        <v>14199</v>
      </c>
      <c r="LL199">
        <v>22832</v>
      </c>
      <c r="LM199">
        <v>0</v>
      </c>
      <c r="LN199">
        <v>0</v>
      </c>
      <c r="LO199">
        <v>0</v>
      </c>
      <c r="LP199">
        <v>182775</v>
      </c>
      <c r="LQ199">
        <v>175852</v>
      </c>
      <c r="LR199">
        <v>6923</v>
      </c>
      <c r="LS199">
        <v>10970</v>
      </c>
      <c r="LT199">
        <v>17893</v>
      </c>
      <c r="LU199">
        <v>299838</v>
      </c>
      <c r="LV199">
        <v>-5417</v>
      </c>
      <c r="LW199">
        <v>94365</v>
      </c>
      <c r="LX199">
        <v>98024</v>
      </c>
      <c r="LY199">
        <v>33459</v>
      </c>
      <c r="LZ199">
        <v>43001</v>
      </c>
      <c r="MA199">
        <v>12025</v>
      </c>
      <c r="MB199">
        <v>34732</v>
      </c>
      <c r="MC199">
        <v>25868</v>
      </c>
      <c r="MD199">
        <v>0</v>
      </c>
      <c r="ME199">
        <v>0</v>
      </c>
      <c r="MF199">
        <v>42038</v>
      </c>
      <c r="MG199">
        <v>0</v>
      </c>
      <c r="MH199">
        <v>677933</v>
      </c>
      <c r="MI199">
        <v>0</v>
      </c>
      <c r="MJ199">
        <v>0</v>
      </c>
      <c r="MK199">
        <v>0</v>
      </c>
      <c r="ML199">
        <v>0</v>
      </c>
      <c r="MM199">
        <v>0</v>
      </c>
      <c r="MN199">
        <v>0</v>
      </c>
      <c r="MO199">
        <v>0</v>
      </c>
      <c r="MP199">
        <v>0</v>
      </c>
      <c r="MQ199">
        <v>0</v>
      </c>
      <c r="MR199">
        <v>0</v>
      </c>
      <c r="MS199">
        <v>0</v>
      </c>
      <c r="MT199">
        <v>0</v>
      </c>
      <c r="MU199">
        <v>0</v>
      </c>
      <c r="MV199">
        <v>0</v>
      </c>
      <c r="MW199">
        <v>0</v>
      </c>
      <c r="MX199">
        <v>0</v>
      </c>
      <c r="MY199">
        <v>0</v>
      </c>
      <c r="MZ199">
        <v>0</v>
      </c>
      <c r="NA199">
        <v>0</v>
      </c>
      <c r="NB199">
        <v>0</v>
      </c>
      <c r="NC199">
        <v>0</v>
      </c>
      <c r="ND199">
        <v>0</v>
      </c>
      <c r="NE199">
        <v>0</v>
      </c>
      <c r="NF199">
        <v>0</v>
      </c>
      <c r="NG199">
        <v>0</v>
      </c>
      <c r="NH199">
        <v>0</v>
      </c>
      <c r="NI199">
        <v>0</v>
      </c>
      <c r="NJ199">
        <v>0</v>
      </c>
      <c r="NK199">
        <v>0</v>
      </c>
      <c r="NL199">
        <v>0</v>
      </c>
      <c r="NM199">
        <v>0</v>
      </c>
      <c r="NN199">
        <v>0</v>
      </c>
      <c r="NO199">
        <v>0</v>
      </c>
      <c r="NP199">
        <v>0</v>
      </c>
      <c r="NQ199">
        <v>0</v>
      </c>
      <c r="NR199">
        <v>0</v>
      </c>
      <c r="NS199">
        <v>0</v>
      </c>
      <c r="NT199">
        <v>0</v>
      </c>
      <c r="NU199">
        <v>0</v>
      </c>
      <c r="NV199">
        <v>0</v>
      </c>
      <c r="NW199">
        <v>0</v>
      </c>
      <c r="NX199">
        <v>0</v>
      </c>
      <c r="NY199">
        <v>0</v>
      </c>
      <c r="NZ199">
        <v>0</v>
      </c>
      <c r="OA199">
        <v>0</v>
      </c>
      <c r="OB199">
        <v>0</v>
      </c>
      <c r="OC199">
        <v>0</v>
      </c>
      <c r="OD199">
        <v>0</v>
      </c>
      <c r="OE199">
        <v>0</v>
      </c>
      <c r="OF199">
        <v>0</v>
      </c>
      <c r="OG199">
        <v>0</v>
      </c>
      <c r="OH199">
        <v>0</v>
      </c>
      <c r="OI199">
        <v>0</v>
      </c>
      <c r="OJ199">
        <v>0</v>
      </c>
      <c r="OK199">
        <v>0</v>
      </c>
      <c r="OL199">
        <v>0</v>
      </c>
      <c r="OM199">
        <v>0</v>
      </c>
      <c r="ON199">
        <v>0</v>
      </c>
    </row>
    <row r="200" spans="1:404" x14ac:dyDescent="0.25">
      <c r="A200" t="s">
        <v>666</v>
      </c>
      <c r="B200" t="s">
        <v>667</v>
      </c>
      <c r="C200" t="s">
        <v>665</v>
      </c>
      <c r="E200" t="s">
        <v>1942</v>
      </c>
      <c r="F200">
        <v>72320</v>
      </c>
      <c r="G200">
        <v>517259</v>
      </c>
      <c r="H200">
        <v>273303</v>
      </c>
      <c r="I200">
        <v>106066</v>
      </c>
      <c r="J200">
        <v>0</v>
      </c>
      <c r="K200">
        <v>51795</v>
      </c>
      <c r="L200">
        <v>1020743</v>
      </c>
      <c r="M200">
        <v>-2184</v>
      </c>
      <c r="N200">
        <v>769</v>
      </c>
      <c r="O200">
        <v>475</v>
      </c>
      <c r="P200">
        <v>3482</v>
      </c>
      <c r="Q200">
        <v>224</v>
      </c>
      <c r="R200">
        <v>1268</v>
      </c>
      <c r="S200">
        <v>9299</v>
      </c>
      <c r="T200">
        <v>4739</v>
      </c>
      <c r="U200">
        <v>6393</v>
      </c>
      <c r="V200">
        <v>0</v>
      </c>
      <c r="W200">
        <v>-790</v>
      </c>
      <c r="X200">
        <v>2597</v>
      </c>
      <c r="Y200">
        <v>108</v>
      </c>
      <c r="Z200">
        <v>-159</v>
      </c>
      <c r="AA200">
        <v>105</v>
      </c>
      <c r="AB200">
        <v>16810</v>
      </c>
      <c r="AC200">
        <v>373</v>
      </c>
      <c r="AD200">
        <v>7755</v>
      </c>
      <c r="AE200">
        <v>0</v>
      </c>
      <c r="AF200">
        <v>573</v>
      </c>
      <c r="AG200">
        <v>2518</v>
      </c>
      <c r="AH200">
        <v>0</v>
      </c>
      <c r="AI200">
        <v>54355</v>
      </c>
      <c r="AJ200">
        <v>0</v>
      </c>
      <c r="AK200">
        <v>0</v>
      </c>
      <c r="AL200">
        <v>0</v>
      </c>
      <c r="AM200">
        <v>0</v>
      </c>
      <c r="AN200">
        <v>3928</v>
      </c>
      <c r="AO200">
        <v>0</v>
      </c>
      <c r="AP200">
        <v>0</v>
      </c>
      <c r="AQ200">
        <v>1598</v>
      </c>
      <c r="AR200">
        <v>490</v>
      </c>
      <c r="AS200">
        <v>0</v>
      </c>
      <c r="AT200">
        <v>0</v>
      </c>
      <c r="AU200">
        <v>0</v>
      </c>
      <c r="AV200">
        <v>9845</v>
      </c>
      <c r="AW200">
        <v>131067</v>
      </c>
      <c r="AX200">
        <v>77</v>
      </c>
      <c r="AY200">
        <v>32886</v>
      </c>
      <c r="AZ200">
        <v>3218</v>
      </c>
      <c r="BA200">
        <v>36201</v>
      </c>
      <c r="BB200">
        <v>3860</v>
      </c>
      <c r="BC200">
        <v>6622</v>
      </c>
      <c r="BD200">
        <v>223776</v>
      </c>
      <c r="BE200">
        <v>37865</v>
      </c>
      <c r="BF200">
        <v>96269</v>
      </c>
      <c r="BG200">
        <v>1109</v>
      </c>
      <c r="BH200">
        <v>1409</v>
      </c>
      <c r="BI200">
        <v>3831</v>
      </c>
      <c r="BJ200">
        <v>44878</v>
      </c>
      <c r="BK200">
        <v>118125</v>
      </c>
      <c r="BL200">
        <v>12400</v>
      </c>
      <c r="BM200">
        <v>18986</v>
      </c>
      <c r="BN200">
        <v>11916</v>
      </c>
      <c r="BO200">
        <v>772</v>
      </c>
      <c r="BP200">
        <v>0</v>
      </c>
      <c r="BQ200">
        <v>0</v>
      </c>
      <c r="BR200">
        <v>10931</v>
      </c>
      <c r="BS200">
        <v>2570</v>
      </c>
      <c r="BT200">
        <v>39171</v>
      </c>
      <c r="BU200">
        <v>1009</v>
      </c>
      <c r="BV200">
        <v>42341</v>
      </c>
      <c r="BW200">
        <v>478546</v>
      </c>
      <c r="BX200">
        <v>3949</v>
      </c>
      <c r="BY200">
        <v>4297</v>
      </c>
      <c r="BZ200">
        <v>374</v>
      </c>
      <c r="CA200">
        <v>861</v>
      </c>
      <c r="CB200">
        <v>276</v>
      </c>
      <c r="CC200">
        <v>328</v>
      </c>
      <c r="CD200">
        <v>705</v>
      </c>
      <c r="CE200">
        <v>1053</v>
      </c>
      <c r="CF200">
        <v>329</v>
      </c>
      <c r="CG200">
        <v>15</v>
      </c>
      <c r="CH200">
        <v>0</v>
      </c>
      <c r="CI200">
        <v>8372</v>
      </c>
      <c r="CJ200">
        <v>6309</v>
      </c>
      <c r="CK200">
        <v>740</v>
      </c>
      <c r="CL200">
        <v>298</v>
      </c>
      <c r="CM200">
        <v>1260</v>
      </c>
      <c r="CN200">
        <v>2200</v>
      </c>
      <c r="CO200">
        <v>48</v>
      </c>
      <c r="CP200">
        <v>6999</v>
      </c>
      <c r="CQ200">
        <v>8596</v>
      </c>
      <c r="CR200">
        <v>8366</v>
      </c>
      <c r="CS200">
        <v>3</v>
      </c>
      <c r="CT200">
        <v>436</v>
      </c>
      <c r="CU200">
        <v>14773</v>
      </c>
      <c r="CV200">
        <v>79041</v>
      </c>
      <c r="CW200">
        <v>0</v>
      </c>
      <c r="CX200">
        <v>0</v>
      </c>
      <c r="CY200">
        <v>0</v>
      </c>
      <c r="CZ200">
        <v>0</v>
      </c>
      <c r="DA200">
        <v>0</v>
      </c>
      <c r="DB200">
        <v>0</v>
      </c>
      <c r="DC200">
        <v>0</v>
      </c>
      <c r="DD200">
        <v>0</v>
      </c>
      <c r="DE200">
        <v>0</v>
      </c>
      <c r="DF200">
        <v>0</v>
      </c>
      <c r="DG200">
        <v>0</v>
      </c>
      <c r="DH200">
        <v>0</v>
      </c>
      <c r="DI200">
        <v>0</v>
      </c>
      <c r="DJ200">
        <v>0</v>
      </c>
      <c r="DK200">
        <v>0</v>
      </c>
      <c r="DL200">
        <v>0</v>
      </c>
      <c r="DM200">
        <v>0</v>
      </c>
      <c r="DN200">
        <v>0</v>
      </c>
      <c r="DO200">
        <v>0</v>
      </c>
      <c r="DP200">
        <v>0</v>
      </c>
      <c r="DQ200">
        <v>0</v>
      </c>
      <c r="DR200">
        <v>0</v>
      </c>
      <c r="DS200">
        <v>0</v>
      </c>
      <c r="DT200">
        <v>0</v>
      </c>
      <c r="DU200">
        <v>34</v>
      </c>
      <c r="DV200">
        <v>0</v>
      </c>
      <c r="DW200">
        <v>0</v>
      </c>
      <c r="DX200">
        <v>34</v>
      </c>
      <c r="DY200">
        <v>0</v>
      </c>
      <c r="DZ200">
        <v>0</v>
      </c>
      <c r="EA200">
        <v>0</v>
      </c>
      <c r="EB200">
        <v>0</v>
      </c>
      <c r="EC200">
        <v>0</v>
      </c>
      <c r="ED200">
        <v>0</v>
      </c>
      <c r="EE200">
        <v>0</v>
      </c>
      <c r="EF200">
        <v>0</v>
      </c>
      <c r="EG200">
        <v>0</v>
      </c>
      <c r="EH200">
        <v>0</v>
      </c>
      <c r="EI200">
        <v>0</v>
      </c>
      <c r="EJ200">
        <v>0</v>
      </c>
      <c r="EK200">
        <v>0</v>
      </c>
      <c r="EL200">
        <v>0</v>
      </c>
      <c r="EM200">
        <v>0</v>
      </c>
      <c r="EN200">
        <v>0</v>
      </c>
      <c r="EO200">
        <v>0</v>
      </c>
      <c r="EP200">
        <v>0</v>
      </c>
      <c r="EQ200">
        <v>0</v>
      </c>
      <c r="ER200">
        <v>0</v>
      </c>
      <c r="ES200">
        <v>0</v>
      </c>
      <c r="ET200">
        <v>0</v>
      </c>
      <c r="EU200">
        <v>699</v>
      </c>
      <c r="EV200">
        <v>146</v>
      </c>
      <c r="EW200">
        <v>0</v>
      </c>
      <c r="EX200">
        <v>2036</v>
      </c>
      <c r="EY200">
        <v>0</v>
      </c>
      <c r="EZ200">
        <v>0</v>
      </c>
      <c r="FA200">
        <v>0</v>
      </c>
      <c r="FB200">
        <v>0</v>
      </c>
      <c r="FC200">
        <v>0</v>
      </c>
      <c r="FD200">
        <v>3439</v>
      </c>
      <c r="FE200">
        <v>0</v>
      </c>
      <c r="FF200">
        <v>0</v>
      </c>
      <c r="FG200">
        <v>14604</v>
      </c>
      <c r="FH200">
        <v>20924</v>
      </c>
      <c r="FI200">
        <v>0</v>
      </c>
      <c r="FJ200">
        <v>2597</v>
      </c>
      <c r="FK200">
        <v>0</v>
      </c>
      <c r="FL200">
        <v>-1</v>
      </c>
      <c r="FM200">
        <v>1493</v>
      </c>
      <c r="FN200">
        <v>0</v>
      </c>
      <c r="FO200">
        <v>246</v>
      </c>
      <c r="FP200">
        <v>0</v>
      </c>
      <c r="FQ200">
        <v>0</v>
      </c>
      <c r="FR200">
        <v>0</v>
      </c>
      <c r="FS200">
        <v>0</v>
      </c>
      <c r="FT200">
        <v>0</v>
      </c>
      <c r="FU200">
        <v>0</v>
      </c>
      <c r="FV200">
        <v>0</v>
      </c>
      <c r="FW200">
        <v>0</v>
      </c>
      <c r="FX200">
        <v>0</v>
      </c>
      <c r="FY200">
        <v>0</v>
      </c>
      <c r="FZ200">
        <v>555</v>
      </c>
      <c r="GA200">
        <v>0</v>
      </c>
      <c r="GB200">
        <v>0</v>
      </c>
      <c r="GC200">
        <v>-9</v>
      </c>
      <c r="GD200">
        <v>0</v>
      </c>
      <c r="GE200">
        <v>0</v>
      </c>
      <c r="GF200">
        <v>72599</v>
      </c>
      <c r="GG200">
        <v>0</v>
      </c>
      <c r="GH200">
        <v>-2075</v>
      </c>
      <c r="GI200">
        <v>79</v>
      </c>
      <c r="GJ200">
        <v>0</v>
      </c>
      <c r="GK200">
        <v>75484</v>
      </c>
      <c r="GL200">
        <v>0</v>
      </c>
      <c r="GM200">
        <v>-342</v>
      </c>
      <c r="GN200">
        <v>0</v>
      </c>
      <c r="GO200">
        <v>6</v>
      </c>
      <c r="GP200">
        <v>2</v>
      </c>
      <c r="GQ200">
        <v>8572</v>
      </c>
      <c r="GR200">
        <v>0</v>
      </c>
      <c r="GS200">
        <v>221</v>
      </c>
      <c r="GT200">
        <v>0</v>
      </c>
      <c r="GU200">
        <v>8459</v>
      </c>
      <c r="GV200">
        <v>104867</v>
      </c>
      <c r="GW200">
        <v>0</v>
      </c>
      <c r="GX200">
        <v>0</v>
      </c>
      <c r="GY200">
        <v>0</v>
      </c>
      <c r="GZ200">
        <v>0</v>
      </c>
      <c r="HA200">
        <v>0</v>
      </c>
      <c r="HB200">
        <v>15515</v>
      </c>
      <c r="HC200">
        <v>0</v>
      </c>
      <c r="HD200">
        <v>0</v>
      </c>
      <c r="HE200">
        <v>0</v>
      </c>
      <c r="HF200">
        <v>0</v>
      </c>
      <c r="HG200">
        <v>0</v>
      </c>
      <c r="HH200">
        <v>0</v>
      </c>
      <c r="HI200">
        <v>331</v>
      </c>
      <c r="HJ200">
        <v>0</v>
      </c>
      <c r="HK200">
        <v>855</v>
      </c>
      <c r="HL200">
        <v>559</v>
      </c>
      <c r="HM200">
        <v>0</v>
      </c>
      <c r="HN200">
        <v>0</v>
      </c>
      <c r="HO200">
        <v>90</v>
      </c>
      <c r="HP200">
        <v>2827</v>
      </c>
      <c r="HQ200">
        <v>0</v>
      </c>
      <c r="HR200">
        <v>15172</v>
      </c>
      <c r="HS200">
        <v>0</v>
      </c>
      <c r="HT200">
        <v>883</v>
      </c>
      <c r="HU200">
        <v>-14508</v>
      </c>
      <c r="HV200">
        <v>21724</v>
      </c>
      <c r="HW200">
        <v>80085</v>
      </c>
      <c r="HX200">
        <v>0</v>
      </c>
      <c r="HY200">
        <v>0</v>
      </c>
      <c r="HZ200">
        <v>0</v>
      </c>
      <c r="IA200">
        <v>23250</v>
      </c>
      <c r="IB200">
        <v>0</v>
      </c>
      <c r="IC200">
        <v>1020743</v>
      </c>
      <c r="ID200">
        <v>54355</v>
      </c>
      <c r="IE200">
        <v>223776</v>
      </c>
      <c r="IF200">
        <v>478546</v>
      </c>
      <c r="IG200">
        <v>79041</v>
      </c>
      <c r="IH200">
        <v>34</v>
      </c>
      <c r="II200">
        <v>20924</v>
      </c>
      <c r="IJ200">
        <v>75484</v>
      </c>
      <c r="IK200">
        <v>8459</v>
      </c>
      <c r="IL200">
        <v>0</v>
      </c>
      <c r="IM200">
        <v>0</v>
      </c>
      <c r="IN200">
        <v>21724</v>
      </c>
      <c r="IO200">
        <v>0</v>
      </c>
      <c r="IP200">
        <v>1983086</v>
      </c>
      <c r="IQ200">
        <v>0</v>
      </c>
      <c r="IR200">
        <v>0</v>
      </c>
      <c r="IS200">
        <v>0</v>
      </c>
      <c r="IT200">
        <v>0</v>
      </c>
      <c r="IU200">
        <v>0</v>
      </c>
      <c r="IV200">
        <v>0</v>
      </c>
      <c r="IW200">
        <v>0</v>
      </c>
      <c r="IX200">
        <v>0</v>
      </c>
      <c r="IY200">
        <v>0</v>
      </c>
      <c r="IZ200">
        <v>452</v>
      </c>
      <c r="JA200">
        <v>0</v>
      </c>
      <c r="JB200">
        <v>0</v>
      </c>
      <c r="JC200">
        <v>0</v>
      </c>
      <c r="JD200">
        <v>0</v>
      </c>
      <c r="JE200">
        <v>648</v>
      </c>
      <c r="JF200">
        <v>0</v>
      </c>
      <c r="JG200">
        <v>1984186</v>
      </c>
      <c r="JH200">
        <v>716</v>
      </c>
      <c r="JI200">
        <v>5226</v>
      </c>
      <c r="JJ200">
        <v>0</v>
      </c>
      <c r="JK200">
        <v>-4000</v>
      </c>
      <c r="JL200">
        <v>0</v>
      </c>
      <c r="JM200">
        <v>-2666</v>
      </c>
      <c r="JN200">
        <v>21768</v>
      </c>
      <c r="JO200">
        <v>0</v>
      </c>
      <c r="JP200">
        <v>36282</v>
      </c>
      <c r="JQ200">
        <v>0</v>
      </c>
      <c r="JR200">
        <v>2041512</v>
      </c>
      <c r="JS200">
        <v>-35122</v>
      </c>
      <c r="JT200">
        <v>6506</v>
      </c>
      <c r="JU200">
        <v>3448</v>
      </c>
      <c r="JV200">
        <v>0</v>
      </c>
      <c r="JW200">
        <v>-40968</v>
      </c>
      <c r="JX200">
        <v>0</v>
      </c>
      <c r="JY200">
        <v>0</v>
      </c>
      <c r="JZ200">
        <v>0</v>
      </c>
      <c r="KA200">
        <v>0</v>
      </c>
      <c r="KB200">
        <v>0</v>
      </c>
      <c r="KC200">
        <v>1975376</v>
      </c>
      <c r="KD200">
        <v>-1574</v>
      </c>
      <c r="KE200">
        <v>-1240751</v>
      </c>
      <c r="KF200">
        <v>733051</v>
      </c>
      <c r="KG200">
        <v>0</v>
      </c>
      <c r="KH200">
        <v>7561</v>
      </c>
      <c r="KI200">
        <v>8393</v>
      </c>
      <c r="KJ200">
        <v>7397</v>
      </c>
      <c r="KK200">
        <v>46307</v>
      </c>
      <c r="KL200">
        <v>0</v>
      </c>
      <c r="KM200">
        <v>-33615</v>
      </c>
      <c r="KN200">
        <v>0</v>
      </c>
      <c r="KO200">
        <v>-190277</v>
      </c>
      <c r="KP200">
        <v>2689</v>
      </c>
      <c r="KQ200">
        <v>5566</v>
      </c>
      <c r="KR200">
        <v>540158</v>
      </c>
      <c r="KS200">
        <v>94822</v>
      </c>
      <c r="KT200">
        <v>16097</v>
      </c>
      <c r="KU200">
        <v>8693</v>
      </c>
      <c r="KV200">
        <v>350044</v>
      </c>
      <c r="KW200">
        <v>23437</v>
      </c>
      <c r="KX200">
        <v>102383</v>
      </c>
      <c r="KY200">
        <v>24490</v>
      </c>
      <c r="KZ200">
        <v>16090</v>
      </c>
      <c r="LA200">
        <v>396351</v>
      </c>
      <c r="LB200">
        <v>23437</v>
      </c>
      <c r="LC200">
        <v>0</v>
      </c>
      <c r="LD200">
        <v>79023</v>
      </c>
      <c r="LE200">
        <v>0</v>
      </c>
      <c r="LF200">
        <v>12220</v>
      </c>
      <c r="LG200">
        <v>0</v>
      </c>
      <c r="LH200">
        <v>29197</v>
      </c>
      <c r="LI200">
        <v>120440</v>
      </c>
      <c r="LJ200">
        <v>0</v>
      </c>
      <c r="LK200">
        <v>0</v>
      </c>
      <c r="LL200">
        <v>0</v>
      </c>
      <c r="LM200">
        <v>0</v>
      </c>
      <c r="LN200">
        <v>0</v>
      </c>
      <c r="LO200">
        <v>0</v>
      </c>
      <c r="LP200">
        <v>0</v>
      </c>
      <c r="LQ200">
        <v>0</v>
      </c>
      <c r="LR200">
        <v>0</v>
      </c>
      <c r="LS200">
        <v>0</v>
      </c>
      <c r="LT200">
        <v>0</v>
      </c>
      <c r="LU200">
        <v>1020743</v>
      </c>
      <c r="LV200">
        <v>54355</v>
      </c>
      <c r="LW200">
        <v>223776</v>
      </c>
      <c r="LX200">
        <v>478546</v>
      </c>
      <c r="LY200">
        <v>79041</v>
      </c>
      <c r="LZ200">
        <v>34</v>
      </c>
      <c r="MA200">
        <v>20924</v>
      </c>
      <c r="MB200">
        <v>75484</v>
      </c>
      <c r="MC200">
        <v>8459</v>
      </c>
      <c r="MD200">
        <v>0</v>
      </c>
      <c r="ME200">
        <v>0</v>
      </c>
      <c r="MF200">
        <v>21724</v>
      </c>
      <c r="MG200">
        <v>0</v>
      </c>
      <c r="MH200">
        <v>1983086</v>
      </c>
      <c r="MI200">
        <v>0</v>
      </c>
      <c r="MJ200">
        <v>0</v>
      </c>
      <c r="MK200">
        <v>0</v>
      </c>
      <c r="ML200">
        <v>0</v>
      </c>
      <c r="MM200">
        <v>0</v>
      </c>
      <c r="MN200">
        <v>0</v>
      </c>
      <c r="MO200">
        <v>0</v>
      </c>
      <c r="MP200">
        <v>0</v>
      </c>
      <c r="MQ200">
        <v>0</v>
      </c>
      <c r="MR200">
        <v>0</v>
      </c>
      <c r="MS200">
        <v>0</v>
      </c>
      <c r="MT200">
        <v>0</v>
      </c>
      <c r="MU200">
        <v>0</v>
      </c>
      <c r="MV200">
        <v>0</v>
      </c>
      <c r="MW200">
        <v>0</v>
      </c>
      <c r="MX200">
        <v>0</v>
      </c>
      <c r="MY200">
        <v>0</v>
      </c>
      <c r="MZ200">
        <v>0</v>
      </c>
      <c r="NA200">
        <v>0</v>
      </c>
      <c r="NB200">
        <v>0</v>
      </c>
      <c r="NC200">
        <v>0</v>
      </c>
      <c r="ND200">
        <v>0</v>
      </c>
      <c r="NE200">
        <v>0</v>
      </c>
      <c r="NF200">
        <v>0</v>
      </c>
      <c r="NG200">
        <v>0</v>
      </c>
      <c r="NH200">
        <v>0</v>
      </c>
      <c r="NI200">
        <v>0</v>
      </c>
      <c r="NJ200">
        <v>0</v>
      </c>
      <c r="NK200">
        <v>0</v>
      </c>
      <c r="NL200">
        <v>0</v>
      </c>
      <c r="NM200">
        <v>0</v>
      </c>
      <c r="NN200">
        <v>0</v>
      </c>
      <c r="NO200">
        <v>0</v>
      </c>
      <c r="NP200">
        <v>0</v>
      </c>
      <c r="NQ200">
        <v>0</v>
      </c>
      <c r="NR200">
        <v>0</v>
      </c>
      <c r="NS200">
        <v>0</v>
      </c>
      <c r="NT200">
        <v>0</v>
      </c>
      <c r="NU200">
        <v>0</v>
      </c>
      <c r="NV200">
        <v>0</v>
      </c>
      <c r="NW200">
        <v>0</v>
      </c>
      <c r="NX200">
        <v>0</v>
      </c>
      <c r="NY200">
        <v>0</v>
      </c>
      <c r="NZ200">
        <v>0</v>
      </c>
      <c r="OA200">
        <v>0</v>
      </c>
      <c r="OB200">
        <v>0</v>
      </c>
      <c r="OC200">
        <v>0</v>
      </c>
      <c r="OD200">
        <v>0</v>
      </c>
      <c r="OE200">
        <v>0</v>
      </c>
      <c r="OF200">
        <v>0</v>
      </c>
      <c r="OG200">
        <v>0</v>
      </c>
      <c r="OH200">
        <v>0</v>
      </c>
      <c r="OI200">
        <v>0</v>
      </c>
      <c r="OJ200">
        <v>0</v>
      </c>
      <c r="OK200">
        <v>0</v>
      </c>
      <c r="OL200">
        <v>0</v>
      </c>
      <c r="OM200">
        <v>0</v>
      </c>
      <c r="ON200">
        <v>0</v>
      </c>
    </row>
    <row r="201" spans="1:404" x14ac:dyDescent="0.25">
      <c r="A201" t="s">
        <v>669</v>
      </c>
      <c r="B201" t="s">
        <v>670</v>
      </c>
      <c r="C201" t="s">
        <v>5433</v>
      </c>
      <c r="E201" t="s">
        <v>5408</v>
      </c>
      <c r="F201">
        <v>0</v>
      </c>
      <c r="G201">
        <v>0</v>
      </c>
      <c r="H201">
        <v>0</v>
      </c>
      <c r="I201">
        <v>0</v>
      </c>
      <c r="J201">
        <v>0</v>
      </c>
      <c r="K201">
        <v>0</v>
      </c>
      <c r="L201">
        <v>0</v>
      </c>
      <c r="M201">
        <v>0</v>
      </c>
      <c r="N201">
        <v>0</v>
      </c>
      <c r="O201">
        <v>0</v>
      </c>
      <c r="P201">
        <v>0</v>
      </c>
      <c r="Q201">
        <v>0</v>
      </c>
      <c r="R201">
        <v>0</v>
      </c>
      <c r="S201">
        <v>0</v>
      </c>
      <c r="T201">
        <v>0</v>
      </c>
      <c r="U201">
        <v>0</v>
      </c>
      <c r="V201">
        <v>0</v>
      </c>
      <c r="W201">
        <v>0</v>
      </c>
      <c r="X201">
        <v>0</v>
      </c>
      <c r="Y201">
        <v>0</v>
      </c>
      <c r="Z201">
        <v>0</v>
      </c>
      <c r="AA201">
        <v>0</v>
      </c>
      <c r="AB201">
        <v>0</v>
      </c>
      <c r="AC201">
        <v>0</v>
      </c>
      <c r="AD201">
        <v>0</v>
      </c>
      <c r="AE201">
        <v>0</v>
      </c>
      <c r="AF201">
        <v>0</v>
      </c>
      <c r="AG201">
        <v>0</v>
      </c>
      <c r="AH201">
        <v>0</v>
      </c>
      <c r="AI201">
        <v>0</v>
      </c>
      <c r="AJ201">
        <v>0</v>
      </c>
      <c r="AK201">
        <v>0</v>
      </c>
      <c r="AL201">
        <v>0</v>
      </c>
      <c r="AM201">
        <v>0</v>
      </c>
      <c r="AN201">
        <v>0</v>
      </c>
      <c r="AO201">
        <v>0</v>
      </c>
      <c r="AP201">
        <v>0</v>
      </c>
      <c r="AQ201">
        <v>0</v>
      </c>
      <c r="AR201">
        <v>0</v>
      </c>
      <c r="AS201">
        <v>0</v>
      </c>
      <c r="AT201">
        <v>0</v>
      </c>
      <c r="AU201">
        <v>0</v>
      </c>
      <c r="AV201">
        <v>0</v>
      </c>
      <c r="AW201">
        <v>0</v>
      </c>
      <c r="AX201">
        <v>0</v>
      </c>
      <c r="AY201">
        <v>0</v>
      </c>
      <c r="AZ201">
        <v>0</v>
      </c>
      <c r="BA201">
        <v>0</v>
      </c>
      <c r="BB201">
        <v>0</v>
      </c>
      <c r="BC201">
        <v>0</v>
      </c>
      <c r="BD201">
        <v>0</v>
      </c>
      <c r="BE201">
        <v>0</v>
      </c>
      <c r="BF201">
        <v>0</v>
      </c>
      <c r="BG201">
        <v>0</v>
      </c>
      <c r="BH201">
        <v>0</v>
      </c>
      <c r="BI201">
        <v>0</v>
      </c>
      <c r="BJ201">
        <v>0</v>
      </c>
      <c r="BK201">
        <v>0</v>
      </c>
      <c r="BL201">
        <v>0</v>
      </c>
      <c r="BM201">
        <v>0</v>
      </c>
      <c r="BN201">
        <v>0</v>
      </c>
      <c r="BO201">
        <v>0</v>
      </c>
      <c r="BP201">
        <v>0</v>
      </c>
      <c r="BQ201">
        <v>0</v>
      </c>
      <c r="BR201">
        <v>0</v>
      </c>
      <c r="BS201">
        <v>0</v>
      </c>
      <c r="BT201">
        <v>0</v>
      </c>
      <c r="BU201">
        <v>0</v>
      </c>
      <c r="BV201">
        <v>0</v>
      </c>
      <c r="BW201">
        <v>0</v>
      </c>
      <c r="BX201">
        <v>0</v>
      </c>
      <c r="BY201">
        <v>0</v>
      </c>
      <c r="BZ201">
        <v>0</v>
      </c>
      <c r="CA201">
        <v>0</v>
      </c>
      <c r="CB201">
        <v>0</v>
      </c>
      <c r="CC201">
        <v>0</v>
      </c>
      <c r="CD201">
        <v>0</v>
      </c>
      <c r="CE201">
        <v>0</v>
      </c>
      <c r="CF201">
        <v>0</v>
      </c>
      <c r="CG201">
        <v>0</v>
      </c>
      <c r="CH201">
        <v>0</v>
      </c>
      <c r="CI201">
        <v>0</v>
      </c>
      <c r="CJ201">
        <v>0</v>
      </c>
      <c r="CK201">
        <v>0</v>
      </c>
      <c r="CL201">
        <v>0</v>
      </c>
      <c r="CM201">
        <v>0</v>
      </c>
      <c r="CN201">
        <v>0</v>
      </c>
      <c r="CO201">
        <v>0</v>
      </c>
      <c r="CP201">
        <v>0</v>
      </c>
      <c r="CQ201">
        <v>0</v>
      </c>
      <c r="CR201">
        <v>0</v>
      </c>
      <c r="CS201">
        <v>0</v>
      </c>
      <c r="CT201">
        <v>0</v>
      </c>
      <c r="CU201">
        <v>0</v>
      </c>
      <c r="CV201">
        <v>0</v>
      </c>
      <c r="CW201">
        <v>0</v>
      </c>
      <c r="CX201">
        <v>0</v>
      </c>
      <c r="CY201">
        <v>0</v>
      </c>
      <c r="CZ201">
        <v>0</v>
      </c>
      <c r="DA201">
        <v>0</v>
      </c>
      <c r="DB201">
        <v>0</v>
      </c>
      <c r="DC201">
        <v>0</v>
      </c>
      <c r="DD201">
        <v>0</v>
      </c>
      <c r="DE201">
        <v>0</v>
      </c>
      <c r="DF201">
        <v>0</v>
      </c>
      <c r="DG201">
        <v>0</v>
      </c>
      <c r="DH201">
        <v>0</v>
      </c>
      <c r="DI201">
        <v>0</v>
      </c>
      <c r="DJ201">
        <v>0</v>
      </c>
      <c r="DK201">
        <v>0</v>
      </c>
      <c r="DL201">
        <v>0</v>
      </c>
      <c r="DM201">
        <v>0</v>
      </c>
      <c r="DN201">
        <v>0</v>
      </c>
      <c r="DO201">
        <v>0</v>
      </c>
      <c r="DP201">
        <v>0</v>
      </c>
      <c r="DQ201">
        <v>0</v>
      </c>
      <c r="DR201">
        <v>0</v>
      </c>
      <c r="DS201">
        <v>0</v>
      </c>
      <c r="DT201">
        <v>0</v>
      </c>
      <c r="DU201">
        <v>0</v>
      </c>
      <c r="DV201">
        <v>0</v>
      </c>
      <c r="DW201">
        <v>0</v>
      </c>
      <c r="DX201">
        <v>0</v>
      </c>
      <c r="DY201">
        <v>0</v>
      </c>
      <c r="DZ201">
        <v>0</v>
      </c>
      <c r="EA201">
        <v>0</v>
      </c>
      <c r="EB201">
        <v>0</v>
      </c>
      <c r="EC201">
        <v>0</v>
      </c>
      <c r="ED201">
        <v>0</v>
      </c>
      <c r="EE201">
        <v>0</v>
      </c>
      <c r="EF201">
        <v>0</v>
      </c>
      <c r="EG201">
        <v>0</v>
      </c>
      <c r="EH201">
        <v>0</v>
      </c>
      <c r="EI201">
        <v>0</v>
      </c>
      <c r="EJ201">
        <v>0</v>
      </c>
      <c r="EK201">
        <v>0</v>
      </c>
      <c r="EL201">
        <v>0</v>
      </c>
      <c r="EM201">
        <v>0</v>
      </c>
      <c r="EN201">
        <v>0</v>
      </c>
      <c r="EO201">
        <v>0</v>
      </c>
      <c r="EP201">
        <v>0</v>
      </c>
      <c r="EQ201">
        <v>0</v>
      </c>
      <c r="ER201">
        <v>0</v>
      </c>
      <c r="ES201">
        <v>0</v>
      </c>
      <c r="ET201">
        <v>0</v>
      </c>
      <c r="EU201">
        <v>0</v>
      </c>
      <c r="EV201">
        <v>0</v>
      </c>
      <c r="EW201">
        <v>0</v>
      </c>
      <c r="EX201">
        <v>0</v>
      </c>
      <c r="EY201">
        <v>0</v>
      </c>
      <c r="EZ201">
        <v>0</v>
      </c>
      <c r="FA201">
        <v>0</v>
      </c>
      <c r="FB201">
        <v>0</v>
      </c>
      <c r="FC201">
        <v>0</v>
      </c>
      <c r="FD201">
        <v>0</v>
      </c>
      <c r="FE201">
        <v>0</v>
      </c>
      <c r="FF201">
        <v>0</v>
      </c>
      <c r="FG201">
        <v>0</v>
      </c>
      <c r="FH201">
        <v>0</v>
      </c>
      <c r="FI201">
        <v>0</v>
      </c>
      <c r="FJ201">
        <v>0</v>
      </c>
      <c r="FK201">
        <v>0</v>
      </c>
      <c r="FL201">
        <v>0</v>
      </c>
      <c r="FM201">
        <v>0</v>
      </c>
      <c r="FN201">
        <v>0</v>
      </c>
      <c r="FO201">
        <v>0</v>
      </c>
      <c r="FP201">
        <v>0</v>
      </c>
      <c r="FQ201">
        <v>0</v>
      </c>
      <c r="FR201">
        <v>0</v>
      </c>
      <c r="FS201">
        <v>0</v>
      </c>
      <c r="FT201">
        <v>0</v>
      </c>
      <c r="FU201">
        <v>0</v>
      </c>
      <c r="FV201">
        <v>0</v>
      </c>
      <c r="FW201">
        <v>0</v>
      </c>
      <c r="FX201">
        <v>0</v>
      </c>
      <c r="FY201">
        <v>0</v>
      </c>
      <c r="FZ201">
        <v>0</v>
      </c>
      <c r="GA201">
        <v>0</v>
      </c>
      <c r="GB201">
        <v>0</v>
      </c>
      <c r="GC201">
        <v>0</v>
      </c>
      <c r="GD201">
        <v>0</v>
      </c>
      <c r="GE201">
        <v>0</v>
      </c>
      <c r="GF201">
        <v>0</v>
      </c>
      <c r="GG201">
        <v>0</v>
      </c>
      <c r="GH201">
        <v>0</v>
      </c>
      <c r="GI201">
        <v>0</v>
      </c>
      <c r="GJ201">
        <v>0</v>
      </c>
      <c r="GK201">
        <v>0</v>
      </c>
      <c r="GL201">
        <v>0</v>
      </c>
      <c r="GM201">
        <v>0</v>
      </c>
      <c r="GN201">
        <v>0</v>
      </c>
      <c r="GO201">
        <v>0</v>
      </c>
      <c r="GP201">
        <v>0</v>
      </c>
      <c r="GQ201">
        <v>0</v>
      </c>
      <c r="GR201">
        <v>0</v>
      </c>
      <c r="GS201">
        <v>0</v>
      </c>
      <c r="GT201">
        <v>0</v>
      </c>
      <c r="GU201">
        <v>0</v>
      </c>
      <c r="GV201">
        <v>0</v>
      </c>
      <c r="GW201">
        <v>0</v>
      </c>
      <c r="GX201">
        <v>8006</v>
      </c>
      <c r="GY201">
        <v>53171</v>
      </c>
      <c r="GZ201">
        <v>86</v>
      </c>
      <c r="HA201">
        <v>61263</v>
      </c>
      <c r="HB201">
        <v>501</v>
      </c>
      <c r="HC201">
        <v>0</v>
      </c>
      <c r="HD201">
        <v>0</v>
      </c>
      <c r="HE201">
        <v>0</v>
      </c>
      <c r="HF201">
        <v>0</v>
      </c>
      <c r="HG201">
        <v>0</v>
      </c>
      <c r="HH201">
        <v>0</v>
      </c>
      <c r="HI201">
        <v>0</v>
      </c>
      <c r="HJ201">
        <v>0</v>
      </c>
      <c r="HK201">
        <v>0</v>
      </c>
      <c r="HL201">
        <v>0</v>
      </c>
      <c r="HM201">
        <v>0</v>
      </c>
      <c r="HN201">
        <v>0</v>
      </c>
      <c r="HO201">
        <v>0</v>
      </c>
      <c r="HP201">
        <v>0</v>
      </c>
      <c r="HQ201">
        <v>0</v>
      </c>
      <c r="HR201">
        <v>17</v>
      </c>
      <c r="HS201">
        <v>0</v>
      </c>
      <c r="HT201">
        <v>0</v>
      </c>
      <c r="HU201">
        <v>0</v>
      </c>
      <c r="HV201">
        <v>519</v>
      </c>
      <c r="HW201">
        <v>0</v>
      </c>
      <c r="HX201">
        <v>0</v>
      </c>
      <c r="HY201">
        <v>0</v>
      </c>
      <c r="HZ201">
        <v>0</v>
      </c>
      <c r="IA201">
        <v>0</v>
      </c>
      <c r="IB201">
        <v>0</v>
      </c>
      <c r="IC201">
        <v>0</v>
      </c>
      <c r="ID201">
        <v>0</v>
      </c>
      <c r="IE201">
        <v>0</v>
      </c>
      <c r="IF201">
        <v>0</v>
      </c>
      <c r="IG201">
        <v>0</v>
      </c>
      <c r="IH201">
        <v>0</v>
      </c>
      <c r="II201">
        <v>0</v>
      </c>
      <c r="IJ201">
        <v>0</v>
      </c>
      <c r="IK201">
        <v>0</v>
      </c>
      <c r="IL201">
        <v>0</v>
      </c>
      <c r="IM201">
        <v>61263</v>
      </c>
      <c r="IN201">
        <v>519</v>
      </c>
      <c r="IO201">
        <v>0</v>
      </c>
      <c r="IP201">
        <v>61782</v>
      </c>
      <c r="IQ201">
        <v>0</v>
      </c>
      <c r="IR201">
        <v>0</v>
      </c>
      <c r="IS201">
        <v>0</v>
      </c>
      <c r="IT201">
        <v>0</v>
      </c>
      <c r="IU201">
        <v>0</v>
      </c>
      <c r="IV201">
        <v>0</v>
      </c>
      <c r="IW201">
        <v>0</v>
      </c>
      <c r="IX201">
        <v>0</v>
      </c>
      <c r="IY201">
        <v>0</v>
      </c>
      <c r="IZ201">
        <v>0</v>
      </c>
      <c r="JA201">
        <v>0</v>
      </c>
      <c r="JB201">
        <v>0</v>
      </c>
      <c r="JC201">
        <v>0</v>
      </c>
      <c r="JD201">
        <v>0</v>
      </c>
      <c r="JE201">
        <v>102</v>
      </c>
      <c r="JF201">
        <v>0</v>
      </c>
      <c r="JG201">
        <v>61884</v>
      </c>
      <c r="JH201">
        <v>0</v>
      </c>
      <c r="JI201">
        <v>2388</v>
      </c>
      <c r="JJ201">
        <v>0</v>
      </c>
      <c r="JK201">
        <v>0</v>
      </c>
      <c r="JL201">
        <v>0</v>
      </c>
      <c r="JM201">
        <v>0</v>
      </c>
      <c r="JN201">
        <v>51</v>
      </c>
      <c r="JO201">
        <v>0</v>
      </c>
      <c r="JP201">
        <v>96</v>
      </c>
      <c r="JQ201">
        <v>0</v>
      </c>
      <c r="JR201">
        <v>64418</v>
      </c>
      <c r="JS201">
        <v>-205</v>
      </c>
      <c r="JT201">
        <v>0</v>
      </c>
      <c r="JU201">
        <v>0</v>
      </c>
      <c r="JV201">
        <v>0</v>
      </c>
      <c r="JW201">
        <v>0</v>
      </c>
      <c r="JX201">
        <v>0</v>
      </c>
      <c r="JY201">
        <v>0</v>
      </c>
      <c r="JZ201">
        <v>0</v>
      </c>
      <c r="KA201">
        <v>0</v>
      </c>
      <c r="KB201">
        <v>0</v>
      </c>
      <c r="KC201">
        <v>64213</v>
      </c>
      <c r="KD201">
        <v>0</v>
      </c>
      <c r="KE201">
        <v>-6458</v>
      </c>
      <c r="KF201">
        <v>57755</v>
      </c>
      <c r="KG201">
        <v>0</v>
      </c>
      <c r="KH201">
        <v>0</v>
      </c>
      <c r="KI201">
        <v>0</v>
      </c>
      <c r="KJ201">
        <v>0</v>
      </c>
      <c r="KK201">
        <v>-559</v>
      </c>
      <c r="KL201">
        <v>332</v>
      </c>
      <c r="KM201">
        <v>-8570</v>
      </c>
      <c r="KN201">
        <v>0</v>
      </c>
      <c r="KO201">
        <v>-15072</v>
      </c>
      <c r="KP201">
        <v>137</v>
      </c>
      <c r="KQ201">
        <v>0</v>
      </c>
      <c r="KR201">
        <v>31996</v>
      </c>
      <c r="KS201">
        <v>0</v>
      </c>
      <c r="KT201">
        <v>0</v>
      </c>
      <c r="KU201">
        <v>0</v>
      </c>
      <c r="KV201">
        <v>10348</v>
      </c>
      <c r="KW201">
        <v>5712</v>
      </c>
      <c r="KX201">
        <v>0</v>
      </c>
      <c r="KY201">
        <v>0</v>
      </c>
      <c r="KZ201">
        <v>0</v>
      </c>
      <c r="LA201">
        <v>9789</v>
      </c>
      <c r="LB201">
        <v>6044</v>
      </c>
      <c r="LC201">
        <v>0</v>
      </c>
      <c r="LD201">
        <v>4163</v>
      </c>
      <c r="LE201">
        <v>765</v>
      </c>
      <c r="LF201">
        <v>0</v>
      </c>
      <c r="LG201">
        <v>0</v>
      </c>
      <c r="LH201">
        <v>0</v>
      </c>
      <c r="LI201">
        <v>4928</v>
      </c>
      <c r="LJ201">
        <v>0</v>
      </c>
      <c r="LK201">
        <v>0</v>
      </c>
      <c r="LL201">
        <v>0</v>
      </c>
      <c r="LM201">
        <v>0</v>
      </c>
      <c r="LN201">
        <v>0</v>
      </c>
      <c r="LO201">
        <v>0</v>
      </c>
      <c r="LP201">
        <v>0</v>
      </c>
      <c r="LQ201">
        <v>0</v>
      </c>
      <c r="LR201">
        <v>0</v>
      </c>
      <c r="LS201">
        <v>0</v>
      </c>
      <c r="LT201">
        <v>0</v>
      </c>
      <c r="LU201">
        <v>0</v>
      </c>
      <c r="LV201">
        <v>0</v>
      </c>
      <c r="LW201">
        <v>0</v>
      </c>
      <c r="LX201">
        <v>0</v>
      </c>
      <c r="LY201">
        <v>0</v>
      </c>
      <c r="LZ201">
        <v>0</v>
      </c>
      <c r="MA201">
        <v>0</v>
      </c>
      <c r="MB201">
        <v>0</v>
      </c>
      <c r="MC201">
        <v>0</v>
      </c>
      <c r="MD201">
        <v>0</v>
      </c>
      <c r="ME201">
        <v>61263</v>
      </c>
      <c r="MF201">
        <v>519</v>
      </c>
      <c r="MG201">
        <v>0</v>
      </c>
      <c r="MH201">
        <v>61782</v>
      </c>
      <c r="MI201">
        <v>0</v>
      </c>
      <c r="MJ201">
        <v>0</v>
      </c>
      <c r="MK201">
        <v>0</v>
      </c>
      <c r="ML201">
        <v>0</v>
      </c>
      <c r="MM201">
        <v>0</v>
      </c>
      <c r="MN201">
        <v>0</v>
      </c>
      <c r="MO201">
        <v>0</v>
      </c>
      <c r="MP201">
        <v>0</v>
      </c>
      <c r="MQ201">
        <v>0</v>
      </c>
      <c r="MR201">
        <v>0</v>
      </c>
      <c r="MS201">
        <v>0</v>
      </c>
      <c r="MT201">
        <v>0</v>
      </c>
      <c r="MU201">
        <v>0</v>
      </c>
      <c r="MV201">
        <v>0</v>
      </c>
      <c r="MW201">
        <v>0</v>
      </c>
      <c r="MX201">
        <v>0</v>
      </c>
      <c r="MY201">
        <v>0</v>
      </c>
      <c r="MZ201">
        <v>0</v>
      </c>
      <c r="NA201">
        <v>0</v>
      </c>
      <c r="NB201">
        <v>0</v>
      </c>
      <c r="NC201">
        <v>0</v>
      </c>
      <c r="ND201">
        <v>0</v>
      </c>
      <c r="NE201">
        <v>0</v>
      </c>
      <c r="NF201">
        <v>0</v>
      </c>
      <c r="NG201">
        <v>0</v>
      </c>
      <c r="NH201">
        <v>0</v>
      </c>
      <c r="NI201">
        <v>0</v>
      </c>
      <c r="NJ201">
        <v>0</v>
      </c>
      <c r="NK201">
        <v>0</v>
      </c>
      <c r="NL201">
        <v>0</v>
      </c>
      <c r="NM201">
        <v>0</v>
      </c>
      <c r="NN201">
        <v>0</v>
      </c>
      <c r="NO201">
        <v>0</v>
      </c>
      <c r="NP201">
        <v>0</v>
      </c>
      <c r="NQ201">
        <v>0</v>
      </c>
      <c r="NR201">
        <v>0</v>
      </c>
      <c r="NS201">
        <v>0</v>
      </c>
      <c r="NT201">
        <v>0</v>
      </c>
      <c r="NU201">
        <v>0</v>
      </c>
      <c r="NV201">
        <v>0</v>
      </c>
      <c r="NW201">
        <v>0</v>
      </c>
      <c r="NX201">
        <v>0</v>
      </c>
      <c r="NY201">
        <v>0</v>
      </c>
      <c r="NZ201">
        <v>0</v>
      </c>
      <c r="OA201">
        <v>0</v>
      </c>
      <c r="OB201">
        <v>0</v>
      </c>
      <c r="OC201">
        <v>0</v>
      </c>
      <c r="OD201">
        <v>0</v>
      </c>
      <c r="OE201">
        <v>0</v>
      </c>
      <c r="OF201">
        <v>0</v>
      </c>
      <c r="OG201">
        <v>0</v>
      </c>
      <c r="OH201">
        <v>0</v>
      </c>
      <c r="OI201">
        <v>0</v>
      </c>
      <c r="OJ201">
        <v>0</v>
      </c>
      <c r="OK201">
        <v>0</v>
      </c>
      <c r="OL201">
        <v>0</v>
      </c>
      <c r="OM201">
        <v>0</v>
      </c>
      <c r="ON201">
        <v>0</v>
      </c>
    </row>
    <row r="202" spans="1:404" x14ac:dyDescent="0.25">
      <c r="A202" t="s">
        <v>672</v>
      </c>
      <c r="B202" t="s">
        <v>673</v>
      </c>
      <c r="C202" t="s">
        <v>671</v>
      </c>
      <c r="E202" t="s">
        <v>71</v>
      </c>
      <c r="F202">
        <v>0</v>
      </c>
      <c r="G202">
        <v>0</v>
      </c>
      <c r="H202">
        <v>0</v>
      </c>
      <c r="I202">
        <v>0</v>
      </c>
      <c r="J202">
        <v>0</v>
      </c>
      <c r="K202">
        <v>0</v>
      </c>
      <c r="L202">
        <v>0</v>
      </c>
      <c r="M202">
        <v>0</v>
      </c>
      <c r="N202">
        <v>0</v>
      </c>
      <c r="O202">
        <v>0</v>
      </c>
      <c r="P202">
        <v>0</v>
      </c>
      <c r="Q202">
        <v>0</v>
      </c>
      <c r="R202">
        <v>0</v>
      </c>
      <c r="S202">
        <v>0</v>
      </c>
      <c r="T202">
        <v>0</v>
      </c>
      <c r="U202">
        <v>0</v>
      </c>
      <c r="V202">
        <v>0</v>
      </c>
      <c r="W202">
        <v>0</v>
      </c>
      <c r="X202">
        <v>0</v>
      </c>
      <c r="Y202">
        <v>0</v>
      </c>
      <c r="Z202">
        <v>0</v>
      </c>
      <c r="AA202">
        <v>0</v>
      </c>
      <c r="AB202">
        <v>0</v>
      </c>
      <c r="AC202">
        <v>0</v>
      </c>
      <c r="AD202">
        <v>0</v>
      </c>
      <c r="AE202">
        <v>0</v>
      </c>
      <c r="AF202">
        <v>0</v>
      </c>
      <c r="AG202">
        <v>0</v>
      </c>
      <c r="AH202">
        <v>0</v>
      </c>
      <c r="AI202">
        <v>0</v>
      </c>
      <c r="AJ202">
        <v>0</v>
      </c>
      <c r="AK202">
        <v>0</v>
      </c>
      <c r="AL202">
        <v>0</v>
      </c>
      <c r="AM202">
        <v>0</v>
      </c>
      <c r="AN202">
        <v>0</v>
      </c>
      <c r="AO202">
        <v>0</v>
      </c>
      <c r="AP202">
        <v>0</v>
      </c>
      <c r="AQ202">
        <v>0</v>
      </c>
      <c r="AR202">
        <v>0</v>
      </c>
      <c r="AS202">
        <v>0</v>
      </c>
      <c r="AT202">
        <v>0</v>
      </c>
      <c r="AU202">
        <v>0</v>
      </c>
      <c r="AV202">
        <v>0</v>
      </c>
      <c r="AW202">
        <v>0</v>
      </c>
      <c r="AX202">
        <v>0</v>
      </c>
      <c r="AY202">
        <v>0</v>
      </c>
      <c r="AZ202">
        <v>0</v>
      </c>
      <c r="BA202">
        <v>0</v>
      </c>
      <c r="BB202">
        <v>0</v>
      </c>
      <c r="BC202">
        <v>0</v>
      </c>
      <c r="BD202">
        <v>0</v>
      </c>
      <c r="BE202">
        <v>0</v>
      </c>
      <c r="BF202">
        <v>0</v>
      </c>
      <c r="BG202">
        <v>0</v>
      </c>
      <c r="BH202">
        <v>0</v>
      </c>
      <c r="BI202">
        <v>0</v>
      </c>
      <c r="BJ202">
        <v>0</v>
      </c>
      <c r="BK202">
        <v>0</v>
      </c>
      <c r="BL202">
        <v>0</v>
      </c>
      <c r="BM202">
        <v>0</v>
      </c>
      <c r="BN202">
        <v>0</v>
      </c>
      <c r="BO202">
        <v>0</v>
      </c>
      <c r="BP202">
        <v>0</v>
      </c>
      <c r="BQ202">
        <v>0</v>
      </c>
      <c r="BR202">
        <v>0</v>
      </c>
      <c r="BS202">
        <v>0</v>
      </c>
      <c r="BT202">
        <v>0</v>
      </c>
      <c r="BU202">
        <v>0</v>
      </c>
      <c r="BV202">
        <v>0</v>
      </c>
      <c r="BW202">
        <v>0</v>
      </c>
      <c r="BX202">
        <v>0</v>
      </c>
      <c r="BY202">
        <v>0</v>
      </c>
      <c r="BZ202">
        <v>0</v>
      </c>
      <c r="CA202">
        <v>0</v>
      </c>
      <c r="CB202">
        <v>0</v>
      </c>
      <c r="CC202">
        <v>0</v>
      </c>
      <c r="CD202">
        <v>0</v>
      </c>
      <c r="CE202">
        <v>0</v>
      </c>
      <c r="CF202">
        <v>0</v>
      </c>
      <c r="CG202">
        <v>0</v>
      </c>
      <c r="CH202">
        <v>0</v>
      </c>
      <c r="CI202">
        <v>0</v>
      </c>
      <c r="CJ202">
        <v>0</v>
      </c>
      <c r="CK202">
        <v>0</v>
      </c>
      <c r="CL202">
        <v>0</v>
      </c>
      <c r="CM202">
        <v>0</v>
      </c>
      <c r="CN202">
        <v>0</v>
      </c>
      <c r="CO202">
        <v>0</v>
      </c>
      <c r="CP202">
        <v>0</v>
      </c>
      <c r="CQ202">
        <v>0</v>
      </c>
      <c r="CR202">
        <v>0</v>
      </c>
      <c r="CS202">
        <v>0</v>
      </c>
      <c r="CT202">
        <v>0</v>
      </c>
      <c r="CU202">
        <v>0</v>
      </c>
      <c r="CV202">
        <v>0</v>
      </c>
      <c r="CW202">
        <v>0</v>
      </c>
      <c r="CX202">
        <v>0</v>
      </c>
      <c r="CY202">
        <v>0</v>
      </c>
      <c r="CZ202">
        <v>0</v>
      </c>
      <c r="DA202">
        <v>0</v>
      </c>
      <c r="DB202">
        <v>0</v>
      </c>
      <c r="DC202">
        <v>0</v>
      </c>
      <c r="DD202">
        <v>0</v>
      </c>
      <c r="DE202">
        <v>0</v>
      </c>
      <c r="DF202">
        <v>0</v>
      </c>
      <c r="DG202">
        <v>0</v>
      </c>
      <c r="DH202">
        <v>0</v>
      </c>
      <c r="DI202">
        <v>0</v>
      </c>
      <c r="DJ202">
        <v>0</v>
      </c>
      <c r="DK202">
        <v>0</v>
      </c>
      <c r="DL202">
        <v>0</v>
      </c>
      <c r="DM202">
        <v>0</v>
      </c>
      <c r="DN202">
        <v>0</v>
      </c>
      <c r="DO202">
        <v>0</v>
      </c>
      <c r="DP202">
        <v>0</v>
      </c>
      <c r="DQ202">
        <v>0</v>
      </c>
      <c r="DR202">
        <v>0</v>
      </c>
      <c r="DS202">
        <v>0</v>
      </c>
      <c r="DT202">
        <v>0</v>
      </c>
      <c r="DU202">
        <v>0</v>
      </c>
      <c r="DV202">
        <v>0</v>
      </c>
      <c r="DW202">
        <v>0</v>
      </c>
      <c r="DX202">
        <v>0</v>
      </c>
      <c r="DY202">
        <v>0</v>
      </c>
      <c r="DZ202">
        <v>0</v>
      </c>
      <c r="EA202">
        <v>0</v>
      </c>
      <c r="EB202">
        <v>0</v>
      </c>
      <c r="EC202">
        <v>0</v>
      </c>
      <c r="ED202">
        <v>0</v>
      </c>
      <c r="EE202">
        <v>0</v>
      </c>
      <c r="EF202">
        <v>0</v>
      </c>
      <c r="EG202">
        <v>0</v>
      </c>
      <c r="EH202">
        <v>0</v>
      </c>
      <c r="EI202">
        <v>0</v>
      </c>
      <c r="EJ202">
        <v>0</v>
      </c>
      <c r="EK202">
        <v>0</v>
      </c>
      <c r="EL202">
        <v>0</v>
      </c>
      <c r="EM202">
        <v>0</v>
      </c>
      <c r="EN202">
        <v>0</v>
      </c>
      <c r="EO202">
        <v>0</v>
      </c>
      <c r="EP202">
        <v>0</v>
      </c>
      <c r="EQ202">
        <v>0</v>
      </c>
      <c r="ER202">
        <v>0</v>
      </c>
      <c r="ES202">
        <v>0</v>
      </c>
      <c r="ET202">
        <v>0</v>
      </c>
      <c r="EU202">
        <v>0</v>
      </c>
      <c r="EV202">
        <v>0</v>
      </c>
      <c r="EW202">
        <v>0</v>
      </c>
      <c r="EX202">
        <v>0</v>
      </c>
      <c r="EY202">
        <v>0</v>
      </c>
      <c r="EZ202">
        <v>0</v>
      </c>
      <c r="FA202">
        <v>0</v>
      </c>
      <c r="FB202">
        <v>0</v>
      </c>
      <c r="FC202">
        <v>0</v>
      </c>
      <c r="FD202">
        <v>0</v>
      </c>
      <c r="FE202">
        <v>0</v>
      </c>
      <c r="FF202">
        <v>0</v>
      </c>
      <c r="FG202">
        <v>0</v>
      </c>
      <c r="FH202">
        <v>0</v>
      </c>
      <c r="FI202">
        <v>0</v>
      </c>
      <c r="FJ202">
        <v>0</v>
      </c>
      <c r="FK202">
        <v>0</v>
      </c>
      <c r="FL202">
        <v>0</v>
      </c>
      <c r="FM202">
        <v>0</v>
      </c>
      <c r="FN202">
        <v>0</v>
      </c>
      <c r="FO202">
        <v>0</v>
      </c>
      <c r="FP202">
        <v>0</v>
      </c>
      <c r="FQ202">
        <v>0</v>
      </c>
      <c r="FR202">
        <v>0</v>
      </c>
      <c r="FS202">
        <v>0</v>
      </c>
      <c r="FT202">
        <v>0</v>
      </c>
      <c r="FU202">
        <v>0</v>
      </c>
      <c r="FV202">
        <v>0</v>
      </c>
      <c r="FW202">
        <v>0</v>
      </c>
      <c r="FX202">
        <v>0</v>
      </c>
      <c r="FY202">
        <v>0</v>
      </c>
      <c r="FZ202">
        <v>0</v>
      </c>
      <c r="GA202">
        <v>0</v>
      </c>
      <c r="GB202">
        <v>0</v>
      </c>
      <c r="GC202">
        <v>0</v>
      </c>
      <c r="GD202">
        <v>0</v>
      </c>
      <c r="GE202">
        <v>0</v>
      </c>
      <c r="GF202">
        <v>0</v>
      </c>
      <c r="GG202">
        <v>0</v>
      </c>
      <c r="GH202">
        <v>0</v>
      </c>
      <c r="GI202">
        <v>0</v>
      </c>
      <c r="GJ202">
        <v>0</v>
      </c>
      <c r="GK202">
        <v>0</v>
      </c>
      <c r="GL202">
        <v>0</v>
      </c>
      <c r="GM202">
        <v>0</v>
      </c>
      <c r="GN202">
        <v>0</v>
      </c>
      <c r="GO202">
        <v>0</v>
      </c>
      <c r="GP202">
        <v>0</v>
      </c>
      <c r="GQ202">
        <v>0</v>
      </c>
      <c r="GR202">
        <v>0</v>
      </c>
      <c r="GS202">
        <v>0</v>
      </c>
      <c r="GT202">
        <v>0</v>
      </c>
      <c r="GU202">
        <v>0</v>
      </c>
      <c r="GV202">
        <v>0</v>
      </c>
      <c r="GW202">
        <v>325069</v>
      </c>
      <c r="GX202">
        <v>0</v>
      </c>
      <c r="GY202">
        <v>0</v>
      </c>
      <c r="GZ202">
        <v>0</v>
      </c>
      <c r="HA202">
        <v>0</v>
      </c>
      <c r="HB202">
        <v>1448</v>
      </c>
      <c r="HC202">
        <v>0</v>
      </c>
      <c r="HD202">
        <v>0</v>
      </c>
      <c r="HE202">
        <v>0</v>
      </c>
      <c r="HF202">
        <v>0</v>
      </c>
      <c r="HG202">
        <v>0</v>
      </c>
      <c r="HH202">
        <v>0</v>
      </c>
      <c r="HI202">
        <v>0</v>
      </c>
      <c r="HJ202">
        <v>0</v>
      </c>
      <c r="HK202">
        <v>0</v>
      </c>
      <c r="HL202">
        <v>0</v>
      </c>
      <c r="HM202">
        <v>0</v>
      </c>
      <c r="HN202">
        <v>0</v>
      </c>
      <c r="HO202">
        <v>0</v>
      </c>
      <c r="HP202">
        <v>0</v>
      </c>
      <c r="HQ202">
        <v>0</v>
      </c>
      <c r="HR202">
        <v>-1224</v>
      </c>
      <c r="HS202">
        <v>0</v>
      </c>
      <c r="HT202">
        <v>0</v>
      </c>
      <c r="HU202">
        <v>0</v>
      </c>
      <c r="HV202">
        <v>224</v>
      </c>
      <c r="HW202">
        <v>0</v>
      </c>
      <c r="HX202">
        <v>0</v>
      </c>
      <c r="HY202">
        <v>0</v>
      </c>
      <c r="HZ202">
        <v>0</v>
      </c>
      <c r="IA202">
        <v>0</v>
      </c>
      <c r="IB202">
        <v>0</v>
      </c>
      <c r="IC202">
        <v>0</v>
      </c>
      <c r="ID202">
        <v>0</v>
      </c>
      <c r="IE202">
        <v>0</v>
      </c>
      <c r="IF202">
        <v>0</v>
      </c>
      <c r="IG202">
        <v>0</v>
      </c>
      <c r="IH202">
        <v>0</v>
      </c>
      <c r="II202">
        <v>0</v>
      </c>
      <c r="IJ202">
        <v>0</v>
      </c>
      <c r="IK202">
        <v>0</v>
      </c>
      <c r="IL202">
        <v>325069</v>
      </c>
      <c r="IM202">
        <v>0</v>
      </c>
      <c r="IN202">
        <v>224</v>
      </c>
      <c r="IO202">
        <v>0</v>
      </c>
      <c r="IP202">
        <v>325292</v>
      </c>
      <c r="IQ202">
        <v>0</v>
      </c>
      <c r="IR202">
        <v>0</v>
      </c>
      <c r="IS202">
        <v>0</v>
      </c>
      <c r="IT202">
        <v>0</v>
      </c>
      <c r="IU202">
        <v>0</v>
      </c>
      <c r="IV202">
        <v>0</v>
      </c>
      <c r="IW202">
        <v>0</v>
      </c>
      <c r="IX202">
        <v>0</v>
      </c>
      <c r="IY202">
        <v>0</v>
      </c>
      <c r="IZ202">
        <v>1037</v>
      </c>
      <c r="JA202">
        <v>0</v>
      </c>
      <c r="JB202">
        <v>47</v>
      </c>
      <c r="JC202">
        <v>0</v>
      </c>
      <c r="JD202">
        <v>0</v>
      </c>
      <c r="JE202">
        <v>-825</v>
      </c>
      <c r="JF202">
        <v>0</v>
      </c>
      <c r="JG202">
        <v>325551</v>
      </c>
      <c r="JH202">
        <v>0</v>
      </c>
      <c r="JI202">
        <v>9240</v>
      </c>
      <c r="JJ202">
        <v>0</v>
      </c>
      <c r="JK202">
        <v>0</v>
      </c>
      <c r="JL202">
        <v>0</v>
      </c>
      <c r="JM202">
        <v>-4</v>
      </c>
      <c r="JN202">
        <v>1429</v>
      </c>
      <c r="JO202">
        <v>0</v>
      </c>
      <c r="JP202">
        <v>1321</v>
      </c>
      <c r="JQ202">
        <v>0</v>
      </c>
      <c r="JR202">
        <v>337536</v>
      </c>
      <c r="JS202">
        <v>-71</v>
      </c>
      <c r="JT202">
        <v>0</v>
      </c>
      <c r="JU202">
        <v>0</v>
      </c>
      <c r="JV202">
        <v>0</v>
      </c>
      <c r="JW202">
        <v>-14545</v>
      </c>
      <c r="JX202">
        <v>0</v>
      </c>
      <c r="JY202">
        <v>0</v>
      </c>
      <c r="JZ202">
        <v>0</v>
      </c>
      <c r="KA202">
        <v>0</v>
      </c>
      <c r="KB202">
        <v>0</v>
      </c>
      <c r="KC202">
        <v>322920</v>
      </c>
      <c r="KD202">
        <v>0</v>
      </c>
      <c r="KE202">
        <v>-1288</v>
      </c>
      <c r="KF202">
        <v>321632</v>
      </c>
      <c r="KG202">
        <v>0</v>
      </c>
      <c r="KH202">
        <v>0</v>
      </c>
      <c r="KI202">
        <v>0</v>
      </c>
      <c r="KJ202">
        <v>0</v>
      </c>
      <c r="KK202">
        <v>148</v>
      </c>
      <c r="KL202">
        <v>-34</v>
      </c>
      <c r="KM202">
        <v>0</v>
      </c>
      <c r="KN202">
        <v>-219543</v>
      </c>
      <c r="KO202">
        <v>0</v>
      </c>
      <c r="KP202">
        <v>408</v>
      </c>
      <c r="KQ202">
        <v>0</v>
      </c>
      <c r="KR202">
        <v>100256</v>
      </c>
      <c r="KS202">
        <v>0</v>
      </c>
      <c r="KT202">
        <v>0</v>
      </c>
      <c r="KU202">
        <v>0</v>
      </c>
      <c r="KV202">
        <v>14682</v>
      </c>
      <c r="KW202">
        <v>9416</v>
      </c>
      <c r="KX202">
        <v>0</v>
      </c>
      <c r="KY202">
        <v>0</v>
      </c>
      <c r="KZ202">
        <v>0</v>
      </c>
      <c r="LA202">
        <v>14830</v>
      </c>
      <c r="LB202">
        <v>9382</v>
      </c>
      <c r="LC202">
        <v>0</v>
      </c>
      <c r="LD202">
        <v>15597</v>
      </c>
      <c r="LE202">
        <v>0</v>
      </c>
      <c r="LF202">
        <v>3257</v>
      </c>
      <c r="LG202">
        <v>-545</v>
      </c>
      <c r="LH202">
        <v>120</v>
      </c>
      <c r="LI202">
        <v>17940</v>
      </c>
      <c r="LJ202">
        <v>0</v>
      </c>
      <c r="LK202">
        <v>0</v>
      </c>
      <c r="LL202">
        <v>0</v>
      </c>
      <c r="LM202">
        <v>0</v>
      </c>
      <c r="LN202">
        <v>0</v>
      </c>
      <c r="LO202">
        <v>0</v>
      </c>
      <c r="LP202">
        <v>0</v>
      </c>
      <c r="LQ202">
        <v>0</v>
      </c>
      <c r="LR202">
        <v>0</v>
      </c>
      <c r="LS202">
        <v>0</v>
      </c>
      <c r="LT202">
        <v>0</v>
      </c>
      <c r="LU202">
        <v>0</v>
      </c>
      <c r="LV202">
        <v>0</v>
      </c>
      <c r="LW202">
        <v>0</v>
      </c>
      <c r="LX202">
        <v>0</v>
      </c>
      <c r="LY202">
        <v>0</v>
      </c>
      <c r="LZ202">
        <v>0</v>
      </c>
      <c r="MA202">
        <v>0</v>
      </c>
      <c r="MB202">
        <v>0</v>
      </c>
      <c r="MC202">
        <v>0</v>
      </c>
      <c r="MD202">
        <v>325069</v>
      </c>
      <c r="ME202">
        <v>0</v>
      </c>
      <c r="MF202">
        <v>224</v>
      </c>
      <c r="MG202">
        <v>0</v>
      </c>
      <c r="MH202">
        <v>325292</v>
      </c>
      <c r="MI202">
        <v>0</v>
      </c>
      <c r="MJ202">
        <v>0</v>
      </c>
      <c r="MK202">
        <v>0</v>
      </c>
      <c r="ML202">
        <v>0</v>
      </c>
      <c r="MM202">
        <v>0</v>
      </c>
      <c r="MN202">
        <v>0</v>
      </c>
      <c r="MO202">
        <v>0</v>
      </c>
      <c r="MP202">
        <v>0</v>
      </c>
      <c r="MQ202">
        <v>0</v>
      </c>
      <c r="MR202">
        <v>0</v>
      </c>
      <c r="MS202">
        <v>0</v>
      </c>
      <c r="MT202">
        <v>0</v>
      </c>
      <c r="MU202">
        <v>0</v>
      </c>
      <c r="MV202">
        <v>0</v>
      </c>
      <c r="MW202">
        <v>0</v>
      </c>
      <c r="MX202">
        <v>0</v>
      </c>
      <c r="MY202">
        <v>0</v>
      </c>
      <c r="MZ202">
        <v>0</v>
      </c>
      <c r="NA202">
        <v>0</v>
      </c>
      <c r="NB202">
        <v>0</v>
      </c>
      <c r="NC202">
        <v>0</v>
      </c>
      <c r="ND202">
        <v>0</v>
      </c>
      <c r="NE202">
        <v>0</v>
      </c>
      <c r="NF202">
        <v>0</v>
      </c>
      <c r="NG202">
        <v>0</v>
      </c>
      <c r="NH202">
        <v>0</v>
      </c>
      <c r="NI202">
        <v>0</v>
      </c>
      <c r="NJ202">
        <v>0</v>
      </c>
      <c r="NK202">
        <v>0</v>
      </c>
      <c r="NL202">
        <v>0</v>
      </c>
      <c r="NM202">
        <v>0</v>
      </c>
      <c r="NN202">
        <v>0</v>
      </c>
      <c r="NO202">
        <v>0</v>
      </c>
      <c r="NP202">
        <v>0</v>
      </c>
      <c r="NQ202">
        <v>0</v>
      </c>
      <c r="NR202">
        <v>0</v>
      </c>
      <c r="NS202">
        <v>0</v>
      </c>
      <c r="NT202">
        <v>47</v>
      </c>
      <c r="NU202">
        <v>0</v>
      </c>
      <c r="NV202">
        <v>0</v>
      </c>
      <c r="NW202">
        <v>0</v>
      </c>
      <c r="NX202">
        <v>0</v>
      </c>
      <c r="NY202">
        <v>0</v>
      </c>
      <c r="NZ202">
        <v>47</v>
      </c>
      <c r="OA202">
        <v>0</v>
      </c>
      <c r="OB202">
        <v>47</v>
      </c>
      <c r="OC202">
        <v>0</v>
      </c>
      <c r="OD202">
        <v>0</v>
      </c>
      <c r="OE202">
        <v>0</v>
      </c>
      <c r="OF202">
        <v>0</v>
      </c>
      <c r="OG202">
        <v>0</v>
      </c>
      <c r="OH202">
        <v>0</v>
      </c>
      <c r="OI202">
        <v>0</v>
      </c>
      <c r="OJ202">
        <v>0</v>
      </c>
      <c r="OK202">
        <v>0</v>
      </c>
      <c r="OL202">
        <v>0</v>
      </c>
      <c r="OM202">
        <v>0</v>
      </c>
      <c r="ON202">
        <v>0</v>
      </c>
    </row>
    <row r="203" spans="1:404" x14ac:dyDescent="0.25">
      <c r="A203" t="s">
        <v>675</v>
      </c>
      <c r="B203" t="s">
        <v>676</v>
      </c>
      <c r="C203" t="s">
        <v>674</v>
      </c>
      <c r="E203" t="s">
        <v>61</v>
      </c>
      <c r="F203">
        <v>0</v>
      </c>
      <c r="G203">
        <v>0</v>
      </c>
      <c r="H203">
        <v>0</v>
      </c>
      <c r="I203">
        <v>0</v>
      </c>
      <c r="J203">
        <v>0</v>
      </c>
      <c r="K203">
        <v>0</v>
      </c>
      <c r="L203">
        <v>0</v>
      </c>
      <c r="M203">
        <v>0</v>
      </c>
      <c r="N203">
        <v>0</v>
      </c>
      <c r="O203">
        <v>0</v>
      </c>
      <c r="P203">
        <v>0</v>
      </c>
      <c r="Q203">
        <v>0</v>
      </c>
      <c r="R203">
        <v>0</v>
      </c>
      <c r="S203">
        <v>45</v>
      </c>
      <c r="T203">
        <v>0</v>
      </c>
      <c r="U203">
        <v>28</v>
      </c>
      <c r="V203">
        <v>0</v>
      </c>
      <c r="W203">
        <v>0</v>
      </c>
      <c r="X203">
        <v>0</v>
      </c>
      <c r="Y203">
        <v>0</v>
      </c>
      <c r="Z203">
        <v>0</v>
      </c>
      <c r="AA203">
        <v>-1462</v>
      </c>
      <c r="AB203">
        <v>0</v>
      </c>
      <c r="AC203">
        <v>0</v>
      </c>
      <c r="AD203">
        <v>0</v>
      </c>
      <c r="AE203">
        <v>0</v>
      </c>
      <c r="AF203">
        <v>0</v>
      </c>
      <c r="AG203">
        <v>69</v>
      </c>
      <c r="AH203">
        <v>0</v>
      </c>
      <c r="AI203">
        <v>-1320</v>
      </c>
      <c r="AJ203">
        <v>0</v>
      </c>
      <c r="AK203">
        <v>0</v>
      </c>
      <c r="AL203">
        <v>0</v>
      </c>
      <c r="AM203">
        <v>0</v>
      </c>
      <c r="AN203">
        <v>0</v>
      </c>
      <c r="AO203">
        <v>0</v>
      </c>
      <c r="AP203">
        <v>0</v>
      </c>
      <c r="AQ203">
        <v>0</v>
      </c>
      <c r="AR203">
        <v>0</v>
      </c>
      <c r="AS203">
        <v>0</v>
      </c>
      <c r="AT203">
        <v>0</v>
      </c>
      <c r="AU203">
        <v>0</v>
      </c>
      <c r="AV203">
        <v>0</v>
      </c>
      <c r="AW203">
        <v>0</v>
      </c>
      <c r="AX203">
        <v>0</v>
      </c>
      <c r="AY203">
        <v>0</v>
      </c>
      <c r="AZ203">
        <v>0</v>
      </c>
      <c r="BA203">
        <v>0</v>
      </c>
      <c r="BB203">
        <v>0</v>
      </c>
      <c r="BC203">
        <v>0</v>
      </c>
      <c r="BD203">
        <v>0</v>
      </c>
      <c r="BE203">
        <v>0</v>
      </c>
      <c r="BF203">
        <v>0</v>
      </c>
      <c r="BG203">
        <v>0</v>
      </c>
      <c r="BH203">
        <v>0</v>
      </c>
      <c r="BI203">
        <v>0</v>
      </c>
      <c r="BJ203">
        <v>0</v>
      </c>
      <c r="BK203">
        <v>0</v>
      </c>
      <c r="BL203">
        <v>0</v>
      </c>
      <c r="BM203">
        <v>0</v>
      </c>
      <c r="BN203">
        <v>0</v>
      </c>
      <c r="BO203">
        <v>0</v>
      </c>
      <c r="BP203">
        <v>0</v>
      </c>
      <c r="BQ203">
        <v>0</v>
      </c>
      <c r="BR203">
        <v>0</v>
      </c>
      <c r="BS203">
        <v>0</v>
      </c>
      <c r="BT203">
        <v>0</v>
      </c>
      <c r="BU203">
        <v>0</v>
      </c>
      <c r="BV203">
        <v>0</v>
      </c>
      <c r="BW203">
        <v>0</v>
      </c>
      <c r="BX203">
        <v>0</v>
      </c>
      <c r="BY203">
        <v>0</v>
      </c>
      <c r="BZ203">
        <v>0</v>
      </c>
      <c r="CA203">
        <v>0</v>
      </c>
      <c r="CB203">
        <v>0</v>
      </c>
      <c r="CC203">
        <v>0</v>
      </c>
      <c r="CD203">
        <v>0</v>
      </c>
      <c r="CE203">
        <v>0</v>
      </c>
      <c r="CF203">
        <v>0</v>
      </c>
      <c r="CG203">
        <v>0</v>
      </c>
      <c r="CH203">
        <v>0</v>
      </c>
      <c r="CI203">
        <v>0</v>
      </c>
      <c r="CJ203">
        <v>0</v>
      </c>
      <c r="CK203">
        <v>0</v>
      </c>
      <c r="CL203">
        <v>0</v>
      </c>
      <c r="CM203">
        <v>0</v>
      </c>
      <c r="CN203">
        <v>0</v>
      </c>
      <c r="CO203">
        <v>0</v>
      </c>
      <c r="CP203">
        <v>0</v>
      </c>
      <c r="CQ203">
        <v>0</v>
      </c>
      <c r="CR203">
        <v>0</v>
      </c>
      <c r="CS203">
        <v>0</v>
      </c>
      <c r="CT203">
        <v>0</v>
      </c>
      <c r="CU203">
        <v>0</v>
      </c>
      <c r="CV203">
        <v>0</v>
      </c>
      <c r="CW203">
        <v>0</v>
      </c>
      <c r="CX203">
        <v>0</v>
      </c>
      <c r="CY203">
        <v>0</v>
      </c>
      <c r="CZ203">
        <v>0</v>
      </c>
      <c r="DA203">
        <v>0</v>
      </c>
      <c r="DB203">
        <v>0</v>
      </c>
      <c r="DC203">
        <v>0</v>
      </c>
      <c r="DD203">
        <v>276</v>
      </c>
      <c r="DE203">
        <v>126</v>
      </c>
      <c r="DF203">
        <v>-5</v>
      </c>
      <c r="DG203">
        <v>0</v>
      </c>
      <c r="DH203">
        <v>0</v>
      </c>
      <c r="DI203">
        <v>0</v>
      </c>
      <c r="DJ203">
        <v>0</v>
      </c>
      <c r="DK203">
        <v>0</v>
      </c>
      <c r="DL203">
        <v>0</v>
      </c>
      <c r="DM203">
        <v>0</v>
      </c>
      <c r="DN203">
        <v>0</v>
      </c>
      <c r="DO203">
        <v>1200</v>
      </c>
      <c r="DP203">
        <v>1200</v>
      </c>
      <c r="DQ203">
        <v>284</v>
      </c>
      <c r="DR203">
        <v>32</v>
      </c>
      <c r="DS203">
        <v>0</v>
      </c>
      <c r="DT203">
        <v>1574</v>
      </c>
      <c r="DU203">
        <v>51</v>
      </c>
      <c r="DV203">
        <v>0</v>
      </c>
      <c r="DW203">
        <v>0</v>
      </c>
      <c r="DX203">
        <v>3538</v>
      </c>
      <c r="DY203">
        <v>13796</v>
      </c>
      <c r="DZ203">
        <v>268</v>
      </c>
      <c r="EA203">
        <v>1593</v>
      </c>
      <c r="EB203">
        <v>24</v>
      </c>
      <c r="EC203">
        <v>8</v>
      </c>
      <c r="ED203">
        <v>659</v>
      </c>
      <c r="EE203">
        <v>91</v>
      </c>
      <c r="EF203">
        <v>0</v>
      </c>
      <c r="EG203">
        <v>0</v>
      </c>
      <c r="EH203">
        <v>5684</v>
      </c>
      <c r="EI203">
        <v>4560</v>
      </c>
      <c r="EJ203">
        <v>0</v>
      </c>
      <c r="EK203">
        <v>381</v>
      </c>
      <c r="EL203">
        <v>1026</v>
      </c>
      <c r="EM203">
        <v>1041</v>
      </c>
      <c r="EN203">
        <v>4411</v>
      </c>
      <c r="EO203">
        <v>0</v>
      </c>
      <c r="EP203">
        <v>0</v>
      </c>
      <c r="EQ203">
        <v>338</v>
      </c>
      <c r="ER203">
        <v>72</v>
      </c>
      <c r="ES203">
        <v>13954</v>
      </c>
      <c r="ET203">
        <v>12880</v>
      </c>
      <c r="EU203">
        <v>0</v>
      </c>
      <c r="EV203">
        <v>0</v>
      </c>
      <c r="EW203">
        <v>36</v>
      </c>
      <c r="EX203">
        <v>571</v>
      </c>
      <c r="EY203">
        <v>499</v>
      </c>
      <c r="EZ203">
        <v>0</v>
      </c>
      <c r="FA203">
        <v>-27</v>
      </c>
      <c r="FB203">
        <v>132</v>
      </c>
      <c r="FC203">
        <v>1944</v>
      </c>
      <c r="FD203">
        <v>2321</v>
      </c>
      <c r="FE203">
        <v>0</v>
      </c>
      <c r="FF203">
        <v>254</v>
      </c>
      <c r="FG203">
        <v>0</v>
      </c>
      <c r="FH203">
        <v>5730</v>
      </c>
      <c r="FI203">
        <v>122</v>
      </c>
      <c r="FJ203">
        <v>0</v>
      </c>
      <c r="FK203">
        <v>0</v>
      </c>
      <c r="FL203">
        <v>461</v>
      </c>
      <c r="FM203">
        <v>559</v>
      </c>
      <c r="FN203">
        <v>0</v>
      </c>
      <c r="FO203">
        <v>189</v>
      </c>
      <c r="FP203">
        <v>59</v>
      </c>
      <c r="FQ203">
        <v>0</v>
      </c>
      <c r="FR203">
        <v>92</v>
      </c>
      <c r="FS203">
        <v>168</v>
      </c>
      <c r="FT203">
        <v>174</v>
      </c>
      <c r="FU203">
        <v>115</v>
      </c>
      <c r="FV203">
        <v>0</v>
      </c>
      <c r="FW203">
        <v>95</v>
      </c>
      <c r="FX203">
        <v>70</v>
      </c>
      <c r="FY203">
        <v>368</v>
      </c>
      <c r="FZ203">
        <v>163</v>
      </c>
      <c r="GA203">
        <v>0</v>
      </c>
      <c r="GB203">
        <v>0</v>
      </c>
      <c r="GC203">
        <v>0</v>
      </c>
      <c r="GD203">
        <v>1794</v>
      </c>
      <c r="GE203">
        <v>3609</v>
      </c>
      <c r="GF203">
        <v>0</v>
      </c>
      <c r="GG203">
        <v>-426</v>
      </c>
      <c r="GH203">
        <v>0</v>
      </c>
      <c r="GI203">
        <v>0</v>
      </c>
      <c r="GJ203">
        <v>0</v>
      </c>
      <c r="GK203">
        <v>7612</v>
      </c>
      <c r="GL203">
        <v>263</v>
      </c>
      <c r="GM203">
        <v>-1049</v>
      </c>
      <c r="GN203">
        <v>74</v>
      </c>
      <c r="GO203">
        <v>3389</v>
      </c>
      <c r="GP203">
        <v>0</v>
      </c>
      <c r="GQ203">
        <v>531</v>
      </c>
      <c r="GR203">
        <v>0</v>
      </c>
      <c r="GS203">
        <v>0</v>
      </c>
      <c r="GT203">
        <v>0</v>
      </c>
      <c r="GU203">
        <v>3208</v>
      </c>
      <c r="GV203">
        <v>16550</v>
      </c>
      <c r="GW203">
        <v>0</v>
      </c>
      <c r="GX203">
        <v>0</v>
      </c>
      <c r="GY203">
        <v>0</v>
      </c>
      <c r="GZ203">
        <v>0</v>
      </c>
      <c r="HA203">
        <v>0</v>
      </c>
      <c r="HB203">
        <v>7175</v>
      </c>
      <c r="HC203">
        <v>849</v>
      </c>
      <c r="HD203">
        <v>0</v>
      </c>
      <c r="HE203">
        <v>0</v>
      </c>
      <c r="HF203">
        <v>303</v>
      </c>
      <c r="HG203">
        <v>287</v>
      </c>
      <c r="HH203">
        <v>0</v>
      </c>
      <c r="HI203">
        <v>0</v>
      </c>
      <c r="HJ203">
        <v>286</v>
      </c>
      <c r="HK203">
        <v>224</v>
      </c>
      <c r="HL203">
        <v>80</v>
      </c>
      <c r="HM203">
        <v>17</v>
      </c>
      <c r="HN203">
        <v>0</v>
      </c>
      <c r="HO203">
        <v>299</v>
      </c>
      <c r="HP203">
        <v>0</v>
      </c>
      <c r="HQ203">
        <v>0</v>
      </c>
      <c r="HR203">
        <v>245</v>
      </c>
      <c r="HS203">
        <v>0</v>
      </c>
      <c r="HT203">
        <v>0</v>
      </c>
      <c r="HU203">
        <v>-1129</v>
      </c>
      <c r="HV203">
        <v>8636</v>
      </c>
      <c r="HW203">
        <v>10274</v>
      </c>
      <c r="HX203">
        <v>9848</v>
      </c>
      <c r="HY203">
        <v>0</v>
      </c>
      <c r="HZ203">
        <v>8731</v>
      </c>
      <c r="IA203">
        <v>134</v>
      </c>
      <c r="IB203">
        <v>0</v>
      </c>
      <c r="IC203">
        <v>0</v>
      </c>
      <c r="ID203">
        <v>-1320</v>
      </c>
      <c r="IE203">
        <v>0</v>
      </c>
      <c r="IF203">
        <v>0</v>
      </c>
      <c r="IG203">
        <v>0</v>
      </c>
      <c r="IH203">
        <v>3538</v>
      </c>
      <c r="II203">
        <v>5730</v>
      </c>
      <c r="IJ203">
        <v>7612</v>
      </c>
      <c r="IK203">
        <v>3208</v>
      </c>
      <c r="IL203">
        <v>0</v>
      </c>
      <c r="IM203">
        <v>0</v>
      </c>
      <c r="IN203">
        <v>8636</v>
      </c>
      <c r="IO203">
        <v>0</v>
      </c>
      <c r="IP203">
        <v>27404</v>
      </c>
      <c r="IQ203">
        <v>17490</v>
      </c>
      <c r="IR203">
        <v>0</v>
      </c>
      <c r="IS203">
        <v>5607</v>
      </c>
      <c r="IT203">
        <v>0</v>
      </c>
      <c r="IU203">
        <v>91</v>
      </c>
      <c r="IV203">
        <v>815</v>
      </c>
      <c r="IW203">
        <v>0</v>
      </c>
      <c r="IX203">
        <v>0</v>
      </c>
      <c r="IY203">
        <v>0</v>
      </c>
      <c r="IZ203">
        <v>0</v>
      </c>
      <c r="JA203">
        <v>-1268</v>
      </c>
      <c r="JB203">
        <v>50</v>
      </c>
      <c r="JC203">
        <v>-33</v>
      </c>
      <c r="JD203">
        <v>-27</v>
      </c>
      <c r="JE203">
        <v>0</v>
      </c>
      <c r="JF203">
        <v>0</v>
      </c>
      <c r="JG203">
        <v>50129</v>
      </c>
      <c r="JH203">
        <v>0</v>
      </c>
      <c r="JI203">
        <v>201</v>
      </c>
      <c r="JJ203">
        <v>0</v>
      </c>
      <c r="JK203">
        <v>0</v>
      </c>
      <c r="JL203">
        <v>0</v>
      </c>
      <c r="JM203">
        <v>200</v>
      </c>
      <c r="JN203">
        <v>2158</v>
      </c>
      <c r="JO203">
        <v>0</v>
      </c>
      <c r="JP203">
        <v>2882</v>
      </c>
      <c r="JQ203">
        <v>-1753</v>
      </c>
      <c r="JR203">
        <v>53817</v>
      </c>
      <c r="JS203">
        <v>-29</v>
      </c>
      <c r="JT203">
        <v>0</v>
      </c>
      <c r="JU203">
        <v>0</v>
      </c>
      <c r="JV203">
        <v>0</v>
      </c>
      <c r="JW203">
        <v>-23733</v>
      </c>
      <c r="JX203">
        <v>0</v>
      </c>
      <c r="JY203">
        <v>0</v>
      </c>
      <c r="JZ203">
        <v>0</v>
      </c>
      <c r="KA203">
        <v>0</v>
      </c>
      <c r="KB203">
        <v>0</v>
      </c>
      <c r="KC203">
        <v>30055</v>
      </c>
      <c r="KD203">
        <v>0</v>
      </c>
      <c r="KE203">
        <v>-8717</v>
      </c>
      <c r="KF203">
        <v>21338</v>
      </c>
      <c r="KG203">
        <v>0</v>
      </c>
      <c r="KH203">
        <v>0</v>
      </c>
      <c r="KI203">
        <v>0</v>
      </c>
      <c r="KJ203">
        <v>0</v>
      </c>
      <c r="KK203">
        <v>-2783</v>
      </c>
      <c r="KL203">
        <v>-1776</v>
      </c>
      <c r="KM203">
        <v>-204</v>
      </c>
      <c r="KN203">
        <v>0</v>
      </c>
      <c r="KO203">
        <v>-4100</v>
      </c>
      <c r="KP203">
        <v>0</v>
      </c>
      <c r="KQ203">
        <v>0</v>
      </c>
      <c r="KR203">
        <v>10648</v>
      </c>
      <c r="KS203">
        <v>0</v>
      </c>
      <c r="KT203">
        <v>0</v>
      </c>
      <c r="KU203">
        <v>0</v>
      </c>
      <c r="KV203">
        <v>25636</v>
      </c>
      <c r="KW203">
        <v>7808</v>
      </c>
      <c r="KX203">
        <v>0</v>
      </c>
      <c r="KY203">
        <v>0</v>
      </c>
      <c r="KZ203">
        <v>0</v>
      </c>
      <c r="LA203">
        <v>22853</v>
      </c>
      <c r="LB203">
        <v>6032</v>
      </c>
      <c r="LC203">
        <v>0</v>
      </c>
      <c r="LD203">
        <v>6407</v>
      </c>
      <c r="LE203">
        <v>6702</v>
      </c>
      <c r="LF203">
        <v>369</v>
      </c>
      <c r="LG203">
        <v>5152</v>
      </c>
      <c r="LH203">
        <v>2392</v>
      </c>
      <c r="LI203">
        <v>21815</v>
      </c>
      <c r="LJ203">
        <v>4192</v>
      </c>
      <c r="LK203">
        <v>6978</v>
      </c>
      <c r="LL203">
        <v>11170</v>
      </c>
      <c r="LM203">
        <v>0</v>
      </c>
      <c r="LN203">
        <v>0</v>
      </c>
      <c r="LO203">
        <v>0</v>
      </c>
      <c r="LP203">
        <v>16439</v>
      </c>
      <c r="LQ203">
        <v>17513</v>
      </c>
      <c r="LR203">
        <v>-1074</v>
      </c>
      <c r="LS203">
        <v>13954</v>
      </c>
      <c r="LT203">
        <v>12880</v>
      </c>
      <c r="LU203">
        <v>0</v>
      </c>
      <c r="LV203">
        <v>-1320</v>
      </c>
      <c r="LW203">
        <v>0</v>
      </c>
      <c r="LX203">
        <v>0</v>
      </c>
      <c r="LY203">
        <v>0</v>
      </c>
      <c r="LZ203">
        <v>3538</v>
      </c>
      <c r="MA203">
        <v>5730</v>
      </c>
      <c r="MB203">
        <v>7612</v>
      </c>
      <c r="MC203">
        <v>3208</v>
      </c>
      <c r="MD203">
        <v>0</v>
      </c>
      <c r="ME203">
        <v>0</v>
      </c>
      <c r="MF203">
        <v>8636</v>
      </c>
      <c r="MG203">
        <v>0</v>
      </c>
      <c r="MH203">
        <v>27404</v>
      </c>
      <c r="MI203">
        <v>0</v>
      </c>
      <c r="MJ203">
        <v>0</v>
      </c>
      <c r="MK203">
        <v>0</v>
      </c>
      <c r="ML203">
        <v>0</v>
      </c>
      <c r="MM203">
        <v>0</v>
      </c>
      <c r="MN203">
        <v>16</v>
      </c>
      <c r="MO203">
        <v>-11</v>
      </c>
      <c r="MP203">
        <v>0</v>
      </c>
      <c r="MQ203">
        <v>0</v>
      </c>
      <c r="MR203">
        <v>0</v>
      </c>
      <c r="MS203">
        <v>0</v>
      </c>
      <c r="MT203">
        <v>0</v>
      </c>
      <c r="MU203">
        <v>0</v>
      </c>
      <c r="MV203">
        <v>0</v>
      </c>
      <c r="MW203">
        <v>0</v>
      </c>
      <c r="MX203">
        <v>1</v>
      </c>
      <c r="MY203">
        <v>-1297</v>
      </c>
      <c r="MZ203">
        <v>-10</v>
      </c>
      <c r="NA203">
        <v>-1301</v>
      </c>
      <c r="NB203">
        <v>33</v>
      </c>
      <c r="NC203">
        <v>-1268</v>
      </c>
      <c r="ND203">
        <v>0</v>
      </c>
      <c r="NE203">
        <v>0</v>
      </c>
      <c r="NF203">
        <v>0</v>
      </c>
      <c r="NG203">
        <v>0</v>
      </c>
      <c r="NH203">
        <v>0</v>
      </c>
      <c r="NI203">
        <v>0</v>
      </c>
      <c r="NJ203">
        <v>0</v>
      </c>
      <c r="NK203">
        <v>0</v>
      </c>
      <c r="NL203">
        <v>0</v>
      </c>
      <c r="NM203">
        <v>0</v>
      </c>
      <c r="NN203">
        <v>15</v>
      </c>
      <c r="NO203">
        <v>0</v>
      </c>
      <c r="NP203">
        <v>-9</v>
      </c>
      <c r="NQ203">
        <v>17</v>
      </c>
      <c r="NR203">
        <v>0</v>
      </c>
      <c r="NS203">
        <v>0</v>
      </c>
      <c r="NT203">
        <v>0</v>
      </c>
      <c r="NU203">
        <v>0</v>
      </c>
      <c r="NV203">
        <v>0</v>
      </c>
      <c r="NW203">
        <v>0</v>
      </c>
      <c r="NX203">
        <v>0</v>
      </c>
      <c r="NY203">
        <v>0</v>
      </c>
      <c r="NZ203">
        <v>23</v>
      </c>
      <c r="OA203">
        <v>27</v>
      </c>
      <c r="OB203">
        <v>50</v>
      </c>
      <c r="OC203">
        <v>33</v>
      </c>
      <c r="OD203">
        <v>0</v>
      </c>
      <c r="OE203">
        <v>0</v>
      </c>
      <c r="OF203">
        <v>0</v>
      </c>
      <c r="OG203">
        <v>0</v>
      </c>
      <c r="OH203">
        <v>33</v>
      </c>
      <c r="OI203">
        <v>27</v>
      </c>
      <c r="OJ203">
        <v>0</v>
      </c>
      <c r="OK203">
        <v>0</v>
      </c>
      <c r="OL203">
        <v>0</v>
      </c>
      <c r="OM203">
        <v>0</v>
      </c>
      <c r="ON203">
        <v>27</v>
      </c>
    </row>
    <row r="204" spans="1:404" x14ac:dyDescent="0.25">
      <c r="A204" t="s">
        <v>678</v>
      </c>
      <c r="B204" t="s">
        <v>678</v>
      </c>
      <c r="C204" t="s">
        <v>677</v>
      </c>
      <c r="E204" t="s">
        <v>5418</v>
      </c>
      <c r="F204">
        <v>0</v>
      </c>
      <c r="G204">
        <v>0</v>
      </c>
      <c r="H204">
        <v>0</v>
      </c>
      <c r="I204">
        <v>0</v>
      </c>
      <c r="J204">
        <v>0</v>
      </c>
      <c r="K204">
        <v>0</v>
      </c>
      <c r="L204">
        <v>0</v>
      </c>
      <c r="M204">
        <v>0</v>
      </c>
      <c r="N204">
        <v>0</v>
      </c>
      <c r="O204">
        <v>0</v>
      </c>
      <c r="P204">
        <v>0</v>
      </c>
      <c r="Q204">
        <v>0</v>
      </c>
      <c r="R204">
        <v>0</v>
      </c>
      <c r="S204">
        <v>0</v>
      </c>
      <c r="T204">
        <v>0</v>
      </c>
      <c r="U204">
        <v>0</v>
      </c>
      <c r="V204">
        <v>0</v>
      </c>
      <c r="W204">
        <v>0</v>
      </c>
      <c r="X204">
        <v>0</v>
      </c>
      <c r="Y204">
        <v>0</v>
      </c>
      <c r="Z204">
        <v>0</v>
      </c>
      <c r="AA204">
        <v>0</v>
      </c>
      <c r="AB204">
        <v>0</v>
      </c>
      <c r="AC204">
        <v>0</v>
      </c>
      <c r="AD204">
        <v>0</v>
      </c>
      <c r="AE204">
        <v>0</v>
      </c>
      <c r="AF204">
        <v>0</v>
      </c>
      <c r="AG204">
        <v>0</v>
      </c>
      <c r="AH204">
        <v>0</v>
      </c>
      <c r="AI204">
        <v>0</v>
      </c>
      <c r="AJ204">
        <v>0</v>
      </c>
      <c r="AK204">
        <v>0</v>
      </c>
      <c r="AL204">
        <v>0</v>
      </c>
      <c r="AM204">
        <v>0</v>
      </c>
      <c r="AN204">
        <v>0</v>
      </c>
      <c r="AO204">
        <v>0</v>
      </c>
      <c r="AP204">
        <v>0</v>
      </c>
      <c r="AQ204">
        <v>0</v>
      </c>
      <c r="AR204">
        <v>0</v>
      </c>
      <c r="AS204">
        <v>0</v>
      </c>
      <c r="AT204">
        <v>0</v>
      </c>
      <c r="AU204">
        <v>0</v>
      </c>
      <c r="AV204">
        <v>0</v>
      </c>
      <c r="AW204">
        <v>0</v>
      </c>
      <c r="AX204">
        <v>0</v>
      </c>
      <c r="AY204">
        <v>0</v>
      </c>
      <c r="AZ204">
        <v>0</v>
      </c>
      <c r="BA204">
        <v>0</v>
      </c>
      <c r="BB204">
        <v>0</v>
      </c>
      <c r="BC204">
        <v>0</v>
      </c>
      <c r="BD204">
        <v>0</v>
      </c>
      <c r="BE204">
        <v>0</v>
      </c>
      <c r="BF204">
        <v>0</v>
      </c>
      <c r="BG204">
        <v>0</v>
      </c>
      <c r="BH204">
        <v>0</v>
      </c>
      <c r="BI204">
        <v>0</v>
      </c>
      <c r="BJ204">
        <v>0</v>
      </c>
      <c r="BK204">
        <v>0</v>
      </c>
      <c r="BL204">
        <v>0</v>
      </c>
      <c r="BM204">
        <v>0</v>
      </c>
      <c r="BN204">
        <v>0</v>
      </c>
      <c r="BO204">
        <v>0</v>
      </c>
      <c r="BP204">
        <v>0</v>
      </c>
      <c r="BQ204">
        <v>0</v>
      </c>
      <c r="BR204">
        <v>0</v>
      </c>
      <c r="BS204">
        <v>0</v>
      </c>
      <c r="BT204">
        <v>0</v>
      </c>
      <c r="BU204">
        <v>0</v>
      </c>
      <c r="BV204">
        <v>0</v>
      </c>
      <c r="BW204">
        <v>0</v>
      </c>
      <c r="BX204">
        <v>0</v>
      </c>
      <c r="BY204">
        <v>0</v>
      </c>
      <c r="BZ204">
        <v>0</v>
      </c>
      <c r="CA204">
        <v>0</v>
      </c>
      <c r="CB204">
        <v>0</v>
      </c>
      <c r="CC204">
        <v>0</v>
      </c>
      <c r="CD204">
        <v>0</v>
      </c>
      <c r="CE204">
        <v>0</v>
      </c>
      <c r="CF204">
        <v>0</v>
      </c>
      <c r="CG204">
        <v>0</v>
      </c>
      <c r="CH204">
        <v>0</v>
      </c>
      <c r="CI204">
        <v>0</v>
      </c>
      <c r="CJ204">
        <v>0</v>
      </c>
      <c r="CK204">
        <v>0</v>
      </c>
      <c r="CL204">
        <v>0</v>
      </c>
      <c r="CM204">
        <v>0</v>
      </c>
      <c r="CN204">
        <v>0</v>
      </c>
      <c r="CO204">
        <v>0</v>
      </c>
      <c r="CP204">
        <v>0</v>
      </c>
      <c r="CQ204">
        <v>0</v>
      </c>
      <c r="CR204">
        <v>0</v>
      </c>
      <c r="CS204">
        <v>0</v>
      </c>
      <c r="CT204">
        <v>0</v>
      </c>
      <c r="CU204">
        <v>0</v>
      </c>
      <c r="CV204">
        <v>0</v>
      </c>
      <c r="CW204">
        <v>0</v>
      </c>
      <c r="CX204">
        <v>0</v>
      </c>
      <c r="CY204">
        <v>0</v>
      </c>
      <c r="CZ204">
        <v>0</v>
      </c>
      <c r="DA204">
        <v>0</v>
      </c>
      <c r="DB204">
        <v>0</v>
      </c>
      <c r="DC204">
        <v>0</v>
      </c>
      <c r="DD204">
        <v>0</v>
      </c>
      <c r="DE204">
        <v>0</v>
      </c>
      <c r="DF204">
        <v>0</v>
      </c>
      <c r="DG204">
        <v>0</v>
      </c>
      <c r="DH204">
        <v>0</v>
      </c>
      <c r="DI204">
        <v>0</v>
      </c>
      <c r="DJ204">
        <v>0</v>
      </c>
      <c r="DK204">
        <v>0</v>
      </c>
      <c r="DL204">
        <v>0</v>
      </c>
      <c r="DM204">
        <v>0</v>
      </c>
      <c r="DN204">
        <v>0</v>
      </c>
      <c r="DO204">
        <v>0</v>
      </c>
      <c r="DP204">
        <v>0</v>
      </c>
      <c r="DQ204">
        <v>0</v>
      </c>
      <c r="DR204">
        <v>0</v>
      </c>
      <c r="DS204">
        <v>0</v>
      </c>
      <c r="DT204">
        <v>0</v>
      </c>
      <c r="DU204">
        <v>0</v>
      </c>
      <c r="DV204">
        <v>0</v>
      </c>
      <c r="DW204">
        <v>0</v>
      </c>
      <c r="DX204">
        <v>0</v>
      </c>
      <c r="DY204">
        <v>0</v>
      </c>
      <c r="DZ204">
        <v>0</v>
      </c>
      <c r="EA204">
        <v>0</v>
      </c>
      <c r="EB204">
        <v>0</v>
      </c>
      <c r="EC204">
        <v>0</v>
      </c>
      <c r="ED204">
        <v>0</v>
      </c>
      <c r="EE204">
        <v>0</v>
      </c>
      <c r="EF204">
        <v>0</v>
      </c>
      <c r="EG204">
        <v>0</v>
      </c>
      <c r="EH204">
        <v>0</v>
      </c>
      <c r="EI204">
        <v>0</v>
      </c>
      <c r="EJ204">
        <v>0</v>
      </c>
      <c r="EK204">
        <v>0</v>
      </c>
      <c r="EL204">
        <v>0</v>
      </c>
      <c r="EM204">
        <v>0</v>
      </c>
      <c r="EN204">
        <v>0</v>
      </c>
      <c r="EO204">
        <v>0</v>
      </c>
      <c r="EP204">
        <v>0</v>
      </c>
      <c r="EQ204">
        <v>0</v>
      </c>
      <c r="ER204">
        <v>0</v>
      </c>
      <c r="ES204">
        <v>0</v>
      </c>
      <c r="ET204">
        <v>0</v>
      </c>
      <c r="EU204">
        <v>0</v>
      </c>
      <c r="EV204">
        <v>0</v>
      </c>
      <c r="EW204">
        <v>3</v>
      </c>
      <c r="EX204">
        <v>0</v>
      </c>
      <c r="EY204">
        <v>0</v>
      </c>
      <c r="EZ204">
        <v>0</v>
      </c>
      <c r="FA204">
        <v>0</v>
      </c>
      <c r="FB204">
        <v>56</v>
      </c>
      <c r="FC204">
        <v>3611</v>
      </c>
      <c r="FD204">
        <v>-63</v>
      </c>
      <c r="FE204">
        <v>0</v>
      </c>
      <c r="FF204">
        <v>37</v>
      </c>
      <c r="FG204">
        <v>0</v>
      </c>
      <c r="FH204">
        <v>3644</v>
      </c>
      <c r="FI204">
        <v>0</v>
      </c>
      <c r="FJ204">
        <v>0</v>
      </c>
      <c r="FK204">
        <v>0</v>
      </c>
      <c r="FL204">
        <v>0</v>
      </c>
      <c r="FM204">
        <v>0</v>
      </c>
      <c r="FN204">
        <v>0</v>
      </c>
      <c r="FO204">
        <v>0</v>
      </c>
      <c r="FP204">
        <v>0</v>
      </c>
      <c r="FQ204">
        <v>0</v>
      </c>
      <c r="FR204">
        <v>0</v>
      </c>
      <c r="FS204">
        <v>0</v>
      </c>
      <c r="FT204">
        <v>0</v>
      </c>
      <c r="FU204">
        <v>0</v>
      </c>
      <c r="FV204">
        <v>0</v>
      </c>
      <c r="FW204">
        <v>0</v>
      </c>
      <c r="FX204">
        <v>0</v>
      </c>
      <c r="FY204">
        <v>0</v>
      </c>
      <c r="FZ204">
        <v>0</v>
      </c>
      <c r="GA204">
        <v>0</v>
      </c>
      <c r="GB204">
        <v>0</v>
      </c>
      <c r="GC204">
        <v>-7</v>
      </c>
      <c r="GD204">
        <v>0</v>
      </c>
      <c r="GE204">
        <v>0</v>
      </c>
      <c r="GF204">
        <v>0</v>
      </c>
      <c r="GG204">
        <v>0</v>
      </c>
      <c r="GH204">
        <v>0</v>
      </c>
      <c r="GI204">
        <v>0</v>
      </c>
      <c r="GJ204">
        <v>0</v>
      </c>
      <c r="GK204">
        <v>-7</v>
      </c>
      <c r="GL204">
        <v>0</v>
      </c>
      <c r="GM204">
        <v>0</v>
      </c>
      <c r="GN204">
        <v>0</v>
      </c>
      <c r="GO204">
        <v>135</v>
      </c>
      <c r="GP204">
        <v>0</v>
      </c>
      <c r="GQ204">
        <v>0</v>
      </c>
      <c r="GR204">
        <v>0</v>
      </c>
      <c r="GS204">
        <v>0</v>
      </c>
      <c r="GT204">
        <v>0</v>
      </c>
      <c r="GU204">
        <v>135</v>
      </c>
      <c r="GV204">
        <v>3772</v>
      </c>
      <c r="GW204">
        <v>0</v>
      </c>
      <c r="GX204">
        <v>0</v>
      </c>
      <c r="GY204">
        <v>0</v>
      </c>
      <c r="GZ204">
        <v>0</v>
      </c>
      <c r="HA204">
        <v>0</v>
      </c>
      <c r="HB204">
        <v>131</v>
      </c>
      <c r="HC204">
        <v>0</v>
      </c>
      <c r="HD204">
        <v>0</v>
      </c>
      <c r="HE204">
        <v>0</v>
      </c>
      <c r="HF204">
        <v>0</v>
      </c>
      <c r="HG204">
        <v>0</v>
      </c>
      <c r="HH204">
        <v>0</v>
      </c>
      <c r="HI204">
        <v>0</v>
      </c>
      <c r="HJ204">
        <v>0</v>
      </c>
      <c r="HK204">
        <v>0</v>
      </c>
      <c r="HL204">
        <v>0</v>
      </c>
      <c r="HM204">
        <v>0</v>
      </c>
      <c r="HN204">
        <v>0</v>
      </c>
      <c r="HO204">
        <v>0</v>
      </c>
      <c r="HP204">
        <v>0</v>
      </c>
      <c r="HQ204">
        <v>0</v>
      </c>
      <c r="HR204">
        <v>9</v>
      </c>
      <c r="HS204">
        <v>0</v>
      </c>
      <c r="HT204">
        <v>0</v>
      </c>
      <c r="HU204">
        <v>4515</v>
      </c>
      <c r="HV204">
        <v>4655</v>
      </c>
      <c r="HW204">
        <v>0</v>
      </c>
      <c r="HX204">
        <v>0</v>
      </c>
      <c r="HY204">
        <v>0</v>
      </c>
      <c r="HZ204">
        <v>0</v>
      </c>
      <c r="IA204">
        <v>0</v>
      </c>
      <c r="IB204">
        <v>0</v>
      </c>
      <c r="IC204">
        <v>0</v>
      </c>
      <c r="ID204">
        <v>0</v>
      </c>
      <c r="IE204">
        <v>0</v>
      </c>
      <c r="IF204">
        <v>0</v>
      </c>
      <c r="IG204">
        <v>0</v>
      </c>
      <c r="IH204">
        <v>0</v>
      </c>
      <c r="II204">
        <v>3644</v>
      </c>
      <c r="IJ204">
        <v>-7</v>
      </c>
      <c r="IK204">
        <v>135</v>
      </c>
      <c r="IL204">
        <v>0</v>
      </c>
      <c r="IM204">
        <v>0</v>
      </c>
      <c r="IN204">
        <v>4655</v>
      </c>
      <c r="IO204">
        <v>0</v>
      </c>
      <c r="IP204">
        <v>8427</v>
      </c>
      <c r="IQ204">
        <v>0</v>
      </c>
      <c r="IR204">
        <v>0</v>
      </c>
      <c r="IS204">
        <v>0</v>
      </c>
      <c r="IT204">
        <v>0</v>
      </c>
      <c r="IU204">
        <v>0</v>
      </c>
      <c r="IV204">
        <v>0</v>
      </c>
      <c r="IW204">
        <v>0</v>
      </c>
      <c r="IX204">
        <v>0</v>
      </c>
      <c r="IY204">
        <v>0</v>
      </c>
      <c r="IZ204">
        <v>-9768</v>
      </c>
      <c r="JA204">
        <v>0</v>
      </c>
      <c r="JB204">
        <v>0</v>
      </c>
      <c r="JC204">
        <v>0</v>
      </c>
      <c r="JD204">
        <v>0</v>
      </c>
      <c r="JE204">
        <v>0</v>
      </c>
      <c r="JF204">
        <v>0</v>
      </c>
      <c r="JG204">
        <v>-1341</v>
      </c>
      <c r="JH204">
        <v>0</v>
      </c>
      <c r="JI204">
        <v>330</v>
      </c>
      <c r="JJ204">
        <v>0</v>
      </c>
      <c r="JK204">
        <v>0</v>
      </c>
      <c r="JL204">
        <v>0</v>
      </c>
      <c r="JM204">
        <v>0</v>
      </c>
      <c r="JN204">
        <v>467</v>
      </c>
      <c r="JO204">
        <v>0</v>
      </c>
      <c r="JP204">
        <v>27</v>
      </c>
      <c r="JQ204">
        <v>0</v>
      </c>
      <c r="JR204">
        <v>-517</v>
      </c>
      <c r="JS204">
        <v>-6</v>
      </c>
      <c r="JT204">
        <v>0</v>
      </c>
      <c r="JU204">
        <v>0</v>
      </c>
      <c r="JV204">
        <v>0</v>
      </c>
      <c r="JW204">
        <v>0</v>
      </c>
      <c r="JX204">
        <v>0</v>
      </c>
      <c r="JY204">
        <v>0</v>
      </c>
      <c r="JZ204">
        <v>0</v>
      </c>
      <c r="KA204">
        <v>0</v>
      </c>
      <c r="KB204">
        <v>0</v>
      </c>
      <c r="KC204">
        <v>-523</v>
      </c>
      <c r="KD204">
        <v>0</v>
      </c>
      <c r="KE204">
        <v>0</v>
      </c>
      <c r="KF204">
        <v>-523</v>
      </c>
      <c r="KG204">
        <v>0</v>
      </c>
      <c r="KH204">
        <v>0</v>
      </c>
      <c r="KI204">
        <v>0</v>
      </c>
      <c r="KJ204">
        <v>0</v>
      </c>
      <c r="KK204">
        <v>199</v>
      </c>
      <c r="KL204">
        <v>326</v>
      </c>
      <c r="KM204">
        <v>0</v>
      </c>
      <c r="KN204">
        <v>0</v>
      </c>
      <c r="KO204">
        <v>0</v>
      </c>
      <c r="KP204">
        <v>0</v>
      </c>
      <c r="KQ204">
        <v>0</v>
      </c>
      <c r="KR204">
        <v>0</v>
      </c>
      <c r="KS204">
        <v>0</v>
      </c>
      <c r="KT204">
        <v>0</v>
      </c>
      <c r="KU204">
        <v>0</v>
      </c>
      <c r="KV204">
        <v>2719</v>
      </c>
      <c r="KW204">
        <v>3512</v>
      </c>
      <c r="KX204">
        <v>0</v>
      </c>
      <c r="KY204">
        <v>0</v>
      </c>
      <c r="KZ204">
        <v>0</v>
      </c>
      <c r="LA204">
        <v>2918</v>
      </c>
      <c r="LB204">
        <v>3838</v>
      </c>
      <c r="LC204">
        <v>0</v>
      </c>
      <c r="LD204">
        <v>3710</v>
      </c>
      <c r="LE204">
        <v>0</v>
      </c>
      <c r="LF204">
        <v>0</v>
      </c>
      <c r="LG204">
        <v>0</v>
      </c>
      <c r="LH204">
        <v>0</v>
      </c>
      <c r="LI204">
        <v>3710</v>
      </c>
      <c r="LJ204">
        <v>0</v>
      </c>
      <c r="LK204">
        <v>0</v>
      </c>
      <c r="LL204">
        <v>0</v>
      </c>
      <c r="LM204">
        <v>0</v>
      </c>
      <c r="LN204">
        <v>0</v>
      </c>
      <c r="LO204">
        <v>0</v>
      </c>
      <c r="LP204">
        <v>0</v>
      </c>
      <c r="LQ204">
        <v>0</v>
      </c>
      <c r="LR204">
        <v>0</v>
      </c>
      <c r="LS204">
        <v>0</v>
      </c>
      <c r="LT204">
        <v>0</v>
      </c>
      <c r="LU204">
        <v>0</v>
      </c>
      <c r="LV204">
        <v>0</v>
      </c>
      <c r="LW204">
        <v>0</v>
      </c>
      <c r="LX204">
        <v>0</v>
      </c>
      <c r="LY204">
        <v>0</v>
      </c>
      <c r="LZ204">
        <v>0</v>
      </c>
      <c r="MA204">
        <v>3644</v>
      </c>
      <c r="MB204">
        <v>-7</v>
      </c>
      <c r="MC204">
        <v>135</v>
      </c>
      <c r="MD204">
        <v>0</v>
      </c>
      <c r="ME204">
        <v>0</v>
      </c>
      <c r="MF204">
        <v>4655</v>
      </c>
      <c r="MG204">
        <v>0</v>
      </c>
      <c r="MH204">
        <v>8427</v>
      </c>
      <c r="MI204">
        <v>0</v>
      </c>
      <c r="MJ204">
        <v>0</v>
      </c>
      <c r="MK204">
        <v>0</v>
      </c>
      <c r="ML204">
        <v>0</v>
      </c>
      <c r="MM204">
        <v>0</v>
      </c>
      <c r="MN204">
        <v>0</v>
      </c>
      <c r="MO204">
        <v>0</v>
      </c>
      <c r="MP204">
        <v>0</v>
      </c>
      <c r="MQ204">
        <v>0</v>
      </c>
      <c r="MR204">
        <v>0</v>
      </c>
      <c r="MS204">
        <v>0</v>
      </c>
      <c r="MT204">
        <v>0</v>
      </c>
      <c r="MU204">
        <v>0</v>
      </c>
      <c r="MV204">
        <v>0</v>
      </c>
      <c r="MW204">
        <v>0</v>
      </c>
      <c r="MX204">
        <v>0</v>
      </c>
      <c r="MY204">
        <v>0</v>
      </c>
      <c r="MZ204">
        <v>0</v>
      </c>
      <c r="NA204">
        <v>0</v>
      </c>
      <c r="NB204">
        <v>0</v>
      </c>
      <c r="NC204">
        <v>0</v>
      </c>
      <c r="ND204">
        <v>0</v>
      </c>
      <c r="NE204">
        <v>0</v>
      </c>
      <c r="NF204">
        <v>0</v>
      </c>
      <c r="NG204">
        <v>0</v>
      </c>
      <c r="NH204">
        <v>0</v>
      </c>
      <c r="NI204">
        <v>0</v>
      </c>
      <c r="NJ204">
        <v>0</v>
      </c>
      <c r="NK204">
        <v>0</v>
      </c>
      <c r="NL204">
        <v>0</v>
      </c>
      <c r="NM204">
        <v>0</v>
      </c>
      <c r="NN204">
        <v>0</v>
      </c>
      <c r="NO204">
        <v>0</v>
      </c>
      <c r="NP204">
        <v>0</v>
      </c>
      <c r="NQ204">
        <v>0</v>
      </c>
      <c r="NR204">
        <v>0</v>
      </c>
      <c r="NS204">
        <v>0</v>
      </c>
      <c r="NT204">
        <v>0</v>
      </c>
      <c r="NU204">
        <v>0</v>
      </c>
      <c r="NV204">
        <v>0</v>
      </c>
      <c r="NW204">
        <v>0</v>
      </c>
      <c r="NX204">
        <v>0</v>
      </c>
      <c r="NY204">
        <v>0</v>
      </c>
      <c r="NZ204">
        <v>0</v>
      </c>
      <c r="OA204">
        <v>0</v>
      </c>
      <c r="OB204">
        <v>0</v>
      </c>
      <c r="OC204">
        <v>0</v>
      </c>
      <c r="OD204">
        <v>0</v>
      </c>
      <c r="OE204">
        <v>0</v>
      </c>
      <c r="OF204">
        <v>0</v>
      </c>
      <c r="OG204">
        <v>0</v>
      </c>
      <c r="OH204">
        <v>0</v>
      </c>
      <c r="OI204">
        <v>0</v>
      </c>
      <c r="OJ204">
        <v>0</v>
      </c>
      <c r="OK204">
        <v>0</v>
      </c>
      <c r="OL204">
        <v>0</v>
      </c>
      <c r="OM204">
        <v>0</v>
      </c>
      <c r="ON204">
        <v>0</v>
      </c>
    </row>
    <row r="205" spans="1:404" x14ac:dyDescent="0.25">
      <c r="A205" t="s">
        <v>680</v>
      </c>
      <c r="B205" t="s">
        <v>681</v>
      </c>
      <c r="C205" t="s">
        <v>679</v>
      </c>
      <c r="E205" t="s">
        <v>97</v>
      </c>
      <c r="F205">
        <v>38660</v>
      </c>
      <c r="G205">
        <v>345876</v>
      </c>
      <c r="H205">
        <v>115660</v>
      </c>
      <c r="I205">
        <v>15832</v>
      </c>
      <c r="J205">
        <v>379</v>
      </c>
      <c r="K205">
        <v>44287</v>
      </c>
      <c r="L205">
        <v>560694</v>
      </c>
      <c r="M205">
        <v>1527</v>
      </c>
      <c r="N205">
        <v>0</v>
      </c>
      <c r="O205">
        <v>0</v>
      </c>
      <c r="P205">
        <v>0</v>
      </c>
      <c r="Q205">
        <v>1809</v>
      </c>
      <c r="R205">
        <v>-1005</v>
      </c>
      <c r="S205">
        <v>9331</v>
      </c>
      <c r="T205">
        <v>-5013</v>
      </c>
      <c r="U205">
        <v>17251</v>
      </c>
      <c r="V205">
        <v>0</v>
      </c>
      <c r="W205">
        <v>-469</v>
      </c>
      <c r="X205">
        <v>406</v>
      </c>
      <c r="Y205">
        <v>5997</v>
      </c>
      <c r="Z205">
        <v>-3185</v>
      </c>
      <c r="AA205">
        <v>-2439</v>
      </c>
      <c r="AB205">
        <v>0</v>
      </c>
      <c r="AC205">
        <v>0</v>
      </c>
      <c r="AD205">
        <v>0</v>
      </c>
      <c r="AE205">
        <v>0</v>
      </c>
      <c r="AF205">
        <v>0</v>
      </c>
      <c r="AG205">
        <v>0</v>
      </c>
      <c r="AH205">
        <v>0</v>
      </c>
      <c r="AI205">
        <v>24210</v>
      </c>
      <c r="AJ205">
        <v>0</v>
      </c>
      <c r="AK205">
        <v>0</v>
      </c>
      <c r="AL205">
        <v>0</v>
      </c>
      <c r="AM205">
        <v>0</v>
      </c>
      <c r="AN205">
        <v>0</v>
      </c>
      <c r="AO205">
        <v>0</v>
      </c>
      <c r="AP205">
        <v>0</v>
      </c>
      <c r="AQ205">
        <v>5103</v>
      </c>
      <c r="AR205">
        <v>701</v>
      </c>
      <c r="AS205">
        <v>0</v>
      </c>
      <c r="AT205">
        <v>0</v>
      </c>
      <c r="AU205">
        <v>0</v>
      </c>
      <c r="AV205">
        <v>11197</v>
      </c>
      <c r="AW205">
        <v>80744</v>
      </c>
      <c r="AX205">
        <v>1112</v>
      </c>
      <c r="AY205">
        <v>15213</v>
      </c>
      <c r="AZ205">
        <v>1885</v>
      </c>
      <c r="BA205">
        <v>43707</v>
      </c>
      <c r="BB205">
        <v>6500</v>
      </c>
      <c r="BC205">
        <v>4050</v>
      </c>
      <c r="BD205">
        <v>164408</v>
      </c>
      <c r="BE205">
        <v>18072</v>
      </c>
      <c r="BF205">
        <v>50080</v>
      </c>
      <c r="BG205">
        <v>318</v>
      </c>
      <c r="BH205">
        <v>1231</v>
      </c>
      <c r="BI205">
        <v>1790</v>
      </c>
      <c r="BJ205">
        <v>20587</v>
      </c>
      <c r="BK205">
        <v>79034</v>
      </c>
      <c r="BL205">
        <v>17252</v>
      </c>
      <c r="BM205">
        <v>19014</v>
      </c>
      <c r="BN205">
        <v>7408</v>
      </c>
      <c r="BO205">
        <v>688</v>
      </c>
      <c r="BP205">
        <v>365</v>
      </c>
      <c r="BQ205">
        <v>681</v>
      </c>
      <c r="BR205">
        <v>1731</v>
      </c>
      <c r="BS205">
        <v>3205</v>
      </c>
      <c r="BT205">
        <v>26739</v>
      </c>
      <c r="BU205">
        <v>11142</v>
      </c>
      <c r="BV205">
        <v>-11134</v>
      </c>
      <c r="BW205">
        <v>263041</v>
      </c>
      <c r="BX205">
        <v>6072</v>
      </c>
      <c r="BY205">
        <v>1293</v>
      </c>
      <c r="BZ205">
        <v>547</v>
      </c>
      <c r="CA205">
        <v>46</v>
      </c>
      <c r="CB205">
        <v>7542</v>
      </c>
      <c r="CC205">
        <v>370</v>
      </c>
      <c r="CD205">
        <v>242</v>
      </c>
      <c r="CE205">
        <v>823</v>
      </c>
      <c r="CF205">
        <v>378</v>
      </c>
      <c r="CG205">
        <v>986</v>
      </c>
      <c r="CH205">
        <v>406</v>
      </c>
      <c r="CI205">
        <v>5633</v>
      </c>
      <c r="CJ205">
        <v>2304</v>
      </c>
      <c r="CK205">
        <v>2391</v>
      </c>
      <c r="CL205">
        <v>1425</v>
      </c>
      <c r="CM205">
        <v>903</v>
      </c>
      <c r="CN205">
        <v>816</v>
      </c>
      <c r="CO205">
        <v>113</v>
      </c>
      <c r="CP205">
        <v>2521</v>
      </c>
      <c r="CQ205">
        <v>5085</v>
      </c>
      <c r="CR205">
        <v>5447</v>
      </c>
      <c r="CS205">
        <v>31</v>
      </c>
      <c r="CT205">
        <v>1514</v>
      </c>
      <c r="CU205">
        <v>3374</v>
      </c>
      <c r="CV205">
        <v>50262</v>
      </c>
      <c r="CW205">
        <v>0</v>
      </c>
      <c r="CX205">
        <v>0</v>
      </c>
      <c r="CY205">
        <v>0</v>
      </c>
      <c r="CZ205">
        <v>0</v>
      </c>
      <c r="DA205">
        <v>0</v>
      </c>
      <c r="DB205">
        <v>0</v>
      </c>
      <c r="DC205">
        <v>2359</v>
      </c>
      <c r="DD205">
        <v>0</v>
      </c>
      <c r="DE205">
        <v>0</v>
      </c>
      <c r="DF205">
        <v>806</v>
      </c>
      <c r="DG205">
        <v>0</v>
      </c>
      <c r="DH205">
        <v>0</v>
      </c>
      <c r="DI205">
        <v>0</v>
      </c>
      <c r="DJ205">
        <v>0</v>
      </c>
      <c r="DK205">
        <v>0</v>
      </c>
      <c r="DL205">
        <v>3787</v>
      </c>
      <c r="DM205">
        <v>0</v>
      </c>
      <c r="DN205">
        <v>0</v>
      </c>
      <c r="DO205">
        <v>94</v>
      </c>
      <c r="DP205">
        <v>3881</v>
      </c>
      <c r="DQ205">
        <v>1658</v>
      </c>
      <c r="DR205">
        <v>0</v>
      </c>
      <c r="DS205">
        <v>0</v>
      </c>
      <c r="DT205">
        <v>2093</v>
      </c>
      <c r="DU205">
        <v>98</v>
      </c>
      <c r="DV205">
        <v>6833</v>
      </c>
      <c r="DW205">
        <v>1081</v>
      </c>
      <c r="DX205">
        <v>18809</v>
      </c>
      <c r="DY205">
        <v>208330</v>
      </c>
      <c r="DZ205">
        <v>3850</v>
      </c>
      <c r="EA205">
        <v>8744</v>
      </c>
      <c r="EB205">
        <v>1034</v>
      </c>
      <c r="EC205">
        <v>21535</v>
      </c>
      <c r="ED205">
        <v>196</v>
      </c>
      <c r="EE205">
        <v>0</v>
      </c>
      <c r="EF205">
        <v>0</v>
      </c>
      <c r="EG205">
        <v>0</v>
      </c>
      <c r="EH205">
        <v>74518</v>
      </c>
      <c r="EI205">
        <v>55296</v>
      </c>
      <c r="EJ205">
        <v>22966</v>
      </c>
      <c r="EK205">
        <v>3011</v>
      </c>
      <c r="EL205">
        <v>219</v>
      </c>
      <c r="EM205">
        <v>33075</v>
      </c>
      <c r="EN205">
        <v>129</v>
      </c>
      <c r="EO205">
        <v>157</v>
      </c>
      <c r="EP205">
        <v>27645</v>
      </c>
      <c r="EQ205">
        <v>30944</v>
      </c>
      <c r="ER205">
        <v>395</v>
      </c>
      <c r="ES205">
        <v>22866</v>
      </c>
      <c r="ET205">
        <v>18200</v>
      </c>
      <c r="EU205">
        <v>528</v>
      </c>
      <c r="EV205">
        <v>5732</v>
      </c>
      <c r="EW205">
        <v>0</v>
      </c>
      <c r="EX205">
        <v>8644</v>
      </c>
      <c r="EY205">
        <v>2009</v>
      </c>
      <c r="EZ205">
        <v>135</v>
      </c>
      <c r="FA205">
        <v>42</v>
      </c>
      <c r="FB205">
        <v>1837</v>
      </c>
      <c r="FC205">
        <v>22065</v>
      </c>
      <c r="FD205">
        <v>13649</v>
      </c>
      <c r="FE205">
        <v>-12</v>
      </c>
      <c r="FF205">
        <v>1934</v>
      </c>
      <c r="FG205">
        <v>14104</v>
      </c>
      <c r="FH205">
        <v>70667</v>
      </c>
      <c r="FI205">
        <v>-3846</v>
      </c>
      <c r="FJ205">
        <v>981</v>
      </c>
      <c r="FK205">
        <v>1</v>
      </c>
      <c r="FL205">
        <v>38</v>
      </c>
      <c r="FM205">
        <v>10918</v>
      </c>
      <c r="FN205">
        <v>458</v>
      </c>
      <c r="FO205">
        <v>749</v>
      </c>
      <c r="FP205">
        <v>0</v>
      </c>
      <c r="FQ205">
        <v>0</v>
      </c>
      <c r="FR205">
        <v>27</v>
      </c>
      <c r="FS205">
        <v>28</v>
      </c>
      <c r="FT205">
        <v>201</v>
      </c>
      <c r="FU205">
        <v>2611</v>
      </c>
      <c r="FV205">
        <v>3454</v>
      </c>
      <c r="FW205">
        <v>4</v>
      </c>
      <c r="FX205">
        <v>2635</v>
      </c>
      <c r="FY205">
        <v>670</v>
      </c>
      <c r="FZ205">
        <v>464</v>
      </c>
      <c r="GA205">
        <v>0</v>
      </c>
      <c r="GB205">
        <v>0</v>
      </c>
      <c r="GC205">
        <v>0</v>
      </c>
      <c r="GD205">
        <v>3727</v>
      </c>
      <c r="GE205">
        <v>14419</v>
      </c>
      <c r="GF205">
        <v>21152</v>
      </c>
      <c r="GG205">
        <v>0</v>
      </c>
      <c r="GH205">
        <v>12637</v>
      </c>
      <c r="GI205">
        <v>24</v>
      </c>
      <c r="GJ205">
        <v>2315</v>
      </c>
      <c r="GK205">
        <v>73667</v>
      </c>
      <c r="GL205">
        <v>128</v>
      </c>
      <c r="GM205">
        <v>3268</v>
      </c>
      <c r="GN205">
        <v>96</v>
      </c>
      <c r="GO205">
        <v>1427</v>
      </c>
      <c r="GP205">
        <v>220</v>
      </c>
      <c r="GQ205">
        <v>22116</v>
      </c>
      <c r="GR205">
        <v>0</v>
      </c>
      <c r="GS205">
        <v>0</v>
      </c>
      <c r="GT205">
        <v>4476</v>
      </c>
      <c r="GU205">
        <v>31731</v>
      </c>
      <c r="GV205">
        <v>176065</v>
      </c>
      <c r="GW205">
        <v>0</v>
      </c>
      <c r="GX205">
        <v>0</v>
      </c>
      <c r="GY205">
        <v>0</v>
      </c>
      <c r="GZ205">
        <v>0</v>
      </c>
      <c r="HA205">
        <v>0</v>
      </c>
      <c r="HB205">
        <v>11823</v>
      </c>
      <c r="HC205">
        <v>1366</v>
      </c>
      <c r="HD205">
        <v>0</v>
      </c>
      <c r="HE205">
        <v>0</v>
      </c>
      <c r="HF205">
        <v>676</v>
      </c>
      <c r="HG205">
        <v>-50</v>
      </c>
      <c r="HH205">
        <v>0</v>
      </c>
      <c r="HI205">
        <v>-358</v>
      </c>
      <c r="HJ205">
        <v>292</v>
      </c>
      <c r="HK205">
        <v>1920</v>
      </c>
      <c r="HL205">
        <v>390</v>
      </c>
      <c r="HM205">
        <v>-352</v>
      </c>
      <c r="HN205">
        <v>15161</v>
      </c>
      <c r="HO205">
        <v>1319</v>
      </c>
      <c r="HP205">
        <v>1345</v>
      </c>
      <c r="HQ205">
        <v>-11</v>
      </c>
      <c r="HR205">
        <v>19218</v>
      </c>
      <c r="HS205">
        <v>0</v>
      </c>
      <c r="HT205">
        <v>0</v>
      </c>
      <c r="HU205">
        <v>-43018</v>
      </c>
      <c r="HV205">
        <v>9721</v>
      </c>
      <c r="HW205">
        <v>0</v>
      </c>
      <c r="HX205">
        <v>73652</v>
      </c>
      <c r="HY205">
        <v>0</v>
      </c>
      <c r="HZ205">
        <v>80618</v>
      </c>
      <c r="IA205">
        <v>10161</v>
      </c>
      <c r="IB205">
        <v>-17675</v>
      </c>
      <c r="IC205">
        <v>560694</v>
      </c>
      <c r="ID205">
        <v>24210</v>
      </c>
      <c r="IE205">
        <v>164408</v>
      </c>
      <c r="IF205">
        <v>263041</v>
      </c>
      <c r="IG205">
        <v>50262</v>
      </c>
      <c r="IH205">
        <v>18809</v>
      </c>
      <c r="II205">
        <v>70667</v>
      </c>
      <c r="IJ205">
        <v>73667</v>
      </c>
      <c r="IK205">
        <v>31731</v>
      </c>
      <c r="IL205">
        <v>0</v>
      </c>
      <c r="IM205">
        <v>0</v>
      </c>
      <c r="IN205">
        <v>9721</v>
      </c>
      <c r="IO205">
        <v>-17675</v>
      </c>
      <c r="IP205">
        <v>1249535</v>
      </c>
      <c r="IQ205">
        <v>96632</v>
      </c>
      <c r="IR205">
        <v>755</v>
      </c>
      <c r="IS205">
        <v>74918</v>
      </c>
      <c r="IT205">
        <v>0</v>
      </c>
      <c r="IU205">
        <v>0</v>
      </c>
      <c r="IV205">
        <v>2069</v>
      </c>
      <c r="IW205">
        <v>33083</v>
      </c>
      <c r="IX205">
        <v>0</v>
      </c>
      <c r="IY205">
        <v>0</v>
      </c>
      <c r="IZ205">
        <v>0</v>
      </c>
      <c r="JA205">
        <v>338</v>
      </c>
      <c r="JB205">
        <v>-524</v>
      </c>
      <c r="JC205">
        <v>-573</v>
      </c>
      <c r="JD205">
        <v>-6237</v>
      </c>
      <c r="JE205">
        <v>0</v>
      </c>
      <c r="JF205">
        <v>0</v>
      </c>
      <c r="JG205">
        <v>1449996</v>
      </c>
      <c r="JH205">
        <v>403</v>
      </c>
      <c r="JI205">
        <v>938</v>
      </c>
      <c r="JJ205">
        <v>0</v>
      </c>
      <c r="JK205">
        <v>0</v>
      </c>
      <c r="JL205">
        <v>0</v>
      </c>
      <c r="JM205">
        <v>-272</v>
      </c>
      <c r="JN205">
        <v>24782</v>
      </c>
      <c r="JO205">
        <v>766</v>
      </c>
      <c r="JP205">
        <v>75551</v>
      </c>
      <c r="JQ205">
        <v>-27681</v>
      </c>
      <c r="JR205">
        <v>1524483</v>
      </c>
      <c r="JS205">
        <v>-2295</v>
      </c>
      <c r="JT205">
        <v>-22483</v>
      </c>
      <c r="JU205">
        <v>0</v>
      </c>
      <c r="JV205">
        <v>0</v>
      </c>
      <c r="JW205">
        <v>-217564</v>
      </c>
      <c r="JX205">
        <v>0</v>
      </c>
      <c r="JY205">
        <v>-370</v>
      </c>
      <c r="JZ205">
        <v>0</v>
      </c>
      <c r="KA205">
        <v>0</v>
      </c>
      <c r="KB205">
        <v>0</v>
      </c>
      <c r="KC205">
        <v>1281771</v>
      </c>
      <c r="KD205">
        <v>0</v>
      </c>
      <c r="KE205">
        <v>-751581</v>
      </c>
      <c r="KF205">
        <v>530190</v>
      </c>
      <c r="KG205">
        <v>0</v>
      </c>
      <c r="KH205">
        <v>3609</v>
      </c>
      <c r="KI205">
        <v>2121</v>
      </c>
      <c r="KJ205">
        <v>2201</v>
      </c>
      <c r="KK205">
        <v>-16982</v>
      </c>
      <c r="KL205">
        <v>5489</v>
      </c>
      <c r="KM205">
        <v>-28369</v>
      </c>
      <c r="KN205">
        <v>0</v>
      </c>
      <c r="KO205">
        <v>-81280</v>
      </c>
      <c r="KP205">
        <v>4196</v>
      </c>
      <c r="KQ205">
        <v>0</v>
      </c>
      <c r="KR205">
        <v>351189</v>
      </c>
      <c r="KS205">
        <v>31217</v>
      </c>
      <c r="KT205">
        <v>-2002</v>
      </c>
      <c r="KU205">
        <v>1191</v>
      </c>
      <c r="KV205">
        <v>165408</v>
      </c>
      <c r="KW205">
        <v>27759</v>
      </c>
      <c r="KX205">
        <v>34826</v>
      </c>
      <c r="KY205">
        <v>119</v>
      </c>
      <c r="KZ205">
        <v>3392</v>
      </c>
      <c r="LA205">
        <v>148426</v>
      </c>
      <c r="LB205">
        <v>33248</v>
      </c>
      <c r="LC205">
        <v>0</v>
      </c>
      <c r="LD205">
        <v>100570</v>
      </c>
      <c r="LE205">
        <v>3512</v>
      </c>
      <c r="LF205">
        <v>20115</v>
      </c>
      <c r="LG205">
        <v>-265559</v>
      </c>
      <c r="LH205">
        <v>44895</v>
      </c>
      <c r="LI205">
        <v>-98428</v>
      </c>
      <c r="LJ205">
        <v>19382</v>
      </c>
      <c r="LK205">
        <v>36067</v>
      </c>
      <c r="LL205">
        <v>55449</v>
      </c>
      <c r="LM205">
        <v>69</v>
      </c>
      <c r="LN205">
        <v>0</v>
      </c>
      <c r="LO205">
        <v>0</v>
      </c>
      <c r="LP205">
        <v>243689</v>
      </c>
      <c r="LQ205">
        <v>248355</v>
      </c>
      <c r="LR205">
        <v>-4666</v>
      </c>
      <c r="LS205">
        <v>22866</v>
      </c>
      <c r="LT205">
        <v>18200</v>
      </c>
      <c r="LU205">
        <v>560694</v>
      </c>
      <c r="LV205">
        <v>24210</v>
      </c>
      <c r="LW205">
        <v>164408</v>
      </c>
      <c r="LX205">
        <v>263041</v>
      </c>
      <c r="LY205">
        <v>50262</v>
      </c>
      <c r="LZ205">
        <v>18809</v>
      </c>
      <c r="MA205">
        <v>70667</v>
      </c>
      <c r="MB205">
        <v>73667</v>
      </c>
      <c r="MC205">
        <v>31731</v>
      </c>
      <c r="MD205">
        <v>0</v>
      </c>
      <c r="ME205">
        <v>0</v>
      </c>
      <c r="MF205">
        <v>9721</v>
      </c>
      <c r="MG205">
        <v>-17675</v>
      </c>
      <c r="MH205">
        <v>1249535</v>
      </c>
      <c r="MI205">
        <v>0</v>
      </c>
      <c r="MJ205">
        <v>0</v>
      </c>
      <c r="MK205">
        <v>0</v>
      </c>
      <c r="ML205">
        <v>0</v>
      </c>
      <c r="MM205">
        <v>0</v>
      </c>
      <c r="MN205">
        <v>0</v>
      </c>
      <c r="MO205">
        <v>0</v>
      </c>
      <c r="MP205">
        <v>0</v>
      </c>
      <c r="MQ205">
        <v>0</v>
      </c>
      <c r="MR205">
        <v>0</v>
      </c>
      <c r="MS205">
        <v>0</v>
      </c>
      <c r="MT205">
        <v>0</v>
      </c>
      <c r="MU205">
        <v>0</v>
      </c>
      <c r="MV205">
        <v>0</v>
      </c>
      <c r="MW205">
        <v>0</v>
      </c>
      <c r="MX205">
        <v>-1552</v>
      </c>
      <c r="MY205">
        <v>0</v>
      </c>
      <c r="MZ205">
        <v>758</v>
      </c>
      <c r="NA205">
        <v>-235</v>
      </c>
      <c r="NB205">
        <v>573</v>
      </c>
      <c r="NC205">
        <v>338</v>
      </c>
      <c r="ND205">
        <v>0</v>
      </c>
      <c r="NE205">
        <v>0</v>
      </c>
      <c r="NF205">
        <v>-698</v>
      </c>
      <c r="NG205">
        <v>0</v>
      </c>
      <c r="NH205">
        <v>0</v>
      </c>
      <c r="NI205">
        <v>0</v>
      </c>
      <c r="NJ205">
        <v>0</v>
      </c>
      <c r="NK205">
        <v>0</v>
      </c>
      <c r="NL205">
        <v>0</v>
      </c>
      <c r="NM205">
        <v>0</v>
      </c>
      <c r="NN205">
        <v>2847</v>
      </c>
      <c r="NO205">
        <v>-8322</v>
      </c>
      <c r="NP205">
        <v>0</v>
      </c>
      <c r="NQ205">
        <v>2165</v>
      </c>
      <c r="NR205">
        <v>-4895</v>
      </c>
      <c r="NS205">
        <v>0</v>
      </c>
      <c r="NT205">
        <v>1607</v>
      </c>
      <c r="NU205">
        <v>-31</v>
      </c>
      <c r="NV205">
        <v>0</v>
      </c>
      <c r="NW205">
        <v>0</v>
      </c>
      <c r="NX205">
        <v>0</v>
      </c>
      <c r="NY205">
        <v>0</v>
      </c>
      <c r="NZ205">
        <v>-6761</v>
      </c>
      <c r="OA205">
        <v>6237</v>
      </c>
      <c r="OB205">
        <v>-524</v>
      </c>
      <c r="OC205">
        <v>56</v>
      </c>
      <c r="OD205">
        <v>0</v>
      </c>
      <c r="OE205">
        <v>517</v>
      </c>
      <c r="OF205">
        <v>0</v>
      </c>
      <c r="OG205">
        <v>0</v>
      </c>
      <c r="OH205">
        <v>573</v>
      </c>
      <c r="OI205">
        <v>5769</v>
      </c>
      <c r="OJ205">
        <v>0</v>
      </c>
      <c r="OK205">
        <v>468</v>
      </c>
      <c r="OL205">
        <v>0</v>
      </c>
      <c r="OM205">
        <v>0</v>
      </c>
      <c r="ON205">
        <v>6237</v>
      </c>
    </row>
    <row r="206" spans="1:404" x14ac:dyDescent="0.25">
      <c r="A206" t="s">
        <v>683</v>
      </c>
      <c r="B206" t="s">
        <v>684</v>
      </c>
      <c r="C206" t="s">
        <v>5434</v>
      </c>
      <c r="E206" t="s">
        <v>125</v>
      </c>
      <c r="F206">
        <v>23786</v>
      </c>
      <c r="G206">
        <v>116636</v>
      </c>
      <c r="H206">
        <v>78764</v>
      </c>
      <c r="I206">
        <v>46454</v>
      </c>
      <c r="J206">
        <v>2134</v>
      </c>
      <c r="K206">
        <v>24341</v>
      </c>
      <c r="L206">
        <v>292115</v>
      </c>
      <c r="M206">
        <v>304</v>
      </c>
      <c r="N206">
        <v>1393</v>
      </c>
      <c r="O206">
        <v>2046</v>
      </c>
      <c r="P206">
        <v>0</v>
      </c>
      <c r="Q206">
        <v>65</v>
      </c>
      <c r="R206">
        <v>155</v>
      </c>
      <c r="S206">
        <v>0</v>
      </c>
      <c r="T206">
        <v>146</v>
      </c>
      <c r="U206">
        <v>2528</v>
      </c>
      <c r="V206">
        <v>0</v>
      </c>
      <c r="W206">
        <v>-453</v>
      </c>
      <c r="X206">
        <v>233</v>
      </c>
      <c r="Y206">
        <v>3528</v>
      </c>
      <c r="Z206">
        <v>-933</v>
      </c>
      <c r="AA206">
        <v>-592</v>
      </c>
      <c r="AB206">
        <v>8380</v>
      </c>
      <c r="AC206">
        <v>440</v>
      </c>
      <c r="AD206">
        <v>2576</v>
      </c>
      <c r="AE206">
        <v>0</v>
      </c>
      <c r="AF206">
        <v>0</v>
      </c>
      <c r="AG206">
        <v>373</v>
      </c>
      <c r="AH206">
        <v>0</v>
      </c>
      <c r="AI206">
        <v>20189</v>
      </c>
      <c r="AJ206">
        <v>0</v>
      </c>
      <c r="AK206">
        <v>0</v>
      </c>
      <c r="AL206">
        <v>0</v>
      </c>
      <c r="AM206">
        <v>0</v>
      </c>
      <c r="AN206">
        <v>1</v>
      </c>
      <c r="AO206">
        <v>0</v>
      </c>
      <c r="AP206">
        <v>0</v>
      </c>
      <c r="AQ206">
        <v>2153</v>
      </c>
      <c r="AR206">
        <v>1577</v>
      </c>
      <c r="AS206">
        <v>0</v>
      </c>
      <c r="AT206">
        <v>0</v>
      </c>
      <c r="AU206">
        <v>0</v>
      </c>
      <c r="AV206">
        <v>4476</v>
      </c>
      <c r="AW206">
        <v>44888</v>
      </c>
      <c r="AX206">
        <v>91</v>
      </c>
      <c r="AY206">
        <v>5331</v>
      </c>
      <c r="AZ206">
        <v>1319</v>
      </c>
      <c r="BA206">
        <v>18722</v>
      </c>
      <c r="BB206">
        <v>0</v>
      </c>
      <c r="BC206">
        <v>2026</v>
      </c>
      <c r="BD206">
        <v>76852</v>
      </c>
      <c r="BE206">
        <v>9302</v>
      </c>
      <c r="BF206">
        <v>31228</v>
      </c>
      <c r="BG206">
        <v>323</v>
      </c>
      <c r="BH206">
        <v>416</v>
      </c>
      <c r="BI206">
        <v>503</v>
      </c>
      <c r="BJ206">
        <v>4003</v>
      </c>
      <c r="BK206">
        <v>30299</v>
      </c>
      <c r="BL206">
        <v>5449</v>
      </c>
      <c r="BM206">
        <v>10984</v>
      </c>
      <c r="BN206">
        <v>7062</v>
      </c>
      <c r="BO206">
        <v>399</v>
      </c>
      <c r="BP206">
        <v>0</v>
      </c>
      <c r="BQ206">
        <v>28</v>
      </c>
      <c r="BR206">
        <v>1681</v>
      </c>
      <c r="BS206">
        <v>540</v>
      </c>
      <c r="BT206">
        <v>12596</v>
      </c>
      <c r="BU206">
        <v>982</v>
      </c>
      <c r="BV206">
        <v>14683</v>
      </c>
      <c r="BW206">
        <v>130477</v>
      </c>
      <c r="BX206">
        <v>2741</v>
      </c>
      <c r="BY206">
        <v>277</v>
      </c>
      <c r="BZ206">
        <v>445</v>
      </c>
      <c r="CA206">
        <v>187</v>
      </c>
      <c r="CB206">
        <v>643</v>
      </c>
      <c r="CC206">
        <v>24</v>
      </c>
      <c r="CD206">
        <v>16</v>
      </c>
      <c r="CE206">
        <v>577</v>
      </c>
      <c r="CF206">
        <v>100</v>
      </c>
      <c r="CG206">
        <v>4419</v>
      </c>
      <c r="CH206">
        <v>394</v>
      </c>
      <c r="CI206">
        <v>2683</v>
      </c>
      <c r="CJ206">
        <v>1684</v>
      </c>
      <c r="CK206">
        <v>305</v>
      </c>
      <c r="CL206">
        <v>363</v>
      </c>
      <c r="CM206">
        <v>357</v>
      </c>
      <c r="CN206">
        <v>437</v>
      </c>
      <c r="CO206">
        <v>81</v>
      </c>
      <c r="CP206">
        <v>1687</v>
      </c>
      <c r="CQ206">
        <v>7074</v>
      </c>
      <c r="CR206">
        <v>507</v>
      </c>
      <c r="CS206">
        <v>3</v>
      </c>
      <c r="CT206">
        <v>303</v>
      </c>
      <c r="CU206">
        <v>3970</v>
      </c>
      <c r="CV206">
        <v>30511</v>
      </c>
      <c r="CW206">
        <v>0</v>
      </c>
      <c r="CX206">
        <v>0</v>
      </c>
      <c r="CY206">
        <v>0</v>
      </c>
      <c r="CZ206">
        <v>0</v>
      </c>
      <c r="DA206">
        <v>0</v>
      </c>
      <c r="DB206">
        <v>0</v>
      </c>
      <c r="DC206">
        <v>368</v>
      </c>
      <c r="DD206">
        <v>0</v>
      </c>
      <c r="DE206">
        <v>47</v>
      </c>
      <c r="DF206">
        <v>286</v>
      </c>
      <c r="DG206">
        <v>417</v>
      </c>
      <c r="DH206">
        <v>0</v>
      </c>
      <c r="DI206">
        <v>0</v>
      </c>
      <c r="DJ206">
        <v>2065</v>
      </c>
      <c r="DK206">
        <v>0</v>
      </c>
      <c r="DL206">
        <v>0</v>
      </c>
      <c r="DM206">
        <v>224</v>
      </c>
      <c r="DN206">
        <v>1942</v>
      </c>
      <c r="DO206">
        <v>1542</v>
      </c>
      <c r="DP206">
        <v>6190</v>
      </c>
      <c r="DQ206">
        <v>577</v>
      </c>
      <c r="DR206">
        <v>0</v>
      </c>
      <c r="DS206">
        <v>555</v>
      </c>
      <c r="DT206">
        <v>3772</v>
      </c>
      <c r="DU206">
        <v>-14</v>
      </c>
      <c r="DV206">
        <v>1255</v>
      </c>
      <c r="DW206">
        <v>0</v>
      </c>
      <c r="DX206">
        <v>13036</v>
      </c>
      <c r="DY206">
        <v>74563</v>
      </c>
      <c r="DZ206">
        <v>373</v>
      </c>
      <c r="EA206">
        <v>5861</v>
      </c>
      <c r="EB206">
        <v>752</v>
      </c>
      <c r="EC206">
        <v>0</v>
      </c>
      <c r="ED206">
        <v>306</v>
      </c>
      <c r="EE206">
        <v>0</v>
      </c>
      <c r="EF206">
        <v>0</v>
      </c>
      <c r="EG206">
        <v>-89</v>
      </c>
      <c r="EH206">
        <v>29611</v>
      </c>
      <c r="EI206">
        <v>12810</v>
      </c>
      <c r="EJ206">
        <v>12397</v>
      </c>
      <c r="EK206">
        <v>1428</v>
      </c>
      <c r="EL206">
        <v>9096</v>
      </c>
      <c r="EM206">
        <v>13627</v>
      </c>
      <c r="EN206">
        <v>5946</v>
      </c>
      <c r="EO206">
        <v>60</v>
      </c>
      <c r="EP206">
        <v>0</v>
      </c>
      <c r="EQ206">
        <v>13</v>
      </c>
      <c r="ER206">
        <v>4</v>
      </c>
      <c r="ES206">
        <v>35758</v>
      </c>
      <c r="ET206">
        <v>32532</v>
      </c>
      <c r="EU206">
        <v>214</v>
      </c>
      <c r="EV206">
        <v>278</v>
      </c>
      <c r="EW206">
        <v>73</v>
      </c>
      <c r="EX206">
        <v>3489</v>
      </c>
      <c r="EY206">
        <v>2799</v>
      </c>
      <c r="EZ206">
        <v>4664</v>
      </c>
      <c r="FA206">
        <v>0</v>
      </c>
      <c r="FB206">
        <v>759</v>
      </c>
      <c r="FC206">
        <v>0</v>
      </c>
      <c r="FD206">
        <v>4324</v>
      </c>
      <c r="FE206">
        <v>66</v>
      </c>
      <c r="FF206">
        <v>468</v>
      </c>
      <c r="FG206">
        <v>1581</v>
      </c>
      <c r="FH206">
        <v>18717</v>
      </c>
      <c r="FI206">
        <v>-1653</v>
      </c>
      <c r="FJ206">
        <v>849</v>
      </c>
      <c r="FK206">
        <v>0</v>
      </c>
      <c r="FL206">
        <v>0</v>
      </c>
      <c r="FM206">
        <v>993</v>
      </c>
      <c r="FN206">
        <v>-17</v>
      </c>
      <c r="FO206">
        <v>432</v>
      </c>
      <c r="FP206">
        <v>0</v>
      </c>
      <c r="FQ206">
        <v>0</v>
      </c>
      <c r="FR206">
        <v>218</v>
      </c>
      <c r="FS206">
        <v>153</v>
      </c>
      <c r="FT206">
        <v>0</v>
      </c>
      <c r="FU206">
        <v>103</v>
      </c>
      <c r="FV206">
        <v>301</v>
      </c>
      <c r="FW206">
        <v>173</v>
      </c>
      <c r="FX206">
        <v>-19</v>
      </c>
      <c r="FY206">
        <v>264</v>
      </c>
      <c r="FZ206">
        <v>0</v>
      </c>
      <c r="GA206">
        <v>0</v>
      </c>
      <c r="GB206">
        <v>0</v>
      </c>
      <c r="GC206">
        <v>0</v>
      </c>
      <c r="GD206">
        <v>4055</v>
      </c>
      <c r="GE206">
        <v>9881</v>
      </c>
      <c r="GF206">
        <v>10149</v>
      </c>
      <c r="GG206">
        <v>0</v>
      </c>
      <c r="GH206">
        <v>486</v>
      </c>
      <c r="GI206">
        <v>0</v>
      </c>
      <c r="GJ206">
        <v>0</v>
      </c>
      <c r="GK206">
        <v>26369</v>
      </c>
      <c r="GL206">
        <v>274</v>
      </c>
      <c r="GM206">
        <v>2155</v>
      </c>
      <c r="GN206">
        <v>261</v>
      </c>
      <c r="GO206">
        <v>-9</v>
      </c>
      <c r="GP206">
        <v>304</v>
      </c>
      <c r="GQ206">
        <v>3827</v>
      </c>
      <c r="GR206">
        <v>0</v>
      </c>
      <c r="GS206">
        <v>216</v>
      </c>
      <c r="GT206">
        <v>343</v>
      </c>
      <c r="GU206">
        <v>7371</v>
      </c>
      <c r="GV206">
        <v>52456</v>
      </c>
      <c r="GW206">
        <v>0</v>
      </c>
      <c r="GX206">
        <v>0</v>
      </c>
      <c r="GY206">
        <v>0</v>
      </c>
      <c r="GZ206">
        <v>0</v>
      </c>
      <c r="HA206">
        <v>0</v>
      </c>
      <c r="HB206">
        <v>4215</v>
      </c>
      <c r="HC206">
        <v>2339</v>
      </c>
      <c r="HD206">
        <v>0</v>
      </c>
      <c r="HE206">
        <v>1052</v>
      </c>
      <c r="HF206">
        <v>1681</v>
      </c>
      <c r="HG206">
        <v>297</v>
      </c>
      <c r="HH206">
        <v>0</v>
      </c>
      <c r="HI206">
        <v>-65</v>
      </c>
      <c r="HJ206">
        <v>684</v>
      </c>
      <c r="HK206">
        <v>82</v>
      </c>
      <c r="HL206">
        <v>3460</v>
      </c>
      <c r="HM206">
        <v>-93</v>
      </c>
      <c r="HN206">
        <v>610</v>
      </c>
      <c r="HO206">
        <v>0</v>
      </c>
      <c r="HP206">
        <v>1036</v>
      </c>
      <c r="HQ206">
        <v>0</v>
      </c>
      <c r="HR206">
        <v>750</v>
      </c>
      <c r="HS206">
        <v>0</v>
      </c>
      <c r="HT206">
        <v>0</v>
      </c>
      <c r="HU206">
        <v>7585</v>
      </c>
      <c r="HV206">
        <v>23633</v>
      </c>
      <c r="HW206">
        <v>0</v>
      </c>
      <c r="HX206">
        <v>32205</v>
      </c>
      <c r="HY206">
        <v>0</v>
      </c>
      <c r="HZ206">
        <v>0</v>
      </c>
      <c r="IA206">
        <v>0</v>
      </c>
      <c r="IB206">
        <v>-5318</v>
      </c>
      <c r="IC206">
        <v>292115</v>
      </c>
      <c r="ID206">
        <v>20189</v>
      </c>
      <c r="IE206">
        <v>76852</v>
      </c>
      <c r="IF206">
        <v>130477</v>
      </c>
      <c r="IG206">
        <v>30511</v>
      </c>
      <c r="IH206">
        <v>13036</v>
      </c>
      <c r="II206">
        <v>18717</v>
      </c>
      <c r="IJ206">
        <v>26369</v>
      </c>
      <c r="IK206">
        <v>7371</v>
      </c>
      <c r="IL206">
        <v>0</v>
      </c>
      <c r="IM206">
        <v>0</v>
      </c>
      <c r="IN206">
        <v>23633</v>
      </c>
      <c r="IO206">
        <v>-5318</v>
      </c>
      <c r="IP206">
        <v>633950</v>
      </c>
      <c r="IQ206">
        <v>49255</v>
      </c>
      <c r="IR206">
        <v>1027</v>
      </c>
      <c r="IS206">
        <v>27633</v>
      </c>
      <c r="IT206">
        <v>0</v>
      </c>
      <c r="IU206">
        <v>0</v>
      </c>
      <c r="IV206">
        <v>0</v>
      </c>
      <c r="IW206">
        <v>0</v>
      </c>
      <c r="IX206">
        <v>0</v>
      </c>
      <c r="IY206">
        <v>0</v>
      </c>
      <c r="IZ206">
        <v>1296</v>
      </c>
      <c r="JA206">
        <v>0</v>
      </c>
      <c r="JB206">
        <v>503</v>
      </c>
      <c r="JC206">
        <v>0</v>
      </c>
      <c r="JD206">
        <v>0</v>
      </c>
      <c r="JE206">
        <v>-520</v>
      </c>
      <c r="JF206">
        <v>0</v>
      </c>
      <c r="JG206">
        <v>713145</v>
      </c>
      <c r="JH206">
        <v>89</v>
      </c>
      <c r="JI206">
        <v>188</v>
      </c>
      <c r="JJ206">
        <v>0</v>
      </c>
      <c r="JK206">
        <v>0</v>
      </c>
      <c r="JL206">
        <v>0</v>
      </c>
      <c r="JM206">
        <v>-928</v>
      </c>
      <c r="JN206">
        <v>9569</v>
      </c>
      <c r="JO206">
        <v>0</v>
      </c>
      <c r="JP206">
        <v>698</v>
      </c>
      <c r="JQ206">
        <v>0</v>
      </c>
      <c r="JR206">
        <v>722760</v>
      </c>
      <c r="JS206">
        <v>-2100</v>
      </c>
      <c r="JT206">
        <v>0</v>
      </c>
      <c r="JU206">
        <v>261</v>
      </c>
      <c r="JV206">
        <v>0</v>
      </c>
      <c r="JW206">
        <v>-98102</v>
      </c>
      <c r="JX206">
        <v>0</v>
      </c>
      <c r="JY206">
        <v>0</v>
      </c>
      <c r="JZ206">
        <v>0</v>
      </c>
      <c r="KA206">
        <v>0</v>
      </c>
      <c r="KB206">
        <v>-3643</v>
      </c>
      <c r="KC206">
        <v>619176</v>
      </c>
      <c r="KD206">
        <v>0</v>
      </c>
      <c r="KE206">
        <v>-369469</v>
      </c>
      <c r="KF206">
        <v>249707</v>
      </c>
      <c r="KG206">
        <v>0</v>
      </c>
      <c r="KH206">
        <v>5212</v>
      </c>
      <c r="KI206">
        <v>-1434</v>
      </c>
      <c r="KJ206">
        <v>0</v>
      </c>
      <c r="KK206">
        <v>10023</v>
      </c>
      <c r="KL206">
        <v>0</v>
      </c>
      <c r="KM206">
        <v>-29029</v>
      </c>
      <c r="KN206">
        <v>0</v>
      </c>
      <c r="KO206">
        <v>-88260</v>
      </c>
      <c r="KP206">
        <v>1629</v>
      </c>
      <c r="KQ206">
        <v>7915</v>
      </c>
      <c r="KR206">
        <v>126790</v>
      </c>
      <c r="KS206">
        <v>29290</v>
      </c>
      <c r="KT206">
        <v>1434</v>
      </c>
      <c r="KU206">
        <v>0</v>
      </c>
      <c r="KV206">
        <v>297488</v>
      </c>
      <c r="KW206">
        <v>15000</v>
      </c>
      <c r="KX206">
        <v>34502</v>
      </c>
      <c r="KY206">
        <v>0</v>
      </c>
      <c r="KZ206">
        <v>0</v>
      </c>
      <c r="LA206">
        <v>307511</v>
      </c>
      <c r="LB206">
        <v>15000</v>
      </c>
      <c r="LC206">
        <v>0</v>
      </c>
      <c r="LD206">
        <v>41150</v>
      </c>
      <c r="LE206">
        <v>27353</v>
      </c>
      <c r="LF206">
        <v>-3107</v>
      </c>
      <c r="LG206">
        <v>-83924</v>
      </c>
      <c r="LH206">
        <v>14592</v>
      </c>
      <c r="LI206">
        <v>-3936</v>
      </c>
      <c r="LJ206">
        <v>10975</v>
      </c>
      <c r="LK206">
        <v>13276</v>
      </c>
      <c r="LL206">
        <v>24251</v>
      </c>
      <c r="LM206">
        <v>0</v>
      </c>
      <c r="LN206">
        <v>0</v>
      </c>
      <c r="LO206">
        <v>0</v>
      </c>
      <c r="LP206">
        <v>81766</v>
      </c>
      <c r="LQ206">
        <v>84992</v>
      </c>
      <c r="LR206">
        <v>-3226</v>
      </c>
      <c r="LS206">
        <v>35758</v>
      </c>
      <c r="LT206">
        <v>32532</v>
      </c>
      <c r="LU206">
        <v>292115</v>
      </c>
      <c r="LV206">
        <v>20189</v>
      </c>
      <c r="LW206">
        <v>76852</v>
      </c>
      <c r="LX206">
        <v>130477</v>
      </c>
      <c r="LY206">
        <v>30511</v>
      </c>
      <c r="LZ206">
        <v>13036</v>
      </c>
      <c r="MA206">
        <v>18717</v>
      </c>
      <c r="MB206">
        <v>26369</v>
      </c>
      <c r="MC206">
        <v>7371</v>
      </c>
      <c r="MD206">
        <v>0</v>
      </c>
      <c r="ME206">
        <v>0</v>
      </c>
      <c r="MF206">
        <v>23633</v>
      </c>
      <c r="MG206">
        <v>-5318</v>
      </c>
      <c r="MH206">
        <v>633950</v>
      </c>
      <c r="MI206">
        <v>0</v>
      </c>
      <c r="MJ206">
        <v>0</v>
      </c>
      <c r="MK206">
        <v>0</v>
      </c>
      <c r="ML206">
        <v>0</v>
      </c>
      <c r="MM206">
        <v>0</v>
      </c>
      <c r="MN206">
        <v>0</v>
      </c>
      <c r="MO206">
        <v>0</v>
      </c>
      <c r="MP206">
        <v>0</v>
      </c>
      <c r="MQ206">
        <v>0</v>
      </c>
      <c r="MR206">
        <v>0</v>
      </c>
      <c r="MS206">
        <v>0</v>
      </c>
      <c r="MT206">
        <v>0</v>
      </c>
      <c r="MU206">
        <v>0</v>
      </c>
      <c r="MV206">
        <v>0</v>
      </c>
      <c r="MW206">
        <v>0</v>
      </c>
      <c r="MX206">
        <v>0</v>
      </c>
      <c r="MY206">
        <v>0</v>
      </c>
      <c r="MZ206">
        <v>0</v>
      </c>
      <c r="NA206">
        <v>0</v>
      </c>
      <c r="NB206">
        <v>0</v>
      </c>
      <c r="NC206">
        <v>0</v>
      </c>
      <c r="ND206">
        <v>0</v>
      </c>
      <c r="NE206">
        <v>0</v>
      </c>
      <c r="NF206">
        <v>0</v>
      </c>
      <c r="NG206">
        <v>0</v>
      </c>
      <c r="NH206">
        <v>0</v>
      </c>
      <c r="NI206">
        <v>0</v>
      </c>
      <c r="NJ206">
        <v>0</v>
      </c>
      <c r="NK206">
        <v>0</v>
      </c>
      <c r="NL206">
        <v>0</v>
      </c>
      <c r="NM206">
        <v>0</v>
      </c>
      <c r="NN206">
        <v>0</v>
      </c>
      <c r="NO206">
        <v>0</v>
      </c>
      <c r="NP206">
        <v>0</v>
      </c>
      <c r="NQ206">
        <v>0</v>
      </c>
      <c r="NR206">
        <v>0</v>
      </c>
      <c r="NS206">
        <v>0</v>
      </c>
      <c r="NT206">
        <v>503</v>
      </c>
      <c r="NU206">
        <v>0</v>
      </c>
      <c r="NV206">
        <v>0</v>
      </c>
      <c r="NW206">
        <v>0</v>
      </c>
      <c r="NX206">
        <v>0</v>
      </c>
      <c r="NY206">
        <v>0</v>
      </c>
      <c r="NZ206">
        <v>503</v>
      </c>
      <c r="OA206">
        <v>0</v>
      </c>
      <c r="OB206">
        <v>503</v>
      </c>
      <c r="OC206">
        <v>0</v>
      </c>
      <c r="OD206">
        <v>0</v>
      </c>
      <c r="OE206">
        <v>0</v>
      </c>
      <c r="OF206">
        <v>0</v>
      </c>
      <c r="OG206">
        <v>0</v>
      </c>
      <c r="OH206">
        <v>0</v>
      </c>
      <c r="OI206">
        <v>0</v>
      </c>
      <c r="OJ206">
        <v>0</v>
      </c>
      <c r="OK206">
        <v>0</v>
      </c>
      <c r="OL206">
        <v>0</v>
      </c>
      <c r="OM206">
        <v>0</v>
      </c>
      <c r="ON206">
        <v>0</v>
      </c>
    </row>
    <row r="207" spans="1:404" x14ac:dyDescent="0.25">
      <c r="A207" t="s">
        <v>686</v>
      </c>
      <c r="B207" t="s">
        <v>687</v>
      </c>
      <c r="C207" t="s">
        <v>685</v>
      </c>
      <c r="E207" t="s">
        <v>1942</v>
      </c>
      <c r="F207">
        <v>39992</v>
      </c>
      <c r="G207">
        <v>108850</v>
      </c>
      <c r="H207">
        <v>12832</v>
      </c>
      <c r="I207">
        <v>58879</v>
      </c>
      <c r="J207">
        <v>479</v>
      </c>
      <c r="K207">
        <v>49493</v>
      </c>
      <c r="L207">
        <v>270525</v>
      </c>
      <c r="M207">
        <v>697</v>
      </c>
      <c r="N207">
        <v>1943</v>
      </c>
      <c r="O207">
        <v>282</v>
      </c>
      <c r="P207">
        <v>3177</v>
      </c>
      <c r="Q207">
        <v>663</v>
      </c>
      <c r="R207">
        <v>1409</v>
      </c>
      <c r="S207">
        <v>7535</v>
      </c>
      <c r="T207">
        <v>2442</v>
      </c>
      <c r="U207">
        <v>4522</v>
      </c>
      <c r="V207">
        <v>0</v>
      </c>
      <c r="W207">
        <v>0</v>
      </c>
      <c r="X207">
        <v>1350</v>
      </c>
      <c r="Y207">
        <v>2721</v>
      </c>
      <c r="Z207">
        <v>65</v>
      </c>
      <c r="AA207">
        <v>9</v>
      </c>
      <c r="AB207">
        <v>4559</v>
      </c>
      <c r="AC207">
        <v>635</v>
      </c>
      <c r="AD207">
        <v>3175</v>
      </c>
      <c r="AE207">
        <v>0</v>
      </c>
      <c r="AF207">
        <v>0</v>
      </c>
      <c r="AG207">
        <v>566</v>
      </c>
      <c r="AH207">
        <v>0</v>
      </c>
      <c r="AI207">
        <v>35750</v>
      </c>
      <c r="AJ207">
        <v>0</v>
      </c>
      <c r="AK207">
        <v>0</v>
      </c>
      <c r="AL207">
        <v>0</v>
      </c>
      <c r="AM207">
        <v>0</v>
      </c>
      <c r="AN207">
        <v>0</v>
      </c>
      <c r="AO207">
        <v>0</v>
      </c>
      <c r="AP207">
        <v>0</v>
      </c>
      <c r="AQ207">
        <v>1342</v>
      </c>
      <c r="AR207">
        <v>0</v>
      </c>
      <c r="AS207">
        <v>0</v>
      </c>
      <c r="AT207">
        <v>0</v>
      </c>
      <c r="AU207">
        <v>0</v>
      </c>
      <c r="AV207">
        <v>4110</v>
      </c>
      <c r="AW207">
        <v>39547</v>
      </c>
      <c r="AX207">
        <v>8611</v>
      </c>
      <c r="AY207">
        <v>20815</v>
      </c>
      <c r="AZ207">
        <v>2331</v>
      </c>
      <c r="BA207">
        <v>4111</v>
      </c>
      <c r="BB207">
        <v>2999</v>
      </c>
      <c r="BC207">
        <v>6133</v>
      </c>
      <c r="BD207">
        <v>88657</v>
      </c>
      <c r="BE207">
        <v>14558</v>
      </c>
      <c r="BF207">
        <v>31405</v>
      </c>
      <c r="BG207">
        <v>362</v>
      </c>
      <c r="BH207">
        <v>244</v>
      </c>
      <c r="BI207">
        <v>651</v>
      </c>
      <c r="BJ207">
        <v>5053</v>
      </c>
      <c r="BK207">
        <v>47760</v>
      </c>
      <c r="BL207">
        <v>5946</v>
      </c>
      <c r="BM207">
        <v>8663</v>
      </c>
      <c r="BN207">
        <v>6542</v>
      </c>
      <c r="BO207">
        <v>252</v>
      </c>
      <c r="BP207">
        <v>0</v>
      </c>
      <c r="BQ207">
        <v>1507</v>
      </c>
      <c r="BR207">
        <v>13676</v>
      </c>
      <c r="BS207">
        <v>2942</v>
      </c>
      <c r="BT207">
        <v>14583</v>
      </c>
      <c r="BU207">
        <v>1661</v>
      </c>
      <c r="BV207">
        <v>19460</v>
      </c>
      <c r="BW207">
        <v>188342</v>
      </c>
      <c r="BX207">
        <v>3171</v>
      </c>
      <c r="BY207">
        <v>620</v>
      </c>
      <c r="BZ207">
        <v>60</v>
      </c>
      <c r="CA207">
        <v>206</v>
      </c>
      <c r="CB207">
        <v>149</v>
      </c>
      <c r="CC207">
        <v>56</v>
      </c>
      <c r="CD207">
        <v>67</v>
      </c>
      <c r="CE207">
        <v>461</v>
      </c>
      <c r="CF207">
        <v>26</v>
      </c>
      <c r="CG207">
        <v>1179</v>
      </c>
      <c r="CH207">
        <v>163</v>
      </c>
      <c r="CI207">
        <v>2271</v>
      </c>
      <c r="CJ207">
        <v>1843</v>
      </c>
      <c r="CK207">
        <v>48</v>
      </c>
      <c r="CL207">
        <v>157</v>
      </c>
      <c r="CM207">
        <v>409</v>
      </c>
      <c r="CN207">
        <v>689</v>
      </c>
      <c r="CO207">
        <v>63</v>
      </c>
      <c r="CP207">
        <v>3094</v>
      </c>
      <c r="CQ207">
        <v>7618</v>
      </c>
      <c r="CR207">
        <v>59</v>
      </c>
      <c r="CS207">
        <v>105</v>
      </c>
      <c r="CT207">
        <v>214</v>
      </c>
      <c r="CU207">
        <v>5195</v>
      </c>
      <c r="CV207">
        <v>37127</v>
      </c>
      <c r="CW207">
        <v>0</v>
      </c>
      <c r="CX207">
        <v>0</v>
      </c>
      <c r="CY207">
        <v>0</v>
      </c>
      <c r="CZ207">
        <v>0</v>
      </c>
      <c r="DA207">
        <v>0</v>
      </c>
      <c r="DB207">
        <v>0</v>
      </c>
      <c r="DC207">
        <v>0</v>
      </c>
      <c r="DD207">
        <v>0</v>
      </c>
      <c r="DE207">
        <v>0</v>
      </c>
      <c r="DF207">
        <v>0</v>
      </c>
      <c r="DG207">
        <v>0</v>
      </c>
      <c r="DH207">
        <v>0</v>
      </c>
      <c r="DI207">
        <v>0</v>
      </c>
      <c r="DJ207">
        <v>0</v>
      </c>
      <c r="DK207">
        <v>0</v>
      </c>
      <c r="DL207">
        <v>0</v>
      </c>
      <c r="DM207">
        <v>0</v>
      </c>
      <c r="DN207">
        <v>0</v>
      </c>
      <c r="DO207">
        <v>0</v>
      </c>
      <c r="DP207">
        <v>0</v>
      </c>
      <c r="DQ207">
        <v>0</v>
      </c>
      <c r="DR207">
        <v>0</v>
      </c>
      <c r="DS207">
        <v>0</v>
      </c>
      <c r="DT207">
        <v>0</v>
      </c>
      <c r="DU207">
        <v>38</v>
      </c>
      <c r="DV207">
        <v>0</v>
      </c>
      <c r="DW207">
        <v>0</v>
      </c>
      <c r="DX207">
        <v>38</v>
      </c>
      <c r="DY207">
        <v>0</v>
      </c>
      <c r="DZ207">
        <v>0</v>
      </c>
      <c r="EA207">
        <v>0</v>
      </c>
      <c r="EB207">
        <v>0</v>
      </c>
      <c r="EC207">
        <v>0</v>
      </c>
      <c r="ED207">
        <v>0</v>
      </c>
      <c r="EE207">
        <v>0</v>
      </c>
      <c r="EF207">
        <v>0</v>
      </c>
      <c r="EG207">
        <v>0</v>
      </c>
      <c r="EH207">
        <v>0</v>
      </c>
      <c r="EI207">
        <v>0</v>
      </c>
      <c r="EJ207">
        <v>0</v>
      </c>
      <c r="EK207">
        <v>0</v>
      </c>
      <c r="EL207">
        <v>0</v>
      </c>
      <c r="EM207">
        <v>0</v>
      </c>
      <c r="EN207">
        <v>0</v>
      </c>
      <c r="EO207">
        <v>0</v>
      </c>
      <c r="EP207">
        <v>0</v>
      </c>
      <c r="EQ207">
        <v>0</v>
      </c>
      <c r="ER207">
        <v>0</v>
      </c>
      <c r="ES207">
        <v>0</v>
      </c>
      <c r="ET207">
        <v>0</v>
      </c>
      <c r="EU207">
        <v>383</v>
      </c>
      <c r="EV207">
        <v>0</v>
      </c>
      <c r="EW207">
        <v>1321</v>
      </c>
      <c r="EX207">
        <v>2340</v>
      </c>
      <c r="EY207">
        <v>0</v>
      </c>
      <c r="EZ207">
        <v>0</v>
      </c>
      <c r="FA207">
        <v>0</v>
      </c>
      <c r="FB207">
        <v>0</v>
      </c>
      <c r="FC207">
        <v>0</v>
      </c>
      <c r="FD207">
        <v>304</v>
      </c>
      <c r="FE207">
        <v>0</v>
      </c>
      <c r="FF207">
        <v>0</v>
      </c>
      <c r="FG207">
        <v>5452</v>
      </c>
      <c r="FH207">
        <v>9800</v>
      </c>
      <c r="FI207">
        <v>0</v>
      </c>
      <c r="FJ207">
        <v>1613</v>
      </c>
      <c r="FK207">
        <v>0</v>
      </c>
      <c r="FL207">
        <v>0</v>
      </c>
      <c r="FM207">
        <v>0</v>
      </c>
      <c r="FN207">
        <v>0</v>
      </c>
      <c r="FO207">
        <v>0</v>
      </c>
      <c r="FP207">
        <v>0</v>
      </c>
      <c r="FQ207">
        <v>0</v>
      </c>
      <c r="FR207">
        <v>0</v>
      </c>
      <c r="FS207">
        <v>0</v>
      </c>
      <c r="FT207">
        <v>0</v>
      </c>
      <c r="FU207">
        <v>0</v>
      </c>
      <c r="FV207">
        <v>0</v>
      </c>
      <c r="FW207">
        <v>0</v>
      </c>
      <c r="FX207">
        <v>0</v>
      </c>
      <c r="FY207">
        <v>520</v>
      </c>
      <c r="FZ207">
        <v>20</v>
      </c>
      <c r="GA207">
        <v>0</v>
      </c>
      <c r="GB207">
        <v>0</v>
      </c>
      <c r="GC207">
        <v>0</v>
      </c>
      <c r="GD207">
        <v>0</v>
      </c>
      <c r="GE207">
        <v>11</v>
      </c>
      <c r="GF207">
        <v>24889</v>
      </c>
      <c r="GG207">
        <v>-1798</v>
      </c>
      <c r="GH207">
        <v>5052</v>
      </c>
      <c r="GI207">
        <v>257</v>
      </c>
      <c r="GJ207">
        <v>-5</v>
      </c>
      <c r="GK207">
        <v>30559</v>
      </c>
      <c r="GL207">
        <v>0</v>
      </c>
      <c r="GM207">
        <v>0</v>
      </c>
      <c r="GN207">
        <v>0</v>
      </c>
      <c r="GO207">
        <v>0</v>
      </c>
      <c r="GP207">
        <v>617</v>
      </c>
      <c r="GQ207">
        <v>2582</v>
      </c>
      <c r="GR207">
        <v>0</v>
      </c>
      <c r="GS207">
        <v>0</v>
      </c>
      <c r="GT207">
        <v>1573</v>
      </c>
      <c r="GU207">
        <v>4772</v>
      </c>
      <c r="GV207">
        <v>45131</v>
      </c>
      <c r="GW207">
        <v>0</v>
      </c>
      <c r="GX207">
        <v>0</v>
      </c>
      <c r="GY207">
        <v>0</v>
      </c>
      <c r="GZ207">
        <v>0</v>
      </c>
      <c r="HA207">
        <v>0</v>
      </c>
      <c r="HB207">
        <v>3204</v>
      </c>
      <c r="HC207">
        <v>0</v>
      </c>
      <c r="HD207">
        <v>0</v>
      </c>
      <c r="HE207">
        <v>0</v>
      </c>
      <c r="HF207">
        <v>0</v>
      </c>
      <c r="HG207">
        <v>0</v>
      </c>
      <c r="HH207">
        <v>0</v>
      </c>
      <c r="HI207">
        <v>-343</v>
      </c>
      <c r="HJ207">
        <v>0</v>
      </c>
      <c r="HK207">
        <v>0</v>
      </c>
      <c r="HL207">
        <v>-73</v>
      </c>
      <c r="HM207">
        <v>0</v>
      </c>
      <c r="HN207">
        <v>0</v>
      </c>
      <c r="HO207">
        <v>4945</v>
      </c>
      <c r="HP207">
        <v>1716</v>
      </c>
      <c r="HQ207">
        <v>0</v>
      </c>
      <c r="HR207">
        <v>3046</v>
      </c>
      <c r="HS207">
        <v>0</v>
      </c>
      <c r="HT207">
        <v>0</v>
      </c>
      <c r="HU207">
        <v>0</v>
      </c>
      <c r="HV207">
        <v>12495</v>
      </c>
      <c r="HW207">
        <v>0</v>
      </c>
      <c r="HX207">
        <v>0</v>
      </c>
      <c r="HY207">
        <v>0</v>
      </c>
      <c r="HZ207">
        <v>50284</v>
      </c>
      <c r="IA207">
        <v>20578</v>
      </c>
      <c r="IB207">
        <v>-2223</v>
      </c>
      <c r="IC207">
        <v>270525</v>
      </c>
      <c r="ID207">
        <v>35750</v>
      </c>
      <c r="IE207">
        <v>88657</v>
      </c>
      <c r="IF207">
        <v>188342</v>
      </c>
      <c r="IG207">
        <v>37127</v>
      </c>
      <c r="IH207">
        <v>38</v>
      </c>
      <c r="II207">
        <v>9800</v>
      </c>
      <c r="IJ207">
        <v>30559</v>
      </c>
      <c r="IK207">
        <v>4772</v>
      </c>
      <c r="IL207">
        <v>0</v>
      </c>
      <c r="IM207">
        <v>0</v>
      </c>
      <c r="IN207">
        <v>12495</v>
      </c>
      <c r="IO207">
        <v>-2223</v>
      </c>
      <c r="IP207">
        <v>675842</v>
      </c>
      <c r="IQ207">
        <v>0</v>
      </c>
      <c r="IR207">
        <v>0</v>
      </c>
      <c r="IS207">
        <v>0</v>
      </c>
      <c r="IT207">
        <v>0</v>
      </c>
      <c r="IU207">
        <v>0</v>
      </c>
      <c r="IV207">
        <v>0</v>
      </c>
      <c r="IW207">
        <v>0</v>
      </c>
      <c r="IX207">
        <v>0</v>
      </c>
      <c r="IY207">
        <v>0</v>
      </c>
      <c r="IZ207">
        <v>0</v>
      </c>
      <c r="JA207">
        <v>0</v>
      </c>
      <c r="JB207">
        <v>0</v>
      </c>
      <c r="JC207">
        <v>0</v>
      </c>
      <c r="JD207">
        <v>0</v>
      </c>
      <c r="JE207">
        <v>-787</v>
      </c>
      <c r="JF207">
        <v>0</v>
      </c>
      <c r="JG207">
        <v>675055</v>
      </c>
      <c r="JH207">
        <v>311</v>
      </c>
      <c r="JI207">
        <v>5954</v>
      </c>
      <c r="JJ207">
        <v>0</v>
      </c>
      <c r="JK207">
        <v>0</v>
      </c>
      <c r="JL207">
        <v>0</v>
      </c>
      <c r="JM207">
        <v>0</v>
      </c>
      <c r="JN207">
        <v>16825</v>
      </c>
      <c r="JO207">
        <v>208</v>
      </c>
      <c r="JP207">
        <v>14076</v>
      </c>
      <c r="JQ207">
        <v>0</v>
      </c>
      <c r="JR207">
        <v>712429</v>
      </c>
      <c r="JS207">
        <v>-2541</v>
      </c>
      <c r="JT207">
        <v>0</v>
      </c>
      <c r="JU207">
        <v>0</v>
      </c>
      <c r="JV207">
        <v>0</v>
      </c>
      <c r="JW207">
        <v>-5161</v>
      </c>
      <c r="JX207">
        <v>0</v>
      </c>
      <c r="JY207">
        <v>0</v>
      </c>
      <c r="JZ207">
        <v>0</v>
      </c>
      <c r="KA207">
        <v>0</v>
      </c>
      <c r="KB207">
        <v>-13178</v>
      </c>
      <c r="KC207">
        <v>691549</v>
      </c>
      <c r="KD207">
        <v>0</v>
      </c>
      <c r="KE207">
        <v>-324782</v>
      </c>
      <c r="KF207">
        <v>366767</v>
      </c>
      <c r="KG207">
        <v>0</v>
      </c>
      <c r="KH207">
        <v>1578</v>
      </c>
      <c r="KI207">
        <v>0</v>
      </c>
      <c r="KJ207">
        <v>9454</v>
      </c>
      <c r="KK207">
        <v>40028</v>
      </c>
      <c r="KL207">
        <v>1000</v>
      </c>
      <c r="KM207">
        <v>0</v>
      </c>
      <c r="KN207">
        <v>0</v>
      </c>
      <c r="KO207">
        <v>-64558</v>
      </c>
      <c r="KP207">
        <v>1574</v>
      </c>
      <c r="KQ207">
        <v>0</v>
      </c>
      <c r="KR207">
        <v>336934</v>
      </c>
      <c r="KS207">
        <v>9731</v>
      </c>
      <c r="KT207">
        <v>0</v>
      </c>
      <c r="KU207">
        <v>1807</v>
      </c>
      <c r="KV207">
        <v>173178</v>
      </c>
      <c r="KW207">
        <v>17006</v>
      </c>
      <c r="KX207">
        <v>11309</v>
      </c>
      <c r="KY207">
        <v>0</v>
      </c>
      <c r="KZ207">
        <v>11261</v>
      </c>
      <c r="LA207">
        <v>213206</v>
      </c>
      <c r="LB207">
        <v>18006</v>
      </c>
      <c r="LC207">
        <v>0</v>
      </c>
      <c r="LD207">
        <v>27001</v>
      </c>
      <c r="LE207">
        <v>23001</v>
      </c>
      <c r="LF207">
        <v>-2788</v>
      </c>
      <c r="LG207">
        <v>-58742</v>
      </c>
      <c r="LH207">
        <v>3575</v>
      </c>
      <c r="LI207">
        <v>-7953</v>
      </c>
      <c r="LJ207">
        <v>0</v>
      </c>
      <c r="LK207">
        <v>0</v>
      </c>
      <c r="LL207">
        <v>0</v>
      </c>
      <c r="LM207">
        <v>0</v>
      </c>
      <c r="LN207">
        <v>0</v>
      </c>
      <c r="LO207">
        <v>0</v>
      </c>
      <c r="LP207">
        <v>0</v>
      </c>
      <c r="LQ207">
        <v>0</v>
      </c>
      <c r="LR207">
        <v>0</v>
      </c>
      <c r="LS207">
        <v>0</v>
      </c>
      <c r="LT207">
        <v>0</v>
      </c>
      <c r="LU207">
        <v>270525</v>
      </c>
      <c r="LV207">
        <v>35750</v>
      </c>
      <c r="LW207">
        <v>88657</v>
      </c>
      <c r="LX207">
        <v>188342</v>
      </c>
      <c r="LY207">
        <v>37127</v>
      </c>
      <c r="LZ207">
        <v>38</v>
      </c>
      <c r="MA207">
        <v>9800</v>
      </c>
      <c r="MB207">
        <v>30559</v>
      </c>
      <c r="MC207">
        <v>4772</v>
      </c>
      <c r="MD207">
        <v>0</v>
      </c>
      <c r="ME207">
        <v>0</v>
      </c>
      <c r="MF207">
        <v>12495</v>
      </c>
      <c r="MG207">
        <v>-2223</v>
      </c>
      <c r="MH207">
        <v>675842</v>
      </c>
      <c r="MI207">
        <v>0</v>
      </c>
      <c r="MJ207">
        <v>0</v>
      </c>
      <c r="MK207">
        <v>0</v>
      </c>
      <c r="ML207">
        <v>0</v>
      </c>
      <c r="MM207">
        <v>0</v>
      </c>
      <c r="MN207">
        <v>0</v>
      </c>
      <c r="MO207">
        <v>0</v>
      </c>
      <c r="MP207">
        <v>0</v>
      </c>
      <c r="MQ207">
        <v>0</v>
      </c>
      <c r="MR207">
        <v>0</v>
      </c>
      <c r="MS207">
        <v>0</v>
      </c>
      <c r="MT207">
        <v>0</v>
      </c>
      <c r="MU207">
        <v>0</v>
      </c>
      <c r="MV207">
        <v>0</v>
      </c>
      <c r="MW207">
        <v>0</v>
      </c>
      <c r="MX207">
        <v>0</v>
      </c>
      <c r="MY207">
        <v>0</v>
      </c>
      <c r="MZ207">
        <v>0</v>
      </c>
      <c r="NA207">
        <v>0</v>
      </c>
      <c r="NB207">
        <v>0</v>
      </c>
      <c r="NC207">
        <v>0</v>
      </c>
      <c r="ND207">
        <v>0</v>
      </c>
      <c r="NE207">
        <v>0</v>
      </c>
      <c r="NF207">
        <v>0</v>
      </c>
      <c r="NG207">
        <v>0</v>
      </c>
      <c r="NH207">
        <v>0</v>
      </c>
      <c r="NI207">
        <v>0</v>
      </c>
      <c r="NJ207">
        <v>0</v>
      </c>
      <c r="NK207">
        <v>0</v>
      </c>
      <c r="NL207">
        <v>0</v>
      </c>
      <c r="NM207">
        <v>0</v>
      </c>
      <c r="NN207">
        <v>0</v>
      </c>
      <c r="NO207">
        <v>0</v>
      </c>
      <c r="NP207">
        <v>0</v>
      </c>
      <c r="NQ207">
        <v>0</v>
      </c>
      <c r="NR207">
        <v>0</v>
      </c>
      <c r="NS207">
        <v>0</v>
      </c>
      <c r="NT207">
        <v>0</v>
      </c>
      <c r="NU207">
        <v>0</v>
      </c>
      <c r="NV207">
        <v>0</v>
      </c>
      <c r="NW207">
        <v>0</v>
      </c>
      <c r="NX207">
        <v>0</v>
      </c>
      <c r="NY207">
        <v>0</v>
      </c>
      <c r="NZ207">
        <v>0</v>
      </c>
      <c r="OA207">
        <v>0</v>
      </c>
      <c r="OB207">
        <v>0</v>
      </c>
      <c r="OC207">
        <v>0</v>
      </c>
      <c r="OD207">
        <v>0</v>
      </c>
      <c r="OE207">
        <v>0</v>
      </c>
      <c r="OF207">
        <v>0</v>
      </c>
      <c r="OG207">
        <v>0</v>
      </c>
      <c r="OH207">
        <v>0</v>
      </c>
      <c r="OI207">
        <v>0</v>
      </c>
      <c r="OJ207">
        <v>0</v>
      </c>
      <c r="OK207">
        <v>0</v>
      </c>
      <c r="OL207">
        <v>0</v>
      </c>
      <c r="OM207">
        <v>0</v>
      </c>
      <c r="ON207">
        <v>0</v>
      </c>
    </row>
    <row r="208" spans="1:404" x14ac:dyDescent="0.25">
      <c r="A208" t="s">
        <v>689</v>
      </c>
      <c r="B208" t="s">
        <v>690</v>
      </c>
      <c r="C208" t="s">
        <v>5435</v>
      </c>
      <c r="E208" t="s">
        <v>5408</v>
      </c>
      <c r="F208">
        <v>0</v>
      </c>
      <c r="G208">
        <v>0</v>
      </c>
      <c r="H208">
        <v>0</v>
      </c>
      <c r="I208">
        <v>0</v>
      </c>
      <c r="J208">
        <v>0</v>
      </c>
      <c r="K208">
        <v>0</v>
      </c>
      <c r="L208">
        <v>0</v>
      </c>
      <c r="M208">
        <v>0</v>
      </c>
      <c r="N208">
        <v>0</v>
      </c>
      <c r="O208">
        <v>0</v>
      </c>
      <c r="P208">
        <v>0</v>
      </c>
      <c r="Q208">
        <v>0</v>
      </c>
      <c r="R208">
        <v>0</v>
      </c>
      <c r="S208">
        <v>0</v>
      </c>
      <c r="T208">
        <v>0</v>
      </c>
      <c r="U208">
        <v>0</v>
      </c>
      <c r="V208">
        <v>0</v>
      </c>
      <c r="W208">
        <v>0</v>
      </c>
      <c r="X208">
        <v>0</v>
      </c>
      <c r="Y208">
        <v>0</v>
      </c>
      <c r="Z208">
        <v>0</v>
      </c>
      <c r="AA208">
        <v>0</v>
      </c>
      <c r="AB208">
        <v>0</v>
      </c>
      <c r="AC208">
        <v>0</v>
      </c>
      <c r="AD208">
        <v>0</v>
      </c>
      <c r="AE208">
        <v>0</v>
      </c>
      <c r="AF208">
        <v>0</v>
      </c>
      <c r="AG208">
        <v>0</v>
      </c>
      <c r="AH208">
        <v>0</v>
      </c>
      <c r="AI208">
        <v>0</v>
      </c>
      <c r="AJ208">
        <v>0</v>
      </c>
      <c r="AK208">
        <v>0</v>
      </c>
      <c r="AL208">
        <v>0</v>
      </c>
      <c r="AM208">
        <v>0</v>
      </c>
      <c r="AN208">
        <v>0</v>
      </c>
      <c r="AO208">
        <v>0</v>
      </c>
      <c r="AP208">
        <v>0</v>
      </c>
      <c r="AQ208">
        <v>0</v>
      </c>
      <c r="AR208">
        <v>0</v>
      </c>
      <c r="AS208">
        <v>0</v>
      </c>
      <c r="AT208">
        <v>0</v>
      </c>
      <c r="AU208">
        <v>0</v>
      </c>
      <c r="AV208">
        <v>0</v>
      </c>
      <c r="AW208">
        <v>0</v>
      </c>
      <c r="AX208">
        <v>0</v>
      </c>
      <c r="AY208">
        <v>0</v>
      </c>
      <c r="AZ208">
        <v>0</v>
      </c>
      <c r="BA208">
        <v>0</v>
      </c>
      <c r="BB208">
        <v>0</v>
      </c>
      <c r="BC208">
        <v>0</v>
      </c>
      <c r="BD208">
        <v>0</v>
      </c>
      <c r="BE208">
        <v>0</v>
      </c>
      <c r="BF208">
        <v>0</v>
      </c>
      <c r="BG208">
        <v>0</v>
      </c>
      <c r="BH208">
        <v>0</v>
      </c>
      <c r="BI208">
        <v>0</v>
      </c>
      <c r="BJ208">
        <v>0</v>
      </c>
      <c r="BK208">
        <v>0</v>
      </c>
      <c r="BL208">
        <v>0</v>
      </c>
      <c r="BM208">
        <v>0</v>
      </c>
      <c r="BN208">
        <v>0</v>
      </c>
      <c r="BO208">
        <v>0</v>
      </c>
      <c r="BP208">
        <v>0</v>
      </c>
      <c r="BQ208">
        <v>0</v>
      </c>
      <c r="BR208">
        <v>0</v>
      </c>
      <c r="BS208">
        <v>0</v>
      </c>
      <c r="BT208">
        <v>0</v>
      </c>
      <c r="BU208">
        <v>0</v>
      </c>
      <c r="BV208">
        <v>0</v>
      </c>
      <c r="BW208">
        <v>0</v>
      </c>
      <c r="BX208">
        <v>0</v>
      </c>
      <c r="BY208">
        <v>0</v>
      </c>
      <c r="BZ208">
        <v>0</v>
      </c>
      <c r="CA208">
        <v>0</v>
      </c>
      <c r="CB208">
        <v>0</v>
      </c>
      <c r="CC208">
        <v>0</v>
      </c>
      <c r="CD208">
        <v>0</v>
      </c>
      <c r="CE208">
        <v>0</v>
      </c>
      <c r="CF208">
        <v>0</v>
      </c>
      <c r="CG208">
        <v>0</v>
      </c>
      <c r="CH208">
        <v>0</v>
      </c>
      <c r="CI208">
        <v>0</v>
      </c>
      <c r="CJ208">
        <v>0</v>
      </c>
      <c r="CK208">
        <v>0</v>
      </c>
      <c r="CL208">
        <v>0</v>
      </c>
      <c r="CM208">
        <v>0</v>
      </c>
      <c r="CN208">
        <v>0</v>
      </c>
      <c r="CO208">
        <v>0</v>
      </c>
      <c r="CP208">
        <v>0</v>
      </c>
      <c r="CQ208">
        <v>0</v>
      </c>
      <c r="CR208">
        <v>0</v>
      </c>
      <c r="CS208">
        <v>0</v>
      </c>
      <c r="CT208">
        <v>0</v>
      </c>
      <c r="CU208">
        <v>0</v>
      </c>
      <c r="CV208">
        <v>0</v>
      </c>
      <c r="CW208">
        <v>0</v>
      </c>
      <c r="CX208">
        <v>0</v>
      </c>
      <c r="CY208">
        <v>0</v>
      </c>
      <c r="CZ208">
        <v>0</v>
      </c>
      <c r="DA208">
        <v>0</v>
      </c>
      <c r="DB208">
        <v>0</v>
      </c>
      <c r="DC208">
        <v>0</v>
      </c>
      <c r="DD208">
        <v>0</v>
      </c>
      <c r="DE208">
        <v>0</v>
      </c>
      <c r="DF208">
        <v>0</v>
      </c>
      <c r="DG208">
        <v>0</v>
      </c>
      <c r="DH208">
        <v>0</v>
      </c>
      <c r="DI208">
        <v>0</v>
      </c>
      <c r="DJ208">
        <v>0</v>
      </c>
      <c r="DK208">
        <v>0</v>
      </c>
      <c r="DL208">
        <v>0</v>
      </c>
      <c r="DM208">
        <v>0</v>
      </c>
      <c r="DN208">
        <v>0</v>
      </c>
      <c r="DO208">
        <v>0</v>
      </c>
      <c r="DP208">
        <v>0</v>
      </c>
      <c r="DQ208">
        <v>0</v>
      </c>
      <c r="DR208">
        <v>0</v>
      </c>
      <c r="DS208">
        <v>0</v>
      </c>
      <c r="DT208">
        <v>0</v>
      </c>
      <c r="DU208">
        <v>0</v>
      </c>
      <c r="DV208">
        <v>0</v>
      </c>
      <c r="DW208">
        <v>0</v>
      </c>
      <c r="DX208">
        <v>0</v>
      </c>
      <c r="DY208">
        <v>0</v>
      </c>
      <c r="DZ208">
        <v>0</v>
      </c>
      <c r="EA208">
        <v>0</v>
      </c>
      <c r="EB208">
        <v>0</v>
      </c>
      <c r="EC208">
        <v>0</v>
      </c>
      <c r="ED208">
        <v>0</v>
      </c>
      <c r="EE208">
        <v>0</v>
      </c>
      <c r="EF208">
        <v>0</v>
      </c>
      <c r="EG208">
        <v>0</v>
      </c>
      <c r="EH208">
        <v>0</v>
      </c>
      <c r="EI208">
        <v>0</v>
      </c>
      <c r="EJ208">
        <v>0</v>
      </c>
      <c r="EK208">
        <v>0</v>
      </c>
      <c r="EL208">
        <v>0</v>
      </c>
      <c r="EM208">
        <v>0</v>
      </c>
      <c r="EN208">
        <v>0</v>
      </c>
      <c r="EO208">
        <v>0</v>
      </c>
      <c r="EP208">
        <v>0</v>
      </c>
      <c r="EQ208">
        <v>0</v>
      </c>
      <c r="ER208">
        <v>0</v>
      </c>
      <c r="ES208">
        <v>0</v>
      </c>
      <c r="ET208">
        <v>0</v>
      </c>
      <c r="EU208">
        <v>0</v>
      </c>
      <c r="EV208">
        <v>0</v>
      </c>
      <c r="EW208">
        <v>0</v>
      </c>
      <c r="EX208">
        <v>0</v>
      </c>
      <c r="EY208">
        <v>0</v>
      </c>
      <c r="EZ208">
        <v>0</v>
      </c>
      <c r="FA208">
        <v>0</v>
      </c>
      <c r="FB208">
        <v>0</v>
      </c>
      <c r="FC208">
        <v>0</v>
      </c>
      <c r="FD208">
        <v>0</v>
      </c>
      <c r="FE208">
        <v>0</v>
      </c>
      <c r="FF208">
        <v>0</v>
      </c>
      <c r="FG208">
        <v>0</v>
      </c>
      <c r="FH208">
        <v>0</v>
      </c>
      <c r="FI208">
        <v>0</v>
      </c>
      <c r="FJ208">
        <v>0</v>
      </c>
      <c r="FK208">
        <v>0</v>
      </c>
      <c r="FL208">
        <v>0</v>
      </c>
      <c r="FM208">
        <v>0</v>
      </c>
      <c r="FN208">
        <v>0</v>
      </c>
      <c r="FO208">
        <v>0</v>
      </c>
      <c r="FP208">
        <v>0</v>
      </c>
      <c r="FQ208">
        <v>0</v>
      </c>
      <c r="FR208">
        <v>0</v>
      </c>
      <c r="FS208">
        <v>0</v>
      </c>
      <c r="FT208">
        <v>0</v>
      </c>
      <c r="FU208">
        <v>0</v>
      </c>
      <c r="FV208">
        <v>0</v>
      </c>
      <c r="FW208">
        <v>0</v>
      </c>
      <c r="FX208">
        <v>0</v>
      </c>
      <c r="FY208">
        <v>0</v>
      </c>
      <c r="FZ208">
        <v>0</v>
      </c>
      <c r="GA208">
        <v>0</v>
      </c>
      <c r="GB208">
        <v>0</v>
      </c>
      <c r="GC208">
        <v>0</v>
      </c>
      <c r="GD208">
        <v>0</v>
      </c>
      <c r="GE208">
        <v>0</v>
      </c>
      <c r="GF208">
        <v>0</v>
      </c>
      <c r="GG208">
        <v>0</v>
      </c>
      <c r="GH208">
        <v>0</v>
      </c>
      <c r="GI208">
        <v>0</v>
      </c>
      <c r="GJ208">
        <v>0</v>
      </c>
      <c r="GK208">
        <v>0</v>
      </c>
      <c r="GL208">
        <v>0</v>
      </c>
      <c r="GM208">
        <v>0</v>
      </c>
      <c r="GN208">
        <v>0</v>
      </c>
      <c r="GO208">
        <v>0</v>
      </c>
      <c r="GP208">
        <v>0</v>
      </c>
      <c r="GQ208">
        <v>0</v>
      </c>
      <c r="GR208">
        <v>0</v>
      </c>
      <c r="GS208">
        <v>0</v>
      </c>
      <c r="GT208">
        <v>0</v>
      </c>
      <c r="GU208">
        <v>0</v>
      </c>
      <c r="GV208">
        <v>0</v>
      </c>
      <c r="GW208">
        <v>0</v>
      </c>
      <c r="GX208">
        <v>2641</v>
      </c>
      <c r="GY208">
        <v>18927</v>
      </c>
      <c r="GZ208">
        <v>440</v>
      </c>
      <c r="HA208">
        <v>22009</v>
      </c>
      <c r="HB208">
        <v>283</v>
      </c>
      <c r="HC208">
        <v>0</v>
      </c>
      <c r="HD208">
        <v>0</v>
      </c>
      <c r="HE208">
        <v>0</v>
      </c>
      <c r="HF208">
        <v>0</v>
      </c>
      <c r="HG208">
        <v>0</v>
      </c>
      <c r="HH208">
        <v>0</v>
      </c>
      <c r="HI208">
        <v>0</v>
      </c>
      <c r="HJ208">
        <v>0</v>
      </c>
      <c r="HK208">
        <v>0</v>
      </c>
      <c r="HL208">
        <v>0</v>
      </c>
      <c r="HM208">
        <v>0</v>
      </c>
      <c r="HN208">
        <v>0</v>
      </c>
      <c r="HO208">
        <v>0</v>
      </c>
      <c r="HP208">
        <v>0</v>
      </c>
      <c r="HQ208">
        <v>0</v>
      </c>
      <c r="HR208">
        <v>0</v>
      </c>
      <c r="HS208">
        <v>0</v>
      </c>
      <c r="HT208">
        <v>0</v>
      </c>
      <c r="HU208">
        <v>14077</v>
      </c>
      <c r="HV208">
        <v>14360</v>
      </c>
      <c r="HW208">
        <v>0</v>
      </c>
      <c r="HX208">
        <v>0</v>
      </c>
      <c r="HY208">
        <v>0</v>
      </c>
      <c r="HZ208">
        <v>361</v>
      </c>
      <c r="IA208">
        <v>0</v>
      </c>
      <c r="IB208">
        <v>0</v>
      </c>
      <c r="IC208">
        <v>0</v>
      </c>
      <c r="ID208">
        <v>0</v>
      </c>
      <c r="IE208">
        <v>0</v>
      </c>
      <c r="IF208">
        <v>0</v>
      </c>
      <c r="IG208">
        <v>0</v>
      </c>
      <c r="IH208">
        <v>0</v>
      </c>
      <c r="II208">
        <v>0</v>
      </c>
      <c r="IJ208">
        <v>0</v>
      </c>
      <c r="IK208">
        <v>0</v>
      </c>
      <c r="IL208">
        <v>0</v>
      </c>
      <c r="IM208">
        <v>22009</v>
      </c>
      <c r="IN208">
        <v>14360</v>
      </c>
      <c r="IO208">
        <v>0</v>
      </c>
      <c r="IP208">
        <v>36369</v>
      </c>
      <c r="IQ208">
        <v>0</v>
      </c>
      <c r="IR208">
        <v>0</v>
      </c>
      <c r="IS208">
        <v>0</v>
      </c>
      <c r="IT208">
        <v>0</v>
      </c>
      <c r="IU208">
        <v>0</v>
      </c>
      <c r="IV208">
        <v>0</v>
      </c>
      <c r="IW208">
        <v>0</v>
      </c>
      <c r="IX208">
        <v>0</v>
      </c>
      <c r="IY208">
        <v>0</v>
      </c>
      <c r="IZ208">
        <v>0</v>
      </c>
      <c r="JA208">
        <v>0</v>
      </c>
      <c r="JB208">
        <v>0</v>
      </c>
      <c r="JC208">
        <v>0</v>
      </c>
      <c r="JD208">
        <v>0</v>
      </c>
      <c r="JE208">
        <v>-48</v>
      </c>
      <c r="JF208">
        <v>0</v>
      </c>
      <c r="JG208">
        <v>36321</v>
      </c>
      <c r="JH208">
        <v>0</v>
      </c>
      <c r="JI208">
        <v>2155</v>
      </c>
      <c r="JJ208">
        <v>0</v>
      </c>
      <c r="JK208">
        <v>0</v>
      </c>
      <c r="JL208">
        <v>0</v>
      </c>
      <c r="JM208">
        <v>0</v>
      </c>
      <c r="JN208">
        <v>824</v>
      </c>
      <c r="JO208">
        <v>23</v>
      </c>
      <c r="JP208">
        <v>549</v>
      </c>
      <c r="JQ208">
        <v>0</v>
      </c>
      <c r="JR208">
        <v>39872</v>
      </c>
      <c r="JS208">
        <v>-31</v>
      </c>
      <c r="JT208">
        <v>0</v>
      </c>
      <c r="JU208">
        <v>0</v>
      </c>
      <c r="JV208">
        <v>0</v>
      </c>
      <c r="JW208">
        <v>0</v>
      </c>
      <c r="JX208">
        <v>0</v>
      </c>
      <c r="JY208">
        <v>0</v>
      </c>
      <c r="JZ208">
        <v>0</v>
      </c>
      <c r="KA208">
        <v>0</v>
      </c>
      <c r="KB208">
        <v>0</v>
      </c>
      <c r="KC208">
        <v>39840</v>
      </c>
      <c r="KD208">
        <v>0</v>
      </c>
      <c r="KE208">
        <v>-3847</v>
      </c>
      <c r="KF208">
        <v>35993</v>
      </c>
      <c r="KG208">
        <v>0</v>
      </c>
      <c r="KH208">
        <v>0</v>
      </c>
      <c r="KI208">
        <v>0</v>
      </c>
      <c r="KJ208">
        <v>0</v>
      </c>
      <c r="KK208">
        <v>-76</v>
      </c>
      <c r="KL208">
        <v>400</v>
      </c>
      <c r="KM208">
        <v>-4342</v>
      </c>
      <c r="KN208">
        <v>0</v>
      </c>
      <c r="KO208">
        <v>-8905</v>
      </c>
      <c r="KP208">
        <v>151</v>
      </c>
      <c r="KQ208">
        <v>873</v>
      </c>
      <c r="KR208">
        <v>22816</v>
      </c>
      <c r="KS208">
        <v>0</v>
      </c>
      <c r="KT208">
        <v>0</v>
      </c>
      <c r="KU208">
        <v>0</v>
      </c>
      <c r="KV208">
        <v>19242</v>
      </c>
      <c r="KW208">
        <v>2588</v>
      </c>
      <c r="KX208">
        <v>0</v>
      </c>
      <c r="KY208">
        <v>0</v>
      </c>
      <c r="KZ208">
        <v>0</v>
      </c>
      <c r="LA208">
        <v>19166</v>
      </c>
      <c r="LB208">
        <v>2988</v>
      </c>
      <c r="LC208">
        <v>0</v>
      </c>
      <c r="LD208">
        <v>2153</v>
      </c>
      <c r="LE208">
        <v>0</v>
      </c>
      <c r="LF208">
        <v>-2263</v>
      </c>
      <c r="LG208">
        <v>0</v>
      </c>
      <c r="LH208">
        <v>0</v>
      </c>
      <c r="LI208">
        <v>-110</v>
      </c>
      <c r="LJ208">
        <v>0</v>
      </c>
      <c r="LK208">
        <v>0</v>
      </c>
      <c r="LL208">
        <v>0</v>
      </c>
      <c r="LM208">
        <v>0</v>
      </c>
      <c r="LN208">
        <v>0</v>
      </c>
      <c r="LO208">
        <v>0</v>
      </c>
      <c r="LP208">
        <v>0</v>
      </c>
      <c r="LQ208">
        <v>0</v>
      </c>
      <c r="LR208">
        <v>0</v>
      </c>
      <c r="LS208">
        <v>0</v>
      </c>
      <c r="LT208">
        <v>0</v>
      </c>
      <c r="LU208">
        <v>0</v>
      </c>
      <c r="LV208">
        <v>0</v>
      </c>
      <c r="LW208">
        <v>0</v>
      </c>
      <c r="LX208">
        <v>0</v>
      </c>
      <c r="LY208">
        <v>0</v>
      </c>
      <c r="LZ208">
        <v>0</v>
      </c>
      <c r="MA208">
        <v>0</v>
      </c>
      <c r="MB208">
        <v>0</v>
      </c>
      <c r="MC208">
        <v>0</v>
      </c>
      <c r="MD208">
        <v>0</v>
      </c>
      <c r="ME208">
        <v>22009</v>
      </c>
      <c r="MF208">
        <v>14360</v>
      </c>
      <c r="MG208">
        <v>0</v>
      </c>
      <c r="MH208">
        <v>36369</v>
      </c>
      <c r="MI208">
        <v>0</v>
      </c>
      <c r="MJ208">
        <v>0</v>
      </c>
      <c r="MK208">
        <v>0</v>
      </c>
      <c r="ML208">
        <v>0</v>
      </c>
      <c r="MM208">
        <v>0</v>
      </c>
      <c r="MN208">
        <v>0</v>
      </c>
      <c r="MO208">
        <v>0</v>
      </c>
      <c r="MP208">
        <v>0</v>
      </c>
      <c r="MQ208">
        <v>0</v>
      </c>
      <c r="MR208">
        <v>0</v>
      </c>
      <c r="MS208">
        <v>0</v>
      </c>
      <c r="MT208">
        <v>0</v>
      </c>
      <c r="MU208">
        <v>0</v>
      </c>
      <c r="MV208">
        <v>0</v>
      </c>
      <c r="MW208">
        <v>0</v>
      </c>
      <c r="MX208">
        <v>0</v>
      </c>
      <c r="MY208">
        <v>0</v>
      </c>
      <c r="MZ208">
        <v>0</v>
      </c>
      <c r="NA208">
        <v>0</v>
      </c>
      <c r="NB208">
        <v>0</v>
      </c>
      <c r="NC208">
        <v>0</v>
      </c>
      <c r="ND208">
        <v>0</v>
      </c>
      <c r="NE208">
        <v>0</v>
      </c>
      <c r="NF208">
        <v>0</v>
      </c>
      <c r="NG208">
        <v>0</v>
      </c>
      <c r="NH208">
        <v>0</v>
      </c>
      <c r="NI208">
        <v>0</v>
      </c>
      <c r="NJ208">
        <v>0</v>
      </c>
      <c r="NK208">
        <v>0</v>
      </c>
      <c r="NL208">
        <v>0</v>
      </c>
      <c r="NM208">
        <v>0</v>
      </c>
      <c r="NN208">
        <v>0</v>
      </c>
      <c r="NO208">
        <v>0</v>
      </c>
      <c r="NP208">
        <v>0</v>
      </c>
      <c r="NQ208">
        <v>0</v>
      </c>
      <c r="NR208">
        <v>0</v>
      </c>
      <c r="NS208">
        <v>0</v>
      </c>
      <c r="NT208">
        <v>0</v>
      </c>
      <c r="NU208">
        <v>0</v>
      </c>
      <c r="NV208">
        <v>0</v>
      </c>
      <c r="NW208">
        <v>0</v>
      </c>
      <c r="NX208">
        <v>0</v>
      </c>
      <c r="NY208">
        <v>0</v>
      </c>
      <c r="NZ208">
        <v>0</v>
      </c>
      <c r="OA208">
        <v>0</v>
      </c>
      <c r="OB208">
        <v>0</v>
      </c>
      <c r="OC208">
        <v>0</v>
      </c>
      <c r="OD208">
        <v>0</v>
      </c>
      <c r="OE208">
        <v>0</v>
      </c>
      <c r="OF208">
        <v>0</v>
      </c>
      <c r="OG208">
        <v>0</v>
      </c>
      <c r="OH208">
        <v>0</v>
      </c>
      <c r="OI208">
        <v>0</v>
      </c>
      <c r="OJ208">
        <v>0</v>
      </c>
      <c r="OK208">
        <v>0</v>
      </c>
      <c r="OL208">
        <v>0</v>
      </c>
      <c r="OM208">
        <v>0</v>
      </c>
      <c r="ON208">
        <v>0</v>
      </c>
    </row>
    <row r="209" spans="1:404" x14ac:dyDescent="0.25">
      <c r="A209" t="s">
        <v>692</v>
      </c>
      <c r="B209" t="s">
        <v>693</v>
      </c>
      <c r="C209" t="s">
        <v>691</v>
      </c>
      <c r="E209" t="s">
        <v>71</v>
      </c>
      <c r="F209">
        <v>0</v>
      </c>
      <c r="G209">
        <v>0</v>
      </c>
      <c r="H209">
        <v>0</v>
      </c>
      <c r="I209">
        <v>0</v>
      </c>
      <c r="J209">
        <v>0</v>
      </c>
      <c r="K209">
        <v>0</v>
      </c>
      <c r="L209">
        <v>0</v>
      </c>
      <c r="M209">
        <v>0</v>
      </c>
      <c r="N209">
        <v>0</v>
      </c>
      <c r="O209">
        <v>0</v>
      </c>
      <c r="P209">
        <v>0</v>
      </c>
      <c r="Q209">
        <v>0</v>
      </c>
      <c r="R209">
        <v>0</v>
      </c>
      <c r="S209">
        <v>0</v>
      </c>
      <c r="T209">
        <v>0</v>
      </c>
      <c r="U209">
        <v>0</v>
      </c>
      <c r="V209">
        <v>0</v>
      </c>
      <c r="W209">
        <v>0</v>
      </c>
      <c r="X209">
        <v>0</v>
      </c>
      <c r="Y209">
        <v>0</v>
      </c>
      <c r="Z209">
        <v>0</v>
      </c>
      <c r="AA209">
        <v>0</v>
      </c>
      <c r="AB209">
        <v>0</v>
      </c>
      <c r="AC209">
        <v>0</v>
      </c>
      <c r="AD209">
        <v>0</v>
      </c>
      <c r="AE209">
        <v>0</v>
      </c>
      <c r="AF209">
        <v>0</v>
      </c>
      <c r="AG209">
        <v>0</v>
      </c>
      <c r="AH209">
        <v>0</v>
      </c>
      <c r="AI209">
        <v>0</v>
      </c>
      <c r="AJ209">
        <v>0</v>
      </c>
      <c r="AK209">
        <v>0</v>
      </c>
      <c r="AL209">
        <v>0</v>
      </c>
      <c r="AM209">
        <v>0</v>
      </c>
      <c r="AN209">
        <v>0</v>
      </c>
      <c r="AO209">
        <v>0</v>
      </c>
      <c r="AP209">
        <v>0</v>
      </c>
      <c r="AQ209">
        <v>0</v>
      </c>
      <c r="AR209">
        <v>0</v>
      </c>
      <c r="AS209">
        <v>0</v>
      </c>
      <c r="AT209">
        <v>0</v>
      </c>
      <c r="AU209">
        <v>0</v>
      </c>
      <c r="AV209">
        <v>0</v>
      </c>
      <c r="AW209">
        <v>0</v>
      </c>
      <c r="AX209">
        <v>0</v>
      </c>
      <c r="AY209">
        <v>0</v>
      </c>
      <c r="AZ209">
        <v>0</v>
      </c>
      <c r="BA209">
        <v>0</v>
      </c>
      <c r="BB209">
        <v>0</v>
      </c>
      <c r="BC209">
        <v>0</v>
      </c>
      <c r="BD209">
        <v>0</v>
      </c>
      <c r="BE209">
        <v>0</v>
      </c>
      <c r="BF209">
        <v>0</v>
      </c>
      <c r="BG209">
        <v>0</v>
      </c>
      <c r="BH209">
        <v>0</v>
      </c>
      <c r="BI209">
        <v>0</v>
      </c>
      <c r="BJ209">
        <v>0</v>
      </c>
      <c r="BK209">
        <v>0</v>
      </c>
      <c r="BL209">
        <v>0</v>
      </c>
      <c r="BM209">
        <v>0</v>
      </c>
      <c r="BN209">
        <v>0</v>
      </c>
      <c r="BO209">
        <v>0</v>
      </c>
      <c r="BP209">
        <v>0</v>
      </c>
      <c r="BQ209">
        <v>0</v>
      </c>
      <c r="BR209">
        <v>0</v>
      </c>
      <c r="BS209">
        <v>0</v>
      </c>
      <c r="BT209">
        <v>0</v>
      </c>
      <c r="BU209">
        <v>0</v>
      </c>
      <c r="BV209">
        <v>0</v>
      </c>
      <c r="BW209">
        <v>0</v>
      </c>
      <c r="BX209">
        <v>0</v>
      </c>
      <c r="BY209">
        <v>0</v>
      </c>
      <c r="BZ209">
        <v>0</v>
      </c>
      <c r="CA209">
        <v>0</v>
      </c>
      <c r="CB209">
        <v>0</v>
      </c>
      <c r="CC209">
        <v>0</v>
      </c>
      <c r="CD209">
        <v>0</v>
      </c>
      <c r="CE209">
        <v>0</v>
      </c>
      <c r="CF209">
        <v>0</v>
      </c>
      <c r="CG209">
        <v>0</v>
      </c>
      <c r="CH209">
        <v>0</v>
      </c>
      <c r="CI209">
        <v>0</v>
      </c>
      <c r="CJ209">
        <v>0</v>
      </c>
      <c r="CK209">
        <v>0</v>
      </c>
      <c r="CL209">
        <v>0</v>
      </c>
      <c r="CM209">
        <v>0</v>
      </c>
      <c r="CN209">
        <v>0</v>
      </c>
      <c r="CO209">
        <v>0</v>
      </c>
      <c r="CP209">
        <v>0</v>
      </c>
      <c r="CQ209">
        <v>0</v>
      </c>
      <c r="CR209">
        <v>0</v>
      </c>
      <c r="CS209">
        <v>0</v>
      </c>
      <c r="CT209">
        <v>0</v>
      </c>
      <c r="CU209">
        <v>0</v>
      </c>
      <c r="CV209">
        <v>0</v>
      </c>
      <c r="CW209">
        <v>0</v>
      </c>
      <c r="CX209">
        <v>0</v>
      </c>
      <c r="CY209">
        <v>0</v>
      </c>
      <c r="CZ209">
        <v>0</v>
      </c>
      <c r="DA209">
        <v>0</v>
      </c>
      <c r="DB209">
        <v>0</v>
      </c>
      <c r="DC209">
        <v>0</v>
      </c>
      <c r="DD209">
        <v>0</v>
      </c>
      <c r="DE209">
        <v>0</v>
      </c>
      <c r="DF209">
        <v>0</v>
      </c>
      <c r="DG209">
        <v>0</v>
      </c>
      <c r="DH209">
        <v>0</v>
      </c>
      <c r="DI209">
        <v>0</v>
      </c>
      <c r="DJ209">
        <v>0</v>
      </c>
      <c r="DK209">
        <v>0</v>
      </c>
      <c r="DL209">
        <v>0</v>
      </c>
      <c r="DM209">
        <v>0</v>
      </c>
      <c r="DN209">
        <v>0</v>
      </c>
      <c r="DO209">
        <v>0</v>
      </c>
      <c r="DP209">
        <v>0</v>
      </c>
      <c r="DQ209">
        <v>0</v>
      </c>
      <c r="DR209">
        <v>0</v>
      </c>
      <c r="DS209">
        <v>0</v>
      </c>
      <c r="DT209">
        <v>0</v>
      </c>
      <c r="DU209">
        <v>0</v>
      </c>
      <c r="DV209">
        <v>0</v>
      </c>
      <c r="DW209">
        <v>0</v>
      </c>
      <c r="DX209">
        <v>0</v>
      </c>
      <c r="DY209">
        <v>0</v>
      </c>
      <c r="DZ209">
        <v>0</v>
      </c>
      <c r="EA209">
        <v>0</v>
      </c>
      <c r="EB209">
        <v>0</v>
      </c>
      <c r="EC209">
        <v>0</v>
      </c>
      <c r="ED209">
        <v>0</v>
      </c>
      <c r="EE209">
        <v>0</v>
      </c>
      <c r="EF209">
        <v>0</v>
      </c>
      <c r="EG209">
        <v>0</v>
      </c>
      <c r="EH209">
        <v>0</v>
      </c>
      <c r="EI209">
        <v>0</v>
      </c>
      <c r="EJ209">
        <v>0</v>
      </c>
      <c r="EK209">
        <v>0</v>
      </c>
      <c r="EL209">
        <v>0</v>
      </c>
      <c r="EM209">
        <v>0</v>
      </c>
      <c r="EN209">
        <v>0</v>
      </c>
      <c r="EO209">
        <v>0</v>
      </c>
      <c r="EP209">
        <v>0</v>
      </c>
      <c r="EQ209">
        <v>0</v>
      </c>
      <c r="ER209">
        <v>0</v>
      </c>
      <c r="ES209">
        <v>0</v>
      </c>
      <c r="ET209">
        <v>0</v>
      </c>
      <c r="EU209">
        <v>0</v>
      </c>
      <c r="EV209">
        <v>0</v>
      </c>
      <c r="EW209">
        <v>0</v>
      </c>
      <c r="EX209">
        <v>0</v>
      </c>
      <c r="EY209">
        <v>0</v>
      </c>
      <c r="EZ209">
        <v>0</v>
      </c>
      <c r="FA209">
        <v>0</v>
      </c>
      <c r="FB209">
        <v>0</v>
      </c>
      <c r="FC209">
        <v>0</v>
      </c>
      <c r="FD209">
        <v>0</v>
      </c>
      <c r="FE209">
        <v>0</v>
      </c>
      <c r="FF209">
        <v>0</v>
      </c>
      <c r="FG209">
        <v>0</v>
      </c>
      <c r="FH209">
        <v>0</v>
      </c>
      <c r="FI209">
        <v>0</v>
      </c>
      <c r="FJ209">
        <v>0</v>
      </c>
      <c r="FK209">
        <v>0</v>
      </c>
      <c r="FL209">
        <v>0</v>
      </c>
      <c r="FM209">
        <v>0</v>
      </c>
      <c r="FN209">
        <v>0</v>
      </c>
      <c r="FO209">
        <v>0</v>
      </c>
      <c r="FP209">
        <v>0</v>
      </c>
      <c r="FQ209">
        <v>0</v>
      </c>
      <c r="FR209">
        <v>0</v>
      </c>
      <c r="FS209">
        <v>0</v>
      </c>
      <c r="FT209">
        <v>0</v>
      </c>
      <c r="FU209">
        <v>0</v>
      </c>
      <c r="FV209">
        <v>0</v>
      </c>
      <c r="FW209">
        <v>0</v>
      </c>
      <c r="FX209">
        <v>0</v>
      </c>
      <c r="FY209">
        <v>0</v>
      </c>
      <c r="FZ209">
        <v>0</v>
      </c>
      <c r="GA209">
        <v>0</v>
      </c>
      <c r="GB209">
        <v>0</v>
      </c>
      <c r="GC209">
        <v>0</v>
      </c>
      <c r="GD209">
        <v>0</v>
      </c>
      <c r="GE209">
        <v>0</v>
      </c>
      <c r="GF209">
        <v>0</v>
      </c>
      <c r="GG209">
        <v>0</v>
      </c>
      <c r="GH209">
        <v>0</v>
      </c>
      <c r="GI209">
        <v>0</v>
      </c>
      <c r="GJ209">
        <v>0</v>
      </c>
      <c r="GK209">
        <v>0</v>
      </c>
      <c r="GL209">
        <v>0</v>
      </c>
      <c r="GM209">
        <v>0</v>
      </c>
      <c r="GN209">
        <v>0</v>
      </c>
      <c r="GO209">
        <v>0</v>
      </c>
      <c r="GP209">
        <v>0</v>
      </c>
      <c r="GQ209">
        <v>0</v>
      </c>
      <c r="GR209">
        <v>0</v>
      </c>
      <c r="GS209">
        <v>0</v>
      </c>
      <c r="GT209">
        <v>0</v>
      </c>
      <c r="GU209">
        <v>0</v>
      </c>
      <c r="GV209">
        <v>0</v>
      </c>
      <c r="GW209">
        <v>213558</v>
      </c>
      <c r="GX209">
        <v>0</v>
      </c>
      <c r="GY209">
        <v>0</v>
      </c>
      <c r="GZ209">
        <v>0</v>
      </c>
      <c r="HA209">
        <v>0</v>
      </c>
      <c r="HB209">
        <v>1403</v>
      </c>
      <c r="HC209">
        <v>0</v>
      </c>
      <c r="HD209">
        <v>0</v>
      </c>
      <c r="HE209">
        <v>0</v>
      </c>
      <c r="HF209">
        <v>0</v>
      </c>
      <c r="HG209">
        <v>0</v>
      </c>
      <c r="HH209">
        <v>0</v>
      </c>
      <c r="HI209">
        <v>0</v>
      </c>
      <c r="HJ209">
        <v>0</v>
      </c>
      <c r="HK209">
        <v>0</v>
      </c>
      <c r="HL209">
        <v>0</v>
      </c>
      <c r="HM209">
        <v>0</v>
      </c>
      <c r="HN209">
        <v>0</v>
      </c>
      <c r="HO209">
        <v>0</v>
      </c>
      <c r="HP209">
        <v>0</v>
      </c>
      <c r="HQ209">
        <v>0</v>
      </c>
      <c r="HR209">
        <v>0</v>
      </c>
      <c r="HS209">
        <v>0</v>
      </c>
      <c r="HT209">
        <v>0</v>
      </c>
      <c r="HU209">
        <v>0</v>
      </c>
      <c r="HV209">
        <v>1403</v>
      </c>
      <c r="HW209">
        <v>0</v>
      </c>
      <c r="HX209">
        <v>0</v>
      </c>
      <c r="HY209">
        <v>0</v>
      </c>
      <c r="HZ209">
        <v>0</v>
      </c>
      <c r="IA209">
        <v>0</v>
      </c>
      <c r="IB209">
        <v>0</v>
      </c>
      <c r="IC209">
        <v>0</v>
      </c>
      <c r="ID209">
        <v>0</v>
      </c>
      <c r="IE209">
        <v>0</v>
      </c>
      <c r="IF209">
        <v>0</v>
      </c>
      <c r="IG209">
        <v>0</v>
      </c>
      <c r="IH209">
        <v>0</v>
      </c>
      <c r="II209">
        <v>0</v>
      </c>
      <c r="IJ209">
        <v>0</v>
      </c>
      <c r="IK209">
        <v>0</v>
      </c>
      <c r="IL209">
        <v>213558</v>
      </c>
      <c r="IM209">
        <v>0</v>
      </c>
      <c r="IN209">
        <v>1403</v>
      </c>
      <c r="IO209">
        <v>0</v>
      </c>
      <c r="IP209">
        <v>214961</v>
      </c>
      <c r="IQ209">
        <v>0</v>
      </c>
      <c r="IR209">
        <v>0</v>
      </c>
      <c r="IS209">
        <v>0</v>
      </c>
      <c r="IT209">
        <v>0</v>
      </c>
      <c r="IU209">
        <v>0</v>
      </c>
      <c r="IV209">
        <v>0</v>
      </c>
      <c r="IW209">
        <v>0</v>
      </c>
      <c r="IX209">
        <v>0</v>
      </c>
      <c r="IY209">
        <v>0</v>
      </c>
      <c r="IZ209">
        <v>0</v>
      </c>
      <c r="JA209">
        <v>0</v>
      </c>
      <c r="JB209">
        <v>0</v>
      </c>
      <c r="JC209">
        <v>0</v>
      </c>
      <c r="JD209">
        <v>0</v>
      </c>
      <c r="JE209">
        <v>135</v>
      </c>
      <c r="JF209">
        <v>0</v>
      </c>
      <c r="JG209">
        <v>215096</v>
      </c>
      <c r="JH209">
        <v>0</v>
      </c>
      <c r="JI209">
        <v>1273</v>
      </c>
      <c r="JJ209">
        <v>0</v>
      </c>
      <c r="JK209">
        <v>0</v>
      </c>
      <c r="JL209">
        <v>0</v>
      </c>
      <c r="JM209">
        <v>2</v>
      </c>
      <c r="JN209">
        <v>3070</v>
      </c>
      <c r="JO209">
        <v>0</v>
      </c>
      <c r="JP209">
        <v>519</v>
      </c>
      <c r="JQ209">
        <v>0</v>
      </c>
      <c r="JR209">
        <v>219960</v>
      </c>
      <c r="JS209">
        <v>-10</v>
      </c>
      <c r="JT209">
        <v>0</v>
      </c>
      <c r="JU209">
        <v>0</v>
      </c>
      <c r="JV209">
        <v>0</v>
      </c>
      <c r="JW209">
        <v>0</v>
      </c>
      <c r="JX209">
        <v>0</v>
      </c>
      <c r="JY209">
        <v>0</v>
      </c>
      <c r="JZ209">
        <v>0</v>
      </c>
      <c r="KA209">
        <v>0</v>
      </c>
      <c r="KB209">
        <v>0</v>
      </c>
      <c r="KC209">
        <v>219950</v>
      </c>
      <c r="KD209">
        <v>0</v>
      </c>
      <c r="KE209">
        <v>-9647</v>
      </c>
      <c r="KF209">
        <v>210303</v>
      </c>
      <c r="KG209">
        <v>0</v>
      </c>
      <c r="KH209">
        <v>0</v>
      </c>
      <c r="KI209">
        <v>0</v>
      </c>
      <c r="KJ209">
        <v>0</v>
      </c>
      <c r="KK209">
        <v>2183</v>
      </c>
      <c r="KL209">
        <v>0</v>
      </c>
      <c r="KM209">
        <v>0</v>
      </c>
      <c r="KN209">
        <v>-129772</v>
      </c>
      <c r="KO209">
        <v>0</v>
      </c>
      <c r="KP209">
        <v>167</v>
      </c>
      <c r="KQ209">
        <v>0</v>
      </c>
      <c r="KR209">
        <v>81739</v>
      </c>
      <c r="KS209">
        <v>0</v>
      </c>
      <c r="KT209">
        <v>0</v>
      </c>
      <c r="KU209">
        <v>0</v>
      </c>
      <c r="KV209">
        <v>24890</v>
      </c>
      <c r="KW209">
        <v>5000</v>
      </c>
      <c r="KX209">
        <v>0</v>
      </c>
      <c r="KY209">
        <v>0</v>
      </c>
      <c r="KZ209">
        <v>0</v>
      </c>
      <c r="LA209">
        <v>27073</v>
      </c>
      <c r="LB209">
        <v>5000</v>
      </c>
      <c r="LC209">
        <v>0</v>
      </c>
      <c r="LD209">
        <v>6359</v>
      </c>
      <c r="LE209">
        <v>0</v>
      </c>
      <c r="LF209">
        <v>-376</v>
      </c>
      <c r="LG209">
        <v>-635</v>
      </c>
      <c r="LH209">
        <v>146</v>
      </c>
      <c r="LI209">
        <v>5494</v>
      </c>
      <c r="LJ209">
        <v>0</v>
      </c>
      <c r="LK209">
        <v>0</v>
      </c>
      <c r="LL209">
        <v>0</v>
      </c>
      <c r="LM209">
        <v>0</v>
      </c>
      <c r="LN209">
        <v>0</v>
      </c>
      <c r="LO209">
        <v>0</v>
      </c>
      <c r="LP209">
        <v>0</v>
      </c>
      <c r="LQ209">
        <v>0</v>
      </c>
      <c r="LR209">
        <v>0</v>
      </c>
      <c r="LS209">
        <v>0</v>
      </c>
      <c r="LT209">
        <v>0</v>
      </c>
      <c r="LU209">
        <v>0</v>
      </c>
      <c r="LV209">
        <v>0</v>
      </c>
      <c r="LW209">
        <v>0</v>
      </c>
      <c r="LX209">
        <v>0</v>
      </c>
      <c r="LY209">
        <v>0</v>
      </c>
      <c r="LZ209">
        <v>0</v>
      </c>
      <c r="MA209">
        <v>0</v>
      </c>
      <c r="MB209">
        <v>0</v>
      </c>
      <c r="MC209">
        <v>0</v>
      </c>
      <c r="MD209">
        <v>213558</v>
      </c>
      <c r="ME209">
        <v>0</v>
      </c>
      <c r="MF209">
        <v>1403</v>
      </c>
      <c r="MG209">
        <v>0</v>
      </c>
      <c r="MH209">
        <v>214961</v>
      </c>
      <c r="MI209">
        <v>0</v>
      </c>
      <c r="MJ209">
        <v>0</v>
      </c>
      <c r="MK209">
        <v>0</v>
      </c>
      <c r="ML209">
        <v>0</v>
      </c>
      <c r="MM209">
        <v>0</v>
      </c>
      <c r="MN209">
        <v>0</v>
      </c>
      <c r="MO209">
        <v>0</v>
      </c>
      <c r="MP209">
        <v>0</v>
      </c>
      <c r="MQ209">
        <v>0</v>
      </c>
      <c r="MR209">
        <v>0</v>
      </c>
      <c r="MS209">
        <v>0</v>
      </c>
      <c r="MT209">
        <v>0</v>
      </c>
      <c r="MU209">
        <v>0</v>
      </c>
      <c r="MV209">
        <v>0</v>
      </c>
      <c r="MW209">
        <v>0</v>
      </c>
      <c r="MX209">
        <v>0</v>
      </c>
      <c r="MY209">
        <v>0</v>
      </c>
      <c r="MZ209">
        <v>0</v>
      </c>
      <c r="NA209">
        <v>0</v>
      </c>
      <c r="NB209">
        <v>0</v>
      </c>
      <c r="NC209">
        <v>0</v>
      </c>
      <c r="ND209">
        <v>0</v>
      </c>
      <c r="NE209">
        <v>0</v>
      </c>
      <c r="NF209">
        <v>0</v>
      </c>
      <c r="NG209">
        <v>0</v>
      </c>
      <c r="NH209">
        <v>0</v>
      </c>
      <c r="NI209">
        <v>0</v>
      </c>
      <c r="NJ209">
        <v>0</v>
      </c>
      <c r="NK209">
        <v>0</v>
      </c>
      <c r="NL209">
        <v>0</v>
      </c>
      <c r="NM209">
        <v>0</v>
      </c>
      <c r="NN209">
        <v>0</v>
      </c>
      <c r="NO209">
        <v>0</v>
      </c>
      <c r="NP209">
        <v>0</v>
      </c>
      <c r="NQ209">
        <v>0</v>
      </c>
      <c r="NR209">
        <v>0</v>
      </c>
      <c r="NS209">
        <v>0</v>
      </c>
      <c r="NT209">
        <v>0</v>
      </c>
      <c r="NU209">
        <v>0</v>
      </c>
      <c r="NV209">
        <v>0</v>
      </c>
      <c r="NW209">
        <v>0</v>
      </c>
      <c r="NX209">
        <v>0</v>
      </c>
      <c r="NY209">
        <v>0</v>
      </c>
      <c r="NZ209">
        <v>0</v>
      </c>
      <c r="OA209">
        <v>0</v>
      </c>
      <c r="OB209">
        <v>0</v>
      </c>
      <c r="OC209">
        <v>0</v>
      </c>
      <c r="OD209">
        <v>0</v>
      </c>
      <c r="OE209">
        <v>0</v>
      </c>
      <c r="OF209">
        <v>0</v>
      </c>
      <c r="OG209">
        <v>0</v>
      </c>
      <c r="OH209">
        <v>0</v>
      </c>
      <c r="OI209">
        <v>0</v>
      </c>
      <c r="OJ209">
        <v>0</v>
      </c>
      <c r="OK209">
        <v>0</v>
      </c>
      <c r="OL209">
        <v>0</v>
      </c>
      <c r="OM209">
        <v>0</v>
      </c>
      <c r="ON209">
        <v>0</v>
      </c>
    </row>
    <row r="210" spans="1:404" x14ac:dyDescent="0.25">
      <c r="A210" t="s">
        <v>695</v>
      </c>
      <c r="B210" t="s">
        <v>696</v>
      </c>
      <c r="C210" t="s">
        <v>694</v>
      </c>
      <c r="E210" t="s">
        <v>61</v>
      </c>
    </row>
    <row r="211" spans="1:404" x14ac:dyDescent="0.25">
      <c r="A211" t="s">
        <v>698</v>
      </c>
      <c r="B211" t="s">
        <v>699</v>
      </c>
      <c r="C211" t="s">
        <v>697</v>
      </c>
      <c r="E211" t="s">
        <v>1940</v>
      </c>
      <c r="F211">
        <v>27773</v>
      </c>
      <c r="G211">
        <v>139586</v>
      </c>
      <c r="H211">
        <v>65746</v>
      </c>
      <c r="I211">
        <v>97029</v>
      </c>
      <c r="J211">
        <v>5072</v>
      </c>
      <c r="K211">
        <v>9331</v>
      </c>
      <c r="L211">
        <v>344537</v>
      </c>
      <c r="M211">
        <v>767</v>
      </c>
      <c r="N211">
        <v>0</v>
      </c>
      <c r="O211">
        <v>53</v>
      </c>
      <c r="P211">
        <v>613</v>
      </c>
      <c r="Q211">
        <v>84</v>
      </c>
      <c r="R211">
        <v>54</v>
      </c>
      <c r="S211">
        <v>963</v>
      </c>
      <c r="T211">
        <v>170</v>
      </c>
      <c r="U211">
        <v>-2599</v>
      </c>
      <c r="V211">
        <v>0</v>
      </c>
      <c r="W211">
        <v>0</v>
      </c>
      <c r="X211">
        <v>-1115</v>
      </c>
      <c r="Y211">
        <v>877</v>
      </c>
      <c r="Z211">
        <v>-7313</v>
      </c>
      <c r="AA211">
        <v>-129</v>
      </c>
      <c r="AB211">
        <v>10411</v>
      </c>
      <c r="AC211">
        <v>0</v>
      </c>
      <c r="AD211">
        <v>0</v>
      </c>
      <c r="AE211">
        <v>0</v>
      </c>
      <c r="AF211">
        <v>0</v>
      </c>
      <c r="AG211">
        <v>0</v>
      </c>
      <c r="AH211">
        <v>0</v>
      </c>
      <c r="AI211">
        <v>2836</v>
      </c>
      <c r="AJ211">
        <v>0</v>
      </c>
      <c r="AK211">
        <v>0</v>
      </c>
      <c r="AL211">
        <v>0</v>
      </c>
      <c r="AM211">
        <v>0</v>
      </c>
      <c r="AN211">
        <v>0</v>
      </c>
      <c r="AO211">
        <v>0</v>
      </c>
      <c r="AP211">
        <v>0</v>
      </c>
      <c r="AQ211">
        <v>7820</v>
      </c>
      <c r="AR211">
        <v>0</v>
      </c>
      <c r="AS211">
        <v>0</v>
      </c>
      <c r="AT211">
        <v>0</v>
      </c>
      <c r="AU211">
        <v>0</v>
      </c>
      <c r="AV211">
        <v>7</v>
      </c>
      <c r="AW211">
        <v>47492</v>
      </c>
      <c r="AX211">
        <v>566</v>
      </c>
      <c r="AY211">
        <v>12921</v>
      </c>
      <c r="AZ211">
        <v>1302</v>
      </c>
      <c r="BA211">
        <v>10315</v>
      </c>
      <c r="BB211">
        <v>1577</v>
      </c>
      <c r="BC211">
        <v>2376</v>
      </c>
      <c r="BD211">
        <v>76556</v>
      </c>
      <c r="BE211">
        <v>6942</v>
      </c>
      <c r="BF211">
        <v>22087</v>
      </c>
      <c r="BG211">
        <v>193</v>
      </c>
      <c r="BH211">
        <v>133</v>
      </c>
      <c r="BI211">
        <v>125</v>
      </c>
      <c r="BJ211">
        <v>1490</v>
      </c>
      <c r="BK211">
        <v>25621</v>
      </c>
      <c r="BL211">
        <v>-543</v>
      </c>
      <c r="BM211">
        <v>1959</v>
      </c>
      <c r="BN211">
        <v>4488</v>
      </c>
      <c r="BO211">
        <v>0</v>
      </c>
      <c r="BP211">
        <v>72</v>
      </c>
      <c r="BQ211">
        <v>0</v>
      </c>
      <c r="BR211">
        <v>82</v>
      </c>
      <c r="BS211">
        <v>481</v>
      </c>
      <c r="BT211">
        <v>11434</v>
      </c>
      <c r="BU211">
        <v>1035</v>
      </c>
      <c r="BV211">
        <v>10552</v>
      </c>
      <c r="BW211">
        <v>86151</v>
      </c>
      <c r="BX211">
        <v>4153</v>
      </c>
      <c r="BY211">
        <v>2045</v>
      </c>
      <c r="BZ211">
        <v>210</v>
      </c>
      <c r="CA211">
        <v>364</v>
      </c>
      <c r="CB211">
        <v>18</v>
      </c>
      <c r="CC211">
        <v>7002</v>
      </c>
      <c r="CD211">
        <v>0</v>
      </c>
      <c r="CE211">
        <v>64</v>
      </c>
      <c r="CF211">
        <v>344</v>
      </c>
      <c r="CG211">
        <v>684</v>
      </c>
      <c r="CH211">
        <v>0</v>
      </c>
      <c r="CI211">
        <v>2038</v>
      </c>
      <c r="CJ211">
        <v>255</v>
      </c>
      <c r="CK211">
        <v>1015</v>
      </c>
      <c r="CL211">
        <v>477</v>
      </c>
      <c r="CM211">
        <v>117</v>
      </c>
      <c r="CN211">
        <v>609</v>
      </c>
      <c r="CO211">
        <v>0</v>
      </c>
      <c r="CP211">
        <v>196</v>
      </c>
      <c r="CQ211">
        <v>1227</v>
      </c>
      <c r="CR211">
        <v>567</v>
      </c>
      <c r="CS211">
        <v>0</v>
      </c>
      <c r="CT211">
        <v>349</v>
      </c>
      <c r="CU211">
        <v>1743</v>
      </c>
      <c r="CV211">
        <v>25352</v>
      </c>
      <c r="CW211">
        <v>0</v>
      </c>
      <c r="CX211">
        <v>0</v>
      </c>
      <c r="CY211">
        <v>0</v>
      </c>
      <c r="CZ211">
        <v>0</v>
      </c>
      <c r="DA211">
        <v>0</v>
      </c>
      <c r="DB211">
        <v>0</v>
      </c>
      <c r="DC211">
        <v>-598</v>
      </c>
      <c r="DD211">
        <v>0</v>
      </c>
      <c r="DE211">
        <v>2312</v>
      </c>
      <c r="DF211">
        <v>722</v>
      </c>
      <c r="DG211">
        <v>2479</v>
      </c>
      <c r="DH211">
        <v>3359</v>
      </c>
      <c r="DI211">
        <v>-408</v>
      </c>
      <c r="DJ211">
        <v>5671</v>
      </c>
      <c r="DK211">
        <v>-2067</v>
      </c>
      <c r="DL211">
        <v>0</v>
      </c>
      <c r="DM211">
        <v>0</v>
      </c>
      <c r="DN211">
        <v>3340</v>
      </c>
      <c r="DO211">
        <v>0</v>
      </c>
      <c r="DP211">
        <v>12374</v>
      </c>
      <c r="DQ211">
        <v>162</v>
      </c>
      <c r="DR211">
        <v>0</v>
      </c>
      <c r="DS211">
        <v>0</v>
      </c>
      <c r="DT211">
        <v>1181</v>
      </c>
      <c r="DU211">
        <v>441</v>
      </c>
      <c r="DV211">
        <v>5181</v>
      </c>
      <c r="DW211">
        <v>0</v>
      </c>
      <c r="DX211">
        <v>21775</v>
      </c>
      <c r="DY211">
        <v>70248</v>
      </c>
      <c r="DZ211">
        <v>3604</v>
      </c>
      <c r="EA211">
        <v>13472</v>
      </c>
      <c r="EB211">
        <v>3825</v>
      </c>
      <c r="EC211">
        <v>19863</v>
      </c>
      <c r="ED211">
        <v>178</v>
      </c>
      <c r="EE211">
        <v>0</v>
      </c>
      <c r="EF211">
        <v>0</v>
      </c>
      <c r="EG211">
        <v>0</v>
      </c>
      <c r="EH211">
        <v>77443</v>
      </c>
      <c r="EI211">
        <v>44543</v>
      </c>
      <c r="EJ211">
        <v>0</v>
      </c>
      <c r="EK211">
        <v>235</v>
      </c>
      <c r="EL211">
        <v>5021</v>
      </c>
      <c r="EM211">
        <v>0</v>
      </c>
      <c r="EN211">
        <v>0</v>
      </c>
      <c r="EO211">
        <v>19</v>
      </c>
      <c r="EP211">
        <v>0</v>
      </c>
      <c r="EQ211">
        <v>25293</v>
      </c>
      <c r="ER211">
        <v>3298</v>
      </c>
      <c r="ES211">
        <v>74978</v>
      </c>
      <c r="ET211">
        <v>30316</v>
      </c>
      <c r="EU211">
        <v>103</v>
      </c>
      <c r="EV211">
        <v>21</v>
      </c>
      <c r="EW211">
        <v>0</v>
      </c>
      <c r="EX211">
        <v>0</v>
      </c>
      <c r="EY211">
        <v>182</v>
      </c>
      <c r="EZ211">
        <v>300</v>
      </c>
      <c r="FA211">
        <v>0</v>
      </c>
      <c r="FB211">
        <v>317</v>
      </c>
      <c r="FC211">
        <v>1240</v>
      </c>
      <c r="FD211">
        <v>3299</v>
      </c>
      <c r="FE211">
        <v>3</v>
      </c>
      <c r="FF211">
        <v>0</v>
      </c>
      <c r="FG211">
        <v>2965</v>
      </c>
      <c r="FH211">
        <v>8430</v>
      </c>
      <c r="FI211">
        <v>-393</v>
      </c>
      <c r="FJ211">
        <v>0</v>
      </c>
      <c r="FK211">
        <v>0</v>
      </c>
      <c r="FL211">
        <v>618</v>
      </c>
      <c r="FM211">
        <v>290</v>
      </c>
      <c r="FN211">
        <v>0</v>
      </c>
      <c r="FO211">
        <v>0</v>
      </c>
      <c r="FP211">
        <v>0</v>
      </c>
      <c r="FQ211">
        <v>0</v>
      </c>
      <c r="FR211">
        <v>-37</v>
      </c>
      <c r="FS211">
        <v>44</v>
      </c>
      <c r="FT211">
        <v>123</v>
      </c>
      <c r="FU211">
        <v>-348</v>
      </c>
      <c r="FV211">
        <v>2267</v>
      </c>
      <c r="FW211">
        <v>0</v>
      </c>
      <c r="FX211">
        <v>215</v>
      </c>
      <c r="FY211">
        <v>139</v>
      </c>
      <c r="FZ211">
        <v>0</v>
      </c>
      <c r="GA211">
        <v>0</v>
      </c>
      <c r="GB211">
        <v>0</v>
      </c>
      <c r="GC211">
        <v>0</v>
      </c>
      <c r="GD211">
        <v>7657</v>
      </c>
      <c r="GE211">
        <v>2675</v>
      </c>
      <c r="GF211">
        <v>8049</v>
      </c>
      <c r="GG211">
        <v>1059</v>
      </c>
      <c r="GH211">
        <v>6451</v>
      </c>
      <c r="GI211">
        <v>0</v>
      </c>
      <c r="GJ211">
        <v>0</v>
      </c>
      <c r="GK211">
        <v>28809</v>
      </c>
      <c r="GL211">
        <v>22</v>
      </c>
      <c r="GM211">
        <v>-240</v>
      </c>
      <c r="GN211">
        <v>0</v>
      </c>
      <c r="GO211">
        <v>4229</v>
      </c>
      <c r="GP211">
        <v>432</v>
      </c>
      <c r="GQ211">
        <v>867</v>
      </c>
      <c r="GR211">
        <v>39</v>
      </c>
      <c r="GS211">
        <v>-1704</v>
      </c>
      <c r="GT211">
        <v>4308</v>
      </c>
      <c r="GU211">
        <v>7953</v>
      </c>
      <c r="GV211">
        <v>45192</v>
      </c>
      <c r="GW211">
        <v>0</v>
      </c>
      <c r="GX211">
        <v>0</v>
      </c>
      <c r="GY211">
        <v>0</v>
      </c>
      <c r="GZ211">
        <v>0</v>
      </c>
      <c r="HA211">
        <v>0</v>
      </c>
      <c r="HB211">
        <v>3080</v>
      </c>
      <c r="HC211">
        <v>-516</v>
      </c>
      <c r="HD211">
        <v>0</v>
      </c>
      <c r="HE211">
        <v>-48</v>
      </c>
      <c r="HF211">
        <v>1116</v>
      </c>
      <c r="HG211">
        <v>628</v>
      </c>
      <c r="HH211">
        <v>0</v>
      </c>
      <c r="HI211">
        <v>-117</v>
      </c>
      <c r="HJ211">
        <v>462</v>
      </c>
      <c r="HK211">
        <v>620</v>
      </c>
      <c r="HL211">
        <v>214</v>
      </c>
      <c r="HM211">
        <v>-282</v>
      </c>
      <c r="HN211">
        <v>0</v>
      </c>
      <c r="HO211">
        <v>33</v>
      </c>
      <c r="HP211">
        <v>643</v>
      </c>
      <c r="HQ211">
        <v>0</v>
      </c>
      <c r="HR211">
        <v>7083</v>
      </c>
      <c r="HS211">
        <v>0</v>
      </c>
      <c r="HT211">
        <v>26</v>
      </c>
      <c r="HU211">
        <v>0</v>
      </c>
      <c r="HV211">
        <v>12942</v>
      </c>
      <c r="HW211">
        <v>0</v>
      </c>
      <c r="HX211">
        <v>0</v>
      </c>
      <c r="HY211">
        <v>0</v>
      </c>
      <c r="HZ211">
        <v>0</v>
      </c>
      <c r="IA211">
        <v>0</v>
      </c>
      <c r="IB211">
        <v>0</v>
      </c>
      <c r="IC211">
        <v>344537</v>
      </c>
      <c r="ID211">
        <v>2836</v>
      </c>
      <c r="IE211">
        <v>76556</v>
      </c>
      <c r="IF211">
        <v>86151</v>
      </c>
      <c r="IG211">
        <v>25352</v>
      </c>
      <c r="IH211">
        <v>21775</v>
      </c>
      <c r="II211">
        <v>8430</v>
      </c>
      <c r="IJ211">
        <v>28809</v>
      </c>
      <c r="IK211">
        <v>7953</v>
      </c>
      <c r="IL211">
        <v>0</v>
      </c>
      <c r="IM211">
        <v>0</v>
      </c>
      <c r="IN211">
        <v>12942</v>
      </c>
      <c r="IO211">
        <v>0</v>
      </c>
      <c r="IP211">
        <v>615341</v>
      </c>
      <c r="IQ211">
        <v>117164</v>
      </c>
      <c r="IR211">
        <v>18473</v>
      </c>
      <c r="IS211">
        <v>24755</v>
      </c>
      <c r="IT211">
        <v>0</v>
      </c>
      <c r="IU211">
        <v>0</v>
      </c>
      <c r="IV211">
        <v>0</v>
      </c>
      <c r="IW211">
        <v>0</v>
      </c>
      <c r="IX211">
        <v>0</v>
      </c>
      <c r="IY211">
        <v>1281</v>
      </c>
      <c r="IZ211">
        <v>213</v>
      </c>
      <c r="JA211">
        <v>0</v>
      </c>
      <c r="JB211">
        <v>0</v>
      </c>
      <c r="JC211">
        <v>0</v>
      </c>
      <c r="JD211">
        <v>0</v>
      </c>
      <c r="JE211">
        <v>9983</v>
      </c>
      <c r="JF211">
        <v>-3124</v>
      </c>
      <c r="JG211">
        <v>784086</v>
      </c>
      <c r="JH211">
        <v>208</v>
      </c>
      <c r="JI211">
        <v>2000</v>
      </c>
      <c r="JJ211">
        <v>0</v>
      </c>
      <c r="JK211">
        <v>0</v>
      </c>
      <c r="JL211">
        <v>0</v>
      </c>
      <c r="JM211">
        <v>0</v>
      </c>
      <c r="JN211">
        <v>9312</v>
      </c>
      <c r="JO211">
        <v>1640</v>
      </c>
      <c r="JP211">
        <v>31031</v>
      </c>
      <c r="JQ211">
        <v>0</v>
      </c>
      <c r="JR211">
        <v>828277</v>
      </c>
      <c r="JS211">
        <v>-1611</v>
      </c>
      <c r="JT211">
        <v>0</v>
      </c>
      <c r="JU211">
        <v>0</v>
      </c>
      <c r="JV211">
        <v>0</v>
      </c>
      <c r="JW211">
        <v>-167280</v>
      </c>
      <c r="JX211">
        <v>0</v>
      </c>
      <c r="JY211">
        <v>-4704</v>
      </c>
      <c r="JZ211">
        <v>0</v>
      </c>
      <c r="KA211">
        <v>0</v>
      </c>
      <c r="KB211">
        <v>-6491</v>
      </c>
      <c r="KC211">
        <v>648191</v>
      </c>
      <c r="KD211">
        <v>0</v>
      </c>
      <c r="KE211">
        <v>-416547</v>
      </c>
      <c r="KF211">
        <v>231644</v>
      </c>
      <c r="KG211">
        <v>0</v>
      </c>
      <c r="KH211">
        <v>1494</v>
      </c>
      <c r="KI211">
        <v>0</v>
      </c>
      <c r="KJ211">
        <v>0</v>
      </c>
      <c r="KK211">
        <v>29118</v>
      </c>
      <c r="KL211">
        <v>0</v>
      </c>
      <c r="KM211">
        <v>-28151</v>
      </c>
      <c r="KN211">
        <v>0</v>
      </c>
      <c r="KO211">
        <v>-95153</v>
      </c>
      <c r="KP211">
        <v>0</v>
      </c>
      <c r="KQ211">
        <v>0</v>
      </c>
      <c r="KR211">
        <v>122284</v>
      </c>
      <c r="KS211">
        <v>24490</v>
      </c>
      <c r="KT211">
        <v>0</v>
      </c>
      <c r="KU211">
        <v>0</v>
      </c>
      <c r="KV211">
        <v>168863</v>
      </c>
      <c r="KW211">
        <v>20000</v>
      </c>
      <c r="KX211">
        <v>25984</v>
      </c>
      <c r="KY211">
        <v>0</v>
      </c>
      <c r="KZ211">
        <v>0</v>
      </c>
      <c r="LA211">
        <v>197981</v>
      </c>
      <c r="LB211">
        <v>20000</v>
      </c>
      <c r="LC211">
        <v>0</v>
      </c>
      <c r="LD211">
        <v>50981</v>
      </c>
      <c r="LE211">
        <v>1984</v>
      </c>
      <c r="LF211">
        <v>-9214</v>
      </c>
      <c r="LG211">
        <v>-20776</v>
      </c>
      <c r="LH211">
        <v>2738</v>
      </c>
      <c r="LI211">
        <v>25713</v>
      </c>
      <c r="LJ211">
        <v>7268</v>
      </c>
      <c r="LK211">
        <v>12864</v>
      </c>
      <c r="LL211">
        <v>20132</v>
      </c>
      <c r="LM211">
        <v>0</v>
      </c>
      <c r="LN211">
        <v>0</v>
      </c>
      <c r="LO211">
        <v>0</v>
      </c>
      <c r="LP211">
        <v>111190</v>
      </c>
      <c r="LQ211">
        <v>155852</v>
      </c>
      <c r="LR211">
        <v>-44662</v>
      </c>
      <c r="LS211">
        <v>74978</v>
      </c>
      <c r="LT211">
        <v>30316</v>
      </c>
      <c r="LU211">
        <v>344537</v>
      </c>
      <c r="LV211">
        <v>2836</v>
      </c>
      <c r="LW211">
        <v>76556</v>
      </c>
      <c r="LX211">
        <v>86151</v>
      </c>
      <c r="LY211">
        <v>25352</v>
      </c>
      <c r="LZ211">
        <v>21775</v>
      </c>
      <c r="MA211">
        <v>8430</v>
      </c>
      <c r="MB211">
        <v>28809</v>
      </c>
      <c r="MC211">
        <v>7953</v>
      </c>
      <c r="MD211">
        <v>0</v>
      </c>
      <c r="ME211">
        <v>0</v>
      </c>
      <c r="MF211">
        <v>12942</v>
      </c>
      <c r="MG211">
        <v>0</v>
      </c>
      <c r="MH211">
        <v>615341</v>
      </c>
      <c r="MI211">
        <v>0</v>
      </c>
      <c r="MJ211">
        <v>0</v>
      </c>
      <c r="MK211">
        <v>0</v>
      </c>
      <c r="ML211">
        <v>0</v>
      </c>
      <c r="MM211">
        <v>0</v>
      </c>
      <c r="MN211">
        <v>0</v>
      </c>
      <c r="MO211">
        <v>0</v>
      </c>
      <c r="MP211">
        <v>0</v>
      </c>
      <c r="MQ211">
        <v>0</v>
      </c>
      <c r="MR211">
        <v>0</v>
      </c>
      <c r="MS211">
        <v>0</v>
      </c>
      <c r="MT211">
        <v>0</v>
      </c>
      <c r="MU211">
        <v>0</v>
      </c>
      <c r="MV211">
        <v>0</v>
      </c>
      <c r="MW211">
        <v>0</v>
      </c>
      <c r="MX211">
        <v>0</v>
      </c>
      <c r="MY211">
        <v>0</v>
      </c>
      <c r="MZ211">
        <v>0</v>
      </c>
      <c r="NA211">
        <v>0</v>
      </c>
      <c r="NB211">
        <v>0</v>
      </c>
      <c r="NC211">
        <v>0</v>
      </c>
      <c r="ND211">
        <v>0</v>
      </c>
      <c r="NE211">
        <v>0</v>
      </c>
      <c r="NF211">
        <v>0</v>
      </c>
      <c r="NG211">
        <v>0</v>
      </c>
      <c r="NH211">
        <v>0</v>
      </c>
      <c r="NI211">
        <v>0</v>
      </c>
      <c r="NJ211">
        <v>0</v>
      </c>
      <c r="NK211">
        <v>0</v>
      </c>
      <c r="NL211">
        <v>0</v>
      </c>
      <c r="NM211">
        <v>0</v>
      </c>
      <c r="NN211">
        <v>0</v>
      </c>
      <c r="NO211">
        <v>0</v>
      </c>
      <c r="NP211">
        <v>0</v>
      </c>
      <c r="NQ211">
        <v>0</v>
      </c>
      <c r="NR211">
        <v>0</v>
      </c>
      <c r="NS211">
        <v>0</v>
      </c>
      <c r="NT211">
        <v>0</v>
      </c>
      <c r="NU211">
        <v>0</v>
      </c>
      <c r="NV211">
        <v>0</v>
      </c>
      <c r="NW211">
        <v>0</v>
      </c>
      <c r="NX211">
        <v>0</v>
      </c>
      <c r="NY211">
        <v>0</v>
      </c>
      <c r="NZ211">
        <v>0</v>
      </c>
      <c r="OA211">
        <v>0</v>
      </c>
      <c r="OB211">
        <v>0</v>
      </c>
      <c r="OC211">
        <v>0</v>
      </c>
      <c r="OD211">
        <v>0</v>
      </c>
      <c r="OE211">
        <v>0</v>
      </c>
      <c r="OF211">
        <v>0</v>
      </c>
      <c r="OG211">
        <v>0</v>
      </c>
      <c r="OH211">
        <v>0</v>
      </c>
      <c r="OI211">
        <v>0</v>
      </c>
      <c r="OJ211">
        <v>0</v>
      </c>
      <c r="OK211">
        <v>0</v>
      </c>
      <c r="OL211">
        <v>0</v>
      </c>
      <c r="OM211">
        <v>0</v>
      </c>
      <c r="ON211">
        <v>0</v>
      </c>
    </row>
    <row r="212" spans="1:404" x14ac:dyDescent="0.25">
      <c r="A212" t="s">
        <v>701</v>
      </c>
      <c r="B212" t="s">
        <v>702</v>
      </c>
      <c r="C212" t="s">
        <v>700</v>
      </c>
      <c r="E212" t="s">
        <v>61</v>
      </c>
      <c r="F212">
        <v>0</v>
      </c>
      <c r="G212">
        <v>0</v>
      </c>
      <c r="H212">
        <v>0</v>
      </c>
      <c r="I212">
        <v>0</v>
      </c>
      <c r="J212">
        <v>0</v>
      </c>
      <c r="K212">
        <v>0</v>
      </c>
      <c r="L212">
        <v>0</v>
      </c>
      <c r="M212">
        <v>0</v>
      </c>
      <c r="N212">
        <v>0</v>
      </c>
      <c r="O212">
        <v>0</v>
      </c>
      <c r="P212">
        <v>0</v>
      </c>
      <c r="Q212">
        <v>0</v>
      </c>
      <c r="R212">
        <v>0</v>
      </c>
      <c r="S212">
        <v>32</v>
      </c>
      <c r="T212">
        <v>0</v>
      </c>
      <c r="U212">
        <v>20</v>
      </c>
      <c r="V212">
        <v>0</v>
      </c>
      <c r="W212">
        <v>0</v>
      </c>
      <c r="X212">
        <v>0</v>
      </c>
      <c r="Y212">
        <v>0</v>
      </c>
      <c r="Z212">
        <v>0</v>
      </c>
      <c r="AA212">
        <v>-594</v>
      </c>
      <c r="AB212">
        <v>0</v>
      </c>
      <c r="AC212">
        <v>0</v>
      </c>
      <c r="AD212">
        <v>0</v>
      </c>
      <c r="AE212">
        <v>0</v>
      </c>
      <c r="AF212">
        <v>0</v>
      </c>
      <c r="AG212">
        <v>52</v>
      </c>
      <c r="AH212">
        <v>0</v>
      </c>
      <c r="AI212">
        <v>-490</v>
      </c>
      <c r="AJ212">
        <v>0</v>
      </c>
      <c r="AK212">
        <v>0</v>
      </c>
      <c r="AL212">
        <v>0</v>
      </c>
      <c r="AM212">
        <v>0</v>
      </c>
      <c r="AN212">
        <v>0</v>
      </c>
      <c r="AO212">
        <v>0</v>
      </c>
      <c r="AP212">
        <v>0</v>
      </c>
      <c r="AQ212">
        <v>0</v>
      </c>
      <c r="AR212">
        <v>0</v>
      </c>
      <c r="AS212">
        <v>0</v>
      </c>
      <c r="AT212">
        <v>0</v>
      </c>
      <c r="AU212">
        <v>0</v>
      </c>
      <c r="AV212">
        <v>0</v>
      </c>
      <c r="AW212">
        <v>0</v>
      </c>
      <c r="AX212">
        <v>0</v>
      </c>
      <c r="AY212">
        <v>0</v>
      </c>
      <c r="AZ212">
        <v>0</v>
      </c>
      <c r="BA212">
        <v>0</v>
      </c>
      <c r="BB212">
        <v>0</v>
      </c>
      <c r="BC212">
        <v>0</v>
      </c>
      <c r="BD212">
        <v>0</v>
      </c>
      <c r="BE212">
        <v>0</v>
      </c>
      <c r="BF212">
        <v>0</v>
      </c>
      <c r="BG212">
        <v>0</v>
      </c>
      <c r="BH212">
        <v>0</v>
      </c>
      <c r="BI212">
        <v>0</v>
      </c>
      <c r="BJ212">
        <v>0</v>
      </c>
      <c r="BK212">
        <v>0</v>
      </c>
      <c r="BL212">
        <v>0</v>
      </c>
      <c r="BM212">
        <v>0</v>
      </c>
      <c r="BN212">
        <v>0</v>
      </c>
      <c r="BO212">
        <v>0</v>
      </c>
      <c r="BP212">
        <v>0</v>
      </c>
      <c r="BQ212">
        <v>0</v>
      </c>
      <c r="BR212">
        <v>0</v>
      </c>
      <c r="BS212">
        <v>0</v>
      </c>
      <c r="BT212">
        <v>0</v>
      </c>
      <c r="BU212">
        <v>0</v>
      </c>
      <c r="BV212">
        <v>0</v>
      </c>
      <c r="BW212">
        <v>0</v>
      </c>
      <c r="BX212">
        <v>0</v>
      </c>
      <c r="BY212">
        <v>0</v>
      </c>
      <c r="BZ212">
        <v>0</v>
      </c>
      <c r="CA212">
        <v>0</v>
      </c>
      <c r="CB212">
        <v>0</v>
      </c>
      <c r="CC212">
        <v>0</v>
      </c>
      <c r="CD212">
        <v>0</v>
      </c>
      <c r="CE212">
        <v>0</v>
      </c>
      <c r="CF212">
        <v>0</v>
      </c>
      <c r="CG212">
        <v>0</v>
      </c>
      <c r="CH212">
        <v>0</v>
      </c>
      <c r="CI212">
        <v>0</v>
      </c>
      <c r="CJ212">
        <v>0</v>
      </c>
      <c r="CK212">
        <v>0</v>
      </c>
      <c r="CL212">
        <v>0</v>
      </c>
      <c r="CM212">
        <v>0</v>
      </c>
      <c r="CN212">
        <v>0</v>
      </c>
      <c r="CO212">
        <v>0</v>
      </c>
      <c r="CP212">
        <v>0</v>
      </c>
      <c r="CQ212">
        <v>0</v>
      </c>
      <c r="CR212">
        <v>0</v>
      </c>
      <c r="CS212">
        <v>0</v>
      </c>
      <c r="CT212">
        <v>0</v>
      </c>
      <c r="CU212">
        <v>0</v>
      </c>
      <c r="CV212">
        <v>-33</v>
      </c>
      <c r="CW212">
        <v>0</v>
      </c>
      <c r="CX212">
        <v>0</v>
      </c>
      <c r="CY212">
        <v>0</v>
      </c>
      <c r="CZ212">
        <v>0</v>
      </c>
      <c r="DA212">
        <v>0</v>
      </c>
      <c r="DB212">
        <v>0</v>
      </c>
      <c r="DC212">
        <v>127</v>
      </c>
      <c r="DD212">
        <v>0</v>
      </c>
      <c r="DE212">
        <v>8</v>
      </c>
      <c r="DF212">
        <v>0</v>
      </c>
      <c r="DG212">
        <v>0</v>
      </c>
      <c r="DH212">
        <v>0</v>
      </c>
      <c r="DI212">
        <v>15</v>
      </c>
      <c r="DJ212">
        <v>31</v>
      </c>
      <c r="DK212">
        <v>-4</v>
      </c>
      <c r="DL212">
        <v>49</v>
      </c>
      <c r="DM212">
        <v>0</v>
      </c>
      <c r="DN212">
        <v>716</v>
      </c>
      <c r="DO212">
        <v>0</v>
      </c>
      <c r="DP212">
        <v>807</v>
      </c>
      <c r="DQ212">
        <v>90</v>
      </c>
      <c r="DR212">
        <v>0</v>
      </c>
      <c r="DS212">
        <v>0</v>
      </c>
      <c r="DT212">
        <v>506</v>
      </c>
      <c r="DU212">
        <v>0</v>
      </c>
      <c r="DV212">
        <v>0</v>
      </c>
      <c r="DW212">
        <v>0</v>
      </c>
      <c r="DX212">
        <v>1538</v>
      </c>
      <c r="DY212">
        <v>0</v>
      </c>
      <c r="DZ212">
        <v>0</v>
      </c>
      <c r="EA212">
        <v>0</v>
      </c>
      <c r="EB212">
        <v>0</v>
      </c>
      <c r="EC212">
        <v>0</v>
      </c>
      <c r="ED212">
        <v>0</v>
      </c>
      <c r="EE212">
        <v>0</v>
      </c>
      <c r="EF212">
        <v>0</v>
      </c>
      <c r="EG212">
        <v>0</v>
      </c>
      <c r="EH212">
        <v>0</v>
      </c>
      <c r="EI212">
        <v>0</v>
      </c>
      <c r="EJ212">
        <v>0</v>
      </c>
      <c r="EK212">
        <v>0</v>
      </c>
      <c r="EL212">
        <v>0</v>
      </c>
      <c r="EM212">
        <v>0</v>
      </c>
      <c r="EN212">
        <v>0</v>
      </c>
      <c r="EO212">
        <v>0</v>
      </c>
      <c r="EP212">
        <v>0</v>
      </c>
      <c r="EQ212">
        <v>0</v>
      </c>
      <c r="ER212">
        <v>0</v>
      </c>
      <c r="ES212">
        <v>0</v>
      </c>
      <c r="ET212">
        <v>0</v>
      </c>
      <c r="EU212">
        <v>0</v>
      </c>
      <c r="EV212">
        <v>0</v>
      </c>
      <c r="EW212">
        <v>0</v>
      </c>
      <c r="EX212">
        <v>16</v>
      </c>
      <c r="EY212">
        <v>316</v>
      </c>
      <c r="EZ212">
        <v>0</v>
      </c>
      <c r="FA212">
        <v>0</v>
      </c>
      <c r="FB212">
        <v>374</v>
      </c>
      <c r="FC212">
        <v>46</v>
      </c>
      <c r="FD212">
        <v>1096</v>
      </c>
      <c r="FE212">
        <v>0</v>
      </c>
      <c r="FF212">
        <v>491</v>
      </c>
      <c r="FG212">
        <v>0</v>
      </c>
      <c r="FH212">
        <v>2339</v>
      </c>
      <c r="FI212">
        <v>0</v>
      </c>
      <c r="FJ212">
        <v>0</v>
      </c>
      <c r="FK212">
        <v>0</v>
      </c>
      <c r="FL212">
        <v>250</v>
      </c>
      <c r="FM212">
        <v>320</v>
      </c>
      <c r="FN212">
        <v>114</v>
      </c>
      <c r="FO212">
        <v>0</v>
      </c>
      <c r="FP212">
        <v>0</v>
      </c>
      <c r="FQ212">
        <v>0</v>
      </c>
      <c r="FR212">
        <v>0</v>
      </c>
      <c r="FS212">
        <v>101</v>
      </c>
      <c r="FT212">
        <v>0</v>
      </c>
      <c r="FU212">
        <v>292</v>
      </c>
      <c r="FV212">
        <v>163</v>
      </c>
      <c r="FW212">
        <v>0</v>
      </c>
      <c r="FX212">
        <v>192</v>
      </c>
      <c r="FY212">
        <v>0</v>
      </c>
      <c r="FZ212">
        <v>0</v>
      </c>
      <c r="GA212">
        <v>0</v>
      </c>
      <c r="GB212">
        <v>0</v>
      </c>
      <c r="GC212">
        <v>0</v>
      </c>
      <c r="GD212">
        <v>598</v>
      </c>
      <c r="GE212">
        <v>497</v>
      </c>
      <c r="GF212">
        <v>0</v>
      </c>
      <c r="GG212">
        <v>-143</v>
      </c>
      <c r="GH212">
        <v>353</v>
      </c>
      <c r="GI212">
        <v>0</v>
      </c>
      <c r="GJ212">
        <v>0</v>
      </c>
      <c r="GK212">
        <v>2737</v>
      </c>
      <c r="GL212">
        <v>-70</v>
      </c>
      <c r="GM212">
        <v>627</v>
      </c>
      <c r="GN212">
        <v>-14</v>
      </c>
      <c r="GO212">
        <v>772</v>
      </c>
      <c r="GP212">
        <v>0</v>
      </c>
      <c r="GQ212">
        <v>360</v>
      </c>
      <c r="GR212">
        <v>0</v>
      </c>
      <c r="GS212">
        <v>1135</v>
      </c>
      <c r="GT212">
        <v>233</v>
      </c>
      <c r="GU212">
        <v>3043</v>
      </c>
      <c r="GV212">
        <v>8119</v>
      </c>
      <c r="GW212">
        <v>0</v>
      </c>
      <c r="GX212">
        <v>0</v>
      </c>
      <c r="GY212">
        <v>0</v>
      </c>
      <c r="GZ212">
        <v>0</v>
      </c>
      <c r="HA212">
        <v>0</v>
      </c>
      <c r="HB212">
        <v>1989</v>
      </c>
      <c r="HC212">
        <v>557</v>
      </c>
      <c r="HD212">
        <v>0</v>
      </c>
      <c r="HE212">
        <v>0</v>
      </c>
      <c r="HF212">
        <v>0</v>
      </c>
      <c r="HG212">
        <v>258</v>
      </c>
      <c r="HH212">
        <v>0</v>
      </c>
      <c r="HI212">
        <v>0</v>
      </c>
      <c r="HJ212">
        <v>260</v>
      </c>
      <c r="HK212">
        <v>143</v>
      </c>
      <c r="HL212">
        <v>70</v>
      </c>
      <c r="HM212">
        <v>-70</v>
      </c>
      <c r="HN212">
        <v>0</v>
      </c>
      <c r="HO212">
        <v>0</v>
      </c>
      <c r="HP212">
        <v>0</v>
      </c>
      <c r="HQ212">
        <v>0</v>
      </c>
      <c r="HR212">
        <v>671</v>
      </c>
      <c r="HS212">
        <v>0</v>
      </c>
      <c r="HT212">
        <v>0</v>
      </c>
      <c r="HU212">
        <v>-1548</v>
      </c>
      <c r="HV212">
        <v>2330</v>
      </c>
      <c r="HW212">
        <v>4722</v>
      </c>
      <c r="HX212">
        <v>4716</v>
      </c>
      <c r="HY212">
        <v>0</v>
      </c>
      <c r="HZ212">
        <v>211</v>
      </c>
      <c r="IA212">
        <v>108</v>
      </c>
      <c r="IB212">
        <v>0</v>
      </c>
      <c r="IC212">
        <v>0</v>
      </c>
      <c r="ID212">
        <v>-490</v>
      </c>
      <c r="IE212">
        <v>0</v>
      </c>
      <c r="IF212">
        <v>0</v>
      </c>
      <c r="IG212">
        <v>-33</v>
      </c>
      <c r="IH212">
        <v>1538</v>
      </c>
      <c r="II212">
        <v>2339</v>
      </c>
      <c r="IJ212">
        <v>2737</v>
      </c>
      <c r="IK212">
        <v>3043</v>
      </c>
      <c r="IL212">
        <v>0</v>
      </c>
      <c r="IM212">
        <v>0</v>
      </c>
      <c r="IN212">
        <v>2330</v>
      </c>
      <c r="IO212">
        <v>0</v>
      </c>
      <c r="IP212">
        <v>11464</v>
      </c>
      <c r="IQ212">
        <v>11696</v>
      </c>
      <c r="IR212">
        <v>44</v>
      </c>
      <c r="IS212">
        <v>0</v>
      </c>
      <c r="IT212">
        <v>0</v>
      </c>
      <c r="IU212">
        <v>0</v>
      </c>
      <c r="IV212">
        <v>2045</v>
      </c>
      <c r="IW212">
        <v>0</v>
      </c>
      <c r="IX212">
        <v>0</v>
      </c>
      <c r="IY212">
        <v>0</v>
      </c>
      <c r="IZ212">
        <v>0</v>
      </c>
      <c r="JA212">
        <v>0</v>
      </c>
      <c r="JB212">
        <v>0</v>
      </c>
      <c r="JC212">
        <v>0</v>
      </c>
      <c r="JD212">
        <v>0</v>
      </c>
      <c r="JE212">
        <v>51</v>
      </c>
      <c r="JF212">
        <v>0</v>
      </c>
      <c r="JG212">
        <v>25300</v>
      </c>
      <c r="JH212">
        <v>0</v>
      </c>
      <c r="JI212">
        <v>1125</v>
      </c>
      <c r="JJ212">
        <v>0</v>
      </c>
      <c r="JK212">
        <v>0</v>
      </c>
      <c r="JL212">
        <v>0</v>
      </c>
      <c r="JM212">
        <v>-66</v>
      </c>
      <c r="JN212">
        <v>616</v>
      </c>
      <c r="JO212">
        <v>45</v>
      </c>
      <c r="JP212">
        <v>59</v>
      </c>
      <c r="JQ212">
        <v>0</v>
      </c>
      <c r="JR212">
        <v>27079</v>
      </c>
      <c r="JS212">
        <v>-530</v>
      </c>
      <c r="JT212">
        <v>0</v>
      </c>
      <c r="JU212">
        <v>0</v>
      </c>
      <c r="JV212">
        <v>0</v>
      </c>
      <c r="JW212">
        <v>-11659</v>
      </c>
      <c r="JX212">
        <v>0</v>
      </c>
      <c r="JY212">
        <v>-57</v>
      </c>
      <c r="JZ212">
        <v>0</v>
      </c>
      <c r="KA212">
        <v>0</v>
      </c>
      <c r="KB212">
        <v>0</v>
      </c>
      <c r="KC212">
        <v>14833</v>
      </c>
      <c r="KD212">
        <v>0</v>
      </c>
      <c r="KE212">
        <v>-2685</v>
      </c>
      <c r="KF212">
        <v>12148</v>
      </c>
      <c r="KG212">
        <v>0</v>
      </c>
      <c r="KH212">
        <v>0</v>
      </c>
      <c r="KI212">
        <v>0</v>
      </c>
      <c r="KJ212">
        <v>0</v>
      </c>
      <c r="KK212">
        <v>1500</v>
      </c>
      <c r="KL212">
        <v>132</v>
      </c>
      <c r="KM212">
        <v>0</v>
      </c>
      <c r="KN212">
        <v>0</v>
      </c>
      <c r="KO212">
        <v>-725</v>
      </c>
      <c r="KP212">
        <v>38</v>
      </c>
      <c r="KQ212">
        <v>0</v>
      </c>
      <c r="KR212">
        <v>9242</v>
      </c>
      <c r="KS212">
        <v>0</v>
      </c>
      <c r="KT212">
        <v>0</v>
      </c>
      <c r="KU212">
        <v>0</v>
      </c>
      <c r="KV212">
        <v>16197</v>
      </c>
      <c r="KW212">
        <v>6713</v>
      </c>
      <c r="KX212">
        <v>0</v>
      </c>
      <c r="KY212">
        <v>0</v>
      </c>
      <c r="KZ212">
        <v>0</v>
      </c>
      <c r="LA212">
        <v>17697</v>
      </c>
      <c r="LB212">
        <v>6845</v>
      </c>
      <c r="LC212">
        <v>0</v>
      </c>
      <c r="LD212">
        <v>2054</v>
      </c>
      <c r="LE212">
        <v>0</v>
      </c>
      <c r="LF212">
        <v>-383</v>
      </c>
      <c r="LG212">
        <v>-1063</v>
      </c>
      <c r="LH212">
        <v>1817</v>
      </c>
      <c r="LI212">
        <v>2220</v>
      </c>
      <c r="LJ212">
        <v>2465</v>
      </c>
      <c r="LK212">
        <v>2535</v>
      </c>
      <c r="LL212">
        <v>5000</v>
      </c>
      <c r="LM212">
        <v>0</v>
      </c>
      <c r="LN212">
        <v>0</v>
      </c>
      <c r="LO212">
        <v>0</v>
      </c>
      <c r="LP212">
        <v>0</v>
      </c>
      <c r="LQ212">
        <v>0</v>
      </c>
      <c r="LR212">
        <v>0</v>
      </c>
      <c r="LS212">
        <v>0</v>
      </c>
      <c r="LT212">
        <v>0</v>
      </c>
      <c r="LU212">
        <v>0</v>
      </c>
      <c r="LV212">
        <v>-490</v>
      </c>
      <c r="LW212">
        <v>0</v>
      </c>
      <c r="LX212">
        <v>0</v>
      </c>
      <c r="LY212">
        <v>-33</v>
      </c>
      <c r="LZ212">
        <v>1538</v>
      </c>
      <c r="MA212">
        <v>2339</v>
      </c>
      <c r="MB212">
        <v>2737</v>
      </c>
      <c r="MC212">
        <v>3043</v>
      </c>
      <c r="MD212">
        <v>0</v>
      </c>
      <c r="ME212">
        <v>0</v>
      </c>
      <c r="MF212">
        <v>2330</v>
      </c>
      <c r="MG212">
        <v>0</v>
      </c>
      <c r="MH212">
        <v>11464</v>
      </c>
      <c r="MI212">
        <v>0</v>
      </c>
      <c r="MJ212">
        <v>0</v>
      </c>
      <c r="MK212">
        <v>0</v>
      </c>
      <c r="ML212">
        <v>0</v>
      </c>
      <c r="MM212">
        <v>0</v>
      </c>
      <c r="MN212">
        <v>0</v>
      </c>
      <c r="MO212">
        <v>0</v>
      </c>
      <c r="MP212">
        <v>0</v>
      </c>
      <c r="MQ212">
        <v>0</v>
      </c>
      <c r="MR212">
        <v>0</v>
      </c>
      <c r="MS212">
        <v>0</v>
      </c>
      <c r="MT212">
        <v>0</v>
      </c>
      <c r="MU212">
        <v>0</v>
      </c>
      <c r="MV212">
        <v>0</v>
      </c>
      <c r="MW212">
        <v>0</v>
      </c>
      <c r="MX212">
        <v>0</v>
      </c>
      <c r="MY212">
        <v>0</v>
      </c>
      <c r="MZ212">
        <v>0</v>
      </c>
      <c r="NA212">
        <v>0</v>
      </c>
      <c r="NB212">
        <v>0</v>
      </c>
      <c r="NC212">
        <v>0</v>
      </c>
      <c r="ND212">
        <v>0</v>
      </c>
      <c r="NE212">
        <v>0</v>
      </c>
      <c r="NF212">
        <v>0</v>
      </c>
      <c r="NG212">
        <v>0</v>
      </c>
      <c r="NH212">
        <v>0</v>
      </c>
      <c r="NI212">
        <v>0</v>
      </c>
      <c r="NJ212">
        <v>0</v>
      </c>
      <c r="NK212">
        <v>0</v>
      </c>
      <c r="NL212">
        <v>0</v>
      </c>
      <c r="NM212">
        <v>0</v>
      </c>
      <c r="NN212">
        <v>0</v>
      </c>
      <c r="NO212">
        <v>0</v>
      </c>
      <c r="NP212">
        <v>0</v>
      </c>
      <c r="NQ212">
        <v>0</v>
      </c>
      <c r="NR212">
        <v>0</v>
      </c>
      <c r="NS212">
        <v>0</v>
      </c>
      <c r="NT212">
        <v>0</v>
      </c>
      <c r="NU212">
        <v>0</v>
      </c>
      <c r="NV212">
        <v>0</v>
      </c>
      <c r="NW212">
        <v>0</v>
      </c>
      <c r="NX212">
        <v>0</v>
      </c>
      <c r="NY212">
        <v>0</v>
      </c>
      <c r="NZ212">
        <v>0</v>
      </c>
      <c r="OA212">
        <v>0</v>
      </c>
      <c r="OB212">
        <v>0</v>
      </c>
      <c r="OC212">
        <v>0</v>
      </c>
      <c r="OD212">
        <v>0</v>
      </c>
      <c r="OE212">
        <v>0</v>
      </c>
      <c r="OF212">
        <v>0</v>
      </c>
      <c r="OG212">
        <v>0</v>
      </c>
      <c r="OH212">
        <v>0</v>
      </c>
      <c r="OI212">
        <v>0</v>
      </c>
      <c r="OJ212">
        <v>0</v>
      </c>
      <c r="OK212">
        <v>0</v>
      </c>
      <c r="OL212">
        <v>0</v>
      </c>
      <c r="OM212">
        <v>0</v>
      </c>
      <c r="ON212">
        <v>0</v>
      </c>
    </row>
    <row r="213" spans="1:404" x14ac:dyDescent="0.25">
      <c r="A213" t="s">
        <v>704</v>
      </c>
      <c r="B213" t="s">
        <v>705</v>
      </c>
      <c r="C213" t="s">
        <v>703</v>
      </c>
      <c r="E213" t="s">
        <v>61</v>
      </c>
      <c r="F213">
        <v>0</v>
      </c>
      <c r="G213">
        <v>0</v>
      </c>
      <c r="H213">
        <v>0</v>
      </c>
      <c r="I213">
        <v>0</v>
      </c>
      <c r="J213">
        <v>0</v>
      </c>
      <c r="K213">
        <v>0</v>
      </c>
      <c r="L213">
        <v>0</v>
      </c>
      <c r="M213">
        <v>0</v>
      </c>
      <c r="N213">
        <v>0</v>
      </c>
      <c r="O213">
        <v>0</v>
      </c>
      <c r="P213">
        <v>0</v>
      </c>
      <c r="Q213">
        <v>0</v>
      </c>
      <c r="R213">
        <v>0</v>
      </c>
      <c r="S213">
        <v>93</v>
      </c>
      <c r="T213">
        <v>0</v>
      </c>
      <c r="U213">
        <v>9</v>
      </c>
      <c r="V213">
        <v>0</v>
      </c>
      <c r="W213">
        <v>0</v>
      </c>
      <c r="X213">
        <v>0</v>
      </c>
      <c r="Y213">
        <v>32</v>
      </c>
      <c r="Z213">
        <v>15</v>
      </c>
      <c r="AA213">
        <v>-2570</v>
      </c>
      <c r="AB213">
        <v>0</v>
      </c>
      <c r="AC213">
        <v>0</v>
      </c>
      <c r="AD213">
        <v>63</v>
      </c>
      <c r="AE213">
        <v>0</v>
      </c>
      <c r="AF213">
        <v>0</v>
      </c>
      <c r="AG213">
        <v>118</v>
      </c>
      <c r="AH213">
        <v>0</v>
      </c>
      <c r="AI213">
        <v>-2240</v>
      </c>
      <c r="AJ213">
        <v>0</v>
      </c>
      <c r="AK213">
        <v>0</v>
      </c>
      <c r="AL213">
        <v>0</v>
      </c>
      <c r="AM213">
        <v>0</v>
      </c>
      <c r="AN213">
        <v>0</v>
      </c>
      <c r="AO213">
        <v>0</v>
      </c>
      <c r="AP213">
        <v>0</v>
      </c>
      <c r="AQ213">
        <v>0</v>
      </c>
      <c r="AR213">
        <v>156</v>
      </c>
      <c r="AS213">
        <v>0</v>
      </c>
      <c r="AT213">
        <v>0</v>
      </c>
      <c r="AU213">
        <v>0</v>
      </c>
      <c r="AV213">
        <v>0</v>
      </c>
      <c r="AW213">
        <v>0</v>
      </c>
      <c r="AX213">
        <v>0</v>
      </c>
      <c r="AY213">
        <v>0</v>
      </c>
      <c r="AZ213">
        <v>0</v>
      </c>
      <c r="BA213">
        <v>0</v>
      </c>
      <c r="BB213">
        <v>0</v>
      </c>
      <c r="BC213">
        <v>0</v>
      </c>
      <c r="BD213">
        <v>0</v>
      </c>
      <c r="BE213">
        <v>0</v>
      </c>
      <c r="BF213">
        <v>0</v>
      </c>
      <c r="BG213">
        <v>0</v>
      </c>
      <c r="BH213">
        <v>0</v>
      </c>
      <c r="BI213">
        <v>0</v>
      </c>
      <c r="BJ213">
        <v>0</v>
      </c>
      <c r="BK213">
        <v>0</v>
      </c>
      <c r="BL213">
        <v>0</v>
      </c>
      <c r="BM213">
        <v>0</v>
      </c>
      <c r="BN213">
        <v>0</v>
      </c>
      <c r="BO213">
        <v>0</v>
      </c>
      <c r="BP213">
        <v>0</v>
      </c>
      <c r="BQ213">
        <v>0</v>
      </c>
      <c r="BR213">
        <v>0</v>
      </c>
      <c r="BS213">
        <v>0</v>
      </c>
      <c r="BT213">
        <v>0</v>
      </c>
      <c r="BU213">
        <v>0</v>
      </c>
      <c r="BV213">
        <v>0</v>
      </c>
      <c r="BW213">
        <v>0</v>
      </c>
      <c r="BX213">
        <v>0</v>
      </c>
      <c r="BY213">
        <v>0</v>
      </c>
      <c r="BZ213">
        <v>0</v>
      </c>
      <c r="CA213">
        <v>0</v>
      </c>
      <c r="CB213">
        <v>0</v>
      </c>
      <c r="CC213">
        <v>0</v>
      </c>
      <c r="CD213">
        <v>0</v>
      </c>
      <c r="CE213">
        <v>0</v>
      </c>
      <c r="CF213">
        <v>0</v>
      </c>
      <c r="CG213">
        <v>0</v>
      </c>
      <c r="CH213">
        <v>0</v>
      </c>
      <c r="CI213">
        <v>0</v>
      </c>
      <c r="CJ213">
        <v>0</v>
      </c>
      <c r="CK213">
        <v>0</v>
      </c>
      <c r="CL213">
        <v>0</v>
      </c>
      <c r="CM213">
        <v>0</v>
      </c>
      <c r="CN213">
        <v>0</v>
      </c>
      <c r="CO213">
        <v>0</v>
      </c>
      <c r="CP213">
        <v>0</v>
      </c>
      <c r="CQ213">
        <v>0</v>
      </c>
      <c r="CR213">
        <v>0</v>
      </c>
      <c r="CS213">
        <v>0</v>
      </c>
      <c r="CT213">
        <v>0</v>
      </c>
      <c r="CU213">
        <v>0</v>
      </c>
      <c r="CV213">
        <v>600</v>
      </c>
      <c r="CW213">
        <v>0</v>
      </c>
      <c r="CX213">
        <v>0</v>
      </c>
      <c r="CY213">
        <v>0</v>
      </c>
      <c r="CZ213">
        <v>0</v>
      </c>
      <c r="DA213">
        <v>0</v>
      </c>
      <c r="DB213">
        <v>0</v>
      </c>
      <c r="DC213">
        <v>0</v>
      </c>
      <c r="DD213">
        <v>0</v>
      </c>
      <c r="DE213">
        <v>83</v>
      </c>
      <c r="DF213">
        <v>99</v>
      </c>
      <c r="DG213">
        <v>0</v>
      </c>
      <c r="DH213">
        <v>0</v>
      </c>
      <c r="DI213">
        <v>1062</v>
      </c>
      <c r="DJ213">
        <v>187</v>
      </c>
      <c r="DK213">
        <v>0</v>
      </c>
      <c r="DL213">
        <v>0</v>
      </c>
      <c r="DM213">
        <v>0</v>
      </c>
      <c r="DN213">
        <v>0</v>
      </c>
      <c r="DO213">
        <v>467</v>
      </c>
      <c r="DP213">
        <v>1716</v>
      </c>
      <c r="DQ213">
        <v>4</v>
      </c>
      <c r="DR213">
        <v>0</v>
      </c>
      <c r="DS213">
        <v>15</v>
      </c>
      <c r="DT213">
        <v>917</v>
      </c>
      <c r="DU213">
        <v>0</v>
      </c>
      <c r="DV213">
        <v>119</v>
      </c>
      <c r="DW213">
        <v>169</v>
      </c>
      <c r="DX213">
        <v>3122</v>
      </c>
      <c r="DY213">
        <v>28700</v>
      </c>
      <c r="DZ213">
        <v>1118</v>
      </c>
      <c r="EA213">
        <v>262</v>
      </c>
      <c r="EB213">
        <v>0</v>
      </c>
      <c r="EC213">
        <v>0</v>
      </c>
      <c r="ED213">
        <v>24</v>
      </c>
      <c r="EE213">
        <v>0</v>
      </c>
      <c r="EF213">
        <v>-1</v>
      </c>
      <c r="EG213">
        <v>-37</v>
      </c>
      <c r="EH213">
        <v>9786</v>
      </c>
      <c r="EI213">
        <v>5598</v>
      </c>
      <c r="EJ213">
        <v>1274</v>
      </c>
      <c r="EK213">
        <v>607</v>
      </c>
      <c r="EL213">
        <v>2425</v>
      </c>
      <c r="EM213">
        <v>7423</v>
      </c>
      <c r="EN213">
        <v>21</v>
      </c>
      <c r="EO213">
        <v>1</v>
      </c>
      <c r="EP213">
        <v>0</v>
      </c>
      <c r="EQ213">
        <v>2365</v>
      </c>
      <c r="ER213">
        <v>284</v>
      </c>
      <c r="ES213">
        <v>5563</v>
      </c>
      <c r="ET213">
        <v>5845</v>
      </c>
      <c r="EU213">
        <v>0</v>
      </c>
      <c r="EV213">
        <v>6</v>
      </c>
      <c r="EW213">
        <v>212</v>
      </c>
      <c r="EX213">
        <v>0</v>
      </c>
      <c r="EY213">
        <v>269</v>
      </c>
      <c r="EZ213">
        <v>240</v>
      </c>
      <c r="FA213">
        <v>0</v>
      </c>
      <c r="FB213">
        <v>83</v>
      </c>
      <c r="FC213">
        <v>1138</v>
      </c>
      <c r="FD213">
        <v>935</v>
      </c>
      <c r="FE213">
        <v>93</v>
      </c>
      <c r="FF213">
        <v>199</v>
      </c>
      <c r="FG213">
        <v>0</v>
      </c>
      <c r="FH213">
        <v>3175</v>
      </c>
      <c r="FI213">
        <v>-256</v>
      </c>
      <c r="FJ213">
        <v>0</v>
      </c>
      <c r="FK213">
        <v>0</v>
      </c>
      <c r="FL213">
        <v>177</v>
      </c>
      <c r="FM213">
        <v>251</v>
      </c>
      <c r="FN213">
        <v>0</v>
      </c>
      <c r="FO213">
        <v>42</v>
      </c>
      <c r="FP213">
        <v>0</v>
      </c>
      <c r="FQ213">
        <v>0</v>
      </c>
      <c r="FR213">
        <v>0</v>
      </c>
      <c r="FS213">
        <v>328</v>
      </c>
      <c r="FT213">
        <v>68</v>
      </c>
      <c r="FU213">
        <v>33</v>
      </c>
      <c r="FV213">
        <v>0</v>
      </c>
      <c r="FW213">
        <v>0</v>
      </c>
      <c r="FX213">
        <v>209</v>
      </c>
      <c r="FY213">
        <v>0</v>
      </c>
      <c r="FZ213">
        <v>0</v>
      </c>
      <c r="GA213">
        <v>871</v>
      </c>
      <c r="GB213">
        <v>0</v>
      </c>
      <c r="GC213">
        <v>0</v>
      </c>
      <c r="GD213">
        <v>1990</v>
      </c>
      <c r="GE213">
        <v>1464</v>
      </c>
      <c r="GF213">
        <v>0</v>
      </c>
      <c r="GG213">
        <v>0</v>
      </c>
      <c r="GH213">
        <v>1002</v>
      </c>
      <c r="GI213">
        <v>0</v>
      </c>
      <c r="GJ213">
        <v>0</v>
      </c>
      <c r="GK213">
        <v>6179</v>
      </c>
      <c r="GL213">
        <v>118</v>
      </c>
      <c r="GM213">
        <v>417</v>
      </c>
      <c r="GN213">
        <v>0</v>
      </c>
      <c r="GO213">
        <v>530</v>
      </c>
      <c r="GP213">
        <v>0</v>
      </c>
      <c r="GQ213">
        <v>839</v>
      </c>
      <c r="GR213">
        <v>0</v>
      </c>
      <c r="GS213">
        <v>-66</v>
      </c>
      <c r="GT213">
        <v>377</v>
      </c>
      <c r="GU213">
        <v>2215</v>
      </c>
      <c r="GV213">
        <v>11569</v>
      </c>
      <c r="GW213">
        <v>0</v>
      </c>
      <c r="GX213">
        <v>0</v>
      </c>
      <c r="GY213">
        <v>0</v>
      </c>
      <c r="GZ213">
        <v>0</v>
      </c>
      <c r="HA213">
        <v>0</v>
      </c>
      <c r="HB213">
        <v>1103</v>
      </c>
      <c r="HC213">
        <v>1003</v>
      </c>
      <c r="HD213">
        <v>0</v>
      </c>
      <c r="HE213">
        <v>0</v>
      </c>
      <c r="HF213">
        <v>343</v>
      </c>
      <c r="HG213">
        <v>-52</v>
      </c>
      <c r="HH213">
        <v>1</v>
      </c>
      <c r="HI213">
        <v>0</v>
      </c>
      <c r="HJ213">
        <v>160</v>
      </c>
      <c r="HK213">
        <v>259</v>
      </c>
      <c r="HL213">
        <v>22</v>
      </c>
      <c r="HM213">
        <v>-54</v>
      </c>
      <c r="HN213">
        <v>0</v>
      </c>
      <c r="HO213">
        <v>41</v>
      </c>
      <c r="HP213">
        <v>0</v>
      </c>
      <c r="HQ213">
        <v>0</v>
      </c>
      <c r="HR213">
        <v>2228</v>
      </c>
      <c r="HS213">
        <v>0</v>
      </c>
      <c r="HT213">
        <v>0</v>
      </c>
      <c r="HU213">
        <v>236</v>
      </c>
      <c r="HV213">
        <v>5290</v>
      </c>
      <c r="HW213">
        <v>4208</v>
      </c>
      <c r="HX213">
        <v>9919</v>
      </c>
      <c r="HY213">
        <v>0</v>
      </c>
      <c r="HZ213">
        <v>4431</v>
      </c>
      <c r="IA213">
        <v>0</v>
      </c>
      <c r="IB213">
        <v>87</v>
      </c>
      <c r="IC213">
        <v>0</v>
      </c>
      <c r="ID213">
        <v>-2240</v>
      </c>
      <c r="IE213">
        <v>0</v>
      </c>
      <c r="IF213">
        <v>0</v>
      </c>
      <c r="IG213">
        <v>600</v>
      </c>
      <c r="IH213">
        <v>3122</v>
      </c>
      <c r="II213">
        <v>3175</v>
      </c>
      <c r="IJ213">
        <v>6179</v>
      </c>
      <c r="IK213">
        <v>2215</v>
      </c>
      <c r="IL213">
        <v>0</v>
      </c>
      <c r="IM213">
        <v>0</v>
      </c>
      <c r="IN213">
        <v>5290</v>
      </c>
      <c r="IO213">
        <v>87</v>
      </c>
      <c r="IP213">
        <v>18428</v>
      </c>
      <c r="IQ213">
        <v>11578</v>
      </c>
      <c r="IR213">
        <v>392</v>
      </c>
      <c r="IS213">
        <v>10509</v>
      </c>
      <c r="IT213">
        <v>0</v>
      </c>
      <c r="IU213">
        <v>-870</v>
      </c>
      <c r="IV213">
        <v>0</v>
      </c>
      <c r="IW213">
        <v>0</v>
      </c>
      <c r="IX213">
        <v>0</v>
      </c>
      <c r="IY213">
        <v>0</v>
      </c>
      <c r="IZ213">
        <v>0</v>
      </c>
      <c r="JA213">
        <v>-2395</v>
      </c>
      <c r="JB213">
        <v>0</v>
      </c>
      <c r="JC213">
        <v>391</v>
      </c>
      <c r="JD213">
        <v>0</v>
      </c>
      <c r="JE213">
        <v>0</v>
      </c>
      <c r="JF213">
        <v>0</v>
      </c>
      <c r="JG213">
        <v>38033</v>
      </c>
      <c r="JH213">
        <v>0</v>
      </c>
      <c r="JI213">
        <v>196</v>
      </c>
      <c r="JJ213">
        <v>0</v>
      </c>
      <c r="JK213">
        <v>0</v>
      </c>
      <c r="JL213">
        <v>0</v>
      </c>
      <c r="JM213">
        <v>-19</v>
      </c>
      <c r="JN213">
        <v>1444</v>
      </c>
      <c r="JO213">
        <v>0</v>
      </c>
      <c r="JP213">
        <v>3797</v>
      </c>
      <c r="JQ213">
        <v>-2425</v>
      </c>
      <c r="JR213">
        <v>41026</v>
      </c>
      <c r="JS213">
        <v>-83</v>
      </c>
      <c r="JT213">
        <v>0</v>
      </c>
      <c r="JU213">
        <v>0</v>
      </c>
      <c r="JV213">
        <v>0</v>
      </c>
      <c r="JW213">
        <v>-22801</v>
      </c>
      <c r="JX213">
        <v>0</v>
      </c>
      <c r="JY213">
        <v>-35</v>
      </c>
      <c r="JZ213">
        <v>0</v>
      </c>
      <c r="KA213">
        <v>0</v>
      </c>
      <c r="KB213">
        <v>0</v>
      </c>
      <c r="KC213">
        <v>18107</v>
      </c>
      <c r="KD213">
        <v>0</v>
      </c>
      <c r="KE213">
        <v>-4116</v>
      </c>
      <c r="KF213">
        <v>13991</v>
      </c>
      <c r="KG213">
        <v>0</v>
      </c>
      <c r="KH213">
        <v>0</v>
      </c>
      <c r="KI213">
        <v>0</v>
      </c>
      <c r="KJ213">
        <v>0</v>
      </c>
      <c r="KK213">
        <v>-7399</v>
      </c>
      <c r="KL213">
        <v>-468</v>
      </c>
      <c r="KM213">
        <v>-23</v>
      </c>
      <c r="KN213">
        <v>0</v>
      </c>
      <c r="KO213">
        <v>5981</v>
      </c>
      <c r="KP213">
        <v>76</v>
      </c>
      <c r="KQ213">
        <v>0</v>
      </c>
      <c r="KR213">
        <v>6956</v>
      </c>
      <c r="KS213">
        <v>0</v>
      </c>
      <c r="KT213">
        <v>0</v>
      </c>
      <c r="KU213">
        <v>0</v>
      </c>
      <c r="KV213">
        <v>21559</v>
      </c>
      <c r="KW213">
        <v>2671</v>
      </c>
      <c r="KX213">
        <v>0</v>
      </c>
      <c r="KY213">
        <v>0</v>
      </c>
      <c r="KZ213">
        <v>0</v>
      </c>
      <c r="LA213">
        <v>14160</v>
      </c>
      <c r="LB213">
        <v>2203</v>
      </c>
      <c r="LC213">
        <v>0</v>
      </c>
      <c r="LD213">
        <v>1893</v>
      </c>
      <c r="LE213">
        <v>0</v>
      </c>
      <c r="LF213">
        <v>0</v>
      </c>
      <c r="LG213">
        <v>-3539</v>
      </c>
      <c r="LH213">
        <v>0</v>
      </c>
      <c r="LI213">
        <v>-651</v>
      </c>
      <c r="LJ213">
        <v>2590</v>
      </c>
      <c r="LK213">
        <v>5664</v>
      </c>
      <c r="LL213">
        <v>8254</v>
      </c>
      <c r="LM213">
        <v>0</v>
      </c>
      <c r="LN213">
        <v>0</v>
      </c>
      <c r="LO213">
        <v>0</v>
      </c>
      <c r="LP213">
        <v>30067</v>
      </c>
      <c r="LQ213">
        <v>29785</v>
      </c>
      <c r="LR213">
        <v>282</v>
      </c>
      <c r="LS213">
        <v>5563</v>
      </c>
      <c r="LT213">
        <v>5845</v>
      </c>
      <c r="LU213">
        <v>0</v>
      </c>
      <c r="LV213">
        <v>-2240</v>
      </c>
      <c r="LW213">
        <v>0</v>
      </c>
      <c r="LX213">
        <v>0</v>
      </c>
      <c r="LY213">
        <v>600</v>
      </c>
      <c r="LZ213">
        <v>3122</v>
      </c>
      <c r="MA213">
        <v>3175</v>
      </c>
      <c r="MB213">
        <v>6179</v>
      </c>
      <c r="MC213">
        <v>2215</v>
      </c>
      <c r="MD213">
        <v>0</v>
      </c>
      <c r="ME213">
        <v>0</v>
      </c>
      <c r="MF213">
        <v>5290</v>
      </c>
      <c r="MG213">
        <v>87</v>
      </c>
      <c r="MH213">
        <v>18428</v>
      </c>
      <c r="MI213">
        <v>0</v>
      </c>
      <c r="MJ213">
        <v>0</v>
      </c>
      <c r="MK213">
        <v>0</v>
      </c>
      <c r="ML213">
        <v>0</v>
      </c>
      <c r="MM213">
        <v>0</v>
      </c>
      <c r="MN213">
        <v>0</v>
      </c>
      <c r="MO213">
        <v>0</v>
      </c>
      <c r="MP213">
        <v>0</v>
      </c>
      <c r="MQ213">
        <v>0</v>
      </c>
      <c r="MR213">
        <v>0</v>
      </c>
      <c r="MS213">
        <v>0</v>
      </c>
      <c r="MT213">
        <v>0</v>
      </c>
      <c r="MU213">
        <v>0</v>
      </c>
      <c r="MV213">
        <v>0</v>
      </c>
      <c r="MW213">
        <v>-1739</v>
      </c>
      <c r="MX213">
        <v>-265</v>
      </c>
      <c r="MY213">
        <v>0</v>
      </c>
      <c r="MZ213">
        <v>0</v>
      </c>
      <c r="NA213">
        <v>-2004</v>
      </c>
      <c r="NB213">
        <v>-391</v>
      </c>
      <c r="NC213">
        <v>-2395</v>
      </c>
      <c r="ND213">
        <v>0</v>
      </c>
      <c r="NE213">
        <v>0</v>
      </c>
      <c r="NF213">
        <v>0</v>
      </c>
      <c r="NG213">
        <v>0</v>
      </c>
      <c r="NH213">
        <v>0</v>
      </c>
      <c r="NI213">
        <v>0</v>
      </c>
      <c r="NJ213">
        <v>0</v>
      </c>
      <c r="NK213">
        <v>0</v>
      </c>
      <c r="NL213">
        <v>0</v>
      </c>
      <c r="NM213">
        <v>0</v>
      </c>
      <c r="NN213">
        <v>0</v>
      </c>
      <c r="NO213">
        <v>0</v>
      </c>
      <c r="NP213">
        <v>0</v>
      </c>
      <c r="NQ213">
        <v>0</v>
      </c>
      <c r="NR213">
        <v>0</v>
      </c>
      <c r="NS213">
        <v>0</v>
      </c>
      <c r="NT213">
        <v>0</v>
      </c>
      <c r="NU213">
        <v>0</v>
      </c>
      <c r="NV213">
        <v>0</v>
      </c>
      <c r="NW213">
        <v>0</v>
      </c>
      <c r="NX213">
        <v>0</v>
      </c>
      <c r="NY213">
        <v>0</v>
      </c>
      <c r="NZ213">
        <v>0</v>
      </c>
      <c r="OA213">
        <v>0</v>
      </c>
      <c r="OB213">
        <v>0</v>
      </c>
      <c r="OC213">
        <v>0</v>
      </c>
      <c r="OD213">
        <v>0</v>
      </c>
      <c r="OE213">
        <v>-391</v>
      </c>
      <c r="OF213">
        <v>0</v>
      </c>
      <c r="OG213">
        <v>0</v>
      </c>
      <c r="OH213">
        <v>-391</v>
      </c>
      <c r="OI213">
        <v>0</v>
      </c>
      <c r="OJ213">
        <v>0</v>
      </c>
      <c r="OK213">
        <v>0</v>
      </c>
      <c r="OL213">
        <v>0</v>
      </c>
      <c r="OM213">
        <v>0</v>
      </c>
      <c r="ON213">
        <v>0</v>
      </c>
    </row>
    <row r="214" spans="1:404" x14ac:dyDescent="0.25">
      <c r="A214" t="s">
        <v>707</v>
      </c>
      <c r="B214" t="s">
        <v>708</v>
      </c>
      <c r="C214" t="s">
        <v>706</v>
      </c>
      <c r="E214" t="s">
        <v>1942</v>
      </c>
      <c r="F214">
        <v>45414</v>
      </c>
      <c r="G214">
        <v>176199</v>
      </c>
      <c r="H214">
        <v>23722</v>
      </c>
      <c r="I214">
        <v>51147</v>
      </c>
      <c r="J214">
        <v>3684</v>
      </c>
      <c r="K214">
        <v>56660</v>
      </c>
      <c r="L214">
        <v>356826</v>
      </c>
      <c r="M214">
        <v>2424</v>
      </c>
      <c r="N214">
        <v>1372</v>
      </c>
      <c r="O214">
        <v>490</v>
      </c>
      <c r="P214">
        <v>6036</v>
      </c>
      <c r="Q214">
        <v>1171</v>
      </c>
      <c r="R214">
        <v>-299</v>
      </c>
      <c r="S214">
        <v>7079</v>
      </c>
      <c r="T214">
        <v>4169</v>
      </c>
      <c r="U214">
        <v>2889</v>
      </c>
      <c r="V214">
        <v>0</v>
      </c>
      <c r="W214">
        <v>0</v>
      </c>
      <c r="X214">
        <v>238</v>
      </c>
      <c r="Y214">
        <v>925</v>
      </c>
      <c r="Z214">
        <v>-16</v>
      </c>
      <c r="AA214">
        <v>0</v>
      </c>
      <c r="AB214">
        <v>6541</v>
      </c>
      <c r="AC214">
        <v>0</v>
      </c>
      <c r="AD214">
        <v>4637</v>
      </c>
      <c r="AE214">
        <v>13</v>
      </c>
      <c r="AF214">
        <v>0</v>
      </c>
      <c r="AG214">
        <v>4706</v>
      </c>
      <c r="AH214">
        <v>0</v>
      </c>
      <c r="AI214">
        <v>42375</v>
      </c>
      <c r="AJ214">
        <v>0</v>
      </c>
      <c r="AK214">
        <v>0</v>
      </c>
      <c r="AL214">
        <v>0</v>
      </c>
      <c r="AM214">
        <v>0</v>
      </c>
      <c r="AN214">
        <v>0</v>
      </c>
      <c r="AO214">
        <v>0</v>
      </c>
      <c r="AP214">
        <v>0</v>
      </c>
      <c r="AQ214">
        <v>1271</v>
      </c>
      <c r="AR214">
        <v>48</v>
      </c>
      <c r="AS214">
        <v>0</v>
      </c>
      <c r="AT214">
        <v>0</v>
      </c>
      <c r="AU214">
        <v>0</v>
      </c>
      <c r="AV214">
        <v>3121</v>
      </c>
      <c r="AW214">
        <v>42648</v>
      </c>
      <c r="AX214">
        <v>3210</v>
      </c>
      <c r="AY214">
        <v>12561</v>
      </c>
      <c r="AZ214">
        <v>1759</v>
      </c>
      <c r="BA214">
        <v>31417</v>
      </c>
      <c r="BB214">
        <v>0</v>
      </c>
      <c r="BC214">
        <v>8745</v>
      </c>
      <c r="BD214">
        <v>103461</v>
      </c>
      <c r="BE214">
        <v>13602</v>
      </c>
      <c r="BF214">
        <v>75239</v>
      </c>
      <c r="BG214">
        <v>82</v>
      </c>
      <c r="BH214">
        <v>622</v>
      </c>
      <c r="BI214">
        <v>918</v>
      </c>
      <c r="BJ214">
        <v>5205</v>
      </c>
      <c r="BK214">
        <v>71929</v>
      </c>
      <c r="BL214">
        <v>7992</v>
      </c>
      <c r="BM214">
        <v>7732</v>
      </c>
      <c r="BN214">
        <v>6326</v>
      </c>
      <c r="BO214">
        <v>-1</v>
      </c>
      <c r="BP214">
        <v>0</v>
      </c>
      <c r="BQ214">
        <v>0</v>
      </c>
      <c r="BR214">
        <v>617</v>
      </c>
      <c r="BS214">
        <v>2425</v>
      </c>
      <c r="BT214">
        <v>30705</v>
      </c>
      <c r="BU214">
        <v>687</v>
      </c>
      <c r="BV214">
        <v>-14141</v>
      </c>
      <c r="BW214">
        <v>212047</v>
      </c>
      <c r="BX214">
        <v>3959</v>
      </c>
      <c r="BY214">
        <v>654</v>
      </c>
      <c r="BZ214">
        <v>0</v>
      </c>
      <c r="CA214">
        <v>542</v>
      </c>
      <c r="CB214">
        <v>241</v>
      </c>
      <c r="CC214">
        <v>70</v>
      </c>
      <c r="CD214">
        <v>178</v>
      </c>
      <c r="CE214">
        <v>1076</v>
      </c>
      <c r="CF214">
        <v>0</v>
      </c>
      <c r="CG214">
        <v>591</v>
      </c>
      <c r="CH214">
        <v>0</v>
      </c>
      <c r="CI214">
        <v>4715</v>
      </c>
      <c r="CJ214">
        <v>2519</v>
      </c>
      <c r="CK214">
        <v>0</v>
      </c>
      <c r="CL214">
        <v>0</v>
      </c>
      <c r="CM214">
        <v>193</v>
      </c>
      <c r="CN214">
        <v>395</v>
      </c>
      <c r="CO214">
        <v>154</v>
      </c>
      <c r="CP214">
        <v>1559</v>
      </c>
      <c r="CQ214">
        <v>9313</v>
      </c>
      <c r="CR214">
        <v>30</v>
      </c>
      <c r="CS214">
        <v>0</v>
      </c>
      <c r="CT214">
        <v>0</v>
      </c>
      <c r="CU214">
        <v>4334</v>
      </c>
      <c r="CV214">
        <v>46568</v>
      </c>
      <c r="CW214">
        <v>0</v>
      </c>
      <c r="CX214">
        <v>0</v>
      </c>
      <c r="CY214">
        <v>0</v>
      </c>
      <c r="CZ214">
        <v>0</v>
      </c>
      <c r="DA214">
        <v>0</v>
      </c>
      <c r="DB214">
        <v>0</v>
      </c>
      <c r="DC214">
        <v>0</v>
      </c>
      <c r="DD214">
        <v>0</v>
      </c>
      <c r="DE214">
        <v>0</v>
      </c>
      <c r="DF214">
        <v>0</v>
      </c>
      <c r="DG214">
        <v>0</v>
      </c>
      <c r="DH214">
        <v>0</v>
      </c>
      <c r="DI214">
        <v>0</v>
      </c>
      <c r="DJ214">
        <v>0</v>
      </c>
      <c r="DK214">
        <v>0</v>
      </c>
      <c r="DL214">
        <v>0</v>
      </c>
      <c r="DM214">
        <v>0</v>
      </c>
      <c r="DN214">
        <v>0</v>
      </c>
      <c r="DO214">
        <v>0</v>
      </c>
      <c r="DP214">
        <v>0</v>
      </c>
      <c r="DQ214">
        <v>0</v>
      </c>
      <c r="DR214">
        <v>0</v>
      </c>
      <c r="DS214">
        <v>0</v>
      </c>
      <c r="DT214">
        <v>0</v>
      </c>
      <c r="DU214">
        <v>186</v>
      </c>
      <c r="DV214">
        <v>1075</v>
      </c>
      <c r="DW214">
        <v>0</v>
      </c>
      <c r="DX214">
        <v>1261</v>
      </c>
      <c r="DY214">
        <v>0</v>
      </c>
      <c r="DZ214">
        <v>0</v>
      </c>
      <c r="EA214">
        <v>0</v>
      </c>
      <c r="EB214">
        <v>0</v>
      </c>
      <c r="EC214">
        <v>0</v>
      </c>
      <c r="ED214">
        <v>0</v>
      </c>
      <c r="EE214">
        <v>0</v>
      </c>
      <c r="EF214">
        <v>0</v>
      </c>
      <c r="EG214">
        <v>0</v>
      </c>
      <c r="EH214">
        <v>0</v>
      </c>
      <c r="EI214">
        <v>0</v>
      </c>
      <c r="EJ214">
        <v>0</v>
      </c>
      <c r="EK214">
        <v>0</v>
      </c>
      <c r="EL214">
        <v>0</v>
      </c>
      <c r="EM214">
        <v>0</v>
      </c>
      <c r="EN214">
        <v>0</v>
      </c>
      <c r="EO214">
        <v>0</v>
      </c>
      <c r="EP214">
        <v>0</v>
      </c>
      <c r="EQ214">
        <v>0</v>
      </c>
      <c r="ER214">
        <v>0</v>
      </c>
      <c r="ES214">
        <v>0</v>
      </c>
      <c r="ET214">
        <v>0</v>
      </c>
      <c r="EU214">
        <v>619</v>
      </c>
      <c r="EV214">
        <v>8</v>
      </c>
      <c r="EW214">
        <v>321</v>
      </c>
      <c r="EX214">
        <v>1092</v>
      </c>
      <c r="EY214">
        <v>0</v>
      </c>
      <c r="EZ214">
        <v>0</v>
      </c>
      <c r="FA214">
        <v>0</v>
      </c>
      <c r="FB214">
        <v>0</v>
      </c>
      <c r="FC214">
        <v>-1</v>
      </c>
      <c r="FD214">
        <v>71</v>
      </c>
      <c r="FE214">
        <v>0</v>
      </c>
      <c r="FF214">
        <v>462</v>
      </c>
      <c r="FG214">
        <v>3547</v>
      </c>
      <c r="FH214">
        <v>6119</v>
      </c>
      <c r="FI214">
        <v>0</v>
      </c>
      <c r="FJ214">
        <v>1694</v>
      </c>
      <c r="FK214">
        <v>0</v>
      </c>
      <c r="FL214">
        <v>0</v>
      </c>
      <c r="FM214">
        <v>0</v>
      </c>
      <c r="FN214">
        <v>0</v>
      </c>
      <c r="FO214">
        <v>0</v>
      </c>
      <c r="FP214">
        <v>0</v>
      </c>
      <c r="FQ214">
        <v>0</v>
      </c>
      <c r="FR214">
        <v>0</v>
      </c>
      <c r="FS214">
        <v>0</v>
      </c>
      <c r="FT214">
        <v>0</v>
      </c>
      <c r="FU214">
        <v>-75</v>
      </c>
      <c r="FV214">
        <v>171</v>
      </c>
      <c r="FW214">
        <v>0</v>
      </c>
      <c r="FX214">
        <v>0</v>
      </c>
      <c r="FY214">
        <v>2777</v>
      </c>
      <c r="FZ214">
        <v>339</v>
      </c>
      <c r="GA214">
        <v>0</v>
      </c>
      <c r="GB214">
        <v>0</v>
      </c>
      <c r="GC214">
        <v>0</v>
      </c>
      <c r="GD214">
        <v>0</v>
      </c>
      <c r="GE214">
        <v>0</v>
      </c>
      <c r="GF214">
        <v>20658</v>
      </c>
      <c r="GG214">
        <v>0</v>
      </c>
      <c r="GH214">
        <v>3170</v>
      </c>
      <c r="GI214">
        <v>0</v>
      </c>
      <c r="GJ214">
        <v>0</v>
      </c>
      <c r="GK214">
        <v>28734</v>
      </c>
      <c r="GL214">
        <v>0</v>
      </c>
      <c r="GM214">
        <v>1234</v>
      </c>
      <c r="GN214">
        <v>137</v>
      </c>
      <c r="GO214">
        <v>128</v>
      </c>
      <c r="GP214">
        <v>376</v>
      </c>
      <c r="GQ214">
        <v>9052</v>
      </c>
      <c r="GR214">
        <v>25</v>
      </c>
      <c r="GS214">
        <v>866</v>
      </c>
      <c r="GT214">
        <v>1442</v>
      </c>
      <c r="GU214">
        <v>13260</v>
      </c>
      <c r="GV214">
        <v>48113</v>
      </c>
      <c r="GW214">
        <v>0</v>
      </c>
      <c r="GX214">
        <v>1369</v>
      </c>
      <c r="GY214">
        <v>26640</v>
      </c>
      <c r="GZ214">
        <v>0</v>
      </c>
      <c r="HA214">
        <v>28009</v>
      </c>
      <c r="HB214">
        <v>2502</v>
      </c>
      <c r="HC214">
        <v>0</v>
      </c>
      <c r="HD214">
        <v>0</v>
      </c>
      <c r="HE214">
        <v>0</v>
      </c>
      <c r="HF214">
        <v>0</v>
      </c>
      <c r="HG214">
        <v>0</v>
      </c>
      <c r="HH214">
        <v>0</v>
      </c>
      <c r="HI214">
        <v>1263</v>
      </c>
      <c r="HJ214">
        <v>0</v>
      </c>
      <c r="HK214">
        <v>711</v>
      </c>
      <c r="HL214">
        <v>611</v>
      </c>
      <c r="HM214">
        <v>0</v>
      </c>
      <c r="HN214">
        <v>0</v>
      </c>
      <c r="HO214">
        <v>0</v>
      </c>
      <c r="HP214">
        <v>2302</v>
      </c>
      <c r="HQ214">
        <v>0</v>
      </c>
      <c r="HR214">
        <v>0</v>
      </c>
      <c r="HS214">
        <v>0</v>
      </c>
      <c r="HT214">
        <v>0</v>
      </c>
      <c r="HU214">
        <v>0</v>
      </c>
      <c r="HV214">
        <v>7389</v>
      </c>
      <c r="HW214">
        <v>0</v>
      </c>
      <c r="HX214">
        <v>0</v>
      </c>
      <c r="HY214">
        <v>0</v>
      </c>
      <c r="HZ214">
        <v>0</v>
      </c>
      <c r="IA214">
        <v>0</v>
      </c>
      <c r="IB214">
        <v>0</v>
      </c>
      <c r="IC214">
        <v>356826</v>
      </c>
      <c r="ID214">
        <v>42375</v>
      </c>
      <c r="IE214">
        <v>103461</v>
      </c>
      <c r="IF214">
        <v>212047</v>
      </c>
      <c r="IG214">
        <v>46568</v>
      </c>
      <c r="IH214">
        <v>1261</v>
      </c>
      <c r="II214">
        <v>6119</v>
      </c>
      <c r="IJ214">
        <v>28734</v>
      </c>
      <c r="IK214">
        <v>13260</v>
      </c>
      <c r="IL214">
        <v>0</v>
      </c>
      <c r="IM214">
        <v>28009</v>
      </c>
      <c r="IN214">
        <v>7389</v>
      </c>
      <c r="IO214">
        <v>0</v>
      </c>
      <c r="IP214">
        <v>846049</v>
      </c>
      <c r="IQ214">
        <v>0</v>
      </c>
      <c r="IR214">
        <v>0</v>
      </c>
      <c r="IS214">
        <v>0</v>
      </c>
      <c r="IT214">
        <v>0</v>
      </c>
      <c r="IU214">
        <v>0</v>
      </c>
      <c r="IV214">
        <v>0</v>
      </c>
      <c r="IW214">
        <v>0</v>
      </c>
      <c r="IX214">
        <v>0</v>
      </c>
      <c r="IY214">
        <v>0</v>
      </c>
      <c r="IZ214">
        <v>1647</v>
      </c>
      <c r="JA214">
        <v>-1705</v>
      </c>
      <c r="JB214">
        <v>160</v>
      </c>
      <c r="JC214">
        <v>0</v>
      </c>
      <c r="JD214">
        <v>0</v>
      </c>
      <c r="JE214">
        <v>-767</v>
      </c>
      <c r="JF214">
        <v>0</v>
      </c>
      <c r="JG214">
        <v>845384</v>
      </c>
      <c r="JH214">
        <v>647</v>
      </c>
      <c r="JI214">
        <v>11067</v>
      </c>
      <c r="JJ214">
        <v>0</v>
      </c>
      <c r="JK214">
        <v>0</v>
      </c>
      <c r="JL214">
        <v>0</v>
      </c>
      <c r="JM214">
        <v>-624</v>
      </c>
      <c r="JN214">
        <v>38717</v>
      </c>
      <c r="JO214">
        <v>584</v>
      </c>
      <c r="JP214">
        <v>18277</v>
      </c>
      <c r="JQ214">
        <v>0</v>
      </c>
      <c r="JR214">
        <v>914052</v>
      </c>
      <c r="JS214">
        <v>-1031</v>
      </c>
      <c r="JT214">
        <v>0</v>
      </c>
      <c r="JU214">
        <v>38</v>
      </c>
      <c r="JV214">
        <v>0</v>
      </c>
      <c r="JW214">
        <v>-7483</v>
      </c>
      <c r="JX214">
        <v>0</v>
      </c>
      <c r="JY214">
        <v>0</v>
      </c>
      <c r="JZ214">
        <v>0</v>
      </c>
      <c r="KA214">
        <v>0</v>
      </c>
      <c r="KB214">
        <v>0</v>
      </c>
      <c r="KC214">
        <v>905576</v>
      </c>
      <c r="KD214">
        <v>0</v>
      </c>
      <c r="KE214">
        <v>-429258</v>
      </c>
      <c r="KF214">
        <v>476318</v>
      </c>
      <c r="KG214">
        <v>0</v>
      </c>
      <c r="KH214">
        <v>-579</v>
      </c>
      <c r="KI214">
        <v>1015</v>
      </c>
      <c r="KJ214">
        <v>1143</v>
      </c>
      <c r="KK214">
        <v>11514</v>
      </c>
      <c r="KL214">
        <v>200</v>
      </c>
      <c r="KM214">
        <v>-20580</v>
      </c>
      <c r="KN214">
        <v>0</v>
      </c>
      <c r="KO214">
        <v>-125756</v>
      </c>
      <c r="KP214">
        <v>-3167</v>
      </c>
      <c r="KQ214">
        <v>0</v>
      </c>
      <c r="KR214">
        <v>318355</v>
      </c>
      <c r="KS214">
        <v>14237</v>
      </c>
      <c r="KT214">
        <v>11879</v>
      </c>
      <c r="KU214">
        <v>13050</v>
      </c>
      <c r="KV214">
        <v>218194</v>
      </c>
      <c r="KW214">
        <v>16200</v>
      </c>
      <c r="KX214">
        <v>13658</v>
      </c>
      <c r="KY214">
        <v>12894</v>
      </c>
      <c r="KZ214">
        <v>14193</v>
      </c>
      <c r="LA214">
        <v>229708</v>
      </c>
      <c r="LB214">
        <v>16400</v>
      </c>
      <c r="LC214">
        <v>0</v>
      </c>
      <c r="LD214">
        <v>85717</v>
      </c>
      <c r="LE214">
        <v>0</v>
      </c>
      <c r="LF214">
        <v>0</v>
      </c>
      <c r="LG214">
        <v>-86730</v>
      </c>
      <c r="LH214">
        <v>47406</v>
      </c>
      <c r="LI214">
        <v>46393</v>
      </c>
      <c r="LJ214">
        <v>0</v>
      </c>
      <c r="LK214">
        <v>0</v>
      </c>
      <c r="LL214">
        <v>0</v>
      </c>
      <c r="LM214">
        <v>0</v>
      </c>
      <c r="LN214">
        <v>0</v>
      </c>
      <c r="LO214">
        <v>0</v>
      </c>
      <c r="LP214">
        <v>0</v>
      </c>
      <c r="LQ214">
        <v>0</v>
      </c>
      <c r="LR214">
        <v>0</v>
      </c>
      <c r="LS214">
        <v>0</v>
      </c>
      <c r="LT214">
        <v>0</v>
      </c>
      <c r="LU214">
        <v>356826</v>
      </c>
      <c r="LV214">
        <v>42375</v>
      </c>
      <c r="LW214">
        <v>103461</v>
      </c>
      <c r="LX214">
        <v>212047</v>
      </c>
      <c r="LY214">
        <v>46568</v>
      </c>
      <c r="LZ214">
        <v>1261</v>
      </c>
      <c r="MA214">
        <v>6119</v>
      </c>
      <c r="MB214">
        <v>28734</v>
      </c>
      <c r="MC214">
        <v>13260</v>
      </c>
      <c r="MD214">
        <v>0</v>
      </c>
      <c r="ME214">
        <v>28009</v>
      </c>
      <c r="MF214">
        <v>7389</v>
      </c>
      <c r="MG214">
        <v>0</v>
      </c>
      <c r="MH214">
        <v>846049</v>
      </c>
      <c r="MI214">
        <v>0</v>
      </c>
      <c r="MJ214">
        <v>0</v>
      </c>
      <c r="MK214">
        <v>0</v>
      </c>
      <c r="ML214">
        <v>0</v>
      </c>
      <c r="MM214">
        <v>0</v>
      </c>
      <c r="MN214">
        <v>0</v>
      </c>
      <c r="MO214">
        <v>0</v>
      </c>
      <c r="MP214">
        <v>0</v>
      </c>
      <c r="MQ214">
        <v>0</v>
      </c>
      <c r="MR214">
        <v>0</v>
      </c>
      <c r="MS214">
        <v>0</v>
      </c>
      <c r="MT214">
        <v>0</v>
      </c>
      <c r="MU214">
        <v>0</v>
      </c>
      <c r="MV214">
        <v>0</v>
      </c>
      <c r="MW214">
        <v>0</v>
      </c>
      <c r="MX214">
        <v>0</v>
      </c>
      <c r="MY214">
        <v>-1705</v>
      </c>
      <c r="MZ214">
        <v>0</v>
      </c>
      <c r="NA214">
        <v>-1705</v>
      </c>
      <c r="NB214">
        <v>0</v>
      </c>
      <c r="NC214">
        <v>-1705</v>
      </c>
      <c r="ND214">
        <v>0</v>
      </c>
      <c r="NE214">
        <v>0</v>
      </c>
      <c r="NF214">
        <v>0</v>
      </c>
      <c r="NG214">
        <v>0</v>
      </c>
      <c r="NH214">
        <v>0</v>
      </c>
      <c r="NI214">
        <v>0</v>
      </c>
      <c r="NJ214">
        <v>0</v>
      </c>
      <c r="NK214">
        <v>0</v>
      </c>
      <c r="NL214">
        <v>0</v>
      </c>
      <c r="NM214">
        <v>160</v>
      </c>
      <c r="NN214">
        <v>0</v>
      </c>
      <c r="NO214">
        <v>0</v>
      </c>
      <c r="NP214">
        <v>0</v>
      </c>
      <c r="NQ214">
        <v>0</v>
      </c>
      <c r="NR214">
        <v>0</v>
      </c>
      <c r="NS214">
        <v>0</v>
      </c>
      <c r="NT214">
        <v>0</v>
      </c>
      <c r="NU214">
        <v>0</v>
      </c>
      <c r="NV214">
        <v>0</v>
      </c>
      <c r="NW214">
        <v>0</v>
      </c>
      <c r="NX214">
        <v>0</v>
      </c>
      <c r="NY214">
        <v>0</v>
      </c>
      <c r="NZ214">
        <v>160</v>
      </c>
      <c r="OA214">
        <v>0</v>
      </c>
      <c r="OB214">
        <v>160</v>
      </c>
      <c r="OC214">
        <v>0</v>
      </c>
      <c r="OD214">
        <v>0</v>
      </c>
      <c r="OE214">
        <v>0</v>
      </c>
      <c r="OF214">
        <v>0</v>
      </c>
      <c r="OG214">
        <v>0</v>
      </c>
      <c r="OH214">
        <v>0</v>
      </c>
      <c r="OI214">
        <v>0</v>
      </c>
      <c r="OJ214">
        <v>0</v>
      </c>
      <c r="OK214">
        <v>0</v>
      </c>
      <c r="OL214">
        <v>0</v>
      </c>
      <c r="OM214">
        <v>0</v>
      </c>
      <c r="ON214">
        <v>0</v>
      </c>
    </row>
    <row r="215" spans="1:404" x14ac:dyDescent="0.25">
      <c r="A215" t="s">
        <v>710</v>
      </c>
      <c r="B215" t="s">
        <v>711</v>
      </c>
      <c r="C215" t="s">
        <v>709</v>
      </c>
      <c r="E215" t="s">
        <v>71</v>
      </c>
      <c r="F215">
        <v>0</v>
      </c>
      <c r="G215">
        <v>0</v>
      </c>
      <c r="H215">
        <v>0</v>
      </c>
      <c r="I215">
        <v>0</v>
      </c>
      <c r="J215">
        <v>0</v>
      </c>
      <c r="K215">
        <v>0</v>
      </c>
      <c r="L215">
        <v>0</v>
      </c>
      <c r="M215">
        <v>0</v>
      </c>
      <c r="N215">
        <v>0</v>
      </c>
      <c r="O215">
        <v>0</v>
      </c>
      <c r="P215">
        <v>0</v>
      </c>
      <c r="Q215">
        <v>0</v>
      </c>
      <c r="R215">
        <v>0</v>
      </c>
      <c r="S215">
        <v>0</v>
      </c>
      <c r="T215">
        <v>0</v>
      </c>
      <c r="U215">
        <v>0</v>
      </c>
      <c r="V215">
        <v>0</v>
      </c>
      <c r="W215">
        <v>0</v>
      </c>
      <c r="X215">
        <v>0</v>
      </c>
      <c r="Y215">
        <v>0</v>
      </c>
      <c r="Z215">
        <v>0</v>
      </c>
      <c r="AA215">
        <v>0</v>
      </c>
      <c r="AB215">
        <v>0</v>
      </c>
      <c r="AC215">
        <v>0</v>
      </c>
      <c r="AD215">
        <v>0</v>
      </c>
      <c r="AE215">
        <v>0</v>
      </c>
      <c r="AF215">
        <v>0</v>
      </c>
      <c r="AG215">
        <v>0</v>
      </c>
      <c r="AH215">
        <v>0</v>
      </c>
      <c r="AI215">
        <v>0</v>
      </c>
      <c r="AJ215">
        <v>0</v>
      </c>
      <c r="AK215">
        <v>0</v>
      </c>
      <c r="AL215">
        <v>0</v>
      </c>
      <c r="AM215">
        <v>0</v>
      </c>
      <c r="AN215">
        <v>0</v>
      </c>
      <c r="AO215">
        <v>0</v>
      </c>
      <c r="AP215">
        <v>0</v>
      </c>
      <c r="AQ215">
        <v>0</v>
      </c>
      <c r="AR215">
        <v>0</v>
      </c>
      <c r="AS215">
        <v>0</v>
      </c>
      <c r="AT215">
        <v>0</v>
      </c>
      <c r="AU215">
        <v>0</v>
      </c>
      <c r="AV215">
        <v>0</v>
      </c>
      <c r="AW215">
        <v>0</v>
      </c>
      <c r="AX215">
        <v>0</v>
      </c>
      <c r="AY215">
        <v>0</v>
      </c>
      <c r="AZ215">
        <v>0</v>
      </c>
      <c r="BA215">
        <v>0</v>
      </c>
      <c r="BB215">
        <v>0</v>
      </c>
      <c r="BC215">
        <v>0</v>
      </c>
      <c r="BD215">
        <v>0</v>
      </c>
      <c r="BE215">
        <v>0</v>
      </c>
      <c r="BF215">
        <v>0</v>
      </c>
      <c r="BG215">
        <v>0</v>
      </c>
      <c r="BH215">
        <v>0</v>
      </c>
      <c r="BI215">
        <v>0</v>
      </c>
      <c r="BJ215">
        <v>0</v>
      </c>
      <c r="BK215">
        <v>0</v>
      </c>
      <c r="BL215">
        <v>0</v>
      </c>
      <c r="BM215">
        <v>0</v>
      </c>
      <c r="BN215">
        <v>0</v>
      </c>
      <c r="BO215">
        <v>0</v>
      </c>
      <c r="BP215">
        <v>0</v>
      </c>
      <c r="BQ215">
        <v>0</v>
      </c>
      <c r="BR215">
        <v>0</v>
      </c>
      <c r="BS215">
        <v>0</v>
      </c>
      <c r="BT215">
        <v>0</v>
      </c>
      <c r="BU215">
        <v>0</v>
      </c>
      <c r="BV215">
        <v>0</v>
      </c>
      <c r="BW215">
        <v>0</v>
      </c>
      <c r="BX215">
        <v>0</v>
      </c>
      <c r="BY215">
        <v>0</v>
      </c>
      <c r="BZ215">
        <v>0</v>
      </c>
      <c r="CA215">
        <v>0</v>
      </c>
      <c r="CB215">
        <v>0</v>
      </c>
      <c r="CC215">
        <v>0</v>
      </c>
      <c r="CD215">
        <v>0</v>
      </c>
      <c r="CE215">
        <v>0</v>
      </c>
      <c r="CF215">
        <v>0</v>
      </c>
      <c r="CG215">
        <v>0</v>
      </c>
      <c r="CH215">
        <v>0</v>
      </c>
      <c r="CI215">
        <v>0</v>
      </c>
      <c r="CJ215">
        <v>0</v>
      </c>
      <c r="CK215">
        <v>0</v>
      </c>
      <c r="CL215">
        <v>0</v>
      </c>
      <c r="CM215">
        <v>0</v>
      </c>
      <c r="CN215">
        <v>0</v>
      </c>
      <c r="CO215">
        <v>0</v>
      </c>
      <c r="CP215">
        <v>0</v>
      </c>
      <c r="CQ215">
        <v>0</v>
      </c>
      <c r="CR215">
        <v>0</v>
      </c>
      <c r="CS215">
        <v>0</v>
      </c>
      <c r="CT215">
        <v>0</v>
      </c>
      <c r="CU215">
        <v>0</v>
      </c>
      <c r="CV215">
        <v>0</v>
      </c>
      <c r="CW215">
        <v>0</v>
      </c>
      <c r="CX215">
        <v>0</v>
      </c>
      <c r="CY215">
        <v>0</v>
      </c>
      <c r="CZ215">
        <v>0</v>
      </c>
      <c r="DA215">
        <v>0</v>
      </c>
      <c r="DB215">
        <v>0</v>
      </c>
      <c r="DC215">
        <v>0</v>
      </c>
      <c r="DD215">
        <v>0</v>
      </c>
      <c r="DE215">
        <v>0</v>
      </c>
      <c r="DF215">
        <v>0</v>
      </c>
      <c r="DG215">
        <v>0</v>
      </c>
      <c r="DH215">
        <v>0</v>
      </c>
      <c r="DI215">
        <v>0</v>
      </c>
      <c r="DJ215">
        <v>0</v>
      </c>
      <c r="DK215">
        <v>0</v>
      </c>
      <c r="DL215">
        <v>0</v>
      </c>
      <c r="DM215">
        <v>0</v>
      </c>
      <c r="DN215">
        <v>0</v>
      </c>
      <c r="DO215">
        <v>0</v>
      </c>
      <c r="DP215">
        <v>0</v>
      </c>
      <c r="DQ215">
        <v>0</v>
      </c>
      <c r="DR215">
        <v>0</v>
      </c>
      <c r="DS215">
        <v>0</v>
      </c>
      <c r="DT215">
        <v>0</v>
      </c>
      <c r="DU215">
        <v>0</v>
      </c>
      <c r="DV215">
        <v>0</v>
      </c>
      <c r="DW215">
        <v>0</v>
      </c>
      <c r="DX215">
        <v>0</v>
      </c>
      <c r="DY215">
        <v>0</v>
      </c>
      <c r="DZ215">
        <v>0</v>
      </c>
      <c r="EA215">
        <v>0</v>
      </c>
      <c r="EB215">
        <v>0</v>
      </c>
      <c r="EC215">
        <v>0</v>
      </c>
      <c r="ED215">
        <v>0</v>
      </c>
      <c r="EE215">
        <v>0</v>
      </c>
      <c r="EF215">
        <v>0</v>
      </c>
      <c r="EG215">
        <v>0</v>
      </c>
      <c r="EH215">
        <v>0</v>
      </c>
      <c r="EI215">
        <v>0</v>
      </c>
      <c r="EJ215">
        <v>0</v>
      </c>
      <c r="EK215">
        <v>0</v>
      </c>
      <c r="EL215">
        <v>0</v>
      </c>
      <c r="EM215">
        <v>0</v>
      </c>
      <c r="EN215">
        <v>0</v>
      </c>
      <c r="EO215">
        <v>0</v>
      </c>
      <c r="EP215">
        <v>0</v>
      </c>
      <c r="EQ215">
        <v>0</v>
      </c>
      <c r="ER215">
        <v>0</v>
      </c>
      <c r="ES215">
        <v>0</v>
      </c>
      <c r="ET215">
        <v>0</v>
      </c>
      <c r="EU215">
        <v>0</v>
      </c>
      <c r="EV215">
        <v>0</v>
      </c>
      <c r="EW215">
        <v>0</v>
      </c>
      <c r="EX215">
        <v>0</v>
      </c>
      <c r="EY215">
        <v>0</v>
      </c>
      <c r="EZ215">
        <v>0</v>
      </c>
      <c r="FA215">
        <v>0</v>
      </c>
      <c r="FB215">
        <v>0</v>
      </c>
      <c r="FC215">
        <v>0</v>
      </c>
      <c r="FD215">
        <v>0</v>
      </c>
      <c r="FE215">
        <v>0</v>
      </c>
      <c r="FF215">
        <v>0</v>
      </c>
      <c r="FG215">
        <v>0</v>
      </c>
      <c r="FH215">
        <v>0</v>
      </c>
      <c r="FI215">
        <v>0</v>
      </c>
      <c r="FJ215">
        <v>0</v>
      </c>
      <c r="FK215">
        <v>0</v>
      </c>
      <c r="FL215">
        <v>0</v>
      </c>
      <c r="FM215">
        <v>0</v>
      </c>
      <c r="FN215">
        <v>0</v>
      </c>
      <c r="FO215">
        <v>0</v>
      </c>
      <c r="FP215">
        <v>0</v>
      </c>
      <c r="FQ215">
        <v>0</v>
      </c>
      <c r="FR215">
        <v>0</v>
      </c>
      <c r="FS215">
        <v>0</v>
      </c>
      <c r="FT215">
        <v>0</v>
      </c>
      <c r="FU215">
        <v>0</v>
      </c>
      <c r="FV215">
        <v>0</v>
      </c>
      <c r="FW215">
        <v>0</v>
      </c>
      <c r="FX215">
        <v>0</v>
      </c>
      <c r="FY215">
        <v>0</v>
      </c>
      <c r="FZ215">
        <v>0</v>
      </c>
      <c r="GA215">
        <v>0</v>
      </c>
      <c r="GB215">
        <v>0</v>
      </c>
      <c r="GC215">
        <v>0</v>
      </c>
      <c r="GD215">
        <v>0</v>
      </c>
      <c r="GE215">
        <v>0</v>
      </c>
      <c r="GF215">
        <v>0</v>
      </c>
      <c r="GG215">
        <v>0</v>
      </c>
      <c r="GH215">
        <v>0</v>
      </c>
      <c r="GI215">
        <v>0</v>
      </c>
      <c r="GJ215">
        <v>0</v>
      </c>
      <c r="GK215">
        <v>0</v>
      </c>
      <c r="GL215">
        <v>0</v>
      </c>
      <c r="GM215">
        <v>0</v>
      </c>
      <c r="GN215">
        <v>0</v>
      </c>
      <c r="GO215">
        <v>0</v>
      </c>
      <c r="GP215">
        <v>0</v>
      </c>
      <c r="GQ215">
        <v>0</v>
      </c>
      <c r="GR215">
        <v>0</v>
      </c>
      <c r="GS215">
        <v>0</v>
      </c>
      <c r="GT215">
        <v>0</v>
      </c>
      <c r="GU215">
        <v>0</v>
      </c>
      <c r="GV215">
        <v>0</v>
      </c>
      <c r="GW215">
        <v>126938</v>
      </c>
      <c r="GX215">
        <v>0</v>
      </c>
      <c r="GY215">
        <v>0</v>
      </c>
      <c r="GZ215">
        <v>0</v>
      </c>
      <c r="HA215">
        <v>0</v>
      </c>
      <c r="HB215">
        <v>0</v>
      </c>
      <c r="HC215">
        <v>0</v>
      </c>
      <c r="HD215">
        <v>0</v>
      </c>
      <c r="HE215">
        <v>0</v>
      </c>
      <c r="HF215">
        <v>0</v>
      </c>
      <c r="HG215">
        <v>0</v>
      </c>
      <c r="HH215">
        <v>0</v>
      </c>
      <c r="HI215">
        <v>0</v>
      </c>
      <c r="HJ215">
        <v>0</v>
      </c>
      <c r="HK215">
        <v>0</v>
      </c>
      <c r="HL215">
        <v>0</v>
      </c>
      <c r="HM215">
        <v>0</v>
      </c>
      <c r="HN215">
        <v>0</v>
      </c>
      <c r="HO215">
        <v>0</v>
      </c>
      <c r="HP215">
        <v>0</v>
      </c>
      <c r="HQ215">
        <v>0</v>
      </c>
      <c r="HR215">
        <v>0</v>
      </c>
      <c r="HS215">
        <v>0</v>
      </c>
      <c r="HT215">
        <v>0</v>
      </c>
      <c r="HU215">
        <v>0</v>
      </c>
      <c r="HV215">
        <v>0</v>
      </c>
      <c r="HW215">
        <v>0</v>
      </c>
      <c r="HX215">
        <v>0</v>
      </c>
      <c r="HY215">
        <v>0</v>
      </c>
      <c r="HZ215">
        <v>0</v>
      </c>
      <c r="IA215">
        <v>0</v>
      </c>
      <c r="IB215">
        <v>0</v>
      </c>
      <c r="IC215">
        <v>0</v>
      </c>
      <c r="ID215">
        <v>0</v>
      </c>
      <c r="IE215">
        <v>0</v>
      </c>
      <c r="IF215">
        <v>0</v>
      </c>
      <c r="IG215">
        <v>0</v>
      </c>
      <c r="IH215">
        <v>0</v>
      </c>
      <c r="II215">
        <v>0</v>
      </c>
      <c r="IJ215">
        <v>0</v>
      </c>
      <c r="IK215">
        <v>0</v>
      </c>
      <c r="IL215">
        <v>126938</v>
      </c>
      <c r="IM215">
        <v>0</v>
      </c>
      <c r="IN215">
        <v>0</v>
      </c>
      <c r="IO215">
        <v>0</v>
      </c>
      <c r="IP215">
        <v>126938</v>
      </c>
      <c r="IQ215">
        <v>0</v>
      </c>
      <c r="IR215">
        <v>0</v>
      </c>
      <c r="IS215">
        <v>0</v>
      </c>
      <c r="IT215">
        <v>0</v>
      </c>
      <c r="IU215">
        <v>0</v>
      </c>
      <c r="IV215">
        <v>0</v>
      </c>
      <c r="IW215">
        <v>0</v>
      </c>
      <c r="IX215">
        <v>0</v>
      </c>
      <c r="IY215">
        <v>0</v>
      </c>
      <c r="IZ215">
        <v>955</v>
      </c>
      <c r="JA215">
        <v>0</v>
      </c>
      <c r="JB215">
        <v>0</v>
      </c>
      <c r="JC215">
        <v>0</v>
      </c>
      <c r="JD215">
        <v>0</v>
      </c>
      <c r="JE215">
        <v>-25</v>
      </c>
      <c r="JF215">
        <v>0</v>
      </c>
      <c r="JG215">
        <v>127868</v>
      </c>
      <c r="JH215">
        <v>0</v>
      </c>
      <c r="JI215">
        <v>0</v>
      </c>
      <c r="JJ215">
        <v>0</v>
      </c>
      <c r="JK215">
        <v>0</v>
      </c>
      <c r="JL215">
        <v>0</v>
      </c>
      <c r="JM215">
        <v>51</v>
      </c>
      <c r="JN215">
        <v>0</v>
      </c>
      <c r="JO215">
        <v>0</v>
      </c>
      <c r="JP215">
        <v>845</v>
      </c>
      <c r="JQ215">
        <v>0</v>
      </c>
      <c r="JR215">
        <v>128764</v>
      </c>
      <c r="JS215">
        <v>-23</v>
      </c>
      <c r="JT215">
        <v>0</v>
      </c>
      <c r="JU215">
        <v>0</v>
      </c>
      <c r="JV215">
        <v>0</v>
      </c>
      <c r="JW215">
        <v>0</v>
      </c>
      <c r="JX215">
        <v>0</v>
      </c>
      <c r="JY215">
        <v>0</v>
      </c>
      <c r="JZ215">
        <v>0</v>
      </c>
      <c r="KA215">
        <v>0</v>
      </c>
      <c r="KB215">
        <v>0</v>
      </c>
      <c r="KC215">
        <v>128741</v>
      </c>
      <c r="KD215">
        <v>0</v>
      </c>
      <c r="KE215">
        <v>0</v>
      </c>
      <c r="KF215">
        <v>128741</v>
      </c>
      <c r="KG215">
        <v>0</v>
      </c>
      <c r="KH215">
        <v>0</v>
      </c>
      <c r="KI215">
        <v>0</v>
      </c>
      <c r="KJ215">
        <v>0</v>
      </c>
      <c r="KK215">
        <v>8430</v>
      </c>
      <c r="KL215">
        <v>0</v>
      </c>
      <c r="KM215">
        <v>0</v>
      </c>
      <c r="KN215">
        <v>-74387</v>
      </c>
      <c r="KO215">
        <v>0</v>
      </c>
      <c r="KP215">
        <v>488</v>
      </c>
      <c r="KQ215">
        <v>0</v>
      </c>
      <c r="KR215">
        <v>62265</v>
      </c>
      <c r="KS215">
        <v>0</v>
      </c>
      <c r="KT215">
        <v>0</v>
      </c>
      <c r="KU215">
        <v>0</v>
      </c>
      <c r="KV215">
        <v>10570</v>
      </c>
      <c r="KW215">
        <v>3332</v>
      </c>
      <c r="KX215">
        <v>0</v>
      </c>
      <c r="KY215">
        <v>0</v>
      </c>
      <c r="KZ215">
        <v>0</v>
      </c>
      <c r="LA215">
        <v>19000</v>
      </c>
      <c r="LB215">
        <v>3332</v>
      </c>
      <c r="LC215">
        <v>0</v>
      </c>
      <c r="LD215">
        <v>4152</v>
      </c>
      <c r="LE215">
        <v>0</v>
      </c>
      <c r="LF215">
        <v>0</v>
      </c>
      <c r="LG215">
        <v>0</v>
      </c>
      <c r="LH215">
        <v>0</v>
      </c>
      <c r="LI215">
        <v>4152</v>
      </c>
      <c r="LJ215">
        <v>0</v>
      </c>
      <c r="LK215">
        <v>0</v>
      </c>
      <c r="LL215">
        <v>0</v>
      </c>
      <c r="LM215">
        <v>0</v>
      </c>
      <c r="LN215">
        <v>0</v>
      </c>
      <c r="LO215">
        <v>0</v>
      </c>
      <c r="LP215">
        <v>0</v>
      </c>
      <c r="LQ215">
        <v>0</v>
      </c>
      <c r="LR215">
        <v>0</v>
      </c>
      <c r="LS215">
        <v>0</v>
      </c>
      <c r="LT215">
        <v>0</v>
      </c>
      <c r="LU215">
        <v>0</v>
      </c>
      <c r="LV215">
        <v>0</v>
      </c>
      <c r="LW215">
        <v>0</v>
      </c>
      <c r="LX215">
        <v>0</v>
      </c>
      <c r="LY215">
        <v>0</v>
      </c>
      <c r="LZ215">
        <v>0</v>
      </c>
      <c r="MA215">
        <v>0</v>
      </c>
      <c r="MB215">
        <v>0</v>
      </c>
      <c r="MC215">
        <v>0</v>
      </c>
      <c r="MD215">
        <v>126938</v>
      </c>
      <c r="ME215">
        <v>0</v>
      </c>
      <c r="MF215">
        <v>0</v>
      </c>
      <c r="MG215">
        <v>0</v>
      </c>
      <c r="MH215">
        <v>126938</v>
      </c>
      <c r="MI215">
        <v>0</v>
      </c>
      <c r="MJ215">
        <v>0</v>
      </c>
      <c r="MK215">
        <v>0</v>
      </c>
      <c r="ML215">
        <v>0</v>
      </c>
      <c r="MM215">
        <v>0</v>
      </c>
      <c r="MN215">
        <v>0</v>
      </c>
      <c r="MO215">
        <v>0</v>
      </c>
      <c r="MP215">
        <v>0</v>
      </c>
      <c r="MQ215">
        <v>0</v>
      </c>
      <c r="MR215">
        <v>0</v>
      </c>
      <c r="MS215">
        <v>0</v>
      </c>
      <c r="MT215">
        <v>0</v>
      </c>
      <c r="MU215">
        <v>0</v>
      </c>
      <c r="MV215">
        <v>0</v>
      </c>
      <c r="MW215">
        <v>0</v>
      </c>
      <c r="MX215">
        <v>0</v>
      </c>
      <c r="MY215">
        <v>0</v>
      </c>
      <c r="MZ215">
        <v>0</v>
      </c>
      <c r="NA215">
        <v>0</v>
      </c>
      <c r="NB215">
        <v>0</v>
      </c>
      <c r="NC215">
        <v>0</v>
      </c>
      <c r="ND215">
        <v>0</v>
      </c>
      <c r="NE215">
        <v>0</v>
      </c>
      <c r="NF215">
        <v>0</v>
      </c>
      <c r="NG215">
        <v>0</v>
      </c>
      <c r="NH215">
        <v>0</v>
      </c>
      <c r="NI215">
        <v>0</v>
      </c>
      <c r="NJ215">
        <v>0</v>
      </c>
      <c r="NK215">
        <v>0</v>
      </c>
      <c r="NL215">
        <v>0</v>
      </c>
      <c r="NM215">
        <v>0</v>
      </c>
      <c r="NN215">
        <v>0</v>
      </c>
      <c r="NO215">
        <v>0</v>
      </c>
      <c r="NP215">
        <v>0</v>
      </c>
      <c r="NQ215">
        <v>0</v>
      </c>
      <c r="NR215">
        <v>0</v>
      </c>
      <c r="NS215">
        <v>0</v>
      </c>
      <c r="NT215">
        <v>0</v>
      </c>
      <c r="NU215">
        <v>0</v>
      </c>
      <c r="NV215">
        <v>0</v>
      </c>
      <c r="NW215">
        <v>0</v>
      </c>
      <c r="NX215">
        <v>0</v>
      </c>
      <c r="NY215">
        <v>0</v>
      </c>
      <c r="NZ215">
        <v>0</v>
      </c>
      <c r="OA215">
        <v>0</v>
      </c>
      <c r="OB215">
        <v>0</v>
      </c>
      <c r="OC215">
        <v>0</v>
      </c>
      <c r="OD215">
        <v>0</v>
      </c>
      <c r="OE215">
        <v>0</v>
      </c>
      <c r="OF215">
        <v>0</v>
      </c>
      <c r="OG215">
        <v>0</v>
      </c>
      <c r="OH215">
        <v>0</v>
      </c>
      <c r="OI215">
        <v>0</v>
      </c>
      <c r="OJ215">
        <v>0</v>
      </c>
      <c r="OK215">
        <v>0</v>
      </c>
      <c r="OL215">
        <v>0</v>
      </c>
      <c r="OM215">
        <v>0</v>
      </c>
      <c r="ON215">
        <v>0</v>
      </c>
    </row>
    <row r="216" spans="1:404" x14ac:dyDescent="0.25">
      <c r="A216" t="s">
        <v>713</v>
      </c>
      <c r="B216" t="s">
        <v>714</v>
      </c>
      <c r="C216" t="s">
        <v>712</v>
      </c>
      <c r="E216" t="s">
        <v>97</v>
      </c>
      <c r="F216">
        <v>27054</v>
      </c>
      <c r="G216">
        <v>226726</v>
      </c>
      <c r="H216">
        <v>103012</v>
      </c>
      <c r="I216">
        <v>49204</v>
      </c>
      <c r="J216">
        <v>2142</v>
      </c>
      <c r="K216">
        <v>35922</v>
      </c>
      <c r="L216">
        <v>444060</v>
      </c>
      <c r="M216">
        <v>-969</v>
      </c>
      <c r="N216">
        <v>0</v>
      </c>
      <c r="O216">
        <v>188</v>
      </c>
      <c r="P216">
        <v>1256</v>
      </c>
      <c r="Q216">
        <v>0</v>
      </c>
      <c r="R216">
        <v>681</v>
      </c>
      <c r="S216">
        <v>4568</v>
      </c>
      <c r="T216">
        <v>415</v>
      </c>
      <c r="U216">
        <v>3652</v>
      </c>
      <c r="V216">
        <v>0</v>
      </c>
      <c r="W216">
        <v>0</v>
      </c>
      <c r="X216">
        <v>277</v>
      </c>
      <c r="Y216">
        <v>2377</v>
      </c>
      <c r="Z216">
        <v>-1692</v>
      </c>
      <c r="AA216">
        <v>-1766</v>
      </c>
      <c r="AB216">
        <v>0</v>
      </c>
      <c r="AC216">
        <v>0</v>
      </c>
      <c r="AD216">
        <v>0</v>
      </c>
      <c r="AE216">
        <v>0</v>
      </c>
      <c r="AF216">
        <v>0</v>
      </c>
      <c r="AG216">
        <v>0</v>
      </c>
      <c r="AH216">
        <v>0</v>
      </c>
      <c r="AI216">
        <v>8987</v>
      </c>
      <c r="AJ216">
        <v>0</v>
      </c>
      <c r="AK216">
        <v>0</v>
      </c>
      <c r="AL216">
        <v>0</v>
      </c>
      <c r="AM216">
        <v>0</v>
      </c>
      <c r="AN216">
        <v>0</v>
      </c>
      <c r="AO216">
        <v>0</v>
      </c>
      <c r="AP216">
        <v>0</v>
      </c>
      <c r="AQ216">
        <v>2779</v>
      </c>
      <c r="AR216">
        <v>3876</v>
      </c>
      <c r="AS216">
        <v>0</v>
      </c>
      <c r="AT216">
        <v>0</v>
      </c>
      <c r="AU216">
        <v>0</v>
      </c>
      <c r="AV216">
        <v>6912</v>
      </c>
      <c r="AW216">
        <v>78176</v>
      </c>
      <c r="AX216">
        <v>0</v>
      </c>
      <c r="AY216">
        <v>21402</v>
      </c>
      <c r="AZ216">
        <v>3596</v>
      </c>
      <c r="BA216">
        <v>22036</v>
      </c>
      <c r="BB216">
        <v>1965</v>
      </c>
      <c r="BC216">
        <v>6144</v>
      </c>
      <c r="BD216">
        <v>140231</v>
      </c>
      <c r="BE216">
        <v>22711</v>
      </c>
      <c r="BF216">
        <v>43193</v>
      </c>
      <c r="BG216">
        <v>1615</v>
      </c>
      <c r="BH216">
        <v>491</v>
      </c>
      <c r="BI216">
        <v>821</v>
      </c>
      <c r="BJ216">
        <v>8241</v>
      </c>
      <c r="BK216">
        <v>54079</v>
      </c>
      <c r="BL216">
        <v>6450</v>
      </c>
      <c r="BM216">
        <v>14517</v>
      </c>
      <c r="BN216">
        <v>6854</v>
      </c>
      <c r="BO216">
        <v>533</v>
      </c>
      <c r="BP216">
        <v>310</v>
      </c>
      <c r="BQ216">
        <v>0</v>
      </c>
      <c r="BR216">
        <v>378</v>
      </c>
      <c r="BS216">
        <v>4478</v>
      </c>
      <c r="BT216">
        <v>14984</v>
      </c>
      <c r="BU216">
        <v>4964</v>
      </c>
      <c r="BV216">
        <v>11092</v>
      </c>
      <c r="BW216">
        <v>199879</v>
      </c>
      <c r="BX216">
        <v>3347</v>
      </c>
      <c r="BY216">
        <v>3617</v>
      </c>
      <c r="BZ216">
        <v>1289</v>
      </c>
      <c r="CA216">
        <v>134</v>
      </c>
      <c r="CB216">
        <v>346</v>
      </c>
      <c r="CC216">
        <v>15</v>
      </c>
      <c r="CD216">
        <v>255</v>
      </c>
      <c r="CE216">
        <v>1223</v>
      </c>
      <c r="CF216">
        <v>307</v>
      </c>
      <c r="CG216">
        <v>45</v>
      </c>
      <c r="CH216">
        <v>115</v>
      </c>
      <c r="CI216">
        <v>12904</v>
      </c>
      <c r="CJ216">
        <v>1584</v>
      </c>
      <c r="CK216">
        <v>1</v>
      </c>
      <c r="CL216">
        <v>61</v>
      </c>
      <c r="CM216">
        <v>726</v>
      </c>
      <c r="CN216">
        <v>771</v>
      </c>
      <c r="CO216">
        <v>147</v>
      </c>
      <c r="CP216">
        <v>2300</v>
      </c>
      <c r="CQ216">
        <v>9609</v>
      </c>
      <c r="CR216">
        <v>619</v>
      </c>
      <c r="CS216">
        <v>10</v>
      </c>
      <c r="CT216">
        <v>236</v>
      </c>
      <c r="CU216">
        <v>4845</v>
      </c>
      <c r="CV216">
        <v>66918</v>
      </c>
      <c r="CW216">
        <v>0</v>
      </c>
      <c r="CX216">
        <v>0</v>
      </c>
      <c r="CY216">
        <v>0</v>
      </c>
      <c r="CZ216">
        <v>0</v>
      </c>
      <c r="DA216">
        <v>0</v>
      </c>
      <c r="DB216">
        <v>0</v>
      </c>
      <c r="DC216">
        <v>1177</v>
      </c>
      <c r="DD216">
        <v>-10</v>
      </c>
      <c r="DE216">
        <v>0</v>
      </c>
      <c r="DF216">
        <v>1896</v>
      </c>
      <c r="DG216">
        <v>0</v>
      </c>
      <c r="DH216">
        <v>3461</v>
      </c>
      <c r="DI216">
        <v>128</v>
      </c>
      <c r="DJ216">
        <v>0</v>
      </c>
      <c r="DK216">
        <v>0</v>
      </c>
      <c r="DL216">
        <v>0</v>
      </c>
      <c r="DM216">
        <v>0</v>
      </c>
      <c r="DN216">
        <v>-11</v>
      </c>
      <c r="DO216">
        <v>0</v>
      </c>
      <c r="DP216">
        <v>3578</v>
      </c>
      <c r="DQ216">
        <v>2236</v>
      </c>
      <c r="DR216">
        <v>0</v>
      </c>
      <c r="DS216">
        <v>2081</v>
      </c>
      <c r="DT216">
        <v>0</v>
      </c>
      <c r="DU216">
        <v>-29</v>
      </c>
      <c r="DV216">
        <v>8170</v>
      </c>
      <c r="DW216">
        <v>998</v>
      </c>
      <c r="DX216">
        <v>20097</v>
      </c>
      <c r="DY216">
        <v>0</v>
      </c>
      <c r="DZ216">
        <v>0</v>
      </c>
      <c r="EA216">
        <v>0</v>
      </c>
      <c r="EB216">
        <v>0</v>
      </c>
      <c r="EC216">
        <v>0</v>
      </c>
      <c r="ED216">
        <v>0</v>
      </c>
      <c r="EE216">
        <v>0</v>
      </c>
      <c r="EF216">
        <v>0</v>
      </c>
      <c r="EG216">
        <v>0</v>
      </c>
      <c r="EH216">
        <v>0</v>
      </c>
      <c r="EI216">
        <v>0</v>
      </c>
      <c r="EJ216">
        <v>0</v>
      </c>
      <c r="EK216">
        <v>0</v>
      </c>
      <c r="EL216">
        <v>0</v>
      </c>
      <c r="EM216">
        <v>0</v>
      </c>
      <c r="EN216">
        <v>0</v>
      </c>
      <c r="EO216">
        <v>0</v>
      </c>
      <c r="EP216">
        <v>0</v>
      </c>
      <c r="EQ216">
        <v>0</v>
      </c>
      <c r="ER216">
        <v>0</v>
      </c>
      <c r="ES216">
        <v>0</v>
      </c>
      <c r="ET216">
        <v>0</v>
      </c>
      <c r="EU216">
        <v>416</v>
      </c>
      <c r="EV216">
        <v>4398</v>
      </c>
      <c r="EW216">
        <v>1210</v>
      </c>
      <c r="EX216">
        <v>0</v>
      </c>
      <c r="EY216">
        <v>1585</v>
      </c>
      <c r="EZ216">
        <v>0</v>
      </c>
      <c r="FA216">
        <v>-543</v>
      </c>
      <c r="FB216">
        <v>2218</v>
      </c>
      <c r="FC216">
        <v>9236</v>
      </c>
      <c r="FD216">
        <v>2694</v>
      </c>
      <c r="FE216">
        <v>-69</v>
      </c>
      <c r="FF216">
        <v>517</v>
      </c>
      <c r="FG216">
        <v>11343</v>
      </c>
      <c r="FH216">
        <v>33005</v>
      </c>
      <c r="FI216">
        <v>-712</v>
      </c>
      <c r="FJ216">
        <v>23</v>
      </c>
      <c r="FK216">
        <v>0</v>
      </c>
      <c r="FL216">
        <v>372</v>
      </c>
      <c r="FM216">
        <v>2550</v>
      </c>
      <c r="FN216">
        <v>1616</v>
      </c>
      <c r="FO216">
        <v>0</v>
      </c>
      <c r="FP216">
        <v>445</v>
      </c>
      <c r="FQ216">
        <v>0</v>
      </c>
      <c r="FR216">
        <v>299</v>
      </c>
      <c r="FS216">
        <v>0</v>
      </c>
      <c r="FT216">
        <v>182</v>
      </c>
      <c r="FU216">
        <v>1292</v>
      </c>
      <c r="FV216">
        <v>4755</v>
      </c>
      <c r="FW216">
        <v>112</v>
      </c>
      <c r="FX216">
        <v>287</v>
      </c>
      <c r="FY216">
        <v>0</v>
      </c>
      <c r="FZ216">
        <v>0</v>
      </c>
      <c r="GA216">
        <v>0</v>
      </c>
      <c r="GB216">
        <v>0</v>
      </c>
      <c r="GC216">
        <v>0</v>
      </c>
      <c r="GD216">
        <v>13919</v>
      </c>
      <c r="GE216">
        <v>11201</v>
      </c>
      <c r="GF216">
        <v>0</v>
      </c>
      <c r="GG216">
        <v>0</v>
      </c>
      <c r="GH216">
        <v>-1085</v>
      </c>
      <c r="GI216">
        <v>375</v>
      </c>
      <c r="GJ216">
        <v>0</v>
      </c>
      <c r="GK216">
        <v>35631</v>
      </c>
      <c r="GL216">
        <v>436</v>
      </c>
      <c r="GM216">
        <v>570</v>
      </c>
      <c r="GN216">
        <v>215</v>
      </c>
      <c r="GO216">
        <v>632</v>
      </c>
      <c r="GP216">
        <v>154</v>
      </c>
      <c r="GQ216">
        <v>2632</v>
      </c>
      <c r="GR216">
        <v>0</v>
      </c>
      <c r="GS216">
        <v>12752</v>
      </c>
      <c r="GT216">
        <v>1174</v>
      </c>
      <c r="GU216">
        <v>18565</v>
      </c>
      <c r="GV216">
        <v>87201</v>
      </c>
      <c r="GW216">
        <v>0</v>
      </c>
      <c r="GX216">
        <v>0</v>
      </c>
      <c r="GY216">
        <v>0</v>
      </c>
      <c r="GZ216">
        <v>0</v>
      </c>
      <c r="HA216">
        <v>0</v>
      </c>
      <c r="HB216">
        <v>11655</v>
      </c>
      <c r="HC216">
        <v>3119</v>
      </c>
      <c r="HD216">
        <v>0</v>
      </c>
      <c r="HE216">
        <v>0</v>
      </c>
      <c r="HF216">
        <v>5371</v>
      </c>
      <c r="HG216">
        <v>-306</v>
      </c>
      <c r="HH216">
        <v>0</v>
      </c>
      <c r="HI216">
        <v>417</v>
      </c>
      <c r="HJ216">
        <v>743</v>
      </c>
      <c r="HK216">
        <v>592</v>
      </c>
      <c r="HL216">
        <v>374</v>
      </c>
      <c r="HM216">
        <v>-206</v>
      </c>
      <c r="HN216">
        <v>1829</v>
      </c>
      <c r="HO216">
        <v>0</v>
      </c>
      <c r="HP216">
        <v>1193</v>
      </c>
      <c r="HQ216">
        <v>-29</v>
      </c>
      <c r="HR216">
        <v>2388</v>
      </c>
      <c r="HS216">
        <v>500</v>
      </c>
      <c r="HT216">
        <v>0</v>
      </c>
      <c r="HU216">
        <v>1392</v>
      </c>
      <c r="HV216">
        <v>29032</v>
      </c>
      <c r="HW216">
        <v>4212</v>
      </c>
      <c r="HX216">
        <v>38543</v>
      </c>
      <c r="HY216">
        <v>0</v>
      </c>
      <c r="HZ216">
        <v>0</v>
      </c>
      <c r="IA216">
        <v>803</v>
      </c>
      <c r="IB216">
        <v>1280</v>
      </c>
      <c r="IC216">
        <v>444060</v>
      </c>
      <c r="ID216">
        <v>8987</v>
      </c>
      <c r="IE216">
        <v>140231</v>
      </c>
      <c r="IF216">
        <v>199879</v>
      </c>
      <c r="IG216">
        <v>66918</v>
      </c>
      <c r="IH216">
        <v>20097</v>
      </c>
      <c r="II216">
        <v>33005</v>
      </c>
      <c r="IJ216">
        <v>35631</v>
      </c>
      <c r="IK216">
        <v>18565</v>
      </c>
      <c r="IL216">
        <v>0</v>
      </c>
      <c r="IM216">
        <v>0</v>
      </c>
      <c r="IN216">
        <v>29032</v>
      </c>
      <c r="IO216">
        <v>1280</v>
      </c>
      <c r="IP216">
        <v>997685</v>
      </c>
      <c r="IQ216">
        <v>186236</v>
      </c>
      <c r="IR216">
        <v>952</v>
      </c>
      <c r="IS216">
        <v>0</v>
      </c>
      <c r="IT216">
        <v>0</v>
      </c>
      <c r="IU216">
        <v>0</v>
      </c>
      <c r="IV216">
        <v>0</v>
      </c>
      <c r="IW216">
        <v>33924</v>
      </c>
      <c r="IX216">
        <v>27285</v>
      </c>
      <c r="IY216">
        <v>0</v>
      </c>
      <c r="IZ216">
        <v>58</v>
      </c>
      <c r="JA216">
        <v>1360</v>
      </c>
      <c r="JB216">
        <v>3778</v>
      </c>
      <c r="JC216">
        <v>-180</v>
      </c>
      <c r="JD216">
        <v>-1829</v>
      </c>
      <c r="JE216">
        <v>0</v>
      </c>
      <c r="JF216">
        <v>0</v>
      </c>
      <c r="JG216">
        <v>1249269</v>
      </c>
      <c r="JH216">
        <v>207</v>
      </c>
      <c r="JI216">
        <v>961</v>
      </c>
      <c r="JJ216">
        <v>0</v>
      </c>
      <c r="JK216">
        <v>-2048</v>
      </c>
      <c r="JL216">
        <v>0</v>
      </c>
      <c r="JM216">
        <v>49</v>
      </c>
      <c r="JN216">
        <v>14669</v>
      </c>
      <c r="JO216">
        <v>0</v>
      </c>
      <c r="JP216">
        <v>69172</v>
      </c>
      <c r="JQ216">
        <v>0</v>
      </c>
      <c r="JR216">
        <v>1332279</v>
      </c>
      <c r="JS216">
        <v>-4711</v>
      </c>
      <c r="JT216">
        <v>0</v>
      </c>
      <c r="JU216">
        <v>-48366</v>
      </c>
      <c r="JV216">
        <v>0</v>
      </c>
      <c r="JW216">
        <v>-204137</v>
      </c>
      <c r="JX216">
        <v>0</v>
      </c>
      <c r="JY216">
        <v>0</v>
      </c>
      <c r="JZ216">
        <v>0</v>
      </c>
      <c r="KA216">
        <v>0</v>
      </c>
      <c r="KB216">
        <v>0</v>
      </c>
      <c r="KC216">
        <v>1075065</v>
      </c>
      <c r="KD216">
        <v>-115</v>
      </c>
      <c r="KE216">
        <v>-592839</v>
      </c>
      <c r="KF216">
        <v>482111</v>
      </c>
      <c r="KG216">
        <v>0</v>
      </c>
      <c r="KH216">
        <v>-790</v>
      </c>
      <c r="KI216">
        <v>2394</v>
      </c>
      <c r="KJ216">
        <v>3108</v>
      </c>
      <c r="KK216">
        <v>-54011</v>
      </c>
      <c r="KL216">
        <v>2600</v>
      </c>
      <c r="KM216">
        <v>0</v>
      </c>
      <c r="KN216">
        <v>0</v>
      </c>
      <c r="KO216">
        <v>-285533</v>
      </c>
      <c r="KP216">
        <v>6729</v>
      </c>
      <c r="KQ216">
        <v>126205</v>
      </c>
      <c r="KR216">
        <v>192706</v>
      </c>
      <c r="KS216">
        <v>16937</v>
      </c>
      <c r="KT216">
        <v>4953</v>
      </c>
      <c r="KU216">
        <v>883</v>
      </c>
      <c r="KV216">
        <v>247450</v>
      </c>
      <c r="KW216">
        <v>17400</v>
      </c>
      <c r="KX216">
        <v>16147</v>
      </c>
      <c r="KY216">
        <v>7347</v>
      </c>
      <c r="KZ216">
        <v>3991</v>
      </c>
      <c r="LA216">
        <v>193439</v>
      </c>
      <c r="LB216">
        <v>20000</v>
      </c>
      <c r="LC216">
        <v>0</v>
      </c>
      <c r="LD216">
        <v>56210</v>
      </c>
      <c r="LE216">
        <v>0</v>
      </c>
      <c r="LF216">
        <v>5087</v>
      </c>
      <c r="LG216">
        <v>-11922</v>
      </c>
      <c r="LH216">
        <v>13559</v>
      </c>
      <c r="LI216">
        <v>75272</v>
      </c>
      <c r="LJ216">
        <v>24910</v>
      </c>
      <c r="LK216">
        <v>44013</v>
      </c>
      <c r="LL216">
        <v>68923</v>
      </c>
      <c r="LM216">
        <v>0</v>
      </c>
      <c r="LN216">
        <v>0</v>
      </c>
      <c r="LO216">
        <v>0</v>
      </c>
      <c r="LP216">
        <v>0</v>
      </c>
      <c r="LQ216">
        <v>0</v>
      </c>
      <c r="LR216">
        <v>0</v>
      </c>
      <c r="LS216">
        <v>0</v>
      </c>
      <c r="LT216">
        <v>0</v>
      </c>
      <c r="LU216">
        <v>444060</v>
      </c>
      <c r="LV216">
        <v>8987</v>
      </c>
      <c r="LW216">
        <v>140231</v>
      </c>
      <c r="LX216">
        <v>199879</v>
      </c>
      <c r="LY216">
        <v>66918</v>
      </c>
      <c r="LZ216">
        <v>20097</v>
      </c>
      <c r="MA216">
        <v>33005</v>
      </c>
      <c r="MB216">
        <v>35631</v>
      </c>
      <c r="MC216">
        <v>18565</v>
      </c>
      <c r="MD216">
        <v>0</v>
      </c>
      <c r="ME216">
        <v>0</v>
      </c>
      <c r="MF216">
        <v>29032</v>
      </c>
      <c r="MG216">
        <v>1280</v>
      </c>
      <c r="MH216">
        <v>997685</v>
      </c>
      <c r="MI216">
        <v>0</v>
      </c>
      <c r="MJ216">
        <v>0</v>
      </c>
      <c r="MK216">
        <v>0</v>
      </c>
      <c r="ML216">
        <v>0</v>
      </c>
      <c r="MM216">
        <v>0</v>
      </c>
      <c r="MN216">
        <v>0</v>
      </c>
      <c r="MO216">
        <v>0</v>
      </c>
      <c r="MP216">
        <v>0</v>
      </c>
      <c r="MQ216">
        <v>0</v>
      </c>
      <c r="MR216">
        <v>0</v>
      </c>
      <c r="MS216">
        <v>0</v>
      </c>
      <c r="MT216">
        <v>0</v>
      </c>
      <c r="MU216">
        <v>0</v>
      </c>
      <c r="MV216">
        <v>-27</v>
      </c>
      <c r="MW216">
        <v>0</v>
      </c>
      <c r="MX216">
        <v>0</v>
      </c>
      <c r="MY216">
        <v>0</v>
      </c>
      <c r="MZ216">
        <v>0</v>
      </c>
      <c r="NA216">
        <v>1180</v>
      </c>
      <c r="NB216">
        <v>180</v>
      </c>
      <c r="NC216">
        <v>1360</v>
      </c>
      <c r="ND216">
        <v>0</v>
      </c>
      <c r="NE216">
        <v>0</v>
      </c>
      <c r="NF216">
        <v>-94</v>
      </c>
      <c r="NG216">
        <v>0</v>
      </c>
      <c r="NH216">
        <v>0</v>
      </c>
      <c r="NI216">
        <v>0</v>
      </c>
      <c r="NJ216">
        <v>0</v>
      </c>
      <c r="NK216">
        <v>0</v>
      </c>
      <c r="NL216">
        <v>0</v>
      </c>
      <c r="NM216">
        <v>0</v>
      </c>
      <c r="NN216">
        <v>0</v>
      </c>
      <c r="NO216">
        <v>1259</v>
      </c>
      <c r="NP216">
        <v>0</v>
      </c>
      <c r="NQ216">
        <v>0</v>
      </c>
      <c r="NR216">
        <v>0</v>
      </c>
      <c r="NS216">
        <v>0</v>
      </c>
      <c r="NT216">
        <v>1587</v>
      </c>
      <c r="NU216">
        <v>129</v>
      </c>
      <c r="NV216">
        <v>-667</v>
      </c>
      <c r="NW216">
        <v>-231</v>
      </c>
      <c r="NX216">
        <v>0</v>
      </c>
      <c r="NY216">
        <v>110</v>
      </c>
      <c r="NZ216">
        <v>1949</v>
      </c>
      <c r="OA216">
        <v>1829</v>
      </c>
      <c r="OB216">
        <v>3778</v>
      </c>
      <c r="OC216">
        <v>180</v>
      </c>
      <c r="OD216">
        <v>0</v>
      </c>
      <c r="OE216">
        <v>0</v>
      </c>
      <c r="OF216">
        <v>0</v>
      </c>
      <c r="OG216">
        <v>0</v>
      </c>
      <c r="OH216">
        <v>180</v>
      </c>
      <c r="OI216">
        <v>1829</v>
      </c>
      <c r="OJ216">
        <v>0</v>
      </c>
      <c r="OK216">
        <v>0</v>
      </c>
      <c r="OL216">
        <v>0</v>
      </c>
      <c r="OM216">
        <v>0</v>
      </c>
      <c r="ON216">
        <v>1829</v>
      </c>
    </row>
    <row r="217" spans="1:404" x14ac:dyDescent="0.25">
      <c r="A217" t="s">
        <v>716</v>
      </c>
      <c r="B217" t="s">
        <v>717</v>
      </c>
      <c r="C217" t="s">
        <v>715</v>
      </c>
      <c r="E217" t="s">
        <v>1390</v>
      </c>
      <c r="F217">
        <v>0</v>
      </c>
      <c r="G217">
        <v>0</v>
      </c>
      <c r="H217">
        <v>0</v>
      </c>
      <c r="I217">
        <v>0</v>
      </c>
      <c r="J217">
        <v>0</v>
      </c>
      <c r="K217">
        <v>454</v>
      </c>
      <c r="L217">
        <v>454</v>
      </c>
      <c r="M217">
        <v>0</v>
      </c>
      <c r="N217">
        <v>341</v>
      </c>
      <c r="O217">
        <v>0</v>
      </c>
      <c r="P217">
        <v>0</v>
      </c>
      <c r="Q217">
        <v>0</v>
      </c>
      <c r="R217">
        <v>0</v>
      </c>
      <c r="S217">
        <v>0</v>
      </c>
      <c r="T217">
        <v>0</v>
      </c>
      <c r="U217">
        <v>0</v>
      </c>
      <c r="V217">
        <v>0</v>
      </c>
      <c r="W217">
        <v>0</v>
      </c>
      <c r="X217">
        <v>0</v>
      </c>
      <c r="Y217">
        <v>0</v>
      </c>
      <c r="Z217">
        <v>0</v>
      </c>
      <c r="AA217">
        <v>0</v>
      </c>
      <c r="AB217">
        <v>30378</v>
      </c>
      <c r="AC217">
        <v>17494</v>
      </c>
      <c r="AD217">
        <v>28763</v>
      </c>
      <c r="AE217">
        <v>107392</v>
      </c>
      <c r="AF217">
        <v>5930</v>
      </c>
      <c r="AG217">
        <v>4447</v>
      </c>
      <c r="AH217">
        <v>0</v>
      </c>
      <c r="AI217">
        <v>194744</v>
      </c>
      <c r="AJ217">
        <v>0</v>
      </c>
      <c r="AK217">
        <v>0</v>
      </c>
      <c r="AL217">
        <v>0</v>
      </c>
      <c r="AM217">
        <v>0</v>
      </c>
      <c r="AN217">
        <v>0</v>
      </c>
      <c r="AO217">
        <v>0</v>
      </c>
      <c r="AP217">
        <v>0</v>
      </c>
      <c r="AQ217">
        <v>0</v>
      </c>
      <c r="AR217">
        <v>0</v>
      </c>
      <c r="AS217">
        <v>0</v>
      </c>
      <c r="AT217">
        <v>0</v>
      </c>
      <c r="AU217">
        <v>0</v>
      </c>
      <c r="AV217">
        <v>0</v>
      </c>
      <c r="AW217">
        <v>0</v>
      </c>
      <c r="AX217">
        <v>0</v>
      </c>
      <c r="AY217">
        <v>0</v>
      </c>
      <c r="AZ217">
        <v>0</v>
      </c>
      <c r="BA217">
        <v>0</v>
      </c>
      <c r="BB217">
        <v>0</v>
      </c>
      <c r="BC217">
        <v>0</v>
      </c>
      <c r="BD217">
        <v>0</v>
      </c>
      <c r="BE217">
        <v>0</v>
      </c>
      <c r="BF217">
        <v>0</v>
      </c>
      <c r="BG217">
        <v>0</v>
      </c>
      <c r="BH217">
        <v>0</v>
      </c>
      <c r="BI217">
        <v>0</v>
      </c>
      <c r="BJ217">
        <v>0</v>
      </c>
      <c r="BK217">
        <v>0</v>
      </c>
      <c r="BL217">
        <v>0</v>
      </c>
      <c r="BM217">
        <v>0</v>
      </c>
      <c r="BN217">
        <v>0</v>
      </c>
      <c r="BO217">
        <v>0</v>
      </c>
      <c r="BP217">
        <v>0</v>
      </c>
      <c r="BQ217">
        <v>0</v>
      </c>
      <c r="BR217">
        <v>0</v>
      </c>
      <c r="BS217">
        <v>0</v>
      </c>
      <c r="BT217">
        <v>0</v>
      </c>
      <c r="BU217">
        <v>0</v>
      </c>
      <c r="BV217">
        <v>0</v>
      </c>
      <c r="BW217">
        <v>0</v>
      </c>
      <c r="BX217">
        <v>0</v>
      </c>
      <c r="BY217">
        <v>0</v>
      </c>
      <c r="BZ217">
        <v>0</v>
      </c>
      <c r="CA217">
        <v>0</v>
      </c>
      <c r="CB217">
        <v>0</v>
      </c>
      <c r="CC217">
        <v>0</v>
      </c>
      <c r="CD217">
        <v>0</v>
      </c>
      <c r="CE217">
        <v>0</v>
      </c>
      <c r="CF217">
        <v>0</v>
      </c>
      <c r="CG217">
        <v>0</v>
      </c>
      <c r="CH217">
        <v>0</v>
      </c>
      <c r="CI217">
        <v>0</v>
      </c>
      <c r="CJ217">
        <v>0</v>
      </c>
      <c r="CK217">
        <v>0</v>
      </c>
      <c r="CL217">
        <v>0</v>
      </c>
      <c r="CM217">
        <v>0</v>
      </c>
      <c r="CN217">
        <v>0</v>
      </c>
      <c r="CO217">
        <v>0</v>
      </c>
      <c r="CP217">
        <v>0</v>
      </c>
      <c r="CQ217">
        <v>0</v>
      </c>
      <c r="CR217">
        <v>0</v>
      </c>
      <c r="CS217">
        <v>0</v>
      </c>
      <c r="CT217">
        <v>0</v>
      </c>
      <c r="CU217">
        <v>0</v>
      </c>
      <c r="CV217">
        <v>0</v>
      </c>
      <c r="CW217">
        <v>0</v>
      </c>
      <c r="CX217">
        <v>0</v>
      </c>
      <c r="CY217">
        <v>0</v>
      </c>
      <c r="CZ217">
        <v>0</v>
      </c>
      <c r="DA217">
        <v>0</v>
      </c>
      <c r="DB217">
        <v>0</v>
      </c>
      <c r="DC217">
        <v>137</v>
      </c>
      <c r="DD217">
        <v>0</v>
      </c>
      <c r="DE217">
        <v>0</v>
      </c>
      <c r="DF217">
        <v>0</v>
      </c>
      <c r="DG217">
        <v>0</v>
      </c>
      <c r="DH217">
        <v>0</v>
      </c>
      <c r="DI217">
        <v>0</v>
      </c>
      <c r="DJ217">
        <v>0</v>
      </c>
      <c r="DK217">
        <v>0</v>
      </c>
      <c r="DL217">
        <v>0</v>
      </c>
      <c r="DM217">
        <v>0</v>
      </c>
      <c r="DN217">
        <v>0</v>
      </c>
      <c r="DO217">
        <v>0</v>
      </c>
      <c r="DP217">
        <v>0</v>
      </c>
      <c r="DQ217">
        <v>0</v>
      </c>
      <c r="DR217">
        <v>0</v>
      </c>
      <c r="DS217">
        <v>0</v>
      </c>
      <c r="DT217">
        <v>0</v>
      </c>
      <c r="DU217">
        <v>0</v>
      </c>
      <c r="DV217">
        <v>0</v>
      </c>
      <c r="DW217">
        <v>0</v>
      </c>
      <c r="DX217">
        <v>137</v>
      </c>
      <c r="DY217">
        <v>0</v>
      </c>
      <c r="DZ217">
        <v>0</v>
      </c>
      <c r="EA217">
        <v>0</v>
      </c>
      <c r="EB217">
        <v>0</v>
      </c>
      <c r="EC217">
        <v>0</v>
      </c>
      <c r="ED217">
        <v>0</v>
      </c>
      <c r="EE217">
        <v>0</v>
      </c>
      <c r="EF217">
        <v>0</v>
      </c>
      <c r="EG217">
        <v>0</v>
      </c>
      <c r="EH217">
        <v>0</v>
      </c>
      <c r="EI217">
        <v>0</v>
      </c>
      <c r="EJ217">
        <v>0</v>
      </c>
      <c r="EK217">
        <v>0</v>
      </c>
      <c r="EL217">
        <v>0</v>
      </c>
      <c r="EM217">
        <v>0</v>
      </c>
      <c r="EN217">
        <v>0</v>
      </c>
      <c r="EO217">
        <v>0</v>
      </c>
      <c r="EP217">
        <v>0</v>
      </c>
      <c r="EQ217">
        <v>0</v>
      </c>
      <c r="ER217">
        <v>0</v>
      </c>
      <c r="ES217">
        <v>0</v>
      </c>
      <c r="ET217">
        <v>0</v>
      </c>
      <c r="EU217">
        <v>0</v>
      </c>
      <c r="EV217">
        <v>0</v>
      </c>
      <c r="EW217">
        <v>331</v>
      </c>
      <c r="EX217">
        <v>0</v>
      </c>
      <c r="EY217">
        <v>0</v>
      </c>
      <c r="EZ217">
        <v>0</v>
      </c>
      <c r="FA217">
        <v>0</v>
      </c>
      <c r="FB217">
        <v>0</v>
      </c>
      <c r="FC217">
        <v>0</v>
      </c>
      <c r="FD217">
        <v>0</v>
      </c>
      <c r="FE217">
        <v>0</v>
      </c>
      <c r="FF217">
        <v>0</v>
      </c>
      <c r="FG217">
        <v>0</v>
      </c>
      <c r="FH217">
        <v>331</v>
      </c>
      <c r="FI217">
        <v>0</v>
      </c>
      <c r="FJ217">
        <v>0</v>
      </c>
      <c r="FK217">
        <v>0</v>
      </c>
      <c r="FL217">
        <v>0</v>
      </c>
      <c r="FM217">
        <v>0</v>
      </c>
      <c r="FN217">
        <v>0</v>
      </c>
      <c r="FO217">
        <v>0</v>
      </c>
      <c r="FP217">
        <v>0</v>
      </c>
      <c r="FQ217">
        <v>0</v>
      </c>
      <c r="FR217">
        <v>0</v>
      </c>
      <c r="FS217">
        <v>0</v>
      </c>
      <c r="FT217">
        <v>0</v>
      </c>
      <c r="FU217">
        <v>0</v>
      </c>
      <c r="FV217">
        <v>0</v>
      </c>
      <c r="FW217">
        <v>0</v>
      </c>
      <c r="FX217">
        <v>0</v>
      </c>
      <c r="FY217">
        <v>0</v>
      </c>
      <c r="FZ217">
        <v>0</v>
      </c>
      <c r="GA217">
        <v>0</v>
      </c>
      <c r="GB217">
        <v>0</v>
      </c>
      <c r="GC217">
        <v>0</v>
      </c>
      <c r="GD217">
        <v>0</v>
      </c>
      <c r="GE217">
        <v>0</v>
      </c>
      <c r="GF217">
        <v>0</v>
      </c>
      <c r="GG217">
        <v>0</v>
      </c>
      <c r="GH217">
        <v>0</v>
      </c>
      <c r="GI217">
        <v>0</v>
      </c>
      <c r="GJ217">
        <v>0</v>
      </c>
      <c r="GK217">
        <v>0</v>
      </c>
      <c r="GL217">
        <v>0</v>
      </c>
      <c r="GM217">
        <v>0</v>
      </c>
      <c r="GN217">
        <v>0</v>
      </c>
      <c r="GO217">
        <v>1220</v>
      </c>
      <c r="GP217">
        <v>0</v>
      </c>
      <c r="GQ217">
        <v>471</v>
      </c>
      <c r="GR217">
        <v>6434</v>
      </c>
      <c r="GS217">
        <v>868</v>
      </c>
      <c r="GT217">
        <v>0</v>
      </c>
      <c r="GU217">
        <v>8991</v>
      </c>
      <c r="GV217">
        <v>9323</v>
      </c>
      <c r="GW217">
        <v>0</v>
      </c>
      <c r="GX217">
        <v>0</v>
      </c>
      <c r="GY217">
        <v>0</v>
      </c>
      <c r="GZ217">
        <v>0</v>
      </c>
      <c r="HA217">
        <v>0</v>
      </c>
      <c r="HB217">
        <v>4635</v>
      </c>
      <c r="HC217">
        <v>0</v>
      </c>
      <c r="HD217">
        <v>0</v>
      </c>
      <c r="HE217">
        <v>0</v>
      </c>
      <c r="HF217">
        <v>0</v>
      </c>
      <c r="HG217">
        <v>0</v>
      </c>
      <c r="HH217">
        <v>0</v>
      </c>
      <c r="HI217">
        <v>0</v>
      </c>
      <c r="HJ217">
        <v>0</v>
      </c>
      <c r="HK217">
        <v>1329</v>
      </c>
      <c r="HL217">
        <v>0</v>
      </c>
      <c r="HM217">
        <v>0</v>
      </c>
      <c r="HN217">
        <v>0</v>
      </c>
      <c r="HO217">
        <v>0</v>
      </c>
      <c r="HP217">
        <v>0</v>
      </c>
      <c r="HQ217">
        <v>0</v>
      </c>
      <c r="HR217">
        <v>0</v>
      </c>
      <c r="HS217">
        <v>0</v>
      </c>
      <c r="HT217">
        <v>0</v>
      </c>
      <c r="HU217">
        <v>0</v>
      </c>
      <c r="HV217">
        <v>5964</v>
      </c>
      <c r="HW217">
        <v>0</v>
      </c>
      <c r="HX217">
        <v>0</v>
      </c>
      <c r="HY217">
        <v>0</v>
      </c>
      <c r="HZ217">
        <v>0</v>
      </c>
      <c r="IA217">
        <v>0</v>
      </c>
      <c r="IB217">
        <v>2015</v>
      </c>
      <c r="IC217">
        <v>454</v>
      </c>
      <c r="ID217">
        <v>194744</v>
      </c>
      <c r="IE217">
        <v>0</v>
      </c>
      <c r="IF217">
        <v>0</v>
      </c>
      <c r="IG217">
        <v>0</v>
      </c>
      <c r="IH217">
        <v>137</v>
      </c>
      <c r="II217">
        <v>331</v>
      </c>
      <c r="IJ217">
        <v>0</v>
      </c>
      <c r="IK217">
        <v>8991</v>
      </c>
      <c r="IL217">
        <v>0</v>
      </c>
      <c r="IM217">
        <v>0</v>
      </c>
      <c r="IN217">
        <v>5964</v>
      </c>
      <c r="IO217">
        <v>2015</v>
      </c>
      <c r="IP217">
        <v>212638</v>
      </c>
      <c r="IQ217">
        <v>0</v>
      </c>
      <c r="IR217">
        <v>0</v>
      </c>
      <c r="IS217">
        <v>0</v>
      </c>
      <c r="IT217">
        <v>0</v>
      </c>
      <c r="IU217">
        <v>0</v>
      </c>
      <c r="IV217">
        <v>0</v>
      </c>
      <c r="IW217">
        <v>-97404</v>
      </c>
      <c r="IX217">
        <v>0</v>
      </c>
      <c r="IY217">
        <v>0</v>
      </c>
      <c r="IZ217">
        <v>0</v>
      </c>
      <c r="JA217">
        <v>-18193</v>
      </c>
      <c r="JB217">
        <v>0</v>
      </c>
      <c r="JC217">
        <v>0</v>
      </c>
      <c r="JD217">
        <v>0</v>
      </c>
      <c r="JE217">
        <v>0</v>
      </c>
      <c r="JF217">
        <v>0</v>
      </c>
      <c r="JG217">
        <v>97041</v>
      </c>
      <c r="JH217">
        <v>0</v>
      </c>
      <c r="JI217">
        <v>0</v>
      </c>
      <c r="JJ217">
        <v>0</v>
      </c>
      <c r="JK217">
        <v>0</v>
      </c>
      <c r="JL217">
        <v>0</v>
      </c>
      <c r="JM217">
        <v>371</v>
      </c>
      <c r="JN217">
        <v>2283</v>
      </c>
      <c r="JO217">
        <v>0</v>
      </c>
      <c r="JP217">
        <v>11318</v>
      </c>
      <c r="JQ217">
        <v>0</v>
      </c>
      <c r="JR217">
        <v>111013</v>
      </c>
      <c r="JS217">
        <v>-3101</v>
      </c>
      <c r="JT217">
        <v>0</v>
      </c>
      <c r="JU217">
        <v>0</v>
      </c>
      <c r="JV217">
        <v>0</v>
      </c>
      <c r="JW217">
        <v>0</v>
      </c>
      <c r="JX217">
        <v>0</v>
      </c>
      <c r="JY217">
        <v>0</v>
      </c>
      <c r="JZ217">
        <v>0</v>
      </c>
      <c r="KA217">
        <v>0</v>
      </c>
      <c r="KB217">
        <v>0</v>
      </c>
      <c r="KC217">
        <v>107912</v>
      </c>
      <c r="KD217">
        <v>0</v>
      </c>
      <c r="KE217">
        <v>-107433</v>
      </c>
      <c r="KF217">
        <v>479</v>
      </c>
      <c r="KG217">
        <v>0</v>
      </c>
      <c r="KH217">
        <v>0</v>
      </c>
      <c r="KI217">
        <v>0</v>
      </c>
      <c r="KJ217">
        <v>0</v>
      </c>
      <c r="KK217">
        <v>3060</v>
      </c>
      <c r="KL217">
        <v>4302</v>
      </c>
      <c r="KM217">
        <v>0</v>
      </c>
      <c r="KN217">
        <v>0</v>
      </c>
      <c r="KO217">
        <v>0</v>
      </c>
      <c r="KP217">
        <v>161</v>
      </c>
      <c r="KQ217">
        <v>0</v>
      </c>
      <c r="KR217">
        <v>7757</v>
      </c>
      <c r="KS217">
        <v>0</v>
      </c>
      <c r="KT217">
        <v>0</v>
      </c>
      <c r="KU217">
        <v>0</v>
      </c>
      <c r="KV217">
        <v>195065</v>
      </c>
      <c r="KW217">
        <v>7365</v>
      </c>
      <c r="KX217">
        <v>0</v>
      </c>
      <c r="KY217">
        <v>0</v>
      </c>
      <c r="KZ217">
        <v>0</v>
      </c>
      <c r="LA217">
        <v>198125</v>
      </c>
      <c r="LB217">
        <v>11667</v>
      </c>
      <c r="LC217">
        <v>0</v>
      </c>
      <c r="LD217">
        <v>15472</v>
      </c>
      <c r="LE217">
        <v>0</v>
      </c>
      <c r="LF217">
        <v>0</v>
      </c>
      <c r="LG217">
        <v>0</v>
      </c>
      <c r="LH217">
        <v>0</v>
      </c>
      <c r="LI217">
        <v>16299</v>
      </c>
      <c r="LJ217">
        <v>0</v>
      </c>
      <c r="LK217">
        <v>0</v>
      </c>
      <c r="LL217">
        <v>0</v>
      </c>
      <c r="LM217">
        <v>0</v>
      </c>
      <c r="LN217">
        <v>0</v>
      </c>
      <c r="LO217">
        <v>0</v>
      </c>
      <c r="LP217">
        <v>0</v>
      </c>
      <c r="LQ217">
        <v>0</v>
      </c>
      <c r="LR217">
        <v>0</v>
      </c>
      <c r="LS217">
        <v>0</v>
      </c>
      <c r="LT217">
        <v>0</v>
      </c>
      <c r="LU217">
        <v>454</v>
      </c>
      <c r="LV217">
        <v>194744</v>
      </c>
      <c r="LW217">
        <v>0</v>
      </c>
      <c r="LX217">
        <v>0</v>
      </c>
      <c r="LY217">
        <v>0</v>
      </c>
      <c r="LZ217">
        <v>137</v>
      </c>
      <c r="MA217">
        <v>331</v>
      </c>
      <c r="MB217">
        <v>0</v>
      </c>
      <c r="MC217">
        <v>8991</v>
      </c>
      <c r="MD217">
        <v>0</v>
      </c>
      <c r="ME217">
        <v>0</v>
      </c>
      <c r="MF217">
        <v>5964</v>
      </c>
      <c r="MG217">
        <v>2015</v>
      </c>
      <c r="MH217">
        <v>212638</v>
      </c>
      <c r="MI217">
        <v>0</v>
      </c>
      <c r="MJ217">
        <v>0</v>
      </c>
      <c r="MK217">
        <v>0</v>
      </c>
      <c r="ML217">
        <v>0</v>
      </c>
      <c r="MM217">
        <v>-18193</v>
      </c>
      <c r="MN217">
        <v>0</v>
      </c>
      <c r="MO217">
        <v>0</v>
      </c>
      <c r="MP217">
        <v>0</v>
      </c>
      <c r="MQ217">
        <v>0</v>
      </c>
      <c r="MR217">
        <v>0</v>
      </c>
      <c r="MS217">
        <v>0</v>
      </c>
      <c r="MT217">
        <v>0</v>
      </c>
      <c r="MU217">
        <v>0</v>
      </c>
      <c r="MV217">
        <v>0</v>
      </c>
      <c r="MW217">
        <v>0</v>
      </c>
      <c r="MX217">
        <v>0</v>
      </c>
      <c r="MY217">
        <v>0</v>
      </c>
      <c r="MZ217">
        <v>0</v>
      </c>
      <c r="NA217">
        <v>-18193</v>
      </c>
      <c r="NB217">
        <v>0</v>
      </c>
      <c r="NC217">
        <v>-18193</v>
      </c>
      <c r="ND217">
        <v>0</v>
      </c>
      <c r="NE217">
        <v>0</v>
      </c>
      <c r="NF217">
        <v>0</v>
      </c>
      <c r="NG217">
        <v>0</v>
      </c>
      <c r="NH217">
        <v>0</v>
      </c>
      <c r="NI217">
        <v>0</v>
      </c>
      <c r="NJ217">
        <v>0</v>
      </c>
      <c r="NK217">
        <v>0</v>
      </c>
      <c r="NL217">
        <v>0</v>
      </c>
      <c r="NM217">
        <v>0</v>
      </c>
      <c r="NN217">
        <v>0</v>
      </c>
      <c r="NO217">
        <v>0</v>
      </c>
      <c r="NP217">
        <v>0</v>
      </c>
      <c r="NQ217">
        <v>0</v>
      </c>
      <c r="NR217">
        <v>0</v>
      </c>
      <c r="NS217">
        <v>0</v>
      </c>
      <c r="NT217">
        <v>0</v>
      </c>
      <c r="NU217">
        <v>0</v>
      </c>
      <c r="NV217">
        <v>0</v>
      </c>
      <c r="NW217">
        <v>0</v>
      </c>
      <c r="NX217">
        <v>0</v>
      </c>
      <c r="NY217">
        <v>0</v>
      </c>
      <c r="NZ217">
        <v>0</v>
      </c>
      <c r="OA217">
        <v>0</v>
      </c>
      <c r="OB217">
        <v>0</v>
      </c>
      <c r="OC217">
        <v>0</v>
      </c>
      <c r="OD217">
        <v>0</v>
      </c>
      <c r="OE217">
        <v>0</v>
      </c>
      <c r="OF217">
        <v>0</v>
      </c>
      <c r="OG217">
        <v>0</v>
      </c>
      <c r="OH217">
        <v>0</v>
      </c>
      <c r="OI217">
        <v>0</v>
      </c>
      <c r="OJ217">
        <v>0</v>
      </c>
      <c r="OK217">
        <v>0</v>
      </c>
      <c r="OL217">
        <v>0</v>
      </c>
      <c r="OM217">
        <v>0</v>
      </c>
      <c r="ON217">
        <v>0</v>
      </c>
    </row>
    <row r="218" spans="1:404" x14ac:dyDescent="0.25">
      <c r="A218" t="s">
        <v>719</v>
      </c>
      <c r="B218" t="s">
        <v>720</v>
      </c>
      <c r="C218" t="s">
        <v>718</v>
      </c>
      <c r="E218" t="s">
        <v>125</v>
      </c>
      <c r="F218">
        <v>17982</v>
      </c>
      <c r="G218">
        <v>98107</v>
      </c>
      <c r="H218">
        <v>29805</v>
      </c>
      <c r="I218">
        <v>21515</v>
      </c>
      <c r="J218">
        <v>2643</v>
      </c>
      <c r="K218">
        <v>15404</v>
      </c>
      <c r="L218">
        <v>185456</v>
      </c>
      <c r="M218">
        <v>455</v>
      </c>
      <c r="N218">
        <v>45</v>
      </c>
      <c r="O218">
        <v>144</v>
      </c>
      <c r="P218">
        <v>250</v>
      </c>
      <c r="Q218">
        <v>163</v>
      </c>
      <c r="R218">
        <v>228</v>
      </c>
      <c r="S218">
        <v>2993</v>
      </c>
      <c r="T218">
        <v>325</v>
      </c>
      <c r="U218">
        <v>2751</v>
      </c>
      <c r="V218">
        <v>0</v>
      </c>
      <c r="W218">
        <v>-132</v>
      </c>
      <c r="X218">
        <v>458</v>
      </c>
      <c r="Y218">
        <v>8</v>
      </c>
      <c r="Z218">
        <v>-1273</v>
      </c>
      <c r="AA218">
        <v>488</v>
      </c>
      <c r="AB218">
        <v>3496</v>
      </c>
      <c r="AC218">
        <v>0</v>
      </c>
      <c r="AD218">
        <v>0</v>
      </c>
      <c r="AE218">
        <v>0</v>
      </c>
      <c r="AF218">
        <v>0</v>
      </c>
      <c r="AG218">
        <v>268</v>
      </c>
      <c r="AH218">
        <v>0</v>
      </c>
      <c r="AI218">
        <v>10667</v>
      </c>
      <c r="AJ218">
        <v>0</v>
      </c>
      <c r="AK218">
        <v>0</v>
      </c>
      <c r="AL218">
        <v>0</v>
      </c>
      <c r="AM218">
        <v>0</v>
      </c>
      <c r="AN218">
        <v>0</v>
      </c>
      <c r="AO218">
        <v>77</v>
      </c>
      <c r="AP218">
        <v>1029</v>
      </c>
      <c r="AQ218">
        <v>1173</v>
      </c>
      <c r="AR218">
        <v>848</v>
      </c>
      <c r="AS218">
        <v>0</v>
      </c>
      <c r="AT218">
        <v>0</v>
      </c>
      <c r="AU218">
        <v>0</v>
      </c>
      <c r="AV218">
        <v>714</v>
      </c>
      <c r="AW218">
        <v>27998</v>
      </c>
      <c r="AX218">
        <v>68</v>
      </c>
      <c r="AY218">
        <v>4961</v>
      </c>
      <c r="AZ218">
        <v>1858</v>
      </c>
      <c r="BA218">
        <v>15530</v>
      </c>
      <c r="BB218">
        <v>1060</v>
      </c>
      <c r="BC218">
        <v>462</v>
      </c>
      <c r="BD218">
        <v>52651</v>
      </c>
      <c r="BE218">
        <v>6983</v>
      </c>
      <c r="BF218">
        <v>11310</v>
      </c>
      <c r="BG218">
        <v>216</v>
      </c>
      <c r="BH218">
        <v>46</v>
      </c>
      <c r="BI218">
        <v>144</v>
      </c>
      <c r="BJ218">
        <v>4916</v>
      </c>
      <c r="BK218">
        <v>17569</v>
      </c>
      <c r="BL218">
        <v>405</v>
      </c>
      <c r="BM218">
        <v>5748</v>
      </c>
      <c r="BN218">
        <v>972</v>
      </c>
      <c r="BO218">
        <v>13</v>
      </c>
      <c r="BP218">
        <v>866</v>
      </c>
      <c r="BQ218">
        <v>-19</v>
      </c>
      <c r="BR218">
        <v>1056</v>
      </c>
      <c r="BS218">
        <v>-1</v>
      </c>
      <c r="BT218">
        <v>6607</v>
      </c>
      <c r="BU218">
        <v>11</v>
      </c>
      <c r="BV218">
        <v>4090</v>
      </c>
      <c r="BW218">
        <v>63801</v>
      </c>
      <c r="BX218">
        <v>1042</v>
      </c>
      <c r="BY218">
        <v>993</v>
      </c>
      <c r="BZ218">
        <v>509</v>
      </c>
      <c r="CA218">
        <v>81</v>
      </c>
      <c r="CB218">
        <v>45</v>
      </c>
      <c r="CC218">
        <v>22</v>
      </c>
      <c r="CD218">
        <v>44</v>
      </c>
      <c r="CE218">
        <v>523</v>
      </c>
      <c r="CF218">
        <v>210</v>
      </c>
      <c r="CG218">
        <v>293</v>
      </c>
      <c r="CH218">
        <v>235</v>
      </c>
      <c r="CI218">
        <v>2996</v>
      </c>
      <c r="CJ218">
        <v>273</v>
      </c>
      <c r="CK218">
        <v>478</v>
      </c>
      <c r="CL218">
        <v>315</v>
      </c>
      <c r="CM218">
        <v>305</v>
      </c>
      <c r="CN218">
        <v>784</v>
      </c>
      <c r="CO218">
        <v>68</v>
      </c>
      <c r="CP218">
        <v>759</v>
      </c>
      <c r="CQ218">
        <v>4389</v>
      </c>
      <c r="CR218">
        <v>237</v>
      </c>
      <c r="CS218">
        <v>0</v>
      </c>
      <c r="CT218">
        <v>329</v>
      </c>
      <c r="CU218">
        <v>941</v>
      </c>
      <c r="CV218">
        <v>24650</v>
      </c>
      <c r="CW218">
        <v>61</v>
      </c>
      <c r="CX218">
        <v>308</v>
      </c>
      <c r="CY218">
        <v>81</v>
      </c>
      <c r="CZ218">
        <v>0</v>
      </c>
      <c r="DA218">
        <v>0</v>
      </c>
      <c r="DB218">
        <v>0</v>
      </c>
      <c r="DC218">
        <v>441</v>
      </c>
      <c r="DD218">
        <v>16</v>
      </c>
      <c r="DE218">
        <v>-3</v>
      </c>
      <c r="DF218">
        <v>122</v>
      </c>
      <c r="DG218">
        <v>465</v>
      </c>
      <c r="DH218">
        <v>3041</v>
      </c>
      <c r="DI218">
        <v>451</v>
      </c>
      <c r="DJ218">
        <v>124</v>
      </c>
      <c r="DK218">
        <v>-646</v>
      </c>
      <c r="DL218">
        <v>174</v>
      </c>
      <c r="DM218">
        <v>786</v>
      </c>
      <c r="DN218">
        <v>1153</v>
      </c>
      <c r="DO218">
        <v>2058</v>
      </c>
      <c r="DP218">
        <v>7606</v>
      </c>
      <c r="DQ218">
        <v>369</v>
      </c>
      <c r="DR218">
        <v>198</v>
      </c>
      <c r="DS218">
        <v>0</v>
      </c>
      <c r="DT218">
        <v>549</v>
      </c>
      <c r="DU218">
        <v>82</v>
      </c>
      <c r="DV218">
        <v>1403</v>
      </c>
      <c r="DW218">
        <v>0</v>
      </c>
      <c r="DX218">
        <v>10783</v>
      </c>
      <c r="DY218">
        <v>34778</v>
      </c>
      <c r="DZ218">
        <v>778</v>
      </c>
      <c r="EA218">
        <v>4805</v>
      </c>
      <c r="EB218">
        <v>280</v>
      </c>
      <c r="EC218">
        <v>0</v>
      </c>
      <c r="ED218">
        <v>78</v>
      </c>
      <c r="EE218">
        <v>0</v>
      </c>
      <c r="EF218">
        <v>10696</v>
      </c>
      <c r="EG218">
        <v>-6</v>
      </c>
      <c r="EH218">
        <v>11288</v>
      </c>
      <c r="EI218">
        <v>7353</v>
      </c>
      <c r="EJ218">
        <v>3176</v>
      </c>
      <c r="EK218">
        <v>58</v>
      </c>
      <c r="EL218">
        <v>4584</v>
      </c>
      <c r="EM218">
        <v>10696</v>
      </c>
      <c r="EN218">
        <v>73</v>
      </c>
      <c r="EO218">
        <v>81</v>
      </c>
      <c r="EP218">
        <v>0</v>
      </c>
      <c r="EQ218">
        <v>10395</v>
      </c>
      <c r="ER218">
        <v>196</v>
      </c>
      <c r="ES218">
        <v>15087</v>
      </c>
      <c r="ET218">
        <v>18596</v>
      </c>
      <c r="EU218">
        <v>0</v>
      </c>
      <c r="EV218">
        <v>0</v>
      </c>
      <c r="EW218">
        <v>10</v>
      </c>
      <c r="EX218">
        <v>1194</v>
      </c>
      <c r="EY218">
        <v>3</v>
      </c>
      <c r="EZ218">
        <v>460</v>
      </c>
      <c r="FA218">
        <v>0</v>
      </c>
      <c r="FB218">
        <v>1196</v>
      </c>
      <c r="FC218">
        <v>1272</v>
      </c>
      <c r="FD218">
        <v>1702</v>
      </c>
      <c r="FE218">
        <v>51</v>
      </c>
      <c r="FF218">
        <v>0</v>
      </c>
      <c r="FG218">
        <v>815</v>
      </c>
      <c r="FH218">
        <v>6703</v>
      </c>
      <c r="FI218">
        <v>-788</v>
      </c>
      <c r="FJ218">
        <v>313</v>
      </c>
      <c r="FK218">
        <v>0</v>
      </c>
      <c r="FL218">
        <v>167</v>
      </c>
      <c r="FM218">
        <v>136</v>
      </c>
      <c r="FN218">
        <v>388</v>
      </c>
      <c r="FO218">
        <v>109</v>
      </c>
      <c r="FP218">
        <v>197</v>
      </c>
      <c r="FQ218">
        <v>0</v>
      </c>
      <c r="FR218">
        <v>40</v>
      </c>
      <c r="FS218">
        <v>-199</v>
      </c>
      <c r="FT218">
        <v>0</v>
      </c>
      <c r="FU218">
        <v>0</v>
      </c>
      <c r="FV218">
        <v>0</v>
      </c>
      <c r="FW218">
        <v>842</v>
      </c>
      <c r="FX218">
        <v>370</v>
      </c>
      <c r="FY218">
        <v>149</v>
      </c>
      <c r="FZ218">
        <v>0</v>
      </c>
      <c r="GA218">
        <v>0</v>
      </c>
      <c r="GB218">
        <v>0</v>
      </c>
      <c r="GC218">
        <v>0</v>
      </c>
      <c r="GD218">
        <v>3075</v>
      </c>
      <c r="GE218">
        <v>2499</v>
      </c>
      <c r="GF218">
        <v>10073</v>
      </c>
      <c r="GG218">
        <v>-299</v>
      </c>
      <c r="GH218">
        <v>800</v>
      </c>
      <c r="GI218">
        <v>260</v>
      </c>
      <c r="GJ218">
        <v>0</v>
      </c>
      <c r="GK218">
        <v>18132</v>
      </c>
      <c r="GL218">
        <v>128</v>
      </c>
      <c r="GM218">
        <v>243</v>
      </c>
      <c r="GN218">
        <v>0</v>
      </c>
      <c r="GO218">
        <v>245</v>
      </c>
      <c r="GP218">
        <v>533</v>
      </c>
      <c r="GQ218">
        <v>744</v>
      </c>
      <c r="GR218">
        <v>0</v>
      </c>
      <c r="GS218">
        <v>435</v>
      </c>
      <c r="GT218">
        <v>1145</v>
      </c>
      <c r="GU218">
        <v>3473</v>
      </c>
      <c r="GV218">
        <v>28308</v>
      </c>
      <c r="GW218">
        <v>0</v>
      </c>
      <c r="GX218">
        <v>0</v>
      </c>
      <c r="GY218">
        <v>0</v>
      </c>
      <c r="GZ218">
        <v>0</v>
      </c>
      <c r="HA218">
        <v>0</v>
      </c>
      <c r="HB218">
        <v>4074</v>
      </c>
      <c r="HC218">
        <v>1800</v>
      </c>
      <c r="HD218">
        <v>239</v>
      </c>
      <c r="HE218">
        <v>426</v>
      </c>
      <c r="HF218">
        <v>0</v>
      </c>
      <c r="HG218">
        <v>7</v>
      </c>
      <c r="HH218">
        <v>0</v>
      </c>
      <c r="HI218">
        <v>79</v>
      </c>
      <c r="HJ218">
        <v>427</v>
      </c>
      <c r="HK218">
        <v>328</v>
      </c>
      <c r="HL218">
        <v>105</v>
      </c>
      <c r="HM218">
        <v>-78</v>
      </c>
      <c r="HN218">
        <v>12</v>
      </c>
      <c r="HO218">
        <v>0</v>
      </c>
      <c r="HP218">
        <v>392</v>
      </c>
      <c r="HQ218">
        <v>0</v>
      </c>
      <c r="HR218">
        <v>7952</v>
      </c>
      <c r="HS218">
        <v>0</v>
      </c>
      <c r="HT218">
        <v>0</v>
      </c>
      <c r="HU218">
        <v>1501</v>
      </c>
      <c r="HV218">
        <v>17264</v>
      </c>
      <c r="HW218">
        <v>1955</v>
      </c>
      <c r="HX218">
        <v>10300</v>
      </c>
      <c r="HY218">
        <v>0</v>
      </c>
      <c r="HZ218">
        <v>416</v>
      </c>
      <c r="IA218">
        <v>0</v>
      </c>
      <c r="IB218">
        <v>0</v>
      </c>
      <c r="IC218">
        <v>185456</v>
      </c>
      <c r="ID218">
        <v>10667</v>
      </c>
      <c r="IE218">
        <v>52651</v>
      </c>
      <c r="IF218">
        <v>63801</v>
      </c>
      <c r="IG218">
        <v>24650</v>
      </c>
      <c r="IH218">
        <v>10783</v>
      </c>
      <c r="II218">
        <v>6703</v>
      </c>
      <c r="IJ218">
        <v>18132</v>
      </c>
      <c r="IK218">
        <v>3473</v>
      </c>
      <c r="IL218">
        <v>0</v>
      </c>
      <c r="IM218">
        <v>0</v>
      </c>
      <c r="IN218">
        <v>17264</v>
      </c>
      <c r="IO218">
        <v>0</v>
      </c>
      <c r="IP218">
        <v>393580</v>
      </c>
      <c r="IQ218">
        <v>39293</v>
      </c>
      <c r="IR218">
        <v>6638</v>
      </c>
      <c r="IS218">
        <v>14881</v>
      </c>
      <c r="IT218">
        <v>0</v>
      </c>
      <c r="IU218">
        <v>0</v>
      </c>
      <c r="IV218">
        <v>0</v>
      </c>
      <c r="IW218">
        <v>0</v>
      </c>
      <c r="IX218">
        <v>0</v>
      </c>
      <c r="IY218">
        <v>0</v>
      </c>
      <c r="IZ218">
        <v>0</v>
      </c>
      <c r="JA218">
        <v>-4992</v>
      </c>
      <c r="JB218">
        <v>1385</v>
      </c>
      <c r="JC218">
        <v>-4054</v>
      </c>
      <c r="JD218">
        <v>-1278</v>
      </c>
      <c r="JE218">
        <v>-18</v>
      </c>
      <c r="JF218">
        <v>0</v>
      </c>
      <c r="JG218">
        <v>445435</v>
      </c>
      <c r="JH218">
        <v>122</v>
      </c>
      <c r="JI218">
        <v>5168</v>
      </c>
      <c r="JJ218">
        <v>0</v>
      </c>
      <c r="JK218">
        <v>0</v>
      </c>
      <c r="JL218">
        <v>0</v>
      </c>
      <c r="JM218">
        <v>689</v>
      </c>
      <c r="JN218">
        <v>9569</v>
      </c>
      <c r="JO218">
        <v>0</v>
      </c>
      <c r="JP218">
        <v>14828</v>
      </c>
      <c r="JQ218">
        <v>-906</v>
      </c>
      <c r="JR218">
        <v>474905</v>
      </c>
      <c r="JS218">
        <v>-31402</v>
      </c>
      <c r="JT218">
        <v>0</v>
      </c>
      <c r="JU218">
        <v>235</v>
      </c>
      <c r="JV218">
        <v>0</v>
      </c>
      <c r="JW218">
        <v>-63248</v>
      </c>
      <c r="JX218">
        <v>0</v>
      </c>
      <c r="JY218">
        <v>0</v>
      </c>
      <c r="JZ218">
        <v>0</v>
      </c>
      <c r="KA218">
        <v>0</v>
      </c>
      <c r="KB218">
        <v>0</v>
      </c>
      <c r="KC218">
        <v>380490</v>
      </c>
      <c r="KD218">
        <v>-177</v>
      </c>
      <c r="KE218">
        <v>-234211</v>
      </c>
      <c r="KF218">
        <v>146102</v>
      </c>
      <c r="KG218">
        <v>0</v>
      </c>
      <c r="KH218">
        <v>-691</v>
      </c>
      <c r="KI218">
        <v>956</v>
      </c>
      <c r="KJ218">
        <v>239</v>
      </c>
      <c r="KK218">
        <v>-742</v>
      </c>
      <c r="KL218">
        <v>0</v>
      </c>
      <c r="KM218">
        <v>-10939</v>
      </c>
      <c r="KN218">
        <v>0</v>
      </c>
      <c r="KO218">
        <v>-36513</v>
      </c>
      <c r="KP218">
        <v>1576</v>
      </c>
      <c r="KQ218">
        <v>0</v>
      </c>
      <c r="KR218">
        <v>82449</v>
      </c>
      <c r="KS218">
        <v>20253</v>
      </c>
      <c r="KT218">
        <v>4962</v>
      </c>
      <c r="KU218">
        <v>1547</v>
      </c>
      <c r="KV218">
        <v>102612</v>
      </c>
      <c r="KW218">
        <v>14021</v>
      </c>
      <c r="KX218">
        <v>19562</v>
      </c>
      <c r="KY218">
        <v>5918</v>
      </c>
      <c r="KZ218">
        <v>1786</v>
      </c>
      <c r="LA218">
        <v>101870</v>
      </c>
      <c r="LB218">
        <v>14021</v>
      </c>
      <c r="LC218">
        <v>0</v>
      </c>
      <c r="LD218">
        <v>30442</v>
      </c>
      <c r="LE218">
        <v>0</v>
      </c>
      <c r="LF218">
        <v>407</v>
      </c>
      <c r="LG218">
        <v>-29588</v>
      </c>
      <c r="LH218">
        <v>3101</v>
      </c>
      <c r="LI218">
        <v>2566</v>
      </c>
      <c r="LJ218">
        <v>4933</v>
      </c>
      <c r="LK218">
        <v>7446</v>
      </c>
      <c r="LL218">
        <v>12379</v>
      </c>
      <c r="LM218">
        <v>0</v>
      </c>
      <c r="LN218">
        <v>0</v>
      </c>
      <c r="LO218">
        <v>0</v>
      </c>
      <c r="LP218">
        <v>51409</v>
      </c>
      <c r="LQ218">
        <v>47900</v>
      </c>
      <c r="LR218">
        <v>3509</v>
      </c>
      <c r="LS218">
        <v>15087</v>
      </c>
      <c r="LT218">
        <v>18596</v>
      </c>
      <c r="LU218">
        <v>185456</v>
      </c>
      <c r="LV218">
        <v>10667</v>
      </c>
      <c r="LW218">
        <v>52651</v>
      </c>
      <c r="LX218">
        <v>63801</v>
      </c>
      <c r="LY218">
        <v>24650</v>
      </c>
      <c r="LZ218">
        <v>10783</v>
      </c>
      <c r="MA218">
        <v>6703</v>
      </c>
      <c r="MB218">
        <v>18132</v>
      </c>
      <c r="MC218">
        <v>3473</v>
      </c>
      <c r="MD218">
        <v>0</v>
      </c>
      <c r="ME218">
        <v>0</v>
      </c>
      <c r="MF218">
        <v>17264</v>
      </c>
      <c r="MG218">
        <v>0</v>
      </c>
      <c r="MH218">
        <v>393580</v>
      </c>
      <c r="MI218">
        <v>0</v>
      </c>
      <c r="MJ218">
        <v>0</v>
      </c>
      <c r="MK218">
        <v>0</v>
      </c>
      <c r="ML218">
        <v>0</v>
      </c>
      <c r="MM218">
        <v>0</v>
      </c>
      <c r="MN218">
        <v>0</v>
      </c>
      <c r="MO218">
        <v>0</v>
      </c>
      <c r="MP218">
        <v>0</v>
      </c>
      <c r="MQ218">
        <v>0</v>
      </c>
      <c r="MR218">
        <v>0</v>
      </c>
      <c r="MS218">
        <v>0</v>
      </c>
      <c r="MT218">
        <v>0</v>
      </c>
      <c r="MU218">
        <v>0</v>
      </c>
      <c r="MV218">
        <v>0</v>
      </c>
      <c r="MW218">
        <v>-3325</v>
      </c>
      <c r="MX218">
        <v>-996</v>
      </c>
      <c r="MY218">
        <v>-4552</v>
      </c>
      <c r="MZ218">
        <v>85</v>
      </c>
      <c r="NA218">
        <v>-9046</v>
      </c>
      <c r="NB218">
        <v>4054</v>
      </c>
      <c r="NC218">
        <v>-4992</v>
      </c>
      <c r="ND218">
        <v>-8</v>
      </c>
      <c r="NE218">
        <v>0</v>
      </c>
      <c r="NF218">
        <v>-301</v>
      </c>
      <c r="NG218">
        <v>0</v>
      </c>
      <c r="NH218">
        <v>0</v>
      </c>
      <c r="NI218">
        <v>0</v>
      </c>
      <c r="NJ218">
        <v>0</v>
      </c>
      <c r="NK218">
        <v>0</v>
      </c>
      <c r="NL218">
        <v>7</v>
      </c>
      <c r="NM218">
        <v>103</v>
      </c>
      <c r="NN218">
        <v>-64</v>
      </c>
      <c r="NO218">
        <v>882</v>
      </c>
      <c r="NP218">
        <v>-255</v>
      </c>
      <c r="NQ218">
        <v>190</v>
      </c>
      <c r="NR218">
        <v>-837</v>
      </c>
      <c r="NS218">
        <v>0</v>
      </c>
      <c r="NT218">
        <v>2</v>
      </c>
      <c r="NU218">
        <v>0</v>
      </c>
      <c r="NV218">
        <v>-985</v>
      </c>
      <c r="NW218">
        <v>937</v>
      </c>
      <c r="NX218">
        <v>110</v>
      </c>
      <c r="NY218">
        <v>-56</v>
      </c>
      <c r="NZ218">
        <v>107</v>
      </c>
      <c r="OA218">
        <v>1278</v>
      </c>
      <c r="OB218">
        <v>1385</v>
      </c>
      <c r="OC218">
        <v>3936</v>
      </c>
      <c r="OD218">
        <v>0</v>
      </c>
      <c r="OE218">
        <v>118</v>
      </c>
      <c r="OF218">
        <v>0</v>
      </c>
      <c r="OG218">
        <v>0</v>
      </c>
      <c r="OH218">
        <v>4054</v>
      </c>
      <c r="OI218">
        <v>2663</v>
      </c>
      <c r="OJ218">
        <v>0</v>
      </c>
      <c r="OK218">
        <v>-1385</v>
      </c>
      <c r="OL218">
        <v>0</v>
      </c>
      <c r="OM218">
        <v>0</v>
      </c>
      <c r="ON218">
        <v>1278</v>
      </c>
    </row>
    <row r="219" spans="1:404" x14ac:dyDescent="0.25">
      <c r="A219" t="s">
        <v>722</v>
      </c>
      <c r="B219" t="s">
        <v>723</v>
      </c>
      <c r="C219" t="s">
        <v>721</v>
      </c>
      <c r="E219" t="s">
        <v>61</v>
      </c>
      <c r="F219">
        <v>0</v>
      </c>
      <c r="G219">
        <v>0</v>
      </c>
      <c r="H219">
        <v>0</v>
      </c>
      <c r="I219">
        <v>0</v>
      </c>
      <c r="J219">
        <v>0</v>
      </c>
      <c r="K219">
        <v>0</v>
      </c>
      <c r="L219">
        <v>0</v>
      </c>
      <c r="M219">
        <v>0</v>
      </c>
      <c r="N219">
        <v>0</v>
      </c>
      <c r="O219">
        <v>0</v>
      </c>
      <c r="P219">
        <v>0</v>
      </c>
      <c r="Q219">
        <v>0</v>
      </c>
      <c r="R219">
        <v>0</v>
      </c>
      <c r="S219">
        <v>144</v>
      </c>
      <c r="T219">
        <v>0</v>
      </c>
      <c r="U219">
        <v>0</v>
      </c>
      <c r="V219">
        <v>0</v>
      </c>
      <c r="W219">
        <v>0</v>
      </c>
      <c r="X219">
        <v>0</v>
      </c>
      <c r="Y219">
        <v>0</v>
      </c>
      <c r="Z219">
        <v>-356</v>
      </c>
      <c r="AA219">
        <v>-1304</v>
      </c>
      <c r="AB219">
        <v>0</v>
      </c>
      <c r="AC219">
        <v>0</v>
      </c>
      <c r="AD219">
        <v>143</v>
      </c>
      <c r="AE219">
        <v>0</v>
      </c>
      <c r="AF219">
        <v>0</v>
      </c>
      <c r="AG219">
        <v>-20</v>
      </c>
      <c r="AH219">
        <v>0</v>
      </c>
      <c r="AI219">
        <v>-1393</v>
      </c>
      <c r="AJ219">
        <v>0</v>
      </c>
      <c r="AK219">
        <v>0</v>
      </c>
      <c r="AL219">
        <v>0</v>
      </c>
      <c r="AM219">
        <v>0</v>
      </c>
      <c r="AN219">
        <v>0</v>
      </c>
      <c r="AO219">
        <v>0</v>
      </c>
      <c r="AP219">
        <v>0</v>
      </c>
      <c r="AQ219">
        <v>710</v>
      </c>
      <c r="AR219">
        <v>394</v>
      </c>
      <c r="AS219">
        <v>0</v>
      </c>
      <c r="AT219">
        <v>0</v>
      </c>
      <c r="AU219">
        <v>0</v>
      </c>
      <c r="AV219">
        <v>0</v>
      </c>
      <c r="AW219">
        <v>0</v>
      </c>
      <c r="AX219">
        <v>0</v>
      </c>
      <c r="AY219">
        <v>0</v>
      </c>
      <c r="AZ219">
        <v>0</v>
      </c>
      <c r="BA219">
        <v>0</v>
      </c>
      <c r="BB219">
        <v>0</v>
      </c>
      <c r="BC219">
        <v>0</v>
      </c>
      <c r="BD219">
        <v>0</v>
      </c>
      <c r="BE219">
        <v>0</v>
      </c>
      <c r="BF219">
        <v>0</v>
      </c>
      <c r="BG219">
        <v>0</v>
      </c>
      <c r="BH219">
        <v>0</v>
      </c>
      <c r="BI219">
        <v>0</v>
      </c>
      <c r="BJ219">
        <v>0</v>
      </c>
      <c r="BK219">
        <v>0</v>
      </c>
      <c r="BL219">
        <v>0</v>
      </c>
      <c r="BM219">
        <v>0</v>
      </c>
      <c r="BN219">
        <v>0</v>
      </c>
      <c r="BO219">
        <v>0</v>
      </c>
      <c r="BP219">
        <v>0</v>
      </c>
      <c r="BQ219">
        <v>0</v>
      </c>
      <c r="BR219">
        <v>0</v>
      </c>
      <c r="BS219">
        <v>0</v>
      </c>
      <c r="BT219">
        <v>0</v>
      </c>
      <c r="BU219">
        <v>0</v>
      </c>
      <c r="BV219">
        <v>0</v>
      </c>
      <c r="BW219">
        <v>0</v>
      </c>
      <c r="BX219">
        <v>0</v>
      </c>
      <c r="BY219">
        <v>0</v>
      </c>
      <c r="BZ219">
        <v>0</v>
      </c>
      <c r="CA219">
        <v>0</v>
      </c>
      <c r="CB219">
        <v>0</v>
      </c>
      <c r="CC219">
        <v>0</v>
      </c>
      <c r="CD219">
        <v>0</v>
      </c>
      <c r="CE219">
        <v>220</v>
      </c>
      <c r="CF219">
        <v>0</v>
      </c>
      <c r="CG219">
        <v>8</v>
      </c>
      <c r="CH219">
        <v>0</v>
      </c>
      <c r="CI219">
        <v>0</v>
      </c>
      <c r="CJ219">
        <v>0</v>
      </c>
      <c r="CK219">
        <v>0</v>
      </c>
      <c r="CL219">
        <v>0</v>
      </c>
      <c r="CM219">
        <v>0</v>
      </c>
      <c r="CN219">
        <v>0</v>
      </c>
      <c r="CO219">
        <v>0</v>
      </c>
      <c r="CP219">
        <v>0</v>
      </c>
      <c r="CQ219">
        <v>0</v>
      </c>
      <c r="CR219">
        <v>0</v>
      </c>
      <c r="CS219">
        <v>0</v>
      </c>
      <c r="CT219">
        <v>0</v>
      </c>
      <c r="CU219">
        <v>4</v>
      </c>
      <c r="CV219">
        <v>232</v>
      </c>
      <c r="CW219">
        <v>0</v>
      </c>
      <c r="CX219">
        <v>0</v>
      </c>
      <c r="CY219">
        <v>0</v>
      </c>
      <c r="CZ219">
        <v>0</v>
      </c>
      <c r="DA219">
        <v>0</v>
      </c>
      <c r="DB219">
        <v>0</v>
      </c>
      <c r="DC219">
        <v>788</v>
      </c>
      <c r="DD219">
        <v>0</v>
      </c>
      <c r="DE219">
        <v>59</v>
      </c>
      <c r="DF219">
        <v>17</v>
      </c>
      <c r="DG219">
        <v>499</v>
      </c>
      <c r="DH219">
        <v>119</v>
      </c>
      <c r="DI219">
        <v>0</v>
      </c>
      <c r="DJ219">
        <v>0</v>
      </c>
      <c r="DK219">
        <v>110</v>
      </c>
      <c r="DL219">
        <v>0</v>
      </c>
      <c r="DM219">
        <v>0</v>
      </c>
      <c r="DN219">
        <v>0</v>
      </c>
      <c r="DO219">
        <v>1136</v>
      </c>
      <c r="DP219">
        <v>1864</v>
      </c>
      <c r="DQ219">
        <v>351</v>
      </c>
      <c r="DR219">
        <v>0</v>
      </c>
      <c r="DS219">
        <v>0</v>
      </c>
      <c r="DT219">
        <v>624</v>
      </c>
      <c r="DU219">
        <v>80</v>
      </c>
      <c r="DV219">
        <v>0</v>
      </c>
      <c r="DW219">
        <v>0</v>
      </c>
      <c r="DX219">
        <v>3783</v>
      </c>
      <c r="DY219">
        <v>0</v>
      </c>
      <c r="DZ219">
        <v>0</v>
      </c>
      <c r="EA219">
        <v>0</v>
      </c>
      <c r="EB219">
        <v>0</v>
      </c>
      <c r="EC219">
        <v>0</v>
      </c>
      <c r="ED219">
        <v>0</v>
      </c>
      <c r="EE219">
        <v>0</v>
      </c>
      <c r="EF219">
        <v>0</v>
      </c>
      <c r="EG219">
        <v>0</v>
      </c>
      <c r="EH219">
        <v>0</v>
      </c>
      <c r="EI219">
        <v>0</v>
      </c>
      <c r="EJ219">
        <v>0</v>
      </c>
      <c r="EK219">
        <v>0</v>
      </c>
      <c r="EL219">
        <v>0</v>
      </c>
      <c r="EM219">
        <v>0</v>
      </c>
      <c r="EN219">
        <v>0</v>
      </c>
      <c r="EO219">
        <v>0</v>
      </c>
      <c r="EP219">
        <v>0</v>
      </c>
      <c r="EQ219">
        <v>0</v>
      </c>
      <c r="ER219">
        <v>0</v>
      </c>
      <c r="ES219">
        <v>0</v>
      </c>
      <c r="ET219">
        <v>0</v>
      </c>
      <c r="EU219">
        <v>0</v>
      </c>
      <c r="EV219">
        <v>21</v>
      </c>
      <c r="EW219">
        <v>0</v>
      </c>
      <c r="EX219">
        <v>701</v>
      </c>
      <c r="EY219">
        <v>323</v>
      </c>
      <c r="EZ219">
        <v>19</v>
      </c>
      <c r="FA219">
        <v>0</v>
      </c>
      <c r="FB219">
        <v>0</v>
      </c>
      <c r="FC219">
        <v>-218</v>
      </c>
      <c r="FD219">
        <v>1953</v>
      </c>
      <c r="FE219">
        <v>17</v>
      </c>
      <c r="FF219">
        <v>108</v>
      </c>
      <c r="FG219">
        <v>0</v>
      </c>
      <c r="FH219">
        <v>2924</v>
      </c>
      <c r="FI219">
        <v>-516</v>
      </c>
      <c r="FJ219">
        <v>0</v>
      </c>
      <c r="FK219">
        <v>0</v>
      </c>
      <c r="FL219">
        <v>170</v>
      </c>
      <c r="FM219">
        <v>360</v>
      </c>
      <c r="FN219">
        <v>0</v>
      </c>
      <c r="FO219">
        <v>46</v>
      </c>
      <c r="FP219">
        <v>0</v>
      </c>
      <c r="FQ219">
        <v>0</v>
      </c>
      <c r="FR219">
        <v>50</v>
      </c>
      <c r="FS219">
        <v>330</v>
      </c>
      <c r="FT219">
        <v>295</v>
      </c>
      <c r="FU219">
        <v>26</v>
      </c>
      <c r="FV219">
        <v>306</v>
      </c>
      <c r="FW219">
        <v>0</v>
      </c>
      <c r="FX219">
        <v>65</v>
      </c>
      <c r="FY219">
        <v>0</v>
      </c>
      <c r="FZ219">
        <v>34</v>
      </c>
      <c r="GA219">
        <v>126</v>
      </c>
      <c r="GB219">
        <v>0</v>
      </c>
      <c r="GC219">
        <v>0</v>
      </c>
      <c r="GD219">
        <v>1356</v>
      </c>
      <c r="GE219">
        <v>1727</v>
      </c>
      <c r="GF219">
        <v>0</v>
      </c>
      <c r="GG219">
        <v>-4</v>
      </c>
      <c r="GH219">
        <v>1149</v>
      </c>
      <c r="GI219">
        <v>0</v>
      </c>
      <c r="GJ219">
        <v>0</v>
      </c>
      <c r="GK219">
        <v>5520</v>
      </c>
      <c r="GL219">
        <v>138</v>
      </c>
      <c r="GM219">
        <v>1055</v>
      </c>
      <c r="GN219">
        <v>105</v>
      </c>
      <c r="GO219">
        <v>1227</v>
      </c>
      <c r="GP219">
        <v>0</v>
      </c>
      <c r="GQ219">
        <v>287</v>
      </c>
      <c r="GR219">
        <v>19</v>
      </c>
      <c r="GS219">
        <v>2679</v>
      </c>
      <c r="GT219">
        <v>68</v>
      </c>
      <c r="GU219">
        <v>5578</v>
      </c>
      <c r="GV219">
        <v>14022</v>
      </c>
      <c r="GW219">
        <v>0</v>
      </c>
      <c r="GX219">
        <v>0</v>
      </c>
      <c r="GY219">
        <v>0</v>
      </c>
      <c r="GZ219">
        <v>0</v>
      </c>
      <c r="HA219">
        <v>0</v>
      </c>
      <c r="HB219">
        <v>2495</v>
      </c>
      <c r="HC219">
        <v>1112</v>
      </c>
      <c r="HD219">
        <v>0</v>
      </c>
      <c r="HE219">
        <v>0</v>
      </c>
      <c r="HF219">
        <v>551</v>
      </c>
      <c r="HG219">
        <v>191</v>
      </c>
      <c r="HH219">
        <v>4</v>
      </c>
      <c r="HI219">
        <v>0</v>
      </c>
      <c r="HJ219">
        <v>237</v>
      </c>
      <c r="HK219">
        <v>522</v>
      </c>
      <c r="HL219">
        <v>80</v>
      </c>
      <c r="HM219">
        <v>-170</v>
      </c>
      <c r="HN219">
        <v>0</v>
      </c>
      <c r="HO219">
        <v>300</v>
      </c>
      <c r="HP219">
        <v>0</v>
      </c>
      <c r="HQ219">
        <v>0</v>
      </c>
      <c r="HR219">
        <v>159</v>
      </c>
      <c r="HS219">
        <v>286</v>
      </c>
      <c r="HT219">
        <v>0</v>
      </c>
      <c r="HU219">
        <v>1</v>
      </c>
      <c r="HV219">
        <v>5768</v>
      </c>
      <c r="HW219">
        <v>4347</v>
      </c>
      <c r="HX219">
        <v>6568</v>
      </c>
      <c r="HY219">
        <v>0</v>
      </c>
      <c r="HZ219">
        <v>0</v>
      </c>
      <c r="IA219">
        <v>3086</v>
      </c>
      <c r="IB219">
        <v>387</v>
      </c>
      <c r="IC219">
        <v>0</v>
      </c>
      <c r="ID219">
        <v>-1393</v>
      </c>
      <c r="IE219">
        <v>0</v>
      </c>
      <c r="IF219">
        <v>0</v>
      </c>
      <c r="IG219">
        <v>232</v>
      </c>
      <c r="IH219">
        <v>3783</v>
      </c>
      <c r="II219">
        <v>2924</v>
      </c>
      <c r="IJ219">
        <v>5520</v>
      </c>
      <c r="IK219">
        <v>5578</v>
      </c>
      <c r="IL219">
        <v>0</v>
      </c>
      <c r="IM219">
        <v>0</v>
      </c>
      <c r="IN219">
        <v>5768</v>
      </c>
      <c r="IO219">
        <v>387</v>
      </c>
      <c r="IP219">
        <v>22799</v>
      </c>
      <c r="IQ219">
        <v>31678</v>
      </c>
      <c r="IR219">
        <v>978</v>
      </c>
      <c r="IS219">
        <v>0</v>
      </c>
      <c r="IT219">
        <v>0</v>
      </c>
      <c r="IU219">
        <v>0</v>
      </c>
      <c r="IV219">
        <v>2240</v>
      </c>
      <c r="IW219">
        <v>0</v>
      </c>
      <c r="IX219">
        <v>0</v>
      </c>
      <c r="IY219">
        <v>0</v>
      </c>
      <c r="IZ219">
        <v>64</v>
      </c>
      <c r="JA219">
        <v>-1610</v>
      </c>
      <c r="JB219">
        <v>17</v>
      </c>
      <c r="JC219">
        <v>-78</v>
      </c>
      <c r="JD219">
        <v>-6</v>
      </c>
      <c r="JE219">
        <v>0</v>
      </c>
      <c r="JF219">
        <v>0</v>
      </c>
      <c r="JG219">
        <v>56082</v>
      </c>
      <c r="JH219">
        <v>0</v>
      </c>
      <c r="JI219">
        <v>5969</v>
      </c>
      <c r="JJ219">
        <v>0</v>
      </c>
      <c r="JK219">
        <v>0</v>
      </c>
      <c r="JL219">
        <v>0</v>
      </c>
      <c r="JM219">
        <v>-527</v>
      </c>
      <c r="JN219">
        <v>538</v>
      </c>
      <c r="JO219">
        <v>0</v>
      </c>
      <c r="JP219">
        <v>1883</v>
      </c>
      <c r="JQ219">
        <v>0</v>
      </c>
      <c r="JR219">
        <v>63945</v>
      </c>
      <c r="JS219">
        <v>-72</v>
      </c>
      <c r="JT219">
        <v>0</v>
      </c>
      <c r="JU219">
        <v>0</v>
      </c>
      <c r="JV219">
        <v>0</v>
      </c>
      <c r="JW219">
        <v>-33077</v>
      </c>
      <c r="JX219">
        <v>0</v>
      </c>
      <c r="JY219">
        <v>-66</v>
      </c>
      <c r="JZ219">
        <v>0</v>
      </c>
      <c r="KA219">
        <v>0</v>
      </c>
      <c r="KB219">
        <v>0</v>
      </c>
      <c r="KC219">
        <v>30730</v>
      </c>
      <c r="KD219">
        <v>0</v>
      </c>
      <c r="KE219">
        <v>-14201</v>
      </c>
      <c r="KF219">
        <v>16529</v>
      </c>
      <c r="KG219">
        <v>0</v>
      </c>
      <c r="KH219">
        <v>0</v>
      </c>
      <c r="KI219">
        <v>0</v>
      </c>
      <c r="KJ219">
        <v>0</v>
      </c>
      <c r="KK219">
        <v>-1653</v>
      </c>
      <c r="KL219">
        <v>2211</v>
      </c>
      <c r="KM219">
        <v>0</v>
      </c>
      <c r="KN219">
        <v>0</v>
      </c>
      <c r="KO219">
        <v>-2593</v>
      </c>
      <c r="KP219">
        <v>14713</v>
      </c>
      <c r="KQ219">
        <v>0</v>
      </c>
      <c r="KR219">
        <v>19456</v>
      </c>
      <c r="KS219">
        <v>0</v>
      </c>
      <c r="KT219">
        <v>0</v>
      </c>
      <c r="KU219">
        <v>0</v>
      </c>
      <c r="KV219">
        <v>22980</v>
      </c>
      <c r="KW219">
        <v>10330</v>
      </c>
      <c r="KX219">
        <v>0</v>
      </c>
      <c r="KY219">
        <v>0</v>
      </c>
      <c r="KZ219">
        <v>0</v>
      </c>
      <c r="LA219">
        <v>21327</v>
      </c>
      <c r="LB219">
        <v>12541</v>
      </c>
      <c r="LC219">
        <v>0</v>
      </c>
      <c r="LD219">
        <v>4903</v>
      </c>
      <c r="LE219">
        <v>0</v>
      </c>
      <c r="LF219">
        <v>-8018</v>
      </c>
      <c r="LG219">
        <v>-4024</v>
      </c>
      <c r="LH219">
        <v>7384</v>
      </c>
      <c r="LI219">
        <v>-3151</v>
      </c>
      <c r="LJ219">
        <v>3917</v>
      </c>
      <c r="LK219">
        <v>6386</v>
      </c>
      <c r="LL219">
        <v>10303</v>
      </c>
      <c r="LM219">
        <v>0</v>
      </c>
      <c r="LN219">
        <v>0</v>
      </c>
      <c r="LO219">
        <v>0</v>
      </c>
      <c r="LP219">
        <v>0</v>
      </c>
      <c r="LQ219">
        <v>0</v>
      </c>
      <c r="LR219">
        <v>0</v>
      </c>
      <c r="LS219">
        <v>0</v>
      </c>
      <c r="LT219">
        <v>0</v>
      </c>
      <c r="LU219">
        <v>0</v>
      </c>
      <c r="LV219">
        <v>-1393</v>
      </c>
      <c r="LW219">
        <v>0</v>
      </c>
      <c r="LX219">
        <v>0</v>
      </c>
      <c r="LY219">
        <v>232</v>
      </c>
      <c r="LZ219">
        <v>3783</v>
      </c>
      <c r="MA219">
        <v>2924</v>
      </c>
      <c r="MB219">
        <v>5520</v>
      </c>
      <c r="MC219">
        <v>5578</v>
      </c>
      <c r="MD219">
        <v>0</v>
      </c>
      <c r="ME219">
        <v>0</v>
      </c>
      <c r="MF219">
        <v>5768</v>
      </c>
      <c r="MG219">
        <v>387</v>
      </c>
      <c r="MH219">
        <v>22799</v>
      </c>
      <c r="MI219">
        <v>0</v>
      </c>
      <c r="MJ219">
        <v>0</v>
      </c>
      <c r="MK219">
        <v>0</v>
      </c>
      <c r="ML219">
        <v>0</v>
      </c>
      <c r="MM219">
        <v>0</v>
      </c>
      <c r="MN219">
        <v>0</v>
      </c>
      <c r="MO219">
        <v>0</v>
      </c>
      <c r="MP219">
        <v>0</v>
      </c>
      <c r="MQ219">
        <v>0</v>
      </c>
      <c r="MR219">
        <v>0</v>
      </c>
      <c r="MS219">
        <v>0</v>
      </c>
      <c r="MT219">
        <v>0</v>
      </c>
      <c r="MU219">
        <v>0</v>
      </c>
      <c r="MV219">
        <v>-54</v>
      </c>
      <c r="MW219">
        <v>0</v>
      </c>
      <c r="MX219">
        <v>-785</v>
      </c>
      <c r="MY219">
        <v>-910</v>
      </c>
      <c r="MZ219">
        <v>0</v>
      </c>
      <c r="NA219">
        <v>-1688</v>
      </c>
      <c r="NB219">
        <v>78</v>
      </c>
      <c r="NC219">
        <v>-1610</v>
      </c>
      <c r="ND219">
        <v>0</v>
      </c>
      <c r="NE219">
        <v>0</v>
      </c>
      <c r="NF219">
        <v>0</v>
      </c>
      <c r="NG219">
        <v>0</v>
      </c>
      <c r="NH219">
        <v>0</v>
      </c>
      <c r="NI219">
        <v>0</v>
      </c>
      <c r="NJ219">
        <v>0</v>
      </c>
      <c r="NK219">
        <v>0</v>
      </c>
      <c r="NL219">
        <v>0</v>
      </c>
      <c r="NM219">
        <v>0</v>
      </c>
      <c r="NN219">
        <v>0</v>
      </c>
      <c r="NO219">
        <v>0</v>
      </c>
      <c r="NP219">
        <v>0</v>
      </c>
      <c r="NQ219">
        <v>0</v>
      </c>
      <c r="NR219">
        <v>0</v>
      </c>
      <c r="NS219">
        <v>0</v>
      </c>
      <c r="NT219">
        <v>0</v>
      </c>
      <c r="NU219">
        <v>0</v>
      </c>
      <c r="NV219">
        <v>0</v>
      </c>
      <c r="NW219">
        <v>0</v>
      </c>
      <c r="NX219">
        <v>0</v>
      </c>
      <c r="NY219">
        <v>0</v>
      </c>
      <c r="NZ219">
        <v>11</v>
      </c>
      <c r="OA219">
        <v>6</v>
      </c>
      <c r="OB219">
        <v>17</v>
      </c>
      <c r="OC219">
        <v>75</v>
      </c>
      <c r="OD219">
        <v>0</v>
      </c>
      <c r="OE219">
        <v>3</v>
      </c>
      <c r="OF219">
        <v>0</v>
      </c>
      <c r="OG219">
        <v>0</v>
      </c>
      <c r="OH219">
        <v>78</v>
      </c>
      <c r="OI219">
        <v>6</v>
      </c>
      <c r="OJ219">
        <v>0</v>
      </c>
      <c r="OK219">
        <v>0</v>
      </c>
      <c r="OL219">
        <v>0</v>
      </c>
      <c r="OM219">
        <v>0</v>
      </c>
      <c r="ON219">
        <v>6</v>
      </c>
    </row>
    <row r="220" spans="1:404" x14ac:dyDescent="0.25">
      <c r="A220" t="s">
        <v>725</v>
      </c>
      <c r="B220" t="s">
        <v>726</v>
      </c>
      <c r="C220" t="s">
        <v>724</v>
      </c>
      <c r="E220" t="s">
        <v>61</v>
      </c>
      <c r="F220">
        <v>0</v>
      </c>
      <c r="G220">
        <v>0</v>
      </c>
      <c r="H220">
        <v>0</v>
      </c>
      <c r="I220">
        <v>0</v>
      </c>
      <c r="J220">
        <v>0</v>
      </c>
      <c r="K220">
        <v>0</v>
      </c>
      <c r="L220">
        <v>0</v>
      </c>
      <c r="M220">
        <v>26</v>
      </c>
      <c r="N220">
        <v>0</v>
      </c>
      <c r="O220">
        <v>0</v>
      </c>
      <c r="P220">
        <v>0</v>
      </c>
      <c r="Q220">
        <v>0</v>
      </c>
      <c r="R220">
        <v>0</v>
      </c>
      <c r="S220">
        <v>0</v>
      </c>
      <c r="T220">
        <v>0</v>
      </c>
      <c r="U220">
        <v>0</v>
      </c>
      <c r="V220">
        <v>0</v>
      </c>
      <c r="W220">
        <v>0</v>
      </c>
      <c r="X220">
        <v>0</v>
      </c>
      <c r="Y220">
        <v>0</v>
      </c>
      <c r="Z220">
        <v>8</v>
      </c>
      <c r="AA220">
        <v>-567</v>
      </c>
      <c r="AB220">
        <v>0</v>
      </c>
      <c r="AC220">
        <v>0</v>
      </c>
      <c r="AD220">
        <v>0</v>
      </c>
      <c r="AE220">
        <v>0</v>
      </c>
      <c r="AF220">
        <v>0</v>
      </c>
      <c r="AG220">
        <v>0</v>
      </c>
      <c r="AH220">
        <v>0</v>
      </c>
      <c r="AI220">
        <v>-533</v>
      </c>
      <c r="AJ220">
        <v>0</v>
      </c>
      <c r="AK220">
        <v>0</v>
      </c>
      <c r="AL220">
        <v>0</v>
      </c>
      <c r="AM220">
        <v>0</v>
      </c>
      <c r="AN220">
        <v>0</v>
      </c>
      <c r="AO220">
        <v>0</v>
      </c>
      <c r="AP220">
        <v>0</v>
      </c>
      <c r="AQ220">
        <v>0</v>
      </c>
      <c r="AR220">
        <v>0</v>
      </c>
      <c r="AS220">
        <v>0</v>
      </c>
      <c r="AT220">
        <v>0</v>
      </c>
      <c r="AU220">
        <v>0</v>
      </c>
      <c r="AV220">
        <v>0</v>
      </c>
      <c r="AW220">
        <v>0</v>
      </c>
      <c r="AX220">
        <v>0</v>
      </c>
      <c r="AY220">
        <v>0</v>
      </c>
      <c r="AZ220">
        <v>0</v>
      </c>
      <c r="BA220">
        <v>0</v>
      </c>
      <c r="BB220">
        <v>0</v>
      </c>
      <c r="BC220">
        <v>0</v>
      </c>
      <c r="BD220">
        <v>0</v>
      </c>
      <c r="BE220">
        <v>0</v>
      </c>
      <c r="BF220">
        <v>0</v>
      </c>
      <c r="BG220">
        <v>0</v>
      </c>
      <c r="BH220">
        <v>0</v>
      </c>
      <c r="BI220">
        <v>0</v>
      </c>
      <c r="BJ220">
        <v>0</v>
      </c>
      <c r="BK220">
        <v>0</v>
      </c>
      <c r="BL220">
        <v>0</v>
      </c>
      <c r="BM220">
        <v>0</v>
      </c>
      <c r="BN220">
        <v>0</v>
      </c>
      <c r="BO220">
        <v>0</v>
      </c>
      <c r="BP220">
        <v>0</v>
      </c>
      <c r="BQ220">
        <v>0</v>
      </c>
      <c r="BR220">
        <v>0</v>
      </c>
      <c r="BS220">
        <v>0</v>
      </c>
      <c r="BT220">
        <v>0</v>
      </c>
      <c r="BU220">
        <v>0</v>
      </c>
      <c r="BV220">
        <v>0</v>
      </c>
      <c r="BW220">
        <v>0</v>
      </c>
      <c r="BX220">
        <v>0</v>
      </c>
      <c r="BY220">
        <v>0</v>
      </c>
      <c r="BZ220">
        <v>0</v>
      </c>
      <c r="CA220">
        <v>0</v>
      </c>
      <c r="CB220">
        <v>0</v>
      </c>
      <c r="CC220">
        <v>0</v>
      </c>
      <c r="CD220">
        <v>0</v>
      </c>
      <c r="CE220">
        <v>0</v>
      </c>
      <c r="CF220">
        <v>0</v>
      </c>
      <c r="CG220">
        <v>0</v>
      </c>
      <c r="CH220">
        <v>0</v>
      </c>
      <c r="CI220">
        <v>0</v>
      </c>
      <c r="CJ220">
        <v>0</v>
      </c>
      <c r="CK220">
        <v>0</v>
      </c>
      <c r="CL220">
        <v>0</v>
      </c>
      <c r="CM220">
        <v>0</v>
      </c>
      <c r="CN220">
        <v>0</v>
      </c>
      <c r="CO220">
        <v>0</v>
      </c>
      <c r="CP220">
        <v>0</v>
      </c>
      <c r="CQ220">
        <v>0</v>
      </c>
      <c r="CR220">
        <v>0</v>
      </c>
      <c r="CS220">
        <v>0</v>
      </c>
      <c r="CT220">
        <v>0</v>
      </c>
      <c r="CU220">
        <v>0</v>
      </c>
      <c r="CV220">
        <v>0</v>
      </c>
      <c r="CW220">
        <v>0</v>
      </c>
      <c r="CX220">
        <v>0</v>
      </c>
      <c r="CY220">
        <v>0</v>
      </c>
      <c r="CZ220">
        <v>0</v>
      </c>
      <c r="DA220">
        <v>0</v>
      </c>
      <c r="DB220">
        <v>0</v>
      </c>
      <c r="DC220">
        <v>247</v>
      </c>
      <c r="DD220">
        <v>0</v>
      </c>
      <c r="DE220">
        <v>-403</v>
      </c>
      <c r="DF220">
        <v>0</v>
      </c>
      <c r="DG220">
        <v>0</v>
      </c>
      <c r="DH220">
        <v>0</v>
      </c>
      <c r="DI220">
        <v>0</v>
      </c>
      <c r="DJ220">
        <v>0</v>
      </c>
      <c r="DK220">
        <v>0</v>
      </c>
      <c r="DL220">
        <v>0</v>
      </c>
      <c r="DM220">
        <v>438</v>
      </c>
      <c r="DN220">
        <v>0</v>
      </c>
      <c r="DO220">
        <v>0</v>
      </c>
      <c r="DP220">
        <v>438</v>
      </c>
      <c r="DQ220">
        <v>83</v>
      </c>
      <c r="DR220">
        <v>0</v>
      </c>
      <c r="DS220">
        <v>0</v>
      </c>
      <c r="DT220">
        <v>442</v>
      </c>
      <c r="DU220">
        <v>0</v>
      </c>
      <c r="DV220">
        <v>0</v>
      </c>
      <c r="DW220">
        <v>0</v>
      </c>
      <c r="DX220">
        <v>807</v>
      </c>
      <c r="DY220">
        <v>0</v>
      </c>
      <c r="DZ220">
        <v>0</v>
      </c>
      <c r="EA220">
        <v>0</v>
      </c>
      <c r="EB220">
        <v>0</v>
      </c>
      <c r="EC220">
        <v>0</v>
      </c>
      <c r="ED220">
        <v>0</v>
      </c>
      <c r="EE220">
        <v>0</v>
      </c>
      <c r="EF220">
        <v>0</v>
      </c>
      <c r="EG220">
        <v>0</v>
      </c>
      <c r="EH220">
        <v>0</v>
      </c>
      <c r="EI220">
        <v>0</v>
      </c>
      <c r="EJ220">
        <v>0</v>
      </c>
      <c r="EK220">
        <v>0</v>
      </c>
      <c r="EL220">
        <v>0</v>
      </c>
      <c r="EM220">
        <v>0</v>
      </c>
      <c r="EN220">
        <v>0</v>
      </c>
      <c r="EO220">
        <v>0</v>
      </c>
      <c r="EP220">
        <v>0</v>
      </c>
      <c r="EQ220">
        <v>0</v>
      </c>
      <c r="ER220">
        <v>0</v>
      </c>
      <c r="ES220">
        <v>0</v>
      </c>
      <c r="ET220">
        <v>0</v>
      </c>
      <c r="EU220">
        <v>0</v>
      </c>
      <c r="EV220">
        <v>164</v>
      </c>
      <c r="EW220">
        <v>0</v>
      </c>
      <c r="EX220">
        <v>20</v>
      </c>
      <c r="EY220">
        <v>0</v>
      </c>
      <c r="EZ220">
        <v>67</v>
      </c>
      <c r="FA220">
        <v>10</v>
      </c>
      <c r="FB220">
        <v>69</v>
      </c>
      <c r="FC220">
        <v>207</v>
      </c>
      <c r="FD220">
        <v>651</v>
      </c>
      <c r="FE220">
        <v>0</v>
      </c>
      <c r="FF220">
        <v>84</v>
      </c>
      <c r="FG220">
        <v>0</v>
      </c>
      <c r="FH220">
        <v>1272</v>
      </c>
      <c r="FI220">
        <v>133</v>
      </c>
      <c r="FJ220">
        <v>80</v>
      </c>
      <c r="FK220">
        <v>0</v>
      </c>
      <c r="FL220">
        <v>225</v>
      </c>
      <c r="FM220">
        <v>452</v>
      </c>
      <c r="FN220">
        <v>0</v>
      </c>
      <c r="FO220">
        <v>0</v>
      </c>
      <c r="FP220">
        <v>0</v>
      </c>
      <c r="FQ220">
        <v>0</v>
      </c>
      <c r="FR220">
        <v>39</v>
      </c>
      <c r="FS220">
        <v>158</v>
      </c>
      <c r="FT220">
        <v>51</v>
      </c>
      <c r="FU220">
        <v>1</v>
      </c>
      <c r="FV220">
        <v>129</v>
      </c>
      <c r="FW220">
        <v>57</v>
      </c>
      <c r="FX220">
        <v>0</v>
      </c>
      <c r="FY220">
        <v>0</v>
      </c>
      <c r="FZ220">
        <v>0</v>
      </c>
      <c r="GA220">
        <v>0</v>
      </c>
      <c r="GB220">
        <v>0</v>
      </c>
      <c r="GC220">
        <v>0</v>
      </c>
      <c r="GD220">
        <v>687</v>
      </c>
      <c r="GE220">
        <v>925</v>
      </c>
      <c r="GF220">
        <v>0</v>
      </c>
      <c r="GG220">
        <v>0</v>
      </c>
      <c r="GH220">
        <v>328</v>
      </c>
      <c r="GI220">
        <v>0</v>
      </c>
      <c r="GJ220">
        <v>0</v>
      </c>
      <c r="GK220">
        <v>3265</v>
      </c>
      <c r="GL220">
        <v>238</v>
      </c>
      <c r="GM220">
        <v>955</v>
      </c>
      <c r="GN220">
        <v>0</v>
      </c>
      <c r="GO220">
        <v>673</v>
      </c>
      <c r="GP220">
        <v>38</v>
      </c>
      <c r="GQ220">
        <v>150</v>
      </c>
      <c r="GR220">
        <v>0</v>
      </c>
      <c r="GS220">
        <v>0</v>
      </c>
      <c r="GT220">
        <v>0</v>
      </c>
      <c r="GU220">
        <v>2054</v>
      </c>
      <c r="GV220">
        <v>6591</v>
      </c>
      <c r="GW220">
        <v>0</v>
      </c>
      <c r="GX220">
        <v>0</v>
      </c>
      <c r="GY220">
        <v>0</v>
      </c>
      <c r="GZ220">
        <v>0</v>
      </c>
      <c r="HA220">
        <v>0</v>
      </c>
      <c r="HB220">
        <v>2029</v>
      </c>
      <c r="HC220">
        <v>605</v>
      </c>
      <c r="HD220">
        <v>0</v>
      </c>
      <c r="HE220">
        <v>0</v>
      </c>
      <c r="HF220">
        <v>341</v>
      </c>
      <c r="HG220">
        <v>115</v>
      </c>
      <c r="HH220">
        <v>0</v>
      </c>
      <c r="HI220">
        <v>0</v>
      </c>
      <c r="HJ220">
        <v>140</v>
      </c>
      <c r="HK220">
        <v>227</v>
      </c>
      <c r="HL220">
        <v>-13</v>
      </c>
      <c r="HM220">
        <v>64</v>
      </c>
      <c r="HN220">
        <v>0</v>
      </c>
      <c r="HO220">
        <v>0</v>
      </c>
      <c r="HP220">
        <v>0</v>
      </c>
      <c r="HQ220">
        <v>0</v>
      </c>
      <c r="HR220">
        <v>0</v>
      </c>
      <c r="HS220">
        <v>0</v>
      </c>
      <c r="HT220">
        <v>0</v>
      </c>
      <c r="HU220">
        <v>30</v>
      </c>
      <c r="HV220">
        <v>3538</v>
      </c>
      <c r="HW220">
        <v>0</v>
      </c>
      <c r="HX220">
        <v>0</v>
      </c>
      <c r="HY220">
        <v>0</v>
      </c>
      <c r="HZ220">
        <v>0</v>
      </c>
      <c r="IA220">
        <v>0</v>
      </c>
      <c r="IB220">
        <v>54</v>
      </c>
      <c r="IC220">
        <v>0</v>
      </c>
      <c r="ID220">
        <v>-533</v>
      </c>
      <c r="IE220">
        <v>0</v>
      </c>
      <c r="IF220">
        <v>0</v>
      </c>
      <c r="IG220">
        <v>0</v>
      </c>
      <c r="IH220">
        <v>807</v>
      </c>
      <c r="II220">
        <v>1272</v>
      </c>
      <c r="IJ220">
        <v>3265</v>
      </c>
      <c r="IK220">
        <v>2054</v>
      </c>
      <c r="IL220">
        <v>0</v>
      </c>
      <c r="IM220">
        <v>0</v>
      </c>
      <c r="IN220">
        <v>3538</v>
      </c>
      <c r="IO220">
        <v>54</v>
      </c>
      <c r="IP220">
        <v>10457</v>
      </c>
      <c r="IQ220">
        <v>9903</v>
      </c>
      <c r="IR220">
        <v>63</v>
      </c>
      <c r="IS220">
        <v>0</v>
      </c>
      <c r="IT220">
        <v>0</v>
      </c>
      <c r="IU220">
        <v>0</v>
      </c>
      <c r="IV220">
        <v>1571</v>
      </c>
      <c r="IW220">
        <v>0</v>
      </c>
      <c r="IX220">
        <v>0</v>
      </c>
      <c r="IY220">
        <v>0</v>
      </c>
      <c r="IZ220">
        <v>0</v>
      </c>
      <c r="JA220">
        <v>15</v>
      </c>
      <c r="JB220">
        <v>0</v>
      </c>
      <c r="JC220">
        <v>0</v>
      </c>
      <c r="JD220">
        <v>0</v>
      </c>
      <c r="JE220">
        <v>0</v>
      </c>
      <c r="JF220">
        <v>0</v>
      </c>
      <c r="JG220">
        <v>22009</v>
      </c>
      <c r="JH220">
        <v>0</v>
      </c>
      <c r="JI220">
        <v>0</v>
      </c>
      <c r="JJ220">
        <v>0</v>
      </c>
      <c r="JK220">
        <v>0</v>
      </c>
      <c r="JL220">
        <v>0</v>
      </c>
      <c r="JM220">
        <v>0</v>
      </c>
      <c r="JN220">
        <v>0</v>
      </c>
      <c r="JO220">
        <v>0</v>
      </c>
      <c r="JP220">
        <v>0</v>
      </c>
      <c r="JQ220">
        <v>0</v>
      </c>
      <c r="JR220">
        <v>22009</v>
      </c>
      <c r="JS220">
        <v>-361</v>
      </c>
      <c r="JT220">
        <v>0</v>
      </c>
      <c r="JU220">
        <v>0</v>
      </c>
      <c r="JV220">
        <v>0</v>
      </c>
      <c r="JW220">
        <v>-10008</v>
      </c>
      <c r="JX220">
        <v>0</v>
      </c>
      <c r="JY220">
        <v>0</v>
      </c>
      <c r="JZ220">
        <v>0</v>
      </c>
      <c r="KA220">
        <v>0</v>
      </c>
      <c r="KB220">
        <v>0</v>
      </c>
      <c r="KC220">
        <v>11640</v>
      </c>
      <c r="KD220">
        <v>0</v>
      </c>
      <c r="KE220">
        <v>-1389</v>
      </c>
      <c r="KF220">
        <v>10251</v>
      </c>
      <c r="KG220">
        <v>0</v>
      </c>
      <c r="KH220">
        <v>0</v>
      </c>
      <c r="KI220">
        <v>0</v>
      </c>
      <c r="KJ220">
        <v>0</v>
      </c>
      <c r="KK220">
        <v>38</v>
      </c>
      <c r="KL220">
        <v>0</v>
      </c>
      <c r="KM220">
        <v>0</v>
      </c>
      <c r="KN220">
        <v>0</v>
      </c>
      <c r="KO220">
        <v>-3058</v>
      </c>
      <c r="KP220">
        <v>2169</v>
      </c>
      <c r="KQ220">
        <v>0</v>
      </c>
      <c r="KR220">
        <v>6747</v>
      </c>
      <c r="KS220">
        <v>0</v>
      </c>
      <c r="KT220">
        <v>0</v>
      </c>
      <c r="KU220">
        <v>0</v>
      </c>
      <c r="KV220">
        <v>11131</v>
      </c>
      <c r="KW220">
        <v>4580</v>
      </c>
      <c r="KX220">
        <v>0</v>
      </c>
      <c r="KY220">
        <v>0</v>
      </c>
      <c r="KZ220">
        <v>0</v>
      </c>
      <c r="LA220">
        <v>11169</v>
      </c>
      <c r="LB220">
        <v>4580</v>
      </c>
      <c r="LC220">
        <v>0</v>
      </c>
      <c r="LD220">
        <v>1429</v>
      </c>
      <c r="LE220">
        <v>0</v>
      </c>
      <c r="LF220">
        <v>0</v>
      </c>
      <c r="LG220">
        <v>0</v>
      </c>
      <c r="LH220">
        <v>0</v>
      </c>
      <c r="LI220">
        <v>1429</v>
      </c>
      <c r="LJ220">
        <v>1881</v>
      </c>
      <c r="LK220">
        <v>1607</v>
      </c>
      <c r="LL220">
        <v>3488</v>
      </c>
      <c r="LM220">
        <v>0</v>
      </c>
      <c r="LN220">
        <v>0</v>
      </c>
      <c r="LO220">
        <v>0</v>
      </c>
      <c r="LP220">
        <v>0</v>
      </c>
      <c r="LQ220">
        <v>0</v>
      </c>
      <c r="LR220">
        <v>0</v>
      </c>
      <c r="LS220">
        <v>0</v>
      </c>
      <c r="LT220">
        <v>0</v>
      </c>
      <c r="LU220">
        <v>0</v>
      </c>
      <c r="LV220">
        <v>-533</v>
      </c>
      <c r="LW220">
        <v>0</v>
      </c>
      <c r="LX220">
        <v>0</v>
      </c>
      <c r="LY220">
        <v>0</v>
      </c>
      <c r="LZ220">
        <v>807</v>
      </c>
      <c r="MA220">
        <v>1272</v>
      </c>
      <c r="MB220">
        <v>3265</v>
      </c>
      <c r="MC220">
        <v>2054</v>
      </c>
      <c r="MD220">
        <v>0</v>
      </c>
      <c r="ME220">
        <v>0</v>
      </c>
      <c r="MF220">
        <v>3538</v>
      </c>
      <c r="MG220">
        <v>54</v>
      </c>
      <c r="MH220">
        <v>10457</v>
      </c>
      <c r="MI220">
        <v>0</v>
      </c>
      <c r="MJ220">
        <v>0</v>
      </c>
      <c r="MK220">
        <v>0</v>
      </c>
      <c r="ML220">
        <v>0</v>
      </c>
      <c r="MM220">
        <v>0</v>
      </c>
      <c r="MN220">
        <v>0</v>
      </c>
      <c r="MO220">
        <v>0</v>
      </c>
      <c r="MP220">
        <v>0</v>
      </c>
      <c r="MQ220">
        <v>0</v>
      </c>
      <c r="MR220">
        <v>0</v>
      </c>
      <c r="MS220">
        <v>0</v>
      </c>
      <c r="MT220">
        <v>0</v>
      </c>
      <c r="MU220">
        <v>0</v>
      </c>
      <c r="MV220">
        <v>0</v>
      </c>
      <c r="MW220">
        <v>0</v>
      </c>
      <c r="MX220">
        <v>15</v>
      </c>
      <c r="MY220">
        <v>0</v>
      </c>
      <c r="MZ220">
        <v>0</v>
      </c>
      <c r="NA220">
        <v>15</v>
      </c>
      <c r="NB220">
        <v>0</v>
      </c>
      <c r="NC220">
        <v>15</v>
      </c>
      <c r="ND220">
        <v>0</v>
      </c>
      <c r="NE220">
        <v>0</v>
      </c>
      <c r="NF220">
        <v>0</v>
      </c>
      <c r="NG220">
        <v>0</v>
      </c>
      <c r="NH220">
        <v>0</v>
      </c>
      <c r="NI220">
        <v>0</v>
      </c>
      <c r="NJ220">
        <v>0</v>
      </c>
      <c r="NK220">
        <v>0</v>
      </c>
      <c r="NL220">
        <v>0</v>
      </c>
      <c r="NM220">
        <v>0</v>
      </c>
      <c r="NN220">
        <v>0</v>
      </c>
      <c r="NO220">
        <v>0</v>
      </c>
      <c r="NP220">
        <v>0</v>
      </c>
      <c r="NQ220">
        <v>0</v>
      </c>
      <c r="NR220">
        <v>0</v>
      </c>
      <c r="NS220">
        <v>0</v>
      </c>
      <c r="NT220">
        <v>0</v>
      </c>
      <c r="NU220">
        <v>0</v>
      </c>
      <c r="NV220">
        <v>0</v>
      </c>
      <c r="NW220">
        <v>0</v>
      </c>
      <c r="NX220">
        <v>0</v>
      </c>
      <c r="NY220">
        <v>0</v>
      </c>
      <c r="NZ220">
        <v>0</v>
      </c>
      <c r="OA220">
        <v>0</v>
      </c>
      <c r="OB220">
        <v>0</v>
      </c>
      <c r="OC220">
        <v>0</v>
      </c>
      <c r="OD220">
        <v>0</v>
      </c>
      <c r="OE220">
        <v>0</v>
      </c>
      <c r="OF220">
        <v>0</v>
      </c>
      <c r="OG220">
        <v>0</v>
      </c>
      <c r="OH220">
        <v>0</v>
      </c>
      <c r="OI220">
        <v>0</v>
      </c>
      <c r="OJ220">
        <v>0</v>
      </c>
      <c r="OK220">
        <v>0</v>
      </c>
      <c r="OL220">
        <v>0</v>
      </c>
      <c r="OM220">
        <v>0</v>
      </c>
      <c r="ON220">
        <v>0</v>
      </c>
    </row>
    <row r="221" spans="1:404" x14ac:dyDescent="0.25">
      <c r="A221" t="s">
        <v>728</v>
      </c>
      <c r="B221" t="s">
        <v>729</v>
      </c>
      <c r="C221" t="s">
        <v>727</v>
      </c>
      <c r="E221" t="s">
        <v>61</v>
      </c>
      <c r="F221">
        <v>0</v>
      </c>
      <c r="G221">
        <v>0</v>
      </c>
      <c r="H221">
        <v>0</v>
      </c>
      <c r="I221">
        <v>0</v>
      </c>
      <c r="J221">
        <v>0</v>
      </c>
      <c r="K221">
        <v>0</v>
      </c>
      <c r="L221">
        <v>0</v>
      </c>
      <c r="M221">
        <v>0</v>
      </c>
      <c r="N221">
        <v>0</v>
      </c>
      <c r="O221">
        <v>0</v>
      </c>
      <c r="P221">
        <v>0</v>
      </c>
      <c r="Q221">
        <v>0</v>
      </c>
      <c r="R221">
        <v>0</v>
      </c>
      <c r="S221">
        <v>0</v>
      </c>
      <c r="T221">
        <v>0</v>
      </c>
      <c r="U221">
        <v>11</v>
      </c>
      <c r="V221">
        <v>0</v>
      </c>
      <c r="W221">
        <v>0</v>
      </c>
      <c r="X221">
        <v>0</v>
      </c>
      <c r="Y221">
        <v>0</v>
      </c>
      <c r="Z221">
        <v>24</v>
      </c>
      <c r="AA221">
        <v>-161</v>
      </c>
      <c r="AB221">
        <v>-36</v>
      </c>
      <c r="AC221">
        <v>0</v>
      </c>
      <c r="AD221">
        <v>0</v>
      </c>
      <c r="AE221">
        <v>0</v>
      </c>
      <c r="AF221">
        <v>0</v>
      </c>
      <c r="AG221">
        <v>0</v>
      </c>
      <c r="AH221">
        <v>0</v>
      </c>
      <c r="AI221">
        <v>-162</v>
      </c>
      <c r="AJ221">
        <v>0</v>
      </c>
      <c r="AK221">
        <v>0</v>
      </c>
      <c r="AL221">
        <v>0</v>
      </c>
      <c r="AM221">
        <v>0</v>
      </c>
      <c r="AN221">
        <v>0</v>
      </c>
      <c r="AO221">
        <v>0</v>
      </c>
      <c r="AP221">
        <v>0</v>
      </c>
      <c r="AQ221">
        <v>32</v>
      </c>
      <c r="AR221">
        <v>0</v>
      </c>
      <c r="AS221">
        <v>0</v>
      </c>
      <c r="AT221">
        <v>0</v>
      </c>
      <c r="AU221">
        <v>0</v>
      </c>
      <c r="AV221">
        <v>0</v>
      </c>
      <c r="AW221">
        <v>0</v>
      </c>
      <c r="AX221">
        <v>0</v>
      </c>
      <c r="AY221">
        <v>0</v>
      </c>
      <c r="AZ221">
        <v>0</v>
      </c>
      <c r="BA221">
        <v>0</v>
      </c>
      <c r="BB221">
        <v>0</v>
      </c>
      <c r="BC221">
        <v>0</v>
      </c>
      <c r="BD221">
        <v>0</v>
      </c>
      <c r="BE221">
        <v>0</v>
      </c>
      <c r="BF221">
        <v>0</v>
      </c>
      <c r="BG221">
        <v>0</v>
      </c>
      <c r="BH221">
        <v>0</v>
      </c>
      <c r="BI221">
        <v>0</v>
      </c>
      <c r="BJ221">
        <v>0</v>
      </c>
      <c r="BK221">
        <v>0</v>
      </c>
      <c r="BL221">
        <v>0</v>
      </c>
      <c r="BM221">
        <v>0</v>
      </c>
      <c r="BN221">
        <v>0</v>
      </c>
      <c r="BO221">
        <v>0</v>
      </c>
      <c r="BP221">
        <v>0</v>
      </c>
      <c r="BQ221">
        <v>0</v>
      </c>
      <c r="BR221">
        <v>0</v>
      </c>
      <c r="BS221">
        <v>0</v>
      </c>
      <c r="BT221">
        <v>0</v>
      </c>
      <c r="BU221">
        <v>0</v>
      </c>
      <c r="BV221">
        <v>0</v>
      </c>
      <c r="BW221">
        <v>0</v>
      </c>
      <c r="BX221">
        <v>0</v>
      </c>
      <c r="BY221">
        <v>0</v>
      </c>
      <c r="BZ221">
        <v>0</v>
      </c>
      <c r="CA221">
        <v>0</v>
      </c>
      <c r="CB221">
        <v>0</v>
      </c>
      <c r="CC221">
        <v>0</v>
      </c>
      <c r="CD221">
        <v>0</v>
      </c>
      <c r="CE221">
        <v>0</v>
      </c>
      <c r="CF221">
        <v>0</v>
      </c>
      <c r="CG221">
        <v>0</v>
      </c>
      <c r="CH221">
        <v>0</v>
      </c>
      <c r="CI221">
        <v>0</v>
      </c>
      <c r="CJ221">
        <v>0</v>
      </c>
      <c r="CK221">
        <v>0</v>
      </c>
      <c r="CL221">
        <v>0</v>
      </c>
      <c r="CM221">
        <v>0</v>
      </c>
      <c r="CN221">
        <v>0</v>
      </c>
      <c r="CO221">
        <v>0</v>
      </c>
      <c r="CP221">
        <v>0</v>
      </c>
      <c r="CQ221">
        <v>0</v>
      </c>
      <c r="CR221">
        <v>0</v>
      </c>
      <c r="CS221">
        <v>0</v>
      </c>
      <c r="CT221">
        <v>0</v>
      </c>
      <c r="CU221">
        <v>0</v>
      </c>
      <c r="CV221">
        <v>0</v>
      </c>
      <c r="CW221">
        <v>0</v>
      </c>
      <c r="CX221">
        <v>0</v>
      </c>
      <c r="CY221">
        <v>0</v>
      </c>
      <c r="CZ221">
        <v>0</v>
      </c>
      <c r="DA221">
        <v>0</v>
      </c>
      <c r="DB221">
        <v>0</v>
      </c>
      <c r="DC221">
        <v>143</v>
      </c>
      <c r="DD221">
        <v>0</v>
      </c>
      <c r="DE221">
        <v>0</v>
      </c>
      <c r="DF221">
        <v>0</v>
      </c>
      <c r="DG221">
        <v>0</v>
      </c>
      <c r="DH221">
        <v>0</v>
      </c>
      <c r="DI221">
        <v>-1</v>
      </c>
      <c r="DJ221">
        <v>-1</v>
      </c>
      <c r="DK221">
        <v>25</v>
      </c>
      <c r="DL221">
        <v>0</v>
      </c>
      <c r="DM221">
        <v>0</v>
      </c>
      <c r="DN221">
        <v>237</v>
      </c>
      <c r="DO221">
        <v>0</v>
      </c>
      <c r="DP221">
        <v>260</v>
      </c>
      <c r="DQ221">
        <v>0</v>
      </c>
      <c r="DR221">
        <v>0</v>
      </c>
      <c r="DS221">
        <v>0</v>
      </c>
      <c r="DT221">
        <v>-432</v>
      </c>
      <c r="DU221">
        <v>0</v>
      </c>
      <c r="DV221">
        <v>0</v>
      </c>
      <c r="DW221">
        <v>0</v>
      </c>
      <c r="DX221">
        <v>-29</v>
      </c>
      <c r="DY221">
        <v>0</v>
      </c>
      <c r="DZ221">
        <v>0</v>
      </c>
      <c r="EA221">
        <v>0</v>
      </c>
      <c r="EB221">
        <v>0</v>
      </c>
      <c r="EC221">
        <v>0</v>
      </c>
      <c r="ED221">
        <v>0</v>
      </c>
      <c r="EE221">
        <v>0</v>
      </c>
      <c r="EF221">
        <v>0</v>
      </c>
      <c r="EG221">
        <v>0</v>
      </c>
      <c r="EH221">
        <v>0</v>
      </c>
      <c r="EI221">
        <v>0</v>
      </c>
      <c r="EJ221">
        <v>0</v>
      </c>
      <c r="EK221">
        <v>0</v>
      </c>
      <c r="EL221">
        <v>0</v>
      </c>
      <c r="EM221">
        <v>0</v>
      </c>
      <c r="EN221">
        <v>0</v>
      </c>
      <c r="EO221">
        <v>0</v>
      </c>
      <c r="EP221">
        <v>0</v>
      </c>
      <c r="EQ221">
        <v>0</v>
      </c>
      <c r="ER221">
        <v>0</v>
      </c>
      <c r="ES221">
        <v>0</v>
      </c>
      <c r="ET221">
        <v>0</v>
      </c>
      <c r="EU221">
        <v>0</v>
      </c>
      <c r="EV221">
        <v>0</v>
      </c>
      <c r="EW221">
        <v>0</v>
      </c>
      <c r="EX221">
        <v>0</v>
      </c>
      <c r="EY221">
        <v>80</v>
      </c>
      <c r="EZ221">
        <v>0</v>
      </c>
      <c r="FA221">
        <v>0</v>
      </c>
      <c r="FB221">
        <v>393</v>
      </c>
      <c r="FC221">
        <v>68</v>
      </c>
      <c r="FD221">
        <v>215</v>
      </c>
      <c r="FE221">
        <v>0</v>
      </c>
      <c r="FF221">
        <v>116</v>
      </c>
      <c r="FG221">
        <v>0</v>
      </c>
      <c r="FH221">
        <v>872</v>
      </c>
      <c r="FI221">
        <v>0</v>
      </c>
      <c r="FJ221">
        <v>0</v>
      </c>
      <c r="FK221">
        <v>0</v>
      </c>
      <c r="FL221">
        <v>37</v>
      </c>
      <c r="FM221">
        <v>232</v>
      </c>
      <c r="FN221">
        <v>0</v>
      </c>
      <c r="FO221">
        <v>5</v>
      </c>
      <c r="FP221">
        <v>0</v>
      </c>
      <c r="FQ221">
        <v>0</v>
      </c>
      <c r="FR221">
        <v>10</v>
      </c>
      <c r="FS221">
        <v>93</v>
      </c>
      <c r="FT221">
        <v>12</v>
      </c>
      <c r="FU221">
        <v>-29</v>
      </c>
      <c r="FV221">
        <v>0</v>
      </c>
      <c r="FW221">
        <v>57</v>
      </c>
      <c r="FX221">
        <v>0</v>
      </c>
      <c r="FY221">
        <v>40</v>
      </c>
      <c r="FZ221">
        <v>0</v>
      </c>
      <c r="GA221">
        <v>0</v>
      </c>
      <c r="GB221">
        <v>0</v>
      </c>
      <c r="GC221">
        <v>0</v>
      </c>
      <c r="GD221">
        <v>295</v>
      </c>
      <c r="GE221">
        <v>1545</v>
      </c>
      <c r="GF221">
        <v>0</v>
      </c>
      <c r="GG221">
        <v>-173</v>
      </c>
      <c r="GH221">
        <v>254</v>
      </c>
      <c r="GI221">
        <v>0</v>
      </c>
      <c r="GJ221">
        <v>27</v>
      </c>
      <c r="GK221">
        <v>2405</v>
      </c>
      <c r="GL221">
        <v>-55</v>
      </c>
      <c r="GM221">
        <v>-424</v>
      </c>
      <c r="GN221">
        <v>600</v>
      </c>
      <c r="GO221">
        <v>186</v>
      </c>
      <c r="GP221">
        <v>0</v>
      </c>
      <c r="GQ221">
        <v>426</v>
      </c>
      <c r="GR221">
        <v>0</v>
      </c>
      <c r="GS221">
        <v>0</v>
      </c>
      <c r="GT221">
        <v>7</v>
      </c>
      <c r="GU221">
        <v>740</v>
      </c>
      <c r="GV221">
        <v>4017</v>
      </c>
      <c r="GW221">
        <v>0</v>
      </c>
      <c r="GX221">
        <v>0</v>
      </c>
      <c r="GY221">
        <v>0</v>
      </c>
      <c r="GZ221">
        <v>0</v>
      </c>
      <c r="HA221">
        <v>0</v>
      </c>
      <c r="HB221">
        <v>3417</v>
      </c>
      <c r="HC221">
        <v>230</v>
      </c>
      <c r="HD221">
        <v>0</v>
      </c>
      <c r="HE221">
        <v>0</v>
      </c>
      <c r="HF221">
        <v>0</v>
      </c>
      <c r="HG221">
        <v>52</v>
      </c>
      <c r="HH221">
        <v>0</v>
      </c>
      <c r="HI221">
        <v>0</v>
      </c>
      <c r="HJ221">
        <v>165</v>
      </c>
      <c r="HK221">
        <v>136</v>
      </c>
      <c r="HL221">
        <v>186</v>
      </c>
      <c r="HM221">
        <v>19</v>
      </c>
      <c r="HN221">
        <v>0</v>
      </c>
      <c r="HO221">
        <v>0</v>
      </c>
      <c r="HP221">
        <v>0</v>
      </c>
      <c r="HQ221">
        <v>0</v>
      </c>
      <c r="HR221">
        <v>0</v>
      </c>
      <c r="HS221">
        <v>0</v>
      </c>
      <c r="HT221">
        <v>0</v>
      </c>
      <c r="HU221">
        <v>0</v>
      </c>
      <c r="HV221">
        <v>4205</v>
      </c>
      <c r="HW221">
        <v>0</v>
      </c>
      <c r="HX221">
        <v>0</v>
      </c>
      <c r="HY221">
        <v>0</v>
      </c>
      <c r="HZ221">
        <v>0</v>
      </c>
      <c r="IA221">
        <v>0</v>
      </c>
      <c r="IB221">
        <v>57</v>
      </c>
      <c r="IC221">
        <v>0</v>
      </c>
      <c r="ID221">
        <v>-162</v>
      </c>
      <c r="IE221">
        <v>0</v>
      </c>
      <c r="IF221">
        <v>0</v>
      </c>
      <c r="IG221">
        <v>0</v>
      </c>
      <c r="IH221">
        <v>-29</v>
      </c>
      <c r="II221">
        <v>872</v>
      </c>
      <c r="IJ221">
        <v>2405</v>
      </c>
      <c r="IK221">
        <v>740</v>
      </c>
      <c r="IL221">
        <v>0</v>
      </c>
      <c r="IM221">
        <v>0</v>
      </c>
      <c r="IN221">
        <v>4205</v>
      </c>
      <c r="IO221">
        <v>57</v>
      </c>
      <c r="IP221">
        <v>8088</v>
      </c>
      <c r="IQ221">
        <v>12549</v>
      </c>
      <c r="IR221">
        <v>0</v>
      </c>
      <c r="IS221">
        <v>0</v>
      </c>
      <c r="IT221">
        <v>0</v>
      </c>
      <c r="IU221">
        <v>0</v>
      </c>
      <c r="IV221">
        <v>2311</v>
      </c>
      <c r="IW221">
        <v>0</v>
      </c>
      <c r="IX221">
        <v>0</v>
      </c>
      <c r="IY221">
        <v>0</v>
      </c>
      <c r="IZ221">
        <v>0</v>
      </c>
      <c r="JA221">
        <v>0</v>
      </c>
      <c r="JB221">
        <v>0</v>
      </c>
      <c r="JC221">
        <v>0</v>
      </c>
      <c r="JD221">
        <v>0</v>
      </c>
      <c r="JE221">
        <v>0</v>
      </c>
      <c r="JF221">
        <v>0</v>
      </c>
      <c r="JG221">
        <v>22948</v>
      </c>
      <c r="JH221">
        <v>0</v>
      </c>
      <c r="JI221">
        <v>0</v>
      </c>
      <c r="JJ221">
        <v>0</v>
      </c>
      <c r="JK221">
        <v>0</v>
      </c>
      <c r="JL221">
        <v>0</v>
      </c>
      <c r="JM221">
        <v>0</v>
      </c>
      <c r="JN221">
        <v>0</v>
      </c>
      <c r="JO221">
        <v>0</v>
      </c>
      <c r="JP221">
        <v>0</v>
      </c>
      <c r="JQ221">
        <v>0</v>
      </c>
      <c r="JR221">
        <v>22948</v>
      </c>
      <c r="JS221">
        <v>-622</v>
      </c>
      <c r="JT221">
        <v>0</v>
      </c>
      <c r="JU221">
        <v>0</v>
      </c>
      <c r="JV221">
        <v>0</v>
      </c>
      <c r="JW221">
        <v>-12971</v>
      </c>
      <c r="JX221">
        <v>0</v>
      </c>
      <c r="JY221">
        <v>-106</v>
      </c>
      <c r="JZ221">
        <v>0</v>
      </c>
      <c r="KA221">
        <v>0</v>
      </c>
      <c r="KB221">
        <v>0</v>
      </c>
      <c r="KC221">
        <v>9249</v>
      </c>
      <c r="KD221">
        <v>0</v>
      </c>
      <c r="KE221">
        <v>-3037</v>
      </c>
      <c r="KF221">
        <v>6212</v>
      </c>
      <c r="KG221">
        <v>0</v>
      </c>
      <c r="KH221">
        <v>0</v>
      </c>
      <c r="KI221">
        <v>0</v>
      </c>
      <c r="KJ221">
        <v>0</v>
      </c>
      <c r="KK221">
        <v>6474</v>
      </c>
      <c r="KL221">
        <v>186</v>
      </c>
      <c r="KM221">
        <v>0</v>
      </c>
      <c r="KN221">
        <v>0</v>
      </c>
      <c r="KO221">
        <v>-1852</v>
      </c>
      <c r="KP221">
        <v>-142</v>
      </c>
      <c r="KQ221">
        <v>-67</v>
      </c>
      <c r="KR221">
        <v>7552</v>
      </c>
      <c r="KS221">
        <v>0</v>
      </c>
      <c r="KT221">
        <v>0</v>
      </c>
      <c r="KU221">
        <v>0</v>
      </c>
      <c r="KV221">
        <v>8091</v>
      </c>
      <c r="KW221">
        <v>5960</v>
      </c>
      <c r="KX221">
        <v>0</v>
      </c>
      <c r="KY221">
        <v>0</v>
      </c>
      <c r="KZ221">
        <v>0</v>
      </c>
      <c r="LA221">
        <v>14565</v>
      </c>
      <c r="LB221">
        <v>6146</v>
      </c>
      <c r="LC221">
        <v>0</v>
      </c>
      <c r="LD221">
        <v>1178</v>
      </c>
      <c r="LE221">
        <v>95</v>
      </c>
      <c r="LF221">
        <v>0</v>
      </c>
      <c r="LG221">
        <v>-683</v>
      </c>
      <c r="LH221">
        <v>452</v>
      </c>
      <c r="LI221">
        <v>1042</v>
      </c>
      <c r="LJ221">
        <v>2168</v>
      </c>
      <c r="LK221">
        <v>2524</v>
      </c>
      <c r="LL221">
        <v>4692</v>
      </c>
      <c r="LM221">
        <v>0</v>
      </c>
      <c r="LN221">
        <v>0</v>
      </c>
      <c r="LO221">
        <v>0</v>
      </c>
      <c r="LP221">
        <v>0</v>
      </c>
      <c r="LQ221">
        <v>0</v>
      </c>
      <c r="LR221">
        <v>0</v>
      </c>
      <c r="LS221">
        <v>0</v>
      </c>
      <c r="LT221">
        <v>0</v>
      </c>
      <c r="LU221">
        <v>0</v>
      </c>
      <c r="LV221">
        <v>-162</v>
      </c>
      <c r="LW221">
        <v>0</v>
      </c>
      <c r="LX221">
        <v>0</v>
      </c>
      <c r="LY221">
        <v>0</v>
      </c>
      <c r="LZ221">
        <v>-29</v>
      </c>
      <c r="MA221">
        <v>872</v>
      </c>
      <c r="MB221">
        <v>2405</v>
      </c>
      <c r="MC221">
        <v>740</v>
      </c>
      <c r="MD221">
        <v>0</v>
      </c>
      <c r="ME221">
        <v>0</v>
      </c>
      <c r="MF221">
        <v>4205</v>
      </c>
      <c r="MG221">
        <v>57</v>
      </c>
      <c r="MH221">
        <v>8088</v>
      </c>
      <c r="MI221">
        <v>0</v>
      </c>
      <c r="MJ221">
        <v>0</v>
      </c>
      <c r="MK221">
        <v>0</v>
      </c>
      <c r="ML221">
        <v>0</v>
      </c>
      <c r="MM221">
        <v>0</v>
      </c>
      <c r="MN221">
        <v>0</v>
      </c>
      <c r="MO221">
        <v>0</v>
      </c>
      <c r="MP221">
        <v>0</v>
      </c>
      <c r="MQ221">
        <v>0</v>
      </c>
      <c r="MR221">
        <v>0</v>
      </c>
      <c r="MS221">
        <v>0</v>
      </c>
      <c r="MT221">
        <v>0</v>
      </c>
      <c r="MU221">
        <v>0</v>
      </c>
      <c r="MV221">
        <v>0</v>
      </c>
      <c r="MW221">
        <v>0</v>
      </c>
      <c r="MX221">
        <v>0</v>
      </c>
      <c r="MY221">
        <v>0</v>
      </c>
      <c r="MZ221">
        <v>0</v>
      </c>
      <c r="NA221">
        <v>0</v>
      </c>
      <c r="NB221">
        <v>0</v>
      </c>
      <c r="NC221">
        <v>0</v>
      </c>
      <c r="ND221">
        <v>0</v>
      </c>
      <c r="NE221">
        <v>0</v>
      </c>
      <c r="NF221">
        <v>0</v>
      </c>
      <c r="NG221">
        <v>0</v>
      </c>
      <c r="NH221">
        <v>0</v>
      </c>
      <c r="NI221">
        <v>0</v>
      </c>
      <c r="NJ221">
        <v>0</v>
      </c>
      <c r="NK221">
        <v>0</v>
      </c>
      <c r="NL221">
        <v>0</v>
      </c>
      <c r="NM221">
        <v>0</v>
      </c>
      <c r="NN221">
        <v>0</v>
      </c>
      <c r="NO221">
        <v>0</v>
      </c>
      <c r="NP221">
        <v>0</v>
      </c>
      <c r="NQ221">
        <v>0</v>
      </c>
      <c r="NR221">
        <v>0</v>
      </c>
      <c r="NS221">
        <v>0</v>
      </c>
      <c r="NT221">
        <v>0</v>
      </c>
      <c r="NU221">
        <v>0</v>
      </c>
      <c r="NV221">
        <v>0</v>
      </c>
      <c r="NW221">
        <v>0</v>
      </c>
      <c r="NX221">
        <v>0</v>
      </c>
      <c r="NY221">
        <v>0</v>
      </c>
      <c r="NZ221">
        <v>0</v>
      </c>
      <c r="OA221">
        <v>0</v>
      </c>
      <c r="OB221">
        <v>0</v>
      </c>
      <c r="OC221">
        <v>0</v>
      </c>
      <c r="OD221">
        <v>0</v>
      </c>
      <c r="OE221">
        <v>0</v>
      </c>
      <c r="OF221">
        <v>0</v>
      </c>
      <c r="OG221">
        <v>0</v>
      </c>
      <c r="OH221">
        <v>0</v>
      </c>
      <c r="OI221">
        <v>0</v>
      </c>
      <c r="OJ221">
        <v>0</v>
      </c>
      <c r="OK221">
        <v>0</v>
      </c>
      <c r="OL221">
        <v>0</v>
      </c>
      <c r="OM221">
        <v>0</v>
      </c>
      <c r="ON221">
        <v>0</v>
      </c>
    </row>
    <row r="222" spans="1:404" x14ac:dyDescent="0.25">
      <c r="A222" t="s">
        <v>731</v>
      </c>
      <c r="B222" t="s">
        <v>732</v>
      </c>
      <c r="C222" t="s">
        <v>730</v>
      </c>
      <c r="E222" t="s">
        <v>97</v>
      </c>
      <c r="F222">
        <v>38760</v>
      </c>
      <c r="G222">
        <v>193479</v>
      </c>
      <c r="H222">
        <v>55606</v>
      </c>
      <c r="I222">
        <v>62961</v>
      </c>
      <c r="J222">
        <v>10464</v>
      </c>
      <c r="K222">
        <v>42125</v>
      </c>
      <c r="L222">
        <v>403395</v>
      </c>
      <c r="M222">
        <v>1872</v>
      </c>
      <c r="N222">
        <v>87</v>
      </c>
      <c r="O222">
        <v>-546</v>
      </c>
      <c r="P222">
        <v>0</v>
      </c>
      <c r="Q222">
        <v>381</v>
      </c>
      <c r="R222">
        <v>6017</v>
      </c>
      <c r="S222">
        <v>0</v>
      </c>
      <c r="T222">
        <v>668</v>
      </c>
      <c r="U222">
        <v>5854</v>
      </c>
      <c r="V222">
        <v>0</v>
      </c>
      <c r="W222">
        <v>-4814</v>
      </c>
      <c r="X222">
        <v>749</v>
      </c>
      <c r="Y222">
        <v>363</v>
      </c>
      <c r="Z222">
        <v>-7546</v>
      </c>
      <c r="AA222">
        <v>-3239</v>
      </c>
      <c r="AB222">
        <v>0</v>
      </c>
      <c r="AC222">
        <v>852</v>
      </c>
      <c r="AD222">
        <v>0</v>
      </c>
      <c r="AE222">
        <v>0</v>
      </c>
      <c r="AF222">
        <v>0</v>
      </c>
      <c r="AG222">
        <v>0</v>
      </c>
      <c r="AH222">
        <v>0</v>
      </c>
      <c r="AI222">
        <v>698</v>
      </c>
      <c r="AJ222">
        <v>0</v>
      </c>
      <c r="AK222">
        <v>0</v>
      </c>
      <c r="AL222">
        <v>75</v>
      </c>
      <c r="AM222">
        <v>0</v>
      </c>
      <c r="AN222">
        <v>1185</v>
      </c>
      <c r="AO222">
        <v>5078</v>
      </c>
      <c r="AP222">
        <v>0</v>
      </c>
      <c r="AQ222">
        <v>5874</v>
      </c>
      <c r="AR222">
        <v>7677</v>
      </c>
      <c r="AS222">
        <v>0</v>
      </c>
      <c r="AT222">
        <v>0</v>
      </c>
      <c r="AU222">
        <v>0</v>
      </c>
      <c r="AV222">
        <v>3190</v>
      </c>
      <c r="AW222">
        <v>67386</v>
      </c>
      <c r="AX222">
        <v>0</v>
      </c>
      <c r="AY222">
        <v>9906</v>
      </c>
      <c r="AZ222">
        <v>4060</v>
      </c>
      <c r="BA222">
        <v>37014</v>
      </c>
      <c r="BB222">
        <v>9426</v>
      </c>
      <c r="BC222">
        <v>5282</v>
      </c>
      <c r="BD222">
        <v>136264</v>
      </c>
      <c r="BE222">
        <v>17322</v>
      </c>
      <c r="BF222">
        <v>34958</v>
      </c>
      <c r="BG222">
        <v>64</v>
      </c>
      <c r="BH222">
        <v>-45</v>
      </c>
      <c r="BI222">
        <v>1345</v>
      </c>
      <c r="BJ222">
        <v>2020</v>
      </c>
      <c r="BK222">
        <v>64935</v>
      </c>
      <c r="BL222">
        <v>6911</v>
      </c>
      <c r="BM222">
        <v>16428</v>
      </c>
      <c r="BN222">
        <v>4858</v>
      </c>
      <c r="BO222">
        <v>-33</v>
      </c>
      <c r="BP222">
        <v>1451</v>
      </c>
      <c r="BQ222">
        <v>300</v>
      </c>
      <c r="BR222">
        <v>998</v>
      </c>
      <c r="BS222">
        <v>2510</v>
      </c>
      <c r="BT222">
        <v>26681</v>
      </c>
      <c r="BU222">
        <v>2397</v>
      </c>
      <c r="BV222">
        <v>-67</v>
      </c>
      <c r="BW222">
        <v>183033</v>
      </c>
      <c r="BX222">
        <v>3848</v>
      </c>
      <c r="BY222">
        <v>2955</v>
      </c>
      <c r="BZ222">
        <v>837</v>
      </c>
      <c r="CA222">
        <v>308</v>
      </c>
      <c r="CB222">
        <v>95</v>
      </c>
      <c r="CC222">
        <v>19</v>
      </c>
      <c r="CD222">
        <v>146</v>
      </c>
      <c r="CE222">
        <v>755</v>
      </c>
      <c r="CF222">
        <v>-50</v>
      </c>
      <c r="CG222">
        <v>649</v>
      </c>
      <c r="CH222">
        <v>1733</v>
      </c>
      <c r="CI222">
        <v>7551</v>
      </c>
      <c r="CJ222">
        <v>1243</v>
      </c>
      <c r="CK222">
        <v>831</v>
      </c>
      <c r="CL222">
        <v>390</v>
      </c>
      <c r="CM222">
        <v>0</v>
      </c>
      <c r="CN222">
        <v>415</v>
      </c>
      <c r="CO222">
        <v>90</v>
      </c>
      <c r="CP222">
        <v>4386</v>
      </c>
      <c r="CQ222">
        <v>8541</v>
      </c>
      <c r="CR222">
        <v>4944</v>
      </c>
      <c r="CS222">
        <v>-500</v>
      </c>
      <c r="CT222">
        <v>0</v>
      </c>
      <c r="CU222">
        <v>12969</v>
      </c>
      <c r="CV222">
        <v>75340</v>
      </c>
      <c r="CW222">
        <v>437</v>
      </c>
      <c r="CX222">
        <v>0</v>
      </c>
      <c r="CY222">
        <v>299</v>
      </c>
      <c r="CZ222">
        <v>0</v>
      </c>
      <c r="DA222">
        <v>1785</v>
      </c>
      <c r="DB222">
        <v>610</v>
      </c>
      <c r="DC222">
        <v>4635</v>
      </c>
      <c r="DD222">
        <v>0</v>
      </c>
      <c r="DE222">
        <v>0</v>
      </c>
      <c r="DF222">
        <v>230</v>
      </c>
      <c r="DG222">
        <v>0</v>
      </c>
      <c r="DH222">
        <v>648</v>
      </c>
      <c r="DI222">
        <v>2580</v>
      </c>
      <c r="DJ222">
        <v>5491</v>
      </c>
      <c r="DK222">
        <v>1221</v>
      </c>
      <c r="DL222">
        <v>784</v>
      </c>
      <c r="DM222">
        <v>0</v>
      </c>
      <c r="DN222">
        <v>10813</v>
      </c>
      <c r="DO222">
        <v>1769</v>
      </c>
      <c r="DP222">
        <v>23306</v>
      </c>
      <c r="DQ222">
        <v>2838</v>
      </c>
      <c r="DR222">
        <v>0</v>
      </c>
      <c r="DS222">
        <v>78</v>
      </c>
      <c r="DT222">
        <v>7183</v>
      </c>
      <c r="DU222">
        <v>0</v>
      </c>
      <c r="DV222">
        <v>6039</v>
      </c>
      <c r="DW222">
        <v>267</v>
      </c>
      <c r="DX222">
        <v>44576</v>
      </c>
      <c r="DY222">
        <v>61440</v>
      </c>
      <c r="DZ222">
        <v>386</v>
      </c>
      <c r="EA222">
        <v>1087</v>
      </c>
      <c r="EB222">
        <v>44</v>
      </c>
      <c r="EC222">
        <v>23374</v>
      </c>
      <c r="ED222">
        <v>0</v>
      </c>
      <c r="EE222">
        <v>25</v>
      </c>
      <c r="EF222">
        <v>0</v>
      </c>
      <c r="EG222">
        <v>0</v>
      </c>
      <c r="EH222">
        <v>36152</v>
      </c>
      <c r="EI222">
        <v>20540</v>
      </c>
      <c r="EJ222">
        <v>0</v>
      </c>
      <c r="EK222">
        <v>321</v>
      </c>
      <c r="EL222">
        <v>0</v>
      </c>
      <c r="EM222">
        <v>8254</v>
      </c>
      <c r="EN222">
        <v>17</v>
      </c>
      <c r="EO222">
        <v>19</v>
      </c>
      <c r="EP222">
        <v>2763</v>
      </c>
      <c r="EQ222">
        <v>23259</v>
      </c>
      <c r="ER222">
        <v>109</v>
      </c>
      <c r="ES222">
        <v>111166</v>
      </c>
      <c r="ET222">
        <v>106088</v>
      </c>
      <c r="EU222">
        <v>-41</v>
      </c>
      <c r="EV222">
        <v>3605</v>
      </c>
      <c r="EW222">
        <v>915</v>
      </c>
      <c r="EX222">
        <v>6474</v>
      </c>
      <c r="EY222">
        <v>1994</v>
      </c>
      <c r="EZ222">
        <v>0</v>
      </c>
      <c r="FA222">
        <v>0</v>
      </c>
      <c r="FB222">
        <v>69</v>
      </c>
      <c r="FC222">
        <v>6383</v>
      </c>
      <c r="FD222">
        <v>8373</v>
      </c>
      <c r="FE222">
        <v>-58</v>
      </c>
      <c r="FF222">
        <v>142</v>
      </c>
      <c r="FG222">
        <v>8161</v>
      </c>
      <c r="FH222">
        <v>36017</v>
      </c>
      <c r="FI222">
        <v>-858</v>
      </c>
      <c r="FJ222">
        <v>939</v>
      </c>
      <c r="FK222">
        <v>0</v>
      </c>
      <c r="FL222">
        <v>568</v>
      </c>
      <c r="FM222">
        <v>1933</v>
      </c>
      <c r="FN222">
        <v>945</v>
      </c>
      <c r="FO222">
        <v>565</v>
      </c>
      <c r="FP222">
        <v>0</v>
      </c>
      <c r="FQ222">
        <v>80</v>
      </c>
      <c r="FR222">
        <v>219</v>
      </c>
      <c r="FS222">
        <v>0</v>
      </c>
      <c r="FT222">
        <v>34</v>
      </c>
      <c r="FU222">
        <v>3073</v>
      </c>
      <c r="FV222">
        <v>2762</v>
      </c>
      <c r="FW222">
        <v>369</v>
      </c>
      <c r="FX222">
        <v>934</v>
      </c>
      <c r="FY222">
        <v>140</v>
      </c>
      <c r="FZ222">
        <v>0</v>
      </c>
      <c r="GA222">
        <v>0</v>
      </c>
      <c r="GB222">
        <v>0</v>
      </c>
      <c r="GC222">
        <v>0</v>
      </c>
      <c r="GD222">
        <v>8220</v>
      </c>
      <c r="GE222">
        <v>5106</v>
      </c>
      <c r="GF222">
        <v>3906</v>
      </c>
      <c r="GG222">
        <v>177</v>
      </c>
      <c r="GH222">
        <v>8162</v>
      </c>
      <c r="GI222">
        <v>0</v>
      </c>
      <c r="GJ222">
        <v>0</v>
      </c>
      <c r="GK222">
        <v>37274</v>
      </c>
      <c r="GL222">
        <v>408</v>
      </c>
      <c r="GM222">
        <v>-264</v>
      </c>
      <c r="GN222">
        <v>0</v>
      </c>
      <c r="GO222">
        <v>162</v>
      </c>
      <c r="GP222">
        <v>118</v>
      </c>
      <c r="GQ222">
        <v>11918</v>
      </c>
      <c r="GR222">
        <v>1123</v>
      </c>
      <c r="GS222">
        <v>13701</v>
      </c>
      <c r="GT222">
        <v>3742</v>
      </c>
      <c r="GU222">
        <v>30908</v>
      </c>
      <c r="GV222">
        <v>104199</v>
      </c>
      <c r="GW222">
        <v>0</v>
      </c>
      <c r="GX222">
        <v>0</v>
      </c>
      <c r="GY222">
        <v>0</v>
      </c>
      <c r="GZ222">
        <v>0</v>
      </c>
      <c r="HA222">
        <v>0</v>
      </c>
      <c r="HB222">
        <v>5843</v>
      </c>
      <c r="HC222">
        <v>2676</v>
      </c>
      <c r="HD222">
        <v>0</v>
      </c>
      <c r="HE222">
        <v>0</v>
      </c>
      <c r="HF222">
        <v>1136</v>
      </c>
      <c r="HG222">
        <v>-268</v>
      </c>
      <c r="HH222">
        <v>-18</v>
      </c>
      <c r="HI222">
        <v>-125</v>
      </c>
      <c r="HJ222">
        <v>881</v>
      </c>
      <c r="HK222">
        <v>558</v>
      </c>
      <c r="HL222">
        <v>282</v>
      </c>
      <c r="HM222">
        <v>-40</v>
      </c>
      <c r="HN222">
        <v>14045</v>
      </c>
      <c r="HO222">
        <v>7</v>
      </c>
      <c r="HP222">
        <v>2591</v>
      </c>
      <c r="HQ222">
        <v>37</v>
      </c>
      <c r="HR222">
        <v>4064</v>
      </c>
      <c r="HS222">
        <v>0</v>
      </c>
      <c r="HT222">
        <v>38</v>
      </c>
      <c r="HU222">
        <v>796</v>
      </c>
      <c r="HV222">
        <v>32503</v>
      </c>
      <c r="HW222">
        <v>0</v>
      </c>
      <c r="HX222">
        <v>57641</v>
      </c>
      <c r="HY222">
        <v>0</v>
      </c>
      <c r="HZ222">
        <v>10241</v>
      </c>
      <c r="IA222">
        <v>30214</v>
      </c>
      <c r="IB222">
        <v>0</v>
      </c>
      <c r="IC222">
        <v>403395</v>
      </c>
      <c r="ID222">
        <v>698</v>
      </c>
      <c r="IE222">
        <v>136264</v>
      </c>
      <c r="IF222">
        <v>183033</v>
      </c>
      <c r="IG222">
        <v>75340</v>
      </c>
      <c r="IH222">
        <v>44576</v>
      </c>
      <c r="II222">
        <v>36017</v>
      </c>
      <c r="IJ222">
        <v>37274</v>
      </c>
      <c r="IK222">
        <v>30908</v>
      </c>
      <c r="IL222">
        <v>0</v>
      </c>
      <c r="IM222">
        <v>0</v>
      </c>
      <c r="IN222">
        <v>32503</v>
      </c>
      <c r="IO222">
        <v>0</v>
      </c>
      <c r="IP222">
        <v>980008</v>
      </c>
      <c r="IQ222">
        <v>128704</v>
      </c>
      <c r="IR222">
        <v>20452</v>
      </c>
      <c r="IS222">
        <v>24673</v>
      </c>
      <c r="IT222">
        <v>0</v>
      </c>
      <c r="IU222">
        <v>0</v>
      </c>
      <c r="IV222">
        <v>0</v>
      </c>
      <c r="IW222">
        <v>37525</v>
      </c>
      <c r="IX222">
        <v>29248</v>
      </c>
      <c r="IY222">
        <v>0</v>
      </c>
      <c r="IZ222">
        <v>1577</v>
      </c>
      <c r="JA222">
        <v>682</v>
      </c>
      <c r="JB222">
        <v>502</v>
      </c>
      <c r="JC222">
        <v>-157</v>
      </c>
      <c r="JD222">
        <v>0</v>
      </c>
      <c r="JE222">
        <v>155</v>
      </c>
      <c r="JF222">
        <v>0</v>
      </c>
      <c r="JG222">
        <v>1223369</v>
      </c>
      <c r="JH222">
        <v>231</v>
      </c>
      <c r="JI222">
        <v>7230</v>
      </c>
      <c r="JJ222">
        <v>0</v>
      </c>
      <c r="JK222">
        <v>0</v>
      </c>
      <c r="JL222">
        <v>0</v>
      </c>
      <c r="JM222">
        <v>6349</v>
      </c>
      <c r="JN222">
        <v>33504</v>
      </c>
      <c r="JO222">
        <v>0</v>
      </c>
      <c r="JP222">
        <v>24619</v>
      </c>
      <c r="JQ222">
        <v>-2736</v>
      </c>
      <c r="JR222">
        <v>1292566</v>
      </c>
      <c r="JS222">
        <v>-61936</v>
      </c>
      <c r="JT222">
        <v>3439</v>
      </c>
      <c r="JU222">
        <v>532</v>
      </c>
      <c r="JV222">
        <v>0</v>
      </c>
      <c r="JW222">
        <v>-182082</v>
      </c>
      <c r="JX222">
        <v>0</v>
      </c>
      <c r="JY222">
        <v>0</v>
      </c>
      <c r="JZ222">
        <v>0</v>
      </c>
      <c r="KA222">
        <v>0</v>
      </c>
      <c r="KB222">
        <v>-445</v>
      </c>
      <c r="KC222">
        <v>1052074</v>
      </c>
      <c r="KD222">
        <v>0</v>
      </c>
      <c r="KE222">
        <v>-510852</v>
      </c>
      <c r="KF222">
        <v>541222</v>
      </c>
      <c r="KG222">
        <v>0</v>
      </c>
      <c r="KH222">
        <v>-1392</v>
      </c>
      <c r="KI222">
        <v>0</v>
      </c>
      <c r="KJ222">
        <v>0</v>
      </c>
      <c r="KK222">
        <v>-75652</v>
      </c>
      <c r="KL222">
        <v>-306</v>
      </c>
      <c r="KM222">
        <v>0</v>
      </c>
      <c r="KN222">
        <v>0</v>
      </c>
      <c r="KO222">
        <v>-150786</v>
      </c>
      <c r="KP222">
        <v>2209</v>
      </c>
      <c r="KQ222">
        <v>0</v>
      </c>
      <c r="KR222">
        <v>179066</v>
      </c>
      <c r="KS222">
        <v>21479</v>
      </c>
      <c r="KT222">
        <v>0</v>
      </c>
      <c r="KU222">
        <v>0</v>
      </c>
      <c r="KV222">
        <v>558059</v>
      </c>
      <c r="KW222">
        <v>26802</v>
      </c>
      <c r="KX222">
        <v>20087</v>
      </c>
      <c r="KY222">
        <v>0</v>
      </c>
      <c r="KZ222">
        <v>0</v>
      </c>
      <c r="LA222">
        <v>482407</v>
      </c>
      <c r="LB222">
        <v>26496</v>
      </c>
      <c r="LC222">
        <v>0</v>
      </c>
      <c r="LD222">
        <v>61297</v>
      </c>
      <c r="LE222">
        <v>210</v>
      </c>
      <c r="LF222">
        <v>7701</v>
      </c>
      <c r="LG222">
        <v>-81937</v>
      </c>
      <c r="LH222">
        <v>33315</v>
      </c>
      <c r="LI222">
        <v>2455</v>
      </c>
      <c r="LJ222">
        <v>15004</v>
      </c>
      <c r="LK222">
        <v>33978</v>
      </c>
      <c r="LL222">
        <v>48982</v>
      </c>
      <c r="LM222">
        <v>0</v>
      </c>
      <c r="LN222">
        <v>0</v>
      </c>
      <c r="LO222">
        <v>0</v>
      </c>
      <c r="LP222">
        <v>86356</v>
      </c>
      <c r="LQ222">
        <v>91434</v>
      </c>
      <c r="LR222">
        <v>-5078</v>
      </c>
      <c r="LS222">
        <v>111166</v>
      </c>
      <c r="LT222">
        <v>106088</v>
      </c>
      <c r="LU222">
        <v>403395</v>
      </c>
      <c r="LV222">
        <v>698</v>
      </c>
      <c r="LW222">
        <v>136264</v>
      </c>
      <c r="LX222">
        <v>183033</v>
      </c>
      <c r="LY222">
        <v>75340</v>
      </c>
      <c r="LZ222">
        <v>44576</v>
      </c>
      <c r="MA222">
        <v>36017</v>
      </c>
      <c r="MB222">
        <v>37274</v>
      </c>
      <c r="MC222">
        <v>30908</v>
      </c>
      <c r="MD222">
        <v>0</v>
      </c>
      <c r="ME222">
        <v>0</v>
      </c>
      <c r="MF222">
        <v>32503</v>
      </c>
      <c r="MG222">
        <v>0</v>
      </c>
      <c r="MH222">
        <v>980008</v>
      </c>
      <c r="MI222">
        <v>0</v>
      </c>
      <c r="MJ222">
        <v>0</v>
      </c>
      <c r="MK222">
        <v>0</v>
      </c>
      <c r="ML222">
        <v>0</v>
      </c>
      <c r="MM222">
        <v>0</v>
      </c>
      <c r="MN222">
        <v>0</v>
      </c>
      <c r="MO222">
        <v>0</v>
      </c>
      <c r="MP222">
        <v>0</v>
      </c>
      <c r="MQ222">
        <v>0</v>
      </c>
      <c r="MR222">
        <v>0</v>
      </c>
      <c r="MS222">
        <v>0</v>
      </c>
      <c r="MT222">
        <v>0</v>
      </c>
      <c r="MU222">
        <v>0</v>
      </c>
      <c r="MV222">
        <v>0</v>
      </c>
      <c r="MW222">
        <v>0</v>
      </c>
      <c r="MX222">
        <v>0</v>
      </c>
      <c r="MY222">
        <v>0</v>
      </c>
      <c r="MZ222">
        <v>525</v>
      </c>
      <c r="NA222">
        <v>525</v>
      </c>
      <c r="NB222">
        <v>157</v>
      </c>
      <c r="NC222">
        <v>682</v>
      </c>
      <c r="ND222">
        <v>0</v>
      </c>
      <c r="NE222">
        <v>0</v>
      </c>
      <c r="NF222">
        <v>-1557</v>
      </c>
      <c r="NG222">
        <v>0</v>
      </c>
      <c r="NH222">
        <v>0</v>
      </c>
      <c r="NI222">
        <v>0</v>
      </c>
      <c r="NJ222">
        <v>0</v>
      </c>
      <c r="NK222">
        <v>0</v>
      </c>
      <c r="NL222">
        <v>0</v>
      </c>
      <c r="NM222">
        <v>0</v>
      </c>
      <c r="NN222">
        <v>0</v>
      </c>
      <c r="NO222">
        <v>0</v>
      </c>
      <c r="NP222">
        <v>0</v>
      </c>
      <c r="NQ222">
        <v>0</v>
      </c>
      <c r="NR222">
        <v>0</v>
      </c>
      <c r="NS222">
        <v>0</v>
      </c>
      <c r="NT222">
        <v>1909</v>
      </c>
      <c r="NU222">
        <v>0</v>
      </c>
      <c r="NV222">
        <v>0</v>
      </c>
      <c r="NW222">
        <v>0</v>
      </c>
      <c r="NX222">
        <v>0</v>
      </c>
      <c r="NY222">
        <v>0</v>
      </c>
      <c r="NZ222">
        <v>502</v>
      </c>
      <c r="OA222">
        <v>0</v>
      </c>
      <c r="OB222">
        <v>502</v>
      </c>
      <c r="OC222">
        <v>157</v>
      </c>
      <c r="OD222">
        <v>0</v>
      </c>
      <c r="OE222">
        <v>0</v>
      </c>
      <c r="OF222">
        <v>0</v>
      </c>
      <c r="OG222">
        <v>0</v>
      </c>
      <c r="OH222">
        <v>157</v>
      </c>
      <c r="OI222">
        <v>0</v>
      </c>
      <c r="OJ222">
        <v>0</v>
      </c>
      <c r="OK222">
        <v>0</v>
      </c>
      <c r="OL222">
        <v>0</v>
      </c>
      <c r="OM222">
        <v>0</v>
      </c>
      <c r="ON222">
        <v>0</v>
      </c>
    </row>
    <row r="223" spans="1:404" x14ac:dyDescent="0.25">
      <c r="A223" t="s">
        <v>734</v>
      </c>
      <c r="B223" t="s">
        <v>735</v>
      </c>
      <c r="C223" t="s">
        <v>733</v>
      </c>
      <c r="E223" t="s">
        <v>61</v>
      </c>
      <c r="F223">
        <v>0</v>
      </c>
      <c r="G223">
        <v>0</v>
      </c>
      <c r="H223">
        <v>0</v>
      </c>
      <c r="I223">
        <v>0</v>
      </c>
      <c r="J223">
        <v>0</v>
      </c>
      <c r="K223">
        <v>0</v>
      </c>
      <c r="L223">
        <v>0</v>
      </c>
      <c r="M223">
        <v>0</v>
      </c>
      <c r="N223">
        <v>0</v>
      </c>
      <c r="O223">
        <v>0</v>
      </c>
      <c r="P223">
        <v>0</v>
      </c>
      <c r="Q223">
        <v>0</v>
      </c>
      <c r="R223">
        <v>0</v>
      </c>
      <c r="S223">
        <v>0</v>
      </c>
      <c r="T223">
        <v>0</v>
      </c>
      <c r="U223">
        <v>0</v>
      </c>
      <c r="V223">
        <v>0</v>
      </c>
      <c r="W223">
        <v>0</v>
      </c>
      <c r="X223">
        <v>0</v>
      </c>
      <c r="Y223">
        <v>19</v>
      </c>
      <c r="Z223">
        <v>0</v>
      </c>
      <c r="AA223">
        <v>-78</v>
      </c>
      <c r="AB223">
        <v>0</v>
      </c>
      <c r="AC223">
        <v>0</v>
      </c>
      <c r="AD223">
        <v>0</v>
      </c>
      <c r="AE223">
        <v>0</v>
      </c>
      <c r="AF223">
        <v>0</v>
      </c>
      <c r="AG223">
        <v>166</v>
      </c>
      <c r="AH223">
        <v>0</v>
      </c>
      <c r="AI223">
        <v>107</v>
      </c>
      <c r="AJ223">
        <v>0</v>
      </c>
      <c r="AK223">
        <v>0</v>
      </c>
      <c r="AL223">
        <v>0</v>
      </c>
      <c r="AM223">
        <v>0</v>
      </c>
      <c r="AN223">
        <v>0</v>
      </c>
      <c r="AO223">
        <v>0</v>
      </c>
      <c r="AP223">
        <v>0</v>
      </c>
      <c r="AQ223">
        <v>0</v>
      </c>
      <c r="AR223">
        <v>0</v>
      </c>
      <c r="AS223">
        <v>0</v>
      </c>
      <c r="AT223">
        <v>0</v>
      </c>
      <c r="AU223">
        <v>0</v>
      </c>
      <c r="AV223">
        <v>0</v>
      </c>
      <c r="AW223">
        <v>0</v>
      </c>
      <c r="AX223">
        <v>0</v>
      </c>
      <c r="AY223">
        <v>0</v>
      </c>
      <c r="AZ223">
        <v>0</v>
      </c>
      <c r="BA223">
        <v>0</v>
      </c>
      <c r="BB223">
        <v>0</v>
      </c>
      <c r="BC223">
        <v>0</v>
      </c>
      <c r="BD223">
        <v>0</v>
      </c>
      <c r="BE223">
        <v>0</v>
      </c>
      <c r="BF223">
        <v>0</v>
      </c>
      <c r="BG223">
        <v>0</v>
      </c>
      <c r="BH223">
        <v>0</v>
      </c>
      <c r="BI223">
        <v>0</v>
      </c>
      <c r="BJ223">
        <v>0</v>
      </c>
      <c r="BK223">
        <v>0</v>
      </c>
      <c r="BL223">
        <v>0</v>
      </c>
      <c r="BM223">
        <v>0</v>
      </c>
      <c r="BN223">
        <v>0</v>
      </c>
      <c r="BO223">
        <v>0</v>
      </c>
      <c r="BP223">
        <v>0</v>
      </c>
      <c r="BQ223">
        <v>0</v>
      </c>
      <c r="BR223">
        <v>0</v>
      </c>
      <c r="BS223">
        <v>0</v>
      </c>
      <c r="BT223">
        <v>0</v>
      </c>
      <c r="BU223">
        <v>0</v>
      </c>
      <c r="BV223">
        <v>0</v>
      </c>
      <c r="BW223">
        <v>0</v>
      </c>
      <c r="BX223">
        <v>0</v>
      </c>
      <c r="BY223">
        <v>0</v>
      </c>
      <c r="BZ223">
        <v>0</v>
      </c>
      <c r="CA223">
        <v>0</v>
      </c>
      <c r="CB223">
        <v>0</v>
      </c>
      <c r="CC223">
        <v>0</v>
      </c>
      <c r="CD223">
        <v>0</v>
      </c>
      <c r="CE223">
        <v>0</v>
      </c>
      <c r="CF223">
        <v>0</v>
      </c>
      <c r="CG223">
        <v>0</v>
      </c>
      <c r="CH223">
        <v>0</v>
      </c>
      <c r="CI223">
        <v>0</v>
      </c>
      <c r="CJ223">
        <v>0</v>
      </c>
      <c r="CK223">
        <v>0</v>
      </c>
      <c r="CL223">
        <v>0</v>
      </c>
      <c r="CM223">
        <v>0</v>
      </c>
      <c r="CN223">
        <v>0</v>
      </c>
      <c r="CO223">
        <v>0</v>
      </c>
      <c r="CP223">
        <v>0</v>
      </c>
      <c r="CQ223">
        <v>0</v>
      </c>
      <c r="CR223">
        <v>0</v>
      </c>
      <c r="CS223">
        <v>0</v>
      </c>
      <c r="CT223">
        <v>0</v>
      </c>
      <c r="CU223">
        <v>0</v>
      </c>
      <c r="CV223">
        <v>0</v>
      </c>
      <c r="CW223">
        <v>0</v>
      </c>
      <c r="CX223">
        <v>0</v>
      </c>
      <c r="CY223">
        <v>0</v>
      </c>
      <c r="CZ223">
        <v>0</v>
      </c>
      <c r="DA223">
        <v>0</v>
      </c>
      <c r="DB223">
        <v>0</v>
      </c>
      <c r="DC223">
        <v>159</v>
      </c>
      <c r="DD223">
        <v>2</v>
      </c>
      <c r="DE223">
        <v>9</v>
      </c>
      <c r="DF223">
        <v>0</v>
      </c>
      <c r="DG223">
        <v>0</v>
      </c>
      <c r="DH223">
        <v>0</v>
      </c>
      <c r="DI223">
        <v>0</v>
      </c>
      <c r="DJ223">
        <v>0</v>
      </c>
      <c r="DK223">
        <v>0</v>
      </c>
      <c r="DL223">
        <v>0</v>
      </c>
      <c r="DM223">
        <v>0</v>
      </c>
      <c r="DN223">
        <v>0</v>
      </c>
      <c r="DO223">
        <v>180</v>
      </c>
      <c r="DP223">
        <v>180</v>
      </c>
      <c r="DQ223">
        <v>0</v>
      </c>
      <c r="DR223">
        <v>0</v>
      </c>
      <c r="DS223">
        <v>0</v>
      </c>
      <c r="DT223">
        <v>1269</v>
      </c>
      <c r="DU223">
        <v>0</v>
      </c>
      <c r="DV223">
        <v>0</v>
      </c>
      <c r="DW223">
        <v>0</v>
      </c>
      <c r="DX223">
        <v>1619</v>
      </c>
      <c r="DY223">
        <v>24410</v>
      </c>
      <c r="DZ223">
        <v>552</v>
      </c>
      <c r="EA223">
        <v>941</v>
      </c>
      <c r="EB223">
        <v>1366</v>
      </c>
      <c r="EC223">
        <v>0</v>
      </c>
      <c r="ED223">
        <v>0</v>
      </c>
      <c r="EE223">
        <v>742</v>
      </c>
      <c r="EF223">
        <v>0</v>
      </c>
      <c r="EG223">
        <v>0</v>
      </c>
      <c r="EH223">
        <v>8078</v>
      </c>
      <c r="EI223">
        <v>6823</v>
      </c>
      <c r="EJ223">
        <v>0</v>
      </c>
      <c r="EK223">
        <v>423</v>
      </c>
      <c r="EL223">
        <v>0</v>
      </c>
      <c r="EM223">
        <v>0</v>
      </c>
      <c r="EN223">
        <v>0</v>
      </c>
      <c r="EO223">
        <v>26</v>
      </c>
      <c r="EP223">
        <v>2424</v>
      </c>
      <c r="EQ223">
        <v>8643</v>
      </c>
      <c r="ER223">
        <v>55</v>
      </c>
      <c r="ES223">
        <v>27668</v>
      </c>
      <c r="ET223">
        <v>29207</v>
      </c>
      <c r="EU223">
        <v>0</v>
      </c>
      <c r="EV223">
        <v>0</v>
      </c>
      <c r="EW223">
        <v>0</v>
      </c>
      <c r="EX223">
        <v>321</v>
      </c>
      <c r="EY223">
        <v>621</v>
      </c>
      <c r="EZ223">
        <v>-2</v>
      </c>
      <c r="FA223">
        <v>0</v>
      </c>
      <c r="FB223">
        <v>0</v>
      </c>
      <c r="FC223">
        <v>1349</v>
      </c>
      <c r="FD223">
        <v>1792</v>
      </c>
      <c r="FE223">
        <v>0</v>
      </c>
      <c r="FF223">
        <v>0</v>
      </c>
      <c r="FG223">
        <v>0</v>
      </c>
      <c r="FH223">
        <v>4081</v>
      </c>
      <c r="FI223">
        <v>-474</v>
      </c>
      <c r="FJ223">
        <v>0</v>
      </c>
      <c r="FK223">
        <v>0</v>
      </c>
      <c r="FL223">
        <v>620</v>
      </c>
      <c r="FM223">
        <v>360</v>
      </c>
      <c r="FN223">
        <v>0</v>
      </c>
      <c r="FO223">
        <v>0</v>
      </c>
      <c r="FP223">
        <v>0</v>
      </c>
      <c r="FQ223">
        <v>0</v>
      </c>
      <c r="FR223">
        <v>0</v>
      </c>
      <c r="FS223">
        <v>119</v>
      </c>
      <c r="FT223">
        <v>72</v>
      </c>
      <c r="FU223">
        <v>143</v>
      </c>
      <c r="FV223">
        <v>853</v>
      </c>
      <c r="FW223">
        <v>0</v>
      </c>
      <c r="FX223">
        <v>478</v>
      </c>
      <c r="FY223">
        <v>0</v>
      </c>
      <c r="FZ223">
        <v>11</v>
      </c>
      <c r="GA223">
        <v>0</v>
      </c>
      <c r="GB223">
        <v>0</v>
      </c>
      <c r="GC223">
        <v>0</v>
      </c>
      <c r="GD223">
        <v>2135</v>
      </c>
      <c r="GE223">
        <v>1970</v>
      </c>
      <c r="GF223">
        <v>-7</v>
      </c>
      <c r="GG223">
        <v>0</v>
      </c>
      <c r="GH223">
        <v>0</v>
      </c>
      <c r="GI223">
        <v>0</v>
      </c>
      <c r="GJ223">
        <v>0</v>
      </c>
      <c r="GK223">
        <v>6280</v>
      </c>
      <c r="GL223">
        <v>0</v>
      </c>
      <c r="GM223">
        <v>330</v>
      </c>
      <c r="GN223">
        <v>0</v>
      </c>
      <c r="GO223">
        <v>491</v>
      </c>
      <c r="GP223">
        <v>0</v>
      </c>
      <c r="GQ223">
        <v>1233</v>
      </c>
      <c r="GR223">
        <v>0</v>
      </c>
      <c r="GS223">
        <v>-2237</v>
      </c>
      <c r="GT223">
        <v>0</v>
      </c>
      <c r="GU223">
        <v>-183</v>
      </c>
      <c r="GV223">
        <v>10178</v>
      </c>
      <c r="GW223">
        <v>0</v>
      </c>
      <c r="GX223">
        <v>0</v>
      </c>
      <c r="GY223">
        <v>0</v>
      </c>
      <c r="GZ223">
        <v>0</v>
      </c>
      <c r="HA223">
        <v>0</v>
      </c>
      <c r="HB223">
        <v>1427</v>
      </c>
      <c r="HC223">
        <v>263</v>
      </c>
      <c r="HD223">
        <v>0</v>
      </c>
      <c r="HE223">
        <v>60</v>
      </c>
      <c r="HF223">
        <v>148</v>
      </c>
      <c r="HG223">
        <v>471</v>
      </c>
      <c r="HH223">
        <v>0</v>
      </c>
      <c r="HI223">
        <v>0</v>
      </c>
      <c r="HJ223">
        <v>227</v>
      </c>
      <c r="HK223">
        <v>8</v>
      </c>
      <c r="HL223">
        <v>0</v>
      </c>
      <c r="HM223">
        <v>-38</v>
      </c>
      <c r="HN223">
        <v>0</v>
      </c>
      <c r="HO223">
        <v>95</v>
      </c>
      <c r="HP223">
        <v>0</v>
      </c>
      <c r="HQ223">
        <v>0</v>
      </c>
      <c r="HR223">
        <v>0</v>
      </c>
      <c r="HS223">
        <v>0</v>
      </c>
      <c r="HT223">
        <v>0</v>
      </c>
      <c r="HU223">
        <v>1934</v>
      </c>
      <c r="HV223">
        <v>4595</v>
      </c>
      <c r="HW223">
        <v>0</v>
      </c>
      <c r="HX223">
        <v>0</v>
      </c>
      <c r="HY223">
        <v>0</v>
      </c>
      <c r="HZ223">
        <v>-1934</v>
      </c>
      <c r="IA223">
        <v>0</v>
      </c>
      <c r="IB223">
        <v>0</v>
      </c>
      <c r="IC223">
        <v>0</v>
      </c>
      <c r="ID223">
        <v>107</v>
      </c>
      <c r="IE223">
        <v>0</v>
      </c>
      <c r="IF223">
        <v>0</v>
      </c>
      <c r="IG223">
        <v>0</v>
      </c>
      <c r="IH223">
        <v>1619</v>
      </c>
      <c r="II223">
        <v>4081</v>
      </c>
      <c r="IJ223">
        <v>6280</v>
      </c>
      <c r="IK223">
        <v>-183</v>
      </c>
      <c r="IL223">
        <v>0</v>
      </c>
      <c r="IM223">
        <v>0</v>
      </c>
      <c r="IN223">
        <v>4595</v>
      </c>
      <c r="IO223">
        <v>0</v>
      </c>
      <c r="IP223">
        <v>16499</v>
      </c>
      <c r="IQ223">
        <v>12624</v>
      </c>
      <c r="IR223">
        <v>0</v>
      </c>
      <c r="IS223">
        <v>10307</v>
      </c>
      <c r="IT223">
        <v>0</v>
      </c>
      <c r="IU223">
        <v>0</v>
      </c>
      <c r="IV223">
        <v>105</v>
      </c>
      <c r="IW223">
        <v>0</v>
      </c>
      <c r="IX223">
        <v>0</v>
      </c>
      <c r="IY223">
        <v>0</v>
      </c>
      <c r="IZ223">
        <v>0</v>
      </c>
      <c r="JA223">
        <v>0</v>
      </c>
      <c r="JB223">
        <v>0</v>
      </c>
      <c r="JC223">
        <v>0</v>
      </c>
      <c r="JD223">
        <v>0</v>
      </c>
      <c r="JE223">
        <v>234</v>
      </c>
      <c r="JF223">
        <v>-2</v>
      </c>
      <c r="JG223">
        <v>39767</v>
      </c>
      <c r="JH223">
        <v>0</v>
      </c>
      <c r="JI223">
        <v>5218</v>
      </c>
      <c r="JJ223">
        <v>0</v>
      </c>
      <c r="JK223">
        <v>0</v>
      </c>
      <c r="JL223">
        <v>0</v>
      </c>
      <c r="JM223">
        <v>57</v>
      </c>
      <c r="JN223">
        <v>446</v>
      </c>
      <c r="JO223">
        <v>0</v>
      </c>
      <c r="JP223">
        <v>2890</v>
      </c>
      <c r="JQ223">
        <v>-2424</v>
      </c>
      <c r="JR223">
        <v>45954</v>
      </c>
      <c r="JS223">
        <v>-2817</v>
      </c>
      <c r="JT223">
        <v>0</v>
      </c>
      <c r="JU223">
        <v>0</v>
      </c>
      <c r="JV223">
        <v>0</v>
      </c>
      <c r="JW223">
        <v>-22924</v>
      </c>
      <c r="JX223">
        <v>0</v>
      </c>
      <c r="JY223">
        <v>0</v>
      </c>
      <c r="JZ223">
        <v>0</v>
      </c>
      <c r="KA223">
        <v>0</v>
      </c>
      <c r="KB223">
        <v>0</v>
      </c>
      <c r="KC223">
        <v>20213</v>
      </c>
      <c r="KD223">
        <v>0</v>
      </c>
      <c r="KE223">
        <v>-3871</v>
      </c>
      <c r="KF223">
        <v>16342</v>
      </c>
      <c r="KG223">
        <v>0</v>
      </c>
      <c r="KH223">
        <v>0</v>
      </c>
      <c r="KI223">
        <v>0</v>
      </c>
      <c r="KJ223">
        <v>0</v>
      </c>
      <c r="KK223">
        <v>-6573</v>
      </c>
      <c r="KL223">
        <v>0</v>
      </c>
      <c r="KM223">
        <v>-249</v>
      </c>
      <c r="KN223">
        <v>0</v>
      </c>
      <c r="KO223">
        <v>-4073</v>
      </c>
      <c r="KP223">
        <v>5860</v>
      </c>
      <c r="KQ223">
        <v>0</v>
      </c>
      <c r="KR223">
        <v>5851</v>
      </c>
      <c r="KS223">
        <v>0</v>
      </c>
      <c r="KT223">
        <v>0</v>
      </c>
      <c r="KU223">
        <v>0</v>
      </c>
      <c r="KV223">
        <v>24459</v>
      </c>
      <c r="KW223">
        <v>2347</v>
      </c>
      <c r="KX223">
        <v>0</v>
      </c>
      <c r="KY223">
        <v>0</v>
      </c>
      <c r="KZ223">
        <v>0</v>
      </c>
      <c r="LA223">
        <v>17886</v>
      </c>
      <c r="LB223">
        <v>2347</v>
      </c>
      <c r="LC223">
        <v>0</v>
      </c>
      <c r="LD223">
        <v>6284</v>
      </c>
      <c r="LE223">
        <v>4812</v>
      </c>
      <c r="LF223">
        <v>-7290</v>
      </c>
      <c r="LG223">
        <v>0</v>
      </c>
      <c r="LH223">
        <v>0</v>
      </c>
      <c r="LI223">
        <v>3806</v>
      </c>
      <c r="LJ223">
        <v>3222</v>
      </c>
      <c r="LK223">
        <v>5364</v>
      </c>
      <c r="LL223">
        <v>8586</v>
      </c>
      <c r="LM223">
        <v>0</v>
      </c>
      <c r="LN223">
        <v>0</v>
      </c>
      <c r="LO223">
        <v>0</v>
      </c>
      <c r="LP223">
        <v>28011</v>
      </c>
      <c r="LQ223">
        <v>26472</v>
      </c>
      <c r="LR223">
        <v>1539</v>
      </c>
      <c r="LS223">
        <v>27668</v>
      </c>
      <c r="LT223">
        <v>29207</v>
      </c>
      <c r="LU223">
        <v>0</v>
      </c>
      <c r="LV223">
        <v>107</v>
      </c>
      <c r="LW223">
        <v>0</v>
      </c>
      <c r="LX223">
        <v>0</v>
      </c>
      <c r="LY223">
        <v>0</v>
      </c>
      <c r="LZ223">
        <v>1619</v>
      </c>
      <c r="MA223">
        <v>4081</v>
      </c>
      <c r="MB223">
        <v>6280</v>
      </c>
      <c r="MC223">
        <v>-183</v>
      </c>
      <c r="MD223">
        <v>0</v>
      </c>
      <c r="ME223">
        <v>0</v>
      </c>
      <c r="MF223">
        <v>4595</v>
      </c>
      <c r="MG223">
        <v>0</v>
      </c>
      <c r="MH223">
        <v>16499</v>
      </c>
      <c r="MI223">
        <v>0</v>
      </c>
      <c r="MJ223">
        <v>0</v>
      </c>
      <c r="MK223">
        <v>0</v>
      </c>
      <c r="ML223">
        <v>0</v>
      </c>
      <c r="MM223">
        <v>0</v>
      </c>
      <c r="MN223">
        <v>0</v>
      </c>
      <c r="MO223">
        <v>0</v>
      </c>
      <c r="MP223">
        <v>0</v>
      </c>
      <c r="MQ223">
        <v>0</v>
      </c>
      <c r="MR223">
        <v>0</v>
      </c>
      <c r="MS223">
        <v>0</v>
      </c>
      <c r="MT223">
        <v>0</v>
      </c>
      <c r="MU223">
        <v>0</v>
      </c>
      <c r="MV223">
        <v>0</v>
      </c>
      <c r="MW223">
        <v>0</v>
      </c>
      <c r="MX223">
        <v>0</v>
      </c>
      <c r="MY223">
        <v>0</v>
      </c>
      <c r="MZ223">
        <v>0</v>
      </c>
      <c r="NA223">
        <v>0</v>
      </c>
      <c r="NB223">
        <v>0</v>
      </c>
      <c r="NC223">
        <v>0</v>
      </c>
      <c r="ND223">
        <v>0</v>
      </c>
      <c r="NE223">
        <v>0</v>
      </c>
      <c r="NF223">
        <v>0</v>
      </c>
      <c r="NG223">
        <v>0</v>
      </c>
      <c r="NH223">
        <v>0</v>
      </c>
      <c r="NI223">
        <v>0</v>
      </c>
      <c r="NJ223">
        <v>0</v>
      </c>
      <c r="NK223">
        <v>0</v>
      </c>
      <c r="NL223">
        <v>0</v>
      </c>
      <c r="NM223">
        <v>0</v>
      </c>
      <c r="NN223">
        <v>0</v>
      </c>
      <c r="NO223">
        <v>0</v>
      </c>
      <c r="NP223">
        <v>0</v>
      </c>
      <c r="NQ223">
        <v>0</v>
      </c>
      <c r="NR223">
        <v>0</v>
      </c>
      <c r="NS223">
        <v>0</v>
      </c>
      <c r="NT223">
        <v>0</v>
      </c>
      <c r="NU223">
        <v>0</v>
      </c>
      <c r="NV223">
        <v>0</v>
      </c>
      <c r="NW223">
        <v>0</v>
      </c>
      <c r="NX223">
        <v>0</v>
      </c>
      <c r="NY223">
        <v>0</v>
      </c>
      <c r="NZ223">
        <v>0</v>
      </c>
      <c r="OA223">
        <v>0</v>
      </c>
      <c r="OB223">
        <v>0</v>
      </c>
      <c r="OC223">
        <v>0</v>
      </c>
      <c r="OD223">
        <v>0</v>
      </c>
      <c r="OE223">
        <v>0</v>
      </c>
      <c r="OF223">
        <v>0</v>
      </c>
      <c r="OG223">
        <v>0</v>
      </c>
      <c r="OH223">
        <v>0</v>
      </c>
      <c r="OI223">
        <v>0</v>
      </c>
      <c r="OJ223">
        <v>0</v>
      </c>
      <c r="OK223">
        <v>0</v>
      </c>
      <c r="OL223">
        <v>0</v>
      </c>
      <c r="OM223">
        <v>0</v>
      </c>
      <c r="ON223">
        <v>0</v>
      </c>
    </row>
    <row r="224" spans="1:404" x14ac:dyDescent="0.25">
      <c r="A224" t="s">
        <v>740</v>
      </c>
      <c r="B224" t="s">
        <v>741</v>
      </c>
      <c r="C224" t="s">
        <v>739</v>
      </c>
      <c r="E224" t="s">
        <v>61</v>
      </c>
      <c r="F224">
        <v>0</v>
      </c>
      <c r="G224">
        <v>0</v>
      </c>
      <c r="H224">
        <v>0</v>
      </c>
      <c r="I224">
        <v>0</v>
      </c>
      <c r="J224">
        <v>0</v>
      </c>
      <c r="K224">
        <v>0</v>
      </c>
      <c r="L224">
        <v>0</v>
      </c>
      <c r="M224">
        <v>0</v>
      </c>
      <c r="N224">
        <v>0</v>
      </c>
      <c r="O224">
        <v>0</v>
      </c>
      <c r="P224">
        <v>0</v>
      </c>
      <c r="Q224">
        <v>0</v>
      </c>
      <c r="R224">
        <v>0</v>
      </c>
      <c r="S224">
        <v>0</v>
      </c>
      <c r="T224">
        <v>0</v>
      </c>
      <c r="U224">
        <v>0</v>
      </c>
      <c r="V224">
        <v>0</v>
      </c>
      <c r="W224">
        <v>0</v>
      </c>
      <c r="X224">
        <v>0</v>
      </c>
      <c r="Y224">
        <v>0</v>
      </c>
      <c r="Z224">
        <v>0</v>
      </c>
      <c r="AA224">
        <v>-258</v>
      </c>
      <c r="AB224">
        <v>0</v>
      </c>
      <c r="AC224">
        <v>0</v>
      </c>
      <c r="AD224">
        <v>0</v>
      </c>
      <c r="AE224">
        <v>0</v>
      </c>
      <c r="AF224">
        <v>0</v>
      </c>
      <c r="AG224">
        <v>0</v>
      </c>
      <c r="AH224">
        <v>0</v>
      </c>
      <c r="AI224">
        <v>-258</v>
      </c>
      <c r="AJ224">
        <v>0</v>
      </c>
      <c r="AK224">
        <v>0</v>
      </c>
      <c r="AL224">
        <v>0</v>
      </c>
      <c r="AM224">
        <v>0</v>
      </c>
      <c r="AN224">
        <v>0</v>
      </c>
      <c r="AO224">
        <v>0</v>
      </c>
      <c r="AP224">
        <v>0</v>
      </c>
      <c r="AQ224">
        <v>0</v>
      </c>
      <c r="AR224">
        <v>0</v>
      </c>
      <c r="AS224">
        <v>0</v>
      </c>
      <c r="AT224">
        <v>0</v>
      </c>
      <c r="AU224">
        <v>0</v>
      </c>
      <c r="AV224">
        <v>0</v>
      </c>
      <c r="AW224">
        <v>0</v>
      </c>
      <c r="AX224">
        <v>0</v>
      </c>
      <c r="AY224">
        <v>0</v>
      </c>
      <c r="AZ224">
        <v>0</v>
      </c>
      <c r="BA224">
        <v>0</v>
      </c>
      <c r="BB224">
        <v>0</v>
      </c>
      <c r="BC224">
        <v>0</v>
      </c>
      <c r="BD224">
        <v>0</v>
      </c>
      <c r="BE224">
        <v>0</v>
      </c>
      <c r="BF224">
        <v>0</v>
      </c>
      <c r="BG224">
        <v>0</v>
      </c>
      <c r="BH224">
        <v>0</v>
      </c>
      <c r="BI224">
        <v>0</v>
      </c>
      <c r="BJ224">
        <v>0</v>
      </c>
      <c r="BK224">
        <v>0</v>
      </c>
      <c r="BL224">
        <v>0</v>
      </c>
      <c r="BM224">
        <v>0</v>
      </c>
      <c r="BN224">
        <v>0</v>
      </c>
      <c r="BO224">
        <v>0</v>
      </c>
      <c r="BP224">
        <v>0</v>
      </c>
      <c r="BQ224">
        <v>0</v>
      </c>
      <c r="BR224">
        <v>0</v>
      </c>
      <c r="BS224">
        <v>0</v>
      </c>
      <c r="BT224">
        <v>0</v>
      </c>
      <c r="BU224">
        <v>0</v>
      </c>
      <c r="BV224">
        <v>0</v>
      </c>
      <c r="BW224">
        <v>0</v>
      </c>
      <c r="BX224">
        <v>0</v>
      </c>
      <c r="BY224">
        <v>0</v>
      </c>
      <c r="BZ224">
        <v>0</v>
      </c>
      <c r="CA224">
        <v>0</v>
      </c>
      <c r="CB224">
        <v>0</v>
      </c>
      <c r="CC224">
        <v>0</v>
      </c>
      <c r="CD224">
        <v>0</v>
      </c>
      <c r="CE224">
        <v>0</v>
      </c>
      <c r="CF224">
        <v>0</v>
      </c>
      <c r="CG224">
        <v>0</v>
      </c>
      <c r="CH224">
        <v>0</v>
      </c>
      <c r="CI224">
        <v>0</v>
      </c>
      <c r="CJ224">
        <v>0</v>
      </c>
      <c r="CK224">
        <v>0</v>
      </c>
      <c r="CL224">
        <v>0</v>
      </c>
      <c r="CM224">
        <v>0</v>
      </c>
      <c r="CN224">
        <v>0</v>
      </c>
      <c r="CO224">
        <v>0</v>
      </c>
      <c r="CP224">
        <v>0</v>
      </c>
      <c r="CQ224">
        <v>0</v>
      </c>
      <c r="CR224">
        <v>0</v>
      </c>
      <c r="CS224">
        <v>0</v>
      </c>
      <c r="CT224">
        <v>0</v>
      </c>
      <c r="CU224">
        <v>39</v>
      </c>
      <c r="CV224">
        <v>226</v>
      </c>
      <c r="CW224">
        <v>0</v>
      </c>
      <c r="CX224">
        <v>0</v>
      </c>
      <c r="CY224">
        <v>0</v>
      </c>
      <c r="CZ224">
        <v>0</v>
      </c>
      <c r="DA224">
        <v>0</v>
      </c>
      <c r="DB224">
        <v>0</v>
      </c>
      <c r="DC224">
        <v>0</v>
      </c>
      <c r="DD224">
        <v>0</v>
      </c>
      <c r="DE224">
        <v>66</v>
      </c>
      <c r="DF224">
        <v>0</v>
      </c>
      <c r="DG224">
        <v>0</v>
      </c>
      <c r="DH224">
        <v>0</v>
      </c>
      <c r="DI224">
        <v>0</v>
      </c>
      <c r="DJ224">
        <v>-29</v>
      </c>
      <c r="DK224">
        <v>0</v>
      </c>
      <c r="DL224">
        <v>0</v>
      </c>
      <c r="DM224">
        <v>0</v>
      </c>
      <c r="DN224">
        <v>434</v>
      </c>
      <c r="DO224">
        <v>0</v>
      </c>
      <c r="DP224">
        <v>405</v>
      </c>
      <c r="DQ224">
        <v>0</v>
      </c>
      <c r="DR224">
        <v>0</v>
      </c>
      <c r="DS224">
        <v>12</v>
      </c>
      <c r="DT224">
        <v>240</v>
      </c>
      <c r="DU224">
        <v>0</v>
      </c>
      <c r="DV224">
        <v>0</v>
      </c>
      <c r="DW224">
        <v>30</v>
      </c>
      <c r="DX224">
        <v>753</v>
      </c>
      <c r="DY224">
        <v>7006</v>
      </c>
      <c r="DZ224">
        <v>77</v>
      </c>
      <c r="EA224">
        <v>810</v>
      </c>
      <c r="EB224">
        <v>0</v>
      </c>
      <c r="EC224">
        <v>0</v>
      </c>
      <c r="ED224">
        <v>59</v>
      </c>
      <c r="EE224">
        <v>0</v>
      </c>
      <c r="EF224">
        <v>0</v>
      </c>
      <c r="EG224">
        <v>0</v>
      </c>
      <c r="EH224">
        <v>3042</v>
      </c>
      <c r="EI224">
        <v>1240</v>
      </c>
      <c r="EJ224">
        <v>800</v>
      </c>
      <c r="EK224">
        <v>158</v>
      </c>
      <c r="EL224">
        <v>0</v>
      </c>
      <c r="EM224">
        <v>1169</v>
      </c>
      <c r="EN224">
        <v>269</v>
      </c>
      <c r="EO224">
        <v>45</v>
      </c>
      <c r="EP224">
        <v>0</v>
      </c>
      <c r="EQ224">
        <v>1469</v>
      </c>
      <c r="ER224">
        <v>249</v>
      </c>
      <c r="ES224">
        <v>6354</v>
      </c>
      <c r="ET224">
        <v>5865</v>
      </c>
      <c r="EU224">
        <v>0</v>
      </c>
      <c r="EV224">
        <v>0</v>
      </c>
      <c r="EW224">
        <v>0</v>
      </c>
      <c r="EX224">
        <v>0</v>
      </c>
      <c r="EY224">
        <v>0</v>
      </c>
      <c r="EZ224">
        <v>114</v>
      </c>
      <c r="FA224">
        <v>0</v>
      </c>
      <c r="FB224">
        <v>59</v>
      </c>
      <c r="FC224">
        <v>180</v>
      </c>
      <c r="FD224">
        <v>379</v>
      </c>
      <c r="FE224">
        <v>0</v>
      </c>
      <c r="FF224">
        <v>180</v>
      </c>
      <c r="FG224">
        <v>0</v>
      </c>
      <c r="FH224">
        <v>912</v>
      </c>
      <c r="FI224">
        <v>79</v>
      </c>
      <c r="FJ224">
        <v>0</v>
      </c>
      <c r="FK224">
        <v>0</v>
      </c>
      <c r="FL224">
        <v>0</v>
      </c>
      <c r="FM224">
        <v>0</v>
      </c>
      <c r="FN224">
        <v>0</v>
      </c>
      <c r="FO224">
        <v>0</v>
      </c>
      <c r="FP224">
        <v>0</v>
      </c>
      <c r="FQ224">
        <v>0</v>
      </c>
      <c r="FR224">
        <v>26</v>
      </c>
      <c r="FS224">
        <v>89</v>
      </c>
      <c r="FT224">
        <v>423</v>
      </c>
      <c r="FU224">
        <v>145</v>
      </c>
      <c r="FV224">
        <v>298</v>
      </c>
      <c r="FW224">
        <v>0</v>
      </c>
      <c r="FX224">
        <v>0</v>
      </c>
      <c r="FY224">
        <v>54</v>
      </c>
      <c r="FZ224">
        <v>0</v>
      </c>
      <c r="GA224">
        <v>0</v>
      </c>
      <c r="GB224">
        <v>0</v>
      </c>
      <c r="GC224">
        <v>0</v>
      </c>
      <c r="GD224">
        <v>477</v>
      </c>
      <c r="GE224">
        <v>511</v>
      </c>
      <c r="GF224">
        <v>0</v>
      </c>
      <c r="GG224">
        <v>0</v>
      </c>
      <c r="GH224">
        <v>647</v>
      </c>
      <c r="GI224">
        <v>0</v>
      </c>
      <c r="GJ224">
        <v>0</v>
      </c>
      <c r="GK224">
        <v>2749</v>
      </c>
      <c r="GL224">
        <v>104</v>
      </c>
      <c r="GM224">
        <v>105</v>
      </c>
      <c r="GN224">
        <v>0</v>
      </c>
      <c r="GO224">
        <v>420</v>
      </c>
      <c r="GP224">
        <v>0</v>
      </c>
      <c r="GQ224">
        <v>258</v>
      </c>
      <c r="GR224">
        <v>0</v>
      </c>
      <c r="GS224">
        <v>1107</v>
      </c>
      <c r="GT224">
        <v>0</v>
      </c>
      <c r="GU224">
        <v>1994</v>
      </c>
      <c r="GV224">
        <v>5655</v>
      </c>
      <c r="GW224">
        <v>0</v>
      </c>
      <c r="GX224">
        <v>0</v>
      </c>
      <c r="GY224">
        <v>0</v>
      </c>
      <c r="GZ224">
        <v>0</v>
      </c>
      <c r="HA224">
        <v>0</v>
      </c>
      <c r="HB224">
        <v>1053</v>
      </c>
      <c r="HC224">
        <v>299</v>
      </c>
      <c r="HD224">
        <v>0</v>
      </c>
      <c r="HE224">
        <v>0</v>
      </c>
      <c r="HF224">
        <v>0</v>
      </c>
      <c r="HG224">
        <v>184</v>
      </c>
      <c r="HH224">
        <v>0</v>
      </c>
      <c r="HI224">
        <v>0</v>
      </c>
      <c r="HJ224">
        <v>113</v>
      </c>
      <c r="HK224">
        <v>143</v>
      </c>
      <c r="HL224">
        <v>87</v>
      </c>
      <c r="HM224">
        <v>19</v>
      </c>
      <c r="HN224">
        <v>0</v>
      </c>
      <c r="HO224">
        <v>55</v>
      </c>
      <c r="HP224">
        <v>0</v>
      </c>
      <c r="HQ224">
        <v>0</v>
      </c>
      <c r="HR224">
        <v>72</v>
      </c>
      <c r="HS224">
        <v>0</v>
      </c>
      <c r="HT224">
        <v>0</v>
      </c>
      <c r="HU224">
        <v>-2</v>
      </c>
      <c r="HV224">
        <v>2023</v>
      </c>
      <c r="HW224">
        <v>0</v>
      </c>
      <c r="HX224">
        <v>5344</v>
      </c>
      <c r="HY224">
        <v>0</v>
      </c>
      <c r="HZ224">
        <v>0</v>
      </c>
      <c r="IA224">
        <v>52</v>
      </c>
      <c r="IB224">
        <v>401</v>
      </c>
      <c r="IC224">
        <v>0</v>
      </c>
      <c r="ID224">
        <v>-258</v>
      </c>
      <c r="IE224">
        <v>0</v>
      </c>
      <c r="IF224">
        <v>0</v>
      </c>
      <c r="IG224">
        <v>226</v>
      </c>
      <c r="IH224">
        <v>753</v>
      </c>
      <c r="II224">
        <v>912</v>
      </c>
      <c r="IJ224">
        <v>2749</v>
      </c>
      <c r="IK224">
        <v>1994</v>
      </c>
      <c r="IL224">
        <v>0</v>
      </c>
      <c r="IM224">
        <v>0</v>
      </c>
      <c r="IN224">
        <v>2023</v>
      </c>
      <c r="IO224">
        <v>401</v>
      </c>
      <c r="IP224">
        <v>8800</v>
      </c>
      <c r="IQ224">
        <v>2516</v>
      </c>
      <c r="IR224">
        <v>33</v>
      </c>
      <c r="IS224">
        <v>2301</v>
      </c>
      <c r="IT224">
        <v>0</v>
      </c>
      <c r="IU224">
        <v>0</v>
      </c>
      <c r="IV224">
        <v>679</v>
      </c>
      <c r="IW224">
        <v>0</v>
      </c>
      <c r="IX224">
        <v>0</v>
      </c>
      <c r="IY224">
        <v>0</v>
      </c>
      <c r="IZ224">
        <v>0</v>
      </c>
      <c r="JA224">
        <v>-264</v>
      </c>
      <c r="JB224">
        <v>0</v>
      </c>
      <c r="JC224">
        <v>0</v>
      </c>
      <c r="JD224">
        <v>0</v>
      </c>
      <c r="JE224">
        <v>0</v>
      </c>
      <c r="JF224">
        <v>0</v>
      </c>
      <c r="JG224">
        <v>14065</v>
      </c>
      <c r="JH224">
        <v>0</v>
      </c>
      <c r="JI224">
        <v>0</v>
      </c>
      <c r="JJ224">
        <v>0</v>
      </c>
      <c r="JK224">
        <v>0</v>
      </c>
      <c r="JL224">
        <v>0</v>
      </c>
      <c r="JM224">
        <v>224</v>
      </c>
      <c r="JN224">
        <v>0</v>
      </c>
      <c r="JO224">
        <v>0</v>
      </c>
      <c r="JP224">
        <v>1168</v>
      </c>
      <c r="JQ224">
        <v>-1168</v>
      </c>
      <c r="JR224">
        <v>14289</v>
      </c>
      <c r="JS224">
        <v>-148</v>
      </c>
      <c r="JT224">
        <v>0</v>
      </c>
      <c r="JU224">
        <v>0</v>
      </c>
      <c r="JV224">
        <v>0</v>
      </c>
      <c r="JW224">
        <v>-5185</v>
      </c>
      <c r="JX224">
        <v>0</v>
      </c>
      <c r="JY224">
        <v>0</v>
      </c>
      <c r="JZ224">
        <v>0</v>
      </c>
      <c r="KA224">
        <v>0</v>
      </c>
      <c r="KB224">
        <v>0</v>
      </c>
      <c r="KC224">
        <v>8956</v>
      </c>
      <c r="KD224">
        <v>0</v>
      </c>
      <c r="KE224">
        <v>-1008</v>
      </c>
      <c r="KF224">
        <v>7948</v>
      </c>
      <c r="KG224">
        <v>0</v>
      </c>
      <c r="KH224">
        <v>0</v>
      </c>
      <c r="KI224">
        <v>0</v>
      </c>
      <c r="KJ224">
        <v>0</v>
      </c>
      <c r="KK224">
        <v>-1434</v>
      </c>
      <c r="KL224">
        <v>0</v>
      </c>
      <c r="KM224">
        <v>0</v>
      </c>
      <c r="KN224">
        <v>0</v>
      </c>
      <c r="KO224">
        <v>-1972</v>
      </c>
      <c r="KP224">
        <v>2364</v>
      </c>
      <c r="KQ224">
        <v>0</v>
      </c>
      <c r="KR224">
        <v>4738</v>
      </c>
      <c r="KS224">
        <v>0</v>
      </c>
      <c r="KT224">
        <v>0</v>
      </c>
      <c r="KU224">
        <v>0</v>
      </c>
      <c r="KV224">
        <v>6727</v>
      </c>
      <c r="KW224">
        <v>2121</v>
      </c>
      <c r="KX224">
        <v>0</v>
      </c>
      <c r="KY224">
        <v>0</v>
      </c>
      <c r="KZ224">
        <v>0</v>
      </c>
      <c r="LA224">
        <v>5293</v>
      </c>
      <c r="LB224">
        <v>2121</v>
      </c>
      <c r="LC224">
        <v>0</v>
      </c>
      <c r="LD224">
        <v>2851</v>
      </c>
      <c r="LE224">
        <v>0</v>
      </c>
      <c r="LF224">
        <v>456</v>
      </c>
      <c r="LG224">
        <v>0</v>
      </c>
      <c r="LH224">
        <v>282</v>
      </c>
      <c r="LI224">
        <v>3584</v>
      </c>
      <c r="LJ224">
        <v>1117</v>
      </c>
      <c r="LK224">
        <v>1060</v>
      </c>
      <c r="LL224">
        <v>2177</v>
      </c>
      <c r="LM224">
        <v>0</v>
      </c>
      <c r="LN224">
        <v>0</v>
      </c>
      <c r="LO224">
        <v>0</v>
      </c>
      <c r="LP224">
        <v>7952</v>
      </c>
      <c r="LQ224">
        <v>8441</v>
      </c>
      <c r="LR224">
        <v>-489</v>
      </c>
      <c r="LS224">
        <v>6354</v>
      </c>
      <c r="LT224">
        <v>5865</v>
      </c>
      <c r="LU224">
        <v>0</v>
      </c>
      <c r="LV224">
        <v>-258</v>
      </c>
      <c r="LW224">
        <v>0</v>
      </c>
      <c r="LX224">
        <v>0</v>
      </c>
      <c r="LY224">
        <v>226</v>
      </c>
      <c r="LZ224">
        <v>753</v>
      </c>
      <c r="MA224">
        <v>912</v>
      </c>
      <c r="MB224">
        <v>2749</v>
      </c>
      <c r="MC224">
        <v>1994</v>
      </c>
      <c r="MD224">
        <v>0</v>
      </c>
      <c r="ME224">
        <v>0</v>
      </c>
      <c r="MF224">
        <v>2023</v>
      </c>
      <c r="MG224">
        <v>401</v>
      </c>
      <c r="MH224">
        <v>8800</v>
      </c>
      <c r="MI224">
        <v>0</v>
      </c>
      <c r="MJ224">
        <v>0</v>
      </c>
      <c r="MK224">
        <v>0</v>
      </c>
      <c r="ML224">
        <v>0</v>
      </c>
      <c r="MM224">
        <v>0</v>
      </c>
      <c r="MN224">
        <v>0</v>
      </c>
      <c r="MO224">
        <v>0</v>
      </c>
      <c r="MP224">
        <v>0</v>
      </c>
      <c r="MQ224">
        <v>0</v>
      </c>
      <c r="MR224">
        <v>0</v>
      </c>
      <c r="MS224">
        <v>0</v>
      </c>
      <c r="MT224">
        <v>0</v>
      </c>
      <c r="MU224">
        <v>0</v>
      </c>
      <c r="MV224">
        <v>0</v>
      </c>
      <c r="MW224">
        <v>0</v>
      </c>
      <c r="MX224">
        <v>-98</v>
      </c>
      <c r="MY224">
        <v>0</v>
      </c>
      <c r="MZ224">
        <v>-166</v>
      </c>
      <c r="NA224">
        <v>-264</v>
      </c>
      <c r="NB224">
        <v>0</v>
      </c>
      <c r="NC224">
        <v>-264</v>
      </c>
      <c r="ND224">
        <v>0</v>
      </c>
      <c r="NE224">
        <v>0</v>
      </c>
      <c r="NF224">
        <v>0</v>
      </c>
      <c r="NG224">
        <v>0</v>
      </c>
      <c r="NH224">
        <v>0</v>
      </c>
      <c r="NI224">
        <v>0</v>
      </c>
      <c r="NJ224">
        <v>0</v>
      </c>
      <c r="NK224">
        <v>0</v>
      </c>
      <c r="NL224">
        <v>0</v>
      </c>
      <c r="NM224">
        <v>0</v>
      </c>
      <c r="NN224">
        <v>0</v>
      </c>
      <c r="NO224">
        <v>0</v>
      </c>
      <c r="NP224">
        <v>0</v>
      </c>
      <c r="NQ224">
        <v>0</v>
      </c>
      <c r="NR224">
        <v>0</v>
      </c>
      <c r="NS224">
        <v>0</v>
      </c>
      <c r="NT224">
        <v>0</v>
      </c>
      <c r="NU224">
        <v>0</v>
      </c>
      <c r="NV224">
        <v>0</v>
      </c>
      <c r="NW224">
        <v>0</v>
      </c>
      <c r="NX224">
        <v>0</v>
      </c>
      <c r="NY224">
        <v>0</v>
      </c>
      <c r="NZ224">
        <v>0</v>
      </c>
      <c r="OA224">
        <v>0</v>
      </c>
      <c r="OB224">
        <v>0</v>
      </c>
      <c r="OC224">
        <v>0</v>
      </c>
      <c r="OD224">
        <v>0</v>
      </c>
      <c r="OE224">
        <v>0</v>
      </c>
      <c r="OF224">
        <v>0</v>
      </c>
      <c r="OG224">
        <v>0</v>
      </c>
      <c r="OH224">
        <v>0</v>
      </c>
      <c r="OI224">
        <v>0</v>
      </c>
      <c r="OJ224">
        <v>0</v>
      </c>
      <c r="OK224">
        <v>0</v>
      </c>
      <c r="OL224">
        <v>0</v>
      </c>
      <c r="OM224">
        <v>0</v>
      </c>
      <c r="ON224">
        <v>0</v>
      </c>
    </row>
    <row r="225" spans="1:404" x14ac:dyDescent="0.25">
      <c r="A225" t="s">
        <v>743</v>
      </c>
      <c r="B225" t="s">
        <v>744</v>
      </c>
      <c r="C225" t="s">
        <v>742</v>
      </c>
      <c r="E225" t="s">
        <v>61</v>
      </c>
      <c r="F225">
        <v>0</v>
      </c>
      <c r="G225">
        <v>0</v>
      </c>
      <c r="H225">
        <v>0</v>
      </c>
      <c r="I225">
        <v>0</v>
      </c>
      <c r="J225">
        <v>0</v>
      </c>
      <c r="K225">
        <v>0</v>
      </c>
      <c r="L225">
        <v>0</v>
      </c>
      <c r="M225">
        <v>60</v>
      </c>
      <c r="N225">
        <v>0</v>
      </c>
      <c r="O225">
        <v>0</v>
      </c>
      <c r="P225">
        <v>0</v>
      </c>
      <c r="Q225">
        <v>0</v>
      </c>
      <c r="R225">
        <v>0</v>
      </c>
      <c r="S225">
        <v>0</v>
      </c>
      <c r="T225">
        <v>0</v>
      </c>
      <c r="U225">
        <v>0</v>
      </c>
      <c r="V225">
        <v>0</v>
      </c>
      <c r="W225">
        <v>0</v>
      </c>
      <c r="X225">
        <v>0</v>
      </c>
      <c r="Y225">
        <v>0</v>
      </c>
      <c r="Z225">
        <v>519</v>
      </c>
      <c r="AA225">
        <v>-1644</v>
      </c>
      <c r="AB225">
        <v>0</v>
      </c>
      <c r="AC225">
        <v>0</v>
      </c>
      <c r="AD225">
        <v>0</v>
      </c>
      <c r="AE225">
        <v>0</v>
      </c>
      <c r="AF225">
        <v>0</v>
      </c>
      <c r="AG225">
        <v>0</v>
      </c>
      <c r="AH225">
        <v>0</v>
      </c>
      <c r="AI225">
        <v>-1066</v>
      </c>
      <c r="AJ225">
        <v>0</v>
      </c>
      <c r="AK225">
        <v>0</v>
      </c>
      <c r="AL225">
        <v>0</v>
      </c>
      <c r="AM225">
        <v>0</v>
      </c>
      <c r="AN225">
        <v>0</v>
      </c>
      <c r="AO225">
        <v>0</v>
      </c>
      <c r="AP225">
        <v>0</v>
      </c>
      <c r="AQ225">
        <v>11</v>
      </c>
      <c r="AR225">
        <v>25</v>
      </c>
      <c r="AS225">
        <v>0</v>
      </c>
      <c r="AT225">
        <v>0</v>
      </c>
      <c r="AU225">
        <v>0</v>
      </c>
      <c r="AV225">
        <v>0</v>
      </c>
      <c r="AW225">
        <v>0</v>
      </c>
      <c r="AX225">
        <v>0</v>
      </c>
      <c r="AY225">
        <v>0</v>
      </c>
      <c r="AZ225">
        <v>0</v>
      </c>
      <c r="BA225">
        <v>0</v>
      </c>
      <c r="BB225">
        <v>0</v>
      </c>
      <c r="BC225">
        <v>0</v>
      </c>
      <c r="BD225">
        <v>0</v>
      </c>
      <c r="BE225">
        <v>0</v>
      </c>
      <c r="BF225">
        <v>0</v>
      </c>
      <c r="BG225">
        <v>0</v>
      </c>
      <c r="BH225">
        <v>0</v>
      </c>
      <c r="BI225">
        <v>0</v>
      </c>
      <c r="BJ225">
        <v>0</v>
      </c>
      <c r="BK225">
        <v>0</v>
      </c>
      <c r="BL225">
        <v>0</v>
      </c>
      <c r="BM225">
        <v>0</v>
      </c>
      <c r="BN225">
        <v>0</v>
      </c>
      <c r="BO225">
        <v>0</v>
      </c>
      <c r="BP225">
        <v>0</v>
      </c>
      <c r="BQ225">
        <v>0</v>
      </c>
      <c r="BR225">
        <v>0</v>
      </c>
      <c r="BS225">
        <v>0</v>
      </c>
      <c r="BT225">
        <v>0</v>
      </c>
      <c r="BU225">
        <v>0</v>
      </c>
      <c r="BV225">
        <v>0</v>
      </c>
      <c r="BW225">
        <v>0</v>
      </c>
      <c r="BX225">
        <v>0</v>
      </c>
      <c r="BY225">
        <v>0</v>
      </c>
      <c r="BZ225">
        <v>0</v>
      </c>
      <c r="CA225">
        <v>0</v>
      </c>
      <c r="CB225">
        <v>0</v>
      </c>
      <c r="CC225">
        <v>0</v>
      </c>
      <c r="CD225">
        <v>0</v>
      </c>
      <c r="CE225">
        <v>0</v>
      </c>
      <c r="CF225">
        <v>0</v>
      </c>
      <c r="CG225">
        <v>0</v>
      </c>
      <c r="CH225">
        <v>0</v>
      </c>
      <c r="CI225">
        <v>0</v>
      </c>
      <c r="CJ225">
        <v>0</v>
      </c>
      <c r="CK225">
        <v>0</v>
      </c>
      <c r="CL225">
        <v>0</v>
      </c>
      <c r="CM225">
        <v>0</v>
      </c>
      <c r="CN225">
        <v>0</v>
      </c>
      <c r="CO225">
        <v>0</v>
      </c>
      <c r="CP225">
        <v>0</v>
      </c>
      <c r="CQ225">
        <v>0</v>
      </c>
      <c r="CR225">
        <v>76</v>
      </c>
      <c r="CS225">
        <v>0</v>
      </c>
      <c r="CT225">
        <v>0</v>
      </c>
      <c r="CU225">
        <v>0</v>
      </c>
      <c r="CV225">
        <v>76</v>
      </c>
      <c r="CW225">
        <v>0</v>
      </c>
      <c r="CX225">
        <v>0</v>
      </c>
      <c r="CY225">
        <v>0</v>
      </c>
      <c r="CZ225">
        <v>0</v>
      </c>
      <c r="DA225">
        <v>0</v>
      </c>
      <c r="DB225">
        <v>0</v>
      </c>
      <c r="DC225">
        <v>1970</v>
      </c>
      <c r="DD225">
        <v>0</v>
      </c>
      <c r="DE225">
        <v>0</v>
      </c>
      <c r="DF225">
        <v>0</v>
      </c>
      <c r="DG225">
        <v>0</v>
      </c>
      <c r="DH225">
        <v>0</v>
      </c>
      <c r="DI225">
        <v>402</v>
      </c>
      <c r="DJ225">
        <v>6</v>
      </c>
      <c r="DK225">
        <v>0</v>
      </c>
      <c r="DL225">
        <v>0</v>
      </c>
      <c r="DM225">
        <v>392</v>
      </c>
      <c r="DN225">
        <v>-88</v>
      </c>
      <c r="DO225">
        <v>0</v>
      </c>
      <c r="DP225">
        <v>711</v>
      </c>
      <c r="DQ225">
        <v>194</v>
      </c>
      <c r="DR225">
        <v>0</v>
      </c>
      <c r="DS225">
        <v>0</v>
      </c>
      <c r="DT225">
        <v>2105</v>
      </c>
      <c r="DU225">
        <v>0</v>
      </c>
      <c r="DV225">
        <v>0</v>
      </c>
      <c r="DW225">
        <v>0</v>
      </c>
      <c r="DX225">
        <v>4979</v>
      </c>
      <c r="DY225">
        <v>0</v>
      </c>
      <c r="DZ225">
        <v>0</v>
      </c>
      <c r="EA225">
        <v>0</v>
      </c>
      <c r="EB225">
        <v>0</v>
      </c>
      <c r="EC225">
        <v>0</v>
      </c>
      <c r="ED225">
        <v>0</v>
      </c>
      <c r="EE225">
        <v>0</v>
      </c>
      <c r="EF225">
        <v>0</v>
      </c>
      <c r="EG225">
        <v>0</v>
      </c>
      <c r="EH225">
        <v>0</v>
      </c>
      <c r="EI225">
        <v>0</v>
      </c>
      <c r="EJ225">
        <v>0</v>
      </c>
      <c r="EK225">
        <v>0</v>
      </c>
      <c r="EL225">
        <v>0</v>
      </c>
      <c r="EM225">
        <v>0</v>
      </c>
      <c r="EN225">
        <v>0</v>
      </c>
      <c r="EO225">
        <v>0</v>
      </c>
      <c r="EP225">
        <v>0</v>
      </c>
      <c r="EQ225">
        <v>0</v>
      </c>
      <c r="ER225">
        <v>0</v>
      </c>
      <c r="ES225">
        <v>0</v>
      </c>
      <c r="ET225">
        <v>0</v>
      </c>
      <c r="EU225">
        <v>0</v>
      </c>
      <c r="EV225">
        <v>0</v>
      </c>
      <c r="EW225">
        <v>0</v>
      </c>
      <c r="EX225">
        <v>0</v>
      </c>
      <c r="EY225">
        <v>0</v>
      </c>
      <c r="EZ225">
        <v>0</v>
      </c>
      <c r="FA225">
        <v>0</v>
      </c>
      <c r="FB225">
        <v>91</v>
      </c>
      <c r="FC225">
        <v>0</v>
      </c>
      <c r="FD225">
        <v>734</v>
      </c>
      <c r="FE225">
        <v>0</v>
      </c>
      <c r="FF225">
        <v>0</v>
      </c>
      <c r="FG225">
        <v>0</v>
      </c>
      <c r="FH225">
        <v>826</v>
      </c>
      <c r="FI225">
        <v>339</v>
      </c>
      <c r="FJ225">
        <v>0</v>
      </c>
      <c r="FK225">
        <v>-1</v>
      </c>
      <c r="FL225">
        <v>-15</v>
      </c>
      <c r="FM225">
        <v>884</v>
      </c>
      <c r="FN225">
        <v>0</v>
      </c>
      <c r="FO225">
        <v>549</v>
      </c>
      <c r="FP225">
        <v>0</v>
      </c>
      <c r="FQ225">
        <v>0</v>
      </c>
      <c r="FR225">
        <v>0</v>
      </c>
      <c r="FS225">
        <v>356</v>
      </c>
      <c r="FT225">
        <v>34</v>
      </c>
      <c r="FU225">
        <v>136</v>
      </c>
      <c r="FV225">
        <v>0</v>
      </c>
      <c r="FW225">
        <v>80</v>
      </c>
      <c r="FX225">
        <v>167</v>
      </c>
      <c r="FY225">
        <v>53</v>
      </c>
      <c r="FZ225">
        <v>0</v>
      </c>
      <c r="GA225">
        <v>136</v>
      </c>
      <c r="GB225">
        <v>0</v>
      </c>
      <c r="GC225">
        <v>0</v>
      </c>
      <c r="GD225">
        <v>807</v>
      </c>
      <c r="GE225">
        <v>3349</v>
      </c>
      <c r="GF225">
        <v>0</v>
      </c>
      <c r="GG225">
        <v>0</v>
      </c>
      <c r="GH225">
        <v>-245</v>
      </c>
      <c r="GI225">
        <v>0</v>
      </c>
      <c r="GJ225">
        <v>93</v>
      </c>
      <c r="GK225">
        <v>6722</v>
      </c>
      <c r="GL225">
        <v>39</v>
      </c>
      <c r="GM225">
        <v>1954</v>
      </c>
      <c r="GN225">
        <v>0</v>
      </c>
      <c r="GO225">
        <v>677</v>
      </c>
      <c r="GP225">
        <v>215</v>
      </c>
      <c r="GQ225">
        <v>214</v>
      </c>
      <c r="GR225">
        <v>0</v>
      </c>
      <c r="GS225">
        <v>495</v>
      </c>
      <c r="GT225">
        <v>164</v>
      </c>
      <c r="GU225">
        <v>3759</v>
      </c>
      <c r="GV225">
        <v>11306</v>
      </c>
      <c r="GW225">
        <v>0</v>
      </c>
      <c r="GX225">
        <v>0</v>
      </c>
      <c r="GY225">
        <v>0</v>
      </c>
      <c r="GZ225">
        <v>0</v>
      </c>
      <c r="HA225">
        <v>0</v>
      </c>
      <c r="HB225">
        <v>2502</v>
      </c>
      <c r="HC225">
        <v>535</v>
      </c>
      <c r="HD225">
        <v>0</v>
      </c>
      <c r="HE225">
        <v>0</v>
      </c>
      <c r="HF225">
        <v>19</v>
      </c>
      <c r="HG225">
        <v>153</v>
      </c>
      <c r="HH225">
        <v>0</v>
      </c>
      <c r="HI225">
        <v>0</v>
      </c>
      <c r="HJ225">
        <v>450</v>
      </c>
      <c r="HK225">
        <v>20</v>
      </c>
      <c r="HL225">
        <v>61</v>
      </c>
      <c r="HM225">
        <v>18</v>
      </c>
      <c r="HN225">
        <v>0</v>
      </c>
      <c r="HO225">
        <v>0</v>
      </c>
      <c r="HP225">
        <v>0</v>
      </c>
      <c r="HQ225">
        <v>0</v>
      </c>
      <c r="HR225">
        <v>153</v>
      </c>
      <c r="HS225">
        <v>0</v>
      </c>
      <c r="HT225">
        <v>0</v>
      </c>
      <c r="HU225">
        <v>0</v>
      </c>
      <c r="HV225">
        <v>3911</v>
      </c>
      <c r="HW225">
        <v>1702</v>
      </c>
      <c r="HX225">
        <v>5320</v>
      </c>
      <c r="HY225">
        <v>0</v>
      </c>
      <c r="HZ225">
        <v>0</v>
      </c>
      <c r="IA225">
        <v>0</v>
      </c>
      <c r="IB225">
        <v>162</v>
      </c>
      <c r="IC225">
        <v>0</v>
      </c>
      <c r="ID225">
        <v>-1066</v>
      </c>
      <c r="IE225">
        <v>0</v>
      </c>
      <c r="IF225">
        <v>0</v>
      </c>
      <c r="IG225">
        <v>76</v>
      </c>
      <c r="IH225">
        <v>4979</v>
      </c>
      <c r="II225">
        <v>826</v>
      </c>
      <c r="IJ225">
        <v>6722</v>
      </c>
      <c r="IK225">
        <v>3759</v>
      </c>
      <c r="IL225">
        <v>0</v>
      </c>
      <c r="IM225">
        <v>0</v>
      </c>
      <c r="IN225">
        <v>3911</v>
      </c>
      <c r="IO225">
        <v>162</v>
      </c>
      <c r="IP225">
        <v>19369</v>
      </c>
      <c r="IQ225">
        <v>17637</v>
      </c>
      <c r="IR225">
        <v>0</v>
      </c>
      <c r="IS225">
        <v>0</v>
      </c>
      <c r="IT225">
        <v>0</v>
      </c>
      <c r="IU225">
        <v>0</v>
      </c>
      <c r="IV225">
        <v>4793</v>
      </c>
      <c r="IW225">
        <v>0</v>
      </c>
      <c r="IX225">
        <v>0</v>
      </c>
      <c r="IY225">
        <v>0</v>
      </c>
      <c r="IZ225">
        <v>76</v>
      </c>
      <c r="JA225">
        <v>0</v>
      </c>
      <c r="JB225">
        <v>0</v>
      </c>
      <c r="JC225">
        <v>0</v>
      </c>
      <c r="JD225">
        <v>0</v>
      </c>
      <c r="JE225">
        <v>12</v>
      </c>
      <c r="JF225">
        <v>0</v>
      </c>
      <c r="JG225">
        <v>41887</v>
      </c>
      <c r="JH225">
        <v>0</v>
      </c>
      <c r="JI225">
        <v>25</v>
      </c>
      <c r="JJ225">
        <v>0</v>
      </c>
      <c r="JK225">
        <v>0</v>
      </c>
      <c r="JL225">
        <v>0</v>
      </c>
      <c r="JM225">
        <v>143</v>
      </c>
      <c r="JN225">
        <v>333</v>
      </c>
      <c r="JO225">
        <v>0</v>
      </c>
      <c r="JP225">
        <v>1319</v>
      </c>
      <c r="JQ225">
        <v>0</v>
      </c>
      <c r="JR225">
        <v>43707</v>
      </c>
      <c r="JS225">
        <v>-3393</v>
      </c>
      <c r="JT225">
        <v>0</v>
      </c>
      <c r="JU225">
        <v>0</v>
      </c>
      <c r="JV225">
        <v>0</v>
      </c>
      <c r="JW225">
        <v>-18000</v>
      </c>
      <c r="JX225">
        <v>0</v>
      </c>
      <c r="JY225">
        <v>0</v>
      </c>
      <c r="JZ225">
        <v>0</v>
      </c>
      <c r="KA225">
        <v>0</v>
      </c>
      <c r="KB225">
        <v>0</v>
      </c>
      <c r="KC225">
        <v>22315</v>
      </c>
      <c r="KD225">
        <v>0</v>
      </c>
      <c r="KE225">
        <v>-3214</v>
      </c>
      <c r="KF225">
        <v>19101</v>
      </c>
      <c r="KG225">
        <v>0</v>
      </c>
      <c r="KH225">
        <v>0</v>
      </c>
      <c r="KI225">
        <v>0</v>
      </c>
      <c r="KJ225">
        <v>0</v>
      </c>
      <c r="KK225">
        <v>-556</v>
      </c>
      <c r="KL225">
        <v>720</v>
      </c>
      <c r="KM225">
        <v>0</v>
      </c>
      <c r="KN225">
        <v>0</v>
      </c>
      <c r="KO225">
        <v>-4927</v>
      </c>
      <c r="KP225">
        <v>3098</v>
      </c>
      <c r="KQ225">
        <v>0</v>
      </c>
      <c r="KR225">
        <v>11964</v>
      </c>
      <c r="KS225">
        <v>0</v>
      </c>
      <c r="KT225">
        <v>0</v>
      </c>
      <c r="KU225">
        <v>0</v>
      </c>
      <c r="KV225">
        <v>20208</v>
      </c>
      <c r="KW225">
        <v>1684</v>
      </c>
      <c r="KX225">
        <v>0</v>
      </c>
      <c r="KY225">
        <v>0</v>
      </c>
      <c r="KZ225">
        <v>0</v>
      </c>
      <c r="LA225">
        <v>19652</v>
      </c>
      <c r="LB225">
        <v>2404</v>
      </c>
      <c r="LC225">
        <v>0</v>
      </c>
      <c r="LD225">
        <v>635</v>
      </c>
      <c r="LE225">
        <v>-527</v>
      </c>
      <c r="LF225">
        <v>0</v>
      </c>
      <c r="LG225">
        <v>0</v>
      </c>
      <c r="LH225">
        <v>1253</v>
      </c>
      <c r="LI225">
        <v>1361</v>
      </c>
      <c r="LJ225">
        <v>2998</v>
      </c>
      <c r="LK225">
        <v>3262</v>
      </c>
      <c r="LL225">
        <v>6260</v>
      </c>
      <c r="LM225">
        <v>0</v>
      </c>
      <c r="LN225">
        <v>0</v>
      </c>
      <c r="LO225">
        <v>0</v>
      </c>
      <c r="LP225">
        <v>0</v>
      </c>
      <c r="LQ225">
        <v>0</v>
      </c>
      <c r="LR225">
        <v>0</v>
      </c>
      <c r="LS225">
        <v>0</v>
      </c>
      <c r="LT225">
        <v>0</v>
      </c>
      <c r="LU225">
        <v>0</v>
      </c>
      <c r="LV225">
        <v>-1066</v>
      </c>
      <c r="LW225">
        <v>0</v>
      </c>
      <c r="LX225">
        <v>0</v>
      </c>
      <c r="LY225">
        <v>76</v>
      </c>
      <c r="LZ225">
        <v>4979</v>
      </c>
      <c r="MA225">
        <v>826</v>
      </c>
      <c r="MB225">
        <v>6722</v>
      </c>
      <c r="MC225">
        <v>3759</v>
      </c>
      <c r="MD225">
        <v>0</v>
      </c>
      <c r="ME225">
        <v>0</v>
      </c>
      <c r="MF225">
        <v>3911</v>
      </c>
      <c r="MG225">
        <v>162</v>
      </c>
      <c r="MH225">
        <v>19369</v>
      </c>
      <c r="MI225">
        <v>0</v>
      </c>
      <c r="MJ225">
        <v>0</v>
      </c>
      <c r="MK225">
        <v>0</v>
      </c>
      <c r="ML225">
        <v>0</v>
      </c>
      <c r="MM225">
        <v>0</v>
      </c>
      <c r="MN225">
        <v>0</v>
      </c>
      <c r="MO225">
        <v>0</v>
      </c>
      <c r="MP225">
        <v>0</v>
      </c>
      <c r="MQ225">
        <v>0</v>
      </c>
      <c r="MR225">
        <v>0</v>
      </c>
      <c r="MS225">
        <v>0</v>
      </c>
      <c r="MT225">
        <v>0</v>
      </c>
      <c r="MU225">
        <v>0</v>
      </c>
      <c r="MV225">
        <v>0</v>
      </c>
      <c r="MW225">
        <v>0</v>
      </c>
      <c r="MX225">
        <v>0</v>
      </c>
      <c r="MY225">
        <v>0</v>
      </c>
      <c r="MZ225">
        <v>0</v>
      </c>
      <c r="NA225">
        <v>0</v>
      </c>
      <c r="NB225">
        <v>0</v>
      </c>
      <c r="NC225">
        <v>0</v>
      </c>
      <c r="ND225">
        <v>0</v>
      </c>
      <c r="NE225">
        <v>0</v>
      </c>
      <c r="NF225">
        <v>0</v>
      </c>
      <c r="NG225">
        <v>0</v>
      </c>
      <c r="NH225">
        <v>0</v>
      </c>
      <c r="NI225">
        <v>0</v>
      </c>
      <c r="NJ225">
        <v>0</v>
      </c>
      <c r="NK225">
        <v>0</v>
      </c>
      <c r="NL225">
        <v>0</v>
      </c>
      <c r="NM225">
        <v>0</v>
      </c>
      <c r="NN225">
        <v>0</v>
      </c>
      <c r="NO225">
        <v>0</v>
      </c>
      <c r="NP225">
        <v>0</v>
      </c>
      <c r="NQ225">
        <v>0</v>
      </c>
      <c r="NR225">
        <v>0</v>
      </c>
      <c r="NS225">
        <v>0</v>
      </c>
      <c r="NT225">
        <v>0</v>
      </c>
      <c r="NU225">
        <v>0</v>
      </c>
      <c r="NV225">
        <v>0</v>
      </c>
      <c r="NW225">
        <v>0</v>
      </c>
      <c r="NX225">
        <v>0</v>
      </c>
      <c r="NY225">
        <v>0</v>
      </c>
      <c r="NZ225">
        <v>0</v>
      </c>
      <c r="OA225">
        <v>0</v>
      </c>
      <c r="OB225">
        <v>0</v>
      </c>
      <c r="OC225">
        <v>0</v>
      </c>
      <c r="OD225">
        <v>0</v>
      </c>
      <c r="OE225">
        <v>0</v>
      </c>
      <c r="OF225">
        <v>0</v>
      </c>
      <c r="OG225">
        <v>0</v>
      </c>
      <c r="OH225">
        <v>0</v>
      </c>
      <c r="OI225">
        <v>0</v>
      </c>
      <c r="OJ225">
        <v>0</v>
      </c>
      <c r="OK225">
        <v>0</v>
      </c>
      <c r="OL225">
        <v>0</v>
      </c>
      <c r="OM225">
        <v>0</v>
      </c>
      <c r="ON225">
        <v>0</v>
      </c>
    </row>
    <row r="226" spans="1:404" x14ac:dyDescent="0.25">
      <c r="A226" t="s">
        <v>746</v>
      </c>
      <c r="B226" t="s">
        <v>747</v>
      </c>
      <c r="C226" t="s">
        <v>5436</v>
      </c>
      <c r="E226" t="s">
        <v>5408</v>
      </c>
      <c r="F226">
        <v>0</v>
      </c>
      <c r="G226">
        <v>0</v>
      </c>
      <c r="H226">
        <v>0</v>
      </c>
      <c r="I226">
        <v>0</v>
      </c>
      <c r="J226">
        <v>0</v>
      </c>
      <c r="K226">
        <v>0</v>
      </c>
      <c r="L226">
        <v>0</v>
      </c>
      <c r="M226">
        <v>0</v>
      </c>
      <c r="N226">
        <v>0</v>
      </c>
      <c r="O226">
        <v>0</v>
      </c>
      <c r="P226">
        <v>0</v>
      </c>
      <c r="Q226">
        <v>0</v>
      </c>
      <c r="R226">
        <v>0</v>
      </c>
      <c r="S226">
        <v>0</v>
      </c>
      <c r="T226">
        <v>0</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0</v>
      </c>
      <c r="AV226">
        <v>0</v>
      </c>
      <c r="AW226">
        <v>0</v>
      </c>
      <c r="AX226">
        <v>0</v>
      </c>
      <c r="AY226">
        <v>0</v>
      </c>
      <c r="AZ226">
        <v>0</v>
      </c>
      <c r="BA226">
        <v>0</v>
      </c>
      <c r="BB226">
        <v>0</v>
      </c>
      <c r="BC226">
        <v>0</v>
      </c>
      <c r="BD226">
        <v>0</v>
      </c>
      <c r="BE226">
        <v>0</v>
      </c>
      <c r="BF226">
        <v>0</v>
      </c>
      <c r="BG226">
        <v>0</v>
      </c>
      <c r="BH226">
        <v>0</v>
      </c>
      <c r="BI226">
        <v>0</v>
      </c>
      <c r="BJ226">
        <v>0</v>
      </c>
      <c r="BK226">
        <v>0</v>
      </c>
      <c r="BL226">
        <v>0</v>
      </c>
      <c r="BM226">
        <v>0</v>
      </c>
      <c r="BN226">
        <v>0</v>
      </c>
      <c r="BO226">
        <v>0</v>
      </c>
      <c r="BP226">
        <v>0</v>
      </c>
      <c r="BQ226">
        <v>0</v>
      </c>
      <c r="BR226">
        <v>0</v>
      </c>
      <c r="BS226">
        <v>0</v>
      </c>
      <c r="BT226">
        <v>0</v>
      </c>
      <c r="BU226">
        <v>0</v>
      </c>
      <c r="BV226">
        <v>0</v>
      </c>
      <c r="BW226">
        <v>0</v>
      </c>
      <c r="BX226">
        <v>0</v>
      </c>
      <c r="BY226">
        <v>0</v>
      </c>
      <c r="BZ226">
        <v>0</v>
      </c>
      <c r="CA226">
        <v>0</v>
      </c>
      <c r="CB226">
        <v>0</v>
      </c>
      <c r="CC226">
        <v>0</v>
      </c>
      <c r="CD226">
        <v>0</v>
      </c>
      <c r="CE226">
        <v>0</v>
      </c>
      <c r="CF226">
        <v>0</v>
      </c>
      <c r="CG226">
        <v>0</v>
      </c>
      <c r="CH226">
        <v>0</v>
      </c>
      <c r="CI226">
        <v>0</v>
      </c>
      <c r="CJ226">
        <v>0</v>
      </c>
      <c r="CK226">
        <v>0</v>
      </c>
      <c r="CL226">
        <v>0</v>
      </c>
      <c r="CM226">
        <v>0</v>
      </c>
      <c r="CN226">
        <v>0</v>
      </c>
      <c r="CO226">
        <v>0</v>
      </c>
      <c r="CP226">
        <v>0</v>
      </c>
      <c r="CQ226">
        <v>0</v>
      </c>
      <c r="CR226">
        <v>0</v>
      </c>
      <c r="CS226">
        <v>0</v>
      </c>
      <c r="CT226">
        <v>0</v>
      </c>
      <c r="CU226">
        <v>0</v>
      </c>
      <c r="CV226">
        <v>0</v>
      </c>
      <c r="CW226">
        <v>0</v>
      </c>
      <c r="CX226">
        <v>0</v>
      </c>
      <c r="CY226">
        <v>0</v>
      </c>
      <c r="CZ226">
        <v>0</v>
      </c>
      <c r="DA226">
        <v>0</v>
      </c>
      <c r="DB226">
        <v>0</v>
      </c>
      <c r="DC226">
        <v>0</v>
      </c>
      <c r="DD226">
        <v>0</v>
      </c>
      <c r="DE226">
        <v>0</v>
      </c>
      <c r="DF226">
        <v>0</v>
      </c>
      <c r="DG226">
        <v>0</v>
      </c>
      <c r="DH226">
        <v>0</v>
      </c>
      <c r="DI226">
        <v>0</v>
      </c>
      <c r="DJ226">
        <v>0</v>
      </c>
      <c r="DK226">
        <v>0</v>
      </c>
      <c r="DL226">
        <v>0</v>
      </c>
      <c r="DM226">
        <v>0</v>
      </c>
      <c r="DN226">
        <v>0</v>
      </c>
      <c r="DO226">
        <v>0</v>
      </c>
      <c r="DP226">
        <v>0</v>
      </c>
      <c r="DQ226">
        <v>0</v>
      </c>
      <c r="DR226">
        <v>0</v>
      </c>
      <c r="DS226">
        <v>0</v>
      </c>
      <c r="DT226">
        <v>0</v>
      </c>
      <c r="DU226">
        <v>0</v>
      </c>
      <c r="DV226">
        <v>0</v>
      </c>
      <c r="DW226">
        <v>0</v>
      </c>
      <c r="DX226">
        <v>0</v>
      </c>
      <c r="DY226">
        <v>0</v>
      </c>
      <c r="DZ226">
        <v>0</v>
      </c>
      <c r="EA226">
        <v>0</v>
      </c>
      <c r="EB226">
        <v>0</v>
      </c>
      <c r="EC226">
        <v>0</v>
      </c>
      <c r="ED226">
        <v>0</v>
      </c>
      <c r="EE226">
        <v>0</v>
      </c>
      <c r="EF226">
        <v>0</v>
      </c>
      <c r="EG226">
        <v>0</v>
      </c>
      <c r="EH226">
        <v>0</v>
      </c>
      <c r="EI226">
        <v>0</v>
      </c>
      <c r="EJ226">
        <v>0</v>
      </c>
      <c r="EK226">
        <v>0</v>
      </c>
      <c r="EL226">
        <v>0</v>
      </c>
      <c r="EM226">
        <v>0</v>
      </c>
      <c r="EN226">
        <v>0</v>
      </c>
      <c r="EO226">
        <v>0</v>
      </c>
      <c r="EP226">
        <v>0</v>
      </c>
      <c r="EQ226">
        <v>0</v>
      </c>
      <c r="ER226">
        <v>0</v>
      </c>
      <c r="ES226">
        <v>0</v>
      </c>
      <c r="ET226">
        <v>0</v>
      </c>
      <c r="EU226">
        <v>0</v>
      </c>
      <c r="EV226">
        <v>0</v>
      </c>
      <c r="EW226">
        <v>0</v>
      </c>
      <c r="EX226">
        <v>0</v>
      </c>
      <c r="EY226">
        <v>0</v>
      </c>
      <c r="EZ226">
        <v>0</v>
      </c>
      <c r="FA226">
        <v>0</v>
      </c>
      <c r="FB226">
        <v>0</v>
      </c>
      <c r="FC226">
        <v>0</v>
      </c>
      <c r="FD226">
        <v>0</v>
      </c>
      <c r="FE226">
        <v>0</v>
      </c>
      <c r="FF226">
        <v>0</v>
      </c>
      <c r="FG226">
        <v>0</v>
      </c>
      <c r="FH226">
        <v>0</v>
      </c>
      <c r="FI226">
        <v>0</v>
      </c>
      <c r="FJ226">
        <v>0</v>
      </c>
      <c r="FK226">
        <v>0</v>
      </c>
      <c r="FL226">
        <v>0</v>
      </c>
      <c r="FM226">
        <v>0</v>
      </c>
      <c r="FN226">
        <v>0</v>
      </c>
      <c r="FO226">
        <v>0</v>
      </c>
      <c r="FP226">
        <v>0</v>
      </c>
      <c r="FQ226">
        <v>0</v>
      </c>
      <c r="FR226">
        <v>0</v>
      </c>
      <c r="FS226">
        <v>0</v>
      </c>
      <c r="FT226">
        <v>0</v>
      </c>
      <c r="FU226">
        <v>0</v>
      </c>
      <c r="FV226">
        <v>0</v>
      </c>
      <c r="FW226">
        <v>0</v>
      </c>
      <c r="FX226">
        <v>0</v>
      </c>
      <c r="FY226">
        <v>0</v>
      </c>
      <c r="FZ226">
        <v>0</v>
      </c>
      <c r="GA226">
        <v>0</v>
      </c>
      <c r="GB226">
        <v>0</v>
      </c>
      <c r="GC226">
        <v>0</v>
      </c>
      <c r="GD226">
        <v>0</v>
      </c>
      <c r="GE226">
        <v>0</v>
      </c>
      <c r="GF226">
        <v>0</v>
      </c>
      <c r="GG226">
        <v>0</v>
      </c>
      <c r="GH226">
        <v>0</v>
      </c>
      <c r="GI226">
        <v>0</v>
      </c>
      <c r="GJ226">
        <v>0</v>
      </c>
      <c r="GK226">
        <v>0</v>
      </c>
      <c r="GL226">
        <v>0</v>
      </c>
      <c r="GM226">
        <v>0</v>
      </c>
      <c r="GN226">
        <v>0</v>
      </c>
      <c r="GO226">
        <v>0</v>
      </c>
      <c r="GP226">
        <v>0</v>
      </c>
      <c r="GQ226">
        <v>0</v>
      </c>
      <c r="GR226">
        <v>0</v>
      </c>
      <c r="GS226">
        <v>0</v>
      </c>
      <c r="GT226">
        <v>0</v>
      </c>
      <c r="GU226">
        <v>0</v>
      </c>
      <c r="GV226">
        <v>0</v>
      </c>
      <c r="GW226">
        <v>0</v>
      </c>
      <c r="GX226">
        <v>7126</v>
      </c>
      <c r="GY226">
        <v>43753</v>
      </c>
      <c r="GZ226">
        <v>0</v>
      </c>
      <c r="HA226">
        <v>50879</v>
      </c>
      <c r="HB226">
        <v>478</v>
      </c>
      <c r="HC226">
        <v>0</v>
      </c>
      <c r="HD226">
        <v>0</v>
      </c>
      <c r="HE226">
        <v>0</v>
      </c>
      <c r="HF226">
        <v>0</v>
      </c>
      <c r="HG226">
        <v>0</v>
      </c>
      <c r="HH226">
        <v>0</v>
      </c>
      <c r="HI226">
        <v>0</v>
      </c>
      <c r="HJ226">
        <v>0</v>
      </c>
      <c r="HK226">
        <v>0</v>
      </c>
      <c r="HL226">
        <v>0</v>
      </c>
      <c r="HM226">
        <v>0</v>
      </c>
      <c r="HN226">
        <v>0</v>
      </c>
      <c r="HO226">
        <v>0</v>
      </c>
      <c r="HP226">
        <v>0</v>
      </c>
      <c r="HQ226">
        <v>0</v>
      </c>
      <c r="HR226">
        <v>0</v>
      </c>
      <c r="HS226">
        <v>0</v>
      </c>
      <c r="HT226">
        <v>0</v>
      </c>
      <c r="HU226">
        <v>0</v>
      </c>
      <c r="HV226">
        <v>478</v>
      </c>
      <c r="HW226">
        <v>0</v>
      </c>
      <c r="HX226">
        <v>0</v>
      </c>
      <c r="HY226">
        <v>0</v>
      </c>
      <c r="HZ226">
        <v>0</v>
      </c>
      <c r="IA226">
        <v>0</v>
      </c>
      <c r="IB226">
        <v>0</v>
      </c>
      <c r="IC226">
        <v>0</v>
      </c>
      <c r="ID226">
        <v>0</v>
      </c>
      <c r="IE226">
        <v>0</v>
      </c>
      <c r="IF226">
        <v>0</v>
      </c>
      <c r="IG226">
        <v>0</v>
      </c>
      <c r="IH226">
        <v>0</v>
      </c>
      <c r="II226">
        <v>0</v>
      </c>
      <c r="IJ226">
        <v>0</v>
      </c>
      <c r="IK226">
        <v>0</v>
      </c>
      <c r="IL226">
        <v>0</v>
      </c>
      <c r="IM226">
        <v>50879</v>
      </c>
      <c r="IN226">
        <v>478</v>
      </c>
      <c r="IO226">
        <v>0</v>
      </c>
      <c r="IP226">
        <v>51357</v>
      </c>
      <c r="IQ226">
        <v>0</v>
      </c>
      <c r="IR226">
        <v>0</v>
      </c>
      <c r="IS226">
        <v>0</v>
      </c>
      <c r="IT226">
        <v>0</v>
      </c>
      <c r="IU226">
        <v>0</v>
      </c>
      <c r="IV226">
        <v>0</v>
      </c>
      <c r="IW226">
        <v>0</v>
      </c>
      <c r="IX226">
        <v>0</v>
      </c>
      <c r="IY226">
        <v>0</v>
      </c>
      <c r="IZ226">
        <v>0</v>
      </c>
      <c r="JA226">
        <v>0</v>
      </c>
      <c r="JB226">
        <v>0</v>
      </c>
      <c r="JC226">
        <v>0</v>
      </c>
      <c r="JD226">
        <v>0</v>
      </c>
      <c r="JE226">
        <v>70</v>
      </c>
      <c r="JF226">
        <v>0</v>
      </c>
      <c r="JG226">
        <v>51427</v>
      </c>
      <c r="JH226">
        <v>0</v>
      </c>
      <c r="JI226">
        <v>2140</v>
      </c>
      <c r="JJ226">
        <v>0</v>
      </c>
      <c r="JK226">
        <v>0</v>
      </c>
      <c r="JL226">
        <v>0</v>
      </c>
      <c r="JM226">
        <v>0</v>
      </c>
      <c r="JN226">
        <v>2344</v>
      </c>
      <c r="JO226">
        <v>0</v>
      </c>
      <c r="JP226">
        <v>3133</v>
      </c>
      <c r="JQ226">
        <v>0</v>
      </c>
      <c r="JR226">
        <v>59044</v>
      </c>
      <c r="JS226">
        <v>-70</v>
      </c>
      <c r="JT226">
        <v>0</v>
      </c>
      <c r="JU226">
        <v>332</v>
      </c>
      <c r="JV226">
        <v>0</v>
      </c>
      <c r="JW226">
        <v>0</v>
      </c>
      <c r="JX226">
        <v>0</v>
      </c>
      <c r="JY226">
        <v>0</v>
      </c>
      <c r="JZ226">
        <v>0</v>
      </c>
      <c r="KA226">
        <v>0</v>
      </c>
      <c r="KB226">
        <v>0</v>
      </c>
      <c r="KC226">
        <v>59306</v>
      </c>
      <c r="KD226">
        <v>0</v>
      </c>
      <c r="KE226">
        <v>-3219</v>
      </c>
      <c r="KF226">
        <v>56087</v>
      </c>
      <c r="KG226">
        <v>0</v>
      </c>
      <c r="KH226">
        <v>0</v>
      </c>
      <c r="KI226">
        <v>0</v>
      </c>
      <c r="KJ226">
        <v>0</v>
      </c>
      <c r="KK226">
        <v>4417</v>
      </c>
      <c r="KL226">
        <v>0</v>
      </c>
      <c r="KM226">
        <v>-11241</v>
      </c>
      <c r="KN226">
        <v>0</v>
      </c>
      <c r="KO226">
        <v>-20251</v>
      </c>
      <c r="KP226">
        <v>476</v>
      </c>
      <c r="KQ226">
        <v>2360</v>
      </c>
      <c r="KR226">
        <v>30594</v>
      </c>
      <c r="KS226">
        <v>0</v>
      </c>
      <c r="KT226">
        <v>0</v>
      </c>
      <c r="KU226">
        <v>0</v>
      </c>
      <c r="KV226">
        <v>26082</v>
      </c>
      <c r="KW226">
        <v>3000</v>
      </c>
      <c r="KX226">
        <v>0</v>
      </c>
      <c r="KY226">
        <v>0</v>
      </c>
      <c r="KZ226">
        <v>0</v>
      </c>
      <c r="LA226">
        <v>30499</v>
      </c>
      <c r="LB226">
        <v>3000</v>
      </c>
      <c r="LC226">
        <v>0</v>
      </c>
      <c r="LD226">
        <v>4579</v>
      </c>
      <c r="LE226">
        <v>73</v>
      </c>
      <c r="LF226">
        <v>-2383</v>
      </c>
      <c r="LG226">
        <v>-2024</v>
      </c>
      <c r="LH226">
        <v>2679</v>
      </c>
      <c r="LI226">
        <v>2924</v>
      </c>
      <c r="LJ226">
        <v>0</v>
      </c>
      <c r="LK226">
        <v>0</v>
      </c>
      <c r="LL226">
        <v>0</v>
      </c>
      <c r="LM226">
        <v>0</v>
      </c>
      <c r="LN226">
        <v>0</v>
      </c>
      <c r="LO226">
        <v>0</v>
      </c>
      <c r="LP226">
        <v>0</v>
      </c>
      <c r="LQ226">
        <v>0</v>
      </c>
      <c r="LR226">
        <v>0</v>
      </c>
      <c r="LS226">
        <v>0</v>
      </c>
      <c r="LT226">
        <v>0</v>
      </c>
      <c r="LU226">
        <v>0</v>
      </c>
      <c r="LV226">
        <v>0</v>
      </c>
      <c r="LW226">
        <v>0</v>
      </c>
      <c r="LX226">
        <v>0</v>
      </c>
      <c r="LY226">
        <v>0</v>
      </c>
      <c r="LZ226">
        <v>0</v>
      </c>
      <c r="MA226">
        <v>0</v>
      </c>
      <c r="MB226">
        <v>0</v>
      </c>
      <c r="MC226">
        <v>0</v>
      </c>
      <c r="MD226">
        <v>0</v>
      </c>
      <c r="ME226">
        <v>50879</v>
      </c>
      <c r="MF226">
        <v>478</v>
      </c>
      <c r="MG226">
        <v>0</v>
      </c>
      <c r="MH226">
        <v>51357</v>
      </c>
      <c r="MI226">
        <v>0</v>
      </c>
      <c r="MJ226">
        <v>0</v>
      </c>
      <c r="MK226">
        <v>0</v>
      </c>
      <c r="ML226">
        <v>0</v>
      </c>
      <c r="MM226">
        <v>0</v>
      </c>
      <c r="MN226">
        <v>0</v>
      </c>
      <c r="MO226">
        <v>0</v>
      </c>
      <c r="MP226">
        <v>0</v>
      </c>
      <c r="MQ226">
        <v>0</v>
      </c>
      <c r="MR226">
        <v>0</v>
      </c>
      <c r="MS226">
        <v>0</v>
      </c>
      <c r="MT226">
        <v>0</v>
      </c>
      <c r="MU226">
        <v>0</v>
      </c>
      <c r="MV226">
        <v>0</v>
      </c>
      <c r="MW226">
        <v>0</v>
      </c>
      <c r="MX226">
        <v>0</v>
      </c>
      <c r="MY226">
        <v>0</v>
      </c>
      <c r="MZ226">
        <v>0</v>
      </c>
      <c r="NA226">
        <v>0</v>
      </c>
      <c r="NB226">
        <v>0</v>
      </c>
      <c r="NC226">
        <v>0</v>
      </c>
      <c r="ND226">
        <v>0</v>
      </c>
      <c r="NE226">
        <v>0</v>
      </c>
      <c r="NF226">
        <v>0</v>
      </c>
      <c r="NG226">
        <v>0</v>
      </c>
      <c r="NH226">
        <v>0</v>
      </c>
      <c r="NI226">
        <v>0</v>
      </c>
      <c r="NJ226">
        <v>0</v>
      </c>
      <c r="NK226">
        <v>0</v>
      </c>
      <c r="NL226">
        <v>0</v>
      </c>
      <c r="NM226">
        <v>0</v>
      </c>
      <c r="NN226">
        <v>0</v>
      </c>
      <c r="NO226">
        <v>0</v>
      </c>
      <c r="NP226">
        <v>0</v>
      </c>
      <c r="NQ226">
        <v>0</v>
      </c>
      <c r="NR226">
        <v>0</v>
      </c>
      <c r="NS226">
        <v>0</v>
      </c>
      <c r="NT226">
        <v>0</v>
      </c>
      <c r="NU226">
        <v>0</v>
      </c>
      <c r="NV226">
        <v>0</v>
      </c>
      <c r="NW226">
        <v>0</v>
      </c>
      <c r="NX226">
        <v>0</v>
      </c>
      <c r="NY226">
        <v>0</v>
      </c>
      <c r="NZ226">
        <v>0</v>
      </c>
      <c r="OA226">
        <v>0</v>
      </c>
      <c r="OB226">
        <v>0</v>
      </c>
      <c r="OC226">
        <v>0</v>
      </c>
      <c r="OD226">
        <v>0</v>
      </c>
      <c r="OE226">
        <v>0</v>
      </c>
      <c r="OF226">
        <v>0</v>
      </c>
      <c r="OG226">
        <v>0</v>
      </c>
      <c r="OH226">
        <v>0</v>
      </c>
      <c r="OI226">
        <v>0</v>
      </c>
      <c r="OJ226">
        <v>0</v>
      </c>
      <c r="OK226">
        <v>0</v>
      </c>
      <c r="OL226">
        <v>0</v>
      </c>
      <c r="OM226">
        <v>0</v>
      </c>
      <c r="ON226">
        <v>0</v>
      </c>
    </row>
    <row r="227" spans="1:404" x14ac:dyDescent="0.25">
      <c r="A227" t="s">
        <v>749</v>
      </c>
      <c r="B227" t="s">
        <v>750</v>
      </c>
      <c r="C227" t="s">
        <v>748</v>
      </c>
      <c r="E227" t="s">
        <v>71</v>
      </c>
      <c r="F227">
        <v>0</v>
      </c>
      <c r="G227">
        <v>0</v>
      </c>
      <c r="H227">
        <v>0</v>
      </c>
      <c r="I227">
        <v>0</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c r="BD227">
        <v>0</v>
      </c>
      <c r="BE227">
        <v>0</v>
      </c>
      <c r="BF227">
        <v>0</v>
      </c>
      <c r="BG227">
        <v>0</v>
      </c>
      <c r="BH227">
        <v>0</v>
      </c>
      <c r="BI227">
        <v>0</v>
      </c>
      <c r="BJ227">
        <v>0</v>
      </c>
      <c r="BK227">
        <v>0</v>
      </c>
      <c r="BL227">
        <v>0</v>
      </c>
      <c r="BM227">
        <v>0</v>
      </c>
      <c r="BN227">
        <v>0</v>
      </c>
      <c r="BO227">
        <v>0</v>
      </c>
      <c r="BP227">
        <v>0</v>
      </c>
      <c r="BQ227">
        <v>0</v>
      </c>
      <c r="BR227">
        <v>0</v>
      </c>
      <c r="BS227">
        <v>0</v>
      </c>
      <c r="BT227">
        <v>0</v>
      </c>
      <c r="BU227">
        <v>0</v>
      </c>
      <c r="BV227">
        <v>0</v>
      </c>
      <c r="BW227">
        <v>0</v>
      </c>
      <c r="BX227">
        <v>0</v>
      </c>
      <c r="BY227">
        <v>0</v>
      </c>
      <c r="BZ227">
        <v>0</v>
      </c>
      <c r="CA227">
        <v>0</v>
      </c>
      <c r="CB227">
        <v>0</v>
      </c>
      <c r="CC227">
        <v>0</v>
      </c>
      <c r="CD227">
        <v>0</v>
      </c>
      <c r="CE227">
        <v>0</v>
      </c>
      <c r="CF227">
        <v>0</v>
      </c>
      <c r="CG227">
        <v>0</v>
      </c>
      <c r="CH227">
        <v>0</v>
      </c>
      <c r="CI227">
        <v>0</v>
      </c>
      <c r="CJ227">
        <v>0</v>
      </c>
      <c r="CK227">
        <v>0</v>
      </c>
      <c r="CL227">
        <v>0</v>
      </c>
      <c r="CM227">
        <v>0</v>
      </c>
      <c r="CN227">
        <v>0</v>
      </c>
      <c r="CO227">
        <v>0</v>
      </c>
      <c r="CP227">
        <v>0</v>
      </c>
      <c r="CQ227">
        <v>0</v>
      </c>
      <c r="CR227">
        <v>0</v>
      </c>
      <c r="CS227">
        <v>0</v>
      </c>
      <c r="CT227">
        <v>0</v>
      </c>
      <c r="CU227">
        <v>0</v>
      </c>
      <c r="CV227">
        <v>0</v>
      </c>
      <c r="CW227">
        <v>0</v>
      </c>
      <c r="CX227">
        <v>0</v>
      </c>
      <c r="CY227">
        <v>0</v>
      </c>
      <c r="CZ227">
        <v>0</v>
      </c>
      <c r="DA227">
        <v>0</v>
      </c>
      <c r="DB227">
        <v>0</v>
      </c>
      <c r="DC227">
        <v>0</v>
      </c>
      <c r="DD227">
        <v>0</v>
      </c>
      <c r="DE227">
        <v>0</v>
      </c>
      <c r="DF227">
        <v>0</v>
      </c>
      <c r="DG227">
        <v>0</v>
      </c>
      <c r="DH227">
        <v>0</v>
      </c>
      <c r="DI227">
        <v>0</v>
      </c>
      <c r="DJ227">
        <v>0</v>
      </c>
      <c r="DK227">
        <v>0</v>
      </c>
      <c r="DL227">
        <v>0</v>
      </c>
      <c r="DM227">
        <v>0</v>
      </c>
      <c r="DN227">
        <v>0</v>
      </c>
      <c r="DO227">
        <v>0</v>
      </c>
      <c r="DP227">
        <v>0</v>
      </c>
      <c r="DQ227">
        <v>0</v>
      </c>
      <c r="DR227">
        <v>0</v>
      </c>
      <c r="DS227">
        <v>0</v>
      </c>
      <c r="DT227">
        <v>0</v>
      </c>
      <c r="DU227">
        <v>0</v>
      </c>
      <c r="DV227">
        <v>0</v>
      </c>
      <c r="DW227">
        <v>0</v>
      </c>
      <c r="DX227">
        <v>0</v>
      </c>
      <c r="DY227">
        <v>0</v>
      </c>
      <c r="DZ227">
        <v>0</v>
      </c>
      <c r="EA227">
        <v>0</v>
      </c>
      <c r="EB227">
        <v>0</v>
      </c>
      <c r="EC227">
        <v>0</v>
      </c>
      <c r="ED227">
        <v>0</v>
      </c>
      <c r="EE227">
        <v>0</v>
      </c>
      <c r="EF227">
        <v>0</v>
      </c>
      <c r="EG227">
        <v>0</v>
      </c>
      <c r="EH227">
        <v>0</v>
      </c>
      <c r="EI227">
        <v>0</v>
      </c>
      <c r="EJ227">
        <v>0</v>
      </c>
      <c r="EK227">
        <v>0</v>
      </c>
      <c r="EL227">
        <v>0</v>
      </c>
      <c r="EM227">
        <v>0</v>
      </c>
      <c r="EN227">
        <v>0</v>
      </c>
      <c r="EO227">
        <v>0</v>
      </c>
      <c r="EP227">
        <v>0</v>
      </c>
      <c r="EQ227">
        <v>0</v>
      </c>
      <c r="ER227">
        <v>0</v>
      </c>
      <c r="ES227">
        <v>0</v>
      </c>
      <c r="ET227">
        <v>0</v>
      </c>
      <c r="EU227">
        <v>0</v>
      </c>
      <c r="EV227">
        <v>0</v>
      </c>
      <c r="EW227">
        <v>0</v>
      </c>
      <c r="EX227">
        <v>0</v>
      </c>
      <c r="EY227">
        <v>0</v>
      </c>
      <c r="EZ227">
        <v>0</v>
      </c>
      <c r="FA227">
        <v>0</v>
      </c>
      <c r="FB227">
        <v>0</v>
      </c>
      <c r="FC227">
        <v>0</v>
      </c>
      <c r="FD227">
        <v>0</v>
      </c>
      <c r="FE227">
        <v>0</v>
      </c>
      <c r="FF227">
        <v>0</v>
      </c>
      <c r="FG227">
        <v>0</v>
      </c>
      <c r="FH227">
        <v>0</v>
      </c>
      <c r="FI227">
        <v>0</v>
      </c>
      <c r="FJ227">
        <v>0</v>
      </c>
      <c r="FK227">
        <v>0</v>
      </c>
      <c r="FL227">
        <v>0</v>
      </c>
      <c r="FM227">
        <v>0</v>
      </c>
      <c r="FN227">
        <v>0</v>
      </c>
      <c r="FO227">
        <v>0</v>
      </c>
      <c r="FP227">
        <v>0</v>
      </c>
      <c r="FQ227">
        <v>0</v>
      </c>
      <c r="FR227">
        <v>0</v>
      </c>
      <c r="FS227">
        <v>0</v>
      </c>
      <c r="FT227">
        <v>0</v>
      </c>
      <c r="FU227">
        <v>0</v>
      </c>
      <c r="FV227">
        <v>0</v>
      </c>
      <c r="FW227">
        <v>0</v>
      </c>
      <c r="FX227">
        <v>0</v>
      </c>
      <c r="FY227">
        <v>0</v>
      </c>
      <c r="FZ227">
        <v>0</v>
      </c>
      <c r="GA227">
        <v>0</v>
      </c>
      <c r="GB227">
        <v>0</v>
      </c>
      <c r="GC227">
        <v>0</v>
      </c>
      <c r="GD227">
        <v>0</v>
      </c>
      <c r="GE227">
        <v>0</v>
      </c>
      <c r="GF227">
        <v>0</v>
      </c>
      <c r="GG227">
        <v>0</v>
      </c>
      <c r="GH227">
        <v>0</v>
      </c>
      <c r="GI227">
        <v>0</v>
      </c>
      <c r="GJ227">
        <v>0</v>
      </c>
      <c r="GK227">
        <v>0</v>
      </c>
      <c r="GL227">
        <v>0</v>
      </c>
      <c r="GM227">
        <v>0</v>
      </c>
      <c r="GN227">
        <v>0</v>
      </c>
      <c r="GO227">
        <v>0</v>
      </c>
      <c r="GP227">
        <v>0</v>
      </c>
      <c r="GQ227">
        <v>0</v>
      </c>
      <c r="GR227">
        <v>0</v>
      </c>
      <c r="GS227">
        <v>0</v>
      </c>
      <c r="GT227">
        <v>0</v>
      </c>
      <c r="GU227">
        <v>0</v>
      </c>
      <c r="GV227">
        <v>0</v>
      </c>
      <c r="GW227">
        <v>399623</v>
      </c>
      <c r="GX227">
        <v>0</v>
      </c>
      <c r="GY227">
        <v>0</v>
      </c>
      <c r="GZ227">
        <v>0</v>
      </c>
      <c r="HA227">
        <v>0</v>
      </c>
      <c r="HB227">
        <v>1226</v>
      </c>
      <c r="HC227">
        <v>0</v>
      </c>
      <c r="HD227">
        <v>0</v>
      </c>
      <c r="HE227">
        <v>0</v>
      </c>
      <c r="HF227">
        <v>0</v>
      </c>
      <c r="HG227">
        <v>0</v>
      </c>
      <c r="HH227">
        <v>0</v>
      </c>
      <c r="HI227">
        <v>0</v>
      </c>
      <c r="HJ227">
        <v>0</v>
      </c>
      <c r="HK227">
        <v>0</v>
      </c>
      <c r="HL227">
        <v>0</v>
      </c>
      <c r="HM227">
        <v>0</v>
      </c>
      <c r="HN227">
        <v>0</v>
      </c>
      <c r="HO227">
        <v>0</v>
      </c>
      <c r="HP227">
        <v>0</v>
      </c>
      <c r="HQ227">
        <v>0</v>
      </c>
      <c r="HR227">
        <v>0</v>
      </c>
      <c r="HS227">
        <v>0</v>
      </c>
      <c r="HT227">
        <v>0</v>
      </c>
      <c r="HU227">
        <v>0</v>
      </c>
      <c r="HV227">
        <v>1226</v>
      </c>
      <c r="HW227">
        <v>0</v>
      </c>
      <c r="HX227">
        <v>0</v>
      </c>
      <c r="HY227">
        <v>0</v>
      </c>
      <c r="HZ227">
        <v>0</v>
      </c>
      <c r="IA227">
        <v>0</v>
      </c>
      <c r="IB227">
        <v>0</v>
      </c>
      <c r="IC227">
        <v>0</v>
      </c>
      <c r="ID227">
        <v>0</v>
      </c>
      <c r="IE227">
        <v>0</v>
      </c>
      <c r="IF227">
        <v>0</v>
      </c>
      <c r="IG227">
        <v>0</v>
      </c>
      <c r="IH227">
        <v>0</v>
      </c>
      <c r="II227">
        <v>0</v>
      </c>
      <c r="IJ227">
        <v>0</v>
      </c>
      <c r="IK227">
        <v>0</v>
      </c>
      <c r="IL227">
        <v>399623</v>
      </c>
      <c r="IM227">
        <v>0</v>
      </c>
      <c r="IN227">
        <v>1226</v>
      </c>
      <c r="IO227">
        <v>0</v>
      </c>
      <c r="IP227">
        <v>400849</v>
      </c>
      <c r="IQ227">
        <v>0</v>
      </c>
      <c r="IR227">
        <v>0</v>
      </c>
      <c r="IS227">
        <v>0</v>
      </c>
      <c r="IT227">
        <v>0</v>
      </c>
      <c r="IU227">
        <v>0</v>
      </c>
      <c r="IV227">
        <v>0</v>
      </c>
      <c r="IW227">
        <v>0</v>
      </c>
      <c r="IX227">
        <v>0</v>
      </c>
      <c r="IY227">
        <v>0</v>
      </c>
      <c r="IZ227">
        <v>0</v>
      </c>
      <c r="JA227">
        <v>0</v>
      </c>
      <c r="JB227">
        <v>0</v>
      </c>
      <c r="JC227">
        <v>0</v>
      </c>
      <c r="JD227">
        <v>0</v>
      </c>
      <c r="JE227">
        <v>0</v>
      </c>
      <c r="JF227">
        <v>0</v>
      </c>
      <c r="JG227">
        <v>400849</v>
      </c>
      <c r="JH227">
        <v>0</v>
      </c>
      <c r="JI227">
        <v>0</v>
      </c>
      <c r="JJ227">
        <v>0</v>
      </c>
      <c r="JK227">
        <v>0</v>
      </c>
      <c r="JL227">
        <v>0</v>
      </c>
      <c r="JM227">
        <v>0</v>
      </c>
      <c r="JN227">
        <v>0</v>
      </c>
      <c r="JO227">
        <v>0</v>
      </c>
      <c r="JP227">
        <v>1714</v>
      </c>
      <c r="JQ227">
        <v>0</v>
      </c>
      <c r="JR227">
        <v>402563</v>
      </c>
      <c r="JS227">
        <v>-20</v>
      </c>
      <c r="JT227">
        <v>0</v>
      </c>
      <c r="JU227">
        <v>0</v>
      </c>
      <c r="JV227">
        <v>0</v>
      </c>
      <c r="JW227">
        <v>0</v>
      </c>
      <c r="JX227">
        <v>0</v>
      </c>
      <c r="JY227">
        <v>0</v>
      </c>
      <c r="JZ227">
        <v>0</v>
      </c>
      <c r="KA227">
        <v>0</v>
      </c>
      <c r="KB227">
        <v>0</v>
      </c>
      <c r="KC227">
        <v>402543</v>
      </c>
      <c r="KD227">
        <v>0</v>
      </c>
      <c r="KE227">
        <v>-33737</v>
      </c>
      <c r="KF227">
        <v>368807</v>
      </c>
      <c r="KG227">
        <v>0</v>
      </c>
      <c r="KH227">
        <v>0</v>
      </c>
      <c r="KI227">
        <v>0</v>
      </c>
      <c r="KJ227">
        <v>0</v>
      </c>
      <c r="KK227">
        <v>4707</v>
      </c>
      <c r="KL227">
        <v>0</v>
      </c>
      <c r="KM227">
        <v>0</v>
      </c>
      <c r="KN227">
        <v>-286312</v>
      </c>
      <c r="KO227">
        <v>0</v>
      </c>
      <c r="KP227">
        <v>0</v>
      </c>
      <c r="KQ227">
        <v>0</v>
      </c>
      <c r="KR227">
        <v>84682</v>
      </c>
      <c r="KS227">
        <v>0</v>
      </c>
      <c r="KT227">
        <v>0</v>
      </c>
      <c r="KU227">
        <v>0</v>
      </c>
      <c r="KV227">
        <v>32174</v>
      </c>
      <c r="KW227">
        <v>12204</v>
      </c>
      <c r="KX227">
        <v>0</v>
      </c>
      <c r="KY227">
        <v>0</v>
      </c>
      <c r="KZ227">
        <v>0</v>
      </c>
      <c r="LA227">
        <v>36881</v>
      </c>
      <c r="LB227">
        <v>12204</v>
      </c>
      <c r="LC227">
        <v>786</v>
      </c>
      <c r="LD227">
        <v>19913</v>
      </c>
      <c r="LE227">
        <v>0</v>
      </c>
      <c r="LF227">
        <v>0</v>
      </c>
      <c r="LG227">
        <v>0</v>
      </c>
      <c r="LH227">
        <v>0</v>
      </c>
      <c r="LI227">
        <v>19913</v>
      </c>
      <c r="LJ227">
        <v>0</v>
      </c>
      <c r="LK227">
        <v>0</v>
      </c>
      <c r="LL227">
        <v>0</v>
      </c>
      <c r="LM227">
        <v>0</v>
      </c>
      <c r="LN227">
        <v>0</v>
      </c>
      <c r="LO227">
        <v>0</v>
      </c>
      <c r="LP227">
        <v>0</v>
      </c>
      <c r="LQ227">
        <v>0</v>
      </c>
      <c r="LR227">
        <v>0</v>
      </c>
      <c r="LS227">
        <v>0</v>
      </c>
      <c r="LT227">
        <v>0</v>
      </c>
      <c r="LU227">
        <v>0</v>
      </c>
      <c r="LV227">
        <v>0</v>
      </c>
      <c r="LW227">
        <v>0</v>
      </c>
      <c r="LX227">
        <v>0</v>
      </c>
      <c r="LY227">
        <v>0</v>
      </c>
      <c r="LZ227">
        <v>0</v>
      </c>
      <c r="MA227">
        <v>0</v>
      </c>
      <c r="MB227">
        <v>0</v>
      </c>
      <c r="MC227">
        <v>0</v>
      </c>
      <c r="MD227">
        <v>399623</v>
      </c>
      <c r="ME227">
        <v>0</v>
      </c>
      <c r="MF227">
        <v>1226</v>
      </c>
      <c r="MG227">
        <v>0</v>
      </c>
      <c r="MH227">
        <v>400849</v>
      </c>
      <c r="MI227">
        <v>0</v>
      </c>
      <c r="MJ227">
        <v>0</v>
      </c>
      <c r="MK227">
        <v>0</v>
      </c>
      <c r="ML227">
        <v>0</v>
      </c>
      <c r="MM227">
        <v>0</v>
      </c>
      <c r="MN227">
        <v>0</v>
      </c>
      <c r="MO227">
        <v>0</v>
      </c>
      <c r="MP227">
        <v>0</v>
      </c>
      <c r="MQ227">
        <v>0</v>
      </c>
      <c r="MR227">
        <v>0</v>
      </c>
      <c r="MS227">
        <v>0</v>
      </c>
      <c r="MT227">
        <v>0</v>
      </c>
      <c r="MU227">
        <v>0</v>
      </c>
      <c r="MV227">
        <v>0</v>
      </c>
      <c r="MW227">
        <v>0</v>
      </c>
      <c r="MX227">
        <v>0</v>
      </c>
      <c r="MY227">
        <v>0</v>
      </c>
      <c r="MZ227">
        <v>0</v>
      </c>
      <c r="NA227">
        <v>0</v>
      </c>
      <c r="NB227">
        <v>0</v>
      </c>
      <c r="NC227">
        <v>0</v>
      </c>
      <c r="ND227">
        <v>0</v>
      </c>
      <c r="NE227">
        <v>0</v>
      </c>
      <c r="NF227">
        <v>0</v>
      </c>
      <c r="NG227">
        <v>0</v>
      </c>
      <c r="NH227">
        <v>0</v>
      </c>
      <c r="NI227">
        <v>0</v>
      </c>
      <c r="NJ227">
        <v>0</v>
      </c>
      <c r="NK227">
        <v>0</v>
      </c>
      <c r="NL227">
        <v>0</v>
      </c>
      <c r="NM227">
        <v>0</v>
      </c>
      <c r="NN227">
        <v>0</v>
      </c>
      <c r="NO227">
        <v>0</v>
      </c>
      <c r="NP227">
        <v>0</v>
      </c>
      <c r="NQ227">
        <v>0</v>
      </c>
      <c r="NR227">
        <v>0</v>
      </c>
      <c r="NS227">
        <v>0</v>
      </c>
      <c r="NT227">
        <v>0</v>
      </c>
      <c r="NU227">
        <v>0</v>
      </c>
      <c r="NV227">
        <v>0</v>
      </c>
      <c r="NW227">
        <v>0</v>
      </c>
      <c r="NX227">
        <v>0</v>
      </c>
      <c r="NY227">
        <v>0</v>
      </c>
      <c r="NZ227">
        <v>0</v>
      </c>
      <c r="OA227">
        <v>0</v>
      </c>
      <c r="OB227">
        <v>0</v>
      </c>
      <c r="OC227">
        <v>0</v>
      </c>
      <c r="OD227">
        <v>0</v>
      </c>
      <c r="OE227">
        <v>0</v>
      </c>
      <c r="OF227">
        <v>0</v>
      </c>
      <c r="OG227">
        <v>0</v>
      </c>
      <c r="OH227">
        <v>0</v>
      </c>
      <c r="OI227">
        <v>0</v>
      </c>
      <c r="OJ227">
        <v>0</v>
      </c>
      <c r="OK227">
        <v>0</v>
      </c>
      <c r="OL227">
        <v>0</v>
      </c>
      <c r="OM227">
        <v>0</v>
      </c>
      <c r="ON227">
        <v>0</v>
      </c>
    </row>
    <row r="228" spans="1:404" x14ac:dyDescent="0.25">
      <c r="A228" t="s">
        <v>752</v>
      </c>
      <c r="B228" t="s">
        <v>753</v>
      </c>
      <c r="C228" t="s">
        <v>5437</v>
      </c>
      <c r="E228" t="s">
        <v>5425</v>
      </c>
      <c r="F228">
        <v>0</v>
      </c>
      <c r="G228">
        <v>0</v>
      </c>
      <c r="H228">
        <v>0</v>
      </c>
      <c r="I228">
        <v>0</v>
      </c>
      <c r="J228">
        <v>0</v>
      </c>
      <c r="K228">
        <v>0</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v>0</v>
      </c>
      <c r="BD228">
        <v>0</v>
      </c>
      <c r="BE228">
        <v>0</v>
      </c>
      <c r="BF228">
        <v>0</v>
      </c>
      <c r="BG228">
        <v>0</v>
      </c>
      <c r="BH228">
        <v>0</v>
      </c>
      <c r="BI228">
        <v>0</v>
      </c>
      <c r="BJ228">
        <v>0</v>
      </c>
      <c r="BK228">
        <v>0</v>
      </c>
      <c r="BL228">
        <v>0</v>
      </c>
      <c r="BM228">
        <v>0</v>
      </c>
      <c r="BN228">
        <v>0</v>
      </c>
      <c r="BO228">
        <v>0</v>
      </c>
      <c r="BP228">
        <v>0</v>
      </c>
      <c r="BQ228">
        <v>0</v>
      </c>
      <c r="BR228">
        <v>0</v>
      </c>
      <c r="BS228">
        <v>0</v>
      </c>
      <c r="BT228">
        <v>0</v>
      </c>
      <c r="BU228">
        <v>0</v>
      </c>
      <c r="BV228">
        <v>0</v>
      </c>
      <c r="BW228">
        <v>0</v>
      </c>
      <c r="BX228">
        <v>0</v>
      </c>
      <c r="BY228">
        <v>0</v>
      </c>
      <c r="BZ228">
        <v>0</v>
      </c>
      <c r="CA228">
        <v>0</v>
      </c>
      <c r="CB228">
        <v>0</v>
      </c>
      <c r="CC228">
        <v>0</v>
      </c>
      <c r="CD228">
        <v>0</v>
      </c>
      <c r="CE228">
        <v>0</v>
      </c>
      <c r="CF228">
        <v>0</v>
      </c>
      <c r="CG228">
        <v>0</v>
      </c>
      <c r="CH228">
        <v>0</v>
      </c>
      <c r="CI228">
        <v>0</v>
      </c>
      <c r="CJ228">
        <v>0</v>
      </c>
      <c r="CK228">
        <v>0</v>
      </c>
      <c r="CL228">
        <v>0</v>
      </c>
      <c r="CM228">
        <v>0</v>
      </c>
      <c r="CN228">
        <v>0</v>
      </c>
      <c r="CO228">
        <v>0</v>
      </c>
      <c r="CP228">
        <v>0</v>
      </c>
      <c r="CQ228">
        <v>0</v>
      </c>
      <c r="CR228">
        <v>0</v>
      </c>
      <c r="CS228">
        <v>0</v>
      </c>
      <c r="CT228">
        <v>0</v>
      </c>
      <c r="CU228">
        <v>0</v>
      </c>
      <c r="CV228">
        <v>0</v>
      </c>
      <c r="CW228">
        <v>0</v>
      </c>
      <c r="CX228">
        <v>0</v>
      </c>
      <c r="CY228">
        <v>0</v>
      </c>
      <c r="CZ228">
        <v>0</v>
      </c>
      <c r="DA228">
        <v>0</v>
      </c>
      <c r="DB228">
        <v>0</v>
      </c>
      <c r="DC228">
        <v>0</v>
      </c>
      <c r="DD228">
        <v>0</v>
      </c>
      <c r="DE228">
        <v>0</v>
      </c>
      <c r="DF228">
        <v>0</v>
      </c>
      <c r="DG228">
        <v>0</v>
      </c>
      <c r="DH228">
        <v>0</v>
      </c>
      <c r="DI228">
        <v>0</v>
      </c>
      <c r="DJ228">
        <v>0</v>
      </c>
      <c r="DK228">
        <v>0</v>
      </c>
      <c r="DL228">
        <v>0</v>
      </c>
      <c r="DM228">
        <v>0</v>
      </c>
      <c r="DN228">
        <v>0</v>
      </c>
      <c r="DO228">
        <v>0</v>
      </c>
      <c r="DP228">
        <v>0</v>
      </c>
      <c r="DQ228">
        <v>0</v>
      </c>
      <c r="DR228">
        <v>0</v>
      </c>
      <c r="DS228">
        <v>0</v>
      </c>
      <c r="DT228">
        <v>0</v>
      </c>
      <c r="DU228">
        <v>0</v>
      </c>
      <c r="DV228">
        <v>0</v>
      </c>
      <c r="DW228">
        <v>0</v>
      </c>
      <c r="DX228">
        <v>0</v>
      </c>
      <c r="DY228">
        <v>0</v>
      </c>
      <c r="DZ228">
        <v>0</v>
      </c>
      <c r="EA228">
        <v>0</v>
      </c>
      <c r="EB228">
        <v>0</v>
      </c>
      <c r="EC228">
        <v>0</v>
      </c>
      <c r="ED228">
        <v>0</v>
      </c>
      <c r="EE228">
        <v>0</v>
      </c>
      <c r="EF228">
        <v>0</v>
      </c>
      <c r="EG228">
        <v>0</v>
      </c>
      <c r="EH228">
        <v>0</v>
      </c>
      <c r="EI228">
        <v>0</v>
      </c>
      <c r="EJ228">
        <v>0</v>
      </c>
      <c r="EK228">
        <v>0</v>
      </c>
      <c r="EL228">
        <v>0</v>
      </c>
      <c r="EM228">
        <v>0</v>
      </c>
      <c r="EN228">
        <v>0</v>
      </c>
      <c r="EO228">
        <v>0</v>
      </c>
      <c r="EP228">
        <v>0</v>
      </c>
      <c r="EQ228">
        <v>0</v>
      </c>
      <c r="ER228">
        <v>0</v>
      </c>
      <c r="ES228">
        <v>0</v>
      </c>
      <c r="ET228">
        <v>0</v>
      </c>
      <c r="EU228">
        <v>0</v>
      </c>
      <c r="EV228">
        <v>0</v>
      </c>
      <c r="EW228">
        <v>0</v>
      </c>
      <c r="EX228">
        <v>0</v>
      </c>
      <c r="EY228">
        <v>0</v>
      </c>
      <c r="EZ228">
        <v>0</v>
      </c>
      <c r="FA228">
        <v>0</v>
      </c>
      <c r="FB228">
        <v>0</v>
      </c>
      <c r="FC228">
        <v>0</v>
      </c>
      <c r="FD228">
        <v>0</v>
      </c>
      <c r="FE228">
        <v>0</v>
      </c>
      <c r="FF228">
        <v>0</v>
      </c>
      <c r="FG228">
        <v>0</v>
      </c>
      <c r="FH228">
        <v>0</v>
      </c>
      <c r="FI228">
        <v>0</v>
      </c>
      <c r="FJ228">
        <v>0</v>
      </c>
      <c r="FK228">
        <v>0</v>
      </c>
      <c r="FL228">
        <v>0</v>
      </c>
      <c r="FM228">
        <v>0</v>
      </c>
      <c r="FN228">
        <v>0</v>
      </c>
      <c r="FO228">
        <v>0</v>
      </c>
      <c r="FP228">
        <v>0</v>
      </c>
      <c r="FQ228">
        <v>0</v>
      </c>
      <c r="FR228">
        <v>0</v>
      </c>
      <c r="FS228">
        <v>0</v>
      </c>
      <c r="FT228">
        <v>0</v>
      </c>
      <c r="FU228">
        <v>0</v>
      </c>
      <c r="FV228">
        <v>0</v>
      </c>
      <c r="FW228">
        <v>0</v>
      </c>
      <c r="FX228">
        <v>0</v>
      </c>
      <c r="FY228">
        <v>0</v>
      </c>
      <c r="FZ228">
        <v>0</v>
      </c>
      <c r="GA228">
        <v>0</v>
      </c>
      <c r="GB228">
        <v>0</v>
      </c>
      <c r="GC228">
        <v>0</v>
      </c>
      <c r="GD228">
        <v>0</v>
      </c>
      <c r="GE228">
        <v>0</v>
      </c>
      <c r="GF228">
        <v>76849</v>
      </c>
      <c r="GG228">
        <v>0</v>
      </c>
      <c r="GH228">
        <v>0</v>
      </c>
      <c r="GI228">
        <v>0</v>
      </c>
      <c r="GJ228">
        <v>0</v>
      </c>
      <c r="GK228">
        <v>76849</v>
      </c>
      <c r="GL228">
        <v>0</v>
      </c>
      <c r="GM228">
        <v>0</v>
      </c>
      <c r="GN228">
        <v>0</v>
      </c>
      <c r="GO228">
        <v>0</v>
      </c>
      <c r="GP228">
        <v>0</v>
      </c>
      <c r="GQ228">
        <v>0</v>
      </c>
      <c r="GR228">
        <v>0</v>
      </c>
      <c r="GS228">
        <v>0</v>
      </c>
      <c r="GT228">
        <v>0</v>
      </c>
      <c r="GU228">
        <v>0</v>
      </c>
      <c r="GV228">
        <v>76849</v>
      </c>
      <c r="GW228">
        <v>0</v>
      </c>
      <c r="GX228">
        <v>0</v>
      </c>
      <c r="GY228">
        <v>0</v>
      </c>
      <c r="GZ228">
        <v>0</v>
      </c>
      <c r="HA228">
        <v>0</v>
      </c>
      <c r="HB228">
        <v>0</v>
      </c>
      <c r="HC228">
        <v>0</v>
      </c>
      <c r="HD228">
        <v>0</v>
      </c>
      <c r="HE228">
        <v>0</v>
      </c>
      <c r="HF228">
        <v>0</v>
      </c>
      <c r="HG228">
        <v>0</v>
      </c>
      <c r="HH228">
        <v>0</v>
      </c>
      <c r="HI228">
        <v>0</v>
      </c>
      <c r="HJ228">
        <v>0</v>
      </c>
      <c r="HK228">
        <v>0</v>
      </c>
      <c r="HL228">
        <v>0</v>
      </c>
      <c r="HM228">
        <v>0</v>
      </c>
      <c r="HN228">
        <v>0</v>
      </c>
      <c r="HO228">
        <v>0</v>
      </c>
      <c r="HP228">
        <v>0</v>
      </c>
      <c r="HQ228">
        <v>0</v>
      </c>
      <c r="HR228">
        <v>0</v>
      </c>
      <c r="HS228">
        <v>0</v>
      </c>
      <c r="HT228">
        <v>0</v>
      </c>
      <c r="HU228">
        <v>0</v>
      </c>
      <c r="HV228">
        <v>0</v>
      </c>
      <c r="HW228">
        <v>0</v>
      </c>
      <c r="HX228">
        <v>0</v>
      </c>
      <c r="HY228">
        <v>0</v>
      </c>
      <c r="HZ228">
        <v>0</v>
      </c>
      <c r="IA228">
        <v>0</v>
      </c>
      <c r="IB228">
        <v>0</v>
      </c>
      <c r="IC228">
        <v>0</v>
      </c>
      <c r="ID228">
        <v>0</v>
      </c>
      <c r="IE228">
        <v>0</v>
      </c>
      <c r="IF228">
        <v>0</v>
      </c>
      <c r="IG228">
        <v>0</v>
      </c>
      <c r="IH228">
        <v>0</v>
      </c>
      <c r="II228">
        <v>0</v>
      </c>
      <c r="IJ228">
        <v>76849</v>
      </c>
      <c r="IK228">
        <v>0</v>
      </c>
      <c r="IL228">
        <v>0</v>
      </c>
      <c r="IM228">
        <v>0</v>
      </c>
      <c r="IN228">
        <v>0</v>
      </c>
      <c r="IO228">
        <v>0</v>
      </c>
      <c r="IP228">
        <v>76849</v>
      </c>
      <c r="IQ228">
        <v>0</v>
      </c>
      <c r="IR228">
        <v>0</v>
      </c>
      <c r="IS228">
        <v>0</v>
      </c>
      <c r="IT228">
        <v>0</v>
      </c>
      <c r="IU228">
        <v>0</v>
      </c>
      <c r="IV228">
        <v>0</v>
      </c>
      <c r="IW228">
        <v>0</v>
      </c>
      <c r="IX228">
        <v>-77636</v>
      </c>
      <c r="IY228">
        <v>0</v>
      </c>
      <c r="IZ228">
        <v>0</v>
      </c>
      <c r="JA228">
        <v>0</v>
      </c>
      <c r="JB228">
        <v>0</v>
      </c>
      <c r="JC228">
        <v>0</v>
      </c>
      <c r="JD228">
        <v>0</v>
      </c>
      <c r="JE228">
        <v>0</v>
      </c>
      <c r="JF228">
        <v>0</v>
      </c>
      <c r="JG228">
        <v>-787</v>
      </c>
      <c r="JH228">
        <v>0</v>
      </c>
      <c r="JI228">
        <v>0</v>
      </c>
      <c r="JJ228">
        <v>0</v>
      </c>
      <c r="JK228">
        <v>0</v>
      </c>
      <c r="JL228">
        <v>0</v>
      </c>
      <c r="JM228">
        <v>0</v>
      </c>
      <c r="JN228">
        <v>0</v>
      </c>
      <c r="JO228">
        <v>0</v>
      </c>
      <c r="JP228">
        <v>1395</v>
      </c>
      <c r="JQ228">
        <v>0</v>
      </c>
      <c r="JR228">
        <v>608</v>
      </c>
      <c r="JS228">
        <v>0</v>
      </c>
      <c r="JT228">
        <v>0</v>
      </c>
      <c r="JU228">
        <v>0</v>
      </c>
      <c r="JV228">
        <v>0</v>
      </c>
      <c r="JW228">
        <v>0</v>
      </c>
      <c r="JX228">
        <v>0</v>
      </c>
      <c r="JY228">
        <v>0</v>
      </c>
      <c r="JZ228">
        <v>0</v>
      </c>
      <c r="KA228">
        <v>0</v>
      </c>
      <c r="KB228">
        <v>0</v>
      </c>
      <c r="KC228">
        <v>608</v>
      </c>
      <c r="KD228">
        <v>0</v>
      </c>
      <c r="KE228">
        <v>0</v>
      </c>
      <c r="KF228">
        <v>608</v>
      </c>
      <c r="KG228">
        <v>0</v>
      </c>
      <c r="KH228">
        <v>0</v>
      </c>
      <c r="KI228">
        <v>0</v>
      </c>
      <c r="KJ228">
        <v>0</v>
      </c>
      <c r="KK228">
        <v>0</v>
      </c>
      <c r="KL228">
        <v>-608</v>
      </c>
      <c r="KM228">
        <v>0</v>
      </c>
      <c r="KN228">
        <v>0</v>
      </c>
      <c r="KO228">
        <v>0</v>
      </c>
      <c r="KP228">
        <v>0</v>
      </c>
      <c r="KQ228">
        <v>0</v>
      </c>
      <c r="KR228">
        <v>0</v>
      </c>
      <c r="KS228">
        <v>0</v>
      </c>
      <c r="KT228">
        <v>0</v>
      </c>
      <c r="KU228">
        <v>0</v>
      </c>
      <c r="KV228">
        <v>0</v>
      </c>
      <c r="KW228">
        <v>8654</v>
      </c>
      <c r="KX228">
        <v>0</v>
      </c>
      <c r="KY228">
        <v>0</v>
      </c>
      <c r="KZ228">
        <v>0</v>
      </c>
      <c r="LA228">
        <v>0</v>
      </c>
      <c r="LB228">
        <v>8046</v>
      </c>
      <c r="LC228">
        <v>0</v>
      </c>
      <c r="LD228">
        <v>0</v>
      </c>
      <c r="LE228">
        <v>0</v>
      </c>
      <c r="LF228">
        <v>0</v>
      </c>
      <c r="LG228">
        <v>0</v>
      </c>
      <c r="LH228">
        <v>0</v>
      </c>
      <c r="LI228">
        <v>0</v>
      </c>
      <c r="LJ228">
        <v>0</v>
      </c>
      <c r="LK228">
        <v>0</v>
      </c>
      <c r="LL228">
        <v>0</v>
      </c>
      <c r="LM228">
        <v>0</v>
      </c>
      <c r="LN228">
        <v>0</v>
      </c>
      <c r="LO228">
        <v>0</v>
      </c>
      <c r="LP228">
        <v>0</v>
      </c>
      <c r="LQ228">
        <v>0</v>
      </c>
      <c r="LR228">
        <v>0</v>
      </c>
      <c r="LS228">
        <v>0</v>
      </c>
      <c r="LT228">
        <v>0</v>
      </c>
      <c r="LU228">
        <v>0</v>
      </c>
      <c r="LV228">
        <v>0</v>
      </c>
      <c r="LW228">
        <v>0</v>
      </c>
      <c r="LX228">
        <v>0</v>
      </c>
      <c r="LY228">
        <v>0</v>
      </c>
      <c r="LZ228">
        <v>0</v>
      </c>
      <c r="MA228">
        <v>0</v>
      </c>
      <c r="MB228">
        <v>76849</v>
      </c>
      <c r="MC228">
        <v>0</v>
      </c>
      <c r="MD228">
        <v>0</v>
      </c>
      <c r="ME228">
        <v>0</v>
      </c>
      <c r="MF228">
        <v>0</v>
      </c>
      <c r="MG228">
        <v>0</v>
      </c>
      <c r="MH228">
        <v>76849</v>
      </c>
      <c r="MI228">
        <v>0</v>
      </c>
      <c r="MJ228">
        <v>0</v>
      </c>
      <c r="MK228">
        <v>0</v>
      </c>
      <c r="ML228">
        <v>0</v>
      </c>
      <c r="MM228">
        <v>0</v>
      </c>
      <c r="MN228">
        <v>0</v>
      </c>
      <c r="MO228">
        <v>0</v>
      </c>
      <c r="MP228">
        <v>0</v>
      </c>
      <c r="MQ228">
        <v>0</v>
      </c>
      <c r="MR228">
        <v>0</v>
      </c>
      <c r="MS228">
        <v>0</v>
      </c>
      <c r="MT228">
        <v>0</v>
      </c>
      <c r="MU228">
        <v>0</v>
      </c>
      <c r="MV228">
        <v>0</v>
      </c>
      <c r="MW228">
        <v>0</v>
      </c>
      <c r="MX228">
        <v>0</v>
      </c>
      <c r="MY228">
        <v>0</v>
      </c>
      <c r="MZ228">
        <v>0</v>
      </c>
      <c r="NA228">
        <v>0</v>
      </c>
      <c r="NB228">
        <v>0</v>
      </c>
      <c r="NC228">
        <v>0</v>
      </c>
      <c r="ND228">
        <v>0</v>
      </c>
      <c r="NE228">
        <v>0</v>
      </c>
      <c r="NF228">
        <v>0</v>
      </c>
      <c r="NG228">
        <v>0</v>
      </c>
      <c r="NH228">
        <v>0</v>
      </c>
      <c r="NI228">
        <v>0</v>
      </c>
      <c r="NJ228">
        <v>0</v>
      </c>
      <c r="NK228">
        <v>0</v>
      </c>
      <c r="NL228">
        <v>0</v>
      </c>
      <c r="NM228">
        <v>0</v>
      </c>
      <c r="NN228">
        <v>0</v>
      </c>
      <c r="NO228">
        <v>0</v>
      </c>
      <c r="NP228">
        <v>0</v>
      </c>
      <c r="NQ228">
        <v>0</v>
      </c>
      <c r="NR228">
        <v>0</v>
      </c>
      <c r="NS228">
        <v>0</v>
      </c>
      <c r="NT228">
        <v>0</v>
      </c>
      <c r="NU228">
        <v>0</v>
      </c>
      <c r="NV228">
        <v>0</v>
      </c>
      <c r="NW228">
        <v>0</v>
      </c>
      <c r="NX228">
        <v>0</v>
      </c>
      <c r="NY228">
        <v>0</v>
      </c>
      <c r="NZ228">
        <v>0</v>
      </c>
      <c r="OA228">
        <v>0</v>
      </c>
      <c r="OB228">
        <v>0</v>
      </c>
      <c r="OC228">
        <v>0</v>
      </c>
      <c r="OD228">
        <v>0</v>
      </c>
      <c r="OE228">
        <v>0</v>
      </c>
      <c r="OF228">
        <v>0</v>
      </c>
      <c r="OG228">
        <v>0</v>
      </c>
      <c r="OH228">
        <v>0</v>
      </c>
      <c r="OI228">
        <v>0</v>
      </c>
      <c r="OJ228">
        <v>0</v>
      </c>
      <c r="OK228">
        <v>0</v>
      </c>
      <c r="OL228">
        <v>0</v>
      </c>
      <c r="OM228">
        <v>0</v>
      </c>
      <c r="ON228">
        <v>0</v>
      </c>
    </row>
    <row r="229" spans="1:404" x14ac:dyDescent="0.25">
      <c r="A229" t="s">
        <v>755</v>
      </c>
      <c r="B229" t="s">
        <v>756</v>
      </c>
      <c r="C229" t="s">
        <v>754</v>
      </c>
      <c r="E229" t="s">
        <v>1940</v>
      </c>
      <c r="F229">
        <v>13747</v>
      </c>
      <c r="G229">
        <v>73808</v>
      </c>
      <c r="H229">
        <v>63048</v>
      </c>
      <c r="I229">
        <v>29362</v>
      </c>
      <c r="J229">
        <v>8702</v>
      </c>
      <c r="K229">
        <v>30464</v>
      </c>
      <c r="L229">
        <v>219131</v>
      </c>
      <c r="M229">
        <v>231</v>
      </c>
      <c r="N229">
        <v>243</v>
      </c>
      <c r="O229">
        <v>370</v>
      </c>
      <c r="P229">
        <v>0</v>
      </c>
      <c r="Q229">
        <v>130</v>
      </c>
      <c r="R229">
        <v>1777</v>
      </c>
      <c r="S229">
        <v>234</v>
      </c>
      <c r="T229">
        <v>155</v>
      </c>
      <c r="U229">
        <v>653</v>
      </c>
      <c r="V229">
        <v>0</v>
      </c>
      <c r="W229">
        <v>0</v>
      </c>
      <c r="X229">
        <v>111</v>
      </c>
      <c r="Y229">
        <v>-243</v>
      </c>
      <c r="Z229">
        <v>-11508</v>
      </c>
      <c r="AA229">
        <v>-665</v>
      </c>
      <c r="AB229">
        <v>7757</v>
      </c>
      <c r="AC229">
        <v>0</v>
      </c>
      <c r="AD229">
        <v>0</v>
      </c>
      <c r="AE229">
        <v>0</v>
      </c>
      <c r="AF229">
        <v>0</v>
      </c>
      <c r="AG229">
        <v>-209</v>
      </c>
      <c r="AH229">
        <v>0</v>
      </c>
      <c r="AI229">
        <v>-964</v>
      </c>
      <c r="AJ229">
        <v>0</v>
      </c>
      <c r="AK229">
        <v>0</v>
      </c>
      <c r="AL229">
        <v>0</v>
      </c>
      <c r="AM229">
        <v>0</v>
      </c>
      <c r="AN229">
        <v>0</v>
      </c>
      <c r="AO229">
        <v>0</v>
      </c>
      <c r="AP229">
        <v>0</v>
      </c>
      <c r="AQ229">
        <v>0</v>
      </c>
      <c r="AR229">
        <v>16650</v>
      </c>
      <c r="AS229">
        <v>0</v>
      </c>
      <c r="AT229">
        <v>0</v>
      </c>
      <c r="AU229">
        <v>0</v>
      </c>
      <c r="AV229">
        <v>4493</v>
      </c>
      <c r="AW229">
        <v>13959</v>
      </c>
      <c r="AX229">
        <v>1</v>
      </c>
      <c r="AY229">
        <v>7516</v>
      </c>
      <c r="AZ229">
        <v>604</v>
      </c>
      <c r="BA229">
        <v>4197</v>
      </c>
      <c r="BB229">
        <v>2634</v>
      </c>
      <c r="BC229">
        <v>3301</v>
      </c>
      <c r="BD229">
        <v>36705</v>
      </c>
      <c r="BE229">
        <v>2841</v>
      </c>
      <c r="BF229">
        <v>14939</v>
      </c>
      <c r="BG229">
        <v>314</v>
      </c>
      <c r="BH229">
        <v>561</v>
      </c>
      <c r="BI229">
        <v>165</v>
      </c>
      <c r="BJ229">
        <v>2143</v>
      </c>
      <c r="BK229">
        <v>16641</v>
      </c>
      <c r="BL229">
        <v>2726</v>
      </c>
      <c r="BM229">
        <v>3471</v>
      </c>
      <c r="BN229">
        <v>3180</v>
      </c>
      <c r="BO229">
        <v>243</v>
      </c>
      <c r="BP229">
        <v>262</v>
      </c>
      <c r="BQ229">
        <v>1128</v>
      </c>
      <c r="BR229">
        <v>328</v>
      </c>
      <c r="BS229">
        <v>810</v>
      </c>
      <c r="BT229">
        <v>3253</v>
      </c>
      <c r="BU229">
        <v>915</v>
      </c>
      <c r="BV229">
        <v>5284</v>
      </c>
      <c r="BW229">
        <v>59202</v>
      </c>
      <c r="BX229">
        <v>2396</v>
      </c>
      <c r="BY229">
        <v>68</v>
      </c>
      <c r="BZ229">
        <v>110</v>
      </c>
      <c r="CA229">
        <v>150</v>
      </c>
      <c r="CB229">
        <v>15</v>
      </c>
      <c r="CC229">
        <v>164</v>
      </c>
      <c r="CD229">
        <v>332</v>
      </c>
      <c r="CE229">
        <v>38</v>
      </c>
      <c r="CF229">
        <v>156</v>
      </c>
      <c r="CG229">
        <v>40</v>
      </c>
      <c r="CH229">
        <v>30</v>
      </c>
      <c r="CI229">
        <v>588</v>
      </c>
      <c r="CJ229">
        <v>589</v>
      </c>
      <c r="CK229">
        <v>58</v>
      </c>
      <c r="CL229">
        <v>58</v>
      </c>
      <c r="CM229">
        <v>160</v>
      </c>
      <c r="CN229">
        <v>242</v>
      </c>
      <c r="CO229">
        <v>0</v>
      </c>
      <c r="CP229">
        <v>1277</v>
      </c>
      <c r="CQ229">
        <v>2504</v>
      </c>
      <c r="CR229">
        <v>637</v>
      </c>
      <c r="CS229">
        <v>6</v>
      </c>
      <c r="CT229">
        <v>16</v>
      </c>
      <c r="CU229">
        <v>1440</v>
      </c>
      <c r="CV229">
        <v>15313</v>
      </c>
      <c r="CW229">
        <v>0</v>
      </c>
      <c r="CX229">
        <v>0</v>
      </c>
      <c r="CY229">
        <v>0</v>
      </c>
      <c r="CZ229">
        <v>0</v>
      </c>
      <c r="DA229">
        <v>0</v>
      </c>
      <c r="DB229">
        <v>0</v>
      </c>
      <c r="DC229">
        <v>1551</v>
      </c>
      <c r="DD229">
        <v>59</v>
      </c>
      <c r="DE229">
        <v>0</v>
      </c>
      <c r="DF229">
        <v>0</v>
      </c>
      <c r="DG229">
        <v>1679</v>
      </c>
      <c r="DH229">
        <v>329</v>
      </c>
      <c r="DI229">
        <v>60</v>
      </c>
      <c r="DJ229">
        <v>2</v>
      </c>
      <c r="DK229">
        <v>0</v>
      </c>
      <c r="DL229">
        <v>0</v>
      </c>
      <c r="DM229">
        <v>594</v>
      </c>
      <c r="DN229">
        <v>0</v>
      </c>
      <c r="DO229">
        <v>0</v>
      </c>
      <c r="DP229">
        <v>2665</v>
      </c>
      <c r="DQ229">
        <v>526</v>
      </c>
      <c r="DR229">
        <v>23</v>
      </c>
      <c r="DS229">
        <v>0</v>
      </c>
      <c r="DT229">
        <v>2998</v>
      </c>
      <c r="DU229">
        <v>0</v>
      </c>
      <c r="DV229">
        <v>1283</v>
      </c>
      <c r="DW229">
        <v>0</v>
      </c>
      <c r="DX229">
        <v>9105</v>
      </c>
      <c r="DY229">
        <v>0</v>
      </c>
      <c r="DZ229">
        <v>0</v>
      </c>
      <c r="EA229">
        <v>0</v>
      </c>
      <c r="EB229">
        <v>0</v>
      </c>
      <c r="EC229">
        <v>0</v>
      </c>
      <c r="ED229">
        <v>0</v>
      </c>
      <c r="EE229">
        <v>0</v>
      </c>
      <c r="EF229">
        <v>0</v>
      </c>
      <c r="EG229">
        <v>0</v>
      </c>
      <c r="EH229">
        <v>0</v>
      </c>
      <c r="EI229">
        <v>0</v>
      </c>
      <c r="EJ229">
        <v>0</v>
      </c>
      <c r="EK229">
        <v>0</v>
      </c>
      <c r="EL229">
        <v>0</v>
      </c>
      <c r="EM229">
        <v>0</v>
      </c>
      <c r="EN229">
        <v>0</v>
      </c>
      <c r="EO229">
        <v>0</v>
      </c>
      <c r="EP229">
        <v>0</v>
      </c>
      <c r="EQ229">
        <v>0</v>
      </c>
      <c r="ER229">
        <v>0</v>
      </c>
      <c r="ES229">
        <v>0</v>
      </c>
      <c r="ET229">
        <v>0</v>
      </c>
      <c r="EU229">
        <v>0</v>
      </c>
      <c r="EV229">
        <v>-4</v>
      </c>
      <c r="EW229">
        <v>0</v>
      </c>
      <c r="EX229">
        <v>0</v>
      </c>
      <c r="EY229">
        <v>52</v>
      </c>
      <c r="EZ229">
        <v>-6</v>
      </c>
      <c r="FA229">
        <v>0</v>
      </c>
      <c r="FB229">
        <v>-2</v>
      </c>
      <c r="FC229">
        <v>-100</v>
      </c>
      <c r="FD229">
        <v>1464</v>
      </c>
      <c r="FE229">
        <v>-70</v>
      </c>
      <c r="FF229">
        <v>0</v>
      </c>
      <c r="FG229">
        <v>2750</v>
      </c>
      <c r="FH229">
        <v>4084</v>
      </c>
      <c r="FI229">
        <v>-124</v>
      </c>
      <c r="FJ229">
        <v>881</v>
      </c>
      <c r="FK229">
        <v>0</v>
      </c>
      <c r="FL229">
        <v>1965</v>
      </c>
      <c r="FM229">
        <v>-851</v>
      </c>
      <c r="FN229">
        <v>370</v>
      </c>
      <c r="FO229">
        <v>0</v>
      </c>
      <c r="FP229">
        <v>0</v>
      </c>
      <c r="FQ229">
        <v>0</v>
      </c>
      <c r="FR229">
        <v>92</v>
      </c>
      <c r="FS229">
        <v>0</v>
      </c>
      <c r="FT229">
        <v>8</v>
      </c>
      <c r="FU229">
        <v>-115</v>
      </c>
      <c r="FV229">
        <v>462</v>
      </c>
      <c r="FW229">
        <v>0</v>
      </c>
      <c r="FX229">
        <v>672</v>
      </c>
      <c r="FY229">
        <v>0</v>
      </c>
      <c r="FZ229">
        <v>0</v>
      </c>
      <c r="GA229">
        <v>0</v>
      </c>
      <c r="GB229">
        <v>0</v>
      </c>
      <c r="GC229">
        <v>85</v>
      </c>
      <c r="GD229">
        <v>3450</v>
      </c>
      <c r="GE229">
        <v>4985</v>
      </c>
      <c r="GF229">
        <v>6627</v>
      </c>
      <c r="GG229">
        <v>-129</v>
      </c>
      <c r="GH229">
        <v>-515</v>
      </c>
      <c r="GI229">
        <v>0</v>
      </c>
      <c r="GJ229">
        <v>0</v>
      </c>
      <c r="GK229">
        <v>17863</v>
      </c>
      <c r="GL229">
        <v>256</v>
      </c>
      <c r="GM229">
        <v>757</v>
      </c>
      <c r="GN229">
        <v>0</v>
      </c>
      <c r="GO229">
        <v>1390</v>
      </c>
      <c r="GP229">
        <v>0</v>
      </c>
      <c r="GQ229">
        <v>123</v>
      </c>
      <c r="GR229">
        <v>0</v>
      </c>
      <c r="GS229">
        <v>-4267</v>
      </c>
      <c r="GT229">
        <v>253</v>
      </c>
      <c r="GU229">
        <v>-1488</v>
      </c>
      <c r="GV229">
        <v>20459</v>
      </c>
      <c r="GW229">
        <v>0</v>
      </c>
      <c r="GX229">
        <v>0</v>
      </c>
      <c r="GY229">
        <v>0</v>
      </c>
      <c r="GZ229">
        <v>0</v>
      </c>
      <c r="HA229">
        <v>0</v>
      </c>
      <c r="HB229">
        <v>5494</v>
      </c>
      <c r="HC229">
        <v>482</v>
      </c>
      <c r="HD229">
        <v>0</v>
      </c>
      <c r="HE229">
        <v>0</v>
      </c>
      <c r="HF229">
        <v>96</v>
      </c>
      <c r="HG229">
        <v>64</v>
      </c>
      <c r="HH229">
        <v>-9</v>
      </c>
      <c r="HI229">
        <v>-194</v>
      </c>
      <c r="HJ229">
        <v>467</v>
      </c>
      <c r="HK229">
        <v>91</v>
      </c>
      <c r="HL229">
        <v>144</v>
      </c>
      <c r="HM229">
        <v>-196</v>
      </c>
      <c r="HN229">
        <v>91</v>
      </c>
      <c r="HO229">
        <v>959</v>
      </c>
      <c r="HP229">
        <v>369</v>
      </c>
      <c r="HQ229">
        <v>0</v>
      </c>
      <c r="HR229">
        <v>1065</v>
      </c>
      <c r="HS229">
        <v>1078</v>
      </c>
      <c r="HT229">
        <v>0</v>
      </c>
      <c r="HU229">
        <v>-2903</v>
      </c>
      <c r="HV229">
        <v>7099</v>
      </c>
      <c r="HW229">
        <v>3198</v>
      </c>
      <c r="HX229">
        <v>21559</v>
      </c>
      <c r="HY229">
        <v>0</v>
      </c>
      <c r="HZ229">
        <v>471</v>
      </c>
      <c r="IA229">
        <v>4239</v>
      </c>
      <c r="IB229">
        <v>278</v>
      </c>
      <c r="IC229">
        <v>219131</v>
      </c>
      <c r="ID229">
        <v>-964</v>
      </c>
      <c r="IE229">
        <v>36705</v>
      </c>
      <c r="IF229">
        <v>59202</v>
      </c>
      <c r="IG229">
        <v>15313</v>
      </c>
      <c r="IH229">
        <v>9105</v>
      </c>
      <c r="II229">
        <v>4084</v>
      </c>
      <c r="IJ229">
        <v>17863</v>
      </c>
      <c r="IK229">
        <v>-1488</v>
      </c>
      <c r="IL229">
        <v>0</v>
      </c>
      <c r="IM229">
        <v>0</v>
      </c>
      <c r="IN229">
        <v>7099</v>
      </c>
      <c r="IO229">
        <v>278</v>
      </c>
      <c r="IP229">
        <v>366328</v>
      </c>
      <c r="IQ229">
        <v>52966</v>
      </c>
      <c r="IR229">
        <v>1527</v>
      </c>
      <c r="IS229">
        <v>0</v>
      </c>
      <c r="IT229">
        <v>0</v>
      </c>
      <c r="IU229">
        <v>0</v>
      </c>
      <c r="IV229">
        <v>0</v>
      </c>
      <c r="IW229">
        <v>0</v>
      </c>
      <c r="IX229">
        <v>0</v>
      </c>
      <c r="IY229">
        <v>253</v>
      </c>
      <c r="IZ229">
        <v>763</v>
      </c>
      <c r="JA229">
        <v>0</v>
      </c>
      <c r="JB229">
        <v>-154</v>
      </c>
      <c r="JC229">
        <v>0</v>
      </c>
      <c r="JD229">
        <v>0</v>
      </c>
      <c r="JE229">
        <v>0</v>
      </c>
      <c r="JF229">
        <v>0</v>
      </c>
      <c r="JG229">
        <v>421683</v>
      </c>
      <c r="JH229">
        <v>174</v>
      </c>
      <c r="JI229">
        <v>3500</v>
      </c>
      <c r="JJ229">
        <v>0</v>
      </c>
      <c r="JK229">
        <v>0</v>
      </c>
      <c r="JL229">
        <v>0</v>
      </c>
      <c r="JM229">
        <v>-897</v>
      </c>
      <c r="JN229">
        <v>10360</v>
      </c>
      <c r="JO229">
        <v>0</v>
      </c>
      <c r="JP229">
        <v>6080</v>
      </c>
      <c r="JQ229">
        <v>0</v>
      </c>
      <c r="JR229">
        <v>440900</v>
      </c>
      <c r="JS229">
        <v>-2510</v>
      </c>
      <c r="JT229">
        <v>0</v>
      </c>
      <c r="JU229">
        <v>0</v>
      </c>
      <c r="JV229">
        <v>0</v>
      </c>
      <c r="JW229">
        <v>-63134</v>
      </c>
      <c r="JX229">
        <v>0</v>
      </c>
      <c r="JY229">
        <v>-5519</v>
      </c>
      <c r="JZ229">
        <v>0</v>
      </c>
      <c r="KA229">
        <v>0</v>
      </c>
      <c r="KB229">
        <v>0</v>
      </c>
      <c r="KC229">
        <v>369737</v>
      </c>
      <c r="KD229">
        <v>0</v>
      </c>
      <c r="KE229">
        <v>-225726</v>
      </c>
      <c r="KF229">
        <v>144011</v>
      </c>
      <c r="KG229">
        <v>0</v>
      </c>
      <c r="KH229">
        <v>-176</v>
      </c>
      <c r="KI229">
        <v>-1952</v>
      </c>
      <c r="KJ229">
        <v>-254</v>
      </c>
      <c r="KK229">
        <v>4126</v>
      </c>
      <c r="KL229">
        <v>0</v>
      </c>
      <c r="KM229">
        <v>-5187</v>
      </c>
      <c r="KN229">
        <v>0</v>
      </c>
      <c r="KO229">
        <v>-31986</v>
      </c>
      <c r="KP229">
        <v>962</v>
      </c>
      <c r="KQ229">
        <v>-625</v>
      </c>
      <c r="KR229">
        <v>99861</v>
      </c>
      <c r="KS229">
        <v>11729</v>
      </c>
      <c r="KT229">
        <v>-24981</v>
      </c>
      <c r="KU229">
        <v>494</v>
      </c>
      <c r="KV229">
        <v>97862</v>
      </c>
      <c r="KW229">
        <v>13778</v>
      </c>
      <c r="KX229">
        <v>11553</v>
      </c>
      <c r="KY229">
        <v>-26933</v>
      </c>
      <c r="KZ229">
        <v>240</v>
      </c>
      <c r="LA229">
        <v>101988</v>
      </c>
      <c r="LB229">
        <v>13778</v>
      </c>
      <c r="LC229">
        <v>0</v>
      </c>
      <c r="LD229">
        <v>26353</v>
      </c>
      <c r="LE229">
        <v>0</v>
      </c>
      <c r="LF229">
        <v>-489</v>
      </c>
      <c r="LG229">
        <v>0</v>
      </c>
      <c r="LH229">
        <v>1216</v>
      </c>
      <c r="LI229">
        <v>27080</v>
      </c>
      <c r="LJ229">
        <v>4233</v>
      </c>
      <c r="LK229">
        <v>8277</v>
      </c>
      <c r="LL229">
        <v>12510</v>
      </c>
      <c r="LM229">
        <v>0</v>
      </c>
      <c r="LN229">
        <v>0</v>
      </c>
      <c r="LO229">
        <v>0</v>
      </c>
      <c r="LP229">
        <v>0</v>
      </c>
      <c r="LQ229">
        <v>0</v>
      </c>
      <c r="LR229">
        <v>0</v>
      </c>
      <c r="LS229">
        <v>0</v>
      </c>
      <c r="LT229">
        <v>0</v>
      </c>
      <c r="LU229">
        <v>219131</v>
      </c>
      <c r="LV229">
        <v>-964</v>
      </c>
      <c r="LW229">
        <v>36705</v>
      </c>
      <c r="LX229">
        <v>59202</v>
      </c>
      <c r="LY229">
        <v>15313</v>
      </c>
      <c r="LZ229">
        <v>9105</v>
      </c>
      <c r="MA229">
        <v>4084</v>
      </c>
      <c r="MB229">
        <v>17863</v>
      </c>
      <c r="MC229">
        <v>-1488</v>
      </c>
      <c r="MD229">
        <v>0</v>
      </c>
      <c r="ME229">
        <v>0</v>
      </c>
      <c r="MF229">
        <v>7099</v>
      </c>
      <c r="MG229">
        <v>278</v>
      </c>
      <c r="MH229">
        <v>366328</v>
      </c>
      <c r="MI229">
        <v>0</v>
      </c>
      <c r="MJ229">
        <v>0</v>
      </c>
      <c r="MK229">
        <v>0</v>
      </c>
      <c r="ML229">
        <v>0</v>
      </c>
      <c r="MM229">
        <v>0</v>
      </c>
      <c r="MN229">
        <v>0</v>
      </c>
      <c r="MO229">
        <v>0</v>
      </c>
      <c r="MP229">
        <v>0</v>
      </c>
      <c r="MQ229">
        <v>0</v>
      </c>
      <c r="MR229">
        <v>0</v>
      </c>
      <c r="MS229">
        <v>0</v>
      </c>
      <c r="MT229">
        <v>0</v>
      </c>
      <c r="MU229">
        <v>0</v>
      </c>
      <c r="MV229">
        <v>0</v>
      </c>
      <c r="MW229">
        <v>0</v>
      </c>
      <c r="MX229">
        <v>0</v>
      </c>
      <c r="MY229">
        <v>0</v>
      </c>
      <c r="MZ229">
        <v>0</v>
      </c>
      <c r="NA229">
        <v>0</v>
      </c>
      <c r="NB229">
        <v>0</v>
      </c>
      <c r="NC229">
        <v>0</v>
      </c>
      <c r="ND229">
        <v>0</v>
      </c>
      <c r="NE229">
        <v>0</v>
      </c>
      <c r="NF229">
        <v>0</v>
      </c>
      <c r="NG229">
        <v>0</v>
      </c>
      <c r="NH229">
        <v>0</v>
      </c>
      <c r="NI229">
        <v>0</v>
      </c>
      <c r="NJ229">
        <v>0</v>
      </c>
      <c r="NK229">
        <v>0</v>
      </c>
      <c r="NL229">
        <v>0</v>
      </c>
      <c r="NM229">
        <v>0</v>
      </c>
      <c r="NN229">
        <v>0</v>
      </c>
      <c r="NO229">
        <v>0</v>
      </c>
      <c r="NP229">
        <v>0</v>
      </c>
      <c r="NQ229">
        <v>0</v>
      </c>
      <c r="NR229">
        <v>-160</v>
      </c>
      <c r="NS229">
        <v>0</v>
      </c>
      <c r="NT229">
        <v>0</v>
      </c>
      <c r="NU229">
        <v>-27</v>
      </c>
      <c r="NV229">
        <v>0</v>
      </c>
      <c r="NW229">
        <v>0</v>
      </c>
      <c r="NX229">
        <v>0</v>
      </c>
      <c r="NY229">
        <v>0</v>
      </c>
      <c r="NZ229">
        <v>-154</v>
      </c>
      <c r="OA229">
        <v>0</v>
      </c>
      <c r="OB229">
        <v>-154</v>
      </c>
      <c r="OC229">
        <v>0</v>
      </c>
      <c r="OD229">
        <v>0</v>
      </c>
      <c r="OE229">
        <v>0</v>
      </c>
      <c r="OF229">
        <v>0</v>
      </c>
      <c r="OG229">
        <v>0</v>
      </c>
      <c r="OH229">
        <v>0</v>
      </c>
      <c r="OI229">
        <v>0</v>
      </c>
      <c r="OJ229">
        <v>0</v>
      </c>
      <c r="OK229">
        <v>0</v>
      </c>
      <c r="OL229">
        <v>0</v>
      </c>
      <c r="OM229">
        <v>0</v>
      </c>
      <c r="ON229">
        <v>0</v>
      </c>
    </row>
    <row r="230" spans="1:404" x14ac:dyDescent="0.25">
      <c r="A230" t="s">
        <v>758</v>
      </c>
      <c r="B230" t="s">
        <v>759</v>
      </c>
      <c r="C230" t="s">
        <v>757</v>
      </c>
      <c r="E230" t="s">
        <v>61</v>
      </c>
      <c r="F230">
        <v>0</v>
      </c>
      <c r="G230">
        <v>0</v>
      </c>
      <c r="H230">
        <v>0</v>
      </c>
      <c r="I230">
        <v>0</v>
      </c>
      <c r="J230">
        <v>0</v>
      </c>
      <c r="K230">
        <v>0</v>
      </c>
      <c r="L230">
        <v>0</v>
      </c>
      <c r="M230">
        <v>0</v>
      </c>
      <c r="N230">
        <v>0</v>
      </c>
      <c r="O230">
        <v>0</v>
      </c>
      <c r="P230">
        <v>0</v>
      </c>
      <c r="Q230">
        <v>0</v>
      </c>
      <c r="R230">
        <v>0</v>
      </c>
      <c r="S230">
        <v>0</v>
      </c>
      <c r="T230">
        <v>0</v>
      </c>
      <c r="U230">
        <v>0</v>
      </c>
      <c r="V230">
        <v>0</v>
      </c>
      <c r="W230">
        <v>0</v>
      </c>
      <c r="X230">
        <v>0</v>
      </c>
      <c r="Y230">
        <v>0</v>
      </c>
      <c r="Z230">
        <v>0</v>
      </c>
      <c r="AA230">
        <v>-176</v>
      </c>
      <c r="AB230">
        <v>0</v>
      </c>
      <c r="AC230">
        <v>0</v>
      </c>
      <c r="AD230">
        <v>0</v>
      </c>
      <c r="AE230">
        <v>0</v>
      </c>
      <c r="AF230">
        <v>0</v>
      </c>
      <c r="AG230">
        <v>-8</v>
      </c>
      <c r="AH230">
        <v>0</v>
      </c>
      <c r="AI230">
        <v>-184</v>
      </c>
      <c r="AJ230">
        <v>0</v>
      </c>
      <c r="AK230">
        <v>0</v>
      </c>
      <c r="AL230">
        <v>0</v>
      </c>
      <c r="AM230">
        <v>0</v>
      </c>
      <c r="AN230">
        <v>0</v>
      </c>
      <c r="AO230">
        <v>0</v>
      </c>
      <c r="AP230">
        <v>0</v>
      </c>
      <c r="AQ230">
        <v>0</v>
      </c>
      <c r="AR230">
        <v>0</v>
      </c>
      <c r="AS230">
        <v>0</v>
      </c>
      <c r="AT230">
        <v>0</v>
      </c>
      <c r="AU230">
        <v>0</v>
      </c>
      <c r="AV230">
        <v>0</v>
      </c>
      <c r="AW230">
        <v>0</v>
      </c>
      <c r="AX230">
        <v>0</v>
      </c>
      <c r="AY230">
        <v>0</v>
      </c>
      <c r="AZ230">
        <v>0</v>
      </c>
      <c r="BA230">
        <v>0</v>
      </c>
      <c r="BB230">
        <v>0</v>
      </c>
      <c r="BC230">
        <v>0</v>
      </c>
      <c r="BD230">
        <v>0</v>
      </c>
      <c r="BE230">
        <v>0</v>
      </c>
      <c r="BF230">
        <v>0</v>
      </c>
      <c r="BG230">
        <v>0</v>
      </c>
      <c r="BH230">
        <v>0</v>
      </c>
      <c r="BI230">
        <v>0</v>
      </c>
      <c r="BJ230">
        <v>0</v>
      </c>
      <c r="BK230">
        <v>0</v>
      </c>
      <c r="BL230">
        <v>0</v>
      </c>
      <c r="BM230">
        <v>0</v>
      </c>
      <c r="BN230">
        <v>0</v>
      </c>
      <c r="BO230">
        <v>0</v>
      </c>
      <c r="BP230">
        <v>0</v>
      </c>
      <c r="BQ230">
        <v>0</v>
      </c>
      <c r="BR230">
        <v>0</v>
      </c>
      <c r="BS230">
        <v>0</v>
      </c>
      <c r="BT230">
        <v>0</v>
      </c>
      <c r="BU230">
        <v>0</v>
      </c>
      <c r="BV230">
        <v>0</v>
      </c>
      <c r="BW230">
        <v>0</v>
      </c>
      <c r="BX230">
        <v>0</v>
      </c>
      <c r="BY230">
        <v>0</v>
      </c>
      <c r="BZ230">
        <v>0</v>
      </c>
      <c r="CA230">
        <v>0</v>
      </c>
      <c r="CB230">
        <v>0</v>
      </c>
      <c r="CC230">
        <v>0</v>
      </c>
      <c r="CD230">
        <v>0</v>
      </c>
      <c r="CE230">
        <v>0</v>
      </c>
      <c r="CF230">
        <v>0</v>
      </c>
      <c r="CG230">
        <v>0</v>
      </c>
      <c r="CH230">
        <v>0</v>
      </c>
      <c r="CI230">
        <v>0</v>
      </c>
      <c r="CJ230">
        <v>0</v>
      </c>
      <c r="CK230">
        <v>0</v>
      </c>
      <c r="CL230">
        <v>0</v>
      </c>
      <c r="CM230">
        <v>0</v>
      </c>
      <c r="CN230">
        <v>0</v>
      </c>
      <c r="CO230">
        <v>0</v>
      </c>
      <c r="CP230">
        <v>0</v>
      </c>
      <c r="CQ230">
        <v>0</v>
      </c>
      <c r="CR230">
        <v>0</v>
      </c>
      <c r="CS230">
        <v>0</v>
      </c>
      <c r="CT230">
        <v>0</v>
      </c>
      <c r="CU230">
        <v>0</v>
      </c>
      <c r="CV230">
        <v>0</v>
      </c>
      <c r="CW230">
        <v>0</v>
      </c>
      <c r="CX230">
        <v>0</v>
      </c>
      <c r="CY230">
        <v>0</v>
      </c>
      <c r="CZ230">
        <v>0</v>
      </c>
      <c r="DA230">
        <v>0</v>
      </c>
      <c r="DB230">
        <v>0</v>
      </c>
      <c r="DC230">
        <v>9</v>
      </c>
      <c r="DD230">
        <v>0</v>
      </c>
      <c r="DE230">
        <v>54</v>
      </c>
      <c r="DF230">
        <v>0</v>
      </c>
      <c r="DG230">
        <v>0</v>
      </c>
      <c r="DH230">
        <v>0</v>
      </c>
      <c r="DI230">
        <v>0</v>
      </c>
      <c r="DJ230">
        <v>170</v>
      </c>
      <c r="DK230">
        <v>25</v>
      </c>
      <c r="DL230">
        <v>0</v>
      </c>
      <c r="DM230">
        <v>60</v>
      </c>
      <c r="DN230">
        <v>183</v>
      </c>
      <c r="DO230">
        <v>1</v>
      </c>
      <c r="DP230">
        <v>439</v>
      </c>
      <c r="DQ230">
        <v>70</v>
      </c>
      <c r="DR230">
        <v>39</v>
      </c>
      <c r="DS230">
        <v>0</v>
      </c>
      <c r="DT230">
        <v>431</v>
      </c>
      <c r="DU230">
        <v>0</v>
      </c>
      <c r="DV230">
        <v>-38</v>
      </c>
      <c r="DW230">
        <v>0</v>
      </c>
      <c r="DX230">
        <v>1004</v>
      </c>
      <c r="DY230">
        <v>12290</v>
      </c>
      <c r="DZ230">
        <v>515</v>
      </c>
      <c r="EA230">
        <v>30</v>
      </c>
      <c r="EB230">
        <v>302</v>
      </c>
      <c r="EC230">
        <v>0</v>
      </c>
      <c r="ED230">
        <v>30</v>
      </c>
      <c r="EE230">
        <v>0</v>
      </c>
      <c r="EF230">
        <v>0</v>
      </c>
      <c r="EG230">
        <v>-28</v>
      </c>
      <c r="EH230">
        <v>3252</v>
      </c>
      <c r="EI230">
        <v>3217</v>
      </c>
      <c r="EJ230">
        <v>0</v>
      </c>
      <c r="EK230">
        <v>0</v>
      </c>
      <c r="EL230">
        <v>1023</v>
      </c>
      <c r="EM230">
        <v>962</v>
      </c>
      <c r="EN230">
        <v>300</v>
      </c>
      <c r="EO230">
        <v>0</v>
      </c>
      <c r="EP230">
        <v>0</v>
      </c>
      <c r="EQ230">
        <v>2621</v>
      </c>
      <c r="ER230">
        <v>99</v>
      </c>
      <c r="ES230">
        <v>21567</v>
      </c>
      <c r="ET230">
        <v>23232</v>
      </c>
      <c r="EU230">
        <v>0</v>
      </c>
      <c r="EV230">
        <v>0</v>
      </c>
      <c r="EW230">
        <v>0</v>
      </c>
      <c r="EX230">
        <v>0</v>
      </c>
      <c r="EY230">
        <v>0</v>
      </c>
      <c r="EZ230">
        <v>0</v>
      </c>
      <c r="FA230">
        <v>0</v>
      </c>
      <c r="FB230">
        <v>0</v>
      </c>
      <c r="FC230">
        <v>1665</v>
      </c>
      <c r="FD230">
        <v>562</v>
      </c>
      <c r="FE230">
        <v>0</v>
      </c>
      <c r="FF230">
        <v>0</v>
      </c>
      <c r="FG230">
        <v>0</v>
      </c>
      <c r="FH230">
        <v>2227</v>
      </c>
      <c r="FI230">
        <v>110</v>
      </c>
      <c r="FJ230">
        <v>0</v>
      </c>
      <c r="FK230">
        <v>50</v>
      </c>
      <c r="FL230">
        <v>79</v>
      </c>
      <c r="FM230">
        <v>-84</v>
      </c>
      <c r="FN230">
        <v>0</v>
      </c>
      <c r="FO230">
        <v>0</v>
      </c>
      <c r="FP230">
        <v>0</v>
      </c>
      <c r="FQ230">
        <v>0</v>
      </c>
      <c r="FR230">
        <v>25</v>
      </c>
      <c r="FS230">
        <v>58</v>
      </c>
      <c r="FT230">
        <v>35</v>
      </c>
      <c r="FU230">
        <v>109</v>
      </c>
      <c r="FV230">
        <v>34</v>
      </c>
      <c r="FW230">
        <v>0</v>
      </c>
      <c r="FX230">
        <v>-9</v>
      </c>
      <c r="FY230">
        <v>0</v>
      </c>
      <c r="FZ230">
        <v>58</v>
      </c>
      <c r="GA230">
        <v>0</v>
      </c>
      <c r="GB230">
        <v>0</v>
      </c>
      <c r="GC230">
        <v>0</v>
      </c>
      <c r="GD230">
        <v>570</v>
      </c>
      <c r="GE230">
        <v>1088</v>
      </c>
      <c r="GF230">
        <v>0</v>
      </c>
      <c r="GG230">
        <v>-149</v>
      </c>
      <c r="GH230">
        <v>708</v>
      </c>
      <c r="GI230">
        <v>0</v>
      </c>
      <c r="GJ230">
        <v>0</v>
      </c>
      <c r="GK230">
        <v>2682</v>
      </c>
      <c r="GL230">
        <v>39</v>
      </c>
      <c r="GM230">
        <v>534</v>
      </c>
      <c r="GN230">
        <v>0</v>
      </c>
      <c r="GO230">
        <v>340</v>
      </c>
      <c r="GP230">
        <v>0</v>
      </c>
      <c r="GQ230">
        <v>502</v>
      </c>
      <c r="GR230">
        <v>0</v>
      </c>
      <c r="GS230">
        <v>0</v>
      </c>
      <c r="GT230">
        <v>339</v>
      </c>
      <c r="GU230">
        <v>1754</v>
      </c>
      <c r="GV230">
        <v>6663</v>
      </c>
      <c r="GW230">
        <v>0</v>
      </c>
      <c r="GX230">
        <v>0</v>
      </c>
      <c r="GY230">
        <v>0</v>
      </c>
      <c r="GZ230">
        <v>0</v>
      </c>
      <c r="HA230">
        <v>0</v>
      </c>
      <c r="HB230">
        <v>1596</v>
      </c>
      <c r="HC230">
        <v>363</v>
      </c>
      <c r="HD230">
        <v>0</v>
      </c>
      <c r="HE230">
        <v>0</v>
      </c>
      <c r="HF230">
        <v>0</v>
      </c>
      <c r="HG230">
        <v>213</v>
      </c>
      <c r="HH230">
        <v>0</v>
      </c>
      <c r="HI230">
        <v>0</v>
      </c>
      <c r="HJ230">
        <v>243</v>
      </c>
      <c r="HK230">
        <v>46</v>
      </c>
      <c r="HL230">
        <v>29</v>
      </c>
      <c r="HM230">
        <v>-5</v>
      </c>
      <c r="HN230">
        <v>0</v>
      </c>
      <c r="HO230">
        <v>0</v>
      </c>
      <c r="HP230">
        <v>0</v>
      </c>
      <c r="HQ230">
        <v>0</v>
      </c>
      <c r="HR230">
        <v>773</v>
      </c>
      <c r="HS230">
        <v>0</v>
      </c>
      <c r="HT230">
        <v>0</v>
      </c>
      <c r="HU230">
        <v>126</v>
      </c>
      <c r="HV230">
        <v>3384</v>
      </c>
      <c r="HW230">
        <v>2362</v>
      </c>
      <c r="HX230">
        <v>2753</v>
      </c>
      <c r="HY230">
        <v>0</v>
      </c>
      <c r="HZ230">
        <v>992</v>
      </c>
      <c r="IA230">
        <v>170</v>
      </c>
      <c r="IB230">
        <v>0</v>
      </c>
      <c r="IC230">
        <v>0</v>
      </c>
      <c r="ID230">
        <v>-184</v>
      </c>
      <c r="IE230">
        <v>0</v>
      </c>
      <c r="IF230">
        <v>0</v>
      </c>
      <c r="IG230">
        <v>0</v>
      </c>
      <c r="IH230">
        <v>1004</v>
      </c>
      <c r="II230">
        <v>2227</v>
      </c>
      <c r="IJ230">
        <v>2682</v>
      </c>
      <c r="IK230">
        <v>1754</v>
      </c>
      <c r="IL230">
        <v>0</v>
      </c>
      <c r="IM230">
        <v>0</v>
      </c>
      <c r="IN230">
        <v>3384</v>
      </c>
      <c r="IO230">
        <v>0</v>
      </c>
      <c r="IP230">
        <v>10867</v>
      </c>
      <c r="IQ230">
        <v>6706</v>
      </c>
      <c r="IR230">
        <v>172</v>
      </c>
      <c r="IS230">
        <v>4353</v>
      </c>
      <c r="IT230">
        <v>0</v>
      </c>
      <c r="IU230">
        <v>0</v>
      </c>
      <c r="IV230">
        <v>1984</v>
      </c>
      <c r="IW230">
        <v>0</v>
      </c>
      <c r="IX230">
        <v>0</v>
      </c>
      <c r="IY230">
        <v>0</v>
      </c>
      <c r="IZ230">
        <v>38</v>
      </c>
      <c r="JA230">
        <v>0</v>
      </c>
      <c r="JB230">
        <v>0</v>
      </c>
      <c r="JC230">
        <v>0</v>
      </c>
      <c r="JD230">
        <v>0</v>
      </c>
      <c r="JE230">
        <v>85</v>
      </c>
      <c r="JF230">
        <v>861</v>
      </c>
      <c r="JG230">
        <v>25066</v>
      </c>
      <c r="JH230">
        <v>0</v>
      </c>
      <c r="JI230">
        <v>178</v>
      </c>
      <c r="JJ230">
        <v>0</v>
      </c>
      <c r="JK230">
        <v>0</v>
      </c>
      <c r="JL230">
        <v>0</v>
      </c>
      <c r="JM230">
        <v>-65</v>
      </c>
      <c r="JN230">
        <v>336</v>
      </c>
      <c r="JO230">
        <v>335</v>
      </c>
      <c r="JP230">
        <v>1219</v>
      </c>
      <c r="JQ230">
        <v>-1019</v>
      </c>
      <c r="JR230">
        <v>26050</v>
      </c>
      <c r="JS230">
        <v>-816</v>
      </c>
      <c r="JT230">
        <v>0</v>
      </c>
      <c r="JU230">
        <v>0</v>
      </c>
      <c r="JV230">
        <v>0</v>
      </c>
      <c r="JW230">
        <v>-11314</v>
      </c>
      <c r="JX230">
        <v>0</v>
      </c>
      <c r="JY230">
        <v>0</v>
      </c>
      <c r="JZ230">
        <v>0</v>
      </c>
      <c r="KA230">
        <v>0</v>
      </c>
      <c r="KB230">
        <v>0</v>
      </c>
      <c r="KC230">
        <v>13920</v>
      </c>
      <c r="KD230">
        <v>0</v>
      </c>
      <c r="KE230">
        <v>-3859</v>
      </c>
      <c r="KF230">
        <v>10061</v>
      </c>
      <c r="KG230">
        <v>0</v>
      </c>
      <c r="KH230">
        <v>0</v>
      </c>
      <c r="KI230">
        <v>0</v>
      </c>
      <c r="KJ230">
        <v>0</v>
      </c>
      <c r="KK230">
        <v>408</v>
      </c>
      <c r="KL230">
        <v>29</v>
      </c>
      <c r="KM230">
        <v>0</v>
      </c>
      <c r="KN230">
        <v>0</v>
      </c>
      <c r="KO230">
        <v>524</v>
      </c>
      <c r="KP230">
        <v>115</v>
      </c>
      <c r="KQ230">
        <v>16</v>
      </c>
      <c r="KR230">
        <v>8099</v>
      </c>
      <c r="KS230">
        <v>0</v>
      </c>
      <c r="KT230">
        <v>0</v>
      </c>
      <c r="KU230">
        <v>0</v>
      </c>
      <c r="KV230">
        <v>20247</v>
      </c>
      <c r="KW230">
        <v>2187</v>
      </c>
      <c r="KX230">
        <v>0</v>
      </c>
      <c r="KY230">
        <v>0</v>
      </c>
      <c r="KZ230">
        <v>0</v>
      </c>
      <c r="LA230">
        <v>20655</v>
      </c>
      <c r="LB230">
        <v>2216</v>
      </c>
      <c r="LC230">
        <v>0</v>
      </c>
      <c r="LD230">
        <v>1958</v>
      </c>
      <c r="LE230">
        <v>0</v>
      </c>
      <c r="LF230">
        <v>-901</v>
      </c>
      <c r="LG230">
        <v>-1439</v>
      </c>
      <c r="LH230">
        <v>1367</v>
      </c>
      <c r="LI230">
        <v>985</v>
      </c>
      <c r="LJ230">
        <v>2389</v>
      </c>
      <c r="LK230">
        <v>1592</v>
      </c>
      <c r="LL230">
        <v>3981</v>
      </c>
      <c r="LM230">
        <v>0</v>
      </c>
      <c r="LN230">
        <v>0</v>
      </c>
      <c r="LO230">
        <v>0</v>
      </c>
      <c r="LP230">
        <v>13139</v>
      </c>
      <c r="LQ230">
        <v>11474</v>
      </c>
      <c r="LR230">
        <v>1665</v>
      </c>
      <c r="LS230">
        <v>21567</v>
      </c>
      <c r="LT230">
        <v>23232</v>
      </c>
      <c r="LU230">
        <v>0</v>
      </c>
      <c r="LV230">
        <v>-184</v>
      </c>
      <c r="LW230">
        <v>0</v>
      </c>
      <c r="LX230">
        <v>0</v>
      </c>
      <c r="LY230">
        <v>0</v>
      </c>
      <c r="LZ230">
        <v>1004</v>
      </c>
      <c r="MA230">
        <v>2227</v>
      </c>
      <c r="MB230">
        <v>2682</v>
      </c>
      <c r="MC230">
        <v>1754</v>
      </c>
      <c r="MD230">
        <v>0</v>
      </c>
      <c r="ME230">
        <v>0</v>
      </c>
      <c r="MF230">
        <v>3384</v>
      </c>
      <c r="MG230">
        <v>0</v>
      </c>
      <c r="MH230">
        <v>10867</v>
      </c>
      <c r="MI230">
        <v>0</v>
      </c>
      <c r="MJ230">
        <v>0</v>
      </c>
      <c r="MK230">
        <v>0</v>
      </c>
      <c r="ML230">
        <v>0</v>
      </c>
      <c r="MM230">
        <v>0</v>
      </c>
      <c r="MN230">
        <v>0</v>
      </c>
      <c r="MO230">
        <v>0</v>
      </c>
      <c r="MP230">
        <v>0</v>
      </c>
      <c r="MQ230">
        <v>0</v>
      </c>
      <c r="MR230">
        <v>0</v>
      </c>
      <c r="MS230">
        <v>0</v>
      </c>
      <c r="MT230">
        <v>0</v>
      </c>
      <c r="MU230">
        <v>0</v>
      </c>
      <c r="MV230">
        <v>0</v>
      </c>
      <c r="MW230">
        <v>0</v>
      </c>
      <c r="MX230">
        <v>0</v>
      </c>
      <c r="MY230">
        <v>0</v>
      </c>
      <c r="MZ230">
        <v>0</v>
      </c>
      <c r="NA230">
        <v>0</v>
      </c>
      <c r="NB230">
        <v>0</v>
      </c>
      <c r="NC230">
        <v>0</v>
      </c>
      <c r="ND230">
        <v>0</v>
      </c>
      <c r="NE230">
        <v>0</v>
      </c>
      <c r="NF230">
        <v>0</v>
      </c>
      <c r="NG230">
        <v>0</v>
      </c>
      <c r="NH230">
        <v>0</v>
      </c>
      <c r="NI230">
        <v>0</v>
      </c>
      <c r="NJ230">
        <v>0</v>
      </c>
      <c r="NK230">
        <v>0</v>
      </c>
      <c r="NL230">
        <v>0</v>
      </c>
      <c r="NM230">
        <v>0</v>
      </c>
      <c r="NN230">
        <v>0</v>
      </c>
      <c r="NO230">
        <v>0</v>
      </c>
      <c r="NP230">
        <v>0</v>
      </c>
      <c r="NQ230">
        <v>0</v>
      </c>
      <c r="NR230">
        <v>0</v>
      </c>
      <c r="NS230">
        <v>0</v>
      </c>
      <c r="NT230">
        <v>0</v>
      </c>
      <c r="NU230">
        <v>0</v>
      </c>
      <c r="NV230">
        <v>0</v>
      </c>
      <c r="NW230">
        <v>0</v>
      </c>
      <c r="NX230">
        <v>0</v>
      </c>
      <c r="NY230">
        <v>0</v>
      </c>
      <c r="NZ230">
        <v>0</v>
      </c>
      <c r="OA230">
        <v>0</v>
      </c>
      <c r="OB230">
        <v>0</v>
      </c>
      <c r="OC230">
        <v>0</v>
      </c>
      <c r="OD230">
        <v>0</v>
      </c>
      <c r="OE230">
        <v>0</v>
      </c>
      <c r="OF230">
        <v>0</v>
      </c>
      <c r="OG230">
        <v>0</v>
      </c>
      <c r="OH230">
        <v>0</v>
      </c>
      <c r="OI230">
        <v>0</v>
      </c>
      <c r="OJ230">
        <v>0</v>
      </c>
      <c r="OK230">
        <v>0</v>
      </c>
      <c r="OL230">
        <v>0</v>
      </c>
      <c r="OM230">
        <v>0</v>
      </c>
      <c r="ON230">
        <v>0</v>
      </c>
    </row>
    <row r="231" spans="1:404" x14ac:dyDescent="0.25">
      <c r="A231" t="s">
        <v>761</v>
      </c>
      <c r="B231" t="s">
        <v>762</v>
      </c>
      <c r="C231" t="s">
        <v>760</v>
      </c>
      <c r="E231" t="s">
        <v>61</v>
      </c>
      <c r="F231">
        <v>0</v>
      </c>
      <c r="G231">
        <v>0</v>
      </c>
      <c r="H231">
        <v>0</v>
      </c>
      <c r="I231">
        <v>0</v>
      </c>
      <c r="J231">
        <v>0</v>
      </c>
      <c r="K231">
        <v>0</v>
      </c>
      <c r="L231">
        <v>0</v>
      </c>
      <c r="M231">
        <v>0</v>
      </c>
      <c r="N231">
        <v>0</v>
      </c>
      <c r="O231">
        <v>0</v>
      </c>
      <c r="P231">
        <v>0</v>
      </c>
      <c r="Q231">
        <v>0</v>
      </c>
      <c r="R231">
        <v>0</v>
      </c>
      <c r="S231">
        <v>0</v>
      </c>
      <c r="T231">
        <v>0</v>
      </c>
      <c r="U231">
        <v>0</v>
      </c>
      <c r="V231">
        <v>0</v>
      </c>
      <c r="W231">
        <v>0</v>
      </c>
      <c r="X231">
        <v>0</v>
      </c>
      <c r="Y231">
        <v>0</v>
      </c>
      <c r="Z231">
        <v>327</v>
      </c>
      <c r="AA231">
        <v>71</v>
      </c>
      <c r="AB231">
        <v>0</v>
      </c>
      <c r="AC231">
        <v>0</v>
      </c>
      <c r="AD231">
        <v>0</v>
      </c>
      <c r="AE231">
        <v>0</v>
      </c>
      <c r="AF231">
        <v>0</v>
      </c>
      <c r="AG231">
        <v>0</v>
      </c>
      <c r="AH231">
        <v>0</v>
      </c>
      <c r="AI231">
        <v>398</v>
      </c>
      <c r="AJ231">
        <v>0</v>
      </c>
      <c r="AK231">
        <v>0</v>
      </c>
      <c r="AL231">
        <v>0</v>
      </c>
      <c r="AM231">
        <v>0</v>
      </c>
      <c r="AN231">
        <v>0</v>
      </c>
      <c r="AO231">
        <v>0</v>
      </c>
      <c r="AP231">
        <v>0</v>
      </c>
      <c r="AQ231">
        <v>0</v>
      </c>
      <c r="AR231">
        <v>0</v>
      </c>
      <c r="AS231">
        <v>0</v>
      </c>
      <c r="AT231">
        <v>0</v>
      </c>
      <c r="AU231">
        <v>0</v>
      </c>
      <c r="AV231">
        <v>0</v>
      </c>
      <c r="AW231">
        <v>0</v>
      </c>
      <c r="AX231">
        <v>0</v>
      </c>
      <c r="AY231">
        <v>0</v>
      </c>
      <c r="AZ231">
        <v>0</v>
      </c>
      <c r="BA231">
        <v>0</v>
      </c>
      <c r="BB231">
        <v>0</v>
      </c>
      <c r="BC231">
        <v>0</v>
      </c>
      <c r="BD231">
        <v>0</v>
      </c>
      <c r="BE231">
        <v>0</v>
      </c>
      <c r="BF231">
        <v>0</v>
      </c>
      <c r="BG231">
        <v>0</v>
      </c>
      <c r="BH231">
        <v>0</v>
      </c>
      <c r="BI231">
        <v>0</v>
      </c>
      <c r="BJ231">
        <v>0</v>
      </c>
      <c r="BK231">
        <v>0</v>
      </c>
      <c r="BL231">
        <v>0</v>
      </c>
      <c r="BM231">
        <v>0</v>
      </c>
      <c r="BN231">
        <v>0</v>
      </c>
      <c r="BO231">
        <v>0</v>
      </c>
      <c r="BP231">
        <v>0</v>
      </c>
      <c r="BQ231">
        <v>0</v>
      </c>
      <c r="BR231">
        <v>0</v>
      </c>
      <c r="BS231">
        <v>0</v>
      </c>
      <c r="BT231">
        <v>0</v>
      </c>
      <c r="BU231">
        <v>0</v>
      </c>
      <c r="BV231">
        <v>0</v>
      </c>
      <c r="BW231">
        <v>0</v>
      </c>
      <c r="BX231">
        <v>0</v>
      </c>
      <c r="BY231">
        <v>0</v>
      </c>
      <c r="BZ231">
        <v>0</v>
      </c>
      <c r="CA231">
        <v>0</v>
      </c>
      <c r="CB231">
        <v>0</v>
      </c>
      <c r="CC231">
        <v>0</v>
      </c>
      <c r="CD231">
        <v>0</v>
      </c>
      <c r="CE231">
        <v>0</v>
      </c>
      <c r="CF231">
        <v>0</v>
      </c>
      <c r="CG231">
        <v>0</v>
      </c>
      <c r="CH231">
        <v>0</v>
      </c>
      <c r="CI231">
        <v>0</v>
      </c>
      <c r="CJ231">
        <v>0</v>
      </c>
      <c r="CK231">
        <v>0</v>
      </c>
      <c r="CL231">
        <v>0</v>
      </c>
      <c r="CM231">
        <v>0</v>
      </c>
      <c r="CN231">
        <v>0</v>
      </c>
      <c r="CO231">
        <v>0</v>
      </c>
      <c r="CP231">
        <v>0</v>
      </c>
      <c r="CQ231">
        <v>0</v>
      </c>
      <c r="CR231">
        <v>0</v>
      </c>
      <c r="CS231">
        <v>0</v>
      </c>
      <c r="CT231">
        <v>0</v>
      </c>
      <c r="CU231">
        <v>0</v>
      </c>
      <c r="CV231">
        <v>0</v>
      </c>
      <c r="CW231">
        <v>0</v>
      </c>
      <c r="CX231">
        <v>0</v>
      </c>
      <c r="CY231">
        <v>0</v>
      </c>
      <c r="CZ231">
        <v>0</v>
      </c>
      <c r="DA231">
        <v>0</v>
      </c>
      <c r="DB231">
        <v>0</v>
      </c>
      <c r="DC231">
        <v>465</v>
      </c>
      <c r="DD231">
        <v>0</v>
      </c>
      <c r="DE231">
        <v>0</v>
      </c>
      <c r="DF231">
        <v>114</v>
      </c>
      <c r="DG231">
        <v>0</v>
      </c>
      <c r="DH231">
        <v>0</v>
      </c>
      <c r="DI231">
        <v>36</v>
      </c>
      <c r="DJ231">
        <v>74</v>
      </c>
      <c r="DK231">
        <v>0</v>
      </c>
      <c r="DL231">
        <v>92</v>
      </c>
      <c r="DM231">
        <v>296</v>
      </c>
      <c r="DN231">
        <v>488</v>
      </c>
      <c r="DO231">
        <v>0</v>
      </c>
      <c r="DP231">
        <v>986</v>
      </c>
      <c r="DQ231">
        <v>6</v>
      </c>
      <c r="DR231">
        <v>0</v>
      </c>
      <c r="DS231">
        <v>2</v>
      </c>
      <c r="DT231">
        <v>0</v>
      </c>
      <c r="DU231">
        <v>0</v>
      </c>
      <c r="DV231">
        <v>49</v>
      </c>
      <c r="DW231">
        <v>0</v>
      </c>
      <c r="DX231">
        <v>1622</v>
      </c>
      <c r="DY231">
        <v>14475</v>
      </c>
      <c r="DZ231">
        <v>470</v>
      </c>
      <c r="EA231">
        <v>616</v>
      </c>
      <c r="EB231">
        <v>2</v>
      </c>
      <c r="EC231">
        <v>0</v>
      </c>
      <c r="ED231">
        <v>0</v>
      </c>
      <c r="EE231">
        <v>0</v>
      </c>
      <c r="EF231">
        <v>0</v>
      </c>
      <c r="EG231">
        <v>0</v>
      </c>
      <c r="EH231">
        <v>4419</v>
      </c>
      <c r="EI231">
        <v>1751</v>
      </c>
      <c r="EJ231">
        <v>1260</v>
      </c>
      <c r="EK231">
        <v>222</v>
      </c>
      <c r="EL231">
        <v>0</v>
      </c>
      <c r="EM231">
        <v>0</v>
      </c>
      <c r="EN231">
        <v>0</v>
      </c>
      <c r="EO231">
        <v>7</v>
      </c>
      <c r="EP231">
        <v>0</v>
      </c>
      <c r="EQ231">
        <v>0</v>
      </c>
      <c r="ER231">
        <v>24</v>
      </c>
      <c r="ES231">
        <v>5751</v>
      </c>
      <c r="ET231">
        <v>13631</v>
      </c>
      <c r="EU231">
        <v>0</v>
      </c>
      <c r="EV231">
        <v>79</v>
      </c>
      <c r="EW231">
        <v>0</v>
      </c>
      <c r="EX231">
        <v>0</v>
      </c>
      <c r="EY231">
        <v>0</v>
      </c>
      <c r="EZ231">
        <v>0</v>
      </c>
      <c r="FA231">
        <v>0</v>
      </c>
      <c r="FB231">
        <v>17</v>
      </c>
      <c r="FC231">
        <v>297</v>
      </c>
      <c r="FD231">
        <v>1530</v>
      </c>
      <c r="FE231">
        <v>0</v>
      </c>
      <c r="FF231">
        <v>82</v>
      </c>
      <c r="FG231">
        <v>0</v>
      </c>
      <c r="FH231">
        <v>2005</v>
      </c>
      <c r="FI231">
        <v>0</v>
      </c>
      <c r="FJ231">
        <v>0</v>
      </c>
      <c r="FK231">
        <v>1</v>
      </c>
      <c r="FL231">
        <v>424</v>
      </c>
      <c r="FM231">
        <v>495</v>
      </c>
      <c r="FN231">
        <v>151</v>
      </c>
      <c r="FO231">
        <v>-1</v>
      </c>
      <c r="FP231">
        <v>0</v>
      </c>
      <c r="FQ231">
        <v>0</v>
      </c>
      <c r="FR231">
        <v>0</v>
      </c>
      <c r="FS231">
        <v>30</v>
      </c>
      <c r="FT231">
        <v>12</v>
      </c>
      <c r="FU231">
        <v>24</v>
      </c>
      <c r="FV231">
        <v>12</v>
      </c>
      <c r="FW231">
        <v>0</v>
      </c>
      <c r="FX231">
        <v>10</v>
      </c>
      <c r="FY231">
        <v>0</v>
      </c>
      <c r="FZ231">
        <v>0</v>
      </c>
      <c r="GA231">
        <v>58</v>
      </c>
      <c r="GB231">
        <v>0</v>
      </c>
      <c r="GC231">
        <v>0</v>
      </c>
      <c r="GD231">
        <v>599</v>
      </c>
      <c r="GE231">
        <v>2409</v>
      </c>
      <c r="GF231">
        <v>0</v>
      </c>
      <c r="GG231">
        <v>-134</v>
      </c>
      <c r="GH231">
        <v>-209</v>
      </c>
      <c r="GI231">
        <v>0</v>
      </c>
      <c r="GJ231">
        <v>12</v>
      </c>
      <c r="GK231">
        <v>3893</v>
      </c>
      <c r="GL231">
        <v>246</v>
      </c>
      <c r="GM231">
        <v>805</v>
      </c>
      <c r="GN231">
        <v>311</v>
      </c>
      <c r="GO231">
        <v>3282</v>
      </c>
      <c r="GP231">
        <v>0</v>
      </c>
      <c r="GQ231">
        <v>493</v>
      </c>
      <c r="GR231">
        <v>0</v>
      </c>
      <c r="GS231">
        <v>701</v>
      </c>
      <c r="GT231">
        <v>-63</v>
      </c>
      <c r="GU231">
        <v>5775</v>
      </c>
      <c r="GV231">
        <v>11673</v>
      </c>
      <c r="GW231">
        <v>0</v>
      </c>
      <c r="GX231">
        <v>0</v>
      </c>
      <c r="GY231">
        <v>0</v>
      </c>
      <c r="GZ231">
        <v>0</v>
      </c>
      <c r="HA231">
        <v>0</v>
      </c>
      <c r="HB231">
        <v>1093</v>
      </c>
      <c r="HC231">
        <v>957</v>
      </c>
      <c r="HD231">
        <v>0</v>
      </c>
      <c r="HE231">
        <v>0</v>
      </c>
      <c r="HF231">
        <v>60</v>
      </c>
      <c r="HG231">
        <v>24</v>
      </c>
      <c r="HH231">
        <v>0</v>
      </c>
      <c r="HI231">
        <v>0</v>
      </c>
      <c r="HJ231">
        <v>130</v>
      </c>
      <c r="HK231">
        <v>108</v>
      </c>
      <c r="HL231">
        <v>-165</v>
      </c>
      <c r="HM231">
        <v>137</v>
      </c>
      <c r="HN231">
        <v>0</v>
      </c>
      <c r="HO231">
        <v>-22</v>
      </c>
      <c r="HP231">
        <v>0</v>
      </c>
      <c r="HQ231">
        <v>0</v>
      </c>
      <c r="HR231">
        <v>35</v>
      </c>
      <c r="HS231">
        <v>0</v>
      </c>
      <c r="HT231">
        <v>0</v>
      </c>
      <c r="HU231">
        <v>0</v>
      </c>
      <c r="HV231">
        <v>2357</v>
      </c>
      <c r="HW231">
        <v>1353</v>
      </c>
      <c r="HX231">
        <v>3632</v>
      </c>
      <c r="HY231">
        <v>0</v>
      </c>
      <c r="HZ231">
        <v>0</v>
      </c>
      <c r="IA231">
        <v>92</v>
      </c>
      <c r="IB231">
        <v>36</v>
      </c>
      <c r="IC231">
        <v>0</v>
      </c>
      <c r="ID231">
        <v>398</v>
      </c>
      <c r="IE231">
        <v>0</v>
      </c>
      <c r="IF231">
        <v>0</v>
      </c>
      <c r="IG231">
        <v>0</v>
      </c>
      <c r="IH231">
        <v>1622</v>
      </c>
      <c r="II231">
        <v>2005</v>
      </c>
      <c r="IJ231">
        <v>3893</v>
      </c>
      <c r="IK231">
        <v>5775</v>
      </c>
      <c r="IL231">
        <v>0</v>
      </c>
      <c r="IM231">
        <v>0</v>
      </c>
      <c r="IN231">
        <v>2357</v>
      </c>
      <c r="IO231">
        <v>36</v>
      </c>
      <c r="IP231">
        <v>16086</v>
      </c>
      <c r="IQ231">
        <v>5804</v>
      </c>
      <c r="IR231">
        <v>0</v>
      </c>
      <c r="IS231">
        <v>5082</v>
      </c>
      <c r="IT231">
        <v>0</v>
      </c>
      <c r="IU231">
        <v>0</v>
      </c>
      <c r="IV231">
        <v>2922</v>
      </c>
      <c r="IW231">
        <v>0</v>
      </c>
      <c r="IX231">
        <v>0</v>
      </c>
      <c r="IY231">
        <v>0</v>
      </c>
      <c r="IZ231">
        <v>0</v>
      </c>
      <c r="JA231">
        <v>0</v>
      </c>
      <c r="JB231">
        <v>0</v>
      </c>
      <c r="JC231">
        <v>0</v>
      </c>
      <c r="JD231">
        <v>0</v>
      </c>
      <c r="JE231">
        <v>0</v>
      </c>
      <c r="JF231">
        <v>0</v>
      </c>
      <c r="JG231">
        <v>29894</v>
      </c>
      <c r="JH231">
        <v>0</v>
      </c>
      <c r="JI231">
        <v>0</v>
      </c>
      <c r="JJ231">
        <v>0</v>
      </c>
      <c r="JK231">
        <v>0</v>
      </c>
      <c r="JL231">
        <v>0</v>
      </c>
      <c r="JM231">
        <v>0</v>
      </c>
      <c r="JN231">
        <v>0</v>
      </c>
      <c r="JO231">
        <v>0</v>
      </c>
      <c r="JP231">
        <v>2923</v>
      </c>
      <c r="JQ231">
        <v>0</v>
      </c>
      <c r="JR231">
        <v>32817</v>
      </c>
      <c r="JS231">
        <v>0</v>
      </c>
      <c r="JT231">
        <v>0</v>
      </c>
      <c r="JU231">
        <v>0</v>
      </c>
      <c r="JV231">
        <v>0</v>
      </c>
      <c r="JW231">
        <v>-11100</v>
      </c>
      <c r="JX231">
        <v>0</v>
      </c>
      <c r="JY231">
        <v>-5301</v>
      </c>
      <c r="JZ231">
        <v>0</v>
      </c>
      <c r="KA231">
        <v>0</v>
      </c>
      <c r="KB231">
        <v>0</v>
      </c>
      <c r="KC231">
        <v>16416</v>
      </c>
      <c r="KD231">
        <v>0</v>
      </c>
      <c r="KE231">
        <v>-2144</v>
      </c>
      <c r="KF231">
        <v>14272</v>
      </c>
      <c r="KG231">
        <v>0</v>
      </c>
      <c r="KH231">
        <v>0</v>
      </c>
      <c r="KI231">
        <v>0</v>
      </c>
      <c r="KJ231">
        <v>0</v>
      </c>
      <c r="KK231">
        <v>1867</v>
      </c>
      <c r="KL231">
        <v>0</v>
      </c>
      <c r="KM231">
        <v>0</v>
      </c>
      <c r="KN231">
        <v>0</v>
      </c>
      <c r="KO231">
        <v>-4293</v>
      </c>
      <c r="KP231">
        <v>0</v>
      </c>
      <c r="KQ231">
        <v>0</v>
      </c>
      <c r="KR231">
        <v>9303</v>
      </c>
      <c r="KS231">
        <v>0</v>
      </c>
      <c r="KT231">
        <v>0</v>
      </c>
      <c r="KU231">
        <v>0</v>
      </c>
      <c r="KV231">
        <v>22613</v>
      </c>
      <c r="KW231">
        <v>1052</v>
      </c>
      <c r="KX231">
        <v>0</v>
      </c>
      <c r="KY231">
        <v>0</v>
      </c>
      <c r="KZ231">
        <v>0</v>
      </c>
      <c r="LA231">
        <v>24480</v>
      </c>
      <c r="LB231">
        <v>1052</v>
      </c>
      <c r="LC231">
        <v>0</v>
      </c>
      <c r="LD231">
        <v>1161</v>
      </c>
      <c r="LE231">
        <v>-892</v>
      </c>
      <c r="LF231">
        <v>0</v>
      </c>
      <c r="LG231">
        <v>-1253</v>
      </c>
      <c r="LH231">
        <v>4683</v>
      </c>
      <c r="LI231">
        <v>3699</v>
      </c>
      <c r="LJ231">
        <v>2287</v>
      </c>
      <c r="LK231">
        <v>2347</v>
      </c>
      <c r="LL231">
        <v>4634</v>
      </c>
      <c r="LM231">
        <v>0</v>
      </c>
      <c r="LN231">
        <v>0</v>
      </c>
      <c r="LO231">
        <v>0</v>
      </c>
      <c r="LP231">
        <v>15563</v>
      </c>
      <c r="LQ231">
        <v>7683</v>
      </c>
      <c r="LR231">
        <v>7880</v>
      </c>
      <c r="LS231">
        <v>5751</v>
      </c>
      <c r="LT231">
        <v>13631</v>
      </c>
      <c r="LU231">
        <v>0</v>
      </c>
      <c r="LV231">
        <v>398</v>
      </c>
      <c r="LW231">
        <v>0</v>
      </c>
      <c r="LX231">
        <v>0</v>
      </c>
      <c r="LY231">
        <v>0</v>
      </c>
      <c r="LZ231">
        <v>1622</v>
      </c>
      <c r="MA231">
        <v>2005</v>
      </c>
      <c r="MB231">
        <v>3893</v>
      </c>
      <c r="MC231">
        <v>5775</v>
      </c>
      <c r="MD231">
        <v>0</v>
      </c>
      <c r="ME231">
        <v>0</v>
      </c>
      <c r="MF231">
        <v>2357</v>
      </c>
      <c r="MG231">
        <v>36</v>
      </c>
      <c r="MH231">
        <v>16086</v>
      </c>
      <c r="MI231">
        <v>0</v>
      </c>
      <c r="MJ231">
        <v>0</v>
      </c>
      <c r="MK231">
        <v>0</v>
      </c>
      <c r="ML231">
        <v>0</v>
      </c>
      <c r="MM231">
        <v>0</v>
      </c>
      <c r="MN231">
        <v>0</v>
      </c>
      <c r="MO231">
        <v>0</v>
      </c>
      <c r="MP231">
        <v>0</v>
      </c>
      <c r="MQ231">
        <v>0</v>
      </c>
      <c r="MR231">
        <v>0</v>
      </c>
      <c r="MS231">
        <v>0</v>
      </c>
      <c r="MT231">
        <v>0</v>
      </c>
      <c r="MU231">
        <v>0</v>
      </c>
      <c r="MV231">
        <v>0</v>
      </c>
      <c r="MW231">
        <v>0</v>
      </c>
      <c r="MX231">
        <v>0</v>
      </c>
      <c r="MY231">
        <v>0</v>
      </c>
      <c r="MZ231">
        <v>0</v>
      </c>
      <c r="NA231">
        <v>0</v>
      </c>
      <c r="NB231">
        <v>0</v>
      </c>
      <c r="NC231">
        <v>0</v>
      </c>
      <c r="ND231">
        <v>0</v>
      </c>
      <c r="NE231">
        <v>0</v>
      </c>
      <c r="NF231">
        <v>0</v>
      </c>
      <c r="NG231">
        <v>0</v>
      </c>
      <c r="NH231">
        <v>0</v>
      </c>
      <c r="NI231">
        <v>0</v>
      </c>
      <c r="NJ231">
        <v>0</v>
      </c>
      <c r="NK231">
        <v>0</v>
      </c>
      <c r="NL231">
        <v>0</v>
      </c>
      <c r="NM231">
        <v>0</v>
      </c>
      <c r="NN231">
        <v>0</v>
      </c>
      <c r="NO231">
        <v>0</v>
      </c>
      <c r="NP231">
        <v>0</v>
      </c>
      <c r="NQ231">
        <v>0</v>
      </c>
      <c r="NR231">
        <v>0</v>
      </c>
      <c r="NS231">
        <v>0</v>
      </c>
      <c r="NT231">
        <v>0</v>
      </c>
      <c r="NU231">
        <v>0</v>
      </c>
      <c r="NV231">
        <v>0</v>
      </c>
      <c r="NW231">
        <v>0</v>
      </c>
      <c r="NX231">
        <v>0</v>
      </c>
      <c r="NY231">
        <v>0</v>
      </c>
      <c r="NZ231">
        <v>0</v>
      </c>
      <c r="OA231">
        <v>0</v>
      </c>
      <c r="OB231">
        <v>0</v>
      </c>
      <c r="OC231">
        <v>0</v>
      </c>
      <c r="OD231">
        <v>0</v>
      </c>
      <c r="OE231">
        <v>0</v>
      </c>
      <c r="OF231">
        <v>0</v>
      </c>
      <c r="OG231">
        <v>0</v>
      </c>
      <c r="OH231">
        <v>0</v>
      </c>
      <c r="OI231">
        <v>0</v>
      </c>
      <c r="OJ231">
        <v>0</v>
      </c>
      <c r="OK231">
        <v>0</v>
      </c>
      <c r="OL231">
        <v>0</v>
      </c>
      <c r="OM231">
        <v>0</v>
      </c>
      <c r="ON231">
        <v>0</v>
      </c>
    </row>
    <row r="232" spans="1:404" x14ac:dyDescent="0.25">
      <c r="A232" t="s">
        <v>764</v>
      </c>
      <c r="B232" t="s">
        <v>765</v>
      </c>
      <c r="C232" t="s">
        <v>763</v>
      </c>
      <c r="E232" t="s">
        <v>61</v>
      </c>
      <c r="F232">
        <v>0</v>
      </c>
      <c r="G232">
        <v>0</v>
      </c>
      <c r="H232">
        <v>0</v>
      </c>
      <c r="I232">
        <v>0</v>
      </c>
      <c r="J232">
        <v>0</v>
      </c>
      <c r="K232">
        <v>0</v>
      </c>
      <c r="L232">
        <v>0</v>
      </c>
      <c r="M232">
        <v>0</v>
      </c>
      <c r="N232">
        <v>0</v>
      </c>
      <c r="O232">
        <v>0</v>
      </c>
      <c r="P232">
        <v>0</v>
      </c>
      <c r="Q232">
        <v>0</v>
      </c>
      <c r="R232">
        <v>0</v>
      </c>
      <c r="S232">
        <v>49</v>
      </c>
      <c r="T232">
        <v>0</v>
      </c>
      <c r="U232">
        <v>0</v>
      </c>
      <c r="V232">
        <v>0</v>
      </c>
      <c r="W232">
        <v>0</v>
      </c>
      <c r="X232">
        <v>0</v>
      </c>
      <c r="Y232">
        <v>0</v>
      </c>
      <c r="Z232">
        <v>27</v>
      </c>
      <c r="AA232">
        <v>-631</v>
      </c>
      <c r="AB232">
        <v>0</v>
      </c>
      <c r="AC232">
        <v>0</v>
      </c>
      <c r="AD232">
        <v>0</v>
      </c>
      <c r="AE232">
        <v>0</v>
      </c>
      <c r="AF232">
        <v>0</v>
      </c>
      <c r="AG232">
        <v>0</v>
      </c>
      <c r="AH232">
        <v>0</v>
      </c>
      <c r="AI232">
        <v>-555</v>
      </c>
      <c r="AJ232">
        <v>0</v>
      </c>
      <c r="AK232">
        <v>0</v>
      </c>
      <c r="AL232">
        <v>0</v>
      </c>
      <c r="AM232">
        <v>0</v>
      </c>
      <c r="AN232">
        <v>0</v>
      </c>
      <c r="AO232">
        <v>0</v>
      </c>
      <c r="AP232">
        <v>0</v>
      </c>
      <c r="AQ232">
        <v>685</v>
      </c>
      <c r="AR232">
        <v>0</v>
      </c>
      <c r="AS232">
        <v>0</v>
      </c>
      <c r="AT232">
        <v>0</v>
      </c>
      <c r="AU232">
        <v>0</v>
      </c>
      <c r="AV232">
        <v>0</v>
      </c>
      <c r="AW232">
        <v>0</v>
      </c>
      <c r="AX232">
        <v>0</v>
      </c>
      <c r="AY232">
        <v>0</v>
      </c>
      <c r="AZ232">
        <v>0</v>
      </c>
      <c r="BA232">
        <v>0</v>
      </c>
      <c r="BB232">
        <v>0</v>
      </c>
      <c r="BC232">
        <v>0</v>
      </c>
      <c r="BD232">
        <v>0</v>
      </c>
      <c r="BE232">
        <v>0</v>
      </c>
      <c r="BF232">
        <v>0</v>
      </c>
      <c r="BG232">
        <v>0</v>
      </c>
      <c r="BH232">
        <v>0</v>
      </c>
      <c r="BI232">
        <v>0</v>
      </c>
      <c r="BJ232">
        <v>0</v>
      </c>
      <c r="BK232">
        <v>0</v>
      </c>
      <c r="BL232">
        <v>0</v>
      </c>
      <c r="BM232">
        <v>0</v>
      </c>
      <c r="BN232">
        <v>0</v>
      </c>
      <c r="BO232">
        <v>0</v>
      </c>
      <c r="BP232">
        <v>0</v>
      </c>
      <c r="BQ232">
        <v>0</v>
      </c>
      <c r="BR232">
        <v>0</v>
      </c>
      <c r="BS232">
        <v>0</v>
      </c>
      <c r="BT232">
        <v>0</v>
      </c>
      <c r="BU232">
        <v>0</v>
      </c>
      <c r="BV232">
        <v>0</v>
      </c>
      <c r="BW232">
        <v>0</v>
      </c>
      <c r="BX232">
        <v>0</v>
      </c>
      <c r="BY232">
        <v>0</v>
      </c>
      <c r="BZ232">
        <v>0</v>
      </c>
      <c r="CA232">
        <v>0</v>
      </c>
      <c r="CB232">
        <v>0</v>
      </c>
      <c r="CC232">
        <v>0</v>
      </c>
      <c r="CD232">
        <v>0</v>
      </c>
      <c r="CE232">
        <v>32</v>
      </c>
      <c r="CF232">
        <v>0</v>
      </c>
      <c r="CG232">
        <v>0</v>
      </c>
      <c r="CH232">
        <v>0</v>
      </c>
      <c r="CI232">
        <v>0</v>
      </c>
      <c r="CJ232">
        <v>0</v>
      </c>
      <c r="CK232">
        <v>0</v>
      </c>
      <c r="CL232">
        <v>0</v>
      </c>
      <c r="CM232">
        <v>0</v>
      </c>
      <c r="CN232">
        <v>0</v>
      </c>
      <c r="CO232">
        <v>0</v>
      </c>
      <c r="CP232">
        <v>0</v>
      </c>
      <c r="CQ232">
        <v>0</v>
      </c>
      <c r="CR232">
        <v>0</v>
      </c>
      <c r="CS232">
        <v>0</v>
      </c>
      <c r="CT232">
        <v>0</v>
      </c>
      <c r="CU232">
        <v>140</v>
      </c>
      <c r="CV232">
        <v>172</v>
      </c>
      <c r="CW232">
        <v>0</v>
      </c>
      <c r="CX232">
        <v>0</v>
      </c>
      <c r="CY232">
        <v>0</v>
      </c>
      <c r="CZ232">
        <v>0</v>
      </c>
      <c r="DA232">
        <v>0</v>
      </c>
      <c r="DB232">
        <v>0</v>
      </c>
      <c r="DC232">
        <v>691</v>
      </c>
      <c r="DD232">
        <v>0</v>
      </c>
      <c r="DE232">
        <v>154</v>
      </c>
      <c r="DF232">
        <v>0</v>
      </c>
      <c r="DG232">
        <v>0</v>
      </c>
      <c r="DH232">
        <v>0</v>
      </c>
      <c r="DI232">
        <v>0</v>
      </c>
      <c r="DJ232">
        <v>0</v>
      </c>
      <c r="DK232">
        <v>0</v>
      </c>
      <c r="DL232">
        <v>1367</v>
      </c>
      <c r="DM232">
        <v>364</v>
      </c>
      <c r="DN232">
        <v>0</v>
      </c>
      <c r="DO232">
        <v>0</v>
      </c>
      <c r="DP232">
        <v>1731</v>
      </c>
      <c r="DQ232">
        <v>0</v>
      </c>
      <c r="DR232">
        <v>0</v>
      </c>
      <c r="DS232">
        <v>0</v>
      </c>
      <c r="DT232">
        <v>784</v>
      </c>
      <c r="DU232">
        <v>-20</v>
      </c>
      <c r="DV232">
        <v>0</v>
      </c>
      <c r="DW232">
        <v>0</v>
      </c>
      <c r="DX232">
        <v>3340</v>
      </c>
      <c r="DY232">
        <v>0</v>
      </c>
      <c r="DZ232">
        <v>0</v>
      </c>
      <c r="EA232">
        <v>0</v>
      </c>
      <c r="EB232">
        <v>0</v>
      </c>
      <c r="EC232">
        <v>0</v>
      </c>
      <c r="ED232">
        <v>0</v>
      </c>
      <c r="EE232">
        <v>0</v>
      </c>
      <c r="EF232">
        <v>0</v>
      </c>
      <c r="EG232">
        <v>0</v>
      </c>
      <c r="EH232">
        <v>0</v>
      </c>
      <c r="EI232">
        <v>0</v>
      </c>
      <c r="EJ232">
        <v>0</v>
      </c>
      <c r="EK232">
        <v>0</v>
      </c>
      <c r="EL232">
        <v>0</v>
      </c>
      <c r="EM232">
        <v>0</v>
      </c>
      <c r="EN232">
        <v>0</v>
      </c>
      <c r="EO232">
        <v>0</v>
      </c>
      <c r="EP232">
        <v>0</v>
      </c>
      <c r="EQ232">
        <v>0</v>
      </c>
      <c r="ER232">
        <v>0</v>
      </c>
      <c r="ES232">
        <v>0</v>
      </c>
      <c r="ET232">
        <v>0</v>
      </c>
      <c r="EU232">
        <v>0</v>
      </c>
      <c r="EV232">
        <v>0</v>
      </c>
      <c r="EW232">
        <v>0</v>
      </c>
      <c r="EX232">
        <v>0</v>
      </c>
      <c r="EY232">
        <v>9</v>
      </c>
      <c r="EZ232">
        <v>-35</v>
      </c>
      <c r="FA232">
        <v>0</v>
      </c>
      <c r="FB232">
        <v>171</v>
      </c>
      <c r="FC232">
        <v>1807</v>
      </c>
      <c r="FD232">
        <v>2335</v>
      </c>
      <c r="FE232">
        <v>0</v>
      </c>
      <c r="FF232">
        <v>0</v>
      </c>
      <c r="FG232">
        <v>0</v>
      </c>
      <c r="FH232">
        <v>4287</v>
      </c>
      <c r="FI232">
        <v>36</v>
      </c>
      <c r="FJ232">
        <v>0</v>
      </c>
      <c r="FK232">
        <v>0</v>
      </c>
      <c r="FL232">
        <v>262</v>
      </c>
      <c r="FM232">
        <v>218</v>
      </c>
      <c r="FN232">
        <v>0</v>
      </c>
      <c r="FO232">
        <v>100</v>
      </c>
      <c r="FP232">
        <v>0</v>
      </c>
      <c r="FQ232">
        <v>0</v>
      </c>
      <c r="FR232">
        <v>8</v>
      </c>
      <c r="FS232">
        <v>223</v>
      </c>
      <c r="FT232">
        <v>514</v>
      </c>
      <c r="FU232">
        <v>91</v>
      </c>
      <c r="FV232">
        <v>87</v>
      </c>
      <c r="FW232">
        <v>196</v>
      </c>
      <c r="FX232">
        <v>0</v>
      </c>
      <c r="FY232">
        <v>113</v>
      </c>
      <c r="FZ232">
        <v>0</v>
      </c>
      <c r="GA232">
        <v>0</v>
      </c>
      <c r="GB232">
        <v>0</v>
      </c>
      <c r="GC232">
        <v>0</v>
      </c>
      <c r="GD232">
        <v>1536</v>
      </c>
      <c r="GE232">
        <v>1906</v>
      </c>
      <c r="GF232">
        <v>0</v>
      </c>
      <c r="GG232">
        <v>0</v>
      </c>
      <c r="GH232">
        <v>0</v>
      </c>
      <c r="GI232">
        <v>0</v>
      </c>
      <c r="GJ232">
        <v>0</v>
      </c>
      <c r="GK232">
        <v>5290</v>
      </c>
      <c r="GL232">
        <v>401</v>
      </c>
      <c r="GM232">
        <v>961</v>
      </c>
      <c r="GN232">
        <v>-1018</v>
      </c>
      <c r="GO232">
        <v>891</v>
      </c>
      <c r="GP232">
        <v>75</v>
      </c>
      <c r="GQ232">
        <v>301</v>
      </c>
      <c r="GR232">
        <v>0</v>
      </c>
      <c r="GS232">
        <v>0</v>
      </c>
      <c r="GT232">
        <v>454</v>
      </c>
      <c r="GU232">
        <v>2065</v>
      </c>
      <c r="GV232">
        <v>11642</v>
      </c>
      <c r="GW232">
        <v>0</v>
      </c>
      <c r="GX232">
        <v>0</v>
      </c>
      <c r="GY232">
        <v>0</v>
      </c>
      <c r="GZ232">
        <v>0</v>
      </c>
      <c r="HA232">
        <v>0</v>
      </c>
      <c r="HB232">
        <v>2680</v>
      </c>
      <c r="HC232">
        <v>912</v>
      </c>
      <c r="HD232">
        <v>0</v>
      </c>
      <c r="HE232">
        <v>0</v>
      </c>
      <c r="HF232">
        <v>1033</v>
      </c>
      <c r="HG232">
        <v>235</v>
      </c>
      <c r="HH232">
        <v>0</v>
      </c>
      <c r="HI232">
        <v>0</v>
      </c>
      <c r="HJ232">
        <v>359</v>
      </c>
      <c r="HK232">
        <v>30</v>
      </c>
      <c r="HL232">
        <v>83</v>
      </c>
      <c r="HM232">
        <v>38</v>
      </c>
      <c r="HN232">
        <v>0</v>
      </c>
      <c r="HO232">
        <v>200</v>
      </c>
      <c r="HP232">
        <v>0</v>
      </c>
      <c r="HQ232">
        <v>0</v>
      </c>
      <c r="HR232">
        <v>1061</v>
      </c>
      <c r="HS232">
        <v>0</v>
      </c>
      <c r="HT232">
        <v>0</v>
      </c>
      <c r="HU232">
        <v>369</v>
      </c>
      <c r="HV232">
        <v>7000</v>
      </c>
      <c r="HW232">
        <v>2024</v>
      </c>
      <c r="HX232">
        <v>3194</v>
      </c>
      <c r="HY232">
        <v>0</v>
      </c>
      <c r="HZ232">
        <v>0</v>
      </c>
      <c r="IA232">
        <v>0</v>
      </c>
      <c r="IB232">
        <v>0</v>
      </c>
      <c r="IC232">
        <v>0</v>
      </c>
      <c r="ID232">
        <v>-555</v>
      </c>
      <c r="IE232">
        <v>0</v>
      </c>
      <c r="IF232">
        <v>0</v>
      </c>
      <c r="IG232">
        <v>172</v>
      </c>
      <c r="IH232">
        <v>3340</v>
      </c>
      <c r="II232">
        <v>4287</v>
      </c>
      <c r="IJ232">
        <v>5290</v>
      </c>
      <c r="IK232">
        <v>2065</v>
      </c>
      <c r="IL232">
        <v>0</v>
      </c>
      <c r="IM232">
        <v>0</v>
      </c>
      <c r="IN232">
        <v>7000</v>
      </c>
      <c r="IO232">
        <v>0</v>
      </c>
      <c r="IP232">
        <v>21599</v>
      </c>
      <c r="IQ232">
        <v>22226</v>
      </c>
      <c r="IR232">
        <v>588</v>
      </c>
      <c r="IS232">
        <v>217</v>
      </c>
      <c r="IT232">
        <v>0</v>
      </c>
      <c r="IU232">
        <v>0</v>
      </c>
      <c r="IV232">
        <v>4670</v>
      </c>
      <c r="IW232">
        <v>0</v>
      </c>
      <c r="IX232">
        <v>0</v>
      </c>
      <c r="IY232">
        <v>0</v>
      </c>
      <c r="IZ232">
        <v>0</v>
      </c>
      <c r="JA232">
        <v>-2519</v>
      </c>
      <c r="JB232">
        <v>0</v>
      </c>
      <c r="JC232">
        <v>0</v>
      </c>
      <c r="JD232">
        <v>0</v>
      </c>
      <c r="JE232">
        <v>86</v>
      </c>
      <c r="JF232">
        <v>0</v>
      </c>
      <c r="JG232">
        <v>46867</v>
      </c>
      <c r="JH232">
        <v>0</v>
      </c>
      <c r="JI232">
        <v>395</v>
      </c>
      <c r="JJ232">
        <v>0</v>
      </c>
      <c r="JK232">
        <v>0</v>
      </c>
      <c r="JL232">
        <v>0</v>
      </c>
      <c r="JM232">
        <v>-135</v>
      </c>
      <c r="JN232">
        <v>534</v>
      </c>
      <c r="JO232">
        <v>0</v>
      </c>
      <c r="JP232">
        <v>82</v>
      </c>
      <c r="JQ232">
        <v>0</v>
      </c>
      <c r="JR232">
        <v>47743</v>
      </c>
      <c r="JS232">
        <v>-396</v>
      </c>
      <c r="JT232">
        <v>0</v>
      </c>
      <c r="JU232">
        <v>0</v>
      </c>
      <c r="JV232">
        <v>0</v>
      </c>
      <c r="JW232">
        <v>-23166</v>
      </c>
      <c r="JX232">
        <v>0</v>
      </c>
      <c r="JY232">
        <v>0</v>
      </c>
      <c r="JZ232">
        <v>0</v>
      </c>
      <c r="KA232">
        <v>0</v>
      </c>
      <c r="KB232">
        <v>0</v>
      </c>
      <c r="KC232">
        <v>24181</v>
      </c>
      <c r="KD232">
        <v>0</v>
      </c>
      <c r="KE232">
        <v>-10753</v>
      </c>
      <c r="KF232">
        <v>13428</v>
      </c>
      <c r="KG232">
        <v>0</v>
      </c>
      <c r="KH232">
        <v>0</v>
      </c>
      <c r="KI232">
        <v>0</v>
      </c>
      <c r="KJ232">
        <v>0</v>
      </c>
      <c r="KK232">
        <v>-1483</v>
      </c>
      <c r="KL232">
        <v>1574</v>
      </c>
      <c r="KM232">
        <v>0</v>
      </c>
      <c r="KN232">
        <v>0</v>
      </c>
      <c r="KO232">
        <v>3331</v>
      </c>
      <c r="KP232">
        <v>-167</v>
      </c>
      <c r="KQ232">
        <v>0</v>
      </c>
      <c r="KR232">
        <v>15585</v>
      </c>
      <c r="KS232">
        <v>0</v>
      </c>
      <c r="KT232">
        <v>0</v>
      </c>
      <c r="KU232">
        <v>0</v>
      </c>
      <c r="KV232">
        <v>23816</v>
      </c>
      <c r="KW232">
        <v>7810</v>
      </c>
      <c r="KX232">
        <v>0</v>
      </c>
      <c r="KY232">
        <v>0</v>
      </c>
      <c r="KZ232">
        <v>0</v>
      </c>
      <c r="LA232">
        <v>22333</v>
      </c>
      <c r="LB232">
        <v>9384</v>
      </c>
      <c r="LC232">
        <v>0</v>
      </c>
      <c r="LD232">
        <v>1939</v>
      </c>
      <c r="LE232">
        <v>140</v>
      </c>
      <c r="LF232">
        <v>620</v>
      </c>
      <c r="LG232">
        <v>-6039</v>
      </c>
      <c r="LH232">
        <v>6925</v>
      </c>
      <c r="LI232">
        <v>3585</v>
      </c>
      <c r="LJ232">
        <v>2635</v>
      </c>
      <c r="LK232">
        <v>3688</v>
      </c>
      <c r="LL232">
        <v>6323</v>
      </c>
      <c r="LM232">
        <v>0</v>
      </c>
      <c r="LN232">
        <v>0</v>
      </c>
      <c r="LO232">
        <v>0</v>
      </c>
      <c r="LP232">
        <v>0</v>
      </c>
      <c r="LQ232">
        <v>0</v>
      </c>
      <c r="LR232">
        <v>0</v>
      </c>
      <c r="LS232">
        <v>0</v>
      </c>
      <c r="LT232">
        <v>0</v>
      </c>
      <c r="LU232">
        <v>0</v>
      </c>
      <c r="LV232">
        <v>-555</v>
      </c>
      <c r="LW232">
        <v>0</v>
      </c>
      <c r="LX232">
        <v>0</v>
      </c>
      <c r="LY232">
        <v>172</v>
      </c>
      <c r="LZ232">
        <v>3340</v>
      </c>
      <c r="MA232">
        <v>4287</v>
      </c>
      <c r="MB232">
        <v>5290</v>
      </c>
      <c r="MC232">
        <v>2065</v>
      </c>
      <c r="MD232">
        <v>0</v>
      </c>
      <c r="ME232">
        <v>0</v>
      </c>
      <c r="MF232">
        <v>7000</v>
      </c>
      <c r="MG232">
        <v>0</v>
      </c>
      <c r="MH232">
        <v>21599</v>
      </c>
      <c r="MI232">
        <v>0</v>
      </c>
      <c r="MJ232">
        <v>0</v>
      </c>
      <c r="MK232">
        <v>0</v>
      </c>
      <c r="ML232">
        <v>0</v>
      </c>
      <c r="MM232">
        <v>0</v>
      </c>
      <c r="MN232">
        <v>0</v>
      </c>
      <c r="MO232">
        <v>0</v>
      </c>
      <c r="MP232">
        <v>0</v>
      </c>
      <c r="MQ232">
        <v>0</v>
      </c>
      <c r="MR232">
        <v>0</v>
      </c>
      <c r="MS232">
        <v>0</v>
      </c>
      <c r="MT232">
        <v>0</v>
      </c>
      <c r="MU232">
        <v>0</v>
      </c>
      <c r="MV232">
        <v>0</v>
      </c>
      <c r="MW232">
        <v>0</v>
      </c>
      <c r="MX232">
        <v>0</v>
      </c>
      <c r="MY232">
        <v>-2519</v>
      </c>
      <c r="MZ232">
        <v>0</v>
      </c>
      <c r="NA232">
        <v>-2519</v>
      </c>
      <c r="NB232">
        <v>0</v>
      </c>
      <c r="NC232">
        <v>-2519</v>
      </c>
      <c r="ND232">
        <v>0</v>
      </c>
      <c r="NE232">
        <v>0</v>
      </c>
      <c r="NF232">
        <v>0</v>
      </c>
      <c r="NG232">
        <v>0</v>
      </c>
      <c r="NH232">
        <v>0</v>
      </c>
      <c r="NI232">
        <v>0</v>
      </c>
      <c r="NJ232">
        <v>0</v>
      </c>
      <c r="NK232">
        <v>0</v>
      </c>
      <c r="NL232">
        <v>0</v>
      </c>
      <c r="NM232">
        <v>0</v>
      </c>
      <c r="NN232">
        <v>0</v>
      </c>
      <c r="NO232">
        <v>0</v>
      </c>
      <c r="NP232">
        <v>0</v>
      </c>
      <c r="NQ232">
        <v>0</v>
      </c>
      <c r="NR232">
        <v>0</v>
      </c>
      <c r="NS232">
        <v>0</v>
      </c>
      <c r="NT232">
        <v>0</v>
      </c>
      <c r="NU232">
        <v>0</v>
      </c>
      <c r="NV232">
        <v>0</v>
      </c>
      <c r="NW232">
        <v>0</v>
      </c>
      <c r="NX232">
        <v>0</v>
      </c>
      <c r="NY232">
        <v>0</v>
      </c>
      <c r="NZ232">
        <v>0</v>
      </c>
      <c r="OA232">
        <v>0</v>
      </c>
      <c r="OB232">
        <v>0</v>
      </c>
      <c r="OC232">
        <v>0</v>
      </c>
      <c r="OD232">
        <v>0</v>
      </c>
      <c r="OE232">
        <v>0</v>
      </c>
      <c r="OF232">
        <v>0</v>
      </c>
      <c r="OG232">
        <v>0</v>
      </c>
      <c r="OH232">
        <v>0</v>
      </c>
      <c r="OI232">
        <v>0</v>
      </c>
      <c r="OJ232">
        <v>0</v>
      </c>
      <c r="OK232">
        <v>0</v>
      </c>
      <c r="OL232">
        <v>0</v>
      </c>
      <c r="OM232">
        <v>0</v>
      </c>
      <c r="ON232">
        <v>0</v>
      </c>
    </row>
    <row r="233" spans="1:404" x14ac:dyDescent="0.25">
      <c r="A233" t="s">
        <v>767</v>
      </c>
      <c r="B233" t="s">
        <v>768</v>
      </c>
      <c r="C233" t="s">
        <v>766</v>
      </c>
      <c r="E233" t="s">
        <v>125</v>
      </c>
      <c r="F233">
        <v>11256</v>
      </c>
      <c r="G233">
        <v>24893</v>
      </c>
      <c r="H233">
        <v>4856</v>
      </c>
      <c r="I233">
        <v>15386</v>
      </c>
      <c r="J233">
        <v>656</v>
      </c>
      <c r="K233">
        <v>8663</v>
      </c>
      <c r="L233">
        <v>65710</v>
      </c>
      <c r="M233">
        <v>758</v>
      </c>
      <c r="N233">
        <v>0</v>
      </c>
      <c r="O233">
        <v>0</v>
      </c>
      <c r="P233">
        <v>-34</v>
      </c>
      <c r="Q233">
        <v>215</v>
      </c>
      <c r="R233">
        <v>528</v>
      </c>
      <c r="S233">
        <v>731</v>
      </c>
      <c r="T233">
        <v>349</v>
      </c>
      <c r="U233">
        <v>983</v>
      </c>
      <c r="V233">
        <v>0</v>
      </c>
      <c r="W233">
        <v>-50</v>
      </c>
      <c r="X233">
        <v>209</v>
      </c>
      <c r="Y233">
        <v>80</v>
      </c>
      <c r="Z233">
        <v>-552</v>
      </c>
      <c r="AA233">
        <v>0</v>
      </c>
      <c r="AB233">
        <v>4066</v>
      </c>
      <c r="AC233">
        <v>0</v>
      </c>
      <c r="AD233">
        <v>0</v>
      </c>
      <c r="AE233">
        <v>0</v>
      </c>
      <c r="AF233">
        <v>0</v>
      </c>
      <c r="AG233">
        <v>119</v>
      </c>
      <c r="AH233">
        <v>0</v>
      </c>
      <c r="AI233">
        <v>7402</v>
      </c>
      <c r="AJ233">
        <v>0</v>
      </c>
      <c r="AK233">
        <v>0</v>
      </c>
      <c r="AL233">
        <v>0</v>
      </c>
      <c r="AM233">
        <v>0</v>
      </c>
      <c r="AN233">
        <v>0</v>
      </c>
      <c r="AO233">
        <v>0</v>
      </c>
      <c r="AP233">
        <v>0</v>
      </c>
      <c r="AQ233">
        <v>390</v>
      </c>
      <c r="AR233">
        <v>390</v>
      </c>
      <c r="AS233">
        <v>0</v>
      </c>
      <c r="AT233">
        <v>0</v>
      </c>
      <c r="AU233">
        <v>0</v>
      </c>
      <c r="AV233">
        <v>665</v>
      </c>
      <c r="AW233">
        <v>35225</v>
      </c>
      <c r="AX233">
        <v>74</v>
      </c>
      <c r="AY233">
        <v>-127</v>
      </c>
      <c r="AZ233">
        <v>1209</v>
      </c>
      <c r="BA233">
        <v>18277</v>
      </c>
      <c r="BB233">
        <v>52</v>
      </c>
      <c r="BC233">
        <v>4031</v>
      </c>
      <c r="BD233">
        <v>59406</v>
      </c>
      <c r="BE233">
        <v>4293</v>
      </c>
      <c r="BF233">
        <v>10419</v>
      </c>
      <c r="BG233">
        <v>145</v>
      </c>
      <c r="BH233">
        <v>130</v>
      </c>
      <c r="BI233">
        <v>247</v>
      </c>
      <c r="BJ233">
        <v>2553</v>
      </c>
      <c r="BK233">
        <v>15303</v>
      </c>
      <c r="BL233">
        <v>2110</v>
      </c>
      <c r="BM233">
        <v>3477</v>
      </c>
      <c r="BN233">
        <v>2848</v>
      </c>
      <c r="BO233">
        <v>64</v>
      </c>
      <c r="BP233">
        <v>32</v>
      </c>
      <c r="BQ233">
        <v>337</v>
      </c>
      <c r="BR233">
        <v>671</v>
      </c>
      <c r="BS233">
        <v>789</v>
      </c>
      <c r="BT233">
        <v>6095</v>
      </c>
      <c r="BU233">
        <v>795</v>
      </c>
      <c r="BV233">
        <v>2949</v>
      </c>
      <c r="BW233">
        <v>56955</v>
      </c>
      <c r="BX233">
        <v>440</v>
      </c>
      <c r="BY233">
        <v>440</v>
      </c>
      <c r="BZ233">
        <v>145</v>
      </c>
      <c r="CA233">
        <v>13</v>
      </c>
      <c r="CB233">
        <v>42</v>
      </c>
      <c r="CC233">
        <v>38</v>
      </c>
      <c r="CD233">
        <v>41</v>
      </c>
      <c r="CE233">
        <v>211</v>
      </c>
      <c r="CF233">
        <v>12</v>
      </c>
      <c r="CG233">
        <v>940</v>
      </c>
      <c r="CH233">
        <v>336</v>
      </c>
      <c r="CI233">
        <v>2582</v>
      </c>
      <c r="CJ233">
        <v>1079</v>
      </c>
      <c r="CK233">
        <v>1629</v>
      </c>
      <c r="CL233">
        <v>45</v>
      </c>
      <c r="CM233">
        <v>59</v>
      </c>
      <c r="CN233">
        <v>246</v>
      </c>
      <c r="CO233">
        <v>34</v>
      </c>
      <c r="CP233">
        <v>2697</v>
      </c>
      <c r="CQ233">
        <v>2669</v>
      </c>
      <c r="CR233">
        <v>2370</v>
      </c>
      <c r="CS233">
        <v>8</v>
      </c>
      <c r="CT233">
        <v>373</v>
      </c>
      <c r="CU233">
        <v>3668</v>
      </c>
      <c r="CV233">
        <v>22587</v>
      </c>
      <c r="CW233">
        <v>43</v>
      </c>
      <c r="CX233">
        <v>0</v>
      </c>
      <c r="CY233">
        <v>1290</v>
      </c>
      <c r="CZ233">
        <v>0</v>
      </c>
      <c r="DA233">
        <v>0</v>
      </c>
      <c r="DB233">
        <v>0</v>
      </c>
      <c r="DC233">
        <v>169</v>
      </c>
      <c r="DD233">
        <v>0</v>
      </c>
      <c r="DE233">
        <v>19</v>
      </c>
      <c r="DF233">
        <v>238</v>
      </c>
      <c r="DG233">
        <v>0</v>
      </c>
      <c r="DH233">
        <v>0</v>
      </c>
      <c r="DI233">
        <v>4</v>
      </c>
      <c r="DJ233">
        <v>33</v>
      </c>
      <c r="DK233">
        <v>0</v>
      </c>
      <c r="DL233">
        <v>367</v>
      </c>
      <c r="DM233">
        <v>165</v>
      </c>
      <c r="DN233">
        <v>830</v>
      </c>
      <c r="DO233">
        <v>0</v>
      </c>
      <c r="DP233">
        <v>1399</v>
      </c>
      <c r="DQ233">
        <v>34</v>
      </c>
      <c r="DR233">
        <v>0</v>
      </c>
      <c r="DS233">
        <v>0</v>
      </c>
      <c r="DT233">
        <v>1695</v>
      </c>
      <c r="DU233">
        <v>-45</v>
      </c>
      <c r="DV233">
        <v>714</v>
      </c>
      <c r="DW233">
        <v>0</v>
      </c>
      <c r="DX233">
        <v>4223</v>
      </c>
      <c r="DY233">
        <v>0</v>
      </c>
      <c r="DZ233">
        <v>0</v>
      </c>
      <c r="EA233">
        <v>0</v>
      </c>
      <c r="EB233">
        <v>0</v>
      </c>
      <c r="EC233">
        <v>0</v>
      </c>
      <c r="ED233">
        <v>0</v>
      </c>
      <c r="EE233">
        <v>0</v>
      </c>
      <c r="EF233">
        <v>0</v>
      </c>
      <c r="EG233">
        <v>0</v>
      </c>
      <c r="EH233">
        <v>0</v>
      </c>
      <c r="EI233">
        <v>0</v>
      </c>
      <c r="EJ233">
        <v>0</v>
      </c>
      <c r="EK233">
        <v>0</v>
      </c>
      <c r="EL233">
        <v>0</v>
      </c>
      <c r="EM233">
        <v>0</v>
      </c>
      <c r="EN233">
        <v>0</v>
      </c>
      <c r="EO233">
        <v>0</v>
      </c>
      <c r="EP233">
        <v>0</v>
      </c>
      <c r="EQ233">
        <v>0</v>
      </c>
      <c r="ER233">
        <v>0</v>
      </c>
      <c r="ES233">
        <v>0</v>
      </c>
      <c r="ET233">
        <v>0</v>
      </c>
      <c r="EU233">
        <v>98</v>
      </c>
      <c r="EV233">
        <v>835</v>
      </c>
      <c r="EW233">
        <v>0</v>
      </c>
      <c r="EX233">
        <v>975</v>
      </c>
      <c r="EY233">
        <v>896</v>
      </c>
      <c r="EZ233">
        <v>80</v>
      </c>
      <c r="FA233">
        <v>0</v>
      </c>
      <c r="FB233">
        <v>-7</v>
      </c>
      <c r="FC233">
        <v>-2</v>
      </c>
      <c r="FD233">
        <v>1743</v>
      </c>
      <c r="FE233">
        <v>0</v>
      </c>
      <c r="FF233">
        <v>8</v>
      </c>
      <c r="FG233">
        <v>1594</v>
      </c>
      <c r="FH233">
        <v>6220</v>
      </c>
      <c r="FI233">
        <v>-901</v>
      </c>
      <c r="FJ233">
        <v>413</v>
      </c>
      <c r="FK233">
        <v>0</v>
      </c>
      <c r="FL233">
        <v>269</v>
      </c>
      <c r="FM233">
        <v>957</v>
      </c>
      <c r="FN233">
        <v>16</v>
      </c>
      <c r="FO233">
        <v>110</v>
      </c>
      <c r="FP233">
        <v>0</v>
      </c>
      <c r="FQ233">
        <v>0</v>
      </c>
      <c r="FR233">
        <v>78</v>
      </c>
      <c r="FS233">
        <v>0</v>
      </c>
      <c r="FT233">
        <v>0</v>
      </c>
      <c r="FU233">
        <v>90</v>
      </c>
      <c r="FV233">
        <v>0</v>
      </c>
      <c r="FW233">
        <v>724</v>
      </c>
      <c r="FX233">
        <v>758</v>
      </c>
      <c r="FY233">
        <v>0</v>
      </c>
      <c r="FZ233">
        <v>71</v>
      </c>
      <c r="GA233">
        <v>0</v>
      </c>
      <c r="GB233">
        <v>0</v>
      </c>
      <c r="GC233">
        <v>9</v>
      </c>
      <c r="GD233">
        <v>1602</v>
      </c>
      <c r="GE233">
        <v>3704</v>
      </c>
      <c r="GF233">
        <v>3516</v>
      </c>
      <c r="GG233">
        <v>0</v>
      </c>
      <c r="GH233">
        <v>1048</v>
      </c>
      <c r="GI233">
        <v>0</v>
      </c>
      <c r="GJ233">
        <v>0</v>
      </c>
      <c r="GK233">
        <v>12464</v>
      </c>
      <c r="GL233">
        <v>78</v>
      </c>
      <c r="GM233">
        <v>133</v>
      </c>
      <c r="GN233">
        <v>0</v>
      </c>
      <c r="GO233">
        <v>963</v>
      </c>
      <c r="GP233">
        <v>292</v>
      </c>
      <c r="GQ233">
        <v>513</v>
      </c>
      <c r="GR233">
        <v>0</v>
      </c>
      <c r="GS233">
        <v>2576</v>
      </c>
      <c r="GT233">
        <v>809</v>
      </c>
      <c r="GU233">
        <v>5364</v>
      </c>
      <c r="GV233">
        <v>24048</v>
      </c>
      <c r="GW233">
        <v>0</v>
      </c>
      <c r="GX233">
        <v>-2</v>
      </c>
      <c r="GY233">
        <v>0</v>
      </c>
      <c r="GZ233">
        <v>0</v>
      </c>
      <c r="HA233">
        <v>-2</v>
      </c>
      <c r="HB233">
        <v>4261</v>
      </c>
      <c r="HC233">
        <v>-70</v>
      </c>
      <c r="HD233">
        <v>0</v>
      </c>
      <c r="HE233">
        <v>6</v>
      </c>
      <c r="HF233">
        <v>76</v>
      </c>
      <c r="HG233">
        <v>319</v>
      </c>
      <c r="HH233">
        <v>0</v>
      </c>
      <c r="HI233">
        <v>124</v>
      </c>
      <c r="HJ233">
        <v>120</v>
      </c>
      <c r="HK233">
        <v>368</v>
      </c>
      <c r="HL233">
        <v>49</v>
      </c>
      <c r="HM233">
        <v>0</v>
      </c>
      <c r="HN233">
        <v>1395</v>
      </c>
      <c r="HO233">
        <v>24</v>
      </c>
      <c r="HP233">
        <v>447</v>
      </c>
      <c r="HQ233">
        <v>0</v>
      </c>
      <c r="HR233">
        <v>1241</v>
      </c>
      <c r="HS233">
        <v>0</v>
      </c>
      <c r="HT233">
        <v>95</v>
      </c>
      <c r="HU233">
        <v>-6943</v>
      </c>
      <c r="HV233">
        <v>1512</v>
      </c>
      <c r="HW233">
        <v>1224</v>
      </c>
      <c r="HX233">
        <v>11499</v>
      </c>
      <c r="HY233">
        <v>0</v>
      </c>
      <c r="HZ233">
        <v>9359</v>
      </c>
      <c r="IA233">
        <v>2803</v>
      </c>
      <c r="IB233">
        <v>570</v>
      </c>
      <c r="IC233">
        <v>65710</v>
      </c>
      <c r="ID233">
        <v>7402</v>
      </c>
      <c r="IE233">
        <v>59406</v>
      </c>
      <c r="IF233">
        <v>56955</v>
      </c>
      <c r="IG233">
        <v>22587</v>
      </c>
      <c r="IH233">
        <v>4223</v>
      </c>
      <c r="II233">
        <v>6220</v>
      </c>
      <c r="IJ233">
        <v>12464</v>
      </c>
      <c r="IK233">
        <v>5364</v>
      </c>
      <c r="IL233">
        <v>0</v>
      </c>
      <c r="IM233">
        <v>-2</v>
      </c>
      <c r="IN233">
        <v>1512</v>
      </c>
      <c r="IO233">
        <v>570</v>
      </c>
      <c r="IP233">
        <v>242411</v>
      </c>
      <c r="IQ233">
        <v>45653</v>
      </c>
      <c r="IR233">
        <v>2423</v>
      </c>
      <c r="IS233">
        <v>0</v>
      </c>
      <c r="IT233">
        <v>0</v>
      </c>
      <c r="IU233">
        <v>0</v>
      </c>
      <c r="IV233">
        <v>19</v>
      </c>
      <c r="IW233">
        <v>0</v>
      </c>
      <c r="IX233">
        <v>0</v>
      </c>
      <c r="IY233">
        <v>0</v>
      </c>
      <c r="IZ233">
        <v>381</v>
      </c>
      <c r="JA233">
        <v>-2955</v>
      </c>
      <c r="JB233">
        <v>396</v>
      </c>
      <c r="JC233">
        <v>-563</v>
      </c>
      <c r="JD233">
        <v>0</v>
      </c>
      <c r="JE233">
        <v>943</v>
      </c>
      <c r="JF233">
        <v>1366</v>
      </c>
      <c r="JG233">
        <v>290074</v>
      </c>
      <c r="JH233">
        <v>114</v>
      </c>
      <c r="JI233">
        <v>15</v>
      </c>
      <c r="JJ233">
        <v>0</v>
      </c>
      <c r="JK233">
        <v>-5017</v>
      </c>
      <c r="JL233">
        <v>0</v>
      </c>
      <c r="JM233">
        <v>-544</v>
      </c>
      <c r="JN233">
        <v>5052</v>
      </c>
      <c r="JO233">
        <v>0</v>
      </c>
      <c r="JP233">
        <v>6697</v>
      </c>
      <c r="JQ233">
        <v>0</v>
      </c>
      <c r="JR233">
        <v>296391</v>
      </c>
      <c r="JS233">
        <v>-1797</v>
      </c>
      <c r="JT233">
        <v>0</v>
      </c>
      <c r="JU233">
        <v>0</v>
      </c>
      <c r="JV233">
        <v>0</v>
      </c>
      <c r="JW233">
        <v>-45628</v>
      </c>
      <c r="JX233">
        <v>0</v>
      </c>
      <c r="JY233">
        <v>0</v>
      </c>
      <c r="JZ233">
        <v>0</v>
      </c>
      <c r="KA233">
        <v>0</v>
      </c>
      <c r="KB233">
        <v>-465</v>
      </c>
      <c r="KC233">
        <v>248501</v>
      </c>
      <c r="KD233">
        <v>0</v>
      </c>
      <c r="KE233">
        <v>-121723</v>
      </c>
      <c r="KF233">
        <v>126778</v>
      </c>
      <c r="KG233">
        <v>0</v>
      </c>
      <c r="KH233">
        <v>-62</v>
      </c>
      <c r="KI233">
        <v>0</v>
      </c>
      <c r="KJ233">
        <v>230</v>
      </c>
      <c r="KK233">
        <v>-866</v>
      </c>
      <c r="KL233">
        <v>683</v>
      </c>
      <c r="KM233">
        <v>-12221</v>
      </c>
      <c r="KN233">
        <v>0</v>
      </c>
      <c r="KO233">
        <v>-39477</v>
      </c>
      <c r="KP233">
        <v>1232</v>
      </c>
      <c r="KQ233">
        <v>0</v>
      </c>
      <c r="KR233">
        <v>60611</v>
      </c>
      <c r="KS233">
        <v>4864</v>
      </c>
      <c r="KT233">
        <v>0</v>
      </c>
      <c r="KU233">
        <v>1854</v>
      </c>
      <c r="KV233">
        <v>31628</v>
      </c>
      <c r="KW233">
        <v>10500</v>
      </c>
      <c r="KX233">
        <v>4802</v>
      </c>
      <c r="KY233">
        <v>0</v>
      </c>
      <c r="KZ233">
        <v>2084</v>
      </c>
      <c r="LA233">
        <v>30762</v>
      </c>
      <c r="LB233">
        <v>11183</v>
      </c>
      <c r="LC233">
        <v>0</v>
      </c>
      <c r="LD233">
        <v>16124</v>
      </c>
      <c r="LE233">
        <v>55</v>
      </c>
      <c r="LF233">
        <v>3051</v>
      </c>
      <c r="LG233">
        <v>0</v>
      </c>
      <c r="LH233">
        <v>13787</v>
      </c>
      <c r="LI233">
        <v>32558</v>
      </c>
      <c r="LJ233">
        <v>631</v>
      </c>
      <c r="LK233">
        <v>11998</v>
      </c>
      <c r="LL233">
        <v>12629</v>
      </c>
      <c r="LM233">
        <v>0</v>
      </c>
      <c r="LN233">
        <v>0</v>
      </c>
      <c r="LO233">
        <v>0</v>
      </c>
      <c r="LP233">
        <v>0</v>
      </c>
      <c r="LQ233">
        <v>0</v>
      </c>
      <c r="LR233">
        <v>0</v>
      </c>
      <c r="LS233">
        <v>0</v>
      </c>
      <c r="LT233">
        <v>0</v>
      </c>
      <c r="LU233">
        <v>65710</v>
      </c>
      <c r="LV233">
        <v>7402</v>
      </c>
      <c r="LW233">
        <v>59406</v>
      </c>
      <c r="LX233">
        <v>56955</v>
      </c>
      <c r="LY233">
        <v>22587</v>
      </c>
      <c r="LZ233">
        <v>4223</v>
      </c>
      <c r="MA233">
        <v>6220</v>
      </c>
      <c r="MB233">
        <v>12464</v>
      </c>
      <c r="MC233">
        <v>5364</v>
      </c>
      <c r="MD233">
        <v>0</v>
      </c>
      <c r="ME233">
        <v>-2</v>
      </c>
      <c r="MF233">
        <v>1512</v>
      </c>
      <c r="MG233">
        <v>570</v>
      </c>
      <c r="MH233">
        <v>242411</v>
      </c>
      <c r="MI233">
        <v>228</v>
      </c>
      <c r="MJ233">
        <v>0</v>
      </c>
      <c r="MK233">
        <v>0</v>
      </c>
      <c r="ML233">
        <v>0</v>
      </c>
      <c r="MM233">
        <v>0</v>
      </c>
      <c r="MN233">
        <v>0</v>
      </c>
      <c r="MO233">
        <v>0</v>
      </c>
      <c r="MP233">
        <v>0</v>
      </c>
      <c r="MQ233">
        <v>0</v>
      </c>
      <c r="MR233">
        <v>0</v>
      </c>
      <c r="MS233">
        <v>0</v>
      </c>
      <c r="MT233">
        <v>0</v>
      </c>
      <c r="MU233">
        <v>0</v>
      </c>
      <c r="MV233">
        <v>-40</v>
      </c>
      <c r="MW233">
        <v>0</v>
      </c>
      <c r="MX233">
        <v>-774</v>
      </c>
      <c r="MY233">
        <v>-2932</v>
      </c>
      <c r="MZ233">
        <v>0</v>
      </c>
      <c r="NA233">
        <v>-3518</v>
      </c>
      <c r="NB233">
        <v>563</v>
      </c>
      <c r="NC233">
        <v>-2955</v>
      </c>
      <c r="ND233">
        <v>0</v>
      </c>
      <c r="NE233">
        <v>0</v>
      </c>
      <c r="NF233">
        <v>0</v>
      </c>
      <c r="NG233">
        <v>0</v>
      </c>
      <c r="NH233">
        <v>0</v>
      </c>
      <c r="NI233">
        <v>0</v>
      </c>
      <c r="NJ233">
        <v>0</v>
      </c>
      <c r="NK233">
        <v>0</v>
      </c>
      <c r="NL233">
        <v>0</v>
      </c>
      <c r="NM233">
        <v>0</v>
      </c>
      <c r="NN233">
        <v>177</v>
      </c>
      <c r="NO233">
        <v>0</v>
      </c>
      <c r="NP233">
        <v>0</v>
      </c>
      <c r="NQ233">
        <v>0</v>
      </c>
      <c r="NR233">
        <v>0</v>
      </c>
      <c r="NS233">
        <v>0</v>
      </c>
      <c r="NT233">
        <v>219</v>
      </c>
      <c r="NU233">
        <v>0</v>
      </c>
      <c r="NV233">
        <v>0</v>
      </c>
      <c r="NW233">
        <v>0</v>
      </c>
      <c r="NX233">
        <v>0</v>
      </c>
      <c r="NY233">
        <v>0</v>
      </c>
      <c r="NZ233">
        <v>396</v>
      </c>
      <c r="OA233">
        <v>0</v>
      </c>
      <c r="OB233">
        <v>396</v>
      </c>
      <c r="OC233">
        <v>537</v>
      </c>
      <c r="OD233">
        <v>0</v>
      </c>
      <c r="OE233">
        <v>26</v>
      </c>
      <c r="OF233">
        <v>0</v>
      </c>
      <c r="OG233">
        <v>0</v>
      </c>
      <c r="OH233">
        <v>563</v>
      </c>
      <c r="OI233">
        <v>0</v>
      </c>
      <c r="OJ233">
        <v>0</v>
      </c>
      <c r="OK233">
        <v>0</v>
      </c>
      <c r="OL233">
        <v>0</v>
      </c>
      <c r="OM233">
        <v>0</v>
      </c>
      <c r="ON233">
        <v>0</v>
      </c>
    </row>
    <row r="234" spans="1:404" x14ac:dyDescent="0.25">
      <c r="A234" t="s">
        <v>770</v>
      </c>
      <c r="B234" t="s">
        <v>771</v>
      </c>
      <c r="C234" t="s">
        <v>769</v>
      </c>
      <c r="E234" t="s">
        <v>125</v>
      </c>
      <c r="F234">
        <v>16382</v>
      </c>
      <c r="G234">
        <v>87120</v>
      </c>
      <c r="H234">
        <v>21621</v>
      </c>
      <c r="I234">
        <v>33923</v>
      </c>
      <c r="J234">
        <v>4030</v>
      </c>
      <c r="K234">
        <v>14781</v>
      </c>
      <c r="L234">
        <v>177858</v>
      </c>
      <c r="M234">
        <v>0</v>
      </c>
      <c r="N234">
        <v>1003</v>
      </c>
      <c r="O234">
        <v>1721</v>
      </c>
      <c r="P234">
        <v>0</v>
      </c>
      <c r="Q234">
        <v>-694</v>
      </c>
      <c r="R234">
        <v>1419</v>
      </c>
      <c r="S234">
        <v>0</v>
      </c>
      <c r="T234">
        <v>634</v>
      </c>
      <c r="U234">
        <v>2870</v>
      </c>
      <c r="V234">
        <v>0</v>
      </c>
      <c r="W234">
        <v>0</v>
      </c>
      <c r="X234">
        <v>287</v>
      </c>
      <c r="Y234">
        <v>-162</v>
      </c>
      <c r="Z234">
        <v>-5453</v>
      </c>
      <c r="AA234">
        <v>0</v>
      </c>
      <c r="AB234">
        <v>2986</v>
      </c>
      <c r="AC234">
        <v>0</v>
      </c>
      <c r="AD234">
        <v>0</v>
      </c>
      <c r="AE234">
        <v>0</v>
      </c>
      <c r="AF234">
        <v>0</v>
      </c>
      <c r="AG234">
        <v>2564</v>
      </c>
      <c r="AH234">
        <v>0</v>
      </c>
      <c r="AI234">
        <v>7174</v>
      </c>
      <c r="AJ234">
        <v>0</v>
      </c>
      <c r="AK234">
        <v>0</v>
      </c>
      <c r="AL234">
        <v>0</v>
      </c>
      <c r="AM234">
        <v>0</v>
      </c>
      <c r="AN234">
        <v>0</v>
      </c>
      <c r="AO234">
        <v>0</v>
      </c>
      <c r="AP234">
        <v>0</v>
      </c>
      <c r="AQ234">
        <v>499</v>
      </c>
      <c r="AR234">
        <v>7707</v>
      </c>
      <c r="AS234">
        <v>0</v>
      </c>
      <c r="AT234">
        <v>0</v>
      </c>
      <c r="AU234">
        <v>0</v>
      </c>
      <c r="AV234">
        <v>2033</v>
      </c>
      <c r="AW234">
        <v>29920</v>
      </c>
      <c r="AX234">
        <v>396</v>
      </c>
      <c r="AY234">
        <v>10047</v>
      </c>
      <c r="AZ234">
        <v>1035</v>
      </c>
      <c r="BA234">
        <v>5907</v>
      </c>
      <c r="BB234">
        <v>0</v>
      </c>
      <c r="BC234">
        <v>985</v>
      </c>
      <c r="BD234">
        <v>50322</v>
      </c>
      <c r="BE234">
        <v>4879</v>
      </c>
      <c r="BF234">
        <v>16579</v>
      </c>
      <c r="BG234">
        <v>101</v>
      </c>
      <c r="BH234">
        <v>498</v>
      </c>
      <c r="BI234">
        <v>368</v>
      </c>
      <c r="BJ234">
        <v>5032</v>
      </c>
      <c r="BK234">
        <v>21287</v>
      </c>
      <c r="BL234">
        <v>1320</v>
      </c>
      <c r="BM234">
        <v>3476</v>
      </c>
      <c r="BN234">
        <v>858</v>
      </c>
      <c r="BO234">
        <v>0</v>
      </c>
      <c r="BP234">
        <v>0</v>
      </c>
      <c r="BQ234">
        <v>408</v>
      </c>
      <c r="BR234">
        <v>2158</v>
      </c>
      <c r="BS234">
        <v>777</v>
      </c>
      <c r="BT234">
        <v>12183</v>
      </c>
      <c r="BU234">
        <v>785</v>
      </c>
      <c r="BV234">
        <v>7356</v>
      </c>
      <c r="BW234">
        <v>81828</v>
      </c>
      <c r="BX234">
        <v>1338</v>
      </c>
      <c r="BY234">
        <v>1076</v>
      </c>
      <c r="BZ234">
        <v>84</v>
      </c>
      <c r="CA234">
        <v>153</v>
      </c>
      <c r="CB234">
        <v>69</v>
      </c>
      <c r="CC234">
        <v>1</v>
      </c>
      <c r="CD234">
        <v>63</v>
      </c>
      <c r="CE234">
        <v>223</v>
      </c>
      <c r="CF234">
        <v>161</v>
      </c>
      <c r="CG234">
        <v>3</v>
      </c>
      <c r="CH234">
        <v>3</v>
      </c>
      <c r="CI234">
        <v>1190</v>
      </c>
      <c r="CJ234">
        <v>823</v>
      </c>
      <c r="CK234">
        <v>221</v>
      </c>
      <c r="CL234">
        <v>110</v>
      </c>
      <c r="CM234">
        <v>150</v>
      </c>
      <c r="CN234">
        <v>357</v>
      </c>
      <c r="CO234">
        <v>0</v>
      </c>
      <c r="CP234">
        <v>720</v>
      </c>
      <c r="CQ234">
        <v>3811</v>
      </c>
      <c r="CR234">
        <v>104</v>
      </c>
      <c r="CS234">
        <v>97</v>
      </c>
      <c r="CT234">
        <v>93</v>
      </c>
      <c r="CU234">
        <v>1431</v>
      </c>
      <c r="CV234">
        <v>12283</v>
      </c>
      <c r="CW234">
        <v>214</v>
      </c>
      <c r="CX234">
        <v>14</v>
      </c>
      <c r="CY234">
        <v>144</v>
      </c>
      <c r="CZ234">
        <v>0</v>
      </c>
      <c r="DA234">
        <v>0</v>
      </c>
      <c r="DB234">
        <v>89</v>
      </c>
      <c r="DC234">
        <v>13</v>
      </c>
      <c r="DD234">
        <v>0</v>
      </c>
      <c r="DE234">
        <v>0</v>
      </c>
      <c r="DF234">
        <v>563</v>
      </c>
      <c r="DG234">
        <v>7681</v>
      </c>
      <c r="DH234">
        <v>951</v>
      </c>
      <c r="DI234">
        <v>99</v>
      </c>
      <c r="DJ234">
        <v>1244</v>
      </c>
      <c r="DK234">
        <v>0</v>
      </c>
      <c r="DL234">
        <v>-2172</v>
      </c>
      <c r="DM234">
        <v>905</v>
      </c>
      <c r="DN234">
        <v>4683</v>
      </c>
      <c r="DO234">
        <v>0</v>
      </c>
      <c r="DP234">
        <v>13391</v>
      </c>
      <c r="DQ234">
        <v>0</v>
      </c>
      <c r="DR234">
        <v>0</v>
      </c>
      <c r="DS234">
        <v>0</v>
      </c>
      <c r="DT234">
        <v>3311</v>
      </c>
      <c r="DU234">
        <v>-93</v>
      </c>
      <c r="DV234">
        <v>0</v>
      </c>
      <c r="DW234">
        <v>0</v>
      </c>
      <c r="DX234">
        <v>17186</v>
      </c>
      <c r="DY234">
        <v>53540</v>
      </c>
      <c r="DZ234">
        <v>172</v>
      </c>
      <c r="EA234">
        <v>3097</v>
      </c>
      <c r="EB234">
        <v>0</v>
      </c>
      <c r="EC234">
        <v>0</v>
      </c>
      <c r="ED234">
        <v>68</v>
      </c>
      <c r="EE234">
        <v>0</v>
      </c>
      <c r="EF234">
        <v>0</v>
      </c>
      <c r="EG234">
        <v>0</v>
      </c>
      <c r="EH234">
        <v>11822</v>
      </c>
      <c r="EI234">
        <v>15169</v>
      </c>
      <c r="EJ234">
        <v>0</v>
      </c>
      <c r="EK234">
        <v>2099</v>
      </c>
      <c r="EL234">
        <v>10144</v>
      </c>
      <c r="EM234">
        <v>0</v>
      </c>
      <c r="EN234">
        <v>4808</v>
      </c>
      <c r="EO234">
        <v>272</v>
      </c>
      <c r="EP234">
        <v>0</v>
      </c>
      <c r="EQ234">
        <v>15066</v>
      </c>
      <c r="ER234">
        <v>574</v>
      </c>
      <c r="ES234">
        <v>74447</v>
      </c>
      <c r="ET234">
        <v>71370</v>
      </c>
      <c r="EU234">
        <v>0</v>
      </c>
      <c r="EV234">
        <v>886</v>
      </c>
      <c r="EW234">
        <v>199</v>
      </c>
      <c r="EX234">
        <v>201</v>
      </c>
      <c r="EY234">
        <v>0</v>
      </c>
      <c r="EZ234">
        <v>-258</v>
      </c>
      <c r="FA234">
        <v>0</v>
      </c>
      <c r="FB234">
        <v>-34</v>
      </c>
      <c r="FC234">
        <v>1252</v>
      </c>
      <c r="FD234">
        <v>4155</v>
      </c>
      <c r="FE234">
        <v>0</v>
      </c>
      <c r="FF234">
        <v>0</v>
      </c>
      <c r="FG234">
        <v>1830</v>
      </c>
      <c r="FH234">
        <v>8230</v>
      </c>
      <c r="FI234">
        <v>-908</v>
      </c>
      <c r="FJ234">
        <v>2044</v>
      </c>
      <c r="FK234">
        <v>0</v>
      </c>
      <c r="FL234">
        <v>0</v>
      </c>
      <c r="FM234">
        <v>7</v>
      </c>
      <c r="FN234">
        <v>688</v>
      </c>
      <c r="FO234">
        <v>0</v>
      </c>
      <c r="FP234">
        <v>0</v>
      </c>
      <c r="FQ234">
        <v>0</v>
      </c>
      <c r="FR234">
        <v>0</v>
      </c>
      <c r="FS234">
        <v>0</v>
      </c>
      <c r="FT234">
        <v>82</v>
      </c>
      <c r="FU234">
        <v>659</v>
      </c>
      <c r="FV234">
        <v>0</v>
      </c>
      <c r="FW234">
        <v>0</v>
      </c>
      <c r="FX234">
        <v>2</v>
      </c>
      <c r="FY234">
        <v>0</v>
      </c>
      <c r="FZ234">
        <v>0</v>
      </c>
      <c r="GA234">
        <v>0</v>
      </c>
      <c r="GB234">
        <v>0</v>
      </c>
      <c r="GC234">
        <v>0</v>
      </c>
      <c r="GD234">
        <v>3856</v>
      </c>
      <c r="GE234">
        <v>8797</v>
      </c>
      <c r="GF234">
        <v>3914</v>
      </c>
      <c r="GG234">
        <v>0</v>
      </c>
      <c r="GH234">
        <v>2631</v>
      </c>
      <c r="GI234">
        <v>0</v>
      </c>
      <c r="GJ234">
        <v>0</v>
      </c>
      <c r="GK234">
        <v>21772</v>
      </c>
      <c r="GL234">
        <v>352</v>
      </c>
      <c r="GM234">
        <v>2045</v>
      </c>
      <c r="GN234">
        <v>0</v>
      </c>
      <c r="GO234">
        <v>461</v>
      </c>
      <c r="GP234">
        <v>369</v>
      </c>
      <c r="GQ234">
        <v>387</v>
      </c>
      <c r="GR234">
        <v>0</v>
      </c>
      <c r="GS234">
        <v>1250</v>
      </c>
      <c r="GT234">
        <v>249</v>
      </c>
      <c r="GU234">
        <v>5114</v>
      </c>
      <c r="GV234">
        <v>35115</v>
      </c>
      <c r="GW234">
        <v>0</v>
      </c>
      <c r="GX234">
        <v>0</v>
      </c>
      <c r="GY234">
        <v>0</v>
      </c>
      <c r="GZ234">
        <v>0</v>
      </c>
      <c r="HA234">
        <v>0</v>
      </c>
      <c r="HB234">
        <v>2816</v>
      </c>
      <c r="HC234">
        <v>1659</v>
      </c>
      <c r="HD234">
        <v>0</v>
      </c>
      <c r="HE234">
        <v>0</v>
      </c>
      <c r="HF234">
        <v>0</v>
      </c>
      <c r="HG234">
        <v>471</v>
      </c>
      <c r="HH234">
        <v>0</v>
      </c>
      <c r="HI234">
        <v>88</v>
      </c>
      <c r="HJ234">
        <v>104</v>
      </c>
      <c r="HK234">
        <v>350</v>
      </c>
      <c r="HL234">
        <v>-35</v>
      </c>
      <c r="HM234">
        <v>-450</v>
      </c>
      <c r="HN234">
        <v>212</v>
      </c>
      <c r="HO234">
        <v>0</v>
      </c>
      <c r="HP234">
        <v>723</v>
      </c>
      <c r="HQ234">
        <v>-82</v>
      </c>
      <c r="HR234">
        <v>750</v>
      </c>
      <c r="HS234">
        <v>0</v>
      </c>
      <c r="HT234">
        <v>0</v>
      </c>
      <c r="HU234">
        <v>4502</v>
      </c>
      <c r="HV234">
        <v>11108</v>
      </c>
      <c r="HW234">
        <v>48</v>
      </c>
      <c r="HX234">
        <v>-4550</v>
      </c>
      <c r="HY234">
        <v>0</v>
      </c>
      <c r="HZ234">
        <v>0</v>
      </c>
      <c r="IA234">
        <v>0</v>
      </c>
      <c r="IB234">
        <v>0</v>
      </c>
      <c r="IC234">
        <v>177858</v>
      </c>
      <c r="ID234">
        <v>7174</v>
      </c>
      <c r="IE234">
        <v>50322</v>
      </c>
      <c r="IF234">
        <v>81828</v>
      </c>
      <c r="IG234">
        <v>12283</v>
      </c>
      <c r="IH234">
        <v>17186</v>
      </c>
      <c r="II234">
        <v>8230</v>
      </c>
      <c r="IJ234">
        <v>21772</v>
      </c>
      <c r="IK234">
        <v>5114</v>
      </c>
      <c r="IL234">
        <v>0</v>
      </c>
      <c r="IM234">
        <v>0</v>
      </c>
      <c r="IN234">
        <v>11108</v>
      </c>
      <c r="IO234">
        <v>0</v>
      </c>
      <c r="IP234">
        <v>392874</v>
      </c>
      <c r="IQ234">
        <v>42811</v>
      </c>
      <c r="IR234">
        <v>18840</v>
      </c>
      <c r="IS234">
        <v>0</v>
      </c>
      <c r="IT234">
        <v>0</v>
      </c>
      <c r="IU234">
        <v>0</v>
      </c>
      <c r="IV234">
        <v>9066</v>
      </c>
      <c r="IW234">
        <v>0</v>
      </c>
      <c r="IX234">
        <v>0</v>
      </c>
      <c r="IY234">
        <v>0</v>
      </c>
      <c r="IZ234">
        <v>690</v>
      </c>
      <c r="JA234">
        <v>-1664</v>
      </c>
      <c r="JB234">
        <v>-94</v>
      </c>
      <c r="JC234">
        <v>-3</v>
      </c>
      <c r="JD234">
        <v>0</v>
      </c>
      <c r="JE234">
        <v>0</v>
      </c>
      <c r="JF234">
        <v>0</v>
      </c>
      <c r="JG234">
        <v>462520</v>
      </c>
      <c r="JH234">
        <v>151</v>
      </c>
      <c r="JI234">
        <v>386</v>
      </c>
      <c r="JJ234">
        <v>0</v>
      </c>
      <c r="JK234">
        <v>0</v>
      </c>
      <c r="JL234">
        <v>0</v>
      </c>
      <c r="JM234">
        <v>-49</v>
      </c>
      <c r="JN234">
        <v>12979</v>
      </c>
      <c r="JO234">
        <v>0</v>
      </c>
      <c r="JP234">
        <v>9627</v>
      </c>
      <c r="JQ234">
        <v>0</v>
      </c>
      <c r="JR234">
        <v>485614</v>
      </c>
      <c r="JS234">
        <v>-1738</v>
      </c>
      <c r="JT234">
        <v>0</v>
      </c>
      <c r="JU234">
        <v>0</v>
      </c>
      <c r="JV234">
        <v>0</v>
      </c>
      <c r="JW234">
        <v>-67660</v>
      </c>
      <c r="JX234">
        <v>0</v>
      </c>
      <c r="JY234">
        <v>0</v>
      </c>
      <c r="JZ234">
        <v>0</v>
      </c>
      <c r="KA234">
        <v>0</v>
      </c>
      <c r="KB234">
        <v>0</v>
      </c>
      <c r="KC234">
        <v>416216</v>
      </c>
      <c r="KD234">
        <v>0</v>
      </c>
      <c r="KE234">
        <v>-214840</v>
      </c>
      <c r="KF234">
        <v>201376</v>
      </c>
      <c r="KG234">
        <v>0</v>
      </c>
      <c r="KH234">
        <v>1825</v>
      </c>
      <c r="KI234">
        <v>0</v>
      </c>
      <c r="KJ234">
        <v>58</v>
      </c>
      <c r="KK234">
        <v>-15564</v>
      </c>
      <c r="KL234">
        <v>-1165</v>
      </c>
      <c r="KM234">
        <v>-5623</v>
      </c>
      <c r="KN234">
        <v>0</v>
      </c>
      <c r="KO234">
        <v>-13708</v>
      </c>
      <c r="KP234">
        <v>60</v>
      </c>
      <c r="KQ234">
        <v>325</v>
      </c>
      <c r="KR234">
        <v>135420</v>
      </c>
      <c r="KS234">
        <v>10007</v>
      </c>
      <c r="KT234">
        <v>0</v>
      </c>
      <c r="KU234">
        <v>2379</v>
      </c>
      <c r="KV234">
        <v>125700</v>
      </c>
      <c r="KW234">
        <v>30412</v>
      </c>
      <c r="KX234">
        <v>11832</v>
      </c>
      <c r="KY234">
        <v>0</v>
      </c>
      <c r="KZ234">
        <v>2437</v>
      </c>
      <c r="LA234">
        <v>110136</v>
      </c>
      <c r="LB234">
        <v>29247</v>
      </c>
      <c r="LC234">
        <v>0</v>
      </c>
      <c r="LD234">
        <v>41681</v>
      </c>
      <c r="LE234">
        <v>1003</v>
      </c>
      <c r="LF234">
        <v>62132</v>
      </c>
      <c r="LG234">
        <v>-50490</v>
      </c>
      <c r="LH234">
        <v>14061</v>
      </c>
      <c r="LI234">
        <v>69938</v>
      </c>
      <c r="LJ234">
        <v>5672</v>
      </c>
      <c r="LK234">
        <v>9549</v>
      </c>
      <c r="LL234">
        <v>15221</v>
      </c>
      <c r="LM234">
        <v>325</v>
      </c>
      <c r="LN234">
        <v>0</v>
      </c>
      <c r="LO234">
        <v>0</v>
      </c>
      <c r="LP234">
        <v>56877</v>
      </c>
      <c r="LQ234">
        <v>59954</v>
      </c>
      <c r="LR234">
        <v>-3077</v>
      </c>
      <c r="LS234">
        <v>74447</v>
      </c>
      <c r="LT234">
        <v>71370</v>
      </c>
      <c r="LU234">
        <v>177858</v>
      </c>
      <c r="LV234">
        <v>7174</v>
      </c>
      <c r="LW234">
        <v>50322</v>
      </c>
      <c r="LX234">
        <v>81828</v>
      </c>
      <c r="LY234">
        <v>12283</v>
      </c>
      <c r="LZ234">
        <v>17186</v>
      </c>
      <c r="MA234">
        <v>8230</v>
      </c>
      <c r="MB234">
        <v>21772</v>
      </c>
      <c r="MC234">
        <v>5114</v>
      </c>
      <c r="MD234">
        <v>0</v>
      </c>
      <c r="ME234">
        <v>0</v>
      </c>
      <c r="MF234">
        <v>11108</v>
      </c>
      <c r="MG234">
        <v>0</v>
      </c>
      <c r="MH234">
        <v>392874</v>
      </c>
      <c r="MI234">
        <v>0</v>
      </c>
      <c r="MJ234">
        <v>0</v>
      </c>
      <c r="MK234">
        <v>0</v>
      </c>
      <c r="ML234">
        <v>0</v>
      </c>
      <c r="MM234">
        <v>0</v>
      </c>
      <c r="MN234">
        <v>0</v>
      </c>
      <c r="MO234">
        <v>0</v>
      </c>
      <c r="MP234">
        <v>0</v>
      </c>
      <c r="MQ234">
        <v>0</v>
      </c>
      <c r="MR234">
        <v>-170</v>
      </c>
      <c r="MS234">
        <v>0</v>
      </c>
      <c r="MT234">
        <v>0</v>
      </c>
      <c r="MU234">
        <v>0</v>
      </c>
      <c r="MV234">
        <v>0</v>
      </c>
      <c r="MW234">
        <v>0</v>
      </c>
      <c r="MX234">
        <v>0</v>
      </c>
      <c r="MY234">
        <v>-1114</v>
      </c>
      <c r="MZ234">
        <v>-383</v>
      </c>
      <c r="NA234">
        <v>-1667</v>
      </c>
      <c r="NB234">
        <v>3</v>
      </c>
      <c r="NC234">
        <v>-1664</v>
      </c>
      <c r="ND234">
        <v>0</v>
      </c>
      <c r="NE234">
        <v>0</v>
      </c>
      <c r="NF234">
        <v>0</v>
      </c>
      <c r="NG234">
        <v>0</v>
      </c>
      <c r="NH234">
        <v>0</v>
      </c>
      <c r="NI234">
        <v>0</v>
      </c>
      <c r="NJ234">
        <v>0</v>
      </c>
      <c r="NK234">
        <v>0</v>
      </c>
      <c r="NL234">
        <v>0</v>
      </c>
      <c r="NM234">
        <v>0</v>
      </c>
      <c r="NN234">
        <v>0</v>
      </c>
      <c r="NO234">
        <v>68</v>
      </c>
      <c r="NP234">
        <v>0</v>
      </c>
      <c r="NQ234">
        <v>0</v>
      </c>
      <c r="NR234">
        <v>0</v>
      </c>
      <c r="NS234">
        <v>0</v>
      </c>
      <c r="NT234">
        <v>-9</v>
      </c>
      <c r="NU234">
        <v>0</v>
      </c>
      <c r="NV234">
        <v>-150</v>
      </c>
      <c r="NW234">
        <v>0</v>
      </c>
      <c r="NX234">
        <v>0</v>
      </c>
      <c r="NY234">
        <v>-3</v>
      </c>
      <c r="NZ234">
        <v>-94</v>
      </c>
      <c r="OA234">
        <v>0</v>
      </c>
      <c r="OB234">
        <v>-94</v>
      </c>
      <c r="OC234">
        <v>3</v>
      </c>
      <c r="OD234">
        <v>0</v>
      </c>
      <c r="OE234">
        <v>0</v>
      </c>
      <c r="OF234">
        <v>0</v>
      </c>
      <c r="OG234">
        <v>0</v>
      </c>
      <c r="OH234">
        <v>3</v>
      </c>
      <c r="OI234">
        <v>0</v>
      </c>
      <c r="OJ234">
        <v>0</v>
      </c>
      <c r="OK234">
        <v>0</v>
      </c>
      <c r="OL234">
        <v>0</v>
      </c>
      <c r="OM234">
        <v>0</v>
      </c>
      <c r="ON234">
        <v>0</v>
      </c>
    </row>
    <row r="235" spans="1:404" x14ac:dyDescent="0.25">
      <c r="A235" t="s">
        <v>773</v>
      </c>
      <c r="B235" t="s">
        <v>774</v>
      </c>
      <c r="C235" t="s">
        <v>772</v>
      </c>
      <c r="E235" t="s">
        <v>61</v>
      </c>
      <c r="F235">
        <v>0</v>
      </c>
      <c r="G235">
        <v>0</v>
      </c>
      <c r="H235">
        <v>0</v>
      </c>
      <c r="I235">
        <v>0</v>
      </c>
      <c r="J235">
        <v>0</v>
      </c>
      <c r="K235">
        <v>0</v>
      </c>
      <c r="L235">
        <v>0</v>
      </c>
      <c r="M235">
        <v>0</v>
      </c>
      <c r="N235">
        <v>0</v>
      </c>
      <c r="O235">
        <v>0</v>
      </c>
      <c r="P235">
        <v>0</v>
      </c>
      <c r="Q235">
        <v>0</v>
      </c>
      <c r="R235">
        <v>0</v>
      </c>
      <c r="S235">
        <v>0</v>
      </c>
      <c r="T235">
        <v>0</v>
      </c>
      <c r="U235">
        <v>0</v>
      </c>
      <c r="V235">
        <v>0</v>
      </c>
      <c r="W235">
        <v>0</v>
      </c>
      <c r="X235">
        <v>0</v>
      </c>
      <c r="Y235">
        <v>0</v>
      </c>
      <c r="Z235">
        <v>-21</v>
      </c>
      <c r="AA235">
        <v>-1135</v>
      </c>
      <c r="AB235">
        <v>0</v>
      </c>
      <c r="AC235">
        <v>0</v>
      </c>
      <c r="AD235">
        <v>0</v>
      </c>
      <c r="AE235">
        <v>0</v>
      </c>
      <c r="AF235">
        <v>0</v>
      </c>
      <c r="AG235">
        <v>-8</v>
      </c>
      <c r="AH235">
        <v>0</v>
      </c>
      <c r="AI235">
        <v>-1164</v>
      </c>
      <c r="AJ235">
        <v>0</v>
      </c>
      <c r="AK235">
        <v>0</v>
      </c>
      <c r="AL235">
        <v>0</v>
      </c>
      <c r="AM235">
        <v>0</v>
      </c>
      <c r="AN235">
        <v>0</v>
      </c>
      <c r="AO235">
        <v>0</v>
      </c>
      <c r="AP235">
        <v>0</v>
      </c>
      <c r="AQ235">
        <v>126</v>
      </c>
      <c r="AR235">
        <v>236</v>
      </c>
      <c r="AS235">
        <v>0</v>
      </c>
      <c r="AT235">
        <v>0</v>
      </c>
      <c r="AU235">
        <v>0</v>
      </c>
      <c r="AV235">
        <v>0</v>
      </c>
      <c r="AW235">
        <v>0</v>
      </c>
      <c r="AX235">
        <v>0</v>
      </c>
      <c r="AY235">
        <v>0</v>
      </c>
      <c r="AZ235">
        <v>0</v>
      </c>
      <c r="BA235">
        <v>0</v>
      </c>
      <c r="BB235">
        <v>0</v>
      </c>
      <c r="BC235">
        <v>0</v>
      </c>
      <c r="BD235">
        <v>0</v>
      </c>
      <c r="BE235">
        <v>0</v>
      </c>
      <c r="BF235">
        <v>0</v>
      </c>
      <c r="BG235">
        <v>0</v>
      </c>
      <c r="BH235">
        <v>0</v>
      </c>
      <c r="BI235">
        <v>0</v>
      </c>
      <c r="BJ235">
        <v>0</v>
      </c>
      <c r="BK235">
        <v>0</v>
      </c>
      <c r="BL235">
        <v>0</v>
      </c>
      <c r="BM235">
        <v>0</v>
      </c>
      <c r="BN235">
        <v>0</v>
      </c>
      <c r="BO235">
        <v>0</v>
      </c>
      <c r="BP235">
        <v>138</v>
      </c>
      <c r="BQ235">
        <v>0</v>
      </c>
      <c r="BR235">
        <v>0</v>
      </c>
      <c r="BS235">
        <v>0</v>
      </c>
      <c r="BT235">
        <v>0</v>
      </c>
      <c r="BU235">
        <v>0</v>
      </c>
      <c r="BV235">
        <v>0</v>
      </c>
      <c r="BW235">
        <v>138</v>
      </c>
      <c r="BX235">
        <v>0</v>
      </c>
      <c r="BY235">
        <v>0</v>
      </c>
      <c r="BZ235">
        <v>0</v>
      </c>
      <c r="CA235">
        <v>0</v>
      </c>
      <c r="CB235">
        <v>0</v>
      </c>
      <c r="CC235">
        <v>0</v>
      </c>
      <c r="CD235">
        <v>0</v>
      </c>
      <c r="CE235">
        <v>0</v>
      </c>
      <c r="CF235">
        <v>0</v>
      </c>
      <c r="CG235">
        <v>0</v>
      </c>
      <c r="CH235">
        <v>0</v>
      </c>
      <c r="CI235">
        <v>0</v>
      </c>
      <c r="CJ235">
        <v>0</v>
      </c>
      <c r="CK235">
        <v>0</v>
      </c>
      <c r="CL235">
        <v>0</v>
      </c>
      <c r="CM235">
        <v>0</v>
      </c>
      <c r="CN235">
        <v>0</v>
      </c>
      <c r="CO235">
        <v>0</v>
      </c>
      <c r="CP235">
        <v>0</v>
      </c>
      <c r="CQ235">
        <v>0</v>
      </c>
      <c r="CR235">
        <v>0</v>
      </c>
      <c r="CS235">
        <v>0</v>
      </c>
      <c r="CT235">
        <v>0</v>
      </c>
      <c r="CU235">
        <v>0</v>
      </c>
      <c r="CV235">
        <v>0</v>
      </c>
      <c r="CW235">
        <v>0</v>
      </c>
      <c r="CX235">
        <v>0</v>
      </c>
      <c r="CY235">
        <v>0</v>
      </c>
      <c r="CZ235">
        <v>0</v>
      </c>
      <c r="DA235">
        <v>0</v>
      </c>
      <c r="DB235">
        <v>0</v>
      </c>
      <c r="DC235">
        <v>117</v>
      </c>
      <c r="DD235">
        <v>0</v>
      </c>
      <c r="DE235">
        <v>0</v>
      </c>
      <c r="DF235">
        <v>0</v>
      </c>
      <c r="DG235">
        <v>0</v>
      </c>
      <c r="DH235">
        <v>0</v>
      </c>
      <c r="DI235">
        <v>0</v>
      </c>
      <c r="DJ235">
        <v>0</v>
      </c>
      <c r="DK235">
        <v>0</v>
      </c>
      <c r="DL235">
        <v>0</v>
      </c>
      <c r="DM235">
        <v>-42</v>
      </c>
      <c r="DN235">
        <v>1485</v>
      </c>
      <c r="DO235">
        <v>0</v>
      </c>
      <c r="DP235">
        <v>1443</v>
      </c>
      <c r="DQ235">
        <v>0</v>
      </c>
      <c r="DR235">
        <v>0</v>
      </c>
      <c r="DS235">
        <v>0</v>
      </c>
      <c r="DT235">
        <v>704</v>
      </c>
      <c r="DU235">
        <v>0</v>
      </c>
      <c r="DV235">
        <v>0</v>
      </c>
      <c r="DW235">
        <v>101</v>
      </c>
      <c r="DX235">
        <v>2365</v>
      </c>
      <c r="DY235">
        <v>0</v>
      </c>
      <c r="DZ235">
        <v>0</v>
      </c>
      <c r="EA235">
        <v>0</v>
      </c>
      <c r="EB235">
        <v>0</v>
      </c>
      <c r="EC235">
        <v>0</v>
      </c>
      <c r="ED235">
        <v>0</v>
      </c>
      <c r="EE235">
        <v>0</v>
      </c>
      <c r="EF235">
        <v>0</v>
      </c>
      <c r="EG235">
        <v>0</v>
      </c>
      <c r="EH235">
        <v>0</v>
      </c>
      <c r="EI235">
        <v>0</v>
      </c>
      <c r="EJ235">
        <v>0</v>
      </c>
      <c r="EK235">
        <v>0</v>
      </c>
      <c r="EL235">
        <v>0</v>
      </c>
      <c r="EM235">
        <v>0</v>
      </c>
      <c r="EN235">
        <v>0</v>
      </c>
      <c r="EO235">
        <v>0</v>
      </c>
      <c r="EP235">
        <v>0</v>
      </c>
      <c r="EQ235">
        <v>0</v>
      </c>
      <c r="ER235">
        <v>0</v>
      </c>
      <c r="ES235">
        <v>0</v>
      </c>
      <c r="ET235">
        <v>0</v>
      </c>
      <c r="EU235">
        <v>0</v>
      </c>
      <c r="EV235">
        <v>10</v>
      </c>
      <c r="EW235">
        <v>1</v>
      </c>
      <c r="EX235">
        <v>0</v>
      </c>
      <c r="EY235">
        <v>326</v>
      </c>
      <c r="EZ235">
        <v>0</v>
      </c>
      <c r="FA235">
        <v>0</v>
      </c>
      <c r="FB235">
        <v>131</v>
      </c>
      <c r="FC235">
        <v>-336</v>
      </c>
      <c r="FD235">
        <v>351</v>
      </c>
      <c r="FE235">
        <v>-28</v>
      </c>
      <c r="FF235">
        <v>0</v>
      </c>
      <c r="FG235">
        <v>0</v>
      </c>
      <c r="FH235">
        <v>455</v>
      </c>
      <c r="FI235">
        <v>4</v>
      </c>
      <c r="FJ235">
        <v>1</v>
      </c>
      <c r="FK235">
        <v>0</v>
      </c>
      <c r="FL235">
        <v>353</v>
      </c>
      <c r="FM235">
        <v>371</v>
      </c>
      <c r="FN235">
        <v>0</v>
      </c>
      <c r="FO235">
        <v>0</v>
      </c>
      <c r="FP235">
        <v>0</v>
      </c>
      <c r="FQ235">
        <v>0</v>
      </c>
      <c r="FR235">
        <v>0</v>
      </c>
      <c r="FS235">
        <v>49</v>
      </c>
      <c r="FT235">
        <v>66</v>
      </c>
      <c r="FU235">
        <v>-9</v>
      </c>
      <c r="FV235">
        <v>6</v>
      </c>
      <c r="FW235">
        <v>0</v>
      </c>
      <c r="FX235">
        <v>42</v>
      </c>
      <c r="FY235">
        <v>0</v>
      </c>
      <c r="FZ235">
        <v>0</v>
      </c>
      <c r="GA235">
        <v>0</v>
      </c>
      <c r="GB235">
        <v>0</v>
      </c>
      <c r="GC235">
        <v>0</v>
      </c>
      <c r="GD235">
        <v>-21</v>
      </c>
      <c r="GE235">
        <v>-694</v>
      </c>
      <c r="GF235">
        <v>10</v>
      </c>
      <c r="GG235">
        <v>0</v>
      </c>
      <c r="GH235">
        <v>3433</v>
      </c>
      <c r="GI235">
        <v>131</v>
      </c>
      <c r="GJ235">
        <v>0</v>
      </c>
      <c r="GK235">
        <v>3742</v>
      </c>
      <c r="GL235">
        <v>-64</v>
      </c>
      <c r="GM235">
        <v>207</v>
      </c>
      <c r="GN235">
        <v>362</v>
      </c>
      <c r="GO235">
        <v>0</v>
      </c>
      <c r="GP235">
        <v>-32</v>
      </c>
      <c r="GQ235">
        <v>446</v>
      </c>
      <c r="GR235">
        <v>0</v>
      </c>
      <c r="GS235">
        <v>72</v>
      </c>
      <c r="GT235">
        <v>-149</v>
      </c>
      <c r="GU235">
        <v>842</v>
      </c>
      <c r="GV235">
        <v>5039</v>
      </c>
      <c r="GW235">
        <v>0</v>
      </c>
      <c r="GX235">
        <v>0</v>
      </c>
      <c r="GY235">
        <v>0</v>
      </c>
      <c r="GZ235">
        <v>0</v>
      </c>
      <c r="HA235">
        <v>0</v>
      </c>
      <c r="HB235">
        <v>8747</v>
      </c>
      <c r="HC235">
        <v>416</v>
      </c>
      <c r="HD235">
        <v>0</v>
      </c>
      <c r="HE235">
        <v>0</v>
      </c>
      <c r="HF235">
        <v>0</v>
      </c>
      <c r="HG235">
        <v>1</v>
      </c>
      <c r="HH235">
        <v>0</v>
      </c>
      <c r="HI235">
        <v>0</v>
      </c>
      <c r="HJ235">
        <v>58</v>
      </c>
      <c r="HK235">
        <v>71</v>
      </c>
      <c r="HL235">
        <v>0</v>
      </c>
      <c r="HM235">
        <v>-191</v>
      </c>
      <c r="HN235">
        <v>0</v>
      </c>
      <c r="HO235">
        <v>174</v>
      </c>
      <c r="HP235">
        <v>0</v>
      </c>
      <c r="HQ235">
        <v>0</v>
      </c>
      <c r="HR235">
        <v>0</v>
      </c>
      <c r="HS235">
        <v>0</v>
      </c>
      <c r="HT235">
        <v>0</v>
      </c>
      <c r="HU235">
        <v>119</v>
      </c>
      <c r="HV235">
        <v>9395</v>
      </c>
      <c r="HW235">
        <v>0</v>
      </c>
      <c r="HX235">
        <v>0</v>
      </c>
      <c r="HY235">
        <v>0</v>
      </c>
      <c r="HZ235">
        <v>0</v>
      </c>
      <c r="IA235">
        <v>0</v>
      </c>
      <c r="IB235">
        <v>585</v>
      </c>
      <c r="IC235">
        <v>0</v>
      </c>
      <c r="ID235">
        <v>-1164</v>
      </c>
      <c r="IE235">
        <v>0</v>
      </c>
      <c r="IF235">
        <v>138</v>
      </c>
      <c r="IG235">
        <v>0</v>
      </c>
      <c r="IH235">
        <v>2365</v>
      </c>
      <c r="II235">
        <v>455</v>
      </c>
      <c r="IJ235">
        <v>3742</v>
      </c>
      <c r="IK235">
        <v>842</v>
      </c>
      <c r="IL235">
        <v>0</v>
      </c>
      <c r="IM235">
        <v>0</v>
      </c>
      <c r="IN235">
        <v>9395</v>
      </c>
      <c r="IO235">
        <v>585</v>
      </c>
      <c r="IP235">
        <v>16358</v>
      </c>
      <c r="IQ235">
        <v>15719</v>
      </c>
      <c r="IR235">
        <v>218</v>
      </c>
      <c r="IS235">
        <v>0</v>
      </c>
      <c r="IT235">
        <v>0</v>
      </c>
      <c r="IU235">
        <v>0</v>
      </c>
      <c r="IV235">
        <v>347</v>
      </c>
      <c r="IW235">
        <v>0</v>
      </c>
      <c r="IX235">
        <v>0</v>
      </c>
      <c r="IY235">
        <v>0</v>
      </c>
      <c r="IZ235">
        <v>0</v>
      </c>
      <c r="JA235">
        <v>0</v>
      </c>
      <c r="JB235">
        <v>0</v>
      </c>
      <c r="JC235">
        <v>0</v>
      </c>
      <c r="JD235">
        <v>0</v>
      </c>
      <c r="JE235">
        <v>0</v>
      </c>
      <c r="JF235">
        <v>0</v>
      </c>
      <c r="JG235">
        <v>32642</v>
      </c>
      <c r="JH235">
        <v>0</v>
      </c>
      <c r="JI235">
        <v>0</v>
      </c>
      <c r="JJ235">
        <v>0</v>
      </c>
      <c r="JK235">
        <v>0</v>
      </c>
      <c r="JL235">
        <v>0</v>
      </c>
      <c r="JM235">
        <v>237</v>
      </c>
      <c r="JN235">
        <v>2056</v>
      </c>
      <c r="JO235">
        <v>0</v>
      </c>
      <c r="JP235">
        <v>2472</v>
      </c>
      <c r="JQ235">
        <v>0</v>
      </c>
      <c r="JR235">
        <v>37407</v>
      </c>
      <c r="JS235">
        <v>-7782</v>
      </c>
      <c r="JT235">
        <v>0</v>
      </c>
      <c r="JU235">
        <v>0</v>
      </c>
      <c r="JV235">
        <v>0</v>
      </c>
      <c r="JW235">
        <v>-15915</v>
      </c>
      <c r="JX235">
        <v>0</v>
      </c>
      <c r="JY235">
        <v>0</v>
      </c>
      <c r="JZ235">
        <v>0</v>
      </c>
      <c r="KA235">
        <v>0</v>
      </c>
      <c r="KB235">
        <v>0</v>
      </c>
      <c r="KC235">
        <v>13710</v>
      </c>
      <c r="KD235">
        <v>0</v>
      </c>
      <c r="KE235">
        <v>-3211</v>
      </c>
      <c r="KF235">
        <v>10499</v>
      </c>
      <c r="KG235">
        <v>0</v>
      </c>
      <c r="KH235">
        <v>0</v>
      </c>
      <c r="KI235">
        <v>0</v>
      </c>
      <c r="KJ235">
        <v>0</v>
      </c>
      <c r="KK235">
        <v>1316</v>
      </c>
      <c r="KL235">
        <v>4343</v>
      </c>
      <c r="KM235">
        <v>0</v>
      </c>
      <c r="KN235">
        <v>0</v>
      </c>
      <c r="KO235">
        <v>-2000</v>
      </c>
      <c r="KP235">
        <v>0</v>
      </c>
      <c r="KQ235">
        <v>21</v>
      </c>
      <c r="KR235">
        <v>8028</v>
      </c>
      <c r="KS235">
        <v>0</v>
      </c>
      <c r="KT235">
        <v>0</v>
      </c>
      <c r="KU235">
        <v>0</v>
      </c>
      <c r="KV235">
        <v>19407</v>
      </c>
      <c r="KW235">
        <v>0</v>
      </c>
      <c r="KX235">
        <v>0</v>
      </c>
      <c r="KY235">
        <v>0</v>
      </c>
      <c r="KZ235">
        <v>0</v>
      </c>
      <c r="LA235">
        <v>20723</v>
      </c>
      <c r="LB235">
        <v>4343</v>
      </c>
      <c r="LC235">
        <v>0</v>
      </c>
      <c r="LD235">
        <v>2764</v>
      </c>
      <c r="LE235">
        <v>0</v>
      </c>
      <c r="LF235">
        <v>256</v>
      </c>
      <c r="LG235">
        <v>-4752</v>
      </c>
      <c r="LH235">
        <v>1430</v>
      </c>
      <c r="LI235">
        <v>-1011</v>
      </c>
      <c r="LJ235">
        <v>1827</v>
      </c>
      <c r="LK235">
        <v>2761</v>
      </c>
      <c r="LL235">
        <v>4588</v>
      </c>
      <c r="LM235">
        <v>13</v>
      </c>
      <c r="LN235">
        <v>0</v>
      </c>
      <c r="LO235">
        <v>0</v>
      </c>
      <c r="LP235">
        <v>0</v>
      </c>
      <c r="LQ235">
        <v>0</v>
      </c>
      <c r="LR235">
        <v>0</v>
      </c>
      <c r="LS235">
        <v>0</v>
      </c>
      <c r="LT235">
        <v>0</v>
      </c>
      <c r="LU235">
        <v>0</v>
      </c>
      <c r="LV235">
        <v>-1164</v>
      </c>
      <c r="LW235">
        <v>0</v>
      </c>
      <c r="LX235">
        <v>138</v>
      </c>
      <c r="LY235">
        <v>0</v>
      </c>
      <c r="LZ235">
        <v>2365</v>
      </c>
      <c r="MA235">
        <v>455</v>
      </c>
      <c r="MB235">
        <v>3742</v>
      </c>
      <c r="MC235">
        <v>842</v>
      </c>
      <c r="MD235">
        <v>0</v>
      </c>
      <c r="ME235">
        <v>0</v>
      </c>
      <c r="MF235">
        <v>9395</v>
      </c>
      <c r="MG235">
        <v>585</v>
      </c>
      <c r="MH235">
        <v>16358</v>
      </c>
      <c r="MI235">
        <v>0</v>
      </c>
      <c r="MJ235">
        <v>0</v>
      </c>
      <c r="MK235">
        <v>0</v>
      </c>
      <c r="ML235">
        <v>0</v>
      </c>
      <c r="MM235">
        <v>0</v>
      </c>
      <c r="MN235">
        <v>0</v>
      </c>
      <c r="MO235">
        <v>0</v>
      </c>
      <c r="MP235">
        <v>0</v>
      </c>
      <c r="MQ235">
        <v>0</v>
      </c>
      <c r="MR235">
        <v>0</v>
      </c>
      <c r="MS235">
        <v>0</v>
      </c>
      <c r="MT235">
        <v>0</v>
      </c>
      <c r="MU235">
        <v>0</v>
      </c>
      <c r="MV235">
        <v>0</v>
      </c>
      <c r="MW235">
        <v>0</v>
      </c>
      <c r="MX235">
        <v>0</v>
      </c>
      <c r="MY235">
        <v>0</v>
      </c>
      <c r="MZ235">
        <v>0</v>
      </c>
      <c r="NA235">
        <v>0</v>
      </c>
      <c r="NB235">
        <v>0</v>
      </c>
      <c r="NC235">
        <v>0</v>
      </c>
      <c r="ND235">
        <v>0</v>
      </c>
      <c r="NE235">
        <v>0</v>
      </c>
      <c r="NF235">
        <v>0</v>
      </c>
      <c r="NG235">
        <v>0</v>
      </c>
      <c r="NH235">
        <v>0</v>
      </c>
      <c r="NI235">
        <v>0</v>
      </c>
      <c r="NJ235">
        <v>0</v>
      </c>
      <c r="NK235">
        <v>0</v>
      </c>
      <c r="NL235">
        <v>0</v>
      </c>
      <c r="NM235">
        <v>0</v>
      </c>
      <c r="NN235">
        <v>0</v>
      </c>
      <c r="NO235">
        <v>0</v>
      </c>
      <c r="NP235">
        <v>0</v>
      </c>
      <c r="NQ235">
        <v>0</v>
      </c>
      <c r="NR235">
        <v>0</v>
      </c>
      <c r="NS235">
        <v>0</v>
      </c>
      <c r="NT235">
        <v>0</v>
      </c>
      <c r="NU235">
        <v>0</v>
      </c>
      <c r="NV235">
        <v>0</v>
      </c>
      <c r="NW235">
        <v>0</v>
      </c>
      <c r="NX235">
        <v>0</v>
      </c>
      <c r="NY235">
        <v>0</v>
      </c>
      <c r="NZ235">
        <v>0</v>
      </c>
      <c r="OA235">
        <v>0</v>
      </c>
      <c r="OB235">
        <v>0</v>
      </c>
      <c r="OC235">
        <v>0</v>
      </c>
      <c r="OD235">
        <v>0</v>
      </c>
      <c r="OE235">
        <v>0</v>
      </c>
      <c r="OF235">
        <v>0</v>
      </c>
      <c r="OG235">
        <v>0</v>
      </c>
      <c r="OH235">
        <v>0</v>
      </c>
      <c r="OI235">
        <v>0</v>
      </c>
      <c r="OJ235">
        <v>0</v>
      </c>
      <c r="OK235">
        <v>0</v>
      </c>
      <c r="OL235">
        <v>0</v>
      </c>
      <c r="OM235">
        <v>0</v>
      </c>
      <c r="ON235">
        <v>0</v>
      </c>
    </row>
    <row r="236" spans="1:404" x14ac:dyDescent="0.25">
      <c r="A236" t="s">
        <v>776</v>
      </c>
      <c r="B236" t="s">
        <v>777</v>
      </c>
      <c r="C236" t="s">
        <v>775</v>
      </c>
      <c r="E236" t="s">
        <v>61</v>
      </c>
      <c r="F236">
        <v>0</v>
      </c>
      <c r="G236">
        <v>0</v>
      </c>
      <c r="H236">
        <v>0</v>
      </c>
      <c r="I236">
        <v>0</v>
      </c>
      <c r="J236">
        <v>0</v>
      </c>
      <c r="K236">
        <v>0</v>
      </c>
      <c r="L236">
        <v>0</v>
      </c>
      <c r="M236">
        <v>97</v>
      </c>
      <c r="N236">
        <v>0</v>
      </c>
      <c r="O236">
        <v>0</v>
      </c>
      <c r="P236">
        <v>0</v>
      </c>
      <c r="Q236">
        <v>0</v>
      </c>
      <c r="R236">
        <v>0</v>
      </c>
      <c r="S236">
        <v>78</v>
      </c>
      <c r="T236">
        <v>0</v>
      </c>
      <c r="U236">
        <v>201</v>
      </c>
      <c r="V236">
        <v>0</v>
      </c>
      <c r="W236">
        <v>0</v>
      </c>
      <c r="X236">
        <v>0</v>
      </c>
      <c r="Y236">
        <v>0</v>
      </c>
      <c r="Z236">
        <v>0</v>
      </c>
      <c r="AA236">
        <v>-1799</v>
      </c>
      <c r="AB236">
        <v>0</v>
      </c>
      <c r="AC236">
        <v>0</v>
      </c>
      <c r="AD236">
        <v>0</v>
      </c>
      <c r="AE236">
        <v>0</v>
      </c>
      <c r="AF236">
        <v>0</v>
      </c>
      <c r="AG236">
        <v>0</v>
      </c>
      <c r="AH236">
        <v>0</v>
      </c>
      <c r="AI236">
        <v>-1423</v>
      </c>
      <c r="AJ236">
        <v>0</v>
      </c>
      <c r="AK236">
        <v>0</v>
      </c>
      <c r="AL236">
        <v>0</v>
      </c>
      <c r="AM236">
        <v>0</v>
      </c>
      <c r="AN236">
        <v>0</v>
      </c>
      <c r="AO236">
        <v>0</v>
      </c>
      <c r="AP236">
        <v>0</v>
      </c>
      <c r="AQ236">
        <v>0</v>
      </c>
      <c r="AR236">
        <v>0</v>
      </c>
      <c r="AS236">
        <v>0</v>
      </c>
      <c r="AT236">
        <v>0</v>
      </c>
      <c r="AU236">
        <v>0</v>
      </c>
      <c r="AV236">
        <v>0</v>
      </c>
      <c r="AW236">
        <v>0</v>
      </c>
      <c r="AX236">
        <v>0</v>
      </c>
      <c r="AY236">
        <v>0</v>
      </c>
      <c r="AZ236">
        <v>0</v>
      </c>
      <c r="BA236">
        <v>0</v>
      </c>
      <c r="BB236">
        <v>0</v>
      </c>
      <c r="BC236">
        <v>0</v>
      </c>
      <c r="BD236">
        <v>0</v>
      </c>
      <c r="BE236">
        <v>0</v>
      </c>
      <c r="BF236">
        <v>0</v>
      </c>
      <c r="BG236">
        <v>0</v>
      </c>
      <c r="BH236">
        <v>0</v>
      </c>
      <c r="BI236">
        <v>0</v>
      </c>
      <c r="BJ236">
        <v>0</v>
      </c>
      <c r="BK236">
        <v>0</v>
      </c>
      <c r="BL236">
        <v>0</v>
      </c>
      <c r="BM236">
        <v>0</v>
      </c>
      <c r="BN236">
        <v>0</v>
      </c>
      <c r="BO236">
        <v>0</v>
      </c>
      <c r="BP236">
        <v>0</v>
      </c>
      <c r="BQ236">
        <v>0</v>
      </c>
      <c r="BR236">
        <v>0</v>
      </c>
      <c r="BS236">
        <v>27</v>
      </c>
      <c r="BT236">
        <v>0</v>
      </c>
      <c r="BU236">
        <v>0</v>
      </c>
      <c r="BV236">
        <v>0</v>
      </c>
      <c r="BW236">
        <v>27</v>
      </c>
      <c r="BX236">
        <v>0</v>
      </c>
      <c r="BY236">
        <v>0</v>
      </c>
      <c r="BZ236">
        <v>0</v>
      </c>
      <c r="CA236">
        <v>0</v>
      </c>
      <c r="CB236">
        <v>0</v>
      </c>
      <c r="CC236">
        <v>0</v>
      </c>
      <c r="CD236">
        <v>0</v>
      </c>
      <c r="CE236">
        <v>0</v>
      </c>
      <c r="CF236">
        <v>0</v>
      </c>
      <c r="CG236">
        <v>0</v>
      </c>
      <c r="CH236">
        <v>0</v>
      </c>
      <c r="CI236">
        <v>0</v>
      </c>
      <c r="CJ236">
        <v>0</v>
      </c>
      <c r="CK236">
        <v>0</v>
      </c>
      <c r="CL236">
        <v>0</v>
      </c>
      <c r="CM236">
        <v>0</v>
      </c>
      <c r="CN236">
        <v>0</v>
      </c>
      <c r="CO236">
        <v>0</v>
      </c>
      <c r="CP236">
        <v>0</v>
      </c>
      <c r="CQ236">
        <v>0</v>
      </c>
      <c r="CR236">
        <v>0</v>
      </c>
      <c r="CS236">
        <v>0</v>
      </c>
      <c r="CT236">
        <v>0</v>
      </c>
      <c r="CU236">
        <v>0</v>
      </c>
      <c r="CV236">
        <v>0</v>
      </c>
      <c r="CW236">
        <v>0</v>
      </c>
      <c r="CX236">
        <v>0</v>
      </c>
      <c r="CY236">
        <v>0</v>
      </c>
      <c r="CZ236">
        <v>0</v>
      </c>
      <c r="DA236">
        <v>0</v>
      </c>
      <c r="DB236">
        <v>0</v>
      </c>
      <c r="DC236">
        <v>135</v>
      </c>
      <c r="DD236">
        <v>0</v>
      </c>
      <c r="DE236">
        <v>270</v>
      </c>
      <c r="DF236">
        <v>198</v>
      </c>
      <c r="DG236">
        <v>0</v>
      </c>
      <c r="DH236">
        <v>306</v>
      </c>
      <c r="DI236">
        <v>0</v>
      </c>
      <c r="DJ236">
        <v>18</v>
      </c>
      <c r="DK236">
        <v>0</v>
      </c>
      <c r="DL236">
        <v>151</v>
      </c>
      <c r="DM236">
        <v>1363</v>
      </c>
      <c r="DN236">
        <v>28</v>
      </c>
      <c r="DO236">
        <v>9</v>
      </c>
      <c r="DP236">
        <v>1875</v>
      </c>
      <c r="DQ236">
        <v>87</v>
      </c>
      <c r="DR236">
        <v>0</v>
      </c>
      <c r="DS236">
        <v>87</v>
      </c>
      <c r="DT236">
        <v>442</v>
      </c>
      <c r="DU236">
        <v>-142</v>
      </c>
      <c r="DV236">
        <v>0</v>
      </c>
      <c r="DW236">
        <v>0</v>
      </c>
      <c r="DX236">
        <v>2952</v>
      </c>
      <c r="DY236">
        <v>26993</v>
      </c>
      <c r="DZ236">
        <v>671</v>
      </c>
      <c r="EA236">
        <v>703</v>
      </c>
      <c r="EB236">
        <v>146</v>
      </c>
      <c r="EC236">
        <v>0</v>
      </c>
      <c r="ED236">
        <v>23</v>
      </c>
      <c r="EE236">
        <v>242</v>
      </c>
      <c r="EF236">
        <v>0</v>
      </c>
      <c r="EG236">
        <v>-12</v>
      </c>
      <c r="EH236">
        <v>5426</v>
      </c>
      <c r="EI236">
        <v>5176</v>
      </c>
      <c r="EJ236">
        <v>1261</v>
      </c>
      <c r="EK236">
        <v>338</v>
      </c>
      <c r="EL236">
        <v>4158</v>
      </c>
      <c r="EM236">
        <v>4182</v>
      </c>
      <c r="EN236">
        <v>932</v>
      </c>
      <c r="EO236">
        <v>12</v>
      </c>
      <c r="EP236">
        <v>0</v>
      </c>
      <c r="EQ236">
        <v>8701</v>
      </c>
      <c r="ER236">
        <v>50</v>
      </c>
      <c r="ES236">
        <v>14439</v>
      </c>
      <c r="ET236">
        <v>12969</v>
      </c>
      <c r="EU236">
        <v>0</v>
      </c>
      <c r="EV236">
        <v>0</v>
      </c>
      <c r="EW236">
        <v>0</v>
      </c>
      <c r="EX236">
        <v>0</v>
      </c>
      <c r="EY236">
        <v>0</v>
      </c>
      <c r="EZ236">
        <v>0</v>
      </c>
      <c r="FA236">
        <v>-299</v>
      </c>
      <c r="FB236">
        <v>311</v>
      </c>
      <c r="FC236">
        <v>3376</v>
      </c>
      <c r="FD236">
        <v>356</v>
      </c>
      <c r="FE236">
        <v>0</v>
      </c>
      <c r="FF236">
        <v>0</v>
      </c>
      <c r="FG236">
        <v>0</v>
      </c>
      <c r="FH236">
        <v>3744</v>
      </c>
      <c r="FI236">
        <v>8</v>
      </c>
      <c r="FJ236">
        <v>0</v>
      </c>
      <c r="FK236">
        <v>23</v>
      </c>
      <c r="FL236">
        <v>355</v>
      </c>
      <c r="FM236">
        <v>344</v>
      </c>
      <c r="FN236">
        <v>0</v>
      </c>
      <c r="FO236">
        <v>91</v>
      </c>
      <c r="FP236">
        <v>0</v>
      </c>
      <c r="FQ236">
        <v>0</v>
      </c>
      <c r="FR236">
        <v>29</v>
      </c>
      <c r="FS236">
        <v>479</v>
      </c>
      <c r="FT236">
        <v>211</v>
      </c>
      <c r="FU236">
        <v>174</v>
      </c>
      <c r="FV236">
        <v>130</v>
      </c>
      <c r="FW236">
        <v>0</v>
      </c>
      <c r="FX236">
        <v>322</v>
      </c>
      <c r="FY236">
        <v>0</v>
      </c>
      <c r="FZ236">
        <v>50</v>
      </c>
      <c r="GA236">
        <v>0</v>
      </c>
      <c r="GB236">
        <v>620</v>
      </c>
      <c r="GC236">
        <v>0</v>
      </c>
      <c r="GD236">
        <v>1495</v>
      </c>
      <c r="GE236">
        <v>2950</v>
      </c>
      <c r="GF236">
        <v>116</v>
      </c>
      <c r="GG236">
        <v>0</v>
      </c>
      <c r="GH236">
        <v>1518</v>
      </c>
      <c r="GI236">
        <v>0</v>
      </c>
      <c r="GJ236">
        <v>0</v>
      </c>
      <c r="GK236">
        <v>8915</v>
      </c>
      <c r="GL236">
        <v>1</v>
      </c>
      <c r="GM236">
        <v>956</v>
      </c>
      <c r="GN236">
        <v>104</v>
      </c>
      <c r="GO236">
        <v>960</v>
      </c>
      <c r="GP236">
        <v>0</v>
      </c>
      <c r="GQ236">
        <v>268</v>
      </c>
      <c r="GR236">
        <v>0</v>
      </c>
      <c r="GS236">
        <v>0</v>
      </c>
      <c r="GT236">
        <v>0</v>
      </c>
      <c r="GU236">
        <v>2289</v>
      </c>
      <c r="GV236">
        <v>14948</v>
      </c>
      <c r="GW236">
        <v>0</v>
      </c>
      <c r="GX236">
        <v>0</v>
      </c>
      <c r="GY236">
        <v>0</v>
      </c>
      <c r="GZ236">
        <v>0</v>
      </c>
      <c r="HA236">
        <v>0</v>
      </c>
      <c r="HB236">
        <v>2107</v>
      </c>
      <c r="HC236">
        <v>807</v>
      </c>
      <c r="HD236">
        <v>0</v>
      </c>
      <c r="HE236">
        <v>0</v>
      </c>
      <c r="HF236">
        <v>269</v>
      </c>
      <c r="HG236">
        <v>-101</v>
      </c>
      <c r="HH236">
        <v>0</v>
      </c>
      <c r="HI236">
        <v>0</v>
      </c>
      <c r="HJ236">
        <v>206</v>
      </c>
      <c r="HK236">
        <v>173</v>
      </c>
      <c r="HL236">
        <v>60</v>
      </c>
      <c r="HM236">
        <v>14</v>
      </c>
      <c r="HN236">
        <v>0</v>
      </c>
      <c r="HO236">
        <v>282</v>
      </c>
      <c r="HP236">
        <v>0</v>
      </c>
      <c r="HQ236">
        <v>0</v>
      </c>
      <c r="HR236">
        <v>311</v>
      </c>
      <c r="HS236">
        <v>71</v>
      </c>
      <c r="HT236">
        <v>0</v>
      </c>
      <c r="HU236">
        <v>0</v>
      </c>
      <c r="HV236">
        <v>4199</v>
      </c>
      <c r="HW236">
        <v>0</v>
      </c>
      <c r="HX236">
        <v>31166</v>
      </c>
      <c r="HY236">
        <v>28</v>
      </c>
      <c r="HZ236">
        <v>9524</v>
      </c>
      <c r="IA236">
        <v>275</v>
      </c>
      <c r="IB236">
        <v>17</v>
      </c>
      <c r="IC236">
        <v>0</v>
      </c>
      <c r="ID236">
        <v>-1423</v>
      </c>
      <c r="IE236">
        <v>0</v>
      </c>
      <c r="IF236">
        <v>27</v>
      </c>
      <c r="IG236">
        <v>0</v>
      </c>
      <c r="IH236">
        <v>2952</v>
      </c>
      <c r="II236">
        <v>3744</v>
      </c>
      <c r="IJ236">
        <v>8915</v>
      </c>
      <c r="IK236">
        <v>2289</v>
      </c>
      <c r="IL236">
        <v>0</v>
      </c>
      <c r="IM236">
        <v>0</v>
      </c>
      <c r="IN236">
        <v>4199</v>
      </c>
      <c r="IO236">
        <v>17</v>
      </c>
      <c r="IP236">
        <v>20720</v>
      </c>
      <c r="IQ236">
        <v>16521</v>
      </c>
      <c r="IR236">
        <v>1014</v>
      </c>
      <c r="IS236">
        <v>9742</v>
      </c>
      <c r="IT236">
        <v>0</v>
      </c>
      <c r="IU236">
        <v>242</v>
      </c>
      <c r="IV236">
        <v>6667</v>
      </c>
      <c r="IW236">
        <v>0</v>
      </c>
      <c r="IX236">
        <v>0</v>
      </c>
      <c r="IY236">
        <v>0</v>
      </c>
      <c r="IZ236">
        <v>0</v>
      </c>
      <c r="JA236">
        <v>-373</v>
      </c>
      <c r="JB236">
        <v>0</v>
      </c>
      <c r="JC236">
        <v>0</v>
      </c>
      <c r="JD236">
        <v>0</v>
      </c>
      <c r="JE236">
        <v>58</v>
      </c>
      <c r="JF236">
        <v>0</v>
      </c>
      <c r="JG236">
        <v>54591</v>
      </c>
      <c r="JH236">
        <v>0</v>
      </c>
      <c r="JI236">
        <v>2108</v>
      </c>
      <c r="JJ236">
        <v>0</v>
      </c>
      <c r="JK236">
        <v>0</v>
      </c>
      <c r="JL236">
        <v>0</v>
      </c>
      <c r="JM236">
        <v>-121</v>
      </c>
      <c r="JN236">
        <v>1085</v>
      </c>
      <c r="JO236">
        <v>0</v>
      </c>
      <c r="JP236">
        <v>4169</v>
      </c>
      <c r="JQ236">
        <v>-4128</v>
      </c>
      <c r="JR236">
        <v>57704</v>
      </c>
      <c r="JS236">
        <v>-1413</v>
      </c>
      <c r="JT236">
        <v>0</v>
      </c>
      <c r="JU236">
        <v>0</v>
      </c>
      <c r="JV236">
        <v>0</v>
      </c>
      <c r="JW236">
        <v>-26554</v>
      </c>
      <c r="JX236">
        <v>0</v>
      </c>
      <c r="JY236">
        <v>-169</v>
      </c>
      <c r="JZ236">
        <v>0</v>
      </c>
      <c r="KA236">
        <v>0</v>
      </c>
      <c r="KB236">
        <v>0</v>
      </c>
      <c r="KC236">
        <v>29568</v>
      </c>
      <c r="KD236">
        <v>0</v>
      </c>
      <c r="KE236">
        <v>-2484</v>
      </c>
      <c r="KF236">
        <v>27084</v>
      </c>
      <c r="KG236">
        <v>0</v>
      </c>
      <c r="KH236">
        <v>0</v>
      </c>
      <c r="KI236">
        <v>0</v>
      </c>
      <c r="KJ236">
        <v>0</v>
      </c>
      <c r="KK236">
        <v>-5290</v>
      </c>
      <c r="KL236">
        <v>0</v>
      </c>
      <c r="KM236">
        <v>0</v>
      </c>
      <c r="KN236">
        <v>0</v>
      </c>
      <c r="KO236">
        <v>-166</v>
      </c>
      <c r="KP236">
        <v>94</v>
      </c>
      <c r="KQ236">
        <v>0</v>
      </c>
      <c r="KR236">
        <v>19785</v>
      </c>
      <c r="KS236">
        <v>0</v>
      </c>
      <c r="KT236">
        <v>0</v>
      </c>
      <c r="KU236">
        <v>0</v>
      </c>
      <c r="KV236">
        <v>30389</v>
      </c>
      <c r="KW236">
        <v>3000</v>
      </c>
      <c r="KX236">
        <v>0</v>
      </c>
      <c r="KY236">
        <v>0</v>
      </c>
      <c r="KZ236">
        <v>0</v>
      </c>
      <c r="LA236">
        <v>25099</v>
      </c>
      <c r="LB236">
        <v>3000</v>
      </c>
      <c r="LC236">
        <v>0</v>
      </c>
      <c r="LD236">
        <v>1342</v>
      </c>
      <c r="LE236">
        <v>968</v>
      </c>
      <c r="LF236">
        <v>10183</v>
      </c>
      <c r="LG236">
        <v>-1145</v>
      </c>
      <c r="LH236">
        <v>1146</v>
      </c>
      <c r="LI236">
        <v>10660</v>
      </c>
      <c r="LJ236">
        <v>4555</v>
      </c>
      <c r="LK236">
        <v>4493</v>
      </c>
      <c r="LL236">
        <v>9048</v>
      </c>
      <c r="LM236">
        <v>0</v>
      </c>
      <c r="LN236">
        <v>0</v>
      </c>
      <c r="LO236">
        <v>0</v>
      </c>
      <c r="LP236">
        <v>28766</v>
      </c>
      <c r="LQ236">
        <v>30236</v>
      </c>
      <c r="LR236">
        <v>-1470</v>
      </c>
      <c r="LS236">
        <v>14439</v>
      </c>
      <c r="LT236">
        <v>12969</v>
      </c>
      <c r="LU236">
        <v>0</v>
      </c>
      <c r="LV236">
        <v>-1423</v>
      </c>
      <c r="LW236">
        <v>0</v>
      </c>
      <c r="LX236">
        <v>27</v>
      </c>
      <c r="LY236">
        <v>0</v>
      </c>
      <c r="LZ236">
        <v>2952</v>
      </c>
      <c r="MA236">
        <v>3744</v>
      </c>
      <c r="MB236">
        <v>8915</v>
      </c>
      <c r="MC236">
        <v>2289</v>
      </c>
      <c r="MD236">
        <v>0</v>
      </c>
      <c r="ME236">
        <v>0</v>
      </c>
      <c r="MF236">
        <v>4199</v>
      </c>
      <c r="MG236">
        <v>17</v>
      </c>
      <c r="MH236">
        <v>20720</v>
      </c>
      <c r="MI236">
        <v>0</v>
      </c>
      <c r="MJ236">
        <v>0</v>
      </c>
      <c r="MK236">
        <v>0</v>
      </c>
      <c r="ML236">
        <v>0</v>
      </c>
      <c r="MM236">
        <v>1</v>
      </c>
      <c r="MN236">
        <v>0</v>
      </c>
      <c r="MO236">
        <v>0</v>
      </c>
      <c r="MP236">
        <v>0</v>
      </c>
      <c r="MQ236">
        <v>0</v>
      </c>
      <c r="MR236">
        <v>0</v>
      </c>
      <c r="MS236">
        <v>0</v>
      </c>
      <c r="MT236">
        <v>0</v>
      </c>
      <c r="MU236">
        <v>0</v>
      </c>
      <c r="MV236">
        <v>0</v>
      </c>
      <c r="MW236">
        <v>0</v>
      </c>
      <c r="MX236">
        <v>-374</v>
      </c>
      <c r="MY236">
        <v>0</v>
      </c>
      <c r="MZ236">
        <v>0</v>
      </c>
      <c r="NA236">
        <v>-373</v>
      </c>
      <c r="NB236">
        <v>0</v>
      </c>
      <c r="NC236">
        <v>-373</v>
      </c>
      <c r="ND236">
        <v>0</v>
      </c>
      <c r="NE236">
        <v>0</v>
      </c>
      <c r="NF236">
        <v>0</v>
      </c>
      <c r="NG236">
        <v>0</v>
      </c>
      <c r="NH236">
        <v>0</v>
      </c>
      <c r="NI236">
        <v>0</v>
      </c>
      <c r="NJ236">
        <v>0</v>
      </c>
      <c r="NK236">
        <v>0</v>
      </c>
      <c r="NL236">
        <v>0</v>
      </c>
      <c r="NM236">
        <v>0</v>
      </c>
      <c r="NN236">
        <v>0</v>
      </c>
      <c r="NO236">
        <v>0</v>
      </c>
      <c r="NP236">
        <v>0</v>
      </c>
      <c r="NQ236">
        <v>0</v>
      </c>
      <c r="NR236">
        <v>0</v>
      </c>
      <c r="NS236">
        <v>0</v>
      </c>
      <c r="NT236">
        <v>0</v>
      </c>
      <c r="NU236">
        <v>0</v>
      </c>
      <c r="NV236">
        <v>0</v>
      </c>
      <c r="NW236">
        <v>0</v>
      </c>
      <c r="NX236">
        <v>0</v>
      </c>
      <c r="NY236">
        <v>0</v>
      </c>
      <c r="NZ236">
        <v>0</v>
      </c>
      <c r="OA236">
        <v>0</v>
      </c>
      <c r="OB236">
        <v>0</v>
      </c>
      <c r="OC236">
        <v>0</v>
      </c>
      <c r="OD236">
        <v>0</v>
      </c>
      <c r="OE236">
        <v>0</v>
      </c>
      <c r="OF236">
        <v>0</v>
      </c>
      <c r="OG236">
        <v>0</v>
      </c>
      <c r="OH236">
        <v>0</v>
      </c>
      <c r="OI236">
        <v>0</v>
      </c>
      <c r="OJ236">
        <v>0</v>
      </c>
      <c r="OK236">
        <v>0</v>
      </c>
      <c r="OL236">
        <v>0</v>
      </c>
      <c r="OM236">
        <v>0</v>
      </c>
      <c r="ON236">
        <v>0</v>
      </c>
    </row>
    <row r="237" spans="1:404" x14ac:dyDescent="0.25">
      <c r="A237" t="s">
        <v>779</v>
      </c>
      <c r="B237" t="s">
        <v>780</v>
      </c>
      <c r="C237" t="s">
        <v>5438</v>
      </c>
      <c r="E237" t="s">
        <v>5418</v>
      </c>
      <c r="F237">
        <v>0</v>
      </c>
      <c r="G237">
        <v>0</v>
      </c>
      <c r="H237">
        <v>0</v>
      </c>
      <c r="I237">
        <v>0</v>
      </c>
      <c r="J237">
        <v>0</v>
      </c>
      <c r="K237">
        <v>0</v>
      </c>
      <c r="L237">
        <v>0</v>
      </c>
      <c r="M237">
        <v>17</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17</v>
      </c>
      <c r="AJ237">
        <v>0</v>
      </c>
      <c r="AK237">
        <v>0</v>
      </c>
      <c r="AL237">
        <v>0</v>
      </c>
      <c r="AM237">
        <v>0</v>
      </c>
      <c r="AN237">
        <v>0</v>
      </c>
      <c r="AO237">
        <v>0</v>
      </c>
      <c r="AP237">
        <v>0</v>
      </c>
      <c r="AQ237">
        <v>0</v>
      </c>
      <c r="AR237">
        <v>0</v>
      </c>
      <c r="AS237">
        <v>0</v>
      </c>
      <c r="AT237">
        <v>0</v>
      </c>
      <c r="AU237">
        <v>0</v>
      </c>
      <c r="AV237">
        <v>0</v>
      </c>
      <c r="AW237">
        <v>0</v>
      </c>
      <c r="AX237">
        <v>0</v>
      </c>
      <c r="AY237">
        <v>0</v>
      </c>
      <c r="AZ237">
        <v>0</v>
      </c>
      <c r="BA237">
        <v>0</v>
      </c>
      <c r="BB237">
        <v>0</v>
      </c>
      <c r="BC237">
        <v>0</v>
      </c>
      <c r="BD237">
        <v>0</v>
      </c>
      <c r="BE237">
        <v>0</v>
      </c>
      <c r="BF237">
        <v>0</v>
      </c>
      <c r="BG237">
        <v>0</v>
      </c>
      <c r="BH237">
        <v>0</v>
      </c>
      <c r="BI237">
        <v>0</v>
      </c>
      <c r="BJ237">
        <v>0</v>
      </c>
      <c r="BK237">
        <v>0</v>
      </c>
      <c r="BL237">
        <v>0</v>
      </c>
      <c r="BM237">
        <v>0</v>
      </c>
      <c r="BN237">
        <v>0</v>
      </c>
      <c r="BO237">
        <v>0</v>
      </c>
      <c r="BP237">
        <v>0</v>
      </c>
      <c r="BQ237">
        <v>0</v>
      </c>
      <c r="BR237">
        <v>0</v>
      </c>
      <c r="BS237">
        <v>0</v>
      </c>
      <c r="BT237">
        <v>0</v>
      </c>
      <c r="BU237">
        <v>0</v>
      </c>
      <c r="BV237">
        <v>0</v>
      </c>
      <c r="BW237">
        <v>0</v>
      </c>
      <c r="BX237">
        <v>0</v>
      </c>
      <c r="BY237">
        <v>0</v>
      </c>
      <c r="BZ237">
        <v>0</v>
      </c>
      <c r="CA237">
        <v>0</v>
      </c>
      <c r="CB237">
        <v>0</v>
      </c>
      <c r="CC237">
        <v>0</v>
      </c>
      <c r="CD237">
        <v>0</v>
      </c>
      <c r="CE237">
        <v>0</v>
      </c>
      <c r="CF237">
        <v>0</v>
      </c>
      <c r="CG237">
        <v>0</v>
      </c>
      <c r="CH237">
        <v>0</v>
      </c>
      <c r="CI237">
        <v>0</v>
      </c>
      <c r="CJ237">
        <v>0</v>
      </c>
      <c r="CK237">
        <v>0</v>
      </c>
      <c r="CL237">
        <v>0</v>
      </c>
      <c r="CM237">
        <v>0</v>
      </c>
      <c r="CN237">
        <v>0</v>
      </c>
      <c r="CO237">
        <v>0</v>
      </c>
      <c r="CP237">
        <v>0</v>
      </c>
      <c r="CQ237">
        <v>0</v>
      </c>
      <c r="CR237">
        <v>0</v>
      </c>
      <c r="CS237">
        <v>0</v>
      </c>
      <c r="CT237">
        <v>0</v>
      </c>
      <c r="CU237">
        <v>0</v>
      </c>
      <c r="CV237">
        <v>0</v>
      </c>
      <c r="CW237">
        <v>0</v>
      </c>
      <c r="CX237">
        <v>0</v>
      </c>
      <c r="CY237">
        <v>0</v>
      </c>
      <c r="CZ237">
        <v>0</v>
      </c>
      <c r="DA237">
        <v>0</v>
      </c>
      <c r="DB237">
        <v>0</v>
      </c>
      <c r="DC237">
        <v>0</v>
      </c>
      <c r="DD237">
        <v>0</v>
      </c>
      <c r="DE237">
        <v>0</v>
      </c>
      <c r="DF237">
        <v>0</v>
      </c>
      <c r="DG237">
        <v>0</v>
      </c>
      <c r="DH237">
        <v>0</v>
      </c>
      <c r="DI237">
        <v>0</v>
      </c>
      <c r="DJ237">
        <v>0</v>
      </c>
      <c r="DK237">
        <v>0</v>
      </c>
      <c r="DL237">
        <v>0</v>
      </c>
      <c r="DM237">
        <v>0</v>
      </c>
      <c r="DN237">
        <v>0</v>
      </c>
      <c r="DO237">
        <v>0</v>
      </c>
      <c r="DP237">
        <v>0</v>
      </c>
      <c r="DQ237">
        <v>0</v>
      </c>
      <c r="DR237">
        <v>0</v>
      </c>
      <c r="DS237">
        <v>0</v>
      </c>
      <c r="DT237">
        <v>0</v>
      </c>
      <c r="DU237">
        <v>0</v>
      </c>
      <c r="DV237">
        <v>0</v>
      </c>
      <c r="DW237">
        <v>0</v>
      </c>
      <c r="DX237">
        <v>0</v>
      </c>
      <c r="DY237">
        <v>0</v>
      </c>
      <c r="DZ237">
        <v>0</v>
      </c>
      <c r="EA237">
        <v>0</v>
      </c>
      <c r="EB237">
        <v>0</v>
      </c>
      <c r="EC237">
        <v>0</v>
      </c>
      <c r="ED237">
        <v>0</v>
      </c>
      <c r="EE237">
        <v>0</v>
      </c>
      <c r="EF237">
        <v>0</v>
      </c>
      <c r="EG237">
        <v>0</v>
      </c>
      <c r="EH237">
        <v>0</v>
      </c>
      <c r="EI237">
        <v>0</v>
      </c>
      <c r="EJ237">
        <v>0</v>
      </c>
      <c r="EK237">
        <v>0</v>
      </c>
      <c r="EL237">
        <v>0</v>
      </c>
      <c r="EM237">
        <v>0</v>
      </c>
      <c r="EN237">
        <v>0</v>
      </c>
      <c r="EO237">
        <v>0</v>
      </c>
      <c r="EP237">
        <v>0</v>
      </c>
      <c r="EQ237">
        <v>0</v>
      </c>
      <c r="ER237">
        <v>0</v>
      </c>
      <c r="ES237">
        <v>0</v>
      </c>
      <c r="ET237">
        <v>0</v>
      </c>
      <c r="EU237">
        <v>0</v>
      </c>
      <c r="EV237">
        <v>0</v>
      </c>
      <c r="EW237">
        <v>675</v>
      </c>
      <c r="EX237">
        <v>0</v>
      </c>
      <c r="EY237">
        <v>0</v>
      </c>
      <c r="EZ237">
        <v>0</v>
      </c>
      <c r="FA237">
        <v>0</v>
      </c>
      <c r="FB237">
        <v>0</v>
      </c>
      <c r="FC237">
        <v>0</v>
      </c>
      <c r="FD237">
        <v>241</v>
      </c>
      <c r="FE237">
        <v>0</v>
      </c>
      <c r="FF237">
        <v>359</v>
      </c>
      <c r="FG237">
        <v>0</v>
      </c>
      <c r="FH237">
        <v>1275</v>
      </c>
      <c r="FI237">
        <v>0</v>
      </c>
      <c r="FJ237">
        <v>0</v>
      </c>
      <c r="FK237">
        <v>0</v>
      </c>
      <c r="FL237">
        <v>0</v>
      </c>
      <c r="FM237">
        <v>0</v>
      </c>
      <c r="FN237">
        <v>0</v>
      </c>
      <c r="FO237">
        <v>0</v>
      </c>
      <c r="FP237">
        <v>0</v>
      </c>
      <c r="FQ237">
        <v>0</v>
      </c>
      <c r="FR237">
        <v>0</v>
      </c>
      <c r="FS237">
        <v>0</v>
      </c>
      <c r="FT237">
        <v>0</v>
      </c>
      <c r="FU237">
        <v>0</v>
      </c>
      <c r="FV237">
        <v>0</v>
      </c>
      <c r="FW237">
        <v>0</v>
      </c>
      <c r="FX237">
        <v>0</v>
      </c>
      <c r="FY237">
        <v>0</v>
      </c>
      <c r="FZ237">
        <v>0</v>
      </c>
      <c r="GA237">
        <v>0</v>
      </c>
      <c r="GB237">
        <v>0</v>
      </c>
      <c r="GC237">
        <v>0</v>
      </c>
      <c r="GD237">
        <v>0</v>
      </c>
      <c r="GE237">
        <v>0</v>
      </c>
      <c r="GF237">
        <v>0</v>
      </c>
      <c r="GG237">
        <v>0</v>
      </c>
      <c r="GH237">
        <v>0</v>
      </c>
      <c r="GI237">
        <v>0</v>
      </c>
      <c r="GJ237">
        <v>0</v>
      </c>
      <c r="GK237">
        <v>0</v>
      </c>
      <c r="GL237">
        <v>0</v>
      </c>
      <c r="GM237">
        <v>834</v>
      </c>
      <c r="GN237">
        <v>44</v>
      </c>
      <c r="GO237">
        <v>446</v>
      </c>
      <c r="GP237">
        <v>0</v>
      </c>
      <c r="GQ237">
        <v>0</v>
      </c>
      <c r="GR237">
        <v>0</v>
      </c>
      <c r="GS237">
        <v>0</v>
      </c>
      <c r="GT237">
        <v>0</v>
      </c>
      <c r="GU237">
        <v>1324</v>
      </c>
      <c r="GV237">
        <v>2599</v>
      </c>
      <c r="GW237">
        <v>0</v>
      </c>
      <c r="GX237">
        <v>0</v>
      </c>
      <c r="GY237">
        <v>0</v>
      </c>
      <c r="GZ237">
        <v>0</v>
      </c>
      <c r="HA237">
        <v>0</v>
      </c>
      <c r="HB237">
        <v>743</v>
      </c>
      <c r="HC237">
        <v>0</v>
      </c>
      <c r="HD237">
        <v>0</v>
      </c>
      <c r="HE237">
        <v>0</v>
      </c>
      <c r="HF237">
        <v>0</v>
      </c>
      <c r="HG237">
        <v>0</v>
      </c>
      <c r="HH237">
        <v>0</v>
      </c>
      <c r="HI237">
        <v>0</v>
      </c>
      <c r="HJ237">
        <v>0</v>
      </c>
      <c r="HK237">
        <v>0</v>
      </c>
      <c r="HL237">
        <v>0</v>
      </c>
      <c r="HM237">
        <v>0</v>
      </c>
      <c r="HN237">
        <v>0</v>
      </c>
      <c r="HO237">
        <v>0</v>
      </c>
      <c r="HP237">
        <v>0</v>
      </c>
      <c r="HQ237">
        <v>0</v>
      </c>
      <c r="HR237">
        <v>0</v>
      </c>
      <c r="HS237">
        <v>0</v>
      </c>
      <c r="HT237">
        <v>0</v>
      </c>
      <c r="HU237">
        <v>0</v>
      </c>
      <c r="HV237">
        <v>743</v>
      </c>
      <c r="HW237">
        <v>0</v>
      </c>
      <c r="HX237">
        <v>0</v>
      </c>
      <c r="HY237">
        <v>0</v>
      </c>
      <c r="HZ237">
        <v>0</v>
      </c>
      <c r="IA237">
        <v>0</v>
      </c>
      <c r="IB237">
        <v>0</v>
      </c>
      <c r="IC237">
        <v>0</v>
      </c>
      <c r="ID237">
        <v>17</v>
      </c>
      <c r="IE237">
        <v>0</v>
      </c>
      <c r="IF237">
        <v>0</v>
      </c>
      <c r="IG237">
        <v>0</v>
      </c>
      <c r="IH237">
        <v>0</v>
      </c>
      <c r="II237">
        <v>1275</v>
      </c>
      <c r="IJ237">
        <v>0</v>
      </c>
      <c r="IK237">
        <v>1324</v>
      </c>
      <c r="IL237">
        <v>0</v>
      </c>
      <c r="IM237">
        <v>0</v>
      </c>
      <c r="IN237">
        <v>743</v>
      </c>
      <c r="IO237">
        <v>0</v>
      </c>
      <c r="IP237">
        <v>3359</v>
      </c>
      <c r="IQ237">
        <v>0</v>
      </c>
      <c r="IR237">
        <v>0</v>
      </c>
      <c r="IS237">
        <v>0</v>
      </c>
      <c r="IT237">
        <v>0</v>
      </c>
      <c r="IU237">
        <v>0</v>
      </c>
      <c r="IV237">
        <v>0</v>
      </c>
      <c r="IW237">
        <v>0</v>
      </c>
      <c r="IX237">
        <v>0</v>
      </c>
      <c r="IY237">
        <v>0</v>
      </c>
      <c r="IZ237">
        <v>0</v>
      </c>
      <c r="JA237">
        <v>0</v>
      </c>
      <c r="JB237">
        <v>0</v>
      </c>
      <c r="JC237">
        <v>0</v>
      </c>
      <c r="JD237">
        <v>0</v>
      </c>
      <c r="JE237">
        <v>-8</v>
      </c>
      <c r="JF237">
        <v>0</v>
      </c>
      <c r="JG237">
        <v>3351</v>
      </c>
      <c r="JH237">
        <v>0</v>
      </c>
      <c r="JI237">
        <v>61</v>
      </c>
      <c r="JJ237">
        <v>0</v>
      </c>
      <c r="JK237">
        <v>0</v>
      </c>
      <c r="JL237">
        <v>0</v>
      </c>
      <c r="JM237">
        <v>0</v>
      </c>
      <c r="JN237">
        <v>0</v>
      </c>
      <c r="JO237">
        <v>0</v>
      </c>
      <c r="JP237">
        <v>0</v>
      </c>
      <c r="JQ237">
        <v>0</v>
      </c>
      <c r="JR237">
        <v>3412</v>
      </c>
      <c r="JS237">
        <v>-1</v>
      </c>
      <c r="JT237">
        <v>0</v>
      </c>
      <c r="JU237">
        <v>0</v>
      </c>
      <c r="JV237">
        <v>0</v>
      </c>
      <c r="JW237">
        <v>0</v>
      </c>
      <c r="JX237">
        <v>0</v>
      </c>
      <c r="JY237">
        <v>0</v>
      </c>
      <c r="JZ237">
        <v>0</v>
      </c>
      <c r="KA237">
        <v>0</v>
      </c>
      <c r="KB237">
        <v>0</v>
      </c>
      <c r="KC237">
        <v>3411</v>
      </c>
      <c r="KD237">
        <v>0</v>
      </c>
      <c r="KE237">
        <v>-3454</v>
      </c>
      <c r="KF237">
        <v>-43</v>
      </c>
      <c r="KG237">
        <v>0</v>
      </c>
      <c r="KH237">
        <v>0</v>
      </c>
      <c r="KI237">
        <v>0</v>
      </c>
      <c r="KJ237">
        <v>0</v>
      </c>
      <c r="KK237">
        <v>43</v>
      </c>
      <c r="KL237">
        <v>0</v>
      </c>
      <c r="KM237">
        <v>0</v>
      </c>
      <c r="KN237">
        <v>0</v>
      </c>
      <c r="KO237">
        <v>0</v>
      </c>
      <c r="KP237">
        <v>0</v>
      </c>
      <c r="KQ237">
        <v>0</v>
      </c>
      <c r="KR237">
        <v>0</v>
      </c>
      <c r="KS237">
        <v>0</v>
      </c>
      <c r="KT237">
        <v>0</v>
      </c>
      <c r="KU237">
        <v>0</v>
      </c>
      <c r="KV237">
        <v>1555</v>
      </c>
      <c r="KW237">
        <v>300</v>
      </c>
      <c r="KX237">
        <v>0</v>
      </c>
      <c r="KY237">
        <v>0</v>
      </c>
      <c r="KZ237">
        <v>0</v>
      </c>
      <c r="LA237">
        <v>1598</v>
      </c>
      <c r="LB237">
        <v>300</v>
      </c>
      <c r="LC237">
        <v>0</v>
      </c>
      <c r="LD237">
        <v>58</v>
      </c>
      <c r="LE237">
        <v>0</v>
      </c>
      <c r="LF237">
        <v>0</v>
      </c>
      <c r="LG237">
        <v>0</v>
      </c>
      <c r="LH237">
        <v>235</v>
      </c>
      <c r="LI237">
        <v>293</v>
      </c>
      <c r="LJ237">
        <v>0</v>
      </c>
      <c r="LK237">
        <v>0</v>
      </c>
      <c r="LL237">
        <v>0</v>
      </c>
      <c r="LM237">
        <v>0</v>
      </c>
      <c r="LN237">
        <v>0</v>
      </c>
      <c r="LO237">
        <v>0</v>
      </c>
      <c r="LP237">
        <v>0</v>
      </c>
      <c r="LQ237">
        <v>0</v>
      </c>
      <c r="LR237">
        <v>0</v>
      </c>
      <c r="LS237">
        <v>0</v>
      </c>
      <c r="LT237">
        <v>0</v>
      </c>
      <c r="LU237">
        <v>0</v>
      </c>
      <c r="LV237">
        <v>17</v>
      </c>
      <c r="LW237">
        <v>0</v>
      </c>
      <c r="LX237">
        <v>0</v>
      </c>
      <c r="LY237">
        <v>0</v>
      </c>
      <c r="LZ237">
        <v>0</v>
      </c>
      <c r="MA237">
        <v>1275</v>
      </c>
      <c r="MB237">
        <v>0</v>
      </c>
      <c r="MC237">
        <v>1324</v>
      </c>
      <c r="MD237">
        <v>0</v>
      </c>
      <c r="ME237">
        <v>0</v>
      </c>
      <c r="MF237">
        <v>743</v>
      </c>
      <c r="MG237">
        <v>0</v>
      </c>
      <c r="MH237">
        <v>3359</v>
      </c>
      <c r="MI237">
        <v>0</v>
      </c>
      <c r="MJ237">
        <v>0</v>
      </c>
      <c r="MK237">
        <v>0</v>
      </c>
      <c r="ML237">
        <v>0</v>
      </c>
      <c r="MM237">
        <v>0</v>
      </c>
      <c r="MN237">
        <v>0</v>
      </c>
      <c r="MO237">
        <v>0</v>
      </c>
      <c r="MP237">
        <v>0</v>
      </c>
      <c r="MQ237">
        <v>0</v>
      </c>
      <c r="MR237">
        <v>0</v>
      </c>
      <c r="MS237">
        <v>0</v>
      </c>
      <c r="MT237">
        <v>0</v>
      </c>
      <c r="MU237">
        <v>0</v>
      </c>
      <c r="MV237">
        <v>0</v>
      </c>
      <c r="MW237">
        <v>0</v>
      </c>
      <c r="MX237">
        <v>0</v>
      </c>
      <c r="MY237">
        <v>0</v>
      </c>
      <c r="MZ237">
        <v>0</v>
      </c>
      <c r="NA237">
        <v>0</v>
      </c>
      <c r="NB237">
        <v>0</v>
      </c>
      <c r="NC237">
        <v>0</v>
      </c>
      <c r="ND237">
        <v>0</v>
      </c>
      <c r="NE237">
        <v>0</v>
      </c>
      <c r="NF237">
        <v>0</v>
      </c>
      <c r="NG237">
        <v>0</v>
      </c>
      <c r="NH237">
        <v>0</v>
      </c>
      <c r="NI237">
        <v>0</v>
      </c>
      <c r="NJ237">
        <v>0</v>
      </c>
      <c r="NK237">
        <v>0</v>
      </c>
      <c r="NL237">
        <v>0</v>
      </c>
      <c r="NM237">
        <v>0</v>
      </c>
      <c r="NN237">
        <v>0</v>
      </c>
      <c r="NO237">
        <v>0</v>
      </c>
      <c r="NP237">
        <v>0</v>
      </c>
      <c r="NQ237">
        <v>0</v>
      </c>
      <c r="NR237">
        <v>0</v>
      </c>
      <c r="NS237">
        <v>0</v>
      </c>
      <c r="NT237">
        <v>0</v>
      </c>
      <c r="NU237">
        <v>0</v>
      </c>
      <c r="NV237">
        <v>0</v>
      </c>
      <c r="NW237">
        <v>0</v>
      </c>
      <c r="NX237">
        <v>0</v>
      </c>
      <c r="NY237">
        <v>0</v>
      </c>
      <c r="NZ237">
        <v>0</v>
      </c>
      <c r="OA237">
        <v>0</v>
      </c>
      <c r="OB237">
        <v>0</v>
      </c>
      <c r="OC237">
        <v>0</v>
      </c>
      <c r="OD237">
        <v>0</v>
      </c>
      <c r="OE237">
        <v>0</v>
      </c>
      <c r="OF237">
        <v>0</v>
      </c>
      <c r="OG237">
        <v>0</v>
      </c>
      <c r="OH237">
        <v>0</v>
      </c>
      <c r="OI237">
        <v>0</v>
      </c>
      <c r="OJ237">
        <v>0</v>
      </c>
      <c r="OK237">
        <v>0</v>
      </c>
      <c r="OL237">
        <v>0</v>
      </c>
      <c r="OM237">
        <v>0</v>
      </c>
      <c r="ON237">
        <v>0</v>
      </c>
    </row>
    <row r="238" spans="1:404" x14ac:dyDescent="0.25">
      <c r="A238" t="s">
        <v>782</v>
      </c>
      <c r="B238" t="s">
        <v>783</v>
      </c>
      <c r="C238" t="s">
        <v>781</v>
      </c>
      <c r="E238" t="s">
        <v>61</v>
      </c>
      <c r="F238">
        <v>0</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-472</v>
      </c>
      <c r="AB238">
        <v>0</v>
      </c>
      <c r="AC238">
        <v>0</v>
      </c>
      <c r="AD238">
        <v>0</v>
      </c>
      <c r="AE238">
        <v>0</v>
      </c>
      <c r="AF238">
        <v>0</v>
      </c>
      <c r="AG238">
        <v>0</v>
      </c>
      <c r="AH238">
        <v>0</v>
      </c>
      <c r="AI238">
        <v>-472</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c r="BD238">
        <v>0</v>
      </c>
      <c r="BE238">
        <v>0</v>
      </c>
      <c r="BF238">
        <v>0</v>
      </c>
      <c r="BG238">
        <v>0</v>
      </c>
      <c r="BH238">
        <v>0</v>
      </c>
      <c r="BI238">
        <v>0</v>
      </c>
      <c r="BJ238">
        <v>0</v>
      </c>
      <c r="BK238">
        <v>0</v>
      </c>
      <c r="BL238">
        <v>0</v>
      </c>
      <c r="BM238">
        <v>0</v>
      </c>
      <c r="BN238">
        <v>0</v>
      </c>
      <c r="BO238">
        <v>0</v>
      </c>
      <c r="BP238">
        <v>0</v>
      </c>
      <c r="BQ238">
        <v>0</v>
      </c>
      <c r="BR238">
        <v>0</v>
      </c>
      <c r="BS238">
        <v>0</v>
      </c>
      <c r="BT238">
        <v>0</v>
      </c>
      <c r="BU238">
        <v>0</v>
      </c>
      <c r="BV238">
        <v>0</v>
      </c>
      <c r="BW238">
        <v>0</v>
      </c>
      <c r="BX238">
        <v>0</v>
      </c>
      <c r="BY238">
        <v>0</v>
      </c>
      <c r="BZ238">
        <v>0</v>
      </c>
      <c r="CA238">
        <v>0</v>
      </c>
      <c r="CB238">
        <v>0</v>
      </c>
      <c r="CC238">
        <v>0</v>
      </c>
      <c r="CD238">
        <v>0</v>
      </c>
      <c r="CE238">
        <v>0</v>
      </c>
      <c r="CF238">
        <v>0</v>
      </c>
      <c r="CG238">
        <v>0</v>
      </c>
      <c r="CH238">
        <v>0</v>
      </c>
      <c r="CI238">
        <v>0</v>
      </c>
      <c r="CJ238">
        <v>0</v>
      </c>
      <c r="CK238">
        <v>0</v>
      </c>
      <c r="CL238">
        <v>0</v>
      </c>
      <c r="CM238">
        <v>0</v>
      </c>
      <c r="CN238">
        <v>0</v>
      </c>
      <c r="CO238">
        <v>0</v>
      </c>
      <c r="CP238">
        <v>0</v>
      </c>
      <c r="CQ238">
        <v>0</v>
      </c>
      <c r="CR238">
        <v>0</v>
      </c>
      <c r="CS238">
        <v>0</v>
      </c>
      <c r="CT238">
        <v>0</v>
      </c>
      <c r="CU238">
        <v>0</v>
      </c>
      <c r="CV238">
        <v>0</v>
      </c>
      <c r="CW238">
        <v>0</v>
      </c>
      <c r="CX238">
        <v>0</v>
      </c>
      <c r="CY238">
        <v>0</v>
      </c>
      <c r="CZ238">
        <v>0</v>
      </c>
      <c r="DA238">
        <v>0</v>
      </c>
      <c r="DB238">
        <v>0</v>
      </c>
      <c r="DC238">
        <v>423</v>
      </c>
      <c r="DD238">
        <v>0</v>
      </c>
      <c r="DE238">
        <v>96</v>
      </c>
      <c r="DF238">
        <v>0</v>
      </c>
      <c r="DG238">
        <v>0</v>
      </c>
      <c r="DH238">
        <v>0</v>
      </c>
      <c r="DI238">
        <v>13</v>
      </c>
      <c r="DJ238">
        <v>0</v>
      </c>
      <c r="DK238">
        <v>-120</v>
      </c>
      <c r="DL238">
        <v>5</v>
      </c>
      <c r="DM238">
        <v>784</v>
      </c>
      <c r="DN238">
        <v>108</v>
      </c>
      <c r="DO238">
        <v>-82</v>
      </c>
      <c r="DP238">
        <v>708</v>
      </c>
      <c r="DQ238">
        <v>73</v>
      </c>
      <c r="DR238">
        <v>0</v>
      </c>
      <c r="DS238">
        <v>42</v>
      </c>
      <c r="DT238">
        <v>444</v>
      </c>
      <c r="DU238">
        <v>0</v>
      </c>
      <c r="DV238">
        <v>0</v>
      </c>
      <c r="DW238">
        <v>-136</v>
      </c>
      <c r="DX238">
        <v>1650</v>
      </c>
      <c r="DY238">
        <v>22682</v>
      </c>
      <c r="DZ238">
        <v>144</v>
      </c>
      <c r="EA238">
        <v>1027</v>
      </c>
      <c r="EB238">
        <v>877</v>
      </c>
      <c r="EC238">
        <v>19</v>
      </c>
      <c r="ED238">
        <v>1</v>
      </c>
      <c r="EE238">
        <v>119</v>
      </c>
      <c r="EF238">
        <v>0</v>
      </c>
      <c r="EG238">
        <v>0</v>
      </c>
      <c r="EH238">
        <v>4186</v>
      </c>
      <c r="EI238">
        <v>1962</v>
      </c>
      <c r="EJ238">
        <v>1015</v>
      </c>
      <c r="EK238">
        <v>492</v>
      </c>
      <c r="EL238">
        <v>3360</v>
      </c>
      <c r="EM238">
        <v>4916</v>
      </c>
      <c r="EN238">
        <v>79</v>
      </c>
      <c r="EO238">
        <v>13</v>
      </c>
      <c r="EP238">
        <v>3265</v>
      </c>
      <c r="EQ238">
        <v>6008</v>
      </c>
      <c r="ER238">
        <v>-259</v>
      </c>
      <c r="ES238">
        <v>7461</v>
      </c>
      <c r="ET238">
        <v>7293</v>
      </c>
      <c r="EU238">
        <v>0</v>
      </c>
      <c r="EV238">
        <v>30</v>
      </c>
      <c r="EW238">
        <v>98</v>
      </c>
      <c r="EX238">
        <v>392</v>
      </c>
      <c r="EY238">
        <v>402</v>
      </c>
      <c r="EZ238">
        <v>22</v>
      </c>
      <c r="FA238">
        <v>0</v>
      </c>
      <c r="FB238">
        <v>361</v>
      </c>
      <c r="FC238">
        <v>1035</v>
      </c>
      <c r="FD238">
        <v>436</v>
      </c>
      <c r="FE238">
        <v>0</v>
      </c>
      <c r="FF238">
        <v>295</v>
      </c>
      <c r="FG238">
        <v>1</v>
      </c>
      <c r="FH238">
        <v>3072</v>
      </c>
      <c r="FI238">
        <v>57</v>
      </c>
      <c r="FJ238">
        <v>0</v>
      </c>
      <c r="FK238">
        <v>30</v>
      </c>
      <c r="FL238">
        <v>59</v>
      </c>
      <c r="FM238">
        <v>0</v>
      </c>
      <c r="FN238">
        <v>0</v>
      </c>
      <c r="FO238">
        <v>27</v>
      </c>
      <c r="FP238">
        <v>0</v>
      </c>
      <c r="FQ238">
        <v>0</v>
      </c>
      <c r="FR238">
        <v>0</v>
      </c>
      <c r="FS238">
        <v>48</v>
      </c>
      <c r="FT238">
        <v>337</v>
      </c>
      <c r="FU238">
        <v>325</v>
      </c>
      <c r="FV238">
        <v>235</v>
      </c>
      <c r="FW238">
        <v>325</v>
      </c>
      <c r="FX238">
        <v>121</v>
      </c>
      <c r="FY238">
        <v>0</v>
      </c>
      <c r="FZ238">
        <v>0</v>
      </c>
      <c r="GA238">
        <v>634</v>
      </c>
      <c r="GB238">
        <v>0</v>
      </c>
      <c r="GC238">
        <v>0</v>
      </c>
      <c r="GD238">
        <v>1711</v>
      </c>
      <c r="GE238">
        <v>1925</v>
      </c>
      <c r="GF238">
        <v>0</v>
      </c>
      <c r="GG238">
        <v>167</v>
      </c>
      <c r="GH238">
        <v>0</v>
      </c>
      <c r="GI238">
        <v>0</v>
      </c>
      <c r="GJ238">
        <v>43</v>
      </c>
      <c r="GK238">
        <v>6044</v>
      </c>
      <c r="GL238">
        <v>138</v>
      </c>
      <c r="GM238">
        <v>727</v>
      </c>
      <c r="GN238">
        <v>0</v>
      </c>
      <c r="GO238">
        <v>604</v>
      </c>
      <c r="GP238">
        <v>0</v>
      </c>
      <c r="GQ238">
        <v>861</v>
      </c>
      <c r="GR238">
        <v>0</v>
      </c>
      <c r="GS238">
        <v>5</v>
      </c>
      <c r="GT238">
        <v>0</v>
      </c>
      <c r="GU238">
        <v>2335</v>
      </c>
      <c r="GV238">
        <v>11451</v>
      </c>
      <c r="GW238">
        <v>0</v>
      </c>
      <c r="GX238">
        <v>0</v>
      </c>
      <c r="GY238">
        <v>0</v>
      </c>
      <c r="GZ238">
        <v>0</v>
      </c>
      <c r="HA238">
        <v>0</v>
      </c>
      <c r="HB238">
        <v>2260</v>
      </c>
      <c r="HC238">
        <v>314</v>
      </c>
      <c r="HD238">
        <v>0</v>
      </c>
      <c r="HE238">
        <v>1</v>
      </c>
      <c r="HF238">
        <v>173</v>
      </c>
      <c r="HG238">
        <v>-33</v>
      </c>
      <c r="HH238">
        <v>0</v>
      </c>
      <c r="HI238">
        <v>0</v>
      </c>
      <c r="HJ238">
        <v>244</v>
      </c>
      <c r="HK238">
        <v>214</v>
      </c>
      <c r="HL238">
        <v>53</v>
      </c>
      <c r="HM238">
        <v>-84</v>
      </c>
      <c r="HN238">
        <v>3</v>
      </c>
      <c r="HO238">
        <v>480</v>
      </c>
      <c r="HP238">
        <v>0</v>
      </c>
      <c r="HQ238">
        <v>0</v>
      </c>
      <c r="HR238">
        <v>266</v>
      </c>
      <c r="HS238">
        <v>0</v>
      </c>
      <c r="HT238">
        <v>79</v>
      </c>
      <c r="HU238">
        <v>382</v>
      </c>
      <c r="HV238">
        <v>4352</v>
      </c>
      <c r="HW238">
        <v>3526</v>
      </c>
      <c r="HX238">
        <v>4947</v>
      </c>
      <c r="HY238">
        <v>0</v>
      </c>
      <c r="HZ238">
        <v>837</v>
      </c>
      <c r="IA238">
        <v>7</v>
      </c>
      <c r="IB238">
        <v>442</v>
      </c>
      <c r="IC238">
        <v>0</v>
      </c>
      <c r="ID238">
        <v>-472</v>
      </c>
      <c r="IE238">
        <v>0</v>
      </c>
      <c r="IF238">
        <v>0</v>
      </c>
      <c r="IG238">
        <v>0</v>
      </c>
      <c r="IH238">
        <v>1650</v>
      </c>
      <c r="II238">
        <v>3072</v>
      </c>
      <c r="IJ238">
        <v>6044</v>
      </c>
      <c r="IK238">
        <v>2335</v>
      </c>
      <c r="IL238">
        <v>0</v>
      </c>
      <c r="IM238">
        <v>0</v>
      </c>
      <c r="IN238">
        <v>4352</v>
      </c>
      <c r="IO238">
        <v>442</v>
      </c>
      <c r="IP238">
        <v>17423</v>
      </c>
      <c r="IQ238">
        <v>9667</v>
      </c>
      <c r="IR238">
        <v>0</v>
      </c>
      <c r="IS238">
        <v>8519</v>
      </c>
      <c r="IT238">
        <v>0</v>
      </c>
      <c r="IU238">
        <v>-2588</v>
      </c>
      <c r="IV238">
        <v>3237</v>
      </c>
      <c r="IW238">
        <v>0</v>
      </c>
      <c r="IX238">
        <v>0</v>
      </c>
      <c r="IY238">
        <v>0</v>
      </c>
      <c r="IZ238">
        <v>48</v>
      </c>
      <c r="JA238">
        <v>195</v>
      </c>
      <c r="JB238">
        <v>0</v>
      </c>
      <c r="JC238">
        <v>-183</v>
      </c>
      <c r="JD238">
        <v>0</v>
      </c>
      <c r="JE238">
        <v>0</v>
      </c>
      <c r="JF238">
        <v>0</v>
      </c>
      <c r="JG238">
        <v>36318</v>
      </c>
      <c r="JH238">
        <v>0</v>
      </c>
      <c r="JI238">
        <v>3082</v>
      </c>
      <c r="JJ238">
        <v>0</v>
      </c>
      <c r="JK238">
        <v>0</v>
      </c>
      <c r="JL238">
        <v>0</v>
      </c>
      <c r="JM238">
        <v>158</v>
      </c>
      <c r="JN238">
        <v>854</v>
      </c>
      <c r="JO238">
        <v>0</v>
      </c>
      <c r="JP238">
        <v>4111</v>
      </c>
      <c r="JQ238">
        <v>-3855</v>
      </c>
      <c r="JR238">
        <v>40668</v>
      </c>
      <c r="JS238">
        <v>-1023</v>
      </c>
      <c r="JT238">
        <v>0</v>
      </c>
      <c r="JU238">
        <v>0</v>
      </c>
      <c r="JV238">
        <v>0</v>
      </c>
      <c r="JW238">
        <v>-18333</v>
      </c>
      <c r="JX238">
        <v>0</v>
      </c>
      <c r="JY238">
        <v>-93</v>
      </c>
      <c r="JZ238">
        <v>0</v>
      </c>
      <c r="KA238">
        <v>0</v>
      </c>
      <c r="KB238">
        <v>0</v>
      </c>
      <c r="KC238">
        <v>21219</v>
      </c>
      <c r="KD238">
        <v>0</v>
      </c>
      <c r="KE238">
        <v>-2532</v>
      </c>
      <c r="KF238">
        <v>18687</v>
      </c>
      <c r="KG238">
        <v>0</v>
      </c>
      <c r="KH238">
        <v>0</v>
      </c>
      <c r="KI238">
        <v>0</v>
      </c>
      <c r="KJ238">
        <v>0</v>
      </c>
      <c r="KK238">
        <v>-996</v>
      </c>
      <c r="KL238">
        <v>0</v>
      </c>
      <c r="KM238">
        <v>-85</v>
      </c>
      <c r="KN238">
        <v>0</v>
      </c>
      <c r="KO238">
        <v>-5463</v>
      </c>
      <c r="KP238">
        <v>0</v>
      </c>
      <c r="KQ238">
        <v>-308</v>
      </c>
      <c r="KR238">
        <v>10519</v>
      </c>
      <c r="KS238">
        <v>0</v>
      </c>
      <c r="KT238">
        <v>0</v>
      </c>
      <c r="KU238">
        <v>0</v>
      </c>
      <c r="KV238">
        <v>35839</v>
      </c>
      <c r="KW238">
        <v>1500</v>
      </c>
      <c r="KX238">
        <v>0</v>
      </c>
      <c r="KY238">
        <v>0</v>
      </c>
      <c r="KZ238">
        <v>0</v>
      </c>
      <c r="LA238">
        <v>34843</v>
      </c>
      <c r="LB238">
        <v>1500</v>
      </c>
      <c r="LC238">
        <v>0</v>
      </c>
      <c r="LD238">
        <v>1697</v>
      </c>
      <c r="LE238">
        <v>60</v>
      </c>
      <c r="LF238">
        <v>1145</v>
      </c>
      <c r="LG238">
        <v>-4971</v>
      </c>
      <c r="LH238">
        <v>4736</v>
      </c>
      <c r="LI238">
        <v>2667</v>
      </c>
      <c r="LJ238">
        <v>3445</v>
      </c>
      <c r="LK238">
        <v>3718</v>
      </c>
      <c r="LL238">
        <v>7163</v>
      </c>
      <c r="LM238">
        <v>0</v>
      </c>
      <c r="LN238">
        <v>0</v>
      </c>
      <c r="LO238">
        <v>0</v>
      </c>
      <c r="LP238">
        <v>24869</v>
      </c>
      <c r="LQ238">
        <v>25037</v>
      </c>
      <c r="LR238">
        <v>-168</v>
      </c>
      <c r="LS238">
        <v>7461</v>
      </c>
      <c r="LT238">
        <v>7293</v>
      </c>
      <c r="LU238">
        <v>0</v>
      </c>
      <c r="LV238">
        <v>-472</v>
      </c>
      <c r="LW238">
        <v>0</v>
      </c>
      <c r="LX238">
        <v>0</v>
      </c>
      <c r="LY238">
        <v>0</v>
      </c>
      <c r="LZ238">
        <v>1650</v>
      </c>
      <c r="MA238">
        <v>3072</v>
      </c>
      <c r="MB238">
        <v>6044</v>
      </c>
      <c r="MC238">
        <v>2335</v>
      </c>
      <c r="MD238">
        <v>0</v>
      </c>
      <c r="ME238">
        <v>0</v>
      </c>
      <c r="MF238">
        <v>4352</v>
      </c>
      <c r="MG238">
        <v>442</v>
      </c>
      <c r="MH238">
        <v>17423</v>
      </c>
      <c r="MI238">
        <v>0</v>
      </c>
      <c r="MJ238">
        <v>0</v>
      </c>
      <c r="MK238">
        <v>0</v>
      </c>
      <c r="ML238">
        <v>0</v>
      </c>
      <c r="MM238">
        <v>0</v>
      </c>
      <c r="MN238">
        <v>0</v>
      </c>
      <c r="MO238">
        <v>0</v>
      </c>
      <c r="MP238">
        <v>0</v>
      </c>
      <c r="MQ238">
        <v>0</v>
      </c>
      <c r="MR238">
        <v>0</v>
      </c>
      <c r="MS238">
        <v>0</v>
      </c>
      <c r="MT238">
        <v>0</v>
      </c>
      <c r="MU238">
        <v>0</v>
      </c>
      <c r="MV238">
        <v>0</v>
      </c>
      <c r="MW238">
        <v>0</v>
      </c>
      <c r="MX238">
        <v>0</v>
      </c>
      <c r="MY238">
        <v>-89</v>
      </c>
      <c r="MZ238">
        <v>86</v>
      </c>
      <c r="NA238">
        <v>12</v>
      </c>
      <c r="NB238">
        <v>183</v>
      </c>
      <c r="NC238">
        <v>195</v>
      </c>
      <c r="ND238">
        <v>0</v>
      </c>
      <c r="NE238">
        <v>0</v>
      </c>
      <c r="NF238">
        <v>0</v>
      </c>
      <c r="NG238">
        <v>0</v>
      </c>
      <c r="NH238">
        <v>0</v>
      </c>
      <c r="NI238">
        <v>0</v>
      </c>
      <c r="NJ238">
        <v>0</v>
      </c>
      <c r="NK238">
        <v>0</v>
      </c>
      <c r="NL238">
        <v>0</v>
      </c>
      <c r="NM238">
        <v>0</v>
      </c>
      <c r="NN238">
        <v>0</v>
      </c>
      <c r="NO238">
        <v>0</v>
      </c>
      <c r="NP238">
        <v>0</v>
      </c>
      <c r="NQ238">
        <v>0</v>
      </c>
      <c r="NR238">
        <v>0</v>
      </c>
      <c r="NS238">
        <v>0</v>
      </c>
      <c r="NT238">
        <v>0</v>
      </c>
      <c r="NU238">
        <v>0</v>
      </c>
      <c r="NV238">
        <v>0</v>
      </c>
      <c r="NW238">
        <v>0</v>
      </c>
      <c r="NX238">
        <v>0</v>
      </c>
      <c r="NY238">
        <v>0</v>
      </c>
      <c r="NZ238">
        <v>0</v>
      </c>
      <c r="OA238">
        <v>0</v>
      </c>
      <c r="OB238">
        <v>0</v>
      </c>
      <c r="OC238">
        <v>215</v>
      </c>
      <c r="OD238">
        <v>0</v>
      </c>
      <c r="OE238">
        <v>-32</v>
      </c>
      <c r="OF238">
        <v>0</v>
      </c>
      <c r="OG238">
        <v>0</v>
      </c>
      <c r="OH238">
        <v>183</v>
      </c>
      <c r="OI238">
        <v>0</v>
      </c>
      <c r="OJ238">
        <v>0</v>
      </c>
      <c r="OK238">
        <v>0</v>
      </c>
      <c r="OL238">
        <v>0</v>
      </c>
      <c r="OM238">
        <v>0</v>
      </c>
      <c r="ON238">
        <v>0</v>
      </c>
    </row>
    <row r="239" spans="1:404" x14ac:dyDescent="0.25">
      <c r="A239" t="s">
        <v>785</v>
      </c>
      <c r="B239" t="s">
        <v>786</v>
      </c>
      <c r="C239" t="s">
        <v>784</v>
      </c>
      <c r="E239" t="s">
        <v>97</v>
      </c>
      <c r="F239">
        <v>18698</v>
      </c>
      <c r="G239">
        <v>69670</v>
      </c>
      <c r="H239">
        <v>5865</v>
      </c>
      <c r="I239">
        <v>21129</v>
      </c>
      <c r="J239">
        <v>5002</v>
      </c>
      <c r="K239">
        <v>43303</v>
      </c>
      <c r="L239">
        <v>163667</v>
      </c>
      <c r="M239">
        <v>0</v>
      </c>
      <c r="N239">
        <v>759</v>
      </c>
      <c r="O239">
        <v>0</v>
      </c>
      <c r="P239">
        <v>0</v>
      </c>
      <c r="Q239">
        <v>79</v>
      </c>
      <c r="R239">
        <v>-206</v>
      </c>
      <c r="S239">
        <v>2039</v>
      </c>
      <c r="T239">
        <v>414</v>
      </c>
      <c r="U239">
        <v>7093</v>
      </c>
      <c r="V239">
        <v>0</v>
      </c>
      <c r="W239">
        <v>-342</v>
      </c>
      <c r="X239">
        <v>-89</v>
      </c>
      <c r="Y239">
        <v>171</v>
      </c>
      <c r="Z239">
        <v>-4190</v>
      </c>
      <c r="AA239">
        <v>-2772</v>
      </c>
      <c r="AB239">
        <v>0</v>
      </c>
      <c r="AC239">
        <v>0</v>
      </c>
      <c r="AD239">
        <v>-715</v>
      </c>
      <c r="AE239">
        <v>88</v>
      </c>
      <c r="AF239">
        <v>-89</v>
      </c>
      <c r="AG239">
        <v>0</v>
      </c>
      <c r="AH239">
        <v>0</v>
      </c>
      <c r="AI239">
        <v>2240</v>
      </c>
      <c r="AJ239">
        <v>0</v>
      </c>
      <c r="AK239">
        <v>0</v>
      </c>
      <c r="AL239">
        <v>0</v>
      </c>
      <c r="AM239">
        <v>0</v>
      </c>
      <c r="AN239">
        <v>0</v>
      </c>
      <c r="AO239">
        <v>37</v>
      </c>
      <c r="AP239">
        <v>365</v>
      </c>
      <c r="AQ239">
        <v>1663</v>
      </c>
      <c r="AR239">
        <v>4176</v>
      </c>
      <c r="AS239">
        <v>0</v>
      </c>
      <c r="AT239">
        <v>0</v>
      </c>
      <c r="AU239">
        <v>0</v>
      </c>
      <c r="AV239">
        <v>4912</v>
      </c>
      <c r="AW239">
        <v>31057</v>
      </c>
      <c r="AX239">
        <v>0</v>
      </c>
      <c r="AY239">
        <v>3356</v>
      </c>
      <c r="AZ239">
        <v>1531</v>
      </c>
      <c r="BA239">
        <v>13173</v>
      </c>
      <c r="BB239">
        <v>178</v>
      </c>
      <c r="BC239">
        <v>3</v>
      </c>
      <c r="BD239">
        <v>54210</v>
      </c>
      <c r="BE239">
        <v>6215</v>
      </c>
      <c r="BF239">
        <v>20981</v>
      </c>
      <c r="BG239">
        <v>76</v>
      </c>
      <c r="BH239">
        <v>111</v>
      </c>
      <c r="BI239">
        <v>952</v>
      </c>
      <c r="BJ239">
        <v>11763</v>
      </c>
      <c r="BK239">
        <v>43754</v>
      </c>
      <c r="BL239">
        <v>8470</v>
      </c>
      <c r="BM239">
        <v>4953</v>
      </c>
      <c r="BN239">
        <v>4098</v>
      </c>
      <c r="BO239">
        <v>-25</v>
      </c>
      <c r="BP239">
        <v>173</v>
      </c>
      <c r="BQ239">
        <v>1587</v>
      </c>
      <c r="BR239">
        <v>738</v>
      </c>
      <c r="BS239">
        <v>870</v>
      </c>
      <c r="BT239">
        <v>8887</v>
      </c>
      <c r="BU239">
        <v>997</v>
      </c>
      <c r="BV239">
        <v>-1867</v>
      </c>
      <c r="BW239">
        <v>112733</v>
      </c>
      <c r="BX239">
        <v>2295</v>
      </c>
      <c r="BY239">
        <v>1594</v>
      </c>
      <c r="BZ239">
        <v>624</v>
      </c>
      <c r="CA239">
        <v>209</v>
      </c>
      <c r="CB239">
        <v>230</v>
      </c>
      <c r="CC239">
        <v>84</v>
      </c>
      <c r="CD239">
        <v>367</v>
      </c>
      <c r="CE239">
        <v>0</v>
      </c>
      <c r="CF239">
        <v>0</v>
      </c>
      <c r="CG239">
        <v>1096</v>
      </c>
      <c r="CH239">
        <v>1096</v>
      </c>
      <c r="CI239">
        <v>3486</v>
      </c>
      <c r="CJ239">
        <v>1750</v>
      </c>
      <c r="CK239">
        <v>0</v>
      </c>
      <c r="CL239">
        <v>0</v>
      </c>
      <c r="CM239">
        <v>204</v>
      </c>
      <c r="CN239">
        <v>572</v>
      </c>
      <c r="CO239">
        <v>0</v>
      </c>
      <c r="CP239">
        <v>1978</v>
      </c>
      <c r="CQ239">
        <v>3453</v>
      </c>
      <c r="CR239">
        <v>1401</v>
      </c>
      <c r="CS239">
        <v>0</v>
      </c>
      <c r="CT239">
        <v>945</v>
      </c>
      <c r="CU239">
        <v>0</v>
      </c>
      <c r="CV239">
        <v>26386</v>
      </c>
      <c r="CW239">
        <v>0</v>
      </c>
      <c r="CX239">
        <v>0</v>
      </c>
      <c r="CY239">
        <v>0</v>
      </c>
      <c r="CZ239">
        <v>0</v>
      </c>
      <c r="DA239">
        <v>0</v>
      </c>
      <c r="DB239">
        <v>0</v>
      </c>
      <c r="DC239">
        <v>496</v>
      </c>
      <c r="DD239">
        <v>0</v>
      </c>
      <c r="DE239">
        <v>0</v>
      </c>
      <c r="DF239">
        <v>0</v>
      </c>
      <c r="DG239">
        <v>0</v>
      </c>
      <c r="DH239">
        <v>0</v>
      </c>
      <c r="DI239">
        <v>856</v>
      </c>
      <c r="DJ239">
        <v>85</v>
      </c>
      <c r="DK239">
        <v>0</v>
      </c>
      <c r="DL239">
        <v>0</v>
      </c>
      <c r="DM239">
        <v>0</v>
      </c>
      <c r="DN239">
        <v>1497</v>
      </c>
      <c r="DO239">
        <v>901</v>
      </c>
      <c r="DP239">
        <v>3339</v>
      </c>
      <c r="DQ239">
        <v>0</v>
      </c>
      <c r="DR239">
        <v>0</v>
      </c>
      <c r="DS239">
        <v>0</v>
      </c>
      <c r="DT239">
        <v>0</v>
      </c>
      <c r="DU239">
        <v>0</v>
      </c>
      <c r="DV239">
        <v>392</v>
      </c>
      <c r="DW239">
        <v>4917</v>
      </c>
      <c r="DX239">
        <v>9144</v>
      </c>
      <c r="DY239">
        <v>98340</v>
      </c>
      <c r="DZ239">
        <v>1343</v>
      </c>
      <c r="EA239">
        <v>11976</v>
      </c>
      <c r="EB239">
        <v>971</v>
      </c>
      <c r="EC239">
        <v>0</v>
      </c>
      <c r="ED239">
        <v>2</v>
      </c>
      <c r="EE239">
        <v>327</v>
      </c>
      <c r="EF239">
        <v>0</v>
      </c>
      <c r="EG239">
        <v>0</v>
      </c>
      <c r="EH239">
        <v>21547</v>
      </c>
      <c r="EI239">
        <v>19768</v>
      </c>
      <c r="EJ239">
        <v>19038</v>
      </c>
      <c r="EK239">
        <v>2618</v>
      </c>
      <c r="EL239">
        <v>0</v>
      </c>
      <c r="EM239">
        <v>32176</v>
      </c>
      <c r="EN239">
        <v>629</v>
      </c>
      <c r="EO239">
        <v>38</v>
      </c>
      <c r="EP239">
        <v>12110</v>
      </c>
      <c r="EQ239">
        <v>0</v>
      </c>
      <c r="ER239">
        <v>1046</v>
      </c>
      <c r="ES239">
        <v>11502</v>
      </c>
      <c r="ET239">
        <v>15491</v>
      </c>
      <c r="EU239">
        <v>138</v>
      </c>
      <c r="EV239">
        <v>1216</v>
      </c>
      <c r="EW239">
        <v>0</v>
      </c>
      <c r="EX239">
        <v>925</v>
      </c>
      <c r="EY239">
        <v>753</v>
      </c>
      <c r="EZ239">
        <v>0</v>
      </c>
      <c r="FA239">
        <v>0</v>
      </c>
      <c r="FB239">
        <v>1799</v>
      </c>
      <c r="FC239">
        <v>885</v>
      </c>
      <c r="FD239">
        <v>-125</v>
      </c>
      <c r="FE239">
        <v>0</v>
      </c>
      <c r="FF239">
        <v>-1</v>
      </c>
      <c r="FG239">
        <v>5357</v>
      </c>
      <c r="FH239">
        <v>10947</v>
      </c>
      <c r="FI239">
        <v>-1399</v>
      </c>
      <c r="FJ239">
        <v>117</v>
      </c>
      <c r="FK239">
        <v>0</v>
      </c>
      <c r="FL239">
        <v>339</v>
      </c>
      <c r="FM239">
        <v>567</v>
      </c>
      <c r="FN239">
        <v>161</v>
      </c>
      <c r="FO239">
        <v>-24</v>
      </c>
      <c r="FP239">
        <v>0</v>
      </c>
      <c r="FQ239">
        <v>36</v>
      </c>
      <c r="FR239">
        <v>-197</v>
      </c>
      <c r="FS239">
        <v>0</v>
      </c>
      <c r="FT239">
        <v>65</v>
      </c>
      <c r="FU239">
        <v>-1472</v>
      </c>
      <c r="FV239">
        <v>446</v>
      </c>
      <c r="FW239">
        <v>382</v>
      </c>
      <c r="FX239">
        <v>0</v>
      </c>
      <c r="FY239">
        <v>226</v>
      </c>
      <c r="FZ239">
        <v>0</v>
      </c>
      <c r="GA239">
        <v>0</v>
      </c>
      <c r="GB239">
        <v>0</v>
      </c>
      <c r="GC239">
        <v>0</v>
      </c>
      <c r="GD239">
        <v>4324</v>
      </c>
      <c r="GE239">
        <v>3064</v>
      </c>
      <c r="GF239">
        <v>13821</v>
      </c>
      <c r="GG239">
        <v>201</v>
      </c>
      <c r="GH239">
        <v>2958</v>
      </c>
      <c r="GI239">
        <v>0</v>
      </c>
      <c r="GJ239">
        <v>0</v>
      </c>
      <c r="GK239">
        <v>23615</v>
      </c>
      <c r="GL239">
        <v>-23</v>
      </c>
      <c r="GM239">
        <v>550</v>
      </c>
      <c r="GN239">
        <v>471</v>
      </c>
      <c r="GO239">
        <v>338</v>
      </c>
      <c r="GP239">
        <v>-98</v>
      </c>
      <c r="GQ239">
        <v>4402</v>
      </c>
      <c r="GR239">
        <v>0</v>
      </c>
      <c r="GS239">
        <v>-366</v>
      </c>
      <c r="GT239">
        <v>989</v>
      </c>
      <c r="GU239">
        <v>6263</v>
      </c>
      <c r="GV239">
        <v>40825</v>
      </c>
      <c r="GW239">
        <v>0</v>
      </c>
      <c r="GX239">
        <v>0</v>
      </c>
      <c r="GY239">
        <v>0</v>
      </c>
      <c r="GZ239">
        <v>0</v>
      </c>
      <c r="HA239">
        <v>0</v>
      </c>
      <c r="HB239">
        <v>5021</v>
      </c>
      <c r="HC239">
        <v>821</v>
      </c>
      <c r="HD239">
        <v>0</v>
      </c>
      <c r="HE239">
        <v>0</v>
      </c>
      <c r="HF239">
        <v>3411</v>
      </c>
      <c r="HG239">
        <v>-99</v>
      </c>
      <c r="HH239">
        <v>0</v>
      </c>
      <c r="HI239">
        <v>-157</v>
      </c>
      <c r="HJ239">
        <v>-15</v>
      </c>
      <c r="HK239">
        <v>622</v>
      </c>
      <c r="HL239">
        <v>203</v>
      </c>
      <c r="HM239">
        <v>-179</v>
      </c>
      <c r="HN239">
        <v>0</v>
      </c>
      <c r="HO239">
        <v>0</v>
      </c>
      <c r="HP239">
        <v>1039</v>
      </c>
      <c r="HQ239">
        <v>0</v>
      </c>
      <c r="HR239">
        <v>0</v>
      </c>
      <c r="HS239">
        <v>0</v>
      </c>
      <c r="HT239">
        <v>528</v>
      </c>
      <c r="HU239">
        <v>24417</v>
      </c>
      <c r="HV239">
        <v>35612</v>
      </c>
      <c r="HW239">
        <v>9821</v>
      </c>
      <c r="HX239">
        <v>0</v>
      </c>
      <c r="HY239">
        <v>0</v>
      </c>
      <c r="HZ239">
        <v>0</v>
      </c>
      <c r="IA239">
        <v>0</v>
      </c>
      <c r="IB239">
        <v>104</v>
      </c>
      <c r="IC239">
        <v>163667</v>
      </c>
      <c r="ID239">
        <v>2240</v>
      </c>
      <c r="IE239">
        <v>54210</v>
      </c>
      <c r="IF239">
        <v>112733</v>
      </c>
      <c r="IG239">
        <v>26386</v>
      </c>
      <c r="IH239">
        <v>9144</v>
      </c>
      <c r="II239">
        <v>10947</v>
      </c>
      <c r="IJ239">
        <v>23615</v>
      </c>
      <c r="IK239">
        <v>6263</v>
      </c>
      <c r="IL239">
        <v>0</v>
      </c>
      <c r="IM239">
        <v>0</v>
      </c>
      <c r="IN239">
        <v>35612</v>
      </c>
      <c r="IO239">
        <v>104</v>
      </c>
      <c r="IP239">
        <v>444921</v>
      </c>
      <c r="IQ239">
        <v>45588</v>
      </c>
      <c r="IR239">
        <v>0</v>
      </c>
      <c r="IS239">
        <v>35025</v>
      </c>
      <c r="IT239">
        <v>0</v>
      </c>
      <c r="IU239">
        <v>0</v>
      </c>
      <c r="IV239">
        <v>84</v>
      </c>
      <c r="IW239">
        <v>15891</v>
      </c>
      <c r="IX239">
        <v>0</v>
      </c>
      <c r="IY239">
        <v>0</v>
      </c>
      <c r="IZ239">
        <v>0</v>
      </c>
      <c r="JA239">
        <v>-3864</v>
      </c>
      <c r="JB239">
        <v>-7044</v>
      </c>
      <c r="JC239">
        <v>0</v>
      </c>
      <c r="JD239">
        <v>0</v>
      </c>
      <c r="JE239">
        <v>811</v>
      </c>
      <c r="JF239">
        <v>0</v>
      </c>
      <c r="JG239">
        <v>531412</v>
      </c>
      <c r="JH239">
        <v>222</v>
      </c>
      <c r="JI239">
        <v>1849</v>
      </c>
      <c r="JJ239">
        <v>-47</v>
      </c>
      <c r="JK239">
        <v>0</v>
      </c>
      <c r="JL239">
        <v>0</v>
      </c>
      <c r="JM239">
        <v>0</v>
      </c>
      <c r="JN239">
        <v>25555</v>
      </c>
      <c r="JO239">
        <v>0</v>
      </c>
      <c r="JP239">
        <v>23729</v>
      </c>
      <c r="JQ239">
        <v>-12107</v>
      </c>
      <c r="JR239">
        <v>570613</v>
      </c>
      <c r="JS239">
        <v>-11617</v>
      </c>
      <c r="JT239">
        <v>0</v>
      </c>
      <c r="JU239">
        <v>792</v>
      </c>
      <c r="JV239">
        <v>0</v>
      </c>
      <c r="JW239">
        <v>-80545</v>
      </c>
      <c r="JX239">
        <v>0</v>
      </c>
      <c r="JY239">
        <v>-561</v>
      </c>
      <c r="JZ239">
        <v>0</v>
      </c>
      <c r="KA239">
        <v>0</v>
      </c>
      <c r="KB239">
        <v>0</v>
      </c>
      <c r="KC239">
        <v>478682</v>
      </c>
      <c r="KD239">
        <v>0</v>
      </c>
      <c r="KE239">
        <v>-255596</v>
      </c>
      <c r="KF239">
        <v>223086</v>
      </c>
      <c r="KG239">
        <v>0</v>
      </c>
      <c r="KH239">
        <v>-1678</v>
      </c>
      <c r="KI239">
        <v>-750</v>
      </c>
      <c r="KJ239">
        <v>2100</v>
      </c>
      <c r="KK239">
        <v>9457</v>
      </c>
      <c r="KL239">
        <v>0</v>
      </c>
      <c r="KM239">
        <v>-26784</v>
      </c>
      <c r="KN239">
        <v>0</v>
      </c>
      <c r="KO239">
        <v>-46721</v>
      </c>
      <c r="KP239">
        <v>-1268</v>
      </c>
      <c r="KQ239">
        <v>427</v>
      </c>
      <c r="KR239">
        <v>119911</v>
      </c>
      <c r="KS239">
        <v>14517</v>
      </c>
      <c r="KT239">
        <v>11346</v>
      </c>
      <c r="KU239">
        <v>1939</v>
      </c>
      <c r="KV239">
        <v>170526</v>
      </c>
      <c r="KW239">
        <v>10135</v>
      </c>
      <c r="KX239">
        <v>12839</v>
      </c>
      <c r="KY239">
        <v>10596</v>
      </c>
      <c r="KZ239">
        <v>4039</v>
      </c>
      <c r="LA239">
        <v>179983</v>
      </c>
      <c r="LB239">
        <v>10135</v>
      </c>
      <c r="LC239">
        <v>0</v>
      </c>
      <c r="LD239">
        <v>23843</v>
      </c>
      <c r="LE239">
        <v>8144</v>
      </c>
      <c r="LF239">
        <v>19729</v>
      </c>
      <c r="LG239">
        <v>-46988</v>
      </c>
      <c r="LH239">
        <v>25421</v>
      </c>
      <c r="LI239">
        <v>58081</v>
      </c>
      <c r="LJ239">
        <v>10067</v>
      </c>
      <c r="LK239">
        <v>23240</v>
      </c>
      <c r="LL239">
        <v>33307</v>
      </c>
      <c r="LM239">
        <v>8</v>
      </c>
      <c r="LN239">
        <v>0</v>
      </c>
      <c r="LO239">
        <v>0</v>
      </c>
      <c r="LP239">
        <v>112959</v>
      </c>
      <c r="LQ239">
        <v>108970</v>
      </c>
      <c r="LR239">
        <v>3989</v>
      </c>
      <c r="LS239">
        <v>11502</v>
      </c>
      <c r="LT239">
        <v>15491</v>
      </c>
      <c r="LU239">
        <v>163667</v>
      </c>
      <c r="LV239">
        <v>2240</v>
      </c>
      <c r="LW239">
        <v>54210</v>
      </c>
      <c r="LX239">
        <v>112733</v>
      </c>
      <c r="LY239">
        <v>26386</v>
      </c>
      <c r="LZ239">
        <v>9144</v>
      </c>
      <c r="MA239">
        <v>10947</v>
      </c>
      <c r="MB239">
        <v>23615</v>
      </c>
      <c r="MC239">
        <v>6263</v>
      </c>
      <c r="MD239">
        <v>0</v>
      </c>
      <c r="ME239">
        <v>0</v>
      </c>
      <c r="MF239">
        <v>35612</v>
      </c>
      <c r="MG239">
        <v>104</v>
      </c>
      <c r="MH239">
        <v>444921</v>
      </c>
      <c r="MI239">
        <v>0</v>
      </c>
      <c r="MJ239">
        <v>0</v>
      </c>
      <c r="MK239">
        <v>0</v>
      </c>
      <c r="ML239">
        <v>0</v>
      </c>
      <c r="MM239">
        <v>0</v>
      </c>
      <c r="MN239">
        <v>0</v>
      </c>
      <c r="MO239">
        <v>0</v>
      </c>
      <c r="MP239">
        <v>0</v>
      </c>
      <c r="MQ239">
        <v>0</v>
      </c>
      <c r="MR239">
        <v>0</v>
      </c>
      <c r="MS239">
        <v>0</v>
      </c>
      <c r="MT239">
        <v>0</v>
      </c>
      <c r="MU239">
        <v>0</v>
      </c>
      <c r="MV239">
        <v>0</v>
      </c>
      <c r="MW239">
        <v>-969</v>
      </c>
      <c r="MX239">
        <v>-1965</v>
      </c>
      <c r="MY239">
        <v>-697</v>
      </c>
      <c r="MZ239">
        <v>-618</v>
      </c>
      <c r="NA239">
        <v>-3864</v>
      </c>
      <c r="NB239">
        <v>0</v>
      </c>
      <c r="NC239">
        <v>-3864</v>
      </c>
      <c r="ND239">
        <v>0</v>
      </c>
      <c r="NE239">
        <v>0</v>
      </c>
      <c r="NF239">
        <v>-1670</v>
      </c>
      <c r="NG239">
        <v>0</v>
      </c>
      <c r="NH239">
        <v>0</v>
      </c>
      <c r="NI239">
        <v>0</v>
      </c>
      <c r="NJ239">
        <v>0</v>
      </c>
      <c r="NK239">
        <v>0</v>
      </c>
      <c r="NL239">
        <v>0</v>
      </c>
      <c r="NM239">
        <v>0</v>
      </c>
      <c r="NN239">
        <v>948</v>
      </c>
      <c r="NO239">
        <v>-880</v>
      </c>
      <c r="NP239">
        <v>0</v>
      </c>
      <c r="NQ239">
        <v>-4720</v>
      </c>
      <c r="NR239">
        <v>0</v>
      </c>
      <c r="NS239">
        <v>0</v>
      </c>
      <c r="NT239">
        <v>27</v>
      </c>
      <c r="NU239">
        <v>0</v>
      </c>
      <c r="NV239">
        <v>-778</v>
      </c>
      <c r="NW239">
        <v>0</v>
      </c>
      <c r="NX239">
        <v>0</v>
      </c>
      <c r="NY239">
        <v>0</v>
      </c>
      <c r="NZ239">
        <v>-7044</v>
      </c>
      <c r="OA239">
        <v>0</v>
      </c>
      <c r="OB239">
        <v>-7044</v>
      </c>
      <c r="OC239">
        <v>0</v>
      </c>
      <c r="OD239">
        <v>0</v>
      </c>
      <c r="OE239">
        <v>0</v>
      </c>
      <c r="OF239">
        <v>0</v>
      </c>
      <c r="OG239">
        <v>0</v>
      </c>
      <c r="OH239">
        <v>0</v>
      </c>
      <c r="OI239">
        <v>0</v>
      </c>
      <c r="OJ239">
        <v>0</v>
      </c>
      <c r="OK239">
        <v>0</v>
      </c>
      <c r="OL239">
        <v>0</v>
      </c>
      <c r="OM239">
        <v>0</v>
      </c>
      <c r="ON239">
        <v>0</v>
      </c>
    </row>
    <row r="240" spans="1:404" x14ac:dyDescent="0.25">
      <c r="A240" t="s">
        <v>788</v>
      </c>
      <c r="B240" t="s">
        <v>789</v>
      </c>
      <c r="C240" t="s">
        <v>787</v>
      </c>
      <c r="E240" t="s">
        <v>61</v>
      </c>
      <c r="F240">
        <v>0</v>
      </c>
      <c r="G240">
        <v>0</v>
      </c>
      <c r="H240">
        <v>0</v>
      </c>
      <c r="I240">
        <v>0</v>
      </c>
      <c r="J240">
        <v>0</v>
      </c>
      <c r="K240">
        <v>0</v>
      </c>
      <c r="L240">
        <v>0</v>
      </c>
      <c r="M240">
        <v>0</v>
      </c>
      <c r="N240">
        <v>40</v>
      </c>
      <c r="O240">
        <v>0</v>
      </c>
      <c r="P240">
        <v>48</v>
      </c>
      <c r="Q240">
        <v>0</v>
      </c>
      <c r="R240">
        <v>0</v>
      </c>
      <c r="S240">
        <v>93</v>
      </c>
      <c r="T240">
        <v>0</v>
      </c>
      <c r="U240">
        <v>0</v>
      </c>
      <c r="V240">
        <v>0</v>
      </c>
      <c r="W240">
        <v>0</v>
      </c>
      <c r="X240">
        <v>0</v>
      </c>
      <c r="Y240">
        <v>0</v>
      </c>
      <c r="Z240">
        <v>0</v>
      </c>
      <c r="AA240">
        <v>-14</v>
      </c>
      <c r="AB240">
        <v>0</v>
      </c>
      <c r="AC240">
        <v>0</v>
      </c>
      <c r="AD240">
        <v>0</v>
      </c>
      <c r="AE240">
        <v>0</v>
      </c>
      <c r="AF240">
        <v>0</v>
      </c>
      <c r="AG240">
        <v>-24</v>
      </c>
      <c r="AH240">
        <v>0</v>
      </c>
      <c r="AI240">
        <v>143</v>
      </c>
      <c r="AJ240">
        <v>0</v>
      </c>
      <c r="AK240">
        <v>0</v>
      </c>
      <c r="AL240">
        <v>0</v>
      </c>
      <c r="AM240">
        <v>0</v>
      </c>
      <c r="AN240">
        <v>0</v>
      </c>
      <c r="AO240">
        <v>0</v>
      </c>
      <c r="AP240">
        <v>0</v>
      </c>
      <c r="AQ240">
        <v>0</v>
      </c>
      <c r="AR240">
        <v>0</v>
      </c>
      <c r="AS240">
        <v>0</v>
      </c>
      <c r="AT240">
        <v>0</v>
      </c>
      <c r="AU240">
        <v>0</v>
      </c>
      <c r="AV240">
        <v>0</v>
      </c>
      <c r="AW240">
        <v>0</v>
      </c>
      <c r="AX240">
        <v>0</v>
      </c>
      <c r="AY240">
        <v>0</v>
      </c>
      <c r="AZ240">
        <v>0</v>
      </c>
      <c r="BA240">
        <v>0</v>
      </c>
      <c r="BB240">
        <v>0</v>
      </c>
      <c r="BC240">
        <v>0</v>
      </c>
      <c r="BD240">
        <v>0</v>
      </c>
      <c r="BE240">
        <v>0</v>
      </c>
      <c r="BF240">
        <v>0</v>
      </c>
      <c r="BG240">
        <v>0</v>
      </c>
      <c r="BH240">
        <v>0</v>
      </c>
      <c r="BI240">
        <v>0</v>
      </c>
      <c r="BJ240">
        <v>0</v>
      </c>
      <c r="BK240">
        <v>0</v>
      </c>
      <c r="BL240">
        <v>0</v>
      </c>
      <c r="BM240">
        <v>0</v>
      </c>
      <c r="BN240">
        <v>0</v>
      </c>
      <c r="BO240">
        <v>0</v>
      </c>
      <c r="BP240">
        <v>0</v>
      </c>
      <c r="BQ240">
        <v>0</v>
      </c>
      <c r="BR240">
        <v>0</v>
      </c>
      <c r="BS240">
        <v>0</v>
      </c>
      <c r="BT240">
        <v>0</v>
      </c>
      <c r="BU240">
        <v>0</v>
      </c>
      <c r="BV240">
        <v>0</v>
      </c>
      <c r="BW240">
        <v>0</v>
      </c>
      <c r="BX240">
        <v>0</v>
      </c>
      <c r="BY240">
        <v>0</v>
      </c>
      <c r="BZ240">
        <v>0</v>
      </c>
      <c r="CA240">
        <v>0</v>
      </c>
      <c r="CB240">
        <v>0</v>
      </c>
      <c r="CC240">
        <v>0</v>
      </c>
      <c r="CD240">
        <v>0</v>
      </c>
      <c r="CE240">
        <v>0</v>
      </c>
      <c r="CF240">
        <v>0</v>
      </c>
      <c r="CG240">
        <v>0</v>
      </c>
      <c r="CH240">
        <v>0</v>
      </c>
      <c r="CI240">
        <v>0</v>
      </c>
      <c r="CJ240">
        <v>0</v>
      </c>
      <c r="CK240">
        <v>0</v>
      </c>
      <c r="CL240">
        <v>0</v>
      </c>
      <c r="CM240">
        <v>0</v>
      </c>
      <c r="CN240">
        <v>0</v>
      </c>
      <c r="CO240">
        <v>0</v>
      </c>
      <c r="CP240">
        <v>0</v>
      </c>
      <c r="CQ240">
        <v>0</v>
      </c>
      <c r="CR240">
        <v>0</v>
      </c>
      <c r="CS240">
        <v>0</v>
      </c>
      <c r="CT240">
        <v>0</v>
      </c>
      <c r="CU240">
        <v>0</v>
      </c>
      <c r="CV240">
        <v>0</v>
      </c>
      <c r="CW240">
        <v>0</v>
      </c>
      <c r="CX240">
        <v>0</v>
      </c>
      <c r="CY240">
        <v>0</v>
      </c>
      <c r="CZ240">
        <v>0</v>
      </c>
      <c r="DA240">
        <v>0</v>
      </c>
      <c r="DB240">
        <v>0</v>
      </c>
      <c r="DC240">
        <v>356</v>
      </c>
      <c r="DD240">
        <v>3</v>
      </c>
      <c r="DE240">
        <v>78</v>
      </c>
      <c r="DF240">
        <v>17</v>
      </c>
      <c r="DG240">
        <v>0</v>
      </c>
      <c r="DH240">
        <v>0</v>
      </c>
      <c r="DI240">
        <v>0</v>
      </c>
      <c r="DJ240">
        <v>83</v>
      </c>
      <c r="DK240">
        <v>0</v>
      </c>
      <c r="DL240">
        <v>0</v>
      </c>
      <c r="DM240">
        <v>0</v>
      </c>
      <c r="DN240">
        <v>269</v>
      </c>
      <c r="DO240">
        <v>0</v>
      </c>
      <c r="DP240">
        <v>352</v>
      </c>
      <c r="DQ240">
        <v>0</v>
      </c>
      <c r="DR240">
        <v>0</v>
      </c>
      <c r="DS240">
        <v>0</v>
      </c>
      <c r="DT240">
        <v>760</v>
      </c>
      <c r="DU240">
        <v>0</v>
      </c>
      <c r="DV240">
        <v>18</v>
      </c>
      <c r="DW240">
        <v>0</v>
      </c>
      <c r="DX240">
        <v>1584</v>
      </c>
      <c r="DY240">
        <v>0</v>
      </c>
      <c r="DZ240">
        <v>0</v>
      </c>
      <c r="EA240">
        <v>0</v>
      </c>
      <c r="EB240">
        <v>0</v>
      </c>
      <c r="EC240">
        <v>0</v>
      </c>
      <c r="ED240">
        <v>0</v>
      </c>
      <c r="EE240">
        <v>0</v>
      </c>
      <c r="EF240">
        <v>0</v>
      </c>
      <c r="EG240">
        <v>0</v>
      </c>
      <c r="EH240">
        <v>0</v>
      </c>
      <c r="EI240">
        <v>0</v>
      </c>
      <c r="EJ240">
        <v>0</v>
      </c>
      <c r="EK240">
        <v>0</v>
      </c>
      <c r="EL240">
        <v>0</v>
      </c>
      <c r="EM240">
        <v>0</v>
      </c>
      <c r="EN240">
        <v>0</v>
      </c>
      <c r="EO240">
        <v>0</v>
      </c>
      <c r="EP240">
        <v>0</v>
      </c>
      <c r="EQ240">
        <v>0</v>
      </c>
      <c r="ER240">
        <v>0</v>
      </c>
      <c r="ES240">
        <v>0</v>
      </c>
      <c r="ET240">
        <v>0</v>
      </c>
      <c r="EU240">
        <v>0</v>
      </c>
      <c r="EV240">
        <v>0</v>
      </c>
      <c r="EW240">
        <v>0</v>
      </c>
      <c r="EX240">
        <v>332</v>
      </c>
      <c r="EY240">
        <v>99</v>
      </c>
      <c r="EZ240">
        <v>87</v>
      </c>
      <c r="FA240">
        <v>0</v>
      </c>
      <c r="FB240">
        <v>0</v>
      </c>
      <c r="FC240">
        <v>1514</v>
      </c>
      <c r="FD240">
        <v>2347</v>
      </c>
      <c r="FE240">
        <v>27</v>
      </c>
      <c r="FF240">
        <v>1</v>
      </c>
      <c r="FG240">
        <v>0</v>
      </c>
      <c r="FH240">
        <v>4407</v>
      </c>
      <c r="FI240">
        <v>261</v>
      </c>
      <c r="FJ240">
        <v>0</v>
      </c>
      <c r="FK240">
        <v>-1</v>
      </c>
      <c r="FL240">
        <v>471</v>
      </c>
      <c r="FM240">
        <v>1377</v>
      </c>
      <c r="FN240">
        <v>42</v>
      </c>
      <c r="FO240">
        <v>0</v>
      </c>
      <c r="FP240">
        <v>0</v>
      </c>
      <c r="FQ240">
        <v>0</v>
      </c>
      <c r="FR240">
        <v>126</v>
      </c>
      <c r="FS240">
        <v>39</v>
      </c>
      <c r="FT240">
        <v>324</v>
      </c>
      <c r="FU240">
        <v>59</v>
      </c>
      <c r="FV240">
        <v>346</v>
      </c>
      <c r="FW240">
        <v>47</v>
      </c>
      <c r="FX240">
        <v>37</v>
      </c>
      <c r="FY240">
        <v>0</v>
      </c>
      <c r="FZ240">
        <v>26</v>
      </c>
      <c r="GA240">
        <v>0</v>
      </c>
      <c r="GB240">
        <v>0</v>
      </c>
      <c r="GC240">
        <v>0</v>
      </c>
      <c r="GD240">
        <v>1679</v>
      </c>
      <c r="GE240">
        <v>1534</v>
      </c>
      <c r="GF240">
        <v>330</v>
      </c>
      <c r="GG240">
        <v>-102</v>
      </c>
      <c r="GH240">
        <v>1753</v>
      </c>
      <c r="GI240">
        <v>0</v>
      </c>
      <c r="GJ240">
        <v>0</v>
      </c>
      <c r="GK240">
        <v>8348</v>
      </c>
      <c r="GL240">
        <v>51</v>
      </c>
      <c r="GM240">
        <v>451</v>
      </c>
      <c r="GN240">
        <v>0</v>
      </c>
      <c r="GO240">
        <v>470</v>
      </c>
      <c r="GP240">
        <v>176</v>
      </c>
      <c r="GQ240">
        <v>1604</v>
      </c>
      <c r="GR240">
        <v>0</v>
      </c>
      <c r="GS240">
        <v>0</v>
      </c>
      <c r="GT240">
        <v>14</v>
      </c>
      <c r="GU240">
        <v>2766</v>
      </c>
      <c r="GV240">
        <v>15521</v>
      </c>
      <c r="GW240">
        <v>0</v>
      </c>
      <c r="GX240">
        <v>0</v>
      </c>
      <c r="GY240">
        <v>0</v>
      </c>
      <c r="GZ240">
        <v>0</v>
      </c>
      <c r="HA240">
        <v>0</v>
      </c>
      <c r="HB240">
        <v>2259</v>
      </c>
      <c r="HC240">
        <v>-104</v>
      </c>
      <c r="HD240">
        <v>0</v>
      </c>
      <c r="HE240">
        <v>0</v>
      </c>
      <c r="HF240">
        <v>0</v>
      </c>
      <c r="HG240">
        <v>364</v>
      </c>
      <c r="HH240">
        <v>0</v>
      </c>
      <c r="HI240">
        <v>0</v>
      </c>
      <c r="HJ240">
        <v>424</v>
      </c>
      <c r="HK240">
        <v>36</v>
      </c>
      <c r="HL240">
        <v>35</v>
      </c>
      <c r="HM240">
        <v>31</v>
      </c>
      <c r="HN240">
        <v>0</v>
      </c>
      <c r="HO240">
        <v>118</v>
      </c>
      <c r="HP240">
        <v>0</v>
      </c>
      <c r="HQ240">
        <v>0</v>
      </c>
      <c r="HR240">
        <v>414</v>
      </c>
      <c r="HS240">
        <v>0</v>
      </c>
      <c r="HT240">
        <v>0</v>
      </c>
      <c r="HU240">
        <v>866</v>
      </c>
      <c r="HV240">
        <v>4443</v>
      </c>
      <c r="HW240">
        <v>2210</v>
      </c>
      <c r="HX240">
        <v>7622</v>
      </c>
      <c r="HY240">
        <v>0</v>
      </c>
      <c r="HZ240">
        <v>33</v>
      </c>
      <c r="IA240">
        <v>17</v>
      </c>
      <c r="IB240">
        <v>0</v>
      </c>
      <c r="IC240">
        <v>0</v>
      </c>
      <c r="ID240">
        <v>143</v>
      </c>
      <c r="IE240">
        <v>0</v>
      </c>
      <c r="IF240">
        <v>0</v>
      </c>
      <c r="IG240">
        <v>0</v>
      </c>
      <c r="IH240">
        <v>1584</v>
      </c>
      <c r="II240">
        <v>4407</v>
      </c>
      <c r="IJ240">
        <v>8348</v>
      </c>
      <c r="IK240">
        <v>2766</v>
      </c>
      <c r="IL240">
        <v>0</v>
      </c>
      <c r="IM240">
        <v>0</v>
      </c>
      <c r="IN240">
        <v>4443</v>
      </c>
      <c r="IO240">
        <v>0</v>
      </c>
      <c r="IP240">
        <v>21691</v>
      </c>
      <c r="IQ240">
        <v>21224</v>
      </c>
      <c r="IR240">
        <v>0</v>
      </c>
      <c r="IS240">
        <v>0</v>
      </c>
      <c r="IT240">
        <v>0</v>
      </c>
      <c r="IU240">
        <v>0</v>
      </c>
      <c r="IV240">
        <v>600</v>
      </c>
      <c r="IW240">
        <v>0</v>
      </c>
      <c r="IX240">
        <v>0</v>
      </c>
      <c r="IY240">
        <v>0</v>
      </c>
      <c r="IZ240">
        <v>0</v>
      </c>
      <c r="JA240">
        <v>0</v>
      </c>
      <c r="JB240">
        <v>0</v>
      </c>
      <c r="JC240">
        <v>0</v>
      </c>
      <c r="JD240">
        <v>0</v>
      </c>
      <c r="JE240">
        <v>18</v>
      </c>
      <c r="JF240">
        <v>-1</v>
      </c>
      <c r="JG240">
        <v>43532</v>
      </c>
      <c r="JH240">
        <v>0</v>
      </c>
      <c r="JI240">
        <v>61</v>
      </c>
      <c r="JJ240">
        <v>0</v>
      </c>
      <c r="JK240">
        <v>-260</v>
      </c>
      <c r="JL240">
        <v>0</v>
      </c>
      <c r="JM240">
        <v>0</v>
      </c>
      <c r="JN240">
        <v>42</v>
      </c>
      <c r="JO240">
        <v>0</v>
      </c>
      <c r="JP240">
        <v>0</v>
      </c>
      <c r="JQ240">
        <v>0</v>
      </c>
      <c r="JR240">
        <v>43375</v>
      </c>
      <c r="JS240">
        <v>-37</v>
      </c>
      <c r="JT240">
        <v>0</v>
      </c>
      <c r="JU240">
        <v>0</v>
      </c>
      <c r="JV240">
        <v>0</v>
      </c>
      <c r="JW240">
        <v>-21016</v>
      </c>
      <c r="JX240">
        <v>0</v>
      </c>
      <c r="JY240">
        <v>0</v>
      </c>
      <c r="JZ240">
        <v>0</v>
      </c>
      <c r="KA240">
        <v>0</v>
      </c>
      <c r="KB240">
        <v>0</v>
      </c>
      <c r="KC240">
        <v>22322</v>
      </c>
      <c r="KD240">
        <v>0</v>
      </c>
      <c r="KE240">
        <v>-1719</v>
      </c>
      <c r="KF240">
        <v>20603</v>
      </c>
      <c r="KG240">
        <v>0</v>
      </c>
      <c r="KH240">
        <v>0</v>
      </c>
      <c r="KI240">
        <v>0</v>
      </c>
      <c r="KJ240">
        <v>0</v>
      </c>
      <c r="KK240">
        <v>470</v>
      </c>
      <c r="KL240">
        <v>-840</v>
      </c>
      <c r="KM240">
        <v>-64</v>
      </c>
      <c r="KN240">
        <v>0</v>
      </c>
      <c r="KO240">
        <v>-6779</v>
      </c>
      <c r="KP240">
        <v>48</v>
      </c>
      <c r="KQ240">
        <v>0</v>
      </c>
      <c r="KR240">
        <v>8245</v>
      </c>
      <c r="KS240">
        <v>0</v>
      </c>
      <c r="KT240">
        <v>0</v>
      </c>
      <c r="KU240">
        <v>0</v>
      </c>
      <c r="KV240">
        <v>10429</v>
      </c>
      <c r="KW240">
        <v>2999</v>
      </c>
      <c r="KX240">
        <v>0</v>
      </c>
      <c r="KY240">
        <v>0</v>
      </c>
      <c r="KZ240">
        <v>0</v>
      </c>
      <c r="LA240">
        <v>10899</v>
      </c>
      <c r="LB240">
        <v>2159</v>
      </c>
      <c r="LC240">
        <v>0</v>
      </c>
      <c r="LD240">
        <v>2874</v>
      </c>
      <c r="LE240">
        <v>-202</v>
      </c>
      <c r="LF240">
        <v>1357</v>
      </c>
      <c r="LG240">
        <v>3521</v>
      </c>
      <c r="LH240">
        <v>1937</v>
      </c>
      <c r="LI240">
        <v>9487</v>
      </c>
      <c r="LJ240">
        <v>3324</v>
      </c>
      <c r="LK240">
        <v>3939</v>
      </c>
      <c r="LL240">
        <v>7263</v>
      </c>
      <c r="LM240">
        <v>31</v>
      </c>
      <c r="LN240">
        <v>0</v>
      </c>
      <c r="LO240">
        <v>0</v>
      </c>
      <c r="LP240">
        <v>0</v>
      </c>
      <c r="LQ240">
        <v>0</v>
      </c>
      <c r="LR240">
        <v>0</v>
      </c>
      <c r="LS240">
        <v>0</v>
      </c>
      <c r="LT240">
        <v>0</v>
      </c>
      <c r="LU240">
        <v>0</v>
      </c>
      <c r="LV240">
        <v>143</v>
      </c>
      <c r="LW240">
        <v>0</v>
      </c>
      <c r="LX240">
        <v>0</v>
      </c>
      <c r="LY240">
        <v>0</v>
      </c>
      <c r="LZ240">
        <v>1584</v>
      </c>
      <c r="MA240">
        <v>4407</v>
      </c>
      <c r="MB240">
        <v>8348</v>
      </c>
      <c r="MC240">
        <v>2766</v>
      </c>
      <c r="MD240">
        <v>0</v>
      </c>
      <c r="ME240">
        <v>0</v>
      </c>
      <c r="MF240">
        <v>4443</v>
      </c>
      <c r="MG240">
        <v>0</v>
      </c>
      <c r="MH240">
        <v>21691</v>
      </c>
      <c r="MI240">
        <v>0</v>
      </c>
      <c r="MJ240">
        <v>0</v>
      </c>
      <c r="MK240">
        <v>0</v>
      </c>
      <c r="ML240">
        <v>0</v>
      </c>
      <c r="MM240">
        <v>0</v>
      </c>
      <c r="MN240">
        <v>0</v>
      </c>
      <c r="MO240">
        <v>0</v>
      </c>
      <c r="MP240">
        <v>0</v>
      </c>
      <c r="MQ240">
        <v>0</v>
      </c>
      <c r="MR240">
        <v>0</v>
      </c>
      <c r="MS240">
        <v>0</v>
      </c>
      <c r="MT240">
        <v>0</v>
      </c>
      <c r="MU240">
        <v>0</v>
      </c>
      <c r="MV240">
        <v>0</v>
      </c>
      <c r="MW240">
        <v>0</v>
      </c>
      <c r="MX240">
        <v>0</v>
      </c>
      <c r="MY240">
        <v>0</v>
      </c>
      <c r="MZ240">
        <v>0</v>
      </c>
      <c r="NA240">
        <v>0</v>
      </c>
      <c r="NB240">
        <v>0</v>
      </c>
      <c r="NC240">
        <v>0</v>
      </c>
      <c r="ND240">
        <v>0</v>
      </c>
      <c r="NE240">
        <v>0</v>
      </c>
      <c r="NF240">
        <v>0</v>
      </c>
      <c r="NG240">
        <v>0</v>
      </c>
      <c r="NH240">
        <v>0</v>
      </c>
      <c r="NI240">
        <v>0</v>
      </c>
      <c r="NJ240">
        <v>0</v>
      </c>
      <c r="NK240">
        <v>0</v>
      </c>
      <c r="NL240">
        <v>0</v>
      </c>
      <c r="NM240">
        <v>0</v>
      </c>
      <c r="NN240">
        <v>0</v>
      </c>
      <c r="NO240">
        <v>0</v>
      </c>
      <c r="NP240">
        <v>0</v>
      </c>
      <c r="NQ240">
        <v>0</v>
      </c>
      <c r="NR240">
        <v>0</v>
      </c>
      <c r="NS240">
        <v>0</v>
      </c>
      <c r="NT240">
        <v>0</v>
      </c>
      <c r="NU240">
        <v>0</v>
      </c>
      <c r="NV240">
        <v>0</v>
      </c>
      <c r="NW240">
        <v>0</v>
      </c>
      <c r="NX240">
        <v>0</v>
      </c>
      <c r="NY240">
        <v>0</v>
      </c>
      <c r="NZ240">
        <v>0</v>
      </c>
      <c r="OA240">
        <v>0</v>
      </c>
      <c r="OB240">
        <v>0</v>
      </c>
      <c r="OC240">
        <v>0</v>
      </c>
      <c r="OD240">
        <v>0</v>
      </c>
      <c r="OE240">
        <v>0</v>
      </c>
      <c r="OF240">
        <v>0</v>
      </c>
      <c r="OG240">
        <v>0</v>
      </c>
      <c r="OH240">
        <v>0</v>
      </c>
      <c r="OI240">
        <v>0</v>
      </c>
      <c r="OJ240">
        <v>0</v>
      </c>
      <c r="OK240">
        <v>0</v>
      </c>
      <c r="OL240">
        <v>0</v>
      </c>
      <c r="OM240">
        <v>0</v>
      </c>
      <c r="ON240">
        <v>0</v>
      </c>
    </row>
    <row r="241" spans="1:404" x14ac:dyDescent="0.25">
      <c r="A241" t="s">
        <v>791</v>
      </c>
      <c r="B241" t="s">
        <v>792</v>
      </c>
      <c r="C241" t="s">
        <v>790</v>
      </c>
      <c r="E241" t="s">
        <v>1940</v>
      </c>
      <c r="F241">
        <v>28560</v>
      </c>
      <c r="G241">
        <v>138920</v>
      </c>
      <c r="H241">
        <v>95425</v>
      </c>
      <c r="I241">
        <v>13181</v>
      </c>
      <c r="J241">
        <v>4661</v>
      </c>
      <c r="K241">
        <v>16886</v>
      </c>
      <c r="L241">
        <v>297633</v>
      </c>
      <c r="M241">
        <v>0</v>
      </c>
      <c r="N241">
        <v>694</v>
      </c>
      <c r="O241">
        <v>0</v>
      </c>
      <c r="P241">
        <v>3690</v>
      </c>
      <c r="Q241">
        <v>0</v>
      </c>
      <c r="R241">
        <v>0</v>
      </c>
      <c r="S241">
        <v>273</v>
      </c>
      <c r="T241">
        <v>218</v>
      </c>
      <c r="U241">
        <v>81</v>
      </c>
      <c r="V241">
        <v>0</v>
      </c>
      <c r="W241">
        <v>-8910</v>
      </c>
      <c r="X241">
        <v>357</v>
      </c>
      <c r="Y241">
        <v>-1476</v>
      </c>
      <c r="Z241">
        <v>-12899</v>
      </c>
      <c r="AA241">
        <v>-624</v>
      </c>
      <c r="AB241">
        <v>10518</v>
      </c>
      <c r="AC241">
        <v>67</v>
      </c>
      <c r="AD241">
        <v>0</v>
      </c>
      <c r="AE241">
        <v>0</v>
      </c>
      <c r="AF241">
        <v>0</v>
      </c>
      <c r="AG241">
        <v>0</v>
      </c>
      <c r="AH241">
        <v>0</v>
      </c>
      <c r="AI241">
        <v>-8011</v>
      </c>
      <c r="AJ241">
        <v>0</v>
      </c>
      <c r="AK241">
        <v>0</v>
      </c>
      <c r="AL241">
        <v>0</v>
      </c>
      <c r="AM241">
        <v>0</v>
      </c>
      <c r="AN241">
        <v>0</v>
      </c>
      <c r="AO241">
        <v>0</v>
      </c>
      <c r="AP241">
        <v>1185</v>
      </c>
      <c r="AQ241">
        <v>13272</v>
      </c>
      <c r="AR241">
        <v>0</v>
      </c>
      <c r="AS241">
        <v>0</v>
      </c>
      <c r="AT241">
        <v>0</v>
      </c>
      <c r="AU241">
        <v>0</v>
      </c>
      <c r="AV241">
        <v>3377</v>
      </c>
      <c r="AW241">
        <v>39704</v>
      </c>
      <c r="AX241">
        <v>115</v>
      </c>
      <c r="AY241">
        <v>6355</v>
      </c>
      <c r="AZ241">
        <v>2025</v>
      </c>
      <c r="BA241">
        <v>30140</v>
      </c>
      <c r="BB241">
        <v>1771</v>
      </c>
      <c r="BC241">
        <v>1186</v>
      </c>
      <c r="BD241">
        <v>84673</v>
      </c>
      <c r="BE241">
        <v>13986</v>
      </c>
      <c r="BF241">
        <v>22980</v>
      </c>
      <c r="BG241">
        <v>405</v>
      </c>
      <c r="BH241">
        <v>376</v>
      </c>
      <c r="BI241">
        <v>439</v>
      </c>
      <c r="BJ241">
        <v>1005</v>
      </c>
      <c r="BK241">
        <v>26704</v>
      </c>
      <c r="BL241">
        <v>3225</v>
      </c>
      <c r="BM241">
        <v>9107</v>
      </c>
      <c r="BN241">
        <v>2093</v>
      </c>
      <c r="BO241">
        <v>0</v>
      </c>
      <c r="BP241">
        <v>0</v>
      </c>
      <c r="BQ241">
        <v>0</v>
      </c>
      <c r="BR241">
        <v>1259</v>
      </c>
      <c r="BS241">
        <v>1590</v>
      </c>
      <c r="BT241">
        <v>12740</v>
      </c>
      <c r="BU241">
        <v>832</v>
      </c>
      <c r="BV241">
        <v>7408</v>
      </c>
      <c r="BW241">
        <v>104149</v>
      </c>
      <c r="BX241">
        <v>3419</v>
      </c>
      <c r="BY241">
        <v>1264</v>
      </c>
      <c r="BZ241">
        <v>210</v>
      </c>
      <c r="CA241">
        <v>600</v>
      </c>
      <c r="CB241">
        <v>254</v>
      </c>
      <c r="CC241">
        <v>90</v>
      </c>
      <c r="CD241">
        <v>306</v>
      </c>
      <c r="CE241">
        <v>1431</v>
      </c>
      <c r="CF241">
        <v>2666</v>
      </c>
      <c r="CG241">
        <v>1455</v>
      </c>
      <c r="CH241">
        <v>814</v>
      </c>
      <c r="CI241">
        <v>989</v>
      </c>
      <c r="CJ241">
        <v>659</v>
      </c>
      <c r="CK241">
        <v>423</v>
      </c>
      <c r="CL241">
        <v>378</v>
      </c>
      <c r="CM241">
        <v>23</v>
      </c>
      <c r="CN241">
        <v>160</v>
      </c>
      <c r="CO241">
        <v>2188</v>
      </c>
      <c r="CP241">
        <v>1837</v>
      </c>
      <c r="CQ241">
        <v>11553</v>
      </c>
      <c r="CR241">
        <v>1160</v>
      </c>
      <c r="CS241">
        <v>521</v>
      </c>
      <c r="CT241">
        <v>688</v>
      </c>
      <c r="CU241">
        <v>139</v>
      </c>
      <c r="CV241">
        <v>33936</v>
      </c>
      <c r="CW241">
        <v>0</v>
      </c>
      <c r="CX241">
        <v>0</v>
      </c>
      <c r="CY241">
        <v>0</v>
      </c>
      <c r="CZ241">
        <v>0</v>
      </c>
      <c r="DA241">
        <v>0</v>
      </c>
      <c r="DB241">
        <v>0</v>
      </c>
      <c r="DC241">
        <v>309</v>
      </c>
      <c r="DD241">
        <v>2000</v>
      </c>
      <c r="DE241">
        <v>0</v>
      </c>
      <c r="DF241">
        <v>1133</v>
      </c>
      <c r="DG241">
        <v>8274</v>
      </c>
      <c r="DH241">
        <v>699</v>
      </c>
      <c r="DI241">
        <v>1807</v>
      </c>
      <c r="DJ241">
        <v>2904</v>
      </c>
      <c r="DK241">
        <v>199</v>
      </c>
      <c r="DL241">
        <v>4423</v>
      </c>
      <c r="DM241">
        <v>7109</v>
      </c>
      <c r="DN241">
        <v>266</v>
      </c>
      <c r="DO241">
        <v>0</v>
      </c>
      <c r="DP241">
        <v>25681</v>
      </c>
      <c r="DQ241">
        <v>0</v>
      </c>
      <c r="DR241">
        <v>0</v>
      </c>
      <c r="DS241">
        <v>0</v>
      </c>
      <c r="DT241">
        <v>0</v>
      </c>
      <c r="DU241">
        <v>0</v>
      </c>
      <c r="DV241">
        <v>0</v>
      </c>
      <c r="DW241">
        <v>0</v>
      </c>
      <c r="DX241">
        <v>29123</v>
      </c>
      <c r="DY241">
        <v>84063</v>
      </c>
      <c r="DZ241">
        <v>6069</v>
      </c>
      <c r="EA241">
        <v>14236</v>
      </c>
      <c r="EB241">
        <v>765</v>
      </c>
      <c r="EC241">
        <v>7315</v>
      </c>
      <c r="ED241">
        <v>207</v>
      </c>
      <c r="EE241">
        <v>0</v>
      </c>
      <c r="EF241">
        <v>0</v>
      </c>
      <c r="EG241">
        <v>0</v>
      </c>
      <c r="EH241">
        <v>18716</v>
      </c>
      <c r="EI241">
        <v>42246</v>
      </c>
      <c r="EJ241">
        <v>10424</v>
      </c>
      <c r="EK241">
        <v>4550</v>
      </c>
      <c r="EL241">
        <v>10080</v>
      </c>
      <c r="EM241">
        <v>17522</v>
      </c>
      <c r="EN241">
        <v>0</v>
      </c>
      <c r="EO241">
        <v>101</v>
      </c>
      <c r="EP241">
        <v>0</v>
      </c>
      <c r="EQ241">
        <v>23619</v>
      </c>
      <c r="ER241">
        <v>2783</v>
      </c>
      <c r="ES241">
        <v>72839</v>
      </c>
      <c r="ET241">
        <v>55453</v>
      </c>
      <c r="EU241">
        <v>0</v>
      </c>
      <c r="EV241">
        <v>1019</v>
      </c>
      <c r="EW241">
        <v>142</v>
      </c>
      <c r="EX241">
        <v>0</v>
      </c>
      <c r="EY241">
        <v>280</v>
      </c>
      <c r="EZ241">
        <v>1957</v>
      </c>
      <c r="FA241">
        <v>0</v>
      </c>
      <c r="FB241">
        <v>708</v>
      </c>
      <c r="FC241">
        <v>0</v>
      </c>
      <c r="FD241">
        <v>1424</v>
      </c>
      <c r="FE241">
        <v>0</v>
      </c>
      <c r="FF241">
        <v>0</v>
      </c>
      <c r="FG241">
        <v>2066</v>
      </c>
      <c r="FH241">
        <v>7596</v>
      </c>
      <c r="FI241">
        <v>191</v>
      </c>
      <c r="FJ241">
        <v>275</v>
      </c>
      <c r="FK241">
        <v>0</v>
      </c>
      <c r="FL241">
        <v>575</v>
      </c>
      <c r="FM241">
        <v>881</v>
      </c>
      <c r="FN241">
        <v>0</v>
      </c>
      <c r="FO241">
        <v>269</v>
      </c>
      <c r="FP241">
        <v>0</v>
      </c>
      <c r="FQ241">
        <v>0</v>
      </c>
      <c r="FR241">
        <v>6</v>
      </c>
      <c r="FS241">
        <v>30</v>
      </c>
      <c r="FT241">
        <v>166</v>
      </c>
      <c r="FU241">
        <v>151</v>
      </c>
      <c r="FV241">
        <v>441</v>
      </c>
      <c r="FW241">
        <v>1280</v>
      </c>
      <c r="FX241">
        <v>1456</v>
      </c>
      <c r="FY241">
        <v>0</v>
      </c>
      <c r="FZ241">
        <v>0</v>
      </c>
      <c r="GA241">
        <v>0</v>
      </c>
      <c r="GB241">
        <v>0</v>
      </c>
      <c r="GC241">
        <v>292</v>
      </c>
      <c r="GD241">
        <v>8576</v>
      </c>
      <c r="GE241">
        <v>7549</v>
      </c>
      <c r="GF241">
        <v>0</v>
      </c>
      <c r="GG241">
        <v>-411</v>
      </c>
      <c r="GH241">
        <v>374</v>
      </c>
      <c r="GI241">
        <v>0</v>
      </c>
      <c r="GJ241">
        <v>0</v>
      </c>
      <c r="GK241">
        <v>22101</v>
      </c>
      <c r="GL241">
        <v>225</v>
      </c>
      <c r="GM241">
        <v>720</v>
      </c>
      <c r="GN241">
        <v>0</v>
      </c>
      <c r="GO241">
        <v>1069</v>
      </c>
      <c r="GP241">
        <v>0</v>
      </c>
      <c r="GQ241">
        <v>16073</v>
      </c>
      <c r="GR241">
        <v>0</v>
      </c>
      <c r="GS241">
        <v>0</v>
      </c>
      <c r="GT241">
        <v>1041</v>
      </c>
      <c r="GU241">
        <v>19128</v>
      </c>
      <c r="GV241">
        <v>48825</v>
      </c>
      <c r="GW241">
        <v>0</v>
      </c>
      <c r="GX241">
        <v>0</v>
      </c>
      <c r="GY241">
        <v>0</v>
      </c>
      <c r="GZ241">
        <v>0</v>
      </c>
      <c r="HA241">
        <v>0</v>
      </c>
      <c r="HB241">
        <v>7126</v>
      </c>
      <c r="HC241">
        <v>3340</v>
      </c>
      <c r="HD241">
        <v>0</v>
      </c>
      <c r="HE241">
        <v>0</v>
      </c>
      <c r="HF241">
        <v>1431</v>
      </c>
      <c r="HG241">
        <v>-246</v>
      </c>
      <c r="HH241">
        <v>-23</v>
      </c>
      <c r="HI241">
        <v>-362</v>
      </c>
      <c r="HJ241">
        <v>381</v>
      </c>
      <c r="HK241">
        <v>502</v>
      </c>
      <c r="HL241">
        <v>946</v>
      </c>
      <c r="HM241">
        <v>-166</v>
      </c>
      <c r="HN241">
        <v>0</v>
      </c>
      <c r="HO241">
        <v>0</v>
      </c>
      <c r="HP241">
        <v>663</v>
      </c>
      <c r="HQ241">
        <v>0</v>
      </c>
      <c r="HR241">
        <v>2783</v>
      </c>
      <c r="HS241">
        <v>0</v>
      </c>
      <c r="HT241">
        <v>0</v>
      </c>
      <c r="HU241">
        <v>4612</v>
      </c>
      <c r="HV241">
        <v>20987</v>
      </c>
      <c r="HW241">
        <v>2225</v>
      </c>
      <c r="HX241">
        <v>76</v>
      </c>
      <c r="HY241">
        <v>887</v>
      </c>
      <c r="HZ241">
        <v>457</v>
      </c>
      <c r="IA241">
        <v>2799</v>
      </c>
      <c r="IB241">
        <v>5541</v>
      </c>
      <c r="IC241">
        <v>297633</v>
      </c>
      <c r="ID241">
        <v>-8011</v>
      </c>
      <c r="IE241">
        <v>84673</v>
      </c>
      <c r="IF241">
        <v>104149</v>
      </c>
      <c r="IG241">
        <v>33936</v>
      </c>
      <c r="IH241">
        <v>29123</v>
      </c>
      <c r="II241">
        <v>7596</v>
      </c>
      <c r="IJ241">
        <v>22101</v>
      </c>
      <c r="IK241">
        <v>19128</v>
      </c>
      <c r="IL241">
        <v>0</v>
      </c>
      <c r="IM241">
        <v>0</v>
      </c>
      <c r="IN241">
        <v>20987</v>
      </c>
      <c r="IO241">
        <v>5541</v>
      </c>
      <c r="IP241">
        <v>616856</v>
      </c>
      <c r="IQ241">
        <v>127737</v>
      </c>
      <c r="IR241">
        <v>60537</v>
      </c>
      <c r="IS241">
        <v>33580</v>
      </c>
      <c r="IT241">
        <v>0</v>
      </c>
      <c r="IU241">
        <v>0</v>
      </c>
      <c r="IV241">
        <v>0</v>
      </c>
      <c r="IW241">
        <v>0</v>
      </c>
      <c r="IX241">
        <v>14356</v>
      </c>
      <c r="IY241">
        <v>274</v>
      </c>
      <c r="IZ241">
        <v>257</v>
      </c>
      <c r="JA241">
        <v>-11139</v>
      </c>
      <c r="JB241">
        <v>4434</v>
      </c>
      <c r="JC241">
        <v>0</v>
      </c>
      <c r="JD241">
        <v>0</v>
      </c>
      <c r="JE241">
        <v>0</v>
      </c>
      <c r="JF241">
        <v>0</v>
      </c>
      <c r="JG241">
        <v>846892</v>
      </c>
      <c r="JH241">
        <v>189</v>
      </c>
      <c r="JI241">
        <v>580</v>
      </c>
      <c r="JJ241">
        <v>0</v>
      </c>
      <c r="JK241">
        <v>0</v>
      </c>
      <c r="JL241">
        <v>0</v>
      </c>
      <c r="JM241">
        <v>1795</v>
      </c>
      <c r="JN241">
        <v>15586</v>
      </c>
      <c r="JO241">
        <v>0</v>
      </c>
      <c r="JP241">
        <v>26176</v>
      </c>
      <c r="JQ241">
        <v>0</v>
      </c>
      <c r="JR241">
        <v>891218</v>
      </c>
      <c r="JS241">
        <v>-21877</v>
      </c>
      <c r="JT241">
        <v>0</v>
      </c>
      <c r="JU241">
        <v>0</v>
      </c>
      <c r="JV241">
        <v>0</v>
      </c>
      <c r="JW241">
        <v>-215086</v>
      </c>
      <c r="JX241">
        <v>0</v>
      </c>
      <c r="JY241">
        <v>-13208</v>
      </c>
      <c r="JZ241">
        <v>1</v>
      </c>
      <c r="KA241">
        <v>-29</v>
      </c>
      <c r="KB241">
        <v>-2906</v>
      </c>
      <c r="KC241">
        <v>638113</v>
      </c>
      <c r="KD241">
        <v>0</v>
      </c>
      <c r="KE241">
        <v>-388281</v>
      </c>
      <c r="KF241">
        <v>249832</v>
      </c>
      <c r="KG241">
        <v>0</v>
      </c>
      <c r="KH241">
        <v>-642</v>
      </c>
      <c r="KI241">
        <v>0</v>
      </c>
      <c r="KJ241">
        <v>164</v>
      </c>
      <c r="KK241">
        <v>16131</v>
      </c>
      <c r="KL241">
        <v>2784</v>
      </c>
      <c r="KM241">
        <v>-36990</v>
      </c>
      <c r="KN241">
        <v>0</v>
      </c>
      <c r="KO241">
        <v>-108794</v>
      </c>
      <c r="KP241">
        <v>532</v>
      </c>
      <c r="KQ241">
        <v>0</v>
      </c>
      <c r="KR241">
        <v>88665</v>
      </c>
      <c r="KS241">
        <v>29466</v>
      </c>
      <c r="KT241">
        <v>0</v>
      </c>
      <c r="KU241">
        <v>1508</v>
      </c>
      <c r="KV241">
        <v>201043</v>
      </c>
      <c r="KW241">
        <v>4295</v>
      </c>
      <c r="KX241">
        <v>28824</v>
      </c>
      <c r="KY241">
        <v>0</v>
      </c>
      <c r="KZ241">
        <v>1672</v>
      </c>
      <c r="LA241">
        <v>217174</v>
      </c>
      <c r="LB241">
        <v>7079</v>
      </c>
      <c r="LC241">
        <v>0</v>
      </c>
      <c r="LD241">
        <v>26953</v>
      </c>
      <c r="LE241">
        <v>0</v>
      </c>
      <c r="LF241">
        <v>0</v>
      </c>
      <c r="LG241">
        <v>-44139</v>
      </c>
      <c r="LH241">
        <v>3215</v>
      </c>
      <c r="LI241">
        <v>-8366</v>
      </c>
      <c r="LJ241">
        <v>7782</v>
      </c>
      <c r="LK241">
        <v>17403</v>
      </c>
      <c r="LL241">
        <v>25185</v>
      </c>
      <c r="LM241">
        <v>0</v>
      </c>
      <c r="LN241">
        <v>0</v>
      </c>
      <c r="LO241">
        <v>0</v>
      </c>
      <c r="LP241">
        <v>112655</v>
      </c>
      <c r="LQ241">
        <v>130041</v>
      </c>
      <c r="LR241">
        <v>-17386</v>
      </c>
      <c r="LS241">
        <v>72839</v>
      </c>
      <c r="LT241">
        <v>55453</v>
      </c>
      <c r="LU241">
        <v>297633</v>
      </c>
      <c r="LV241">
        <v>-8011</v>
      </c>
      <c r="LW241">
        <v>84673</v>
      </c>
      <c r="LX241">
        <v>104149</v>
      </c>
      <c r="LY241">
        <v>33936</v>
      </c>
      <c r="LZ241">
        <v>29123</v>
      </c>
      <c r="MA241">
        <v>7596</v>
      </c>
      <c r="MB241">
        <v>22101</v>
      </c>
      <c r="MC241">
        <v>19128</v>
      </c>
      <c r="MD241">
        <v>0</v>
      </c>
      <c r="ME241">
        <v>0</v>
      </c>
      <c r="MF241">
        <v>20987</v>
      </c>
      <c r="MG241">
        <v>5541</v>
      </c>
      <c r="MH241">
        <v>616856</v>
      </c>
      <c r="MI241">
        <v>0</v>
      </c>
      <c r="MJ241">
        <v>0</v>
      </c>
      <c r="MK241">
        <v>0</v>
      </c>
      <c r="ML241">
        <v>0</v>
      </c>
      <c r="MM241">
        <v>0</v>
      </c>
      <c r="MN241">
        <v>0</v>
      </c>
      <c r="MO241">
        <v>0</v>
      </c>
      <c r="MP241">
        <v>0</v>
      </c>
      <c r="MQ241">
        <v>0</v>
      </c>
      <c r="MR241">
        <v>0</v>
      </c>
      <c r="MS241">
        <v>0</v>
      </c>
      <c r="MT241">
        <v>0</v>
      </c>
      <c r="MU241">
        <v>0</v>
      </c>
      <c r="MV241">
        <v>134</v>
      </c>
      <c r="MW241">
        <v>0</v>
      </c>
      <c r="MX241">
        <v>0</v>
      </c>
      <c r="MY241">
        <v>-10815</v>
      </c>
      <c r="MZ241">
        <v>17</v>
      </c>
      <c r="NA241">
        <v>-11139</v>
      </c>
      <c r="NB241">
        <v>0</v>
      </c>
      <c r="NC241">
        <v>-11139</v>
      </c>
      <c r="ND241">
        <v>0</v>
      </c>
      <c r="NE241">
        <v>0</v>
      </c>
      <c r="NF241">
        <v>0</v>
      </c>
      <c r="NG241">
        <v>0</v>
      </c>
      <c r="NH241">
        <v>0</v>
      </c>
      <c r="NI241">
        <v>0</v>
      </c>
      <c r="NJ241">
        <v>0</v>
      </c>
      <c r="NK241">
        <v>0</v>
      </c>
      <c r="NL241">
        <v>0</v>
      </c>
      <c r="NM241">
        <v>556</v>
      </c>
      <c r="NN241">
        <v>1</v>
      </c>
      <c r="NO241">
        <v>365</v>
      </c>
      <c r="NP241">
        <v>0</v>
      </c>
      <c r="NQ241">
        <v>-201</v>
      </c>
      <c r="NR241">
        <v>3604</v>
      </c>
      <c r="NS241">
        <v>0</v>
      </c>
      <c r="NT241">
        <v>0</v>
      </c>
      <c r="NU241">
        <v>0</v>
      </c>
      <c r="NV241">
        <v>0</v>
      </c>
      <c r="NW241">
        <v>0</v>
      </c>
      <c r="NX241">
        <v>0</v>
      </c>
      <c r="NY241">
        <v>0</v>
      </c>
      <c r="NZ241">
        <v>4434</v>
      </c>
      <c r="OA241">
        <v>0</v>
      </c>
      <c r="OB241">
        <v>4434</v>
      </c>
      <c r="OC241">
        <v>0</v>
      </c>
      <c r="OD241">
        <v>0</v>
      </c>
      <c r="OE241">
        <v>0</v>
      </c>
      <c r="OF241">
        <v>0</v>
      </c>
      <c r="OG241">
        <v>0</v>
      </c>
      <c r="OH241">
        <v>0</v>
      </c>
      <c r="OI241">
        <v>0</v>
      </c>
      <c r="OJ241">
        <v>0</v>
      </c>
      <c r="OK241">
        <v>0</v>
      </c>
      <c r="OL241">
        <v>0</v>
      </c>
      <c r="OM241">
        <v>0</v>
      </c>
      <c r="ON241">
        <v>0</v>
      </c>
    </row>
    <row r="242" spans="1:404" x14ac:dyDescent="0.25">
      <c r="A242" t="s">
        <v>794</v>
      </c>
      <c r="B242" t="s">
        <v>795</v>
      </c>
      <c r="C242" t="s">
        <v>793</v>
      </c>
      <c r="E242" t="s">
        <v>1942</v>
      </c>
      <c r="F242">
        <v>40776</v>
      </c>
      <c r="G242">
        <v>179826</v>
      </c>
      <c r="H242">
        <v>11493</v>
      </c>
      <c r="I242">
        <v>82838</v>
      </c>
      <c r="J242">
        <v>4038</v>
      </c>
      <c r="K242">
        <v>83166</v>
      </c>
      <c r="L242">
        <v>402137</v>
      </c>
      <c r="M242">
        <v>-4659</v>
      </c>
      <c r="N242">
        <v>0</v>
      </c>
      <c r="O242">
        <v>398</v>
      </c>
      <c r="P242">
        <v>0</v>
      </c>
      <c r="Q242">
        <v>460</v>
      </c>
      <c r="R242">
        <v>1583</v>
      </c>
      <c r="S242">
        <v>6202</v>
      </c>
      <c r="T242">
        <v>3846</v>
      </c>
      <c r="U242">
        <v>9479</v>
      </c>
      <c r="V242">
        <v>0</v>
      </c>
      <c r="W242">
        <v>0</v>
      </c>
      <c r="X242">
        <v>242</v>
      </c>
      <c r="Y242">
        <v>212</v>
      </c>
      <c r="Z242">
        <v>137</v>
      </c>
      <c r="AA242">
        <v>-3</v>
      </c>
      <c r="AB242">
        <v>12721</v>
      </c>
      <c r="AC242">
        <v>0</v>
      </c>
      <c r="AD242">
        <v>10732</v>
      </c>
      <c r="AE242">
        <v>0</v>
      </c>
      <c r="AF242">
        <v>0</v>
      </c>
      <c r="AG242">
        <v>318</v>
      </c>
      <c r="AH242">
        <v>0</v>
      </c>
      <c r="AI242">
        <v>41668</v>
      </c>
      <c r="AJ242">
        <v>0</v>
      </c>
      <c r="AK242">
        <v>0</v>
      </c>
      <c r="AL242">
        <v>0</v>
      </c>
      <c r="AM242">
        <v>0</v>
      </c>
      <c r="AN242">
        <v>0</v>
      </c>
      <c r="AO242">
        <v>0</v>
      </c>
      <c r="AP242">
        <v>0</v>
      </c>
      <c r="AQ242">
        <v>2</v>
      </c>
      <c r="AR242">
        <v>0</v>
      </c>
      <c r="AS242">
        <v>0</v>
      </c>
      <c r="AT242">
        <v>0</v>
      </c>
      <c r="AU242">
        <v>0</v>
      </c>
      <c r="AV242">
        <v>5335</v>
      </c>
      <c r="AW242">
        <v>111718</v>
      </c>
      <c r="AX242">
        <v>659</v>
      </c>
      <c r="AY242">
        <v>23489</v>
      </c>
      <c r="AZ242">
        <v>1895</v>
      </c>
      <c r="BA242">
        <v>19872</v>
      </c>
      <c r="BB242">
        <v>0</v>
      </c>
      <c r="BC242">
        <v>2115</v>
      </c>
      <c r="BD242">
        <v>165083</v>
      </c>
      <c r="BE242">
        <v>23300</v>
      </c>
      <c r="BF242">
        <v>87613</v>
      </c>
      <c r="BG242">
        <v>1568</v>
      </c>
      <c r="BH242">
        <v>2590</v>
      </c>
      <c r="BI242">
        <v>1419</v>
      </c>
      <c r="BJ242">
        <v>14720</v>
      </c>
      <c r="BK242">
        <v>83618</v>
      </c>
      <c r="BL242">
        <v>15266</v>
      </c>
      <c r="BM242">
        <v>15769</v>
      </c>
      <c r="BN242">
        <v>10385</v>
      </c>
      <c r="BO242">
        <v>432</v>
      </c>
      <c r="BP242">
        <v>483</v>
      </c>
      <c r="BQ242">
        <v>6703</v>
      </c>
      <c r="BR242">
        <v>1518</v>
      </c>
      <c r="BS242">
        <v>1467</v>
      </c>
      <c r="BT242">
        <v>35343</v>
      </c>
      <c r="BU242">
        <v>3990</v>
      </c>
      <c r="BV242">
        <v>27947</v>
      </c>
      <c r="BW242">
        <v>333949</v>
      </c>
      <c r="BX242">
        <v>3849</v>
      </c>
      <c r="BY242">
        <v>2170</v>
      </c>
      <c r="BZ242">
        <v>580</v>
      </c>
      <c r="CA242">
        <v>352</v>
      </c>
      <c r="CB242">
        <v>102</v>
      </c>
      <c r="CC242">
        <v>379</v>
      </c>
      <c r="CD242">
        <v>187</v>
      </c>
      <c r="CE242">
        <v>489</v>
      </c>
      <c r="CF242">
        <v>197</v>
      </c>
      <c r="CG242">
        <v>78</v>
      </c>
      <c r="CH242">
        <v>197</v>
      </c>
      <c r="CI242">
        <v>2740</v>
      </c>
      <c r="CJ242">
        <v>2699</v>
      </c>
      <c r="CK242">
        <v>1597</v>
      </c>
      <c r="CL242">
        <v>1556</v>
      </c>
      <c r="CM242">
        <v>804</v>
      </c>
      <c r="CN242">
        <v>1287</v>
      </c>
      <c r="CO242">
        <v>88</v>
      </c>
      <c r="CP242">
        <v>3037</v>
      </c>
      <c r="CQ242">
        <v>11255</v>
      </c>
      <c r="CR242">
        <v>2315</v>
      </c>
      <c r="CS242">
        <v>449</v>
      </c>
      <c r="CT242">
        <v>398</v>
      </c>
      <c r="CU242">
        <v>2787</v>
      </c>
      <c r="CV242">
        <v>54312</v>
      </c>
      <c r="CW242">
        <v>0</v>
      </c>
      <c r="CX242">
        <v>0</v>
      </c>
      <c r="CY242">
        <v>0</v>
      </c>
      <c r="CZ242">
        <v>0</v>
      </c>
      <c r="DA242">
        <v>0</v>
      </c>
      <c r="DB242">
        <v>0</v>
      </c>
      <c r="DC242">
        <v>0</v>
      </c>
      <c r="DD242">
        <v>0</v>
      </c>
      <c r="DE242">
        <v>0</v>
      </c>
      <c r="DF242">
        <v>0</v>
      </c>
      <c r="DG242">
        <v>0</v>
      </c>
      <c r="DH242">
        <v>0</v>
      </c>
      <c r="DI242">
        <v>0</v>
      </c>
      <c r="DJ242">
        <v>0</v>
      </c>
      <c r="DK242">
        <v>0</v>
      </c>
      <c r="DL242">
        <v>0</v>
      </c>
      <c r="DM242">
        <v>0</v>
      </c>
      <c r="DN242">
        <v>0</v>
      </c>
      <c r="DO242">
        <v>0</v>
      </c>
      <c r="DP242">
        <v>0</v>
      </c>
      <c r="DQ242">
        <v>0</v>
      </c>
      <c r="DR242">
        <v>0</v>
      </c>
      <c r="DS242">
        <v>0</v>
      </c>
      <c r="DT242">
        <v>0</v>
      </c>
      <c r="DU242">
        <v>26</v>
      </c>
      <c r="DV242">
        <v>0</v>
      </c>
      <c r="DW242">
        <v>0</v>
      </c>
      <c r="DX242">
        <v>26</v>
      </c>
      <c r="DY242">
        <v>0</v>
      </c>
      <c r="DZ242">
        <v>0</v>
      </c>
      <c r="EA242">
        <v>0</v>
      </c>
      <c r="EB242">
        <v>0</v>
      </c>
      <c r="EC242">
        <v>0</v>
      </c>
      <c r="ED242">
        <v>0</v>
      </c>
      <c r="EE242">
        <v>0</v>
      </c>
      <c r="EF242">
        <v>0</v>
      </c>
      <c r="EG242">
        <v>0</v>
      </c>
      <c r="EH242">
        <v>0</v>
      </c>
      <c r="EI242">
        <v>0</v>
      </c>
      <c r="EJ242">
        <v>0</v>
      </c>
      <c r="EK242">
        <v>0</v>
      </c>
      <c r="EL242">
        <v>0</v>
      </c>
      <c r="EM242">
        <v>0</v>
      </c>
      <c r="EN242">
        <v>0</v>
      </c>
      <c r="EO242">
        <v>0</v>
      </c>
      <c r="EP242">
        <v>0</v>
      </c>
      <c r="EQ242">
        <v>0</v>
      </c>
      <c r="ER242">
        <v>0</v>
      </c>
      <c r="ES242">
        <v>0</v>
      </c>
      <c r="ET242">
        <v>0</v>
      </c>
      <c r="EU242">
        <v>495</v>
      </c>
      <c r="EV242">
        <v>194</v>
      </c>
      <c r="EW242">
        <v>240</v>
      </c>
      <c r="EX242">
        <v>6244</v>
      </c>
      <c r="EY242">
        <v>0</v>
      </c>
      <c r="EZ242">
        <v>0</v>
      </c>
      <c r="FA242">
        <v>0</v>
      </c>
      <c r="FB242">
        <v>-169</v>
      </c>
      <c r="FC242">
        <v>0</v>
      </c>
      <c r="FD242">
        <v>1804</v>
      </c>
      <c r="FE242">
        <v>0</v>
      </c>
      <c r="FF242">
        <v>445</v>
      </c>
      <c r="FG242">
        <v>6600</v>
      </c>
      <c r="FH242">
        <v>15854</v>
      </c>
      <c r="FI242">
        <v>0</v>
      </c>
      <c r="FJ242">
        <v>1699</v>
      </c>
      <c r="FK242">
        <v>0</v>
      </c>
      <c r="FL242">
        <v>0</v>
      </c>
      <c r="FM242">
        <v>0</v>
      </c>
      <c r="FN242">
        <v>0</v>
      </c>
      <c r="FO242">
        <v>0</v>
      </c>
      <c r="FP242">
        <v>0</v>
      </c>
      <c r="FQ242">
        <v>0</v>
      </c>
      <c r="FR242">
        <v>0</v>
      </c>
      <c r="FS242">
        <v>0</v>
      </c>
      <c r="FT242">
        <v>0</v>
      </c>
      <c r="FU242">
        <v>0</v>
      </c>
      <c r="FV242">
        <v>0</v>
      </c>
      <c r="FW242">
        <v>0</v>
      </c>
      <c r="FX242">
        <v>0</v>
      </c>
      <c r="FY242">
        <v>689</v>
      </c>
      <c r="FZ242">
        <v>0</v>
      </c>
      <c r="GA242">
        <v>0</v>
      </c>
      <c r="GB242">
        <v>0</v>
      </c>
      <c r="GC242">
        <v>-1203</v>
      </c>
      <c r="GD242">
        <v>0</v>
      </c>
      <c r="GE242">
        <v>329</v>
      </c>
      <c r="GF242">
        <v>34592</v>
      </c>
      <c r="GG242">
        <v>-669</v>
      </c>
      <c r="GH242">
        <v>11403</v>
      </c>
      <c r="GI242">
        <v>47</v>
      </c>
      <c r="GJ242">
        <v>0</v>
      </c>
      <c r="GK242">
        <v>46887</v>
      </c>
      <c r="GL242">
        <v>0</v>
      </c>
      <c r="GM242">
        <v>685</v>
      </c>
      <c r="GN242">
        <v>0</v>
      </c>
      <c r="GO242">
        <v>0</v>
      </c>
      <c r="GP242">
        <v>626</v>
      </c>
      <c r="GQ242">
        <v>6434</v>
      </c>
      <c r="GR242">
        <v>0</v>
      </c>
      <c r="GS242">
        <v>0</v>
      </c>
      <c r="GT242">
        <v>103</v>
      </c>
      <c r="GU242">
        <v>7848</v>
      </c>
      <c r="GV242">
        <v>70589</v>
      </c>
      <c r="GW242">
        <v>0</v>
      </c>
      <c r="GX242">
        <v>1441</v>
      </c>
      <c r="GY242">
        <v>27939</v>
      </c>
      <c r="GZ242">
        <v>1231</v>
      </c>
      <c r="HA242">
        <v>30612</v>
      </c>
      <c r="HB242">
        <v>3843</v>
      </c>
      <c r="HC242">
        <v>0</v>
      </c>
      <c r="HD242">
        <v>0</v>
      </c>
      <c r="HE242">
        <v>0</v>
      </c>
      <c r="HF242">
        <v>0</v>
      </c>
      <c r="HG242">
        <v>0</v>
      </c>
      <c r="HH242">
        <v>0</v>
      </c>
      <c r="HI242">
        <v>-753</v>
      </c>
      <c r="HJ242">
        <v>0</v>
      </c>
      <c r="HK242">
        <v>772</v>
      </c>
      <c r="HL242">
        <v>0</v>
      </c>
      <c r="HM242">
        <v>-225</v>
      </c>
      <c r="HN242">
        <v>10479</v>
      </c>
      <c r="HO242">
        <v>0</v>
      </c>
      <c r="HP242">
        <v>1913</v>
      </c>
      <c r="HQ242">
        <v>0</v>
      </c>
      <c r="HR242">
        <v>0</v>
      </c>
      <c r="HS242">
        <v>0</v>
      </c>
      <c r="HT242">
        <v>0</v>
      </c>
      <c r="HU242">
        <v>-258</v>
      </c>
      <c r="HV242">
        <v>15770</v>
      </c>
      <c r="HW242">
        <v>1292</v>
      </c>
      <c r="HX242">
        <v>25629</v>
      </c>
      <c r="HY242">
        <v>0</v>
      </c>
      <c r="HZ242">
        <v>7290</v>
      </c>
      <c r="IA242">
        <v>17180</v>
      </c>
      <c r="IB242">
        <v>23088</v>
      </c>
      <c r="IC242">
        <v>402137</v>
      </c>
      <c r="ID242">
        <v>41668</v>
      </c>
      <c r="IE242">
        <v>165083</v>
      </c>
      <c r="IF242">
        <v>333949</v>
      </c>
      <c r="IG242">
        <v>54312</v>
      </c>
      <c r="IH242">
        <v>26</v>
      </c>
      <c r="II242">
        <v>15854</v>
      </c>
      <c r="IJ242">
        <v>46887</v>
      </c>
      <c r="IK242">
        <v>7848</v>
      </c>
      <c r="IL242">
        <v>0</v>
      </c>
      <c r="IM242">
        <v>30612</v>
      </c>
      <c r="IN242">
        <v>15770</v>
      </c>
      <c r="IO242">
        <v>23088</v>
      </c>
      <c r="IP242">
        <v>1137234</v>
      </c>
      <c r="IQ242">
        <v>0</v>
      </c>
      <c r="IR242">
        <v>0</v>
      </c>
      <c r="IS242">
        <v>0</v>
      </c>
      <c r="IT242">
        <v>0</v>
      </c>
      <c r="IU242">
        <v>0</v>
      </c>
      <c r="IV242">
        <v>0</v>
      </c>
      <c r="IW242">
        <v>0</v>
      </c>
      <c r="IX242">
        <v>0</v>
      </c>
      <c r="IY242">
        <v>0</v>
      </c>
      <c r="IZ242">
        <v>629</v>
      </c>
      <c r="JA242">
        <v>0</v>
      </c>
      <c r="JB242">
        <v>-973</v>
      </c>
      <c r="JC242">
        <v>0</v>
      </c>
      <c r="JD242">
        <v>0</v>
      </c>
      <c r="JE242">
        <v>0</v>
      </c>
      <c r="JF242">
        <v>0</v>
      </c>
      <c r="JG242">
        <v>1136890</v>
      </c>
      <c r="JH242">
        <v>926</v>
      </c>
      <c r="JI242">
        <v>5948</v>
      </c>
      <c r="JJ242">
        <v>0</v>
      </c>
      <c r="JK242">
        <v>0</v>
      </c>
      <c r="JL242">
        <v>0</v>
      </c>
      <c r="JM242">
        <v>0</v>
      </c>
      <c r="JN242">
        <v>28446</v>
      </c>
      <c r="JO242">
        <v>22</v>
      </c>
      <c r="JP242">
        <v>31400</v>
      </c>
      <c r="JQ242">
        <v>0</v>
      </c>
      <c r="JR242">
        <v>1203632</v>
      </c>
      <c r="JS242">
        <v>-3811</v>
      </c>
      <c r="JT242">
        <v>0</v>
      </c>
      <c r="JU242">
        <v>49</v>
      </c>
      <c r="JV242">
        <v>0</v>
      </c>
      <c r="JW242">
        <v>-14191</v>
      </c>
      <c r="JX242">
        <v>0</v>
      </c>
      <c r="JY242">
        <v>0</v>
      </c>
      <c r="JZ242">
        <v>0</v>
      </c>
      <c r="KA242">
        <v>0</v>
      </c>
      <c r="KB242">
        <v>-22179</v>
      </c>
      <c r="KC242">
        <v>1163500</v>
      </c>
      <c r="KD242">
        <v>-1374</v>
      </c>
      <c r="KE242">
        <v>-527500</v>
      </c>
      <c r="KF242">
        <v>634625</v>
      </c>
      <c r="KG242">
        <v>0</v>
      </c>
      <c r="KH242">
        <v>820</v>
      </c>
      <c r="KI242">
        <v>0</v>
      </c>
      <c r="KJ242">
        <v>2071</v>
      </c>
      <c r="KK242">
        <v>33637</v>
      </c>
      <c r="KL242">
        <v>77</v>
      </c>
      <c r="KM242">
        <v>-39660</v>
      </c>
      <c r="KN242">
        <v>0</v>
      </c>
      <c r="KO242">
        <v>-156820</v>
      </c>
      <c r="KP242">
        <v>3767</v>
      </c>
      <c r="KQ242">
        <v>0</v>
      </c>
      <c r="KR242">
        <v>442861</v>
      </c>
      <c r="KS242">
        <v>17018</v>
      </c>
      <c r="KT242">
        <v>0</v>
      </c>
      <c r="KU242">
        <v>4170</v>
      </c>
      <c r="KV242">
        <v>123446</v>
      </c>
      <c r="KW242">
        <v>23762</v>
      </c>
      <c r="KX242">
        <v>17838</v>
      </c>
      <c r="KY242">
        <v>0</v>
      </c>
      <c r="KZ242">
        <v>6241</v>
      </c>
      <c r="LA242">
        <v>157083</v>
      </c>
      <c r="LB242">
        <v>23839</v>
      </c>
      <c r="LC242">
        <v>0</v>
      </c>
      <c r="LD242">
        <v>58581</v>
      </c>
      <c r="LE242">
        <v>45759</v>
      </c>
      <c r="LF242">
        <v>1868</v>
      </c>
      <c r="LG242">
        <v>0</v>
      </c>
      <c r="LH242">
        <v>55773</v>
      </c>
      <c r="LI242">
        <v>161981</v>
      </c>
      <c r="LJ242">
        <v>0</v>
      </c>
      <c r="LK242">
        <v>0</v>
      </c>
      <c r="LL242">
        <v>0</v>
      </c>
      <c r="LM242">
        <v>0</v>
      </c>
      <c r="LN242">
        <v>0</v>
      </c>
      <c r="LO242">
        <v>0</v>
      </c>
      <c r="LP242">
        <v>0</v>
      </c>
      <c r="LQ242">
        <v>0</v>
      </c>
      <c r="LR242">
        <v>0</v>
      </c>
      <c r="LS242">
        <v>0</v>
      </c>
      <c r="LT242">
        <v>0</v>
      </c>
      <c r="LU242">
        <v>402137</v>
      </c>
      <c r="LV242">
        <v>41668</v>
      </c>
      <c r="LW242">
        <v>165083</v>
      </c>
      <c r="LX242">
        <v>333949</v>
      </c>
      <c r="LY242">
        <v>54312</v>
      </c>
      <c r="LZ242">
        <v>26</v>
      </c>
      <c r="MA242">
        <v>15854</v>
      </c>
      <c r="MB242">
        <v>46887</v>
      </c>
      <c r="MC242">
        <v>7848</v>
      </c>
      <c r="MD242">
        <v>0</v>
      </c>
      <c r="ME242">
        <v>30612</v>
      </c>
      <c r="MF242">
        <v>15770</v>
      </c>
      <c r="MG242">
        <v>23088</v>
      </c>
      <c r="MH242">
        <v>1137234</v>
      </c>
      <c r="MI242">
        <v>0</v>
      </c>
      <c r="MJ242">
        <v>0</v>
      </c>
      <c r="MK242">
        <v>0</v>
      </c>
      <c r="ML242">
        <v>0</v>
      </c>
      <c r="MM242">
        <v>0</v>
      </c>
      <c r="MN242">
        <v>0</v>
      </c>
      <c r="MO242">
        <v>0</v>
      </c>
      <c r="MP242">
        <v>0</v>
      </c>
      <c r="MQ242">
        <v>0</v>
      </c>
      <c r="MR242">
        <v>0</v>
      </c>
      <c r="MS242">
        <v>0</v>
      </c>
      <c r="MT242">
        <v>0</v>
      </c>
      <c r="MU242">
        <v>0</v>
      </c>
      <c r="MV242">
        <v>0</v>
      </c>
      <c r="MW242">
        <v>0</v>
      </c>
      <c r="MX242">
        <v>0</v>
      </c>
      <c r="MY242">
        <v>0</v>
      </c>
      <c r="MZ242">
        <v>0</v>
      </c>
      <c r="NA242">
        <v>0</v>
      </c>
      <c r="NB242">
        <v>0</v>
      </c>
      <c r="NC242">
        <v>0</v>
      </c>
      <c r="ND242">
        <v>0</v>
      </c>
      <c r="NE242">
        <v>0</v>
      </c>
      <c r="NF242">
        <v>0</v>
      </c>
      <c r="NG242">
        <v>0</v>
      </c>
      <c r="NH242">
        <v>0</v>
      </c>
      <c r="NI242">
        <v>0</v>
      </c>
      <c r="NJ242">
        <v>0</v>
      </c>
      <c r="NK242">
        <v>0</v>
      </c>
      <c r="NL242">
        <v>0</v>
      </c>
      <c r="NM242">
        <v>0</v>
      </c>
      <c r="NN242">
        <v>0</v>
      </c>
      <c r="NO242">
        <v>0</v>
      </c>
      <c r="NP242">
        <v>0</v>
      </c>
      <c r="NQ242">
        <v>0</v>
      </c>
      <c r="NR242">
        <v>0</v>
      </c>
      <c r="NS242">
        <v>0</v>
      </c>
      <c r="NT242">
        <v>0</v>
      </c>
      <c r="NU242">
        <v>0</v>
      </c>
      <c r="NV242">
        <v>0</v>
      </c>
      <c r="NW242">
        <v>0</v>
      </c>
      <c r="NX242">
        <v>-918</v>
      </c>
      <c r="NY242">
        <v>-55</v>
      </c>
      <c r="NZ242">
        <v>-973</v>
      </c>
      <c r="OA242">
        <v>0</v>
      </c>
      <c r="OB242">
        <v>-973</v>
      </c>
      <c r="OC242">
        <v>0</v>
      </c>
      <c r="OD242">
        <v>0</v>
      </c>
      <c r="OE242">
        <v>0</v>
      </c>
      <c r="OF242">
        <v>0</v>
      </c>
      <c r="OG242">
        <v>0</v>
      </c>
      <c r="OH242">
        <v>0</v>
      </c>
      <c r="OI242">
        <v>0</v>
      </c>
      <c r="OJ242">
        <v>0</v>
      </c>
      <c r="OK242">
        <v>0</v>
      </c>
      <c r="OL242">
        <v>0</v>
      </c>
      <c r="OM242">
        <v>0</v>
      </c>
      <c r="ON242">
        <v>0</v>
      </c>
    </row>
    <row r="243" spans="1:404" x14ac:dyDescent="0.25">
      <c r="A243" t="s">
        <v>797</v>
      </c>
      <c r="B243" t="s">
        <v>798</v>
      </c>
      <c r="C243" t="s">
        <v>796</v>
      </c>
      <c r="E243" t="s">
        <v>71</v>
      </c>
      <c r="F243">
        <v>0</v>
      </c>
      <c r="G243">
        <v>0</v>
      </c>
      <c r="H243">
        <v>0</v>
      </c>
      <c r="I243">
        <v>0</v>
      </c>
      <c r="J243">
        <v>0</v>
      </c>
      <c r="K243">
        <v>0</v>
      </c>
      <c r="L243">
        <v>0</v>
      </c>
      <c r="M243">
        <v>0</v>
      </c>
      <c r="N243">
        <v>0</v>
      </c>
      <c r="O243">
        <v>0</v>
      </c>
      <c r="P243">
        <v>0</v>
      </c>
      <c r="Q243">
        <v>0</v>
      </c>
      <c r="R243">
        <v>0</v>
      </c>
      <c r="S243">
        <v>0</v>
      </c>
      <c r="T243">
        <v>0</v>
      </c>
      <c r="U243">
        <v>0</v>
      </c>
      <c r="V243">
        <v>0</v>
      </c>
      <c r="W243">
        <v>0</v>
      </c>
      <c r="X243">
        <v>0</v>
      </c>
      <c r="Y243">
        <v>0</v>
      </c>
      <c r="Z243">
        <v>0</v>
      </c>
      <c r="AA243">
        <v>0</v>
      </c>
      <c r="AB243">
        <v>0</v>
      </c>
      <c r="AC243">
        <v>0</v>
      </c>
      <c r="AD243">
        <v>0</v>
      </c>
      <c r="AE243">
        <v>0</v>
      </c>
      <c r="AF243">
        <v>0</v>
      </c>
      <c r="AG243">
        <v>0</v>
      </c>
      <c r="AH243">
        <v>0</v>
      </c>
      <c r="AI243">
        <v>0</v>
      </c>
      <c r="AJ243">
        <v>0</v>
      </c>
      <c r="AK243">
        <v>0</v>
      </c>
      <c r="AL243">
        <v>0</v>
      </c>
      <c r="AM243">
        <v>0</v>
      </c>
      <c r="AN243">
        <v>0</v>
      </c>
      <c r="AO243">
        <v>0</v>
      </c>
      <c r="AP243">
        <v>0</v>
      </c>
      <c r="AQ243">
        <v>0</v>
      </c>
      <c r="AR243">
        <v>0</v>
      </c>
      <c r="AS243">
        <v>0</v>
      </c>
      <c r="AT243">
        <v>0</v>
      </c>
      <c r="AU243">
        <v>0</v>
      </c>
      <c r="AV243">
        <v>0</v>
      </c>
      <c r="AW243">
        <v>0</v>
      </c>
      <c r="AX243">
        <v>0</v>
      </c>
      <c r="AY243">
        <v>0</v>
      </c>
      <c r="AZ243">
        <v>0</v>
      </c>
      <c r="BA243">
        <v>0</v>
      </c>
      <c r="BB243">
        <v>0</v>
      </c>
      <c r="BC243">
        <v>0</v>
      </c>
      <c r="BD243">
        <v>0</v>
      </c>
      <c r="BE243">
        <v>0</v>
      </c>
      <c r="BF243">
        <v>0</v>
      </c>
      <c r="BG243">
        <v>0</v>
      </c>
      <c r="BH243">
        <v>0</v>
      </c>
      <c r="BI243">
        <v>0</v>
      </c>
      <c r="BJ243">
        <v>0</v>
      </c>
      <c r="BK243">
        <v>0</v>
      </c>
      <c r="BL243">
        <v>0</v>
      </c>
      <c r="BM243">
        <v>0</v>
      </c>
      <c r="BN243">
        <v>0</v>
      </c>
      <c r="BO243">
        <v>0</v>
      </c>
      <c r="BP243">
        <v>0</v>
      </c>
      <c r="BQ243">
        <v>0</v>
      </c>
      <c r="BR243">
        <v>0</v>
      </c>
      <c r="BS243">
        <v>0</v>
      </c>
      <c r="BT243">
        <v>0</v>
      </c>
      <c r="BU243">
        <v>0</v>
      </c>
      <c r="BV243">
        <v>0</v>
      </c>
      <c r="BW243">
        <v>0</v>
      </c>
      <c r="BX243">
        <v>0</v>
      </c>
      <c r="BY243">
        <v>0</v>
      </c>
      <c r="BZ243">
        <v>0</v>
      </c>
      <c r="CA243">
        <v>0</v>
      </c>
      <c r="CB243">
        <v>0</v>
      </c>
      <c r="CC243">
        <v>0</v>
      </c>
      <c r="CD243">
        <v>0</v>
      </c>
      <c r="CE243">
        <v>0</v>
      </c>
      <c r="CF243">
        <v>0</v>
      </c>
      <c r="CG243">
        <v>0</v>
      </c>
      <c r="CH243">
        <v>0</v>
      </c>
      <c r="CI243">
        <v>0</v>
      </c>
      <c r="CJ243">
        <v>0</v>
      </c>
      <c r="CK243">
        <v>0</v>
      </c>
      <c r="CL243">
        <v>0</v>
      </c>
      <c r="CM243">
        <v>0</v>
      </c>
      <c r="CN243">
        <v>0</v>
      </c>
      <c r="CO243">
        <v>0</v>
      </c>
      <c r="CP243">
        <v>0</v>
      </c>
      <c r="CQ243">
        <v>0</v>
      </c>
      <c r="CR243">
        <v>0</v>
      </c>
      <c r="CS243">
        <v>0</v>
      </c>
      <c r="CT243">
        <v>0</v>
      </c>
      <c r="CU243">
        <v>0</v>
      </c>
      <c r="CV243">
        <v>0</v>
      </c>
      <c r="CW243">
        <v>0</v>
      </c>
      <c r="CX243">
        <v>0</v>
      </c>
      <c r="CY243">
        <v>0</v>
      </c>
      <c r="CZ243">
        <v>0</v>
      </c>
      <c r="DA243">
        <v>0</v>
      </c>
      <c r="DB243">
        <v>0</v>
      </c>
      <c r="DC243">
        <v>0</v>
      </c>
      <c r="DD243">
        <v>0</v>
      </c>
      <c r="DE243">
        <v>0</v>
      </c>
      <c r="DF243">
        <v>0</v>
      </c>
      <c r="DG243">
        <v>0</v>
      </c>
      <c r="DH243">
        <v>0</v>
      </c>
      <c r="DI243">
        <v>0</v>
      </c>
      <c r="DJ243">
        <v>0</v>
      </c>
      <c r="DK243">
        <v>0</v>
      </c>
      <c r="DL243">
        <v>0</v>
      </c>
      <c r="DM243">
        <v>0</v>
      </c>
      <c r="DN243">
        <v>0</v>
      </c>
      <c r="DO243">
        <v>0</v>
      </c>
      <c r="DP243">
        <v>0</v>
      </c>
      <c r="DQ243">
        <v>0</v>
      </c>
      <c r="DR243">
        <v>0</v>
      </c>
      <c r="DS243">
        <v>0</v>
      </c>
      <c r="DT243">
        <v>0</v>
      </c>
      <c r="DU243">
        <v>0</v>
      </c>
      <c r="DV243">
        <v>0</v>
      </c>
      <c r="DW243">
        <v>0</v>
      </c>
      <c r="DX243">
        <v>0</v>
      </c>
      <c r="DY243">
        <v>0</v>
      </c>
      <c r="DZ243">
        <v>0</v>
      </c>
      <c r="EA243">
        <v>0</v>
      </c>
      <c r="EB243">
        <v>0</v>
      </c>
      <c r="EC243">
        <v>0</v>
      </c>
      <c r="ED243">
        <v>0</v>
      </c>
      <c r="EE243">
        <v>0</v>
      </c>
      <c r="EF243">
        <v>0</v>
      </c>
      <c r="EG243">
        <v>0</v>
      </c>
      <c r="EH243">
        <v>0</v>
      </c>
      <c r="EI243">
        <v>0</v>
      </c>
      <c r="EJ243">
        <v>0</v>
      </c>
      <c r="EK243">
        <v>0</v>
      </c>
      <c r="EL243">
        <v>0</v>
      </c>
      <c r="EM243">
        <v>0</v>
      </c>
      <c r="EN243">
        <v>0</v>
      </c>
      <c r="EO243">
        <v>0</v>
      </c>
      <c r="EP243">
        <v>0</v>
      </c>
      <c r="EQ243">
        <v>0</v>
      </c>
      <c r="ER243">
        <v>0</v>
      </c>
      <c r="ES243">
        <v>0</v>
      </c>
      <c r="ET243">
        <v>0</v>
      </c>
      <c r="EU243">
        <v>0</v>
      </c>
      <c r="EV243">
        <v>0</v>
      </c>
      <c r="EW243">
        <v>0</v>
      </c>
      <c r="EX243">
        <v>0</v>
      </c>
      <c r="EY243">
        <v>0</v>
      </c>
      <c r="EZ243">
        <v>0</v>
      </c>
      <c r="FA243">
        <v>0</v>
      </c>
      <c r="FB243">
        <v>0</v>
      </c>
      <c r="FC243">
        <v>0</v>
      </c>
      <c r="FD243">
        <v>0</v>
      </c>
      <c r="FE243">
        <v>0</v>
      </c>
      <c r="FF243">
        <v>0</v>
      </c>
      <c r="FG243">
        <v>0</v>
      </c>
      <c r="FH243">
        <v>0</v>
      </c>
      <c r="FI243">
        <v>0</v>
      </c>
      <c r="FJ243">
        <v>0</v>
      </c>
      <c r="FK243">
        <v>0</v>
      </c>
      <c r="FL243">
        <v>0</v>
      </c>
      <c r="FM243">
        <v>0</v>
      </c>
      <c r="FN243">
        <v>0</v>
      </c>
      <c r="FO243">
        <v>0</v>
      </c>
      <c r="FP243">
        <v>0</v>
      </c>
      <c r="FQ243">
        <v>0</v>
      </c>
      <c r="FR243">
        <v>0</v>
      </c>
      <c r="FS243">
        <v>0</v>
      </c>
      <c r="FT243">
        <v>0</v>
      </c>
      <c r="FU243">
        <v>0</v>
      </c>
      <c r="FV243">
        <v>0</v>
      </c>
      <c r="FW243">
        <v>0</v>
      </c>
      <c r="FX243">
        <v>0</v>
      </c>
      <c r="FY243">
        <v>0</v>
      </c>
      <c r="FZ243">
        <v>0</v>
      </c>
      <c r="GA243">
        <v>0</v>
      </c>
      <c r="GB243">
        <v>0</v>
      </c>
      <c r="GC243">
        <v>0</v>
      </c>
      <c r="GD243">
        <v>0</v>
      </c>
      <c r="GE243">
        <v>0</v>
      </c>
      <c r="GF243">
        <v>0</v>
      </c>
      <c r="GG243">
        <v>0</v>
      </c>
      <c r="GH243">
        <v>0</v>
      </c>
      <c r="GI243">
        <v>0</v>
      </c>
      <c r="GJ243">
        <v>0</v>
      </c>
      <c r="GK243">
        <v>0</v>
      </c>
      <c r="GL243">
        <v>0</v>
      </c>
      <c r="GM243">
        <v>0</v>
      </c>
      <c r="GN243">
        <v>0</v>
      </c>
      <c r="GO243">
        <v>0</v>
      </c>
      <c r="GP243">
        <v>0</v>
      </c>
      <c r="GQ243">
        <v>0</v>
      </c>
      <c r="GR243">
        <v>0</v>
      </c>
      <c r="GS243">
        <v>0</v>
      </c>
      <c r="GT243">
        <v>0</v>
      </c>
      <c r="GU243">
        <v>0</v>
      </c>
      <c r="GV243">
        <v>0</v>
      </c>
      <c r="GW243">
        <v>193899</v>
      </c>
      <c r="GX243">
        <v>0</v>
      </c>
      <c r="GY243">
        <v>0</v>
      </c>
      <c r="GZ243">
        <v>0</v>
      </c>
      <c r="HA243">
        <v>0</v>
      </c>
      <c r="HB243">
        <v>0</v>
      </c>
      <c r="HC243">
        <v>0</v>
      </c>
      <c r="HD243">
        <v>0</v>
      </c>
      <c r="HE243">
        <v>0</v>
      </c>
      <c r="HF243">
        <v>0</v>
      </c>
      <c r="HG243">
        <v>0</v>
      </c>
      <c r="HH243">
        <v>0</v>
      </c>
      <c r="HI243">
        <v>0</v>
      </c>
      <c r="HJ243">
        <v>0</v>
      </c>
      <c r="HK243">
        <v>0</v>
      </c>
      <c r="HL243">
        <v>0</v>
      </c>
      <c r="HM243">
        <v>0</v>
      </c>
      <c r="HN243">
        <v>0</v>
      </c>
      <c r="HO243">
        <v>0</v>
      </c>
      <c r="HP243">
        <v>0</v>
      </c>
      <c r="HQ243">
        <v>0</v>
      </c>
      <c r="HR243">
        <v>0</v>
      </c>
      <c r="HS243">
        <v>0</v>
      </c>
      <c r="HT243">
        <v>0</v>
      </c>
      <c r="HU243">
        <v>0</v>
      </c>
      <c r="HV243">
        <v>0</v>
      </c>
      <c r="HW243">
        <v>0</v>
      </c>
      <c r="HX243">
        <v>0</v>
      </c>
      <c r="HY243">
        <v>0</v>
      </c>
      <c r="HZ243">
        <v>0</v>
      </c>
      <c r="IA243">
        <v>0</v>
      </c>
      <c r="IB243">
        <v>0</v>
      </c>
      <c r="IC243">
        <v>0</v>
      </c>
      <c r="ID243">
        <v>0</v>
      </c>
      <c r="IE243">
        <v>0</v>
      </c>
      <c r="IF243">
        <v>0</v>
      </c>
      <c r="IG243">
        <v>0</v>
      </c>
      <c r="IH243">
        <v>0</v>
      </c>
      <c r="II243">
        <v>0</v>
      </c>
      <c r="IJ243">
        <v>0</v>
      </c>
      <c r="IK243">
        <v>0</v>
      </c>
      <c r="IL243">
        <v>193899</v>
      </c>
      <c r="IM243">
        <v>0</v>
      </c>
      <c r="IN243">
        <v>0</v>
      </c>
      <c r="IO243">
        <v>0</v>
      </c>
      <c r="IP243">
        <v>193899</v>
      </c>
      <c r="IQ243">
        <v>0</v>
      </c>
      <c r="IR243">
        <v>0</v>
      </c>
      <c r="IS243">
        <v>0</v>
      </c>
      <c r="IT243">
        <v>0</v>
      </c>
      <c r="IU243">
        <v>0</v>
      </c>
      <c r="IV243">
        <v>0</v>
      </c>
      <c r="IW243">
        <v>0</v>
      </c>
      <c r="IX243">
        <v>0</v>
      </c>
      <c r="IY243">
        <v>0</v>
      </c>
      <c r="IZ243">
        <v>0</v>
      </c>
      <c r="JA243">
        <v>0</v>
      </c>
      <c r="JB243">
        <v>0</v>
      </c>
      <c r="JC243">
        <v>0</v>
      </c>
      <c r="JD243">
        <v>0</v>
      </c>
      <c r="JE243">
        <v>16</v>
      </c>
      <c r="JF243">
        <v>0</v>
      </c>
      <c r="JG243">
        <v>193915</v>
      </c>
      <c r="JH243">
        <v>0</v>
      </c>
      <c r="JI243">
        <v>4742</v>
      </c>
      <c r="JJ243">
        <v>0</v>
      </c>
      <c r="JK243">
        <v>0</v>
      </c>
      <c r="JL243">
        <v>0</v>
      </c>
      <c r="JM243">
        <v>0</v>
      </c>
      <c r="JN243">
        <v>2236</v>
      </c>
      <c r="JO243">
        <v>0</v>
      </c>
      <c r="JP243">
        <v>6482</v>
      </c>
      <c r="JQ243">
        <v>0</v>
      </c>
      <c r="JR243">
        <v>207375</v>
      </c>
      <c r="JS243">
        <v>-45</v>
      </c>
      <c r="JT243">
        <v>242</v>
      </c>
      <c r="JU243">
        <v>0</v>
      </c>
      <c r="JV243">
        <v>0</v>
      </c>
      <c r="JW243">
        <v>0</v>
      </c>
      <c r="JX243">
        <v>0</v>
      </c>
      <c r="JY243">
        <v>0</v>
      </c>
      <c r="JZ243">
        <v>0</v>
      </c>
      <c r="KA243">
        <v>0</v>
      </c>
      <c r="KB243">
        <v>0</v>
      </c>
      <c r="KC243">
        <v>207572</v>
      </c>
      <c r="KD243">
        <v>0</v>
      </c>
      <c r="KE243">
        <v>-24554</v>
      </c>
      <c r="KF243">
        <v>183018</v>
      </c>
      <c r="KG243">
        <v>0</v>
      </c>
      <c r="KH243">
        <v>0</v>
      </c>
      <c r="KI243">
        <v>0</v>
      </c>
      <c r="KJ243">
        <v>0</v>
      </c>
      <c r="KK243">
        <v>1271</v>
      </c>
      <c r="KL243">
        <v>100</v>
      </c>
      <c r="KM243">
        <v>0</v>
      </c>
      <c r="KN243">
        <v>-100168</v>
      </c>
      <c r="KO243">
        <v>0</v>
      </c>
      <c r="KP243">
        <v>700</v>
      </c>
      <c r="KQ243">
        <v>63</v>
      </c>
      <c r="KR243">
        <v>83588</v>
      </c>
      <c r="KS243">
        <v>0</v>
      </c>
      <c r="KT243">
        <v>0</v>
      </c>
      <c r="KU243">
        <v>0</v>
      </c>
      <c r="KV243">
        <v>16612</v>
      </c>
      <c r="KW243">
        <v>4475</v>
      </c>
      <c r="KX243">
        <v>0</v>
      </c>
      <c r="KY243">
        <v>0</v>
      </c>
      <c r="KZ243">
        <v>0</v>
      </c>
      <c r="LA243">
        <v>17883</v>
      </c>
      <c r="LB243">
        <v>4575</v>
      </c>
      <c r="LC243">
        <v>0</v>
      </c>
      <c r="LD243">
        <v>8048</v>
      </c>
      <c r="LE243">
        <v>0</v>
      </c>
      <c r="LF243">
        <v>519</v>
      </c>
      <c r="LG243">
        <v>0</v>
      </c>
      <c r="LH243">
        <v>0</v>
      </c>
      <c r="LI243">
        <v>8567</v>
      </c>
      <c r="LJ243">
        <v>0</v>
      </c>
      <c r="LK243">
        <v>0</v>
      </c>
      <c r="LL243">
        <v>0</v>
      </c>
      <c r="LM243">
        <v>0</v>
      </c>
      <c r="LN243">
        <v>0</v>
      </c>
      <c r="LO243">
        <v>0</v>
      </c>
      <c r="LP243">
        <v>0</v>
      </c>
      <c r="LQ243">
        <v>0</v>
      </c>
      <c r="LR243">
        <v>0</v>
      </c>
      <c r="LS243">
        <v>0</v>
      </c>
      <c r="LT243">
        <v>0</v>
      </c>
      <c r="LU243">
        <v>0</v>
      </c>
      <c r="LV243">
        <v>0</v>
      </c>
      <c r="LW243">
        <v>0</v>
      </c>
      <c r="LX243">
        <v>0</v>
      </c>
      <c r="LY243">
        <v>0</v>
      </c>
      <c r="LZ243">
        <v>0</v>
      </c>
      <c r="MA243">
        <v>0</v>
      </c>
      <c r="MB243">
        <v>0</v>
      </c>
      <c r="MC243">
        <v>0</v>
      </c>
      <c r="MD243">
        <v>193899</v>
      </c>
      <c r="ME243">
        <v>0</v>
      </c>
      <c r="MF243">
        <v>0</v>
      </c>
      <c r="MG243">
        <v>0</v>
      </c>
      <c r="MH243">
        <v>193899</v>
      </c>
      <c r="MI243">
        <v>0</v>
      </c>
      <c r="MJ243">
        <v>0</v>
      </c>
      <c r="MK243">
        <v>0</v>
      </c>
      <c r="ML243">
        <v>0</v>
      </c>
      <c r="MM243">
        <v>0</v>
      </c>
      <c r="MN243">
        <v>0</v>
      </c>
      <c r="MO243">
        <v>0</v>
      </c>
      <c r="MP243">
        <v>0</v>
      </c>
      <c r="MQ243">
        <v>0</v>
      </c>
      <c r="MR243">
        <v>0</v>
      </c>
      <c r="MS243">
        <v>0</v>
      </c>
      <c r="MT243">
        <v>0</v>
      </c>
      <c r="MU243">
        <v>0</v>
      </c>
      <c r="MV243">
        <v>0</v>
      </c>
      <c r="MW243">
        <v>0</v>
      </c>
      <c r="MX243">
        <v>0</v>
      </c>
      <c r="MY243">
        <v>0</v>
      </c>
      <c r="MZ243">
        <v>0</v>
      </c>
      <c r="NA243">
        <v>0</v>
      </c>
      <c r="NB243">
        <v>0</v>
      </c>
      <c r="NC243">
        <v>0</v>
      </c>
      <c r="ND243">
        <v>0</v>
      </c>
      <c r="NE243">
        <v>0</v>
      </c>
      <c r="NF243">
        <v>0</v>
      </c>
      <c r="NG243">
        <v>0</v>
      </c>
      <c r="NH243">
        <v>0</v>
      </c>
      <c r="NI243">
        <v>0</v>
      </c>
      <c r="NJ243">
        <v>0</v>
      </c>
      <c r="NK243">
        <v>0</v>
      </c>
      <c r="NL243">
        <v>0</v>
      </c>
      <c r="NM243">
        <v>0</v>
      </c>
      <c r="NN243">
        <v>0</v>
      </c>
      <c r="NO243">
        <v>0</v>
      </c>
      <c r="NP243">
        <v>0</v>
      </c>
      <c r="NQ243">
        <v>0</v>
      </c>
      <c r="NR243">
        <v>0</v>
      </c>
      <c r="NS243">
        <v>0</v>
      </c>
      <c r="NT243">
        <v>0</v>
      </c>
      <c r="NU243">
        <v>0</v>
      </c>
      <c r="NV243">
        <v>0</v>
      </c>
      <c r="NW243">
        <v>0</v>
      </c>
      <c r="NX243">
        <v>0</v>
      </c>
      <c r="NY243">
        <v>0</v>
      </c>
      <c r="NZ243">
        <v>0</v>
      </c>
      <c r="OA243">
        <v>0</v>
      </c>
      <c r="OB243">
        <v>0</v>
      </c>
      <c r="OC243">
        <v>0</v>
      </c>
      <c r="OD243">
        <v>0</v>
      </c>
      <c r="OE243">
        <v>0</v>
      </c>
      <c r="OF243">
        <v>0</v>
      </c>
      <c r="OG243">
        <v>0</v>
      </c>
      <c r="OH243">
        <v>0</v>
      </c>
      <c r="OI243">
        <v>0</v>
      </c>
      <c r="OJ243">
        <v>0</v>
      </c>
      <c r="OK243">
        <v>0</v>
      </c>
      <c r="OL243">
        <v>0</v>
      </c>
      <c r="OM243">
        <v>0</v>
      </c>
      <c r="ON243">
        <v>0</v>
      </c>
    </row>
    <row r="244" spans="1:404" x14ac:dyDescent="0.25">
      <c r="A244" t="s">
        <v>800</v>
      </c>
      <c r="B244" t="s">
        <v>801</v>
      </c>
      <c r="C244" t="s">
        <v>799</v>
      </c>
      <c r="E244" t="s">
        <v>61</v>
      </c>
      <c r="F244">
        <v>0</v>
      </c>
      <c r="G244">
        <v>0</v>
      </c>
      <c r="H244">
        <v>0</v>
      </c>
      <c r="I244">
        <v>0</v>
      </c>
      <c r="J244">
        <v>0</v>
      </c>
      <c r="K244">
        <v>0</v>
      </c>
      <c r="L244">
        <v>0</v>
      </c>
      <c r="M244">
        <v>0</v>
      </c>
      <c r="N244">
        <v>0</v>
      </c>
      <c r="O244">
        <v>0</v>
      </c>
      <c r="P244">
        <v>0</v>
      </c>
      <c r="Q244">
        <v>0</v>
      </c>
      <c r="R244">
        <v>0</v>
      </c>
      <c r="S244">
        <v>55</v>
      </c>
      <c r="T244">
        <v>0</v>
      </c>
      <c r="U244">
        <v>0</v>
      </c>
      <c r="V244">
        <v>0</v>
      </c>
      <c r="W244">
        <v>0</v>
      </c>
      <c r="X244">
        <v>0</v>
      </c>
      <c r="Y244">
        <v>0</v>
      </c>
      <c r="Z244">
        <v>0</v>
      </c>
      <c r="AA244">
        <v>-1835</v>
      </c>
      <c r="AB244">
        <v>0</v>
      </c>
      <c r="AC244">
        <v>0</v>
      </c>
      <c r="AD244">
        <v>0</v>
      </c>
      <c r="AE244">
        <v>0</v>
      </c>
      <c r="AF244">
        <v>0</v>
      </c>
      <c r="AG244">
        <v>4</v>
      </c>
      <c r="AH244">
        <v>0</v>
      </c>
      <c r="AI244">
        <v>-1776</v>
      </c>
      <c r="AJ244">
        <v>0</v>
      </c>
      <c r="AK244">
        <v>0</v>
      </c>
      <c r="AL244">
        <v>0</v>
      </c>
      <c r="AM244">
        <v>0</v>
      </c>
      <c r="AN244">
        <v>0</v>
      </c>
      <c r="AO244">
        <v>0</v>
      </c>
      <c r="AP244">
        <v>0</v>
      </c>
      <c r="AQ244">
        <v>0</v>
      </c>
      <c r="AR244">
        <v>0</v>
      </c>
      <c r="AS244">
        <v>0</v>
      </c>
      <c r="AT244">
        <v>0</v>
      </c>
      <c r="AU244">
        <v>0</v>
      </c>
      <c r="AV244">
        <v>0</v>
      </c>
      <c r="AW244">
        <v>0</v>
      </c>
      <c r="AX244">
        <v>0</v>
      </c>
      <c r="AY244">
        <v>0</v>
      </c>
      <c r="AZ244">
        <v>0</v>
      </c>
      <c r="BA244">
        <v>0</v>
      </c>
      <c r="BB244">
        <v>0</v>
      </c>
      <c r="BC244">
        <v>0</v>
      </c>
      <c r="BD244">
        <v>0</v>
      </c>
      <c r="BE244">
        <v>0</v>
      </c>
      <c r="BF244">
        <v>0</v>
      </c>
      <c r="BG244">
        <v>0</v>
      </c>
      <c r="BH244">
        <v>0</v>
      </c>
      <c r="BI244">
        <v>0</v>
      </c>
      <c r="BJ244">
        <v>0</v>
      </c>
      <c r="BK244">
        <v>0</v>
      </c>
      <c r="BL244">
        <v>0</v>
      </c>
      <c r="BM244">
        <v>0</v>
      </c>
      <c r="BN244">
        <v>0</v>
      </c>
      <c r="BO244">
        <v>0</v>
      </c>
      <c r="BP244">
        <v>0</v>
      </c>
      <c r="BQ244">
        <v>0</v>
      </c>
      <c r="BR244">
        <v>0</v>
      </c>
      <c r="BS244">
        <v>0</v>
      </c>
      <c r="BT244">
        <v>0</v>
      </c>
      <c r="BU244">
        <v>0</v>
      </c>
      <c r="BV244">
        <v>0</v>
      </c>
      <c r="BW244">
        <v>0</v>
      </c>
      <c r="BX244">
        <v>0</v>
      </c>
      <c r="BY244">
        <v>0</v>
      </c>
      <c r="BZ244">
        <v>0</v>
      </c>
      <c r="CA244">
        <v>0</v>
      </c>
      <c r="CB244">
        <v>0</v>
      </c>
      <c r="CC244">
        <v>0</v>
      </c>
      <c r="CD244">
        <v>0</v>
      </c>
      <c r="CE244">
        <v>0</v>
      </c>
      <c r="CF244">
        <v>0</v>
      </c>
      <c r="CG244">
        <v>0</v>
      </c>
      <c r="CH244">
        <v>0</v>
      </c>
      <c r="CI244">
        <v>0</v>
      </c>
      <c r="CJ244">
        <v>0</v>
      </c>
      <c r="CK244">
        <v>0</v>
      </c>
      <c r="CL244">
        <v>0</v>
      </c>
      <c r="CM244">
        <v>0</v>
      </c>
      <c r="CN244">
        <v>0</v>
      </c>
      <c r="CO244">
        <v>0</v>
      </c>
      <c r="CP244">
        <v>0</v>
      </c>
      <c r="CQ244">
        <v>0</v>
      </c>
      <c r="CR244">
        <v>0</v>
      </c>
      <c r="CS244">
        <v>0</v>
      </c>
      <c r="CT244">
        <v>0</v>
      </c>
      <c r="CU244">
        <v>0</v>
      </c>
      <c r="CV244">
        <v>0</v>
      </c>
      <c r="CW244">
        <v>0</v>
      </c>
      <c r="CX244">
        <v>0</v>
      </c>
      <c r="CY244">
        <v>0</v>
      </c>
      <c r="CZ244">
        <v>0</v>
      </c>
      <c r="DA244">
        <v>0</v>
      </c>
      <c r="DB244">
        <v>0</v>
      </c>
      <c r="DC244">
        <v>-130</v>
      </c>
      <c r="DD244">
        <v>0</v>
      </c>
      <c r="DE244">
        <v>-1420</v>
      </c>
      <c r="DF244">
        <v>75</v>
      </c>
      <c r="DG244">
        <v>0</v>
      </c>
      <c r="DH244">
        <v>86</v>
      </c>
      <c r="DI244">
        <v>53</v>
      </c>
      <c r="DJ244">
        <v>0</v>
      </c>
      <c r="DK244">
        <v>-38</v>
      </c>
      <c r="DL244">
        <v>0</v>
      </c>
      <c r="DM244">
        <v>366</v>
      </c>
      <c r="DN244">
        <v>709</v>
      </c>
      <c r="DO244">
        <v>-41</v>
      </c>
      <c r="DP244">
        <v>1135</v>
      </c>
      <c r="DQ244">
        <v>0</v>
      </c>
      <c r="DR244">
        <v>0</v>
      </c>
      <c r="DS244">
        <v>0</v>
      </c>
      <c r="DT244">
        <v>452</v>
      </c>
      <c r="DU244">
        <v>13</v>
      </c>
      <c r="DV244">
        <v>0</v>
      </c>
      <c r="DW244">
        <v>0</v>
      </c>
      <c r="DX244">
        <v>125</v>
      </c>
      <c r="DY244">
        <v>0</v>
      </c>
      <c r="DZ244">
        <v>0</v>
      </c>
      <c r="EA244">
        <v>0</v>
      </c>
      <c r="EB244">
        <v>0</v>
      </c>
      <c r="EC244">
        <v>0</v>
      </c>
      <c r="ED244">
        <v>0</v>
      </c>
      <c r="EE244">
        <v>0</v>
      </c>
      <c r="EF244">
        <v>0</v>
      </c>
      <c r="EG244">
        <v>0</v>
      </c>
      <c r="EH244">
        <v>0</v>
      </c>
      <c r="EI244">
        <v>0</v>
      </c>
      <c r="EJ244">
        <v>0</v>
      </c>
      <c r="EK244">
        <v>0</v>
      </c>
      <c r="EL244">
        <v>0</v>
      </c>
      <c r="EM244">
        <v>0</v>
      </c>
      <c r="EN244">
        <v>0</v>
      </c>
      <c r="EO244">
        <v>0</v>
      </c>
      <c r="EP244">
        <v>0</v>
      </c>
      <c r="EQ244">
        <v>0</v>
      </c>
      <c r="ER244">
        <v>0</v>
      </c>
      <c r="ES244">
        <v>0</v>
      </c>
      <c r="ET244">
        <v>0</v>
      </c>
      <c r="EU244">
        <v>0</v>
      </c>
      <c r="EV244">
        <v>0</v>
      </c>
      <c r="EW244">
        <v>0</v>
      </c>
      <c r="EX244">
        <v>405</v>
      </c>
      <c r="EY244">
        <v>350</v>
      </c>
      <c r="EZ244">
        <v>0</v>
      </c>
      <c r="FA244">
        <v>0</v>
      </c>
      <c r="FB244">
        <v>-974</v>
      </c>
      <c r="FC244">
        <v>-412</v>
      </c>
      <c r="FD244">
        <v>698</v>
      </c>
      <c r="FE244">
        <v>0</v>
      </c>
      <c r="FF244">
        <v>12</v>
      </c>
      <c r="FG244">
        <v>0</v>
      </c>
      <c r="FH244">
        <v>79</v>
      </c>
      <c r="FI244">
        <v>-309</v>
      </c>
      <c r="FJ244">
        <v>0</v>
      </c>
      <c r="FK244">
        <v>0</v>
      </c>
      <c r="FL244">
        <v>33</v>
      </c>
      <c r="FM244">
        <v>279</v>
      </c>
      <c r="FN244">
        <v>0</v>
      </c>
      <c r="FO244">
        <v>84</v>
      </c>
      <c r="FP244">
        <v>0</v>
      </c>
      <c r="FQ244">
        <v>0</v>
      </c>
      <c r="FR244">
        <v>11</v>
      </c>
      <c r="FS244">
        <v>494</v>
      </c>
      <c r="FT244">
        <v>272</v>
      </c>
      <c r="FU244">
        <v>101</v>
      </c>
      <c r="FV244">
        <v>234</v>
      </c>
      <c r="FW244">
        <v>9</v>
      </c>
      <c r="FX244">
        <v>171</v>
      </c>
      <c r="FY244">
        <v>13</v>
      </c>
      <c r="FZ244">
        <v>0</v>
      </c>
      <c r="GA244">
        <v>0</v>
      </c>
      <c r="GB244">
        <v>41</v>
      </c>
      <c r="GC244">
        <v>139</v>
      </c>
      <c r="GD244">
        <v>779</v>
      </c>
      <c r="GE244">
        <v>1735</v>
      </c>
      <c r="GF244">
        <v>0</v>
      </c>
      <c r="GG244">
        <v>-94</v>
      </c>
      <c r="GH244">
        <v>2161</v>
      </c>
      <c r="GI244">
        <v>0</v>
      </c>
      <c r="GJ244">
        <v>48</v>
      </c>
      <c r="GK244">
        <v>6201</v>
      </c>
      <c r="GL244">
        <v>30</v>
      </c>
      <c r="GM244">
        <v>645</v>
      </c>
      <c r="GN244">
        <v>0</v>
      </c>
      <c r="GO244">
        <v>259</v>
      </c>
      <c r="GP244">
        <v>0</v>
      </c>
      <c r="GQ244">
        <v>-147</v>
      </c>
      <c r="GR244">
        <v>0</v>
      </c>
      <c r="GS244">
        <v>95</v>
      </c>
      <c r="GT244">
        <v>-25</v>
      </c>
      <c r="GU244">
        <v>857</v>
      </c>
      <c r="GV244">
        <v>7137</v>
      </c>
      <c r="GW244">
        <v>0</v>
      </c>
      <c r="GX244">
        <v>0</v>
      </c>
      <c r="GY244">
        <v>0</v>
      </c>
      <c r="GZ244">
        <v>0</v>
      </c>
      <c r="HA244">
        <v>0</v>
      </c>
      <c r="HB244">
        <v>1826</v>
      </c>
      <c r="HC244">
        <v>496</v>
      </c>
      <c r="HD244">
        <v>0</v>
      </c>
      <c r="HE244">
        <v>0</v>
      </c>
      <c r="HF244">
        <v>313</v>
      </c>
      <c r="HG244">
        <v>-85</v>
      </c>
      <c r="HH244">
        <v>0</v>
      </c>
      <c r="HI244">
        <v>0</v>
      </c>
      <c r="HJ244">
        <v>165</v>
      </c>
      <c r="HK244">
        <v>46</v>
      </c>
      <c r="HL244">
        <v>69</v>
      </c>
      <c r="HM244">
        <v>13</v>
      </c>
      <c r="HN244">
        <v>0</v>
      </c>
      <c r="HO244">
        <v>182</v>
      </c>
      <c r="HP244">
        <v>0</v>
      </c>
      <c r="HQ244">
        <v>0</v>
      </c>
      <c r="HR244">
        <v>811</v>
      </c>
      <c r="HS244">
        <v>0</v>
      </c>
      <c r="HT244">
        <v>0</v>
      </c>
      <c r="HU244">
        <v>-934</v>
      </c>
      <c r="HV244">
        <v>2902</v>
      </c>
      <c r="HW244">
        <v>1461</v>
      </c>
      <c r="HX244">
        <v>5438</v>
      </c>
      <c r="HY244">
        <v>0</v>
      </c>
      <c r="HZ244">
        <v>0</v>
      </c>
      <c r="IA244">
        <v>149</v>
      </c>
      <c r="IB244">
        <v>0</v>
      </c>
      <c r="IC244">
        <v>0</v>
      </c>
      <c r="ID244">
        <v>-1776</v>
      </c>
      <c r="IE244">
        <v>0</v>
      </c>
      <c r="IF244">
        <v>0</v>
      </c>
      <c r="IG244">
        <v>0</v>
      </c>
      <c r="IH244">
        <v>125</v>
      </c>
      <c r="II244">
        <v>79</v>
      </c>
      <c r="IJ244">
        <v>6201</v>
      </c>
      <c r="IK244">
        <v>857</v>
      </c>
      <c r="IL244">
        <v>0</v>
      </c>
      <c r="IM244">
        <v>0</v>
      </c>
      <c r="IN244">
        <v>2902</v>
      </c>
      <c r="IO244">
        <v>0</v>
      </c>
      <c r="IP244">
        <v>8388</v>
      </c>
      <c r="IQ244">
        <v>17973</v>
      </c>
      <c r="IR244">
        <v>0</v>
      </c>
      <c r="IS244">
        <v>0</v>
      </c>
      <c r="IT244">
        <v>0</v>
      </c>
      <c r="IU244">
        <v>0</v>
      </c>
      <c r="IV244">
        <v>2442</v>
      </c>
      <c r="IW244">
        <v>0</v>
      </c>
      <c r="IX244">
        <v>0</v>
      </c>
      <c r="IY244">
        <v>0</v>
      </c>
      <c r="IZ244">
        <v>29</v>
      </c>
      <c r="JA244">
        <v>-34</v>
      </c>
      <c r="JB244">
        <v>0</v>
      </c>
      <c r="JC244">
        <v>0</v>
      </c>
      <c r="JD244">
        <v>0</v>
      </c>
      <c r="JE244">
        <v>3</v>
      </c>
      <c r="JF244">
        <v>0</v>
      </c>
      <c r="JG244">
        <v>28801</v>
      </c>
      <c r="JH244">
        <v>0</v>
      </c>
      <c r="JI244">
        <v>5780</v>
      </c>
      <c r="JJ244">
        <v>0</v>
      </c>
      <c r="JK244">
        <v>0</v>
      </c>
      <c r="JL244">
        <v>0</v>
      </c>
      <c r="JM244">
        <v>0</v>
      </c>
      <c r="JN244">
        <v>514</v>
      </c>
      <c r="JO244">
        <v>0</v>
      </c>
      <c r="JP244">
        <v>12</v>
      </c>
      <c r="JQ244">
        <v>0</v>
      </c>
      <c r="JR244">
        <v>35107</v>
      </c>
      <c r="JS244">
        <v>0</v>
      </c>
      <c r="JT244">
        <v>0</v>
      </c>
      <c r="JU244">
        <v>0</v>
      </c>
      <c r="JV244">
        <v>0</v>
      </c>
      <c r="JW244">
        <v>-17617</v>
      </c>
      <c r="JX244">
        <v>0</v>
      </c>
      <c r="JY244">
        <v>0</v>
      </c>
      <c r="JZ244">
        <v>0</v>
      </c>
      <c r="KA244">
        <v>0</v>
      </c>
      <c r="KB244">
        <v>0</v>
      </c>
      <c r="KC244">
        <v>17490</v>
      </c>
      <c r="KD244">
        <v>0</v>
      </c>
      <c r="KE244">
        <v>-3984</v>
      </c>
      <c r="KF244">
        <v>13506</v>
      </c>
      <c r="KG244">
        <v>0</v>
      </c>
      <c r="KH244">
        <v>0</v>
      </c>
      <c r="KI244">
        <v>0</v>
      </c>
      <c r="KJ244">
        <v>0</v>
      </c>
      <c r="KK244">
        <v>-1828</v>
      </c>
      <c r="KL244">
        <v>0</v>
      </c>
      <c r="KM244">
        <v>-16</v>
      </c>
      <c r="KN244">
        <v>0</v>
      </c>
      <c r="KO244">
        <v>-4500</v>
      </c>
      <c r="KP244">
        <v>-117</v>
      </c>
      <c r="KQ244">
        <v>7815</v>
      </c>
      <c r="KR244">
        <v>9093</v>
      </c>
      <c r="KS244">
        <v>0</v>
      </c>
      <c r="KT244">
        <v>0</v>
      </c>
      <c r="KU244">
        <v>0</v>
      </c>
      <c r="KV244">
        <v>16350</v>
      </c>
      <c r="KW244">
        <v>1211</v>
      </c>
      <c r="KX244">
        <v>0</v>
      </c>
      <c r="KY244">
        <v>0</v>
      </c>
      <c r="KZ244">
        <v>0</v>
      </c>
      <c r="LA244">
        <v>14522</v>
      </c>
      <c r="LB244">
        <v>1211</v>
      </c>
      <c r="LC244">
        <v>0</v>
      </c>
      <c r="LD244">
        <v>2942</v>
      </c>
      <c r="LE244">
        <v>0</v>
      </c>
      <c r="LF244">
        <v>771</v>
      </c>
      <c r="LG244">
        <v>-836</v>
      </c>
      <c r="LH244">
        <v>1475</v>
      </c>
      <c r="LI244">
        <v>4352</v>
      </c>
      <c r="LJ244">
        <v>3381</v>
      </c>
      <c r="LK244">
        <v>1720</v>
      </c>
      <c r="LL244">
        <v>5101</v>
      </c>
      <c r="LM244">
        <v>0</v>
      </c>
      <c r="LN244">
        <v>0</v>
      </c>
      <c r="LO244">
        <v>0</v>
      </c>
      <c r="LP244">
        <v>0</v>
      </c>
      <c r="LQ244">
        <v>0</v>
      </c>
      <c r="LR244">
        <v>0</v>
      </c>
      <c r="LS244">
        <v>0</v>
      </c>
      <c r="LT244">
        <v>0</v>
      </c>
      <c r="LU244">
        <v>0</v>
      </c>
      <c r="LV244">
        <v>-1776</v>
      </c>
      <c r="LW244">
        <v>0</v>
      </c>
      <c r="LX244">
        <v>0</v>
      </c>
      <c r="LY244">
        <v>0</v>
      </c>
      <c r="LZ244">
        <v>125</v>
      </c>
      <c r="MA244">
        <v>79</v>
      </c>
      <c r="MB244">
        <v>6201</v>
      </c>
      <c r="MC244">
        <v>857</v>
      </c>
      <c r="MD244">
        <v>0</v>
      </c>
      <c r="ME244">
        <v>0</v>
      </c>
      <c r="MF244">
        <v>2902</v>
      </c>
      <c r="MG244">
        <v>0</v>
      </c>
      <c r="MH244">
        <v>8388</v>
      </c>
      <c r="MI244">
        <v>0</v>
      </c>
      <c r="MJ244">
        <v>0</v>
      </c>
      <c r="MK244">
        <v>0</v>
      </c>
      <c r="ML244">
        <v>0</v>
      </c>
      <c r="MM244">
        <v>0</v>
      </c>
      <c r="MN244">
        <v>0</v>
      </c>
      <c r="MO244">
        <v>0</v>
      </c>
      <c r="MP244">
        <v>0</v>
      </c>
      <c r="MQ244">
        <v>0</v>
      </c>
      <c r="MR244">
        <v>0</v>
      </c>
      <c r="MS244">
        <v>0</v>
      </c>
      <c r="MT244">
        <v>0</v>
      </c>
      <c r="MU244">
        <v>0</v>
      </c>
      <c r="MV244">
        <v>0</v>
      </c>
      <c r="MW244">
        <v>-34</v>
      </c>
      <c r="MX244">
        <v>0</v>
      </c>
      <c r="MY244">
        <v>0</v>
      </c>
      <c r="MZ244">
        <v>0</v>
      </c>
      <c r="NA244">
        <v>-34</v>
      </c>
      <c r="NB244">
        <v>0</v>
      </c>
      <c r="NC244">
        <v>-34</v>
      </c>
      <c r="ND244">
        <v>0</v>
      </c>
      <c r="NE244">
        <v>0</v>
      </c>
      <c r="NF244">
        <v>0</v>
      </c>
      <c r="NG244">
        <v>0</v>
      </c>
      <c r="NH244">
        <v>0</v>
      </c>
      <c r="NI244">
        <v>0</v>
      </c>
      <c r="NJ244">
        <v>0</v>
      </c>
      <c r="NK244">
        <v>0</v>
      </c>
      <c r="NL244">
        <v>0</v>
      </c>
      <c r="NM244">
        <v>0</v>
      </c>
      <c r="NN244">
        <v>0</v>
      </c>
      <c r="NO244">
        <v>0</v>
      </c>
      <c r="NP244">
        <v>0</v>
      </c>
      <c r="NQ244">
        <v>0</v>
      </c>
      <c r="NR244">
        <v>0</v>
      </c>
      <c r="NS244">
        <v>0</v>
      </c>
      <c r="NT244">
        <v>0</v>
      </c>
      <c r="NU244">
        <v>0</v>
      </c>
      <c r="NV244">
        <v>0</v>
      </c>
      <c r="NW244">
        <v>0</v>
      </c>
      <c r="NX244">
        <v>0</v>
      </c>
      <c r="NY244">
        <v>0</v>
      </c>
      <c r="NZ244">
        <v>0</v>
      </c>
      <c r="OA244">
        <v>0</v>
      </c>
      <c r="OB244">
        <v>0</v>
      </c>
      <c r="OC244">
        <v>0</v>
      </c>
      <c r="OD244">
        <v>0</v>
      </c>
      <c r="OE244">
        <v>0</v>
      </c>
      <c r="OF244">
        <v>0</v>
      </c>
      <c r="OG244">
        <v>0</v>
      </c>
      <c r="OH244">
        <v>0</v>
      </c>
      <c r="OI244">
        <v>0</v>
      </c>
      <c r="OJ244">
        <v>0</v>
      </c>
      <c r="OK244">
        <v>0</v>
      </c>
      <c r="OL244">
        <v>0</v>
      </c>
      <c r="OM244">
        <v>0</v>
      </c>
      <c r="ON244">
        <v>0</v>
      </c>
    </row>
    <row r="245" spans="1:404" x14ac:dyDescent="0.25">
      <c r="A245" t="s">
        <v>803</v>
      </c>
      <c r="B245" t="s">
        <v>804</v>
      </c>
      <c r="C245" t="s">
        <v>802</v>
      </c>
      <c r="E245" t="s">
        <v>1390</v>
      </c>
      <c r="F245">
        <v>0</v>
      </c>
      <c r="G245">
        <v>0</v>
      </c>
      <c r="H245">
        <v>0</v>
      </c>
      <c r="I245">
        <v>0</v>
      </c>
      <c r="J245">
        <v>0</v>
      </c>
      <c r="K245">
        <v>0</v>
      </c>
      <c r="L245">
        <v>0</v>
      </c>
      <c r="M245">
        <v>0</v>
      </c>
      <c r="N245">
        <v>7757</v>
      </c>
      <c r="O245">
        <v>0</v>
      </c>
      <c r="P245">
        <v>0</v>
      </c>
      <c r="Q245">
        <v>0</v>
      </c>
      <c r="R245">
        <v>0</v>
      </c>
      <c r="S245">
        <v>0</v>
      </c>
      <c r="T245">
        <v>0</v>
      </c>
      <c r="U245">
        <v>0</v>
      </c>
      <c r="V245">
        <v>0</v>
      </c>
      <c r="W245">
        <v>0</v>
      </c>
      <c r="X245">
        <v>0</v>
      </c>
      <c r="Y245">
        <v>0</v>
      </c>
      <c r="Z245">
        <v>0</v>
      </c>
      <c r="AA245">
        <v>0</v>
      </c>
      <c r="AB245">
        <v>46768</v>
      </c>
      <c r="AC245">
        <v>2295</v>
      </c>
      <c r="AD245">
        <v>16893</v>
      </c>
      <c r="AE245">
        <v>47822</v>
      </c>
      <c r="AF245">
        <v>3991</v>
      </c>
      <c r="AG245">
        <v>1138</v>
      </c>
      <c r="AH245">
        <v>-7266</v>
      </c>
      <c r="AI245">
        <v>119398</v>
      </c>
      <c r="AJ245">
        <v>0</v>
      </c>
      <c r="AK245">
        <v>0</v>
      </c>
      <c r="AL245">
        <v>0</v>
      </c>
      <c r="AM245">
        <v>0</v>
      </c>
      <c r="AN245">
        <v>0</v>
      </c>
      <c r="AO245">
        <v>0</v>
      </c>
      <c r="AP245">
        <v>0</v>
      </c>
      <c r="AQ245">
        <v>0</v>
      </c>
      <c r="AR245">
        <v>0</v>
      </c>
      <c r="AS245">
        <v>0</v>
      </c>
      <c r="AT245">
        <v>0</v>
      </c>
      <c r="AU245">
        <v>0</v>
      </c>
      <c r="AV245">
        <v>0</v>
      </c>
      <c r="AW245">
        <v>0</v>
      </c>
      <c r="AX245">
        <v>0</v>
      </c>
      <c r="AY245">
        <v>0</v>
      </c>
      <c r="AZ245">
        <v>0</v>
      </c>
      <c r="BA245">
        <v>0</v>
      </c>
      <c r="BB245">
        <v>0</v>
      </c>
      <c r="BC245">
        <v>0</v>
      </c>
      <c r="BD245">
        <v>0</v>
      </c>
      <c r="BE245">
        <v>0</v>
      </c>
      <c r="BF245">
        <v>0</v>
      </c>
      <c r="BG245">
        <v>0</v>
      </c>
      <c r="BH245">
        <v>0</v>
      </c>
      <c r="BI245">
        <v>0</v>
      </c>
      <c r="BJ245">
        <v>0</v>
      </c>
      <c r="BK245">
        <v>0</v>
      </c>
      <c r="BL245">
        <v>0</v>
      </c>
      <c r="BM245">
        <v>0</v>
      </c>
      <c r="BN245">
        <v>0</v>
      </c>
      <c r="BO245">
        <v>0</v>
      </c>
      <c r="BP245">
        <v>0</v>
      </c>
      <c r="BQ245">
        <v>0</v>
      </c>
      <c r="BR245">
        <v>0</v>
      </c>
      <c r="BS245">
        <v>0</v>
      </c>
      <c r="BT245">
        <v>0</v>
      </c>
      <c r="BU245">
        <v>0</v>
      </c>
      <c r="BV245">
        <v>0</v>
      </c>
      <c r="BW245">
        <v>0</v>
      </c>
      <c r="BX245">
        <v>0</v>
      </c>
      <c r="BY245">
        <v>0</v>
      </c>
      <c r="BZ245">
        <v>0</v>
      </c>
      <c r="CA245">
        <v>0</v>
      </c>
      <c r="CB245">
        <v>0</v>
      </c>
      <c r="CC245">
        <v>0</v>
      </c>
      <c r="CD245">
        <v>0</v>
      </c>
      <c r="CE245">
        <v>0</v>
      </c>
      <c r="CF245">
        <v>0</v>
      </c>
      <c r="CG245">
        <v>0</v>
      </c>
      <c r="CH245">
        <v>0</v>
      </c>
      <c r="CI245">
        <v>0</v>
      </c>
      <c r="CJ245">
        <v>0</v>
      </c>
      <c r="CK245">
        <v>0</v>
      </c>
      <c r="CL245">
        <v>0</v>
      </c>
      <c r="CM245">
        <v>0</v>
      </c>
      <c r="CN245">
        <v>0</v>
      </c>
      <c r="CO245">
        <v>0</v>
      </c>
      <c r="CP245">
        <v>0</v>
      </c>
      <c r="CQ245">
        <v>0</v>
      </c>
      <c r="CR245">
        <v>0</v>
      </c>
      <c r="CS245">
        <v>0</v>
      </c>
      <c r="CT245">
        <v>0</v>
      </c>
      <c r="CU245">
        <v>0</v>
      </c>
      <c r="CV245">
        <v>0</v>
      </c>
      <c r="CW245">
        <v>0</v>
      </c>
      <c r="CX245">
        <v>0</v>
      </c>
      <c r="CY245">
        <v>0</v>
      </c>
      <c r="CZ245">
        <v>0</v>
      </c>
      <c r="DA245">
        <v>0</v>
      </c>
      <c r="DB245">
        <v>0</v>
      </c>
      <c r="DC245">
        <v>0</v>
      </c>
      <c r="DD245">
        <v>0</v>
      </c>
      <c r="DE245">
        <v>0</v>
      </c>
      <c r="DF245">
        <v>0</v>
      </c>
      <c r="DG245">
        <v>0</v>
      </c>
      <c r="DH245">
        <v>0</v>
      </c>
      <c r="DI245">
        <v>0</v>
      </c>
      <c r="DJ245">
        <v>0</v>
      </c>
      <c r="DK245">
        <v>0</v>
      </c>
      <c r="DL245">
        <v>0</v>
      </c>
      <c r="DM245">
        <v>0</v>
      </c>
      <c r="DN245">
        <v>0</v>
      </c>
      <c r="DO245">
        <v>0</v>
      </c>
      <c r="DP245">
        <v>0</v>
      </c>
      <c r="DQ245">
        <v>0</v>
      </c>
      <c r="DR245">
        <v>0</v>
      </c>
      <c r="DS245">
        <v>0</v>
      </c>
      <c r="DT245">
        <v>0</v>
      </c>
      <c r="DU245">
        <v>0</v>
      </c>
      <c r="DV245">
        <v>0</v>
      </c>
      <c r="DW245">
        <v>0</v>
      </c>
      <c r="DX245">
        <v>0</v>
      </c>
      <c r="DY245">
        <v>0</v>
      </c>
      <c r="DZ245">
        <v>0</v>
      </c>
      <c r="EA245">
        <v>0</v>
      </c>
      <c r="EB245">
        <v>0</v>
      </c>
      <c r="EC245">
        <v>0</v>
      </c>
      <c r="ED245">
        <v>0</v>
      </c>
      <c r="EE245">
        <v>0</v>
      </c>
      <c r="EF245">
        <v>0</v>
      </c>
      <c r="EG245">
        <v>0</v>
      </c>
      <c r="EH245">
        <v>0</v>
      </c>
      <c r="EI245">
        <v>0</v>
      </c>
      <c r="EJ245">
        <v>0</v>
      </c>
      <c r="EK245">
        <v>0</v>
      </c>
      <c r="EL245">
        <v>0</v>
      </c>
      <c r="EM245">
        <v>0</v>
      </c>
      <c r="EN245">
        <v>0</v>
      </c>
      <c r="EO245">
        <v>0</v>
      </c>
      <c r="EP245">
        <v>0</v>
      </c>
      <c r="EQ245">
        <v>0</v>
      </c>
      <c r="ER245">
        <v>0</v>
      </c>
      <c r="ES245">
        <v>0</v>
      </c>
      <c r="ET245">
        <v>0</v>
      </c>
      <c r="EU245">
        <v>0</v>
      </c>
      <c r="EV245">
        <v>0</v>
      </c>
      <c r="EW245">
        <v>0</v>
      </c>
      <c r="EX245">
        <v>0</v>
      </c>
      <c r="EY245">
        <v>0</v>
      </c>
      <c r="EZ245">
        <v>0</v>
      </c>
      <c r="FA245">
        <v>0</v>
      </c>
      <c r="FB245">
        <v>0</v>
      </c>
      <c r="FC245">
        <v>0</v>
      </c>
      <c r="FD245">
        <v>0</v>
      </c>
      <c r="FE245">
        <v>0</v>
      </c>
      <c r="FF245">
        <v>0</v>
      </c>
      <c r="FG245">
        <v>0</v>
      </c>
      <c r="FH245">
        <v>0</v>
      </c>
      <c r="FI245">
        <v>0</v>
      </c>
      <c r="FJ245">
        <v>0</v>
      </c>
      <c r="FK245">
        <v>0</v>
      </c>
      <c r="FL245">
        <v>0</v>
      </c>
      <c r="FM245">
        <v>0</v>
      </c>
      <c r="FN245">
        <v>0</v>
      </c>
      <c r="FO245">
        <v>0</v>
      </c>
      <c r="FP245">
        <v>0</v>
      </c>
      <c r="FQ245">
        <v>0</v>
      </c>
      <c r="FR245">
        <v>0</v>
      </c>
      <c r="FS245">
        <v>0</v>
      </c>
      <c r="FT245">
        <v>0</v>
      </c>
      <c r="FU245">
        <v>0</v>
      </c>
      <c r="FV245">
        <v>0</v>
      </c>
      <c r="FW245">
        <v>0</v>
      </c>
      <c r="FX245">
        <v>0</v>
      </c>
      <c r="FY245">
        <v>0</v>
      </c>
      <c r="FZ245">
        <v>0</v>
      </c>
      <c r="GA245">
        <v>0</v>
      </c>
      <c r="GB245">
        <v>0</v>
      </c>
      <c r="GC245">
        <v>0</v>
      </c>
      <c r="GD245">
        <v>0</v>
      </c>
      <c r="GE245">
        <v>0</v>
      </c>
      <c r="GF245">
        <v>0</v>
      </c>
      <c r="GG245">
        <v>0</v>
      </c>
      <c r="GH245">
        <v>0</v>
      </c>
      <c r="GI245">
        <v>0</v>
      </c>
      <c r="GJ245">
        <v>0</v>
      </c>
      <c r="GK245">
        <v>0</v>
      </c>
      <c r="GL245">
        <v>0</v>
      </c>
      <c r="GM245">
        <v>0</v>
      </c>
      <c r="GN245">
        <v>0</v>
      </c>
      <c r="GO245">
        <v>0</v>
      </c>
      <c r="GP245">
        <v>0</v>
      </c>
      <c r="GQ245">
        <v>55</v>
      </c>
      <c r="GR245">
        <v>0</v>
      </c>
      <c r="GS245">
        <v>0</v>
      </c>
      <c r="GT245">
        <v>0</v>
      </c>
      <c r="GU245">
        <v>55</v>
      </c>
      <c r="GV245">
        <v>55</v>
      </c>
      <c r="GW245">
        <v>0</v>
      </c>
      <c r="GX245">
        <v>0</v>
      </c>
      <c r="GY245">
        <v>0</v>
      </c>
      <c r="GZ245">
        <v>0</v>
      </c>
      <c r="HA245">
        <v>0</v>
      </c>
      <c r="HB245">
        <v>0</v>
      </c>
      <c r="HC245">
        <v>0</v>
      </c>
      <c r="HD245">
        <v>0</v>
      </c>
      <c r="HE245">
        <v>0</v>
      </c>
      <c r="HF245">
        <v>0</v>
      </c>
      <c r="HG245">
        <v>0</v>
      </c>
      <c r="HH245">
        <v>0</v>
      </c>
      <c r="HI245">
        <v>0</v>
      </c>
      <c r="HJ245">
        <v>0</v>
      </c>
      <c r="HK245">
        <v>0</v>
      </c>
      <c r="HL245">
        <v>0</v>
      </c>
      <c r="HM245">
        <v>0</v>
      </c>
      <c r="HN245">
        <v>0</v>
      </c>
      <c r="HO245">
        <v>0</v>
      </c>
      <c r="HP245">
        <v>0</v>
      </c>
      <c r="HQ245">
        <v>0</v>
      </c>
      <c r="HR245">
        <v>3899</v>
      </c>
      <c r="HS245">
        <v>0</v>
      </c>
      <c r="HT245">
        <v>0</v>
      </c>
      <c r="HU245">
        <v>244</v>
      </c>
      <c r="HV245">
        <v>4143</v>
      </c>
      <c r="HW245">
        <v>0</v>
      </c>
      <c r="HX245">
        <v>0</v>
      </c>
      <c r="HY245">
        <v>0</v>
      </c>
      <c r="HZ245">
        <v>0</v>
      </c>
      <c r="IA245">
        <v>0</v>
      </c>
      <c r="IB245">
        <v>0</v>
      </c>
      <c r="IC245">
        <v>0</v>
      </c>
      <c r="ID245">
        <v>119398</v>
      </c>
      <c r="IE245">
        <v>0</v>
      </c>
      <c r="IF245">
        <v>0</v>
      </c>
      <c r="IG245">
        <v>0</v>
      </c>
      <c r="IH245">
        <v>0</v>
      </c>
      <c r="II245">
        <v>0</v>
      </c>
      <c r="IJ245">
        <v>0</v>
      </c>
      <c r="IK245">
        <v>55</v>
      </c>
      <c r="IL245">
        <v>0</v>
      </c>
      <c r="IM245">
        <v>0</v>
      </c>
      <c r="IN245">
        <v>4143</v>
      </c>
      <c r="IO245">
        <v>0</v>
      </c>
      <c r="IP245">
        <v>123596</v>
      </c>
      <c r="IQ245">
        <v>0</v>
      </c>
      <c r="IR245">
        <v>0</v>
      </c>
      <c r="IS245">
        <v>0</v>
      </c>
      <c r="IT245">
        <v>0</v>
      </c>
      <c r="IU245">
        <v>0</v>
      </c>
      <c r="IV245">
        <v>0</v>
      </c>
      <c r="IW245">
        <v>-82895</v>
      </c>
      <c r="IX245">
        <v>0</v>
      </c>
      <c r="IY245">
        <v>0</v>
      </c>
      <c r="IZ245">
        <v>0</v>
      </c>
      <c r="JA245">
        <v>0</v>
      </c>
      <c r="JB245">
        <v>0</v>
      </c>
      <c r="JC245">
        <v>0</v>
      </c>
      <c r="JD245">
        <v>0</v>
      </c>
      <c r="JE245">
        <v>0</v>
      </c>
      <c r="JF245">
        <v>0</v>
      </c>
      <c r="JG245">
        <v>40701</v>
      </c>
      <c r="JH245">
        <v>0</v>
      </c>
      <c r="JI245">
        <v>790</v>
      </c>
      <c r="JJ245">
        <v>0</v>
      </c>
      <c r="JK245">
        <v>0</v>
      </c>
      <c r="JL245">
        <v>0</v>
      </c>
      <c r="JM245">
        <v>0</v>
      </c>
      <c r="JN245">
        <v>1797</v>
      </c>
      <c r="JO245">
        <v>0</v>
      </c>
      <c r="JP245">
        <v>7012</v>
      </c>
      <c r="JQ245">
        <v>0</v>
      </c>
      <c r="JR245">
        <v>50300</v>
      </c>
      <c r="JS245">
        <v>-260</v>
      </c>
      <c r="JT245">
        <v>0</v>
      </c>
      <c r="JU245">
        <v>251</v>
      </c>
      <c r="JV245">
        <v>0</v>
      </c>
      <c r="JW245">
        <v>0</v>
      </c>
      <c r="JX245">
        <v>0</v>
      </c>
      <c r="JY245">
        <v>0</v>
      </c>
      <c r="JZ245">
        <v>0</v>
      </c>
      <c r="KA245">
        <v>0</v>
      </c>
      <c r="KB245">
        <v>0</v>
      </c>
      <c r="KC245">
        <v>50291</v>
      </c>
      <c r="KD245">
        <v>0</v>
      </c>
      <c r="KE245">
        <v>-57185</v>
      </c>
      <c r="KF245">
        <v>-6894</v>
      </c>
      <c r="KG245">
        <v>0</v>
      </c>
      <c r="KH245">
        <v>0</v>
      </c>
      <c r="KI245">
        <v>0</v>
      </c>
      <c r="KJ245">
        <v>0</v>
      </c>
      <c r="KK245">
        <v>369</v>
      </c>
      <c r="KL245">
        <v>6525</v>
      </c>
      <c r="KM245">
        <v>0</v>
      </c>
      <c r="KN245">
        <v>0</v>
      </c>
      <c r="KO245">
        <v>0</v>
      </c>
      <c r="KP245">
        <v>0</v>
      </c>
      <c r="KQ245">
        <v>0</v>
      </c>
      <c r="KR245">
        <v>0</v>
      </c>
      <c r="KS245">
        <v>0</v>
      </c>
      <c r="KT245">
        <v>0</v>
      </c>
      <c r="KU245">
        <v>0</v>
      </c>
      <c r="KV245">
        <v>35118</v>
      </c>
      <c r="KW245">
        <v>13710</v>
      </c>
      <c r="KX245">
        <v>0</v>
      </c>
      <c r="KY245">
        <v>0</v>
      </c>
      <c r="KZ245">
        <v>0</v>
      </c>
      <c r="LA245">
        <v>35487</v>
      </c>
      <c r="LB245">
        <v>20235</v>
      </c>
      <c r="LC245">
        <v>0</v>
      </c>
      <c r="LD245">
        <v>29000</v>
      </c>
      <c r="LE245">
        <v>0</v>
      </c>
      <c r="LF245">
        <v>0</v>
      </c>
      <c r="LG245">
        <v>-61627</v>
      </c>
      <c r="LH245">
        <v>0</v>
      </c>
      <c r="LI245">
        <v>-32627</v>
      </c>
      <c r="LJ245">
        <v>0</v>
      </c>
      <c r="LK245">
        <v>0</v>
      </c>
      <c r="LL245">
        <v>0</v>
      </c>
      <c r="LM245">
        <v>0</v>
      </c>
      <c r="LN245">
        <v>0</v>
      </c>
      <c r="LO245">
        <v>0</v>
      </c>
      <c r="LP245">
        <v>0</v>
      </c>
      <c r="LQ245">
        <v>0</v>
      </c>
      <c r="LR245">
        <v>0</v>
      </c>
      <c r="LS245">
        <v>0</v>
      </c>
      <c r="LT245">
        <v>0</v>
      </c>
      <c r="LU245">
        <v>0</v>
      </c>
      <c r="LV245">
        <v>119398</v>
      </c>
      <c r="LW245">
        <v>0</v>
      </c>
      <c r="LX245">
        <v>0</v>
      </c>
      <c r="LY245">
        <v>0</v>
      </c>
      <c r="LZ245">
        <v>0</v>
      </c>
      <c r="MA245">
        <v>0</v>
      </c>
      <c r="MB245">
        <v>0</v>
      </c>
      <c r="MC245">
        <v>55</v>
      </c>
      <c r="MD245">
        <v>0</v>
      </c>
      <c r="ME245">
        <v>0</v>
      </c>
      <c r="MF245">
        <v>4143</v>
      </c>
      <c r="MG245">
        <v>0</v>
      </c>
      <c r="MH245">
        <v>123596</v>
      </c>
      <c r="MI245">
        <v>0</v>
      </c>
      <c r="MJ245">
        <v>0</v>
      </c>
      <c r="MK245">
        <v>0</v>
      </c>
      <c r="ML245">
        <v>0</v>
      </c>
      <c r="MM245">
        <v>0</v>
      </c>
      <c r="MN245">
        <v>0</v>
      </c>
      <c r="MO245">
        <v>0</v>
      </c>
      <c r="MP245">
        <v>0</v>
      </c>
      <c r="MQ245">
        <v>0</v>
      </c>
      <c r="MR245">
        <v>0</v>
      </c>
      <c r="MS245">
        <v>0</v>
      </c>
      <c r="MT245">
        <v>0</v>
      </c>
      <c r="MU245">
        <v>0</v>
      </c>
      <c r="MV245">
        <v>0</v>
      </c>
      <c r="MW245">
        <v>0</v>
      </c>
      <c r="MX245">
        <v>0</v>
      </c>
      <c r="MY245">
        <v>0</v>
      </c>
      <c r="MZ245">
        <v>0</v>
      </c>
      <c r="NA245">
        <v>0</v>
      </c>
      <c r="NB245">
        <v>0</v>
      </c>
      <c r="NC245">
        <v>0</v>
      </c>
      <c r="ND245">
        <v>0</v>
      </c>
      <c r="NE245">
        <v>0</v>
      </c>
      <c r="NF245">
        <v>0</v>
      </c>
      <c r="NG245">
        <v>0</v>
      </c>
      <c r="NH245">
        <v>0</v>
      </c>
      <c r="NI245">
        <v>0</v>
      </c>
      <c r="NJ245">
        <v>0</v>
      </c>
      <c r="NK245">
        <v>0</v>
      </c>
      <c r="NL245">
        <v>0</v>
      </c>
      <c r="NM245">
        <v>0</v>
      </c>
      <c r="NN245">
        <v>0</v>
      </c>
      <c r="NO245">
        <v>0</v>
      </c>
      <c r="NP245">
        <v>0</v>
      </c>
      <c r="NQ245">
        <v>0</v>
      </c>
      <c r="NR245">
        <v>0</v>
      </c>
      <c r="NS245">
        <v>0</v>
      </c>
      <c r="NT245">
        <v>0</v>
      </c>
      <c r="NU245">
        <v>0</v>
      </c>
      <c r="NV245">
        <v>0</v>
      </c>
      <c r="NW245">
        <v>0</v>
      </c>
      <c r="NX245">
        <v>0</v>
      </c>
      <c r="NY245">
        <v>0</v>
      </c>
      <c r="NZ245">
        <v>0</v>
      </c>
      <c r="OA245">
        <v>0</v>
      </c>
      <c r="OB245">
        <v>0</v>
      </c>
      <c r="OC245">
        <v>0</v>
      </c>
      <c r="OD245">
        <v>0</v>
      </c>
      <c r="OE245">
        <v>0</v>
      </c>
      <c r="OF245">
        <v>0</v>
      </c>
      <c r="OG245">
        <v>0</v>
      </c>
      <c r="OH245">
        <v>0</v>
      </c>
      <c r="OI245">
        <v>0</v>
      </c>
      <c r="OJ245">
        <v>0</v>
      </c>
      <c r="OK245">
        <v>0</v>
      </c>
      <c r="OL245">
        <v>0</v>
      </c>
      <c r="OM245">
        <v>0</v>
      </c>
      <c r="ON245">
        <v>0</v>
      </c>
    </row>
    <row r="246" spans="1:404" x14ac:dyDescent="0.25">
      <c r="A246" t="s">
        <v>806</v>
      </c>
      <c r="B246" t="s">
        <v>807</v>
      </c>
      <c r="C246" t="s">
        <v>805</v>
      </c>
      <c r="E246" t="s">
        <v>61</v>
      </c>
      <c r="F246">
        <v>0</v>
      </c>
      <c r="G246">
        <v>0</v>
      </c>
      <c r="H246">
        <v>0</v>
      </c>
      <c r="I246">
        <v>0</v>
      </c>
      <c r="J246">
        <v>0</v>
      </c>
      <c r="K246">
        <v>0</v>
      </c>
      <c r="L246">
        <v>0</v>
      </c>
      <c r="M246">
        <v>0</v>
      </c>
      <c r="N246">
        <v>0</v>
      </c>
      <c r="O246">
        <v>83</v>
      </c>
      <c r="P246">
        <v>0</v>
      </c>
      <c r="Q246">
        <v>0</v>
      </c>
      <c r="R246">
        <v>-297</v>
      </c>
      <c r="S246">
        <v>0</v>
      </c>
      <c r="T246">
        <v>0</v>
      </c>
      <c r="U246">
        <v>0</v>
      </c>
      <c r="V246">
        <v>0</v>
      </c>
      <c r="W246">
        <v>0</v>
      </c>
      <c r="X246">
        <v>0</v>
      </c>
      <c r="Y246">
        <v>4</v>
      </c>
      <c r="Z246">
        <v>0</v>
      </c>
      <c r="AA246">
        <v>0</v>
      </c>
      <c r="AB246">
        <v>-11</v>
      </c>
      <c r="AC246">
        <v>0</v>
      </c>
      <c r="AD246">
        <v>0</v>
      </c>
      <c r="AE246">
        <v>0</v>
      </c>
      <c r="AF246">
        <v>0</v>
      </c>
      <c r="AG246">
        <v>0</v>
      </c>
      <c r="AH246">
        <v>0</v>
      </c>
      <c r="AI246">
        <v>-221</v>
      </c>
      <c r="AJ246">
        <v>0</v>
      </c>
      <c r="AK246">
        <v>0</v>
      </c>
      <c r="AL246">
        <v>0</v>
      </c>
      <c r="AM246">
        <v>0</v>
      </c>
      <c r="AN246">
        <v>0</v>
      </c>
      <c r="AO246">
        <v>0</v>
      </c>
      <c r="AP246">
        <v>0</v>
      </c>
      <c r="AQ246">
        <v>0</v>
      </c>
      <c r="AR246">
        <v>0</v>
      </c>
      <c r="AS246">
        <v>0</v>
      </c>
      <c r="AT246">
        <v>0</v>
      </c>
      <c r="AU246">
        <v>0</v>
      </c>
      <c r="AV246">
        <v>0</v>
      </c>
      <c r="AW246">
        <v>0</v>
      </c>
      <c r="AX246">
        <v>0</v>
      </c>
      <c r="AY246">
        <v>0</v>
      </c>
      <c r="AZ246">
        <v>0</v>
      </c>
      <c r="BA246">
        <v>0</v>
      </c>
      <c r="BB246">
        <v>0</v>
      </c>
      <c r="BC246">
        <v>0</v>
      </c>
      <c r="BD246">
        <v>0</v>
      </c>
      <c r="BE246">
        <v>0</v>
      </c>
      <c r="BF246">
        <v>0</v>
      </c>
      <c r="BG246">
        <v>0</v>
      </c>
      <c r="BH246">
        <v>0</v>
      </c>
      <c r="BI246">
        <v>0</v>
      </c>
      <c r="BJ246">
        <v>0</v>
      </c>
      <c r="BK246">
        <v>0</v>
      </c>
      <c r="BL246">
        <v>0</v>
      </c>
      <c r="BM246">
        <v>0</v>
      </c>
      <c r="BN246">
        <v>0</v>
      </c>
      <c r="BO246">
        <v>0</v>
      </c>
      <c r="BP246">
        <v>0</v>
      </c>
      <c r="BQ246">
        <v>0</v>
      </c>
      <c r="BR246">
        <v>0</v>
      </c>
      <c r="BS246">
        <v>0</v>
      </c>
      <c r="BT246">
        <v>0</v>
      </c>
      <c r="BU246">
        <v>0</v>
      </c>
      <c r="BV246">
        <v>0</v>
      </c>
      <c r="BW246">
        <v>0</v>
      </c>
      <c r="BX246">
        <v>0</v>
      </c>
      <c r="BY246">
        <v>0</v>
      </c>
      <c r="BZ246">
        <v>0</v>
      </c>
      <c r="CA246">
        <v>0</v>
      </c>
      <c r="CB246">
        <v>0</v>
      </c>
      <c r="CC246">
        <v>0</v>
      </c>
      <c r="CD246">
        <v>0</v>
      </c>
      <c r="CE246">
        <v>0</v>
      </c>
      <c r="CF246">
        <v>0</v>
      </c>
      <c r="CG246">
        <v>0</v>
      </c>
      <c r="CH246">
        <v>0</v>
      </c>
      <c r="CI246">
        <v>0</v>
      </c>
      <c r="CJ246">
        <v>0</v>
      </c>
      <c r="CK246">
        <v>0</v>
      </c>
      <c r="CL246">
        <v>0</v>
      </c>
      <c r="CM246">
        <v>0</v>
      </c>
      <c r="CN246">
        <v>0</v>
      </c>
      <c r="CO246">
        <v>0</v>
      </c>
      <c r="CP246">
        <v>0</v>
      </c>
      <c r="CQ246">
        <v>0</v>
      </c>
      <c r="CR246">
        <v>0</v>
      </c>
      <c r="CS246">
        <v>0</v>
      </c>
      <c r="CT246">
        <v>0</v>
      </c>
      <c r="CU246">
        <v>0</v>
      </c>
      <c r="CV246">
        <v>0</v>
      </c>
      <c r="CW246">
        <v>0</v>
      </c>
      <c r="CX246">
        <v>0</v>
      </c>
      <c r="CY246">
        <v>0</v>
      </c>
      <c r="CZ246">
        <v>0</v>
      </c>
      <c r="DA246">
        <v>0</v>
      </c>
      <c r="DB246">
        <v>0</v>
      </c>
      <c r="DC246">
        <v>61</v>
      </c>
      <c r="DD246">
        <v>0</v>
      </c>
      <c r="DE246">
        <v>-772</v>
      </c>
      <c r="DF246">
        <v>1</v>
      </c>
      <c r="DG246">
        <v>0</v>
      </c>
      <c r="DH246">
        <v>0</v>
      </c>
      <c r="DI246">
        <v>0</v>
      </c>
      <c r="DJ246">
        <v>64</v>
      </c>
      <c r="DK246">
        <v>-62</v>
      </c>
      <c r="DL246">
        <v>0</v>
      </c>
      <c r="DM246">
        <v>38</v>
      </c>
      <c r="DN246">
        <v>516</v>
      </c>
      <c r="DO246">
        <v>116</v>
      </c>
      <c r="DP246">
        <v>672</v>
      </c>
      <c r="DQ246">
        <v>53</v>
      </c>
      <c r="DR246">
        <v>0</v>
      </c>
      <c r="DS246">
        <v>80</v>
      </c>
      <c r="DT246">
        <v>495</v>
      </c>
      <c r="DU246">
        <v>0</v>
      </c>
      <c r="DV246">
        <v>0</v>
      </c>
      <c r="DW246">
        <v>0</v>
      </c>
      <c r="DX246">
        <v>590</v>
      </c>
      <c r="DY246">
        <v>31098</v>
      </c>
      <c r="DZ246">
        <v>436</v>
      </c>
      <c r="EA246">
        <v>117</v>
      </c>
      <c r="EB246">
        <v>50</v>
      </c>
      <c r="EC246">
        <v>497</v>
      </c>
      <c r="ED246">
        <v>17</v>
      </c>
      <c r="EE246">
        <v>0</v>
      </c>
      <c r="EF246">
        <v>0</v>
      </c>
      <c r="EG246">
        <v>0</v>
      </c>
      <c r="EH246">
        <v>6096</v>
      </c>
      <c r="EI246">
        <v>5674</v>
      </c>
      <c r="EJ246">
        <v>809</v>
      </c>
      <c r="EK246">
        <v>93</v>
      </c>
      <c r="EL246">
        <v>4857</v>
      </c>
      <c r="EM246">
        <v>0</v>
      </c>
      <c r="EN246">
        <v>0</v>
      </c>
      <c r="EO246">
        <v>11</v>
      </c>
      <c r="EP246">
        <v>0</v>
      </c>
      <c r="EQ246">
        <v>18027</v>
      </c>
      <c r="ER246">
        <v>18</v>
      </c>
      <c r="ES246">
        <v>38726</v>
      </c>
      <c r="ET246">
        <v>35356</v>
      </c>
      <c r="EU246">
        <v>0</v>
      </c>
      <c r="EV246">
        <v>3</v>
      </c>
      <c r="EW246">
        <v>0</v>
      </c>
      <c r="EX246">
        <v>0</v>
      </c>
      <c r="EY246">
        <v>0</v>
      </c>
      <c r="EZ246">
        <v>1</v>
      </c>
      <c r="FA246">
        <v>0</v>
      </c>
      <c r="FB246">
        <v>74</v>
      </c>
      <c r="FC246">
        <v>595</v>
      </c>
      <c r="FD246">
        <v>601</v>
      </c>
      <c r="FE246">
        <v>0</v>
      </c>
      <c r="FF246">
        <v>40</v>
      </c>
      <c r="FG246">
        <v>0</v>
      </c>
      <c r="FH246">
        <v>1314</v>
      </c>
      <c r="FI246">
        <v>-386</v>
      </c>
      <c r="FJ246">
        <v>0</v>
      </c>
      <c r="FK246">
        <v>-3</v>
      </c>
      <c r="FL246">
        <v>119</v>
      </c>
      <c r="FM246">
        <v>355</v>
      </c>
      <c r="FN246">
        <v>0</v>
      </c>
      <c r="FO246">
        <v>0</v>
      </c>
      <c r="FP246">
        <v>0</v>
      </c>
      <c r="FQ246">
        <v>0</v>
      </c>
      <c r="FR246">
        <v>35</v>
      </c>
      <c r="FS246">
        <v>0</v>
      </c>
      <c r="FT246">
        <v>71</v>
      </c>
      <c r="FU246">
        <v>-14</v>
      </c>
      <c r="FV246">
        <v>0</v>
      </c>
      <c r="FW246">
        <v>41</v>
      </c>
      <c r="FX246">
        <v>0</v>
      </c>
      <c r="FY246">
        <v>0</v>
      </c>
      <c r="FZ246">
        <v>0</v>
      </c>
      <c r="GA246">
        <v>0</v>
      </c>
      <c r="GB246">
        <v>0</v>
      </c>
      <c r="GC246">
        <v>0</v>
      </c>
      <c r="GD246">
        <v>558</v>
      </c>
      <c r="GE246">
        <v>1703</v>
      </c>
      <c r="GF246">
        <v>0</v>
      </c>
      <c r="GG246">
        <v>-242</v>
      </c>
      <c r="GH246">
        <v>323</v>
      </c>
      <c r="GI246">
        <v>0</v>
      </c>
      <c r="GJ246">
        <v>0</v>
      </c>
      <c r="GK246">
        <v>2560</v>
      </c>
      <c r="GL246">
        <v>48</v>
      </c>
      <c r="GM246">
        <v>-411</v>
      </c>
      <c r="GN246">
        <v>0</v>
      </c>
      <c r="GO246">
        <v>227</v>
      </c>
      <c r="GP246">
        <v>245</v>
      </c>
      <c r="GQ246">
        <v>349</v>
      </c>
      <c r="GR246">
        <v>0</v>
      </c>
      <c r="GS246">
        <v>-194</v>
      </c>
      <c r="GT246">
        <v>-56</v>
      </c>
      <c r="GU246">
        <v>208</v>
      </c>
      <c r="GV246">
        <v>4082</v>
      </c>
      <c r="GW246">
        <v>0</v>
      </c>
      <c r="GX246">
        <v>0</v>
      </c>
      <c r="GY246">
        <v>0</v>
      </c>
      <c r="GZ246">
        <v>0</v>
      </c>
      <c r="HA246">
        <v>0</v>
      </c>
      <c r="HB246">
        <v>1248</v>
      </c>
      <c r="HC246">
        <v>502</v>
      </c>
      <c r="HD246">
        <v>0</v>
      </c>
      <c r="HE246">
        <v>0</v>
      </c>
      <c r="HF246">
        <v>0</v>
      </c>
      <c r="HG246">
        <v>7</v>
      </c>
      <c r="HH246">
        <v>0</v>
      </c>
      <c r="HI246">
        <v>0</v>
      </c>
      <c r="HJ246">
        <v>141</v>
      </c>
      <c r="HK246">
        <v>148</v>
      </c>
      <c r="HL246">
        <v>17</v>
      </c>
      <c r="HM246">
        <v>-11</v>
      </c>
      <c r="HN246">
        <v>0</v>
      </c>
      <c r="HO246">
        <v>124</v>
      </c>
      <c r="HP246">
        <v>0</v>
      </c>
      <c r="HQ246">
        <v>0</v>
      </c>
      <c r="HR246">
        <v>861</v>
      </c>
      <c r="HS246">
        <v>0</v>
      </c>
      <c r="HT246">
        <v>0</v>
      </c>
      <c r="HU246">
        <v>3406</v>
      </c>
      <c r="HV246">
        <v>6443</v>
      </c>
      <c r="HW246">
        <v>0</v>
      </c>
      <c r="HX246">
        <v>0</v>
      </c>
      <c r="HY246">
        <v>0</v>
      </c>
      <c r="HZ246">
        <v>0</v>
      </c>
      <c r="IA246">
        <v>0</v>
      </c>
      <c r="IB246">
        <v>0</v>
      </c>
      <c r="IC246">
        <v>0</v>
      </c>
      <c r="ID246">
        <v>-221</v>
      </c>
      <c r="IE246">
        <v>0</v>
      </c>
      <c r="IF246">
        <v>0</v>
      </c>
      <c r="IG246">
        <v>0</v>
      </c>
      <c r="IH246">
        <v>590</v>
      </c>
      <c r="II246">
        <v>1314</v>
      </c>
      <c r="IJ246">
        <v>2560</v>
      </c>
      <c r="IK246">
        <v>208</v>
      </c>
      <c r="IL246">
        <v>0</v>
      </c>
      <c r="IM246">
        <v>0</v>
      </c>
      <c r="IN246">
        <v>6443</v>
      </c>
      <c r="IO246">
        <v>0</v>
      </c>
      <c r="IP246">
        <v>10894</v>
      </c>
      <c r="IQ246">
        <v>5362</v>
      </c>
      <c r="IR246">
        <v>0</v>
      </c>
      <c r="IS246">
        <v>10941</v>
      </c>
      <c r="IT246">
        <v>0</v>
      </c>
      <c r="IU246">
        <v>0</v>
      </c>
      <c r="IV246">
        <v>3387</v>
      </c>
      <c r="IW246">
        <v>0</v>
      </c>
      <c r="IX246">
        <v>0</v>
      </c>
      <c r="IY246">
        <v>0</v>
      </c>
      <c r="IZ246">
        <v>0</v>
      </c>
      <c r="JA246">
        <v>-2416</v>
      </c>
      <c r="JB246">
        <v>0</v>
      </c>
      <c r="JC246">
        <v>1942</v>
      </c>
      <c r="JD246">
        <v>0</v>
      </c>
      <c r="JE246">
        <v>0</v>
      </c>
      <c r="JF246">
        <v>0</v>
      </c>
      <c r="JG246">
        <v>30110</v>
      </c>
      <c r="JH246">
        <v>0</v>
      </c>
      <c r="JI246">
        <v>5</v>
      </c>
      <c r="JJ246">
        <v>0</v>
      </c>
      <c r="JK246">
        <v>0</v>
      </c>
      <c r="JL246">
        <v>0</v>
      </c>
      <c r="JM246">
        <v>61</v>
      </c>
      <c r="JN246">
        <v>628</v>
      </c>
      <c r="JO246">
        <v>0</v>
      </c>
      <c r="JP246">
        <v>5229</v>
      </c>
      <c r="JQ246">
        <v>-4840</v>
      </c>
      <c r="JR246">
        <v>31193</v>
      </c>
      <c r="JS246">
        <v>-503</v>
      </c>
      <c r="JT246">
        <v>0</v>
      </c>
      <c r="JU246">
        <v>0</v>
      </c>
      <c r="JV246">
        <v>0</v>
      </c>
      <c r="JW246">
        <v>-16138</v>
      </c>
      <c r="JX246">
        <v>0</v>
      </c>
      <c r="JY246">
        <v>0</v>
      </c>
      <c r="JZ246">
        <v>0</v>
      </c>
      <c r="KA246">
        <v>0</v>
      </c>
      <c r="KB246">
        <v>0</v>
      </c>
      <c r="KC246">
        <v>14552</v>
      </c>
      <c r="KD246">
        <v>0</v>
      </c>
      <c r="KE246">
        <v>-3780</v>
      </c>
      <c r="KF246">
        <v>10772</v>
      </c>
      <c r="KG246">
        <v>0</v>
      </c>
      <c r="KH246">
        <v>0</v>
      </c>
      <c r="KI246">
        <v>0</v>
      </c>
      <c r="KJ246">
        <v>0</v>
      </c>
      <c r="KK246">
        <v>4575</v>
      </c>
      <c r="KL246">
        <v>0</v>
      </c>
      <c r="KM246">
        <v>0</v>
      </c>
      <c r="KN246">
        <v>0</v>
      </c>
      <c r="KO246">
        <v>-2976</v>
      </c>
      <c r="KP246">
        <v>-1</v>
      </c>
      <c r="KQ246">
        <v>0</v>
      </c>
      <c r="KR246">
        <v>9508</v>
      </c>
      <c r="KS246">
        <v>0</v>
      </c>
      <c r="KT246">
        <v>0</v>
      </c>
      <c r="KU246">
        <v>0</v>
      </c>
      <c r="KV246">
        <v>23244</v>
      </c>
      <c r="KW246">
        <v>2000</v>
      </c>
      <c r="KX246">
        <v>0</v>
      </c>
      <c r="KY246">
        <v>0</v>
      </c>
      <c r="KZ246">
        <v>0</v>
      </c>
      <c r="LA246">
        <v>27819</v>
      </c>
      <c r="LB246">
        <v>2000</v>
      </c>
      <c r="LC246">
        <v>0</v>
      </c>
      <c r="LD246">
        <v>1104</v>
      </c>
      <c r="LE246">
        <v>-5648</v>
      </c>
      <c r="LF246">
        <v>15</v>
      </c>
      <c r="LG246">
        <v>-3226</v>
      </c>
      <c r="LH246">
        <v>2119</v>
      </c>
      <c r="LI246">
        <v>-5636</v>
      </c>
      <c r="LJ246">
        <v>3383</v>
      </c>
      <c r="LK246">
        <v>3587</v>
      </c>
      <c r="LL246">
        <v>6970</v>
      </c>
      <c r="LM246">
        <v>0</v>
      </c>
      <c r="LN246">
        <v>0</v>
      </c>
      <c r="LO246">
        <v>0</v>
      </c>
      <c r="LP246">
        <v>32215</v>
      </c>
      <c r="LQ246">
        <v>35585</v>
      </c>
      <c r="LR246">
        <v>-3370</v>
      </c>
      <c r="LS246">
        <v>38726</v>
      </c>
      <c r="LT246">
        <v>35356</v>
      </c>
      <c r="LU246">
        <v>0</v>
      </c>
      <c r="LV246">
        <v>-221</v>
      </c>
      <c r="LW246">
        <v>0</v>
      </c>
      <c r="LX246">
        <v>0</v>
      </c>
      <c r="LY246">
        <v>0</v>
      </c>
      <c r="LZ246">
        <v>590</v>
      </c>
      <c r="MA246">
        <v>1314</v>
      </c>
      <c r="MB246">
        <v>2560</v>
      </c>
      <c r="MC246">
        <v>208</v>
      </c>
      <c r="MD246">
        <v>0</v>
      </c>
      <c r="ME246">
        <v>0</v>
      </c>
      <c r="MF246">
        <v>6443</v>
      </c>
      <c r="MG246">
        <v>0</v>
      </c>
      <c r="MH246">
        <v>10894</v>
      </c>
      <c r="MI246">
        <v>0</v>
      </c>
      <c r="MJ246">
        <v>0</v>
      </c>
      <c r="MK246">
        <v>0</v>
      </c>
      <c r="ML246">
        <v>0</v>
      </c>
      <c r="MM246">
        <v>0</v>
      </c>
      <c r="MN246">
        <v>0</v>
      </c>
      <c r="MO246">
        <v>0</v>
      </c>
      <c r="MP246">
        <v>0</v>
      </c>
      <c r="MQ246">
        <v>0</v>
      </c>
      <c r="MR246">
        <v>0</v>
      </c>
      <c r="MS246">
        <v>0</v>
      </c>
      <c r="MT246">
        <v>0</v>
      </c>
      <c r="MU246">
        <v>0</v>
      </c>
      <c r="MV246">
        <v>0</v>
      </c>
      <c r="MW246">
        <v>0</v>
      </c>
      <c r="MX246">
        <v>-493</v>
      </c>
      <c r="MY246">
        <v>19</v>
      </c>
      <c r="MZ246">
        <v>0</v>
      </c>
      <c r="NA246">
        <v>-474</v>
      </c>
      <c r="NB246">
        <v>-1942</v>
      </c>
      <c r="NC246">
        <v>-2416</v>
      </c>
      <c r="ND246">
        <v>0</v>
      </c>
      <c r="NE246">
        <v>0</v>
      </c>
      <c r="NF246">
        <v>0</v>
      </c>
      <c r="NG246">
        <v>0</v>
      </c>
      <c r="NH246">
        <v>0</v>
      </c>
      <c r="NI246">
        <v>0</v>
      </c>
      <c r="NJ246">
        <v>0</v>
      </c>
      <c r="NK246">
        <v>0</v>
      </c>
      <c r="NL246">
        <v>0</v>
      </c>
      <c r="NM246">
        <v>0</v>
      </c>
      <c r="NN246">
        <v>0</v>
      </c>
      <c r="NO246">
        <v>0</v>
      </c>
      <c r="NP246">
        <v>0</v>
      </c>
      <c r="NQ246">
        <v>0</v>
      </c>
      <c r="NR246">
        <v>0</v>
      </c>
      <c r="NS246">
        <v>0</v>
      </c>
      <c r="NT246">
        <v>0</v>
      </c>
      <c r="NU246">
        <v>0</v>
      </c>
      <c r="NV246">
        <v>0</v>
      </c>
      <c r="NW246">
        <v>0</v>
      </c>
      <c r="NX246">
        <v>0</v>
      </c>
      <c r="NY246">
        <v>0</v>
      </c>
      <c r="NZ246">
        <v>0</v>
      </c>
      <c r="OA246">
        <v>0</v>
      </c>
      <c r="OB246">
        <v>0</v>
      </c>
      <c r="OC246">
        <v>24</v>
      </c>
      <c r="OD246">
        <v>-1966</v>
      </c>
      <c r="OE246">
        <v>0</v>
      </c>
      <c r="OF246">
        <v>0</v>
      </c>
      <c r="OG246">
        <v>0</v>
      </c>
      <c r="OH246">
        <v>-1942</v>
      </c>
      <c r="OI246">
        <v>0</v>
      </c>
      <c r="OJ246">
        <v>0</v>
      </c>
      <c r="OK246">
        <v>0</v>
      </c>
      <c r="OL246">
        <v>0</v>
      </c>
      <c r="OM246">
        <v>0</v>
      </c>
      <c r="ON246">
        <v>0</v>
      </c>
    </row>
    <row r="247" spans="1:404" x14ac:dyDescent="0.25">
      <c r="A247" t="s">
        <v>809</v>
      </c>
      <c r="B247" t="s">
        <v>810</v>
      </c>
      <c r="C247" t="s">
        <v>808</v>
      </c>
      <c r="E247" t="s">
        <v>125</v>
      </c>
      <c r="F247">
        <v>10339</v>
      </c>
      <c r="G247">
        <v>12969</v>
      </c>
      <c r="H247">
        <v>1577</v>
      </c>
      <c r="I247">
        <v>12732</v>
      </c>
      <c r="J247">
        <v>1008</v>
      </c>
      <c r="K247">
        <v>8876</v>
      </c>
      <c r="L247">
        <v>47501</v>
      </c>
      <c r="M247">
        <v>817</v>
      </c>
      <c r="N247">
        <v>-338</v>
      </c>
      <c r="O247">
        <v>153</v>
      </c>
      <c r="P247">
        <v>0</v>
      </c>
      <c r="Q247">
        <v>154</v>
      </c>
      <c r="R247">
        <v>1162</v>
      </c>
      <c r="S247">
        <v>1556</v>
      </c>
      <c r="T247">
        <v>0</v>
      </c>
      <c r="U247">
        <v>1191</v>
      </c>
      <c r="V247">
        <v>0</v>
      </c>
      <c r="W247">
        <v>0</v>
      </c>
      <c r="X247">
        <v>0</v>
      </c>
      <c r="Y247">
        <v>511</v>
      </c>
      <c r="Z247">
        <v>142</v>
      </c>
      <c r="AA247">
        <v>-689</v>
      </c>
      <c r="AB247">
        <v>2885</v>
      </c>
      <c r="AC247">
        <v>0</v>
      </c>
      <c r="AD247">
        <v>0</v>
      </c>
      <c r="AE247">
        <v>0</v>
      </c>
      <c r="AF247">
        <v>44</v>
      </c>
      <c r="AG247">
        <v>522</v>
      </c>
      <c r="AH247">
        <v>0</v>
      </c>
      <c r="AI247">
        <v>8110</v>
      </c>
      <c r="AJ247">
        <v>0</v>
      </c>
      <c r="AK247">
        <v>0</v>
      </c>
      <c r="AL247">
        <v>0</v>
      </c>
      <c r="AM247">
        <v>0</v>
      </c>
      <c r="AN247">
        <v>0</v>
      </c>
      <c r="AO247">
        <v>0</v>
      </c>
      <c r="AP247">
        <v>0</v>
      </c>
      <c r="AQ247">
        <v>0</v>
      </c>
      <c r="AR247">
        <v>0</v>
      </c>
      <c r="AS247">
        <v>0</v>
      </c>
      <c r="AT247">
        <v>0</v>
      </c>
      <c r="AU247">
        <v>0</v>
      </c>
      <c r="AV247">
        <v>242</v>
      </c>
      <c r="AW247">
        <v>27288</v>
      </c>
      <c r="AX247">
        <v>208</v>
      </c>
      <c r="AY247">
        <v>6515</v>
      </c>
      <c r="AZ247">
        <v>658</v>
      </c>
      <c r="BA247">
        <v>15501</v>
      </c>
      <c r="BB247">
        <v>1183</v>
      </c>
      <c r="BC247">
        <v>131</v>
      </c>
      <c r="BD247">
        <v>51726</v>
      </c>
      <c r="BE247">
        <v>4542</v>
      </c>
      <c r="BF247">
        <v>10611</v>
      </c>
      <c r="BG247">
        <v>114</v>
      </c>
      <c r="BH247">
        <v>180</v>
      </c>
      <c r="BI247">
        <v>100</v>
      </c>
      <c r="BJ247">
        <v>459</v>
      </c>
      <c r="BK247">
        <v>14836</v>
      </c>
      <c r="BL247">
        <v>1567</v>
      </c>
      <c r="BM247">
        <v>2059</v>
      </c>
      <c r="BN247">
        <v>1152</v>
      </c>
      <c r="BO247">
        <v>57</v>
      </c>
      <c r="BP247">
        <v>0</v>
      </c>
      <c r="BQ247">
        <v>1527</v>
      </c>
      <c r="BR247">
        <v>866</v>
      </c>
      <c r="BS247">
        <v>200</v>
      </c>
      <c r="BT247">
        <v>4531</v>
      </c>
      <c r="BU247">
        <v>554</v>
      </c>
      <c r="BV247">
        <v>-1075</v>
      </c>
      <c r="BW247">
        <v>47804</v>
      </c>
      <c r="BX247">
        <v>295</v>
      </c>
      <c r="BY247">
        <v>414</v>
      </c>
      <c r="BZ247">
        <v>270</v>
      </c>
      <c r="CA247">
        <v>97</v>
      </c>
      <c r="CB247">
        <v>40</v>
      </c>
      <c r="CC247">
        <v>52</v>
      </c>
      <c r="CD247">
        <v>210</v>
      </c>
      <c r="CE247">
        <v>283</v>
      </c>
      <c r="CF247">
        <v>131</v>
      </c>
      <c r="CG247">
        <v>297</v>
      </c>
      <c r="CH247">
        <v>196</v>
      </c>
      <c r="CI247">
        <v>1324</v>
      </c>
      <c r="CJ247">
        <v>481</v>
      </c>
      <c r="CK247">
        <v>357</v>
      </c>
      <c r="CL247">
        <v>137</v>
      </c>
      <c r="CM247">
        <v>116</v>
      </c>
      <c r="CN247">
        <v>161</v>
      </c>
      <c r="CO247">
        <v>31</v>
      </c>
      <c r="CP247">
        <v>993</v>
      </c>
      <c r="CQ247">
        <v>2051</v>
      </c>
      <c r="CR247">
        <v>1359</v>
      </c>
      <c r="CS247">
        <v>44</v>
      </c>
      <c r="CT247">
        <v>-78</v>
      </c>
      <c r="CU247">
        <v>2440</v>
      </c>
      <c r="CV247">
        <v>19044</v>
      </c>
      <c r="CW247">
        <v>259</v>
      </c>
      <c r="CX247">
        <v>0</v>
      </c>
      <c r="CY247">
        <v>457</v>
      </c>
      <c r="CZ247">
        <v>0</v>
      </c>
      <c r="DA247">
        <v>0</v>
      </c>
      <c r="DB247">
        <v>0</v>
      </c>
      <c r="DC247">
        <v>2393</v>
      </c>
      <c r="DD247">
        <v>0</v>
      </c>
      <c r="DE247">
        <v>0</v>
      </c>
      <c r="DF247">
        <v>98</v>
      </c>
      <c r="DG247">
        <v>0</v>
      </c>
      <c r="DH247">
        <v>0</v>
      </c>
      <c r="DI247">
        <v>0</v>
      </c>
      <c r="DJ247">
        <v>254</v>
      </c>
      <c r="DK247">
        <v>0</v>
      </c>
      <c r="DL247">
        <v>0</v>
      </c>
      <c r="DM247">
        <v>0</v>
      </c>
      <c r="DN247">
        <v>0</v>
      </c>
      <c r="DO247">
        <v>344</v>
      </c>
      <c r="DP247">
        <v>598</v>
      </c>
      <c r="DQ247">
        <v>227</v>
      </c>
      <c r="DR247">
        <v>0</v>
      </c>
      <c r="DS247">
        <v>0</v>
      </c>
      <c r="DT247">
        <v>869</v>
      </c>
      <c r="DU247">
        <v>-77</v>
      </c>
      <c r="DV247">
        <v>3448</v>
      </c>
      <c r="DW247">
        <v>0</v>
      </c>
      <c r="DX247">
        <v>7556</v>
      </c>
      <c r="DY247">
        <v>0</v>
      </c>
      <c r="DZ247">
        <v>0</v>
      </c>
      <c r="EA247">
        <v>0</v>
      </c>
      <c r="EB247">
        <v>0</v>
      </c>
      <c r="EC247">
        <v>0</v>
      </c>
      <c r="ED247">
        <v>0</v>
      </c>
      <c r="EE247">
        <v>0</v>
      </c>
      <c r="EF247">
        <v>0</v>
      </c>
      <c r="EG247">
        <v>0</v>
      </c>
      <c r="EH247">
        <v>0</v>
      </c>
      <c r="EI247">
        <v>0</v>
      </c>
      <c r="EJ247">
        <v>0</v>
      </c>
      <c r="EK247">
        <v>0</v>
      </c>
      <c r="EL247">
        <v>0</v>
      </c>
      <c r="EM247">
        <v>0</v>
      </c>
      <c r="EN247">
        <v>0</v>
      </c>
      <c r="EO247">
        <v>0</v>
      </c>
      <c r="EP247">
        <v>0</v>
      </c>
      <c r="EQ247">
        <v>0</v>
      </c>
      <c r="ER247">
        <v>0</v>
      </c>
      <c r="ES247">
        <v>0</v>
      </c>
      <c r="ET247">
        <v>0</v>
      </c>
      <c r="EU247">
        <v>0</v>
      </c>
      <c r="EV247">
        <v>0</v>
      </c>
      <c r="EW247">
        <v>-1</v>
      </c>
      <c r="EX247">
        <v>923</v>
      </c>
      <c r="EY247">
        <v>1256</v>
      </c>
      <c r="EZ247">
        <v>-21</v>
      </c>
      <c r="FA247">
        <v>-192</v>
      </c>
      <c r="FB247">
        <v>0</v>
      </c>
      <c r="FC247">
        <v>1530</v>
      </c>
      <c r="FD247">
        <v>1969</v>
      </c>
      <c r="FE247">
        <v>-35</v>
      </c>
      <c r="FF247">
        <v>97</v>
      </c>
      <c r="FG247">
        <v>1352</v>
      </c>
      <c r="FH247">
        <v>6878</v>
      </c>
      <c r="FI247">
        <v>-881</v>
      </c>
      <c r="FJ247">
        <v>180</v>
      </c>
      <c r="FK247">
        <v>0</v>
      </c>
      <c r="FL247">
        <v>0</v>
      </c>
      <c r="FM247">
        <v>138</v>
      </c>
      <c r="FN247">
        <v>0</v>
      </c>
      <c r="FO247">
        <v>0</v>
      </c>
      <c r="FP247">
        <v>1762</v>
      </c>
      <c r="FQ247">
        <v>0</v>
      </c>
      <c r="FR247">
        <v>0</v>
      </c>
      <c r="FS247">
        <v>177</v>
      </c>
      <c r="FT247">
        <v>0</v>
      </c>
      <c r="FU247">
        <v>18</v>
      </c>
      <c r="FV247">
        <v>775</v>
      </c>
      <c r="FW247">
        <v>0</v>
      </c>
      <c r="FX247">
        <v>16</v>
      </c>
      <c r="FY247">
        <v>0</v>
      </c>
      <c r="FZ247">
        <v>468</v>
      </c>
      <c r="GA247">
        <v>435</v>
      </c>
      <c r="GB247">
        <v>0</v>
      </c>
      <c r="GC247">
        <v>0</v>
      </c>
      <c r="GD247">
        <v>1368</v>
      </c>
      <c r="GE247">
        <v>3200</v>
      </c>
      <c r="GF247">
        <v>7289</v>
      </c>
      <c r="GG247">
        <v>0</v>
      </c>
      <c r="GH247">
        <v>0</v>
      </c>
      <c r="GI247">
        <v>0</v>
      </c>
      <c r="GJ247">
        <v>0</v>
      </c>
      <c r="GK247">
        <v>14945</v>
      </c>
      <c r="GL247">
        <v>0</v>
      </c>
      <c r="GM247">
        <v>841</v>
      </c>
      <c r="GN247">
        <v>0</v>
      </c>
      <c r="GO247">
        <v>0</v>
      </c>
      <c r="GP247">
        <v>1089</v>
      </c>
      <c r="GQ247">
        <v>950</v>
      </c>
      <c r="GR247">
        <v>0</v>
      </c>
      <c r="GS247">
        <v>-1501</v>
      </c>
      <c r="GT247">
        <v>276</v>
      </c>
      <c r="GU247">
        <v>1655</v>
      </c>
      <c r="GV247">
        <v>23478</v>
      </c>
      <c r="GW247">
        <v>0</v>
      </c>
      <c r="GX247">
        <v>0</v>
      </c>
      <c r="GY247">
        <v>0</v>
      </c>
      <c r="GZ247">
        <v>0</v>
      </c>
      <c r="HA247">
        <v>0</v>
      </c>
      <c r="HB247">
        <v>2357</v>
      </c>
      <c r="HC247">
        <v>455</v>
      </c>
      <c r="HD247">
        <v>0</v>
      </c>
      <c r="HE247">
        <v>0</v>
      </c>
      <c r="HF247">
        <v>357</v>
      </c>
      <c r="HG247">
        <v>-192</v>
      </c>
      <c r="HH247">
        <v>0</v>
      </c>
      <c r="HI247">
        <v>6</v>
      </c>
      <c r="HJ247">
        <v>258</v>
      </c>
      <c r="HK247">
        <v>232</v>
      </c>
      <c r="HL247">
        <v>35</v>
      </c>
      <c r="HM247">
        <v>-102</v>
      </c>
      <c r="HN247">
        <v>0</v>
      </c>
      <c r="HO247">
        <v>0</v>
      </c>
      <c r="HP247">
        <v>380</v>
      </c>
      <c r="HQ247">
        <v>0</v>
      </c>
      <c r="HR247">
        <v>3641</v>
      </c>
      <c r="HS247">
        <v>0</v>
      </c>
      <c r="HT247">
        <v>45</v>
      </c>
      <c r="HU247">
        <v>-1569</v>
      </c>
      <c r="HV247">
        <v>5903</v>
      </c>
      <c r="HW247">
        <v>19969</v>
      </c>
      <c r="HX247">
        <v>0</v>
      </c>
      <c r="HY247">
        <v>0</v>
      </c>
      <c r="HZ247">
        <v>0</v>
      </c>
      <c r="IA247">
        <v>3970</v>
      </c>
      <c r="IB247">
        <v>0</v>
      </c>
      <c r="IC247">
        <v>47501</v>
      </c>
      <c r="ID247">
        <v>8110</v>
      </c>
      <c r="IE247">
        <v>51726</v>
      </c>
      <c r="IF247">
        <v>47804</v>
      </c>
      <c r="IG247">
        <v>19044</v>
      </c>
      <c r="IH247">
        <v>7556</v>
      </c>
      <c r="II247">
        <v>6878</v>
      </c>
      <c r="IJ247">
        <v>14945</v>
      </c>
      <c r="IK247">
        <v>1655</v>
      </c>
      <c r="IL247">
        <v>0</v>
      </c>
      <c r="IM247">
        <v>0</v>
      </c>
      <c r="IN247">
        <v>5903</v>
      </c>
      <c r="IO247">
        <v>0</v>
      </c>
      <c r="IP247">
        <v>211122</v>
      </c>
      <c r="IQ247">
        <v>32041</v>
      </c>
      <c r="IR247">
        <v>466</v>
      </c>
      <c r="IS247">
        <v>0</v>
      </c>
      <c r="IT247">
        <v>0</v>
      </c>
      <c r="IU247">
        <v>0</v>
      </c>
      <c r="IV247">
        <v>768</v>
      </c>
      <c r="IW247">
        <v>0</v>
      </c>
      <c r="IX247">
        <v>0</v>
      </c>
      <c r="IY247">
        <v>0</v>
      </c>
      <c r="IZ247">
        <v>144</v>
      </c>
      <c r="JA247">
        <v>0</v>
      </c>
      <c r="JB247">
        <v>0</v>
      </c>
      <c r="JC247">
        <v>0</v>
      </c>
      <c r="JD247">
        <v>0</v>
      </c>
      <c r="JE247">
        <v>0</v>
      </c>
      <c r="JF247">
        <v>0</v>
      </c>
      <c r="JG247">
        <v>244541</v>
      </c>
      <c r="JH247">
        <v>128</v>
      </c>
      <c r="JI247">
        <v>85</v>
      </c>
      <c r="JJ247">
        <v>0</v>
      </c>
      <c r="JK247">
        <v>0</v>
      </c>
      <c r="JL247">
        <v>0</v>
      </c>
      <c r="JM247">
        <v>-38</v>
      </c>
      <c r="JN247">
        <v>5211</v>
      </c>
      <c r="JO247">
        <v>0</v>
      </c>
      <c r="JP247">
        <v>4902</v>
      </c>
      <c r="JQ247">
        <v>0</v>
      </c>
      <c r="JR247">
        <v>254828</v>
      </c>
      <c r="JS247">
        <v>-43</v>
      </c>
      <c r="JT247">
        <v>0</v>
      </c>
      <c r="JU247">
        <v>0</v>
      </c>
      <c r="JV247">
        <v>0</v>
      </c>
      <c r="JW247">
        <v>-35994</v>
      </c>
      <c r="JX247">
        <v>0</v>
      </c>
      <c r="JY247">
        <v>0</v>
      </c>
      <c r="JZ247">
        <v>0</v>
      </c>
      <c r="KA247">
        <v>0</v>
      </c>
      <c r="KB247">
        <v>0</v>
      </c>
      <c r="KC247">
        <v>218791</v>
      </c>
      <c r="KD247">
        <v>0</v>
      </c>
      <c r="KE247">
        <v>-87062</v>
      </c>
      <c r="KF247">
        <v>131729</v>
      </c>
      <c r="KG247">
        <v>0</v>
      </c>
      <c r="KH247">
        <v>148</v>
      </c>
      <c r="KI247">
        <v>0</v>
      </c>
      <c r="KJ247">
        <v>95</v>
      </c>
      <c r="KK247">
        <v>-935</v>
      </c>
      <c r="KL247">
        <v>0</v>
      </c>
      <c r="KM247">
        <v>-9192</v>
      </c>
      <c r="KN247">
        <v>0</v>
      </c>
      <c r="KO247">
        <v>-37105</v>
      </c>
      <c r="KP247">
        <v>-2092</v>
      </c>
      <c r="KQ247">
        <v>96</v>
      </c>
      <c r="KR247">
        <v>74929</v>
      </c>
      <c r="KS247">
        <v>1617</v>
      </c>
      <c r="KT247">
        <v>0</v>
      </c>
      <c r="KU247">
        <v>1406</v>
      </c>
      <c r="KV247">
        <v>35368</v>
      </c>
      <c r="KW247">
        <v>8301</v>
      </c>
      <c r="KX247">
        <v>1765</v>
      </c>
      <c r="KY247">
        <v>0</v>
      </c>
      <c r="KZ247">
        <v>1501</v>
      </c>
      <c r="LA247">
        <v>34433</v>
      </c>
      <c r="LB247">
        <v>8301</v>
      </c>
      <c r="LC247">
        <v>0</v>
      </c>
      <c r="LD247">
        <v>11960</v>
      </c>
      <c r="LE247">
        <v>-853</v>
      </c>
      <c r="LF247">
        <v>0</v>
      </c>
      <c r="LG247">
        <v>0</v>
      </c>
      <c r="LH247">
        <v>8153</v>
      </c>
      <c r="LI247">
        <v>19260</v>
      </c>
      <c r="LJ247">
        <v>5885</v>
      </c>
      <c r="LK247">
        <v>5148</v>
      </c>
      <c r="LL247">
        <v>11033</v>
      </c>
      <c r="LM247">
        <v>0</v>
      </c>
      <c r="LN247">
        <v>0</v>
      </c>
      <c r="LO247">
        <v>0</v>
      </c>
      <c r="LP247">
        <v>0</v>
      </c>
      <c r="LQ247">
        <v>0</v>
      </c>
      <c r="LR247">
        <v>0</v>
      </c>
      <c r="LS247">
        <v>0</v>
      </c>
      <c r="LT247">
        <v>0</v>
      </c>
      <c r="LU247">
        <v>47501</v>
      </c>
      <c r="LV247">
        <v>8110</v>
      </c>
      <c r="LW247">
        <v>51726</v>
      </c>
      <c r="LX247">
        <v>47804</v>
      </c>
      <c r="LY247">
        <v>19044</v>
      </c>
      <c r="LZ247">
        <v>7556</v>
      </c>
      <c r="MA247">
        <v>6878</v>
      </c>
      <c r="MB247">
        <v>14945</v>
      </c>
      <c r="MC247">
        <v>1655</v>
      </c>
      <c r="MD247">
        <v>0</v>
      </c>
      <c r="ME247">
        <v>0</v>
      </c>
      <c r="MF247">
        <v>5903</v>
      </c>
      <c r="MG247">
        <v>0</v>
      </c>
      <c r="MH247">
        <v>211122</v>
      </c>
      <c r="MI247">
        <v>0</v>
      </c>
      <c r="MJ247">
        <v>0</v>
      </c>
      <c r="MK247">
        <v>0</v>
      </c>
      <c r="ML247">
        <v>0</v>
      </c>
      <c r="MM247">
        <v>0</v>
      </c>
      <c r="MN247">
        <v>0</v>
      </c>
      <c r="MO247">
        <v>0</v>
      </c>
      <c r="MP247">
        <v>0</v>
      </c>
      <c r="MQ247">
        <v>0</v>
      </c>
      <c r="MR247">
        <v>0</v>
      </c>
      <c r="MS247">
        <v>0</v>
      </c>
      <c r="MT247">
        <v>0</v>
      </c>
      <c r="MU247">
        <v>0</v>
      </c>
      <c r="MV247">
        <v>0</v>
      </c>
      <c r="MW247">
        <v>0</v>
      </c>
      <c r="MX247">
        <v>0</v>
      </c>
      <c r="MY247">
        <v>0</v>
      </c>
      <c r="MZ247">
        <v>0</v>
      </c>
      <c r="NA247">
        <v>0</v>
      </c>
      <c r="NB247">
        <v>0</v>
      </c>
      <c r="NC247">
        <v>0</v>
      </c>
      <c r="ND247">
        <v>0</v>
      </c>
      <c r="NE247">
        <v>0</v>
      </c>
      <c r="NF247">
        <v>0</v>
      </c>
      <c r="NG247">
        <v>0</v>
      </c>
      <c r="NH247">
        <v>0</v>
      </c>
      <c r="NI247">
        <v>0</v>
      </c>
      <c r="NJ247">
        <v>0</v>
      </c>
      <c r="NK247">
        <v>0</v>
      </c>
      <c r="NL247">
        <v>0</v>
      </c>
      <c r="NM247">
        <v>0</v>
      </c>
      <c r="NN247">
        <v>0</v>
      </c>
      <c r="NO247">
        <v>0</v>
      </c>
      <c r="NP247">
        <v>0</v>
      </c>
      <c r="NQ247">
        <v>0</v>
      </c>
      <c r="NR247">
        <v>0</v>
      </c>
      <c r="NS247">
        <v>0</v>
      </c>
      <c r="NT247">
        <v>0</v>
      </c>
      <c r="NU247">
        <v>0</v>
      </c>
      <c r="NV247">
        <v>0</v>
      </c>
      <c r="NW247">
        <v>0</v>
      </c>
      <c r="NX247">
        <v>0</v>
      </c>
      <c r="NY247">
        <v>0</v>
      </c>
      <c r="NZ247">
        <v>0</v>
      </c>
      <c r="OA247">
        <v>0</v>
      </c>
      <c r="OB247">
        <v>0</v>
      </c>
      <c r="OC247">
        <v>0</v>
      </c>
      <c r="OD247">
        <v>0</v>
      </c>
      <c r="OE247">
        <v>0</v>
      </c>
      <c r="OF247">
        <v>0</v>
      </c>
      <c r="OG247">
        <v>0</v>
      </c>
      <c r="OH247">
        <v>0</v>
      </c>
      <c r="OI247">
        <v>0</v>
      </c>
      <c r="OJ247">
        <v>0</v>
      </c>
      <c r="OK247">
        <v>0</v>
      </c>
      <c r="OL247">
        <v>0</v>
      </c>
      <c r="OM247">
        <v>0</v>
      </c>
      <c r="ON247">
        <v>0</v>
      </c>
    </row>
    <row r="248" spans="1:404" x14ac:dyDescent="0.25">
      <c r="A248" t="s">
        <v>812</v>
      </c>
      <c r="B248" t="s">
        <v>813</v>
      </c>
      <c r="C248" t="s">
        <v>811</v>
      </c>
      <c r="E248" t="s">
        <v>61</v>
      </c>
      <c r="F248">
        <v>0</v>
      </c>
      <c r="G248">
        <v>0</v>
      </c>
      <c r="H248">
        <v>0</v>
      </c>
      <c r="I248">
        <v>0</v>
      </c>
      <c r="J248">
        <v>0</v>
      </c>
      <c r="K248">
        <v>0</v>
      </c>
      <c r="L248">
        <v>0</v>
      </c>
      <c r="M248">
        <v>0</v>
      </c>
      <c r="N248">
        <v>15</v>
      </c>
      <c r="O248">
        <v>0</v>
      </c>
      <c r="P248">
        <v>0</v>
      </c>
      <c r="Q248">
        <v>0</v>
      </c>
      <c r="R248">
        <v>0</v>
      </c>
      <c r="S248">
        <v>187</v>
      </c>
      <c r="T248">
        <v>0</v>
      </c>
      <c r="U248">
        <v>0</v>
      </c>
      <c r="V248">
        <v>0</v>
      </c>
      <c r="W248">
        <v>0</v>
      </c>
      <c r="X248">
        <v>0</v>
      </c>
      <c r="Y248">
        <v>0</v>
      </c>
      <c r="Z248">
        <v>35</v>
      </c>
      <c r="AA248">
        <v>-265</v>
      </c>
      <c r="AB248">
        <v>0</v>
      </c>
      <c r="AC248">
        <v>0</v>
      </c>
      <c r="AD248">
        <v>0</v>
      </c>
      <c r="AE248">
        <v>0</v>
      </c>
      <c r="AF248">
        <v>0</v>
      </c>
      <c r="AG248">
        <v>0</v>
      </c>
      <c r="AH248">
        <v>0</v>
      </c>
      <c r="AI248">
        <v>-28</v>
      </c>
      <c r="AJ248">
        <v>0</v>
      </c>
      <c r="AK248">
        <v>0</v>
      </c>
      <c r="AL248">
        <v>0</v>
      </c>
      <c r="AM248">
        <v>0</v>
      </c>
      <c r="AN248">
        <v>0</v>
      </c>
      <c r="AO248">
        <v>0</v>
      </c>
      <c r="AP248">
        <v>0</v>
      </c>
      <c r="AQ248">
        <v>409</v>
      </c>
      <c r="AR248">
        <v>184</v>
      </c>
      <c r="AS248">
        <v>0</v>
      </c>
      <c r="AT248">
        <v>0</v>
      </c>
      <c r="AU248">
        <v>0</v>
      </c>
      <c r="AV248">
        <v>0</v>
      </c>
      <c r="AW248">
        <v>0</v>
      </c>
      <c r="AX248">
        <v>0</v>
      </c>
      <c r="AY248">
        <v>0</v>
      </c>
      <c r="AZ248">
        <v>0</v>
      </c>
      <c r="BA248">
        <v>0</v>
      </c>
      <c r="BB248">
        <v>0</v>
      </c>
      <c r="BC248">
        <v>0</v>
      </c>
      <c r="BD248">
        <v>0</v>
      </c>
      <c r="BE248">
        <v>0</v>
      </c>
      <c r="BF248">
        <v>0</v>
      </c>
      <c r="BG248">
        <v>0</v>
      </c>
      <c r="BH248">
        <v>0</v>
      </c>
      <c r="BI248">
        <v>0</v>
      </c>
      <c r="BJ248">
        <v>0</v>
      </c>
      <c r="BK248">
        <v>0</v>
      </c>
      <c r="BL248">
        <v>0</v>
      </c>
      <c r="BM248">
        <v>0</v>
      </c>
      <c r="BN248">
        <v>0</v>
      </c>
      <c r="BO248">
        <v>0</v>
      </c>
      <c r="BP248">
        <v>0</v>
      </c>
      <c r="BQ248">
        <v>0</v>
      </c>
      <c r="BR248">
        <v>0</v>
      </c>
      <c r="BS248">
        <v>944</v>
      </c>
      <c r="BT248">
        <v>0</v>
      </c>
      <c r="BU248">
        <v>0</v>
      </c>
      <c r="BV248">
        <v>0</v>
      </c>
      <c r="BW248">
        <v>944</v>
      </c>
      <c r="BX248">
        <v>0</v>
      </c>
      <c r="BY248">
        <v>0</v>
      </c>
      <c r="BZ248">
        <v>0</v>
      </c>
      <c r="CA248">
        <v>0</v>
      </c>
      <c r="CB248">
        <v>0</v>
      </c>
      <c r="CC248">
        <v>0</v>
      </c>
      <c r="CD248">
        <v>0</v>
      </c>
      <c r="CE248">
        <v>0</v>
      </c>
      <c r="CF248">
        <v>0</v>
      </c>
      <c r="CG248">
        <v>0</v>
      </c>
      <c r="CH248">
        <v>0</v>
      </c>
      <c r="CI248">
        <v>0</v>
      </c>
      <c r="CJ248">
        <v>0</v>
      </c>
      <c r="CK248">
        <v>0</v>
      </c>
      <c r="CL248">
        <v>0</v>
      </c>
      <c r="CM248">
        <v>0</v>
      </c>
      <c r="CN248">
        <v>0</v>
      </c>
      <c r="CO248">
        <v>0</v>
      </c>
      <c r="CP248">
        <v>0</v>
      </c>
      <c r="CQ248">
        <v>0</v>
      </c>
      <c r="CR248">
        <v>0</v>
      </c>
      <c r="CS248">
        <v>0</v>
      </c>
      <c r="CT248">
        <v>0</v>
      </c>
      <c r="CU248">
        <v>0</v>
      </c>
      <c r="CV248">
        <v>405</v>
      </c>
      <c r="CW248">
        <v>0</v>
      </c>
      <c r="CX248">
        <v>0</v>
      </c>
      <c r="CY248">
        <v>0</v>
      </c>
      <c r="CZ248">
        <v>0</v>
      </c>
      <c r="DA248">
        <v>0</v>
      </c>
      <c r="DB248">
        <v>0</v>
      </c>
      <c r="DC248">
        <v>229</v>
      </c>
      <c r="DD248">
        <v>4</v>
      </c>
      <c r="DE248">
        <v>0</v>
      </c>
      <c r="DF248">
        <v>45</v>
      </c>
      <c r="DG248">
        <v>0</v>
      </c>
      <c r="DH248">
        <v>0</v>
      </c>
      <c r="DI248">
        <v>0</v>
      </c>
      <c r="DJ248">
        <v>1517</v>
      </c>
      <c r="DK248">
        <v>0</v>
      </c>
      <c r="DL248">
        <v>0</v>
      </c>
      <c r="DM248">
        <v>648</v>
      </c>
      <c r="DN248">
        <v>0</v>
      </c>
      <c r="DO248">
        <v>0</v>
      </c>
      <c r="DP248">
        <v>2165</v>
      </c>
      <c r="DQ248">
        <v>0</v>
      </c>
      <c r="DR248">
        <v>0</v>
      </c>
      <c r="DS248">
        <v>0</v>
      </c>
      <c r="DT248">
        <v>543</v>
      </c>
      <c r="DU248">
        <v>0</v>
      </c>
      <c r="DV248">
        <v>0</v>
      </c>
      <c r="DW248">
        <v>0</v>
      </c>
      <c r="DX248">
        <v>2986</v>
      </c>
      <c r="DY248">
        <v>0</v>
      </c>
      <c r="DZ248">
        <v>0</v>
      </c>
      <c r="EA248">
        <v>0</v>
      </c>
      <c r="EB248">
        <v>0</v>
      </c>
      <c r="EC248">
        <v>0</v>
      </c>
      <c r="ED248">
        <v>0</v>
      </c>
      <c r="EE248">
        <v>0</v>
      </c>
      <c r="EF248">
        <v>0</v>
      </c>
      <c r="EG248">
        <v>0</v>
      </c>
      <c r="EH248">
        <v>0</v>
      </c>
      <c r="EI248">
        <v>0</v>
      </c>
      <c r="EJ248">
        <v>0</v>
      </c>
      <c r="EK248">
        <v>0</v>
      </c>
      <c r="EL248">
        <v>0</v>
      </c>
      <c r="EM248">
        <v>0</v>
      </c>
      <c r="EN248">
        <v>0</v>
      </c>
      <c r="EO248">
        <v>0</v>
      </c>
      <c r="EP248">
        <v>0</v>
      </c>
      <c r="EQ248">
        <v>0</v>
      </c>
      <c r="ER248">
        <v>0</v>
      </c>
      <c r="ES248">
        <v>0</v>
      </c>
      <c r="ET248">
        <v>0</v>
      </c>
      <c r="EU248">
        <v>0</v>
      </c>
      <c r="EV248">
        <v>0</v>
      </c>
      <c r="EW248">
        <v>0</v>
      </c>
      <c r="EX248">
        <v>592</v>
      </c>
      <c r="EY248">
        <v>0</v>
      </c>
      <c r="EZ248">
        <v>381</v>
      </c>
      <c r="FA248">
        <v>0</v>
      </c>
      <c r="FB248">
        <v>166</v>
      </c>
      <c r="FC248">
        <v>447</v>
      </c>
      <c r="FD248">
        <v>2374</v>
      </c>
      <c r="FE248">
        <v>2</v>
      </c>
      <c r="FF248">
        <v>0</v>
      </c>
      <c r="FG248">
        <v>0</v>
      </c>
      <c r="FH248">
        <v>3962</v>
      </c>
      <c r="FI248">
        <v>118</v>
      </c>
      <c r="FJ248">
        <v>0</v>
      </c>
      <c r="FK248">
        <v>0</v>
      </c>
      <c r="FL248">
        <v>326</v>
      </c>
      <c r="FM248">
        <v>290</v>
      </c>
      <c r="FN248">
        <v>135</v>
      </c>
      <c r="FO248">
        <v>113</v>
      </c>
      <c r="FP248">
        <v>0</v>
      </c>
      <c r="FQ248">
        <v>0</v>
      </c>
      <c r="FR248">
        <v>22</v>
      </c>
      <c r="FS248">
        <v>85</v>
      </c>
      <c r="FT248">
        <v>79</v>
      </c>
      <c r="FU248">
        <v>267</v>
      </c>
      <c r="FV248">
        <v>187</v>
      </c>
      <c r="FW248">
        <v>0</v>
      </c>
      <c r="FX248">
        <v>178</v>
      </c>
      <c r="FY248">
        <v>0</v>
      </c>
      <c r="FZ248">
        <v>56</v>
      </c>
      <c r="GA248">
        <v>5</v>
      </c>
      <c r="GB248">
        <v>0</v>
      </c>
      <c r="GC248">
        <v>0</v>
      </c>
      <c r="GD248">
        <v>933</v>
      </c>
      <c r="GE248">
        <v>1753</v>
      </c>
      <c r="GF248">
        <v>0</v>
      </c>
      <c r="GG248">
        <v>-168</v>
      </c>
      <c r="GH248">
        <v>1522</v>
      </c>
      <c r="GI248">
        <v>43</v>
      </c>
      <c r="GJ248">
        <v>0</v>
      </c>
      <c r="GK248">
        <v>5944</v>
      </c>
      <c r="GL248">
        <v>77</v>
      </c>
      <c r="GM248">
        <v>147</v>
      </c>
      <c r="GN248">
        <v>0</v>
      </c>
      <c r="GO248">
        <v>461</v>
      </c>
      <c r="GP248">
        <v>0</v>
      </c>
      <c r="GQ248">
        <v>57</v>
      </c>
      <c r="GR248">
        <v>0</v>
      </c>
      <c r="GS248">
        <v>3643</v>
      </c>
      <c r="GT248">
        <v>367</v>
      </c>
      <c r="GU248">
        <v>4752</v>
      </c>
      <c r="GV248">
        <v>14658</v>
      </c>
      <c r="GW248">
        <v>0</v>
      </c>
      <c r="GX248">
        <v>0</v>
      </c>
      <c r="GY248">
        <v>0</v>
      </c>
      <c r="GZ248">
        <v>0</v>
      </c>
      <c r="HA248">
        <v>0</v>
      </c>
      <c r="HB248">
        <v>778</v>
      </c>
      <c r="HC248">
        <v>594</v>
      </c>
      <c r="HD248">
        <v>0</v>
      </c>
      <c r="HE248">
        <v>0</v>
      </c>
      <c r="HF248">
        <v>0</v>
      </c>
      <c r="HG248">
        <v>103</v>
      </c>
      <c r="HH248">
        <v>8</v>
      </c>
      <c r="HI248">
        <v>0</v>
      </c>
      <c r="HJ248">
        <v>280</v>
      </c>
      <c r="HK248">
        <v>89</v>
      </c>
      <c r="HL248">
        <v>67</v>
      </c>
      <c r="HM248">
        <v>-32</v>
      </c>
      <c r="HN248">
        <v>0</v>
      </c>
      <c r="HO248">
        <v>551</v>
      </c>
      <c r="HP248">
        <v>0</v>
      </c>
      <c r="HQ248">
        <v>0</v>
      </c>
      <c r="HR248">
        <v>1094</v>
      </c>
      <c r="HS248">
        <v>0</v>
      </c>
      <c r="HT248">
        <v>0</v>
      </c>
      <c r="HU248">
        <v>0</v>
      </c>
      <c r="HV248">
        <v>3532</v>
      </c>
      <c r="HW248">
        <v>580</v>
      </c>
      <c r="HX248">
        <v>7107</v>
      </c>
      <c r="HY248">
        <v>0</v>
      </c>
      <c r="HZ248">
        <v>0</v>
      </c>
      <c r="IA248">
        <v>250</v>
      </c>
      <c r="IB248">
        <v>0</v>
      </c>
      <c r="IC248">
        <v>0</v>
      </c>
      <c r="ID248">
        <v>-28</v>
      </c>
      <c r="IE248">
        <v>0</v>
      </c>
      <c r="IF248">
        <v>944</v>
      </c>
      <c r="IG248">
        <v>405</v>
      </c>
      <c r="IH248">
        <v>2986</v>
      </c>
      <c r="II248">
        <v>3962</v>
      </c>
      <c r="IJ248">
        <v>5944</v>
      </c>
      <c r="IK248">
        <v>4752</v>
      </c>
      <c r="IL248">
        <v>0</v>
      </c>
      <c r="IM248">
        <v>0</v>
      </c>
      <c r="IN248">
        <v>3532</v>
      </c>
      <c r="IO248">
        <v>0</v>
      </c>
      <c r="IP248">
        <v>22497</v>
      </c>
      <c r="IQ248">
        <v>23531</v>
      </c>
      <c r="IR248">
        <v>0</v>
      </c>
      <c r="IS248">
        <v>0</v>
      </c>
      <c r="IT248">
        <v>0</v>
      </c>
      <c r="IU248">
        <v>0</v>
      </c>
      <c r="IV248">
        <v>1231</v>
      </c>
      <c r="IW248">
        <v>0</v>
      </c>
      <c r="IX248">
        <v>0</v>
      </c>
      <c r="IY248">
        <v>0</v>
      </c>
      <c r="IZ248">
        <v>0</v>
      </c>
      <c r="JA248">
        <v>0</v>
      </c>
      <c r="JB248">
        <v>0</v>
      </c>
      <c r="JC248">
        <v>0</v>
      </c>
      <c r="JD248">
        <v>0</v>
      </c>
      <c r="JE248">
        <v>0</v>
      </c>
      <c r="JF248">
        <v>0</v>
      </c>
      <c r="JG248">
        <v>47259</v>
      </c>
      <c r="JH248">
        <v>0</v>
      </c>
      <c r="JI248">
        <v>75</v>
      </c>
      <c r="JJ248">
        <v>0</v>
      </c>
      <c r="JK248">
        <v>0</v>
      </c>
      <c r="JL248">
        <v>0</v>
      </c>
      <c r="JM248">
        <v>0</v>
      </c>
      <c r="JN248">
        <v>4</v>
      </c>
      <c r="JO248">
        <v>443</v>
      </c>
      <c r="JP248">
        <v>40</v>
      </c>
      <c r="JQ248">
        <v>0</v>
      </c>
      <c r="JR248">
        <v>47821</v>
      </c>
      <c r="JS248">
        <v>-1270</v>
      </c>
      <c r="JT248">
        <v>0</v>
      </c>
      <c r="JU248">
        <v>0</v>
      </c>
      <c r="JV248">
        <v>0</v>
      </c>
      <c r="JW248">
        <v>-23425</v>
      </c>
      <c r="JX248">
        <v>0</v>
      </c>
      <c r="JY248">
        <v>0</v>
      </c>
      <c r="JZ248">
        <v>0</v>
      </c>
      <c r="KA248">
        <v>0</v>
      </c>
      <c r="KB248">
        <v>0</v>
      </c>
      <c r="KC248">
        <v>23126</v>
      </c>
      <c r="KD248">
        <v>0</v>
      </c>
      <c r="KE248">
        <v>-6032</v>
      </c>
      <c r="KF248">
        <v>17094</v>
      </c>
      <c r="KG248">
        <v>0</v>
      </c>
      <c r="KH248">
        <v>0</v>
      </c>
      <c r="KI248">
        <v>0</v>
      </c>
      <c r="KJ248">
        <v>0</v>
      </c>
      <c r="KK248">
        <v>-4823</v>
      </c>
      <c r="KL248">
        <v>1742</v>
      </c>
      <c r="KM248">
        <v>0</v>
      </c>
      <c r="KN248">
        <v>0</v>
      </c>
      <c r="KO248">
        <v>5327</v>
      </c>
      <c r="KP248">
        <v>77</v>
      </c>
      <c r="KQ248">
        <v>0</v>
      </c>
      <c r="KR248">
        <v>13093</v>
      </c>
      <c r="KS248">
        <v>0</v>
      </c>
      <c r="KT248">
        <v>0</v>
      </c>
      <c r="KU248">
        <v>0</v>
      </c>
      <c r="KV248">
        <v>20758</v>
      </c>
      <c r="KW248">
        <v>8865</v>
      </c>
      <c r="KX248">
        <v>0</v>
      </c>
      <c r="KY248">
        <v>0</v>
      </c>
      <c r="KZ248">
        <v>0</v>
      </c>
      <c r="LA248">
        <v>15935</v>
      </c>
      <c r="LB248">
        <v>10607</v>
      </c>
      <c r="LC248">
        <v>0</v>
      </c>
      <c r="LD248">
        <v>4173</v>
      </c>
      <c r="LE248">
        <v>517</v>
      </c>
      <c r="LF248">
        <v>0</v>
      </c>
      <c r="LG248">
        <v>-133</v>
      </c>
      <c r="LH248">
        <v>225</v>
      </c>
      <c r="LI248">
        <v>2187</v>
      </c>
      <c r="LJ248">
        <v>3120</v>
      </c>
      <c r="LK248">
        <v>4771</v>
      </c>
      <c r="LL248">
        <v>7891</v>
      </c>
      <c r="LM248">
        <v>39</v>
      </c>
      <c r="LN248">
        <v>0</v>
      </c>
      <c r="LO248">
        <v>0</v>
      </c>
      <c r="LP248">
        <v>0</v>
      </c>
      <c r="LQ248">
        <v>0</v>
      </c>
      <c r="LR248">
        <v>0</v>
      </c>
      <c r="LS248">
        <v>0</v>
      </c>
      <c r="LT248">
        <v>0</v>
      </c>
      <c r="LU248">
        <v>0</v>
      </c>
      <c r="LV248">
        <v>-28</v>
      </c>
      <c r="LW248">
        <v>0</v>
      </c>
      <c r="LX248">
        <v>944</v>
      </c>
      <c r="LY248">
        <v>405</v>
      </c>
      <c r="LZ248">
        <v>2986</v>
      </c>
      <c r="MA248">
        <v>3962</v>
      </c>
      <c r="MB248">
        <v>5944</v>
      </c>
      <c r="MC248">
        <v>4752</v>
      </c>
      <c r="MD248">
        <v>0</v>
      </c>
      <c r="ME248">
        <v>0</v>
      </c>
      <c r="MF248">
        <v>3532</v>
      </c>
      <c r="MG248">
        <v>0</v>
      </c>
      <c r="MH248">
        <v>22497</v>
      </c>
      <c r="MI248">
        <v>0</v>
      </c>
      <c r="MJ248">
        <v>0</v>
      </c>
      <c r="MK248">
        <v>0</v>
      </c>
      <c r="ML248">
        <v>0</v>
      </c>
      <c r="MM248">
        <v>0</v>
      </c>
      <c r="MN248">
        <v>0</v>
      </c>
      <c r="MO248">
        <v>0</v>
      </c>
      <c r="MP248">
        <v>0</v>
      </c>
      <c r="MQ248">
        <v>0</v>
      </c>
      <c r="MR248">
        <v>0</v>
      </c>
      <c r="MS248">
        <v>0</v>
      </c>
      <c r="MT248">
        <v>0</v>
      </c>
      <c r="MU248">
        <v>0</v>
      </c>
      <c r="MV248">
        <v>0</v>
      </c>
      <c r="MW248">
        <v>0</v>
      </c>
      <c r="MX248">
        <v>0</v>
      </c>
      <c r="MY248">
        <v>0</v>
      </c>
      <c r="MZ248">
        <v>0</v>
      </c>
      <c r="NA248">
        <v>0</v>
      </c>
      <c r="NB248">
        <v>0</v>
      </c>
      <c r="NC248">
        <v>0</v>
      </c>
      <c r="ND248">
        <v>0</v>
      </c>
      <c r="NE248">
        <v>0</v>
      </c>
      <c r="NF248">
        <v>0</v>
      </c>
      <c r="NG248">
        <v>0</v>
      </c>
      <c r="NH248">
        <v>0</v>
      </c>
      <c r="NI248">
        <v>0</v>
      </c>
      <c r="NJ248">
        <v>0</v>
      </c>
      <c r="NK248">
        <v>0</v>
      </c>
      <c r="NL248">
        <v>0</v>
      </c>
      <c r="NM248">
        <v>0</v>
      </c>
      <c r="NN248">
        <v>0</v>
      </c>
      <c r="NO248">
        <v>0</v>
      </c>
      <c r="NP248">
        <v>0</v>
      </c>
      <c r="NQ248">
        <v>0</v>
      </c>
      <c r="NR248">
        <v>0</v>
      </c>
      <c r="NS248">
        <v>0</v>
      </c>
      <c r="NT248">
        <v>0</v>
      </c>
      <c r="NU248">
        <v>0</v>
      </c>
      <c r="NV248">
        <v>0</v>
      </c>
      <c r="NW248">
        <v>0</v>
      </c>
      <c r="NX248">
        <v>0</v>
      </c>
      <c r="NY248">
        <v>0</v>
      </c>
      <c r="NZ248">
        <v>0</v>
      </c>
      <c r="OA248">
        <v>0</v>
      </c>
      <c r="OB248">
        <v>0</v>
      </c>
      <c r="OC248">
        <v>0</v>
      </c>
      <c r="OD248">
        <v>0</v>
      </c>
      <c r="OE248">
        <v>0</v>
      </c>
      <c r="OF248">
        <v>0</v>
      </c>
      <c r="OG248">
        <v>0</v>
      </c>
      <c r="OH248">
        <v>0</v>
      </c>
      <c r="OI248">
        <v>0</v>
      </c>
      <c r="OJ248">
        <v>0</v>
      </c>
      <c r="OK248">
        <v>0</v>
      </c>
      <c r="OL248">
        <v>0</v>
      </c>
      <c r="OM248">
        <v>0</v>
      </c>
      <c r="ON248">
        <v>0</v>
      </c>
    </row>
    <row r="249" spans="1:404" x14ac:dyDescent="0.25">
      <c r="A249" t="s">
        <v>815</v>
      </c>
      <c r="B249" t="s">
        <v>816</v>
      </c>
      <c r="C249" t="s">
        <v>814</v>
      </c>
      <c r="E249" t="s">
        <v>61</v>
      </c>
      <c r="F249">
        <v>0</v>
      </c>
      <c r="G249">
        <v>0</v>
      </c>
      <c r="H249">
        <v>0</v>
      </c>
      <c r="I249">
        <v>0</v>
      </c>
      <c r="J249">
        <v>0</v>
      </c>
      <c r="K249">
        <v>0</v>
      </c>
      <c r="L249">
        <v>0</v>
      </c>
      <c r="M249">
        <v>0</v>
      </c>
      <c r="N249">
        <v>0</v>
      </c>
      <c r="O249">
        <v>0</v>
      </c>
      <c r="P249">
        <v>0</v>
      </c>
      <c r="Q249">
        <v>0</v>
      </c>
      <c r="R249">
        <v>0</v>
      </c>
      <c r="S249">
        <v>0</v>
      </c>
      <c r="T249">
        <v>0</v>
      </c>
      <c r="U249">
        <v>172</v>
      </c>
      <c r="V249">
        <v>0</v>
      </c>
      <c r="W249">
        <v>0</v>
      </c>
      <c r="X249">
        <v>0</v>
      </c>
      <c r="Y249">
        <v>0</v>
      </c>
      <c r="Z249">
        <v>0</v>
      </c>
      <c r="AA249">
        <v>-65</v>
      </c>
      <c r="AB249">
        <v>0</v>
      </c>
      <c r="AC249">
        <v>0</v>
      </c>
      <c r="AD249">
        <v>20</v>
      </c>
      <c r="AE249">
        <v>0</v>
      </c>
      <c r="AF249">
        <v>0</v>
      </c>
      <c r="AG249">
        <v>0</v>
      </c>
      <c r="AH249">
        <v>0</v>
      </c>
      <c r="AI249">
        <v>127</v>
      </c>
      <c r="AJ249">
        <v>0</v>
      </c>
      <c r="AK249">
        <v>0</v>
      </c>
      <c r="AL249">
        <v>0</v>
      </c>
      <c r="AM249">
        <v>0</v>
      </c>
      <c r="AN249">
        <v>0</v>
      </c>
      <c r="AO249">
        <v>0</v>
      </c>
      <c r="AP249">
        <v>0</v>
      </c>
      <c r="AQ249">
        <v>0</v>
      </c>
      <c r="AR249">
        <v>0</v>
      </c>
      <c r="AS249">
        <v>0</v>
      </c>
      <c r="AT249">
        <v>0</v>
      </c>
      <c r="AU249">
        <v>0</v>
      </c>
      <c r="AV249">
        <v>0</v>
      </c>
      <c r="AW249">
        <v>0</v>
      </c>
      <c r="AX249">
        <v>0</v>
      </c>
      <c r="AY249">
        <v>0</v>
      </c>
      <c r="AZ249">
        <v>0</v>
      </c>
      <c r="BA249">
        <v>0</v>
      </c>
      <c r="BB249">
        <v>0</v>
      </c>
      <c r="BC249">
        <v>0</v>
      </c>
      <c r="BD249">
        <v>0</v>
      </c>
      <c r="BE249">
        <v>0</v>
      </c>
      <c r="BF249">
        <v>0</v>
      </c>
      <c r="BG249">
        <v>0</v>
      </c>
      <c r="BH249">
        <v>0</v>
      </c>
      <c r="BI249">
        <v>0</v>
      </c>
      <c r="BJ249">
        <v>0</v>
      </c>
      <c r="BK249">
        <v>0</v>
      </c>
      <c r="BL249">
        <v>0</v>
      </c>
      <c r="BM249">
        <v>0</v>
      </c>
      <c r="BN249">
        <v>0</v>
      </c>
      <c r="BO249">
        <v>0</v>
      </c>
      <c r="BP249">
        <v>0</v>
      </c>
      <c r="BQ249">
        <v>0</v>
      </c>
      <c r="BR249">
        <v>0</v>
      </c>
      <c r="BS249">
        <v>0</v>
      </c>
      <c r="BT249">
        <v>0</v>
      </c>
      <c r="BU249">
        <v>0</v>
      </c>
      <c r="BV249">
        <v>0</v>
      </c>
      <c r="BW249">
        <v>0</v>
      </c>
      <c r="BX249">
        <v>0</v>
      </c>
      <c r="BY249">
        <v>0</v>
      </c>
      <c r="BZ249">
        <v>0</v>
      </c>
      <c r="CA249">
        <v>0</v>
      </c>
      <c r="CB249">
        <v>0</v>
      </c>
      <c r="CC249">
        <v>0</v>
      </c>
      <c r="CD249">
        <v>0</v>
      </c>
      <c r="CE249">
        <v>0</v>
      </c>
      <c r="CF249">
        <v>0</v>
      </c>
      <c r="CG249">
        <v>0</v>
      </c>
      <c r="CH249">
        <v>0</v>
      </c>
      <c r="CI249">
        <v>0</v>
      </c>
      <c r="CJ249">
        <v>0</v>
      </c>
      <c r="CK249">
        <v>0</v>
      </c>
      <c r="CL249">
        <v>0</v>
      </c>
      <c r="CM249">
        <v>0</v>
      </c>
      <c r="CN249">
        <v>0</v>
      </c>
      <c r="CO249">
        <v>0</v>
      </c>
      <c r="CP249">
        <v>0</v>
      </c>
      <c r="CQ249">
        <v>0</v>
      </c>
      <c r="CR249">
        <v>0</v>
      </c>
      <c r="CS249">
        <v>0</v>
      </c>
      <c r="CT249">
        <v>0</v>
      </c>
      <c r="CU249">
        <v>0</v>
      </c>
      <c r="CV249">
        <v>0</v>
      </c>
      <c r="CW249">
        <v>0</v>
      </c>
      <c r="CX249">
        <v>0</v>
      </c>
      <c r="CY249">
        <v>0</v>
      </c>
      <c r="CZ249">
        <v>0</v>
      </c>
      <c r="DA249">
        <v>0</v>
      </c>
      <c r="DB249">
        <v>0</v>
      </c>
      <c r="DC249">
        <v>149</v>
      </c>
      <c r="DD249">
        <v>0</v>
      </c>
      <c r="DE249">
        <v>154</v>
      </c>
      <c r="DF249">
        <v>-985</v>
      </c>
      <c r="DG249">
        <v>0</v>
      </c>
      <c r="DH249">
        <v>0</v>
      </c>
      <c r="DI249">
        <v>0</v>
      </c>
      <c r="DJ249">
        <v>0</v>
      </c>
      <c r="DK249">
        <v>0</v>
      </c>
      <c r="DL249">
        <v>0</v>
      </c>
      <c r="DM249">
        <v>0</v>
      </c>
      <c r="DN249">
        <v>0</v>
      </c>
      <c r="DO249">
        <v>397</v>
      </c>
      <c r="DP249">
        <v>397</v>
      </c>
      <c r="DQ249">
        <v>55</v>
      </c>
      <c r="DR249">
        <v>0</v>
      </c>
      <c r="DS249">
        <v>0</v>
      </c>
      <c r="DT249">
        <v>360</v>
      </c>
      <c r="DU249">
        <v>0</v>
      </c>
      <c r="DV249">
        <v>18</v>
      </c>
      <c r="DW249">
        <v>0</v>
      </c>
      <c r="DX249">
        <v>148</v>
      </c>
      <c r="DY249">
        <v>15412</v>
      </c>
      <c r="DZ249">
        <v>125</v>
      </c>
      <c r="EA249">
        <v>404</v>
      </c>
      <c r="EB249">
        <v>37</v>
      </c>
      <c r="EC249">
        <v>58</v>
      </c>
      <c r="ED249">
        <v>26</v>
      </c>
      <c r="EE249">
        <v>0</v>
      </c>
      <c r="EF249">
        <v>0</v>
      </c>
      <c r="EG249">
        <v>-27</v>
      </c>
      <c r="EH249">
        <v>4865</v>
      </c>
      <c r="EI249">
        <v>3501</v>
      </c>
      <c r="EJ249">
        <v>381</v>
      </c>
      <c r="EK249">
        <v>211</v>
      </c>
      <c r="EL249">
        <v>2060</v>
      </c>
      <c r="EM249">
        <v>2086</v>
      </c>
      <c r="EN249">
        <v>0</v>
      </c>
      <c r="EO249">
        <v>30</v>
      </c>
      <c r="EP249">
        <v>0</v>
      </c>
      <c r="EQ249">
        <v>2901</v>
      </c>
      <c r="ER249">
        <v>0</v>
      </c>
      <c r="ES249">
        <v>750</v>
      </c>
      <c r="ET249">
        <v>750</v>
      </c>
      <c r="EU249">
        <v>0</v>
      </c>
      <c r="EV249">
        <v>553</v>
      </c>
      <c r="EW249">
        <v>-1</v>
      </c>
      <c r="EX249">
        <v>350</v>
      </c>
      <c r="EY249">
        <v>0</v>
      </c>
      <c r="EZ249">
        <v>0</v>
      </c>
      <c r="FA249">
        <v>0</v>
      </c>
      <c r="FB249">
        <v>0</v>
      </c>
      <c r="FC249">
        <v>0</v>
      </c>
      <c r="FD249">
        <v>0</v>
      </c>
      <c r="FE249">
        <v>0</v>
      </c>
      <c r="FF249">
        <v>219</v>
      </c>
      <c r="FG249">
        <v>0</v>
      </c>
      <c r="FH249">
        <v>1121</v>
      </c>
      <c r="FI249">
        <v>0</v>
      </c>
      <c r="FJ249">
        <v>0</v>
      </c>
      <c r="FK249">
        <v>0</v>
      </c>
      <c r="FL249">
        <v>938</v>
      </c>
      <c r="FM249">
        <v>0</v>
      </c>
      <c r="FN249">
        <v>0</v>
      </c>
      <c r="FO249">
        <v>0</v>
      </c>
      <c r="FP249">
        <v>0</v>
      </c>
      <c r="FQ249">
        <v>0</v>
      </c>
      <c r="FR249">
        <v>0</v>
      </c>
      <c r="FS249">
        <v>1</v>
      </c>
      <c r="FT249">
        <v>0</v>
      </c>
      <c r="FU249">
        <v>143</v>
      </c>
      <c r="FV249">
        <v>0</v>
      </c>
      <c r="FW249">
        <v>119</v>
      </c>
      <c r="FX249">
        <v>20</v>
      </c>
      <c r="FY249">
        <v>10</v>
      </c>
      <c r="FZ249">
        <v>0</v>
      </c>
      <c r="GA249">
        <v>583</v>
      </c>
      <c r="GB249">
        <v>0</v>
      </c>
      <c r="GC249">
        <v>0</v>
      </c>
      <c r="GD249">
        <v>422</v>
      </c>
      <c r="GE249">
        <v>990</v>
      </c>
      <c r="GF249">
        <v>0</v>
      </c>
      <c r="GG249">
        <v>0</v>
      </c>
      <c r="GH249">
        <v>1108</v>
      </c>
      <c r="GI249">
        <v>0</v>
      </c>
      <c r="GJ249">
        <v>0</v>
      </c>
      <c r="GK249">
        <v>4334</v>
      </c>
      <c r="GL249">
        <v>107</v>
      </c>
      <c r="GM249">
        <v>900</v>
      </c>
      <c r="GN249">
        <v>0</v>
      </c>
      <c r="GO249">
        <v>167</v>
      </c>
      <c r="GP249">
        <v>158</v>
      </c>
      <c r="GQ249">
        <v>406</v>
      </c>
      <c r="GR249">
        <v>0</v>
      </c>
      <c r="GS249">
        <v>0</v>
      </c>
      <c r="GT249">
        <v>274</v>
      </c>
      <c r="GU249">
        <v>2012</v>
      </c>
      <c r="GV249">
        <v>7467</v>
      </c>
      <c r="GW249">
        <v>0</v>
      </c>
      <c r="GX249">
        <v>0</v>
      </c>
      <c r="GY249">
        <v>0</v>
      </c>
      <c r="GZ249">
        <v>0</v>
      </c>
      <c r="HA249">
        <v>0</v>
      </c>
      <c r="HB249">
        <v>4289</v>
      </c>
      <c r="HC249">
        <v>687</v>
      </c>
      <c r="HD249">
        <v>0</v>
      </c>
      <c r="HE249">
        <v>0</v>
      </c>
      <c r="HF249">
        <v>0</v>
      </c>
      <c r="HG249">
        <v>0</v>
      </c>
      <c r="HH249">
        <v>0</v>
      </c>
      <c r="HI249">
        <v>0</v>
      </c>
      <c r="HJ249">
        <v>264</v>
      </c>
      <c r="HK249">
        <v>79</v>
      </c>
      <c r="HL249">
        <v>157</v>
      </c>
      <c r="HM249">
        <v>11</v>
      </c>
      <c r="HN249">
        <v>0</v>
      </c>
      <c r="HO249">
        <v>0</v>
      </c>
      <c r="HP249">
        <v>0</v>
      </c>
      <c r="HQ249">
        <v>0</v>
      </c>
      <c r="HR249">
        <v>732</v>
      </c>
      <c r="HS249">
        <v>0</v>
      </c>
      <c r="HT249">
        <v>0</v>
      </c>
      <c r="HU249">
        <v>1212</v>
      </c>
      <c r="HV249">
        <v>7431</v>
      </c>
      <c r="HW249">
        <v>0</v>
      </c>
      <c r="HX249">
        <v>0</v>
      </c>
      <c r="HY249">
        <v>0</v>
      </c>
      <c r="HZ249">
        <v>0</v>
      </c>
      <c r="IA249">
        <v>6</v>
      </c>
      <c r="IB249">
        <v>75</v>
      </c>
      <c r="IC249">
        <v>0</v>
      </c>
      <c r="ID249">
        <v>127</v>
      </c>
      <c r="IE249">
        <v>0</v>
      </c>
      <c r="IF249">
        <v>0</v>
      </c>
      <c r="IG249">
        <v>0</v>
      </c>
      <c r="IH249">
        <v>148</v>
      </c>
      <c r="II249">
        <v>1121</v>
      </c>
      <c r="IJ249">
        <v>4334</v>
      </c>
      <c r="IK249">
        <v>2012</v>
      </c>
      <c r="IL249">
        <v>0</v>
      </c>
      <c r="IM249">
        <v>0</v>
      </c>
      <c r="IN249">
        <v>7431</v>
      </c>
      <c r="IO249">
        <v>75</v>
      </c>
      <c r="IP249">
        <v>15248</v>
      </c>
      <c r="IQ249">
        <v>6731</v>
      </c>
      <c r="IR249">
        <v>0</v>
      </c>
      <c r="IS249">
        <v>5922</v>
      </c>
      <c r="IT249">
        <v>0</v>
      </c>
      <c r="IU249">
        <v>0</v>
      </c>
      <c r="IV249">
        <v>3537</v>
      </c>
      <c r="IW249">
        <v>0</v>
      </c>
      <c r="IX249">
        <v>0</v>
      </c>
      <c r="IY249">
        <v>0</v>
      </c>
      <c r="IZ249">
        <v>0</v>
      </c>
      <c r="JA249">
        <v>0</v>
      </c>
      <c r="JB249">
        <v>0</v>
      </c>
      <c r="JC249">
        <v>0</v>
      </c>
      <c r="JD249">
        <v>0</v>
      </c>
      <c r="JE249">
        <v>0</v>
      </c>
      <c r="JF249">
        <v>0</v>
      </c>
      <c r="JG249">
        <v>31438</v>
      </c>
      <c r="JH249">
        <v>0</v>
      </c>
      <c r="JI249">
        <v>249</v>
      </c>
      <c r="JJ249">
        <v>0</v>
      </c>
      <c r="JK249">
        <v>0</v>
      </c>
      <c r="JL249">
        <v>0</v>
      </c>
      <c r="JM249">
        <v>-91</v>
      </c>
      <c r="JN249">
        <v>411</v>
      </c>
      <c r="JO249">
        <v>0</v>
      </c>
      <c r="JP249">
        <v>477</v>
      </c>
      <c r="JQ249">
        <v>0</v>
      </c>
      <c r="JR249">
        <v>32484</v>
      </c>
      <c r="JS249">
        <v>-918</v>
      </c>
      <c r="JT249">
        <v>0</v>
      </c>
      <c r="JU249">
        <v>0</v>
      </c>
      <c r="JV249">
        <v>0</v>
      </c>
      <c r="JW249">
        <v>-12513</v>
      </c>
      <c r="JX249">
        <v>0</v>
      </c>
      <c r="JY249">
        <v>-1216</v>
      </c>
      <c r="JZ249">
        <v>0</v>
      </c>
      <c r="KA249">
        <v>0</v>
      </c>
      <c r="KB249">
        <v>0</v>
      </c>
      <c r="KC249">
        <v>17837</v>
      </c>
      <c r="KD249">
        <v>0</v>
      </c>
      <c r="KE249">
        <v>-3756</v>
      </c>
      <c r="KF249">
        <v>14081</v>
      </c>
      <c r="KG249">
        <v>0</v>
      </c>
      <c r="KH249">
        <v>0</v>
      </c>
      <c r="KI249">
        <v>0</v>
      </c>
      <c r="KJ249">
        <v>0</v>
      </c>
      <c r="KK249">
        <v>2723</v>
      </c>
      <c r="KL249">
        <v>0</v>
      </c>
      <c r="KM249">
        <v>0</v>
      </c>
      <c r="KN249">
        <v>0</v>
      </c>
      <c r="KO249">
        <v>-9480</v>
      </c>
      <c r="KP249">
        <v>3828</v>
      </c>
      <c r="KQ249">
        <v>0</v>
      </c>
      <c r="KR249">
        <v>10290</v>
      </c>
      <c r="KS249">
        <v>0</v>
      </c>
      <c r="KT249">
        <v>0</v>
      </c>
      <c r="KU249">
        <v>0</v>
      </c>
      <c r="KV249">
        <v>27000</v>
      </c>
      <c r="KW249">
        <v>1613</v>
      </c>
      <c r="KX249">
        <v>0</v>
      </c>
      <c r="KY249">
        <v>0</v>
      </c>
      <c r="KZ249">
        <v>0</v>
      </c>
      <c r="LA249">
        <v>29723</v>
      </c>
      <c r="LB249">
        <v>1613</v>
      </c>
      <c r="LC249">
        <v>0</v>
      </c>
      <c r="LD249">
        <v>-1052</v>
      </c>
      <c r="LE249">
        <v>0</v>
      </c>
      <c r="LF249">
        <v>0</v>
      </c>
      <c r="LG249">
        <v>0</v>
      </c>
      <c r="LH249">
        <v>-963</v>
      </c>
      <c r="LI249">
        <v>-779</v>
      </c>
      <c r="LJ249">
        <v>3013</v>
      </c>
      <c r="LK249">
        <v>2800</v>
      </c>
      <c r="LL249">
        <v>5813</v>
      </c>
      <c r="LM249">
        <v>0</v>
      </c>
      <c r="LN249">
        <v>0</v>
      </c>
      <c r="LO249">
        <v>0</v>
      </c>
      <c r="LP249">
        <v>16035</v>
      </c>
      <c r="LQ249">
        <v>16035</v>
      </c>
      <c r="LR249">
        <v>0</v>
      </c>
      <c r="LS249">
        <v>750</v>
      </c>
      <c r="LT249">
        <v>750</v>
      </c>
      <c r="LU249">
        <v>0</v>
      </c>
      <c r="LV249">
        <v>127</v>
      </c>
      <c r="LW249">
        <v>0</v>
      </c>
      <c r="LX249">
        <v>0</v>
      </c>
      <c r="LY249">
        <v>0</v>
      </c>
      <c r="LZ249">
        <v>148</v>
      </c>
      <c r="MA249">
        <v>1121</v>
      </c>
      <c r="MB249">
        <v>4334</v>
      </c>
      <c r="MC249">
        <v>2012</v>
      </c>
      <c r="MD249">
        <v>0</v>
      </c>
      <c r="ME249">
        <v>0</v>
      </c>
      <c r="MF249">
        <v>7431</v>
      </c>
      <c r="MG249">
        <v>75</v>
      </c>
      <c r="MH249">
        <v>15248</v>
      </c>
      <c r="MI249">
        <v>0</v>
      </c>
      <c r="MJ249">
        <v>0</v>
      </c>
      <c r="MK249">
        <v>0</v>
      </c>
      <c r="ML249">
        <v>0</v>
      </c>
      <c r="MM249">
        <v>0</v>
      </c>
      <c r="MN249">
        <v>0</v>
      </c>
      <c r="MO249">
        <v>0</v>
      </c>
      <c r="MP249">
        <v>0</v>
      </c>
      <c r="MQ249">
        <v>0</v>
      </c>
      <c r="MR249">
        <v>0</v>
      </c>
      <c r="MS249">
        <v>0</v>
      </c>
      <c r="MT249">
        <v>0</v>
      </c>
      <c r="MU249">
        <v>0</v>
      </c>
      <c r="MV249">
        <v>0</v>
      </c>
      <c r="MW249">
        <v>0</v>
      </c>
      <c r="MX249">
        <v>0</v>
      </c>
      <c r="MY249">
        <v>0</v>
      </c>
      <c r="MZ249">
        <v>0</v>
      </c>
      <c r="NA249">
        <v>0</v>
      </c>
      <c r="NB249">
        <v>0</v>
      </c>
      <c r="NC249">
        <v>0</v>
      </c>
      <c r="ND249">
        <v>0</v>
      </c>
      <c r="NE249">
        <v>0</v>
      </c>
      <c r="NF249">
        <v>0</v>
      </c>
      <c r="NG249">
        <v>0</v>
      </c>
      <c r="NH249">
        <v>0</v>
      </c>
      <c r="NI249">
        <v>0</v>
      </c>
      <c r="NJ249">
        <v>0</v>
      </c>
      <c r="NK249">
        <v>0</v>
      </c>
      <c r="NL249">
        <v>0</v>
      </c>
      <c r="NM249">
        <v>0</v>
      </c>
      <c r="NN249">
        <v>0</v>
      </c>
      <c r="NO249">
        <v>0</v>
      </c>
      <c r="NP249">
        <v>0</v>
      </c>
      <c r="NQ249">
        <v>0</v>
      </c>
      <c r="NR249">
        <v>0</v>
      </c>
      <c r="NS249">
        <v>0</v>
      </c>
      <c r="NT249">
        <v>0</v>
      </c>
      <c r="NU249">
        <v>0</v>
      </c>
      <c r="NV249">
        <v>0</v>
      </c>
      <c r="NW249">
        <v>0</v>
      </c>
      <c r="NX249">
        <v>0</v>
      </c>
      <c r="NY249">
        <v>0</v>
      </c>
      <c r="NZ249">
        <v>0</v>
      </c>
      <c r="OA249">
        <v>0</v>
      </c>
      <c r="OB249">
        <v>0</v>
      </c>
      <c r="OC249">
        <v>0</v>
      </c>
      <c r="OD249">
        <v>0</v>
      </c>
      <c r="OE249">
        <v>0</v>
      </c>
      <c r="OF249">
        <v>0</v>
      </c>
      <c r="OG249">
        <v>0</v>
      </c>
      <c r="OH249">
        <v>0</v>
      </c>
      <c r="OI249">
        <v>0</v>
      </c>
      <c r="OJ249">
        <v>0</v>
      </c>
      <c r="OK249">
        <v>0</v>
      </c>
      <c r="OL249">
        <v>0</v>
      </c>
      <c r="OM249">
        <v>0</v>
      </c>
      <c r="ON249">
        <v>0</v>
      </c>
    </row>
    <row r="250" spans="1:404" x14ac:dyDescent="0.25">
      <c r="A250" t="s">
        <v>818</v>
      </c>
      <c r="B250" t="s">
        <v>819</v>
      </c>
      <c r="C250" t="s">
        <v>817</v>
      </c>
      <c r="E250" t="s">
        <v>125</v>
      </c>
      <c r="F250">
        <v>9028</v>
      </c>
      <c r="G250">
        <v>57114</v>
      </c>
      <c r="H250">
        <v>21715</v>
      </c>
      <c r="I250">
        <v>9869</v>
      </c>
      <c r="J250">
        <v>441</v>
      </c>
      <c r="K250">
        <v>12039</v>
      </c>
      <c r="L250">
        <v>110205</v>
      </c>
      <c r="M250">
        <v>107</v>
      </c>
      <c r="N250">
        <v>931</v>
      </c>
      <c r="O250">
        <v>99</v>
      </c>
      <c r="P250">
        <v>651</v>
      </c>
      <c r="Q250">
        <v>0</v>
      </c>
      <c r="R250">
        <v>168</v>
      </c>
      <c r="S250">
        <v>1606</v>
      </c>
      <c r="T250">
        <v>556</v>
      </c>
      <c r="U250">
        <v>655</v>
      </c>
      <c r="V250">
        <v>0</v>
      </c>
      <c r="W250">
        <v>0</v>
      </c>
      <c r="X250">
        <v>307</v>
      </c>
      <c r="Y250">
        <v>-148</v>
      </c>
      <c r="Z250">
        <v>-84</v>
      </c>
      <c r="AA250">
        <v>259</v>
      </c>
      <c r="AB250">
        <v>1680</v>
      </c>
      <c r="AC250">
        <v>832</v>
      </c>
      <c r="AD250">
        <v>94</v>
      </c>
      <c r="AE250">
        <v>0</v>
      </c>
      <c r="AF250">
        <v>32</v>
      </c>
      <c r="AG250">
        <v>746</v>
      </c>
      <c r="AH250">
        <v>0</v>
      </c>
      <c r="AI250">
        <v>8491</v>
      </c>
      <c r="AJ250">
        <v>0</v>
      </c>
      <c r="AK250">
        <v>0</v>
      </c>
      <c r="AL250">
        <v>0</v>
      </c>
      <c r="AM250">
        <v>0</v>
      </c>
      <c r="AN250">
        <v>0</v>
      </c>
      <c r="AO250">
        <v>0</v>
      </c>
      <c r="AP250">
        <v>0</v>
      </c>
      <c r="AQ250">
        <v>220</v>
      </c>
      <c r="AR250">
        <v>187</v>
      </c>
      <c r="AS250">
        <v>0</v>
      </c>
      <c r="AT250">
        <v>0</v>
      </c>
      <c r="AU250">
        <v>0</v>
      </c>
      <c r="AV250">
        <v>1319</v>
      </c>
      <c r="AW250">
        <v>10355</v>
      </c>
      <c r="AX250">
        <v>89</v>
      </c>
      <c r="AY250">
        <v>4881</v>
      </c>
      <c r="AZ250">
        <v>689</v>
      </c>
      <c r="BA250">
        <v>9162</v>
      </c>
      <c r="BB250">
        <v>640</v>
      </c>
      <c r="BC250">
        <v>1609</v>
      </c>
      <c r="BD250">
        <v>28744</v>
      </c>
      <c r="BE250">
        <v>3848</v>
      </c>
      <c r="BF250">
        <v>13280</v>
      </c>
      <c r="BG250">
        <v>135</v>
      </c>
      <c r="BH250">
        <v>-359</v>
      </c>
      <c r="BI250">
        <v>251</v>
      </c>
      <c r="BJ250">
        <v>3506</v>
      </c>
      <c r="BK250">
        <v>12589</v>
      </c>
      <c r="BL250">
        <v>1535</v>
      </c>
      <c r="BM250">
        <v>2578</v>
      </c>
      <c r="BN250">
        <v>1347</v>
      </c>
      <c r="BO250">
        <v>0</v>
      </c>
      <c r="BP250">
        <v>0</v>
      </c>
      <c r="BQ250">
        <v>312</v>
      </c>
      <c r="BR250">
        <v>0</v>
      </c>
      <c r="BS250">
        <v>376</v>
      </c>
      <c r="BT250">
        <v>5955</v>
      </c>
      <c r="BU250">
        <v>179</v>
      </c>
      <c r="BV250">
        <v>9706</v>
      </c>
      <c r="BW250">
        <v>55238</v>
      </c>
      <c r="BX250">
        <v>654</v>
      </c>
      <c r="BY250">
        <v>421</v>
      </c>
      <c r="BZ250">
        <v>103</v>
      </c>
      <c r="CA250">
        <v>19</v>
      </c>
      <c r="CB250">
        <v>341</v>
      </c>
      <c r="CC250">
        <v>134</v>
      </c>
      <c r="CD250">
        <v>4</v>
      </c>
      <c r="CE250">
        <v>174</v>
      </c>
      <c r="CF250">
        <v>30</v>
      </c>
      <c r="CG250">
        <v>20</v>
      </c>
      <c r="CH250">
        <v>4</v>
      </c>
      <c r="CI250">
        <v>948</v>
      </c>
      <c r="CJ250">
        <v>518</v>
      </c>
      <c r="CK250">
        <v>502</v>
      </c>
      <c r="CL250">
        <v>95</v>
      </c>
      <c r="CM250">
        <v>224</v>
      </c>
      <c r="CN250">
        <v>130</v>
      </c>
      <c r="CO250">
        <v>27</v>
      </c>
      <c r="CP250">
        <v>845</v>
      </c>
      <c r="CQ250">
        <v>1733</v>
      </c>
      <c r="CR250">
        <v>445</v>
      </c>
      <c r="CS250">
        <v>40</v>
      </c>
      <c r="CT250">
        <v>117</v>
      </c>
      <c r="CU250">
        <v>1357</v>
      </c>
      <c r="CV250">
        <v>15065</v>
      </c>
      <c r="CW250">
        <v>0</v>
      </c>
      <c r="CX250">
        <v>0</v>
      </c>
      <c r="CY250">
        <v>0</v>
      </c>
      <c r="CZ250">
        <v>0</v>
      </c>
      <c r="DA250">
        <v>0</v>
      </c>
      <c r="DB250">
        <v>0</v>
      </c>
      <c r="DC250">
        <v>658</v>
      </c>
      <c r="DD250">
        <v>0</v>
      </c>
      <c r="DE250">
        <v>81</v>
      </c>
      <c r="DF250">
        <v>0</v>
      </c>
      <c r="DG250">
        <v>0</v>
      </c>
      <c r="DH250">
        <v>0</v>
      </c>
      <c r="DI250">
        <v>0</v>
      </c>
      <c r="DJ250">
        <v>0</v>
      </c>
      <c r="DK250">
        <v>0</v>
      </c>
      <c r="DL250">
        <v>0</v>
      </c>
      <c r="DM250">
        <v>69</v>
      </c>
      <c r="DN250">
        <v>480</v>
      </c>
      <c r="DO250">
        <v>0</v>
      </c>
      <c r="DP250">
        <v>549</v>
      </c>
      <c r="DQ250">
        <v>326</v>
      </c>
      <c r="DR250">
        <v>0</v>
      </c>
      <c r="DS250">
        <v>0</v>
      </c>
      <c r="DT250">
        <v>0</v>
      </c>
      <c r="DU250">
        <v>0</v>
      </c>
      <c r="DV250">
        <v>1751</v>
      </c>
      <c r="DW250">
        <v>0</v>
      </c>
      <c r="DX250">
        <v>3365</v>
      </c>
      <c r="DY250">
        <v>0</v>
      </c>
      <c r="DZ250">
        <v>0</v>
      </c>
      <c r="EA250">
        <v>0</v>
      </c>
      <c r="EB250">
        <v>0</v>
      </c>
      <c r="EC250">
        <v>0</v>
      </c>
      <c r="ED250">
        <v>0</v>
      </c>
      <c r="EE250">
        <v>0</v>
      </c>
      <c r="EF250">
        <v>0</v>
      </c>
      <c r="EG250">
        <v>0</v>
      </c>
      <c r="EH250">
        <v>0</v>
      </c>
      <c r="EI250">
        <v>0</v>
      </c>
      <c r="EJ250">
        <v>0</v>
      </c>
      <c r="EK250">
        <v>0</v>
      </c>
      <c r="EL250">
        <v>0</v>
      </c>
      <c r="EM250">
        <v>0</v>
      </c>
      <c r="EN250">
        <v>0</v>
      </c>
      <c r="EO250">
        <v>0</v>
      </c>
      <c r="EP250">
        <v>0</v>
      </c>
      <c r="EQ250">
        <v>0</v>
      </c>
      <c r="ER250">
        <v>0</v>
      </c>
      <c r="ES250">
        <v>0</v>
      </c>
      <c r="ET250">
        <v>0</v>
      </c>
      <c r="EU250">
        <v>45</v>
      </c>
      <c r="EV250">
        <v>236</v>
      </c>
      <c r="EW250">
        <v>447</v>
      </c>
      <c r="EX250">
        <v>840</v>
      </c>
      <c r="EY250">
        <v>1164</v>
      </c>
      <c r="EZ250">
        <v>158</v>
      </c>
      <c r="FA250">
        <v>0</v>
      </c>
      <c r="FB250">
        <v>208</v>
      </c>
      <c r="FC250">
        <v>3986</v>
      </c>
      <c r="FD250">
        <v>4341</v>
      </c>
      <c r="FE250">
        <v>0</v>
      </c>
      <c r="FF250">
        <v>89</v>
      </c>
      <c r="FG250">
        <v>1638</v>
      </c>
      <c r="FH250">
        <v>13151</v>
      </c>
      <c r="FI250">
        <v>-746</v>
      </c>
      <c r="FJ250">
        <v>393</v>
      </c>
      <c r="FK250">
        <v>75</v>
      </c>
      <c r="FL250">
        <v>183</v>
      </c>
      <c r="FM250">
        <v>480</v>
      </c>
      <c r="FN250">
        <v>295</v>
      </c>
      <c r="FO250">
        <v>107</v>
      </c>
      <c r="FP250">
        <v>0</v>
      </c>
      <c r="FQ250">
        <v>95</v>
      </c>
      <c r="FR250">
        <v>96</v>
      </c>
      <c r="FS250">
        <v>244</v>
      </c>
      <c r="FT250">
        <v>279</v>
      </c>
      <c r="FU250">
        <v>-11</v>
      </c>
      <c r="FV250">
        <v>817</v>
      </c>
      <c r="FW250">
        <v>0</v>
      </c>
      <c r="FX250">
        <v>490</v>
      </c>
      <c r="FY250">
        <v>58</v>
      </c>
      <c r="FZ250">
        <v>9</v>
      </c>
      <c r="GA250">
        <v>1359</v>
      </c>
      <c r="GB250">
        <v>0</v>
      </c>
      <c r="GC250">
        <v>72</v>
      </c>
      <c r="GD250">
        <v>1533</v>
      </c>
      <c r="GE250">
        <v>1479</v>
      </c>
      <c r="GF250">
        <v>7865</v>
      </c>
      <c r="GG250">
        <v>-15</v>
      </c>
      <c r="GH250">
        <v>4644</v>
      </c>
      <c r="GI250">
        <v>127</v>
      </c>
      <c r="GJ250">
        <v>127</v>
      </c>
      <c r="GK250">
        <v>20056</v>
      </c>
      <c r="GL250">
        <v>125</v>
      </c>
      <c r="GM250">
        <v>122</v>
      </c>
      <c r="GN250">
        <v>204</v>
      </c>
      <c r="GO250">
        <v>411</v>
      </c>
      <c r="GP250">
        <v>138</v>
      </c>
      <c r="GQ250">
        <v>-237</v>
      </c>
      <c r="GR250">
        <v>0</v>
      </c>
      <c r="GS250">
        <v>0</v>
      </c>
      <c r="GT250">
        <v>1850</v>
      </c>
      <c r="GU250">
        <v>2614</v>
      </c>
      <c r="GV250">
        <v>35821</v>
      </c>
      <c r="GW250">
        <v>0</v>
      </c>
      <c r="GX250">
        <v>0</v>
      </c>
      <c r="GY250">
        <v>0</v>
      </c>
      <c r="GZ250">
        <v>0</v>
      </c>
      <c r="HA250">
        <v>0</v>
      </c>
      <c r="HB250">
        <v>2397</v>
      </c>
      <c r="HC250">
        <v>686</v>
      </c>
      <c r="HD250">
        <v>0</v>
      </c>
      <c r="HE250">
        <v>0</v>
      </c>
      <c r="HF250">
        <v>0</v>
      </c>
      <c r="HG250">
        <v>31</v>
      </c>
      <c r="HH250">
        <v>0</v>
      </c>
      <c r="HI250">
        <v>-18</v>
      </c>
      <c r="HJ250">
        <v>232</v>
      </c>
      <c r="HK250">
        <v>337</v>
      </c>
      <c r="HL250">
        <v>56</v>
      </c>
      <c r="HM250">
        <v>-78</v>
      </c>
      <c r="HN250">
        <v>0</v>
      </c>
      <c r="HO250">
        <v>75</v>
      </c>
      <c r="HP250">
        <v>368</v>
      </c>
      <c r="HQ250">
        <v>0</v>
      </c>
      <c r="HR250">
        <v>4819</v>
      </c>
      <c r="HS250">
        <v>0</v>
      </c>
      <c r="HT250">
        <v>148</v>
      </c>
      <c r="HU250">
        <v>-1529</v>
      </c>
      <c r="HV250">
        <v>7525</v>
      </c>
      <c r="HW250">
        <v>0</v>
      </c>
      <c r="HX250">
        <v>24099</v>
      </c>
      <c r="HY250">
        <v>0</v>
      </c>
      <c r="HZ250">
        <v>0</v>
      </c>
      <c r="IA250">
        <v>0</v>
      </c>
      <c r="IB250">
        <v>161</v>
      </c>
      <c r="IC250">
        <v>110205</v>
      </c>
      <c r="ID250">
        <v>8491</v>
      </c>
      <c r="IE250">
        <v>28744</v>
      </c>
      <c r="IF250">
        <v>55238</v>
      </c>
      <c r="IG250">
        <v>15065</v>
      </c>
      <c r="IH250">
        <v>3365</v>
      </c>
      <c r="II250">
        <v>13151</v>
      </c>
      <c r="IJ250">
        <v>20056</v>
      </c>
      <c r="IK250">
        <v>2614</v>
      </c>
      <c r="IL250">
        <v>0</v>
      </c>
      <c r="IM250">
        <v>0</v>
      </c>
      <c r="IN250">
        <v>7525</v>
      </c>
      <c r="IO250">
        <v>161</v>
      </c>
      <c r="IP250">
        <v>264615</v>
      </c>
      <c r="IQ250">
        <v>23554</v>
      </c>
      <c r="IR250">
        <v>711</v>
      </c>
      <c r="IS250">
        <v>0</v>
      </c>
      <c r="IT250">
        <v>0</v>
      </c>
      <c r="IU250">
        <v>0</v>
      </c>
      <c r="IV250">
        <v>1687</v>
      </c>
      <c r="IW250">
        <v>0</v>
      </c>
      <c r="IX250">
        <v>0</v>
      </c>
      <c r="IY250">
        <v>0</v>
      </c>
      <c r="IZ250">
        <v>0</v>
      </c>
      <c r="JA250">
        <v>-33</v>
      </c>
      <c r="JB250">
        <v>573</v>
      </c>
      <c r="JC250">
        <v>0</v>
      </c>
      <c r="JD250">
        <v>0</v>
      </c>
      <c r="JE250">
        <v>34</v>
      </c>
      <c r="JF250">
        <v>3</v>
      </c>
      <c r="JG250">
        <v>291144</v>
      </c>
      <c r="JH250">
        <v>87</v>
      </c>
      <c r="JI250">
        <v>250</v>
      </c>
      <c r="JJ250">
        <v>0</v>
      </c>
      <c r="JK250">
        <v>-66</v>
      </c>
      <c r="JL250">
        <v>0</v>
      </c>
      <c r="JM250">
        <v>0</v>
      </c>
      <c r="JN250">
        <v>6538</v>
      </c>
      <c r="JO250">
        <v>0</v>
      </c>
      <c r="JP250">
        <v>5918</v>
      </c>
      <c r="JQ250">
        <v>0</v>
      </c>
      <c r="JR250">
        <v>303872</v>
      </c>
      <c r="JS250">
        <v>-279</v>
      </c>
      <c r="JT250">
        <v>0</v>
      </c>
      <c r="JU250">
        <v>0</v>
      </c>
      <c r="JV250">
        <v>0</v>
      </c>
      <c r="JW250">
        <v>-32967</v>
      </c>
      <c r="JX250">
        <v>0</v>
      </c>
      <c r="JY250">
        <v>0</v>
      </c>
      <c r="JZ250">
        <v>0</v>
      </c>
      <c r="KA250">
        <v>0</v>
      </c>
      <c r="KB250">
        <v>0</v>
      </c>
      <c r="KC250">
        <v>270626</v>
      </c>
      <c r="KD250">
        <v>0</v>
      </c>
      <c r="KE250">
        <v>-140472</v>
      </c>
      <c r="KF250">
        <v>130154</v>
      </c>
      <c r="KG250">
        <v>0</v>
      </c>
      <c r="KH250">
        <v>638</v>
      </c>
      <c r="KI250">
        <v>1705</v>
      </c>
      <c r="KJ250">
        <v>584</v>
      </c>
      <c r="KK250">
        <v>-3366</v>
      </c>
      <c r="KL250">
        <v>1335</v>
      </c>
      <c r="KM250">
        <v>-6232</v>
      </c>
      <c r="KN250">
        <v>0</v>
      </c>
      <c r="KO250">
        <v>-37359</v>
      </c>
      <c r="KP250">
        <v>1356</v>
      </c>
      <c r="KQ250">
        <v>-2644</v>
      </c>
      <c r="KR250">
        <v>80175</v>
      </c>
      <c r="KS250">
        <v>6217</v>
      </c>
      <c r="KT250">
        <v>3860</v>
      </c>
      <c r="KU250">
        <v>1752</v>
      </c>
      <c r="KV250">
        <v>52816</v>
      </c>
      <c r="KW250">
        <v>7158</v>
      </c>
      <c r="KX250">
        <v>6855</v>
      </c>
      <c r="KY250">
        <v>5565</v>
      </c>
      <c r="KZ250">
        <v>2336</v>
      </c>
      <c r="LA250">
        <v>49450</v>
      </c>
      <c r="LB250">
        <v>8493</v>
      </c>
      <c r="LC250">
        <v>0</v>
      </c>
      <c r="LD250">
        <v>20646</v>
      </c>
      <c r="LE250">
        <v>625</v>
      </c>
      <c r="LF250">
        <v>5438</v>
      </c>
      <c r="LG250">
        <v>-12969</v>
      </c>
      <c r="LH250">
        <v>6158</v>
      </c>
      <c r="LI250">
        <v>19998</v>
      </c>
      <c r="LJ250">
        <v>5186</v>
      </c>
      <c r="LK250">
        <v>3610</v>
      </c>
      <c r="LL250">
        <v>8796</v>
      </c>
      <c r="LM250">
        <v>72</v>
      </c>
      <c r="LN250">
        <v>0</v>
      </c>
      <c r="LO250">
        <v>0</v>
      </c>
      <c r="LP250">
        <v>0</v>
      </c>
      <c r="LQ250">
        <v>0</v>
      </c>
      <c r="LR250">
        <v>0</v>
      </c>
      <c r="LS250">
        <v>0</v>
      </c>
      <c r="LT250">
        <v>0</v>
      </c>
      <c r="LU250">
        <v>110205</v>
      </c>
      <c r="LV250">
        <v>8491</v>
      </c>
      <c r="LW250">
        <v>28744</v>
      </c>
      <c r="LX250">
        <v>55238</v>
      </c>
      <c r="LY250">
        <v>15065</v>
      </c>
      <c r="LZ250">
        <v>3365</v>
      </c>
      <c r="MA250">
        <v>13151</v>
      </c>
      <c r="MB250">
        <v>20056</v>
      </c>
      <c r="MC250">
        <v>2614</v>
      </c>
      <c r="MD250">
        <v>0</v>
      </c>
      <c r="ME250">
        <v>0</v>
      </c>
      <c r="MF250">
        <v>7525</v>
      </c>
      <c r="MG250">
        <v>161</v>
      </c>
      <c r="MH250">
        <v>264615</v>
      </c>
      <c r="MI250">
        <v>0</v>
      </c>
      <c r="MJ250">
        <v>0</v>
      </c>
      <c r="MK250">
        <v>0</v>
      </c>
      <c r="ML250">
        <v>0</v>
      </c>
      <c r="MM250">
        <v>0</v>
      </c>
      <c r="MN250">
        <v>0</v>
      </c>
      <c r="MO250">
        <v>0</v>
      </c>
      <c r="MP250">
        <v>0</v>
      </c>
      <c r="MQ250">
        <v>0</v>
      </c>
      <c r="MR250">
        <v>0</v>
      </c>
      <c r="MS250">
        <v>0</v>
      </c>
      <c r="MT250">
        <v>0</v>
      </c>
      <c r="MU250">
        <v>0</v>
      </c>
      <c r="MV250">
        <v>-37</v>
      </c>
      <c r="MW250">
        <v>0</v>
      </c>
      <c r="MX250">
        <v>5</v>
      </c>
      <c r="MY250">
        <v>0</v>
      </c>
      <c r="MZ250">
        <v>0</v>
      </c>
      <c r="NA250">
        <v>-33</v>
      </c>
      <c r="NB250">
        <v>0</v>
      </c>
      <c r="NC250">
        <v>-33</v>
      </c>
      <c r="ND250">
        <v>0</v>
      </c>
      <c r="NE250">
        <v>0</v>
      </c>
      <c r="NF250">
        <v>0</v>
      </c>
      <c r="NG250">
        <v>0</v>
      </c>
      <c r="NH250">
        <v>0</v>
      </c>
      <c r="NI250">
        <v>0</v>
      </c>
      <c r="NJ250">
        <v>0</v>
      </c>
      <c r="NK250">
        <v>0</v>
      </c>
      <c r="NL250">
        <v>0</v>
      </c>
      <c r="NM250">
        <v>0</v>
      </c>
      <c r="NN250">
        <v>64</v>
      </c>
      <c r="NO250">
        <v>0</v>
      </c>
      <c r="NP250">
        <v>0</v>
      </c>
      <c r="NQ250">
        <v>0</v>
      </c>
      <c r="NR250">
        <v>0</v>
      </c>
      <c r="NS250">
        <v>0</v>
      </c>
      <c r="NT250">
        <v>509</v>
      </c>
      <c r="NU250">
        <v>0</v>
      </c>
      <c r="NV250">
        <v>0</v>
      </c>
      <c r="NW250">
        <v>0</v>
      </c>
      <c r="NX250">
        <v>0</v>
      </c>
      <c r="NY250">
        <v>0</v>
      </c>
      <c r="NZ250">
        <v>573</v>
      </c>
      <c r="OA250">
        <v>0</v>
      </c>
      <c r="OB250">
        <v>573</v>
      </c>
      <c r="OC250">
        <v>0</v>
      </c>
      <c r="OD250">
        <v>0</v>
      </c>
      <c r="OE250">
        <v>0</v>
      </c>
      <c r="OF250">
        <v>0</v>
      </c>
      <c r="OG250">
        <v>0</v>
      </c>
      <c r="OH250">
        <v>0</v>
      </c>
      <c r="OI250">
        <v>0</v>
      </c>
      <c r="OJ250">
        <v>0</v>
      </c>
      <c r="OK250">
        <v>0</v>
      </c>
      <c r="OL250">
        <v>0</v>
      </c>
      <c r="OM250">
        <v>0</v>
      </c>
      <c r="ON250">
        <v>0</v>
      </c>
    </row>
    <row r="251" spans="1:404" x14ac:dyDescent="0.25">
      <c r="A251" t="s">
        <v>821</v>
      </c>
      <c r="B251" t="s">
        <v>822</v>
      </c>
      <c r="C251" t="s">
        <v>820</v>
      </c>
      <c r="E251" t="s">
        <v>5425</v>
      </c>
      <c r="F251">
        <v>0</v>
      </c>
      <c r="G251">
        <v>0</v>
      </c>
      <c r="H251">
        <v>0</v>
      </c>
      <c r="I251">
        <v>0</v>
      </c>
      <c r="J251">
        <v>0</v>
      </c>
      <c r="K251">
        <v>0</v>
      </c>
      <c r="L251">
        <v>0</v>
      </c>
      <c r="M251">
        <v>0</v>
      </c>
      <c r="N251">
        <v>0</v>
      </c>
      <c r="O251">
        <v>0</v>
      </c>
      <c r="P251">
        <v>0</v>
      </c>
      <c r="Q251">
        <v>0</v>
      </c>
      <c r="R251">
        <v>0</v>
      </c>
      <c r="S251">
        <v>0</v>
      </c>
      <c r="T251">
        <v>0</v>
      </c>
      <c r="U251">
        <v>0</v>
      </c>
      <c r="V251">
        <v>0</v>
      </c>
      <c r="W251">
        <v>0</v>
      </c>
      <c r="X251">
        <v>0</v>
      </c>
      <c r="Y251">
        <v>0</v>
      </c>
      <c r="Z251">
        <v>0</v>
      </c>
      <c r="AA251">
        <v>0</v>
      </c>
      <c r="AB251">
        <v>0</v>
      </c>
      <c r="AC251">
        <v>0</v>
      </c>
      <c r="AD251">
        <v>0</v>
      </c>
      <c r="AE251">
        <v>0</v>
      </c>
      <c r="AF251">
        <v>0</v>
      </c>
      <c r="AG251">
        <v>0</v>
      </c>
      <c r="AH251">
        <v>0</v>
      </c>
      <c r="AI251">
        <v>0</v>
      </c>
      <c r="AJ251">
        <v>0</v>
      </c>
      <c r="AK251">
        <v>0</v>
      </c>
      <c r="AL251">
        <v>0</v>
      </c>
      <c r="AM251">
        <v>0</v>
      </c>
      <c r="AN251">
        <v>0</v>
      </c>
      <c r="AO251">
        <v>0</v>
      </c>
      <c r="AP251">
        <v>0</v>
      </c>
      <c r="AQ251">
        <v>0</v>
      </c>
      <c r="AR251">
        <v>0</v>
      </c>
      <c r="AS251">
        <v>0</v>
      </c>
      <c r="AT251">
        <v>0</v>
      </c>
      <c r="AU251">
        <v>0</v>
      </c>
      <c r="AV251">
        <v>0</v>
      </c>
      <c r="AW251">
        <v>0</v>
      </c>
      <c r="AX251">
        <v>0</v>
      </c>
      <c r="AY251">
        <v>0</v>
      </c>
      <c r="AZ251">
        <v>0</v>
      </c>
      <c r="BA251">
        <v>0</v>
      </c>
      <c r="BB251">
        <v>0</v>
      </c>
      <c r="BC251">
        <v>0</v>
      </c>
      <c r="BD251">
        <v>0</v>
      </c>
      <c r="BE251">
        <v>0</v>
      </c>
      <c r="BF251">
        <v>0</v>
      </c>
      <c r="BG251">
        <v>0</v>
      </c>
      <c r="BH251">
        <v>0</v>
      </c>
      <c r="BI251">
        <v>0</v>
      </c>
      <c r="BJ251">
        <v>0</v>
      </c>
      <c r="BK251">
        <v>0</v>
      </c>
      <c r="BL251">
        <v>0</v>
      </c>
      <c r="BM251">
        <v>0</v>
      </c>
      <c r="BN251">
        <v>0</v>
      </c>
      <c r="BO251">
        <v>0</v>
      </c>
      <c r="BP251">
        <v>0</v>
      </c>
      <c r="BQ251">
        <v>0</v>
      </c>
      <c r="BR251">
        <v>0</v>
      </c>
      <c r="BS251">
        <v>0</v>
      </c>
      <c r="BT251">
        <v>0</v>
      </c>
      <c r="BU251">
        <v>0</v>
      </c>
      <c r="BV251">
        <v>0</v>
      </c>
      <c r="BW251">
        <v>0</v>
      </c>
      <c r="BX251">
        <v>0</v>
      </c>
      <c r="BY251">
        <v>0</v>
      </c>
      <c r="BZ251">
        <v>0</v>
      </c>
      <c r="CA251">
        <v>0</v>
      </c>
      <c r="CB251">
        <v>0</v>
      </c>
      <c r="CC251">
        <v>0</v>
      </c>
      <c r="CD251">
        <v>0</v>
      </c>
      <c r="CE251">
        <v>0</v>
      </c>
      <c r="CF251">
        <v>0</v>
      </c>
      <c r="CG251">
        <v>0</v>
      </c>
      <c r="CH251">
        <v>0</v>
      </c>
      <c r="CI251">
        <v>0</v>
      </c>
      <c r="CJ251">
        <v>0</v>
      </c>
      <c r="CK251">
        <v>0</v>
      </c>
      <c r="CL251">
        <v>0</v>
      </c>
      <c r="CM251">
        <v>0</v>
      </c>
      <c r="CN251">
        <v>0</v>
      </c>
      <c r="CO251">
        <v>0</v>
      </c>
      <c r="CP251">
        <v>0</v>
      </c>
      <c r="CQ251">
        <v>0</v>
      </c>
      <c r="CR251">
        <v>0</v>
      </c>
      <c r="CS251">
        <v>0</v>
      </c>
      <c r="CT251">
        <v>0</v>
      </c>
      <c r="CU251">
        <v>0</v>
      </c>
      <c r="CV251">
        <v>0</v>
      </c>
      <c r="CW251">
        <v>0</v>
      </c>
      <c r="CX251">
        <v>0</v>
      </c>
      <c r="CY251">
        <v>0</v>
      </c>
      <c r="CZ251">
        <v>0</v>
      </c>
      <c r="DA251">
        <v>0</v>
      </c>
      <c r="DB251">
        <v>0</v>
      </c>
      <c r="DC251">
        <v>0</v>
      </c>
      <c r="DD251">
        <v>0</v>
      </c>
      <c r="DE251">
        <v>0</v>
      </c>
      <c r="DF251">
        <v>0</v>
      </c>
      <c r="DG251">
        <v>0</v>
      </c>
      <c r="DH251">
        <v>0</v>
      </c>
      <c r="DI251">
        <v>0</v>
      </c>
      <c r="DJ251">
        <v>0</v>
      </c>
      <c r="DK251">
        <v>0</v>
      </c>
      <c r="DL251">
        <v>0</v>
      </c>
      <c r="DM251">
        <v>0</v>
      </c>
      <c r="DN251">
        <v>0</v>
      </c>
      <c r="DO251">
        <v>0</v>
      </c>
      <c r="DP251">
        <v>0</v>
      </c>
      <c r="DQ251">
        <v>0</v>
      </c>
      <c r="DR251">
        <v>0</v>
      </c>
      <c r="DS251">
        <v>0</v>
      </c>
      <c r="DT251">
        <v>0</v>
      </c>
      <c r="DU251">
        <v>0</v>
      </c>
      <c r="DV251">
        <v>0</v>
      </c>
      <c r="DW251">
        <v>0</v>
      </c>
      <c r="DX251">
        <v>0</v>
      </c>
      <c r="DY251">
        <v>0</v>
      </c>
      <c r="DZ251">
        <v>0</v>
      </c>
      <c r="EA251">
        <v>0</v>
      </c>
      <c r="EB251">
        <v>0</v>
      </c>
      <c r="EC251">
        <v>0</v>
      </c>
      <c r="ED251">
        <v>0</v>
      </c>
      <c r="EE251">
        <v>0</v>
      </c>
      <c r="EF251">
        <v>0</v>
      </c>
      <c r="EG251">
        <v>0</v>
      </c>
      <c r="EH251">
        <v>0</v>
      </c>
      <c r="EI251">
        <v>0</v>
      </c>
      <c r="EJ251">
        <v>0</v>
      </c>
      <c r="EK251">
        <v>0</v>
      </c>
      <c r="EL251">
        <v>0</v>
      </c>
      <c r="EM251">
        <v>0</v>
      </c>
      <c r="EN251">
        <v>0</v>
      </c>
      <c r="EO251">
        <v>0</v>
      </c>
      <c r="EP251">
        <v>0</v>
      </c>
      <c r="EQ251">
        <v>0</v>
      </c>
      <c r="ER251">
        <v>0</v>
      </c>
      <c r="ES251">
        <v>0</v>
      </c>
      <c r="ET251">
        <v>0</v>
      </c>
      <c r="EU251">
        <v>0</v>
      </c>
      <c r="EV251">
        <v>0</v>
      </c>
      <c r="EW251">
        <v>0</v>
      </c>
      <c r="EX251">
        <v>0</v>
      </c>
      <c r="EY251">
        <v>0</v>
      </c>
      <c r="EZ251">
        <v>0</v>
      </c>
      <c r="FA251">
        <v>0</v>
      </c>
      <c r="FB251">
        <v>0</v>
      </c>
      <c r="FC251">
        <v>0</v>
      </c>
      <c r="FD251">
        <v>0</v>
      </c>
      <c r="FE251">
        <v>0</v>
      </c>
      <c r="FF251">
        <v>0</v>
      </c>
      <c r="FG251">
        <v>0</v>
      </c>
      <c r="FH251">
        <v>0</v>
      </c>
      <c r="FI251">
        <v>0</v>
      </c>
      <c r="FJ251">
        <v>0</v>
      </c>
      <c r="FK251">
        <v>0</v>
      </c>
      <c r="FL251">
        <v>0</v>
      </c>
      <c r="FM251">
        <v>0</v>
      </c>
      <c r="FN251">
        <v>0</v>
      </c>
      <c r="FO251">
        <v>0</v>
      </c>
      <c r="FP251">
        <v>0</v>
      </c>
      <c r="FQ251">
        <v>0</v>
      </c>
      <c r="FR251">
        <v>0</v>
      </c>
      <c r="FS251">
        <v>0</v>
      </c>
      <c r="FT251">
        <v>0</v>
      </c>
      <c r="FU251">
        <v>0</v>
      </c>
      <c r="FV251">
        <v>0</v>
      </c>
      <c r="FW251">
        <v>0</v>
      </c>
      <c r="FX251">
        <v>0</v>
      </c>
      <c r="FY251">
        <v>0</v>
      </c>
      <c r="FZ251">
        <v>0</v>
      </c>
      <c r="GA251">
        <v>0</v>
      </c>
      <c r="GB251">
        <v>0</v>
      </c>
      <c r="GC251">
        <v>0</v>
      </c>
      <c r="GD251">
        <v>0</v>
      </c>
      <c r="GE251">
        <v>0</v>
      </c>
      <c r="GF251">
        <v>38444</v>
      </c>
      <c r="GG251">
        <v>0</v>
      </c>
      <c r="GH251">
        <v>4886</v>
      </c>
      <c r="GI251">
        <v>473</v>
      </c>
      <c r="GJ251">
        <v>0</v>
      </c>
      <c r="GK251">
        <v>43803</v>
      </c>
      <c r="GL251">
        <v>0</v>
      </c>
      <c r="GM251">
        <v>0</v>
      </c>
      <c r="GN251">
        <v>0</v>
      </c>
      <c r="GO251">
        <v>0</v>
      </c>
      <c r="GP251">
        <v>0</v>
      </c>
      <c r="GQ251">
        <v>0</v>
      </c>
      <c r="GR251">
        <v>0</v>
      </c>
      <c r="GS251">
        <v>0</v>
      </c>
      <c r="GT251">
        <v>0</v>
      </c>
      <c r="GU251">
        <v>0</v>
      </c>
      <c r="GV251">
        <v>43803</v>
      </c>
      <c r="GW251">
        <v>0</v>
      </c>
      <c r="GX251">
        <v>0</v>
      </c>
      <c r="GY251">
        <v>0</v>
      </c>
      <c r="GZ251">
        <v>0</v>
      </c>
      <c r="HA251">
        <v>0</v>
      </c>
      <c r="HB251">
        <v>0</v>
      </c>
      <c r="HC251">
        <v>0</v>
      </c>
      <c r="HD251">
        <v>0</v>
      </c>
      <c r="HE251">
        <v>0</v>
      </c>
      <c r="HF251">
        <v>0</v>
      </c>
      <c r="HG251">
        <v>0</v>
      </c>
      <c r="HH251">
        <v>0</v>
      </c>
      <c r="HI251">
        <v>0</v>
      </c>
      <c r="HJ251">
        <v>0</v>
      </c>
      <c r="HK251">
        <v>0</v>
      </c>
      <c r="HL251">
        <v>0</v>
      </c>
      <c r="HM251">
        <v>0</v>
      </c>
      <c r="HN251">
        <v>0</v>
      </c>
      <c r="HO251">
        <v>0</v>
      </c>
      <c r="HP251">
        <v>0</v>
      </c>
      <c r="HQ251">
        <v>0</v>
      </c>
      <c r="HR251">
        <v>0</v>
      </c>
      <c r="HS251">
        <v>0</v>
      </c>
      <c r="HT251">
        <v>0</v>
      </c>
      <c r="HU251">
        <v>0</v>
      </c>
      <c r="HV251">
        <v>0</v>
      </c>
      <c r="HW251">
        <v>0</v>
      </c>
      <c r="HX251">
        <v>0</v>
      </c>
      <c r="HY251">
        <v>0</v>
      </c>
      <c r="HZ251">
        <v>0</v>
      </c>
      <c r="IA251">
        <v>0</v>
      </c>
      <c r="IB251">
        <v>0</v>
      </c>
      <c r="IC251">
        <v>0</v>
      </c>
      <c r="ID251">
        <v>0</v>
      </c>
      <c r="IE251">
        <v>0</v>
      </c>
      <c r="IF251">
        <v>0</v>
      </c>
      <c r="IG251">
        <v>0</v>
      </c>
      <c r="IH251">
        <v>0</v>
      </c>
      <c r="II251">
        <v>0</v>
      </c>
      <c r="IJ251">
        <v>43803</v>
      </c>
      <c r="IK251">
        <v>0</v>
      </c>
      <c r="IL251">
        <v>0</v>
      </c>
      <c r="IM251">
        <v>0</v>
      </c>
      <c r="IN251">
        <v>0</v>
      </c>
      <c r="IO251">
        <v>0</v>
      </c>
      <c r="IP251">
        <v>43803</v>
      </c>
      <c r="IQ251">
        <v>0</v>
      </c>
      <c r="IR251">
        <v>0</v>
      </c>
      <c r="IS251">
        <v>0</v>
      </c>
      <c r="IT251">
        <v>0</v>
      </c>
      <c r="IU251">
        <v>0</v>
      </c>
      <c r="IV251">
        <v>0</v>
      </c>
      <c r="IW251">
        <v>0</v>
      </c>
      <c r="IX251">
        <v>-57798</v>
      </c>
      <c r="IY251">
        <v>0</v>
      </c>
      <c r="IZ251">
        <v>9</v>
      </c>
      <c r="JA251">
        <v>0</v>
      </c>
      <c r="JB251">
        <v>0</v>
      </c>
      <c r="JC251">
        <v>0</v>
      </c>
      <c r="JD251">
        <v>0</v>
      </c>
      <c r="JE251">
        <v>0</v>
      </c>
      <c r="JF251">
        <v>0</v>
      </c>
      <c r="JG251">
        <v>-13986</v>
      </c>
      <c r="JH251">
        <v>0</v>
      </c>
      <c r="JI251">
        <v>0</v>
      </c>
      <c r="JJ251">
        <v>0</v>
      </c>
      <c r="JK251">
        <v>0</v>
      </c>
      <c r="JL251">
        <v>0</v>
      </c>
      <c r="JM251">
        <v>0</v>
      </c>
      <c r="JN251">
        <v>5263</v>
      </c>
      <c r="JO251">
        <v>0</v>
      </c>
      <c r="JP251">
        <v>1567</v>
      </c>
      <c r="JQ251">
        <v>0</v>
      </c>
      <c r="JR251">
        <v>-7156</v>
      </c>
      <c r="JS251">
        <v>-52</v>
      </c>
      <c r="JT251">
        <v>0</v>
      </c>
      <c r="JU251">
        <v>0</v>
      </c>
      <c r="JV251">
        <v>0</v>
      </c>
      <c r="JW251">
        <v>0</v>
      </c>
      <c r="JX251">
        <v>0</v>
      </c>
      <c r="JY251">
        <v>0</v>
      </c>
      <c r="JZ251">
        <v>0</v>
      </c>
      <c r="KA251">
        <v>0</v>
      </c>
      <c r="KB251">
        <v>0</v>
      </c>
      <c r="KC251">
        <v>-7208</v>
      </c>
      <c r="KD251">
        <v>0</v>
      </c>
      <c r="KE251">
        <v>0</v>
      </c>
      <c r="KF251">
        <v>-7208</v>
      </c>
      <c r="KG251">
        <v>0</v>
      </c>
      <c r="KH251">
        <v>0</v>
      </c>
      <c r="KI251">
        <v>0</v>
      </c>
      <c r="KJ251">
        <v>0</v>
      </c>
      <c r="KK251">
        <v>0</v>
      </c>
      <c r="KL251">
        <v>7207</v>
      </c>
      <c r="KM251">
        <v>0</v>
      </c>
      <c r="KN251">
        <v>0</v>
      </c>
      <c r="KO251">
        <v>0</v>
      </c>
      <c r="KP251">
        <v>0</v>
      </c>
      <c r="KQ251">
        <v>0</v>
      </c>
      <c r="KR251">
        <v>0</v>
      </c>
      <c r="KS251">
        <v>0</v>
      </c>
      <c r="KT251">
        <v>0</v>
      </c>
      <c r="KU251">
        <v>0</v>
      </c>
      <c r="KV251">
        <v>0</v>
      </c>
      <c r="KW251">
        <v>8043</v>
      </c>
      <c r="KX251">
        <v>0</v>
      </c>
      <c r="KY251">
        <v>0</v>
      </c>
      <c r="KZ251">
        <v>0</v>
      </c>
      <c r="LA251">
        <v>0</v>
      </c>
      <c r="LB251">
        <v>15250</v>
      </c>
      <c r="LC251">
        <v>0</v>
      </c>
      <c r="LD251">
        <v>0</v>
      </c>
      <c r="LE251">
        <v>0</v>
      </c>
      <c r="LF251">
        <v>0</v>
      </c>
      <c r="LG251">
        <v>0</v>
      </c>
      <c r="LH251">
        <v>0</v>
      </c>
      <c r="LI251">
        <v>0</v>
      </c>
      <c r="LJ251">
        <v>0</v>
      </c>
      <c r="LK251">
        <v>0</v>
      </c>
      <c r="LL251">
        <v>0</v>
      </c>
      <c r="LM251">
        <v>0</v>
      </c>
      <c r="LN251">
        <v>0</v>
      </c>
      <c r="LO251">
        <v>0</v>
      </c>
      <c r="LP251">
        <v>0</v>
      </c>
      <c r="LQ251">
        <v>0</v>
      </c>
      <c r="LR251">
        <v>0</v>
      </c>
      <c r="LS251">
        <v>0</v>
      </c>
      <c r="LT251">
        <v>0</v>
      </c>
      <c r="LU251">
        <v>0</v>
      </c>
      <c r="LV251">
        <v>0</v>
      </c>
      <c r="LW251">
        <v>0</v>
      </c>
      <c r="LX251">
        <v>0</v>
      </c>
      <c r="LY251">
        <v>0</v>
      </c>
      <c r="LZ251">
        <v>0</v>
      </c>
      <c r="MA251">
        <v>0</v>
      </c>
      <c r="MB251">
        <v>43803</v>
      </c>
      <c r="MC251">
        <v>0</v>
      </c>
      <c r="MD251">
        <v>0</v>
      </c>
      <c r="ME251">
        <v>0</v>
      </c>
      <c r="MF251">
        <v>0</v>
      </c>
      <c r="MG251">
        <v>0</v>
      </c>
      <c r="MH251">
        <v>43803</v>
      </c>
      <c r="MI251">
        <v>0</v>
      </c>
      <c r="MJ251">
        <v>0</v>
      </c>
      <c r="MK251">
        <v>0</v>
      </c>
      <c r="ML251">
        <v>0</v>
      </c>
      <c r="MM251">
        <v>0</v>
      </c>
      <c r="MN251">
        <v>0</v>
      </c>
      <c r="MO251">
        <v>0</v>
      </c>
      <c r="MP251">
        <v>0</v>
      </c>
      <c r="MQ251">
        <v>0</v>
      </c>
      <c r="MR251">
        <v>0</v>
      </c>
      <c r="MS251">
        <v>0</v>
      </c>
      <c r="MT251">
        <v>0</v>
      </c>
      <c r="MU251">
        <v>0</v>
      </c>
      <c r="MV251">
        <v>0</v>
      </c>
      <c r="MW251">
        <v>0</v>
      </c>
      <c r="MX251">
        <v>0</v>
      </c>
      <c r="MY251">
        <v>0</v>
      </c>
      <c r="MZ251">
        <v>0</v>
      </c>
      <c r="NA251">
        <v>0</v>
      </c>
      <c r="NB251">
        <v>0</v>
      </c>
      <c r="NC251">
        <v>0</v>
      </c>
      <c r="ND251">
        <v>0</v>
      </c>
      <c r="NE251">
        <v>0</v>
      </c>
      <c r="NF251">
        <v>0</v>
      </c>
      <c r="NG251">
        <v>0</v>
      </c>
      <c r="NH251">
        <v>0</v>
      </c>
      <c r="NI251">
        <v>0</v>
      </c>
      <c r="NJ251">
        <v>0</v>
      </c>
      <c r="NK251">
        <v>0</v>
      </c>
      <c r="NL251">
        <v>0</v>
      </c>
      <c r="NM251">
        <v>0</v>
      </c>
      <c r="NN251">
        <v>0</v>
      </c>
      <c r="NO251">
        <v>0</v>
      </c>
      <c r="NP251">
        <v>0</v>
      </c>
      <c r="NQ251">
        <v>0</v>
      </c>
      <c r="NR251">
        <v>0</v>
      </c>
      <c r="NS251">
        <v>0</v>
      </c>
      <c r="NT251">
        <v>0</v>
      </c>
      <c r="NU251">
        <v>0</v>
      </c>
      <c r="NV251">
        <v>0</v>
      </c>
      <c r="NW251">
        <v>0</v>
      </c>
      <c r="NX251">
        <v>0</v>
      </c>
      <c r="NY251">
        <v>0</v>
      </c>
      <c r="NZ251">
        <v>0</v>
      </c>
      <c r="OA251">
        <v>0</v>
      </c>
      <c r="OB251">
        <v>0</v>
      </c>
      <c r="OC251">
        <v>0</v>
      </c>
      <c r="OD251">
        <v>0</v>
      </c>
      <c r="OE251">
        <v>0</v>
      </c>
      <c r="OF251">
        <v>0</v>
      </c>
      <c r="OG251">
        <v>0</v>
      </c>
      <c r="OH251">
        <v>0</v>
      </c>
      <c r="OI251">
        <v>0</v>
      </c>
      <c r="OJ251">
        <v>0</v>
      </c>
      <c r="OK251">
        <v>0</v>
      </c>
      <c r="OL251">
        <v>0</v>
      </c>
      <c r="OM251">
        <v>0</v>
      </c>
      <c r="ON251">
        <v>0</v>
      </c>
    </row>
    <row r="252" spans="1:404" x14ac:dyDescent="0.25">
      <c r="A252" t="s">
        <v>824</v>
      </c>
      <c r="B252" t="s">
        <v>825</v>
      </c>
      <c r="C252" t="s">
        <v>823</v>
      </c>
      <c r="E252" t="s">
        <v>61</v>
      </c>
    </row>
    <row r="253" spans="1:404" x14ac:dyDescent="0.25">
      <c r="A253" t="s">
        <v>827</v>
      </c>
      <c r="B253" t="s">
        <v>828</v>
      </c>
      <c r="C253" t="s">
        <v>826</v>
      </c>
      <c r="E253" t="s">
        <v>125</v>
      </c>
      <c r="F253">
        <v>4115</v>
      </c>
      <c r="G253">
        <v>47725</v>
      </c>
      <c r="H253">
        <v>6621</v>
      </c>
      <c r="I253">
        <v>4610</v>
      </c>
      <c r="J253">
        <v>580</v>
      </c>
      <c r="K253">
        <v>71011</v>
      </c>
      <c r="L253">
        <v>134661</v>
      </c>
      <c r="M253">
        <v>567</v>
      </c>
      <c r="N253">
        <v>0</v>
      </c>
      <c r="O253">
        <v>4173</v>
      </c>
      <c r="P253">
        <v>0</v>
      </c>
      <c r="Q253">
        <v>0</v>
      </c>
      <c r="R253">
        <v>188</v>
      </c>
      <c r="S253">
        <v>0</v>
      </c>
      <c r="T253">
        <v>836</v>
      </c>
      <c r="U253">
        <v>5451</v>
      </c>
      <c r="V253">
        <v>0</v>
      </c>
      <c r="W253">
        <v>0</v>
      </c>
      <c r="X253">
        <v>62</v>
      </c>
      <c r="Y253">
        <v>408</v>
      </c>
      <c r="Z253">
        <v>360</v>
      </c>
      <c r="AA253">
        <v>0</v>
      </c>
      <c r="AB253">
        <v>2779</v>
      </c>
      <c r="AC253">
        <v>253</v>
      </c>
      <c r="AD253">
        <v>0</v>
      </c>
      <c r="AE253">
        <v>0</v>
      </c>
      <c r="AF253">
        <v>0</v>
      </c>
      <c r="AG253">
        <v>80</v>
      </c>
      <c r="AH253">
        <v>0</v>
      </c>
      <c r="AI253">
        <v>15158</v>
      </c>
      <c r="AJ253">
        <v>0</v>
      </c>
      <c r="AK253">
        <v>0</v>
      </c>
      <c r="AL253">
        <v>0</v>
      </c>
      <c r="AM253">
        <v>0</v>
      </c>
      <c r="AN253">
        <v>0</v>
      </c>
      <c r="AO253">
        <v>0</v>
      </c>
      <c r="AP253">
        <v>0</v>
      </c>
      <c r="AQ253">
        <v>1143</v>
      </c>
      <c r="AR253">
        <v>0</v>
      </c>
      <c r="AS253">
        <v>0</v>
      </c>
      <c r="AT253">
        <v>0</v>
      </c>
      <c r="AU253">
        <v>0</v>
      </c>
      <c r="AV253">
        <v>0</v>
      </c>
      <c r="AW253">
        <v>37177</v>
      </c>
      <c r="AX253">
        <v>385</v>
      </c>
      <c r="AY253">
        <v>5211</v>
      </c>
      <c r="AZ253">
        <v>1142</v>
      </c>
      <c r="BA253">
        <v>13299</v>
      </c>
      <c r="BB253">
        <v>1388</v>
      </c>
      <c r="BC253">
        <v>500</v>
      </c>
      <c r="BD253">
        <v>59102</v>
      </c>
      <c r="BE253">
        <v>11000</v>
      </c>
      <c r="BF253">
        <v>22795</v>
      </c>
      <c r="BG253">
        <v>307</v>
      </c>
      <c r="BH253">
        <v>-40</v>
      </c>
      <c r="BI253">
        <v>855</v>
      </c>
      <c r="BJ253">
        <v>12492</v>
      </c>
      <c r="BK253">
        <v>46469</v>
      </c>
      <c r="BL253">
        <v>0</v>
      </c>
      <c r="BM253">
        <v>5175</v>
      </c>
      <c r="BN253">
        <v>0</v>
      </c>
      <c r="BO253">
        <v>0</v>
      </c>
      <c r="BP253">
        <v>0</v>
      </c>
      <c r="BQ253">
        <v>1196</v>
      </c>
      <c r="BR253">
        <v>-366</v>
      </c>
      <c r="BS253">
        <v>-1489</v>
      </c>
      <c r="BT253">
        <v>2752</v>
      </c>
      <c r="BU253">
        <v>273</v>
      </c>
      <c r="BV253">
        <v>3018</v>
      </c>
      <c r="BW253">
        <v>107381</v>
      </c>
      <c r="BX253">
        <v>2217</v>
      </c>
      <c r="BY253">
        <v>0</v>
      </c>
      <c r="BZ253">
        <v>0</v>
      </c>
      <c r="CA253">
        <v>71</v>
      </c>
      <c r="CB253">
        <v>6822</v>
      </c>
      <c r="CC253">
        <v>0</v>
      </c>
      <c r="CD253">
        <v>0</v>
      </c>
      <c r="CE253">
        <v>192</v>
      </c>
      <c r="CF253">
        <v>0</v>
      </c>
      <c r="CG253">
        <v>183</v>
      </c>
      <c r="CH253">
        <v>0</v>
      </c>
      <c r="CI253">
        <v>1998</v>
      </c>
      <c r="CJ253">
        <v>0</v>
      </c>
      <c r="CK253">
        <v>542</v>
      </c>
      <c r="CL253">
        <v>0</v>
      </c>
      <c r="CM253">
        <v>556</v>
      </c>
      <c r="CN253">
        <v>376</v>
      </c>
      <c r="CO253">
        <v>0</v>
      </c>
      <c r="CP253">
        <v>241</v>
      </c>
      <c r="CQ253">
        <v>5716</v>
      </c>
      <c r="CR253">
        <v>296</v>
      </c>
      <c r="CS253">
        <v>18</v>
      </c>
      <c r="CT253">
        <v>571</v>
      </c>
      <c r="CU253">
        <v>1785</v>
      </c>
      <c r="CV253">
        <v>24754</v>
      </c>
      <c r="CW253">
        <v>0</v>
      </c>
      <c r="CX253">
        <v>0</v>
      </c>
      <c r="CY253">
        <v>0</v>
      </c>
      <c r="CZ253">
        <v>0</v>
      </c>
      <c r="DA253">
        <v>0</v>
      </c>
      <c r="DB253">
        <v>0</v>
      </c>
      <c r="DC253">
        <v>904</v>
      </c>
      <c r="DD253">
        <v>0</v>
      </c>
      <c r="DE253">
        <v>0</v>
      </c>
      <c r="DF253">
        <v>0</v>
      </c>
      <c r="DG253">
        <v>13</v>
      </c>
      <c r="DH253">
        <v>126</v>
      </c>
      <c r="DI253">
        <v>34</v>
      </c>
      <c r="DJ253">
        <v>0</v>
      </c>
      <c r="DK253">
        <v>0</v>
      </c>
      <c r="DL253">
        <v>2667</v>
      </c>
      <c r="DM253">
        <v>475</v>
      </c>
      <c r="DN253">
        <v>0</v>
      </c>
      <c r="DO253">
        <v>0</v>
      </c>
      <c r="DP253">
        <v>3316</v>
      </c>
      <c r="DQ253">
        <v>0</v>
      </c>
      <c r="DR253">
        <v>0</v>
      </c>
      <c r="DS253">
        <v>0</v>
      </c>
      <c r="DT253">
        <v>6721</v>
      </c>
      <c r="DU253">
        <v>1</v>
      </c>
      <c r="DV253">
        <v>-81</v>
      </c>
      <c r="DW253">
        <v>8</v>
      </c>
      <c r="DX253">
        <v>10870</v>
      </c>
      <c r="DY253">
        <v>33754</v>
      </c>
      <c r="DZ253">
        <v>0</v>
      </c>
      <c r="EA253">
        <v>1028</v>
      </c>
      <c r="EB253">
        <v>0</v>
      </c>
      <c r="EC253">
        <v>0</v>
      </c>
      <c r="ED253">
        <v>87</v>
      </c>
      <c r="EE253">
        <v>0</v>
      </c>
      <c r="EF253">
        <v>0</v>
      </c>
      <c r="EG253">
        <v>0</v>
      </c>
      <c r="EH253">
        <v>9724</v>
      </c>
      <c r="EI253">
        <v>6827</v>
      </c>
      <c r="EJ253">
        <v>2034</v>
      </c>
      <c r="EK253">
        <v>227</v>
      </c>
      <c r="EL253">
        <v>3876</v>
      </c>
      <c r="EM253">
        <v>0</v>
      </c>
      <c r="EN253">
        <v>6423</v>
      </c>
      <c r="EO253">
        <v>0</v>
      </c>
      <c r="EP253">
        <v>315</v>
      </c>
      <c r="EQ253">
        <v>4593</v>
      </c>
      <c r="ER253">
        <v>171</v>
      </c>
      <c r="ES253">
        <v>1918</v>
      </c>
      <c r="ET253">
        <v>2597</v>
      </c>
      <c r="EU253">
        <v>47</v>
      </c>
      <c r="EV253">
        <v>1625</v>
      </c>
      <c r="EW253">
        <v>0</v>
      </c>
      <c r="EX253">
        <v>0</v>
      </c>
      <c r="EY253">
        <v>0</v>
      </c>
      <c r="EZ253">
        <v>4545</v>
      </c>
      <c r="FA253">
        <v>2847</v>
      </c>
      <c r="FB253">
        <v>0</v>
      </c>
      <c r="FC253">
        <v>0</v>
      </c>
      <c r="FD253">
        <v>0</v>
      </c>
      <c r="FE253">
        <v>0</v>
      </c>
      <c r="FF253">
        <v>68</v>
      </c>
      <c r="FG253">
        <v>1652</v>
      </c>
      <c r="FH253">
        <v>10784</v>
      </c>
      <c r="FI253">
        <v>-945</v>
      </c>
      <c r="FJ253">
        <v>521</v>
      </c>
      <c r="FK253">
        <v>0</v>
      </c>
      <c r="FL253">
        <v>288</v>
      </c>
      <c r="FM253">
        <v>71</v>
      </c>
      <c r="FN253">
        <v>0</v>
      </c>
      <c r="FO253">
        <v>0</v>
      </c>
      <c r="FP253">
        <v>0</v>
      </c>
      <c r="FQ253">
        <v>-12</v>
      </c>
      <c r="FR253">
        <v>79</v>
      </c>
      <c r="FS253">
        <v>176</v>
      </c>
      <c r="FT253">
        <v>1218</v>
      </c>
      <c r="FU253">
        <v>-199</v>
      </c>
      <c r="FV253">
        <v>-58</v>
      </c>
      <c r="FW253">
        <v>345</v>
      </c>
      <c r="FX253">
        <v>60</v>
      </c>
      <c r="FY253">
        <v>138</v>
      </c>
      <c r="FZ253">
        <v>0</v>
      </c>
      <c r="GA253">
        <v>0</v>
      </c>
      <c r="GB253">
        <v>0</v>
      </c>
      <c r="GC253">
        <v>0</v>
      </c>
      <c r="GD253">
        <v>3016</v>
      </c>
      <c r="GE253">
        <v>5104</v>
      </c>
      <c r="GF253">
        <v>11454</v>
      </c>
      <c r="GG253">
        <v>-836</v>
      </c>
      <c r="GH253">
        <v>4333</v>
      </c>
      <c r="GI253">
        <v>0</v>
      </c>
      <c r="GJ253">
        <v>-3</v>
      </c>
      <c r="GK253">
        <v>24749</v>
      </c>
      <c r="GL253">
        <v>692</v>
      </c>
      <c r="GM253">
        <v>694</v>
      </c>
      <c r="GN253">
        <v>1908</v>
      </c>
      <c r="GO253">
        <v>0</v>
      </c>
      <c r="GP253">
        <v>513</v>
      </c>
      <c r="GQ253">
        <v>540</v>
      </c>
      <c r="GR253">
        <v>0</v>
      </c>
      <c r="GS253">
        <v>-2250</v>
      </c>
      <c r="GT253">
        <v>516</v>
      </c>
      <c r="GU253">
        <v>2613</v>
      </c>
      <c r="GV253">
        <v>38146</v>
      </c>
      <c r="GW253">
        <v>0</v>
      </c>
      <c r="GX253">
        <v>0</v>
      </c>
      <c r="GY253">
        <v>0</v>
      </c>
      <c r="GZ253">
        <v>0</v>
      </c>
      <c r="HA253">
        <v>0</v>
      </c>
      <c r="HB253">
        <v>10277</v>
      </c>
      <c r="HC253">
        <v>313</v>
      </c>
      <c r="HD253">
        <v>0</v>
      </c>
      <c r="HE253">
        <v>0</v>
      </c>
      <c r="HF253">
        <v>-10</v>
      </c>
      <c r="HG253">
        <v>156</v>
      </c>
      <c r="HH253">
        <v>0</v>
      </c>
      <c r="HI253">
        <v>2390</v>
      </c>
      <c r="HJ253">
        <v>733</v>
      </c>
      <c r="HK253">
        <v>0</v>
      </c>
      <c r="HL253">
        <v>4937</v>
      </c>
      <c r="HM253">
        <v>0</v>
      </c>
      <c r="HN253">
        <v>0</v>
      </c>
      <c r="HO253">
        <v>0</v>
      </c>
      <c r="HP253">
        <v>0</v>
      </c>
      <c r="HQ253">
        <v>0</v>
      </c>
      <c r="HR253">
        <v>8889</v>
      </c>
      <c r="HS253">
        <v>0</v>
      </c>
      <c r="HT253">
        <v>0</v>
      </c>
      <c r="HU253">
        <v>8287</v>
      </c>
      <c r="HV253">
        <v>35971</v>
      </c>
      <c r="HW253">
        <v>0</v>
      </c>
      <c r="HX253">
        <v>0</v>
      </c>
      <c r="HY253">
        <v>0</v>
      </c>
      <c r="HZ253">
        <v>0</v>
      </c>
      <c r="IA253">
        <v>16</v>
      </c>
      <c r="IB253">
        <v>0</v>
      </c>
      <c r="IC253">
        <v>134661</v>
      </c>
      <c r="ID253">
        <v>15158</v>
      </c>
      <c r="IE253">
        <v>59102</v>
      </c>
      <c r="IF253">
        <v>107381</v>
      </c>
      <c r="IG253">
        <v>24754</v>
      </c>
      <c r="IH253">
        <v>10870</v>
      </c>
      <c r="II253">
        <v>10784</v>
      </c>
      <c r="IJ253">
        <v>24749</v>
      </c>
      <c r="IK253">
        <v>2613</v>
      </c>
      <c r="IL253">
        <v>0</v>
      </c>
      <c r="IM253">
        <v>0</v>
      </c>
      <c r="IN253">
        <v>35971</v>
      </c>
      <c r="IO253">
        <v>0</v>
      </c>
      <c r="IP253">
        <v>426043</v>
      </c>
      <c r="IQ253">
        <v>40209</v>
      </c>
      <c r="IR253">
        <v>260</v>
      </c>
      <c r="IS253">
        <v>12029</v>
      </c>
      <c r="IT253">
        <v>0</v>
      </c>
      <c r="IU253">
        <v>0</v>
      </c>
      <c r="IV253">
        <v>6193</v>
      </c>
      <c r="IW253">
        <v>0</v>
      </c>
      <c r="IX253">
        <v>0</v>
      </c>
      <c r="IY253">
        <v>0</v>
      </c>
      <c r="IZ253">
        <v>0</v>
      </c>
      <c r="JA253">
        <v>0</v>
      </c>
      <c r="JB253">
        <v>0</v>
      </c>
      <c r="JC253">
        <v>0</v>
      </c>
      <c r="JD253">
        <v>0</v>
      </c>
      <c r="JE253">
        <v>0</v>
      </c>
      <c r="JF253">
        <v>0</v>
      </c>
      <c r="JG253">
        <v>484734</v>
      </c>
      <c r="JH253">
        <v>321</v>
      </c>
      <c r="JI253">
        <v>0</v>
      </c>
      <c r="JJ253">
        <v>0</v>
      </c>
      <c r="JK253">
        <v>0</v>
      </c>
      <c r="JL253">
        <v>0</v>
      </c>
      <c r="JM253">
        <v>0</v>
      </c>
      <c r="JN253">
        <v>5838</v>
      </c>
      <c r="JO253">
        <v>0</v>
      </c>
      <c r="JP253">
        <v>8806</v>
      </c>
      <c r="JQ253">
        <v>-209</v>
      </c>
      <c r="JR253">
        <v>499489</v>
      </c>
      <c r="JS253">
        <v>-816</v>
      </c>
      <c r="JT253">
        <v>-2509</v>
      </c>
      <c r="JU253">
        <v>0</v>
      </c>
      <c r="JV253">
        <v>0</v>
      </c>
      <c r="JW253">
        <v>-56564</v>
      </c>
      <c r="JX253">
        <v>0</v>
      </c>
      <c r="JY253">
        <v>0</v>
      </c>
      <c r="JZ253">
        <v>0</v>
      </c>
      <c r="KA253">
        <v>0</v>
      </c>
      <c r="KB253">
        <v>0</v>
      </c>
      <c r="KC253">
        <v>439600</v>
      </c>
      <c r="KD253">
        <v>-266</v>
      </c>
      <c r="KE253">
        <v>-177731</v>
      </c>
      <c r="KF253">
        <v>261603</v>
      </c>
      <c r="KG253">
        <v>0</v>
      </c>
      <c r="KH253">
        <v>0</v>
      </c>
      <c r="KI253">
        <v>0</v>
      </c>
      <c r="KJ253">
        <v>0</v>
      </c>
      <c r="KK253">
        <v>-8062</v>
      </c>
      <c r="KL253">
        <v>0</v>
      </c>
      <c r="KM253">
        <v>-4757</v>
      </c>
      <c r="KN253">
        <v>0</v>
      </c>
      <c r="KO253">
        <v>-82783</v>
      </c>
      <c r="KP253">
        <v>25077</v>
      </c>
      <c r="KQ253">
        <v>0</v>
      </c>
      <c r="KR253">
        <v>177711</v>
      </c>
      <c r="KS253">
        <v>0</v>
      </c>
      <c r="KT253">
        <v>0</v>
      </c>
      <c r="KU253">
        <v>0</v>
      </c>
      <c r="KV253">
        <v>0</v>
      </c>
      <c r="KW253">
        <v>25817</v>
      </c>
      <c r="KX253">
        <v>0</v>
      </c>
      <c r="KY253">
        <v>0</v>
      </c>
      <c r="KZ253">
        <v>0</v>
      </c>
      <c r="LA253">
        <v>-8062</v>
      </c>
      <c r="LB253">
        <v>25817</v>
      </c>
      <c r="LC253">
        <v>0</v>
      </c>
      <c r="LD253">
        <v>0</v>
      </c>
      <c r="LE253">
        <v>0</v>
      </c>
      <c r="LF253">
        <v>0</v>
      </c>
      <c r="LG253">
        <v>0</v>
      </c>
      <c r="LH253">
        <v>0</v>
      </c>
      <c r="LI253">
        <v>0</v>
      </c>
      <c r="LJ253">
        <v>7520</v>
      </c>
      <c r="LK253">
        <v>8112</v>
      </c>
      <c r="LL253">
        <v>15632</v>
      </c>
      <c r="LM253">
        <v>0</v>
      </c>
      <c r="LN253">
        <v>0</v>
      </c>
      <c r="LO253">
        <v>0</v>
      </c>
      <c r="LP253">
        <v>34869</v>
      </c>
      <c r="LQ253">
        <v>34190</v>
      </c>
      <c r="LR253">
        <v>679</v>
      </c>
      <c r="LS253">
        <v>1918</v>
      </c>
      <c r="LT253">
        <v>2597</v>
      </c>
      <c r="LU253">
        <v>134661</v>
      </c>
      <c r="LV253">
        <v>15158</v>
      </c>
      <c r="LW253">
        <v>59102</v>
      </c>
      <c r="LX253">
        <v>107381</v>
      </c>
      <c r="LY253">
        <v>24754</v>
      </c>
      <c r="LZ253">
        <v>10870</v>
      </c>
      <c r="MA253">
        <v>10784</v>
      </c>
      <c r="MB253">
        <v>24749</v>
      </c>
      <c r="MC253">
        <v>2613</v>
      </c>
      <c r="MD253">
        <v>0</v>
      </c>
      <c r="ME253">
        <v>0</v>
      </c>
      <c r="MF253">
        <v>35971</v>
      </c>
      <c r="MG253">
        <v>0</v>
      </c>
      <c r="MH253">
        <v>426043</v>
      </c>
      <c r="MI253">
        <v>0</v>
      </c>
      <c r="MJ253">
        <v>0</v>
      </c>
      <c r="MK253">
        <v>0</v>
      </c>
      <c r="ML253">
        <v>0</v>
      </c>
      <c r="MM253">
        <v>0</v>
      </c>
      <c r="MN253">
        <v>0</v>
      </c>
      <c r="MO253">
        <v>0</v>
      </c>
      <c r="MP253">
        <v>0</v>
      </c>
      <c r="MQ253">
        <v>0</v>
      </c>
      <c r="MR253">
        <v>0</v>
      </c>
      <c r="MS253">
        <v>0</v>
      </c>
      <c r="MT253">
        <v>0</v>
      </c>
      <c r="MU253">
        <v>0</v>
      </c>
      <c r="MV253">
        <v>0</v>
      </c>
      <c r="MW253">
        <v>0</v>
      </c>
      <c r="MX253">
        <v>0</v>
      </c>
      <c r="MY253">
        <v>0</v>
      </c>
      <c r="MZ253">
        <v>0</v>
      </c>
      <c r="NA253">
        <v>0</v>
      </c>
      <c r="NB253">
        <v>0</v>
      </c>
      <c r="NC253">
        <v>0</v>
      </c>
      <c r="ND253">
        <v>0</v>
      </c>
      <c r="NE253">
        <v>0</v>
      </c>
      <c r="NF253">
        <v>0</v>
      </c>
      <c r="NG253">
        <v>0</v>
      </c>
      <c r="NH253">
        <v>0</v>
      </c>
      <c r="NI253">
        <v>0</v>
      </c>
      <c r="NJ253">
        <v>0</v>
      </c>
      <c r="NK253">
        <v>0</v>
      </c>
      <c r="NL253">
        <v>0</v>
      </c>
      <c r="NM253">
        <v>0</v>
      </c>
      <c r="NN253">
        <v>0</v>
      </c>
      <c r="NO253">
        <v>0</v>
      </c>
      <c r="NP253">
        <v>0</v>
      </c>
      <c r="NQ253">
        <v>0</v>
      </c>
      <c r="NR253">
        <v>0</v>
      </c>
      <c r="NS253">
        <v>0</v>
      </c>
      <c r="NT253">
        <v>0</v>
      </c>
      <c r="NU253">
        <v>0</v>
      </c>
      <c r="NV253">
        <v>0</v>
      </c>
      <c r="NW253">
        <v>0</v>
      </c>
      <c r="NX253">
        <v>0</v>
      </c>
      <c r="NY253">
        <v>0</v>
      </c>
      <c r="NZ253">
        <v>0</v>
      </c>
      <c r="OA253">
        <v>0</v>
      </c>
      <c r="OB253">
        <v>0</v>
      </c>
      <c r="OC253">
        <v>0</v>
      </c>
      <c r="OD253">
        <v>0</v>
      </c>
      <c r="OE253">
        <v>0</v>
      </c>
      <c r="OF253">
        <v>0</v>
      </c>
      <c r="OG253">
        <v>0</v>
      </c>
      <c r="OH253">
        <v>0</v>
      </c>
      <c r="OI253">
        <v>0</v>
      </c>
      <c r="OJ253">
        <v>0</v>
      </c>
      <c r="OK253">
        <v>0</v>
      </c>
      <c r="OL253">
        <v>0</v>
      </c>
      <c r="OM253">
        <v>0</v>
      </c>
      <c r="ON253">
        <v>0</v>
      </c>
    </row>
    <row r="254" spans="1:404" x14ac:dyDescent="0.25">
      <c r="A254" t="s">
        <v>830</v>
      </c>
      <c r="B254" t="s">
        <v>831</v>
      </c>
      <c r="C254" t="s">
        <v>829</v>
      </c>
      <c r="E254" t="s">
        <v>1390</v>
      </c>
      <c r="F254">
        <v>0</v>
      </c>
      <c r="G254">
        <v>0</v>
      </c>
      <c r="H254">
        <v>0</v>
      </c>
      <c r="I254">
        <v>0</v>
      </c>
      <c r="J254">
        <v>0</v>
      </c>
      <c r="K254">
        <v>22972</v>
      </c>
      <c r="L254">
        <v>22972</v>
      </c>
      <c r="M254">
        <v>33666</v>
      </c>
      <c r="N254">
        <v>0</v>
      </c>
      <c r="O254">
        <v>0</v>
      </c>
      <c r="P254">
        <v>0</v>
      </c>
      <c r="Q254">
        <v>0</v>
      </c>
      <c r="R254">
        <v>0</v>
      </c>
      <c r="S254">
        <v>0</v>
      </c>
      <c r="T254">
        <v>0</v>
      </c>
      <c r="U254">
        <v>0</v>
      </c>
      <c r="V254">
        <v>0</v>
      </c>
      <c r="W254">
        <v>0</v>
      </c>
      <c r="X254">
        <v>0</v>
      </c>
      <c r="Y254">
        <v>0</v>
      </c>
      <c r="Z254">
        <v>0</v>
      </c>
      <c r="AA254">
        <v>0</v>
      </c>
      <c r="AB254">
        <v>0</v>
      </c>
      <c r="AC254">
        <v>0</v>
      </c>
      <c r="AD254">
        <v>0</v>
      </c>
      <c r="AE254">
        <v>0</v>
      </c>
      <c r="AF254">
        <v>0</v>
      </c>
      <c r="AG254">
        <v>0</v>
      </c>
      <c r="AH254">
        <v>0</v>
      </c>
      <c r="AI254">
        <v>33666</v>
      </c>
      <c r="AJ254">
        <v>0</v>
      </c>
      <c r="AK254">
        <v>0</v>
      </c>
      <c r="AL254">
        <v>0</v>
      </c>
      <c r="AM254">
        <v>0</v>
      </c>
      <c r="AN254">
        <v>0</v>
      </c>
      <c r="AO254">
        <v>0</v>
      </c>
      <c r="AP254">
        <v>0</v>
      </c>
      <c r="AQ254">
        <v>0</v>
      </c>
      <c r="AR254">
        <v>0</v>
      </c>
      <c r="AS254">
        <v>0</v>
      </c>
      <c r="AT254">
        <v>0</v>
      </c>
      <c r="AU254">
        <v>0</v>
      </c>
      <c r="AV254">
        <v>0</v>
      </c>
      <c r="AW254">
        <v>0</v>
      </c>
      <c r="AX254">
        <v>0</v>
      </c>
      <c r="AY254">
        <v>0</v>
      </c>
      <c r="AZ254">
        <v>0</v>
      </c>
      <c r="BA254">
        <v>0</v>
      </c>
      <c r="BB254">
        <v>0</v>
      </c>
      <c r="BC254">
        <v>0</v>
      </c>
      <c r="BD254">
        <v>0</v>
      </c>
      <c r="BE254">
        <v>0</v>
      </c>
      <c r="BF254">
        <v>0</v>
      </c>
      <c r="BG254">
        <v>0</v>
      </c>
      <c r="BH254">
        <v>0</v>
      </c>
      <c r="BI254">
        <v>0</v>
      </c>
      <c r="BJ254">
        <v>0</v>
      </c>
      <c r="BK254">
        <v>0</v>
      </c>
      <c r="BL254">
        <v>0</v>
      </c>
      <c r="BM254">
        <v>0</v>
      </c>
      <c r="BN254">
        <v>0</v>
      </c>
      <c r="BO254">
        <v>0</v>
      </c>
      <c r="BP254">
        <v>0</v>
      </c>
      <c r="BQ254">
        <v>0</v>
      </c>
      <c r="BR254">
        <v>0</v>
      </c>
      <c r="BS254">
        <v>0</v>
      </c>
      <c r="BT254">
        <v>0</v>
      </c>
      <c r="BU254">
        <v>0</v>
      </c>
      <c r="BV254">
        <v>0</v>
      </c>
      <c r="BW254">
        <v>0</v>
      </c>
      <c r="BX254">
        <v>0</v>
      </c>
      <c r="BY254">
        <v>0</v>
      </c>
      <c r="BZ254">
        <v>0</v>
      </c>
      <c r="CA254">
        <v>0</v>
      </c>
      <c r="CB254">
        <v>0</v>
      </c>
      <c r="CC254">
        <v>0</v>
      </c>
      <c r="CD254">
        <v>0</v>
      </c>
      <c r="CE254">
        <v>0</v>
      </c>
      <c r="CF254">
        <v>0</v>
      </c>
      <c r="CG254">
        <v>0</v>
      </c>
      <c r="CH254">
        <v>0</v>
      </c>
      <c r="CI254">
        <v>0</v>
      </c>
      <c r="CJ254">
        <v>0</v>
      </c>
      <c r="CK254">
        <v>0</v>
      </c>
      <c r="CL254">
        <v>0</v>
      </c>
      <c r="CM254">
        <v>0</v>
      </c>
      <c r="CN254">
        <v>0</v>
      </c>
      <c r="CO254">
        <v>0</v>
      </c>
      <c r="CP254">
        <v>0</v>
      </c>
      <c r="CQ254">
        <v>0</v>
      </c>
      <c r="CR254">
        <v>0</v>
      </c>
      <c r="CS254">
        <v>0</v>
      </c>
      <c r="CT254">
        <v>0</v>
      </c>
      <c r="CU254">
        <v>0</v>
      </c>
      <c r="CV254">
        <v>0</v>
      </c>
      <c r="CW254">
        <v>0</v>
      </c>
      <c r="CX254">
        <v>0</v>
      </c>
      <c r="CY254">
        <v>0</v>
      </c>
      <c r="CZ254">
        <v>0</v>
      </c>
      <c r="DA254">
        <v>0</v>
      </c>
      <c r="DB254">
        <v>0</v>
      </c>
      <c r="DC254">
        <v>0</v>
      </c>
      <c r="DD254">
        <v>0</v>
      </c>
      <c r="DE254">
        <v>0</v>
      </c>
      <c r="DF254">
        <v>0</v>
      </c>
      <c r="DG254">
        <v>0</v>
      </c>
      <c r="DH254">
        <v>0</v>
      </c>
      <c r="DI254">
        <v>0</v>
      </c>
      <c r="DJ254">
        <v>0</v>
      </c>
      <c r="DK254">
        <v>0</v>
      </c>
      <c r="DL254">
        <v>0</v>
      </c>
      <c r="DM254">
        <v>0</v>
      </c>
      <c r="DN254">
        <v>0</v>
      </c>
      <c r="DO254">
        <v>0</v>
      </c>
      <c r="DP254">
        <v>0</v>
      </c>
      <c r="DQ254">
        <v>0</v>
      </c>
      <c r="DR254">
        <v>0</v>
      </c>
      <c r="DS254">
        <v>0</v>
      </c>
      <c r="DT254">
        <v>0</v>
      </c>
      <c r="DU254">
        <v>0</v>
      </c>
      <c r="DV254">
        <v>0</v>
      </c>
      <c r="DW254">
        <v>0</v>
      </c>
      <c r="DX254">
        <v>0</v>
      </c>
      <c r="DY254">
        <v>0</v>
      </c>
      <c r="DZ254">
        <v>0</v>
      </c>
      <c r="EA254">
        <v>0</v>
      </c>
      <c r="EB254">
        <v>0</v>
      </c>
      <c r="EC254">
        <v>0</v>
      </c>
      <c r="ED254">
        <v>0</v>
      </c>
      <c r="EE254">
        <v>0</v>
      </c>
      <c r="EF254">
        <v>0</v>
      </c>
      <c r="EG254">
        <v>0</v>
      </c>
      <c r="EH254">
        <v>0</v>
      </c>
      <c r="EI254">
        <v>0</v>
      </c>
      <c r="EJ254">
        <v>0</v>
      </c>
      <c r="EK254">
        <v>0</v>
      </c>
      <c r="EL254">
        <v>0</v>
      </c>
      <c r="EM254">
        <v>0</v>
      </c>
      <c r="EN254">
        <v>0</v>
      </c>
      <c r="EO254">
        <v>0</v>
      </c>
      <c r="EP254">
        <v>0</v>
      </c>
      <c r="EQ254">
        <v>0</v>
      </c>
      <c r="ER254">
        <v>0</v>
      </c>
      <c r="ES254">
        <v>0</v>
      </c>
      <c r="ET254">
        <v>0</v>
      </c>
      <c r="EU254">
        <v>0</v>
      </c>
      <c r="EV254">
        <v>0</v>
      </c>
      <c r="EW254">
        <v>0</v>
      </c>
      <c r="EX254">
        <v>0</v>
      </c>
      <c r="EY254">
        <v>0</v>
      </c>
      <c r="EZ254">
        <v>0</v>
      </c>
      <c r="FA254">
        <v>0</v>
      </c>
      <c r="FB254">
        <v>0</v>
      </c>
      <c r="FC254">
        <v>0</v>
      </c>
      <c r="FD254">
        <v>0</v>
      </c>
      <c r="FE254">
        <v>0</v>
      </c>
      <c r="FF254">
        <v>0</v>
      </c>
      <c r="FG254">
        <v>0</v>
      </c>
      <c r="FH254">
        <v>0</v>
      </c>
      <c r="FI254">
        <v>0</v>
      </c>
      <c r="FJ254">
        <v>0</v>
      </c>
      <c r="FK254">
        <v>0</v>
      </c>
      <c r="FL254">
        <v>0</v>
      </c>
      <c r="FM254">
        <v>0</v>
      </c>
      <c r="FN254">
        <v>0</v>
      </c>
      <c r="FO254">
        <v>0</v>
      </c>
      <c r="FP254">
        <v>0</v>
      </c>
      <c r="FQ254">
        <v>0</v>
      </c>
      <c r="FR254">
        <v>0</v>
      </c>
      <c r="FS254">
        <v>0</v>
      </c>
      <c r="FT254">
        <v>0</v>
      </c>
      <c r="FU254">
        <v>0</v>
      </c>
      <c r="FV254">
        <v>0</v>
      </c>
      <c r="FW254">
        <v>0</v>
      </c>
      <c r="FX254">
        <v>0</v>
      </c>
      <c r="FY254">
        <v>0</v>
      </c>
      <c r="FZ254">
        <v>0</v>
      </c>
      <c r="GA254">
        <v>0</v>
      </c>
      <c r="GB254">
        <v>0</v>
      </c>
      <c r="GC254">
        <v>0</v>
      </c>
      <c r="GD254">
        <v>0</v>
      </c>
      <c r="GE254">
        <v>0</v>
      </c>
      <c r="GF254">
        <v>0</v>
      </c>
      <c r="GG254">
        <v>0</v>
      </c>
      <c r="GH254">
        <v>0</v>
      </c>
      <c r="GI254">
        <v>0</v>
      </c>
      <c r="GJ254">
        <v>0</v>
      </c>
      <c r="GK254">
        <v>0</v>
      </c>
      <c r="GL254">
        <v>0</v>
      </c>
      <c r="GM254">
        <v>0</v>
      </c>
      <c r="GN254">
        <v>0</v>
      </c>
      <c r="GO254">
        <v>0</v>
      </c>
      <c r="GP254">
        <v>0</v>
      </c>
      <c r="GQ254">
        <v>0</v>
      </c>
      <c r="GR254">
        <v>0</v>
      </c>
      <c r="GS254">
        <v>0</v>
      </c>
      <c r="GT254">
        <v>0</v>
      </c>
      <c r="GU254">
        <v>0</v>
      </c>
      <c r="GV254">
        <v>0</v>
      </c>
      <c r="GW254">
        <v>0</v>
      </c>
      <c r="GX254">
        <v>0</v>
      </c>
      <c r="GY254">
        <v>0</v>
      </c>
      <c r="GZ254">
        <v>0</v>
      </c>
      <c r="HA254">
        <v>0</v>
      </c>
      <c r="HB254">
        <v>0</v>
      </c>
      <c r="HC254">
        <v>0</v>
      </c>
      <c r="HD254">
        <v>0</v>
      </c>
      <c r="HE254">
        <v>0</v>
      </c>
      <c r="HF254">
        <v>0</v>
      </c>
      <c r="HG254">
        <v>0</v>
      </c>
      <c r="HH254">
        <v>0</v>
      </c>
      <c r="HI254">
        <v>0</v>
      </c>
      <c r="HJ254">
        <v>0</v>
      </c>
      <c r="HK254">
        <v>0</v>
      </c>
      <c r="HL254">
        <v>0</v>
      </c>
      <c r="HM254">
        <v>0</v>
      </c>
      <c r="HN254">
        <v>0</v>
      </c>
      <c r="HO254">
        <v>0</v>
      </c>
      <c r="HP254">
        <v>0</v>
      </c>
      <c r="HQ254">
        <v>0</v>
      </c>
      <c r="HR254">
        <v>0</v>
      </c>
      <c r="HS254">
        <v>0</v>
      </c>
      <c r="HT254">
        <v>0</v>
      </c>
      <c r="HU254">
        <v>1550</v>
      </c>
      <c r="HV254">
        <v>1550</v>
      </c>
      <c r="HW254">
        <v>0</v>
      </c>
      <c r="HX254">
        <v>0</v>
      </c>
      <c r="HY254">
        <v>0</v>
      </c>
      <c r="HZ254">
        <v>0</v>
      </c>
      <c r="IA254">
        <v>7431</v>
      </c>
      <c r="IB254">
        <v>28268</v>
      </c>
      <c r="IC254">
        <v>22972</v>
      </c>
      <c r="ID254">
        <v>33666</v>
      </c>
      <c r="IE254">
        <v>0</v>
      </c>
      <c r="IF254">
        <v>0</v>
      </c>
      <c r="IG254">
        <v>0</v>
      </c>
      <c r="IH254">
        <v>0</v>
      </c>
      <c r="II254">
        <v>0</v>
      </c>
      <c r="IJ254">
        <v>0</v>
      </c>
      <c r="IK254">
        <v>0</v>
      </c>
      <c r="IL254">
        <v>0</v>
      </c>
      <c r="IM254">
        <v>0</v>
      </c>
      <c r="IN254">
        <v>1550</v>
      </c>
      <c r="IO254">
        <v>28268</v>
      </c>
      <c r="IP254">
        <v>86456</v>
      </c>
      <c r="IQ254">
        <v>0</v>
      </c>
      <c r="IR254">
        <v>0</v>
      </c>
      <c r="IS254">
        <v>0</v>
      </c>
      <c r="IT254">
        <v>0</v>
      </c>
      <c r="IU254">
        <v>0</v>
      </c>
      <c r="IV254">
        <v>0</v>
      </c>
      <c r="IW254">
        <v>-33666</v>
      </c>
      <c r="IX254">
        <v>0</v>
      </c>
      <c r="IY254">
        <v>0</v>
      </c>
      <c r="IZ254">
        <v>0</v>
      </c>
      <c r="JA254">
        <v>0</v>
      </c>
      <c r="JB254">
        <v>0</v>
      </c>
      <c r="JC254">
        <v>0</v>
      </c>
      <c r="JD254">
        <v>0</v>
      </c>
      <c r="JE254">
        <v>0</v>
      </c>
      <c r="JF254">
        <v>0</v>
      </c>
      <c r="JG254">
        <v>52790</v>
      </c>
      <c r="JH254">
        <v>0</v>
      </c>
      <c r="JI254">
        <v>0</v>
      </c>
      <c r="JJ254">
        <v>0</v>
      </c>
      <c r="JK254">
        <v>0</v>
      </c>
      <c r="JL254">
        <v>0</v>
      </c>
      <c r="JM254">
        <v>0</v>
      </c>
      <c r="JN254">
        <v>0</v>
      </c>
      <c r="JO254">
        <v>0</v>
      </c>
      <c r="JP254">
        <v>0</v>
      </c>
      <c r="JQ254">
        <v>0</v>
      </c>
      <c r="JR254">
        <v>52790</v>
      </c>
      <c r="JS254">
        <v>-1229</v>
      </c>
      <c r="JT254">
        <v>0</v>
      </c>
      <c r="JU254">
        <v>0</v>
      </c>
      <c r="JV254">
        <v>0</v>
      </c>
      <c r="JW254">
        <v>0</v>
      </c>
      <c r="JX254">
        <v>0</v>
      </c>
      <c r="JY254">
        <v>0</v>
      </c>
      <c r="JZ254">
        <v>0</v>
      </c>
      <c r="KA254">
        <v>0</v>
      </c>
      <c r="KB254">
        <v>0</v>
      </c>
      <c r="KC254">
        <v>51561</v>
      </c>
      <c r="KD254">
        <v>0</v>
      </c>
      <c r="KE254">
        <v>-51561</v>
      </c>
      <c r="KF254">
        <v>0</v>
      </c>
      <c r="KG254">
        <v>0</v>
      </c>
      <c r="KH254">
        <v>0</v>
      </c>
      <c r="KI254">
        <v>0</v>
      </c>
      <c r="KJ254">
        <v>0</v>
      </c>
      <c r="KK254">
        <v>0</v>
      </c>
      <c r="KL254">
        <v>0</v>
      </c>
      <c r="KM254">
        <v>0</v>
      </c>
      <c r="KN254">
        <v>0</v>
      </c>
      <c r="KO254">
        <v>0</v>
      </c>
      <c r="KP254">
        <v>0</v>
      </c>
      <c r="KQ254">
        <v>0</v>
      </c>
      <c r="KR254">
        <v>0</v>
      </c>
      <c r="KS254">
        <v>0</v>
      </c>
      <c r="KT254">
        <v>0</v>
      </c>
      <c r="KU254">
        <v>0</v>
      </c>
      <c r="KV254">
        <v>53399</v>
      </c>
      <c r="KW254">
        <v>0</v>
      </c>
      <c r="KX254">
        <v>0</v>
      </c>
      <c r="KY254">
        <v>0</v>
      </c>
      <c r="KZ254">
        <v>0</v>
      </c>
      <c r="LA254">
        <v>53399</v>
      </c>
      <c r="LB254">
        <v>0</v>
      </c>
      <c r="LC254">
        <v>0</v>
      </c>
      <c r="LD254">
        <v>0</v>
      </c>
      <c r="LE254">
        <v>0</v>
      </c>
      <c r="LF254">
        <v>0</v>
      </c>
      <c r="LG254">
        <v>0</v>
      </c>
      <c r="LH254">
        <v>0</v>
      </c>
      <c r="LI254">
        <v>0</v>
      </c>
      <c r="LJ254">
        <v>0</v>
      </c>
      <c r="LK254">
        <v>0</v>
      </c>
      <c r="LL254">
        <v>0</v>
      </c>
      <c r="LM254">
        <v>0</v>
      </c>
      <c r="LN254">
        <v>0</v>
      </c>
      <c r="LO254">
        <v>0</v>
      </c>
      <c r="LP254">
        <v>0</v>
      </c>
      <c r="LQ254">
        <v>0</v>
      </c>
      <c r="LR254">
        <v>0</v>
      </c>
      <c r="LS254">
        <v>0</v>
      </c>
      <c r="LT254">
        <v>0</v>
      </c>
      <c r="LU254">
        <v>22972</v>
      </c>
      <c r="LV254">
        <v>33666</v>
      </c>
      <c r="LW254">
        <v>0</v>
      </c>
      <c r="LX254">
        <v>0</v>
      </c>
      <c r="LY254">
        <v>0</v>
      </c>
      <c r="LZ254">
        <v>0</v>
      </c>
      <c r="MA254">
        <v>0</v>
      </c>
      <c r="MB254">
        <v>0</v>
      </c>
      <c r="MC254">
        <v>0</v>
      </c>
      <c r="MD254">
        <v>0</v>
      </c>
      <c r="ME254">
        <v>0</v>
      </c>
      <c r="MF254">
        <v>1550</v>
      </c>
      <c r="MG254">
        <v>28268</v>
      </c>
      <c r="MH254">
        <v>86456</v>
      </c>
      <c r="MI254">
        <v>0</v>
      </c>
      <c r="MJ254">
        <v>0</v>
      </c>
      <c r="MK254">
        <v>0</v>
      </c>
      <c r="ML254">
        <v>0</v>
      </c>
      <c r="MM254">
        <v>0</v>
      </c>
      <c r="MN254">
        <v>0</v>
      </c>
      <c r="MO254">
        <v>0</v>
      </c>
      <c r="MP254">
        <v>0</v>
      </c>
      <c r="MQ254">
        <v>0</v>
      </c>
      <c r="MR254">
        <v>0</v>
      </c>
      <c r="MS254">
        <v>0</v>
      </c>
      <c r="MT254">
        <v>0</v>
      </c>
      <c r="MU254">
        <v>0</v>
      </c>
      <c r="MV254">
        <v>0</v>
      </c>
      <c r="MW254">
        <v>0</v>
      </c>
      <c r="MX254">
        <v>0</v>
      </c>
      <c r="MY254">
        <v>0</v>
      </c>
      <c r="MZ254">
        <v>0</v>
      </c>
      <c r="NA254">
        <v>0</v>
      </c>
      <c r="NB254">
        <v>0</v>
      </c>
      <c r="NC254">
        <v>0</v>
      </c>
      <c r="ND254">
        <v>0</v>
      </c>
      <c r="NE254">
        <v>0</v>
      </c>
      <c r="NF254">
        <v>0</v>
      </c>
      <c r="NG254">
        <v>0</v>
      </c>
      <c r="NH254">
        <v>0</v>
      </c>
      <c r="NI254">
        <v>0</v>
      </c>
      <c r="NJ254">
        <v>0</v>
      </c>
      <c r="NK254">
        <v>0</v>
      </c>
      <c r="NL254">
        <v>0</v>
      </c>
      <c r="NM254">
        <v>0</v>
      </c>
      <c r="NN254">
        <v>0</v>
      </c>
      <c r="NO254">
        <v>0</v>
      </c>
      <c r="NP254">
        <v>0</v>
      </c>
      <c r="NQ254">
        <v>0</v>
      </c>
      <c r="NR254">
        <v>0</v>
      </c>
      <c r="NS254">
        <v>0</v>
      </c>
      <c r="NT254">
        <v>0</v>
      </c>
      <c r="NU254">
        <v>0</v>
      </c>
      <c r="NV254">
        <v>0</v>
      </c>
      <c r="NW254">
        <v>0</v>
      </c>
      <c r="NX254">
        <v>0</v>
      </c>
      <c r="NY254">
        <v>0</v>
      </c>
      <c r="NZ254">
        <v>0</v>
      </c>
      <c r="OA254">
        <v>0</v>
      </c>
      <c r="OB254">
        <v>0</v>
      </c>
      <c r="OC254">
        <v>0</v>
      </c>
      <c r="OD254">
        <v>0</v>
      </c>
      <c r="OE254">
        <v>0</v>
      </c>
      <c r="OF254">
        <v>0</v>
      </c>
      <c r="OG254">
        <v>0</v>
      </c>
      <c r="OH254">
        <v>0</v>
      </c>
      <c r="OI254">
        <v>0</v>
      </c>
      <c r="OJ254">
        <v>0</v>
      </c>
      <c r="OK254">
        <v>0</v>
      </c>
      <c r="OL254">
        <v>0</v>
      </c>
      <c r="OM254">
        <v>0</v>
      </c>
      <c r="ON254">
        <v>0</v>
      </c>
    </row>
    <row r="255" spans="1:404" x14ac:dyDescent="0.25">
      <c r="A255" t="s">
        <v>833</v>
      </c>
      <c r="B255" t="s">
        <v>834</v>
      </c>
      <c r="C255" t="s">
        <v>832</v>
      </c>
      <c r="E255" t="s">
        <v>125</v>
      </c>
      <c r="F255">
        <v>9502</v>
      </c>
      <c r="G255">
        <v>21651</v>
      </c>
      <c r="H255">
        <v>11810</v>
      </c>
      <c r="I255">
        <v>24187</v>
      </c>
      <c r="J255">
        <v>763</v>
      </c>
      <c r="K255">
        <v>3386</v>
      </c>
      <c r="L255">
        <v>71299</v>
      </c>
      <c r="M255">
        <v>-217</v>
      </c>
      <c r="N255">
        <v>1474</v>
      </c>
      <c r="O255">
        <v>142</v>
      </c>
      <c r="P255">
        <v>562</v>
      </c>
      <c r="Q255">
        <v>34</v>
      </c>
      <c r="R255">
        <v>188</v>
      </c>
      <c r="S255">
        <v>1906</v>
      </c>
      <c r="T255">
        <v>450</v>
      </c>
      <c r="U255">
        <v>1023</v>
      </c>
      <c r="V255">
        <v>0</v>
      </c>
      <c r="W255">
        <v>0</v>
      </c>
      <c r="X255">
        <v>97</v>
      </c>
      <c r="Y255">
        <v>79</v>
      </c>
      <c r="Z255">
        <v>198</v>
      </c>
      <c r="AA255">
        <v>-1488</v>
      </c>
      <c r="AB255">
        <v>2090</v>
      </c>
      <c r="AC255">
        <v>110</v>
      </c>
      <c r="AD255">
        <v>0</v>
      </c>
      <c r="AE255">
        <v>0</v>
      </c>
      <c r="AF255">
        <v>804</v>
      </c>
      <c r="AG255">
        <v>-46</v>
      </c>
      <c r="AH255">
        <v>0</v>
      </c>
      <c r="AI255">
        <v>7406</v>
      </c>
      <c r="AJ255">
        <v>0</v>
      </c>
      <c r="AK255">
        <v>0</v>
      </c>
      <c r="AL255">
        <v>0</v>
      </c>
      <c r="AM255">
        <v>0</v>
      </c>
      <c r="AN255">
        <v>0</v>
      </c>
      <c r="AO255">
        <v>0</v>
      </c>
      <c r="AP255">
        <v>0</v>
      </c>
      <c r="AQ255">
        <v>0</v>
      </c>
      <c r="AR255">
        <v>1175</v>
      </c>
      <c r="AS255">
        <v>0</v>
      </c>
      <c r="AT255">
        <v>0</v>
      </c>
      <c r="AU255">
        <v>0</v>
      </c>
      <c r="AV255">
        <v>2643</v>
      </c>
      <c r="AW255">
        <v>14115</v>
      </c>
      <c r="AX255">
        <v>795</v>
      </c>
      <c r="AY255">
        <v>2824</v>
      </c>
      <c r="AZ255">
        <v>701</v>
      </c>
      <c r="BA255">
        <v>6504</v>
      </c>
      <c r="BB255">
        <v>756</v>
      </c>
      <c r="BC255">
        <v>0</v>
      </c>
      <c r="BD255">
        <v>28338</v>
      </c>
      <c r="BE255">
        <v>6585</v>
      </c>
      <c r="BF255">
        <v>14989</v>
      </c>
      <c r="BG255">
        <v>43</v>
      </c>
      <c r="BH255">
        <v>281</v>
      </c>
      <c r="BI255">
        <v>244</v>
      </c>
      <c r="BJ255">
        <v>4512</v>
      </c>
      <c r="BK255">
        <v>26706</v>
      </c>
      <c r="BL255">
        <v>2869</v>
      </c>
      <c r="BM255">
        <v>5627</v>
      </c>
      <c r="BN255">
        <v>2178</v>
      </c>
      <c r="BO255">
        <v>289</v>
      </c>
      <c r="BP255">
        <v>0</v>
      </c>
      <c r="BQ255">
        <v>0</v>
      </c>
      <c r="BR255">
        <v>917</v>
      </c>
      <c r="BS255">
        <v>485</v>
      </c>
      <c r="BT255">
        <v>8053</v>
      </c>
      <c r="BU255">
        <v>693</v>
      </c>
      <c r="BV255">
        <v>3107</v>
      </c>
      <c r="BW255">
        <v>77578</v>
      </c>
      <c r="BX255">
        <v>1226</v>
      </c>
      <c r="BY255">
        <v>247</v>
      </c>
      <c r="BZ255">
        <v>21</v>
      </c>
      <c r="CA255">
        <v>20</v>
      </c>
      <c r="CB255">
        <v>60</v>
      </c>
      <c r="CC255">
        <v>37</v>
      </c>
      <c r="CD255">
        <v>212</v>
      </c>
      <c r="CE255">
        <v>16</v>
      </c>
      <c r="CF255">
        <v>21</v>
      </c>
      <c r="CG255">
        <v>98</v>
      </c>
      <c r="CH255">
        <v>-5</v>
      </c>
      <c r="CI255">
        <v>1700</v>
      </c>
      <c r="CJ255">
        <v>573</v>
      </c>
      <c r="CK255">
        <v>57</v>
      </c>
      <c r="CL255">
        <v>0</v>
      </c>
      <c r="CM255">
        <v>0</v>
      </c>
      <c r="CN255">
        <v>413</v>
      </c>
      <c r="CO255">
        <v>0</v>
      </c>
      <c r="CP255">
        <v>411</v>
      </c>
      <c r="CQ255">
        <v>2575</v>
      </c>
      <c r="CR255">
        <v>1103</v>
      </c>
      <c r="CS255">
        <v>45</v>
      </c>
      <c r="CT255">
        <v>77</v>
      </c>
      <c r="CU255">
        <v>4404</v>
      </c>
      <c r="CV255">
        <v>13311</v>
      </c>
      <c r="CW255">
        <v>0</v>
      </c>
      <c r="CX255">
        <v>0</v>
      </c>
      <c r="CY255">
        <v>0</v>
      </c>
      <c r="CZ255">
        <v>0</v>
      </c>
      <c r="DA255">
        <v>0</v>
      </c>
      <c r="DB255">
        <v>0</v>
      </c>
      <c r="DC255">
        <v>241</v>
      </c>
      <c r="DD255">
        <v>0</v>
      </c>
      <c r="DE255">
        <v>108</v>
      </c>
      <c r="DF255">
        <v>37</v>
      </c>
      <c r="DG255">
        <v>0</v>
      </c>
      <c r="DH255">
        <v>0</v>
      </c>
      <c r="DI255">
        <v>0</v>
      </c>
      <c r="DJ255">
        <v>294</v>
      </c>
      <c r="DK255">
        <v>0</v>
      </c>
      <c r="DL255">
        <v>0</v>
      </c>
      <c r="DM255">
        <v>0</v>
      </c>
      <c r="DN255">
        <v>892</v>
      </c>
      <c r="DO255">
        <v>0</v>
      </c>
      <c r="DP255">
        <v>1186</v>
      </c>
      <c r="DQ255">
        <v>386</v>
      </c>
      <c r="DR255">
        <v>0</v>
      </c>
      <c r="DS255">
        <v>0</v>
      </c>
      <c r="DT255">
        <v>2091</v>
      </c>
      <c r="DU255">
        <v>-39</v>
      </c>
      <c r="DV255">
        <v>1346</v>
      </c>
      <c r="DW255">
        <v>0</v>
      </c>
      <c r="DX255">
        <v>5356</v>
      </c>
      <c r="DY255">
        <v>0</v>
      </c>
      <c r="DZ255">
        <v>0</v>
      </c>
      <c r="EA255">
        <v>0</v>
      </c>
      <c r="EB255">
        <v>0</v>
      </c>
      <c r="EC255">
        <v>0</v>
      </c>
      <c r="ED255">
        <v>0</v>
      </c>
      <c r="EE255">
        <v>0</v>
      </c>
      <c r="EF255">
        <v>0</v>
      </c>
      <c r="EG255">
        <v>0</v>
      </c>
      <c r="EH255">
        <v>0</v>
      </c>
      <c r="EI255">
        <v>0</v>
      </c>
      <c r="EJ255">
        <v>0</v>
      </c>
      <c r="EK255">
        <v>0</v>
      </c>
      <c r="EL255">
        <v>0</v>
      </c>
      <c r="EM255">
        <v>0</v>
      </c>
      <c r="EN255">
        <v>0</v>
      </c>
      <c r="EO255">
        <v>0</v>
      </c>
      <c r="EP255">
        <v>0</v>
      </c>
      <c r="EQ255">
        <v>0</v>
      </c>
      <c r="ER255">
        <v>0</v>
      </c>
      <c r="ES255">
        <v>0</v>
      </c>
      <c r="ET255">
        <v>0</v>
      </c>
      <c r="EU255">
        <v>78</v>
      </c>
      <c r="EV255">
        <v>0</v>
      </c>
      <c r="EW255">
        <v>5</v>
      </c>
      <c r="EX255">
        <v>0</v>
      </c>
      <c r="EY255">
        <v>-16</v>
      </c>
      <c r="EZ255">
        <v>385</v>
      </c>
      <c r="FA255">
        <v>145</v>
      </c>
      <c r="FB255">
        <v>3</v>
      </c>
      <c r="FC255">
        <v>772</v>
      </c>
      <c r="FD255">
        <v>2438</v>
      </c>
      <c r="FE255">
        <v>0</v>
      </c>
      <c r="FF255">
        <v>-139</v>
      </c>
      <c r="FG255">
        <v>2070</v>
      </c>
      <c r="FH255">
        <v>5741</v>
      </c>
      <c r="FI255">
        <v>-530</v>
      </c>
      <c r="FJ255">
        <v>640</v>
      </c>
      <c r="FK255">
        <v>-67</v>
      </c>
      <c r="FL255">
        <v>531</v>
      </c>
      <c r="FM255">
        <v>278</v>
      </c>
      <c r="FN255">
        <v>354</v>
      </c>
      <c r="FO255">
        <v>-19</v>
      </c>
      <c r="FP255">
        <v>0</v>
      </c>
      <c r="FQ255">
        <v>0</v>
      </c>
      <c r="FR255">
        <v>294</v>
      </c>
      <c r="FS255">
        <v>113</v>
      </c>
      <c r="FT255">
        <v>329</v>
      </c>
      <c r="FU255">
        <v>119</v>
      </c>
      <c r="FV255">
        <v>-254</v>
      </c>
      <c r="FW255">
        <v>-58</v>
      </c>
      <c r="FX255">
        <v>448</v>
      </c>
      <c r="FY255">
        <v>319</v>
      </c>
      <c r="FZ255">
        <v>0</v>
      </c>
      <c r="GA255">
        <v>575</v>
      </c>
      <c r="GB255">
        <v>0</v>
      </c>
      <c r="GC255">
        <v>-33</v>
      </c>
      <c r="GD255">
        <v>1209</v>
      </c>
      <c r="GE255">
        <v>6066</v>
      </c>
      <c r="GF255">
        <v>8447</v>
      </c>
      <c r="GG255">
        <v>-77</v>
      </c>
      <c r="GH255">
        <v>231</v>
      </c>
      <c r="GI255">
        <v>89</v>
      </c>
      <c r="GJ255">
        <v>156</v>
      </c>
      <c r="GK255">
        <v>19160</v>
      </c>
      <c r="GL255">
        <v>153</v>
      </c>
      <c r="GM255">
        <v>2146</v>
      </c>
      <c r="GN255">
        <v>10</v>
      </c>
      <c r="GO255">
        <v>669</v>
      </c>
      <c r="GP255">
        <v>1</v>
      </c>
      <c r="GQ255">
        <v>1394</v>
      </c>
      <c r="GR255">
        <v>2724</v>
      </c>
      <c r="GS255">
        <v>-183</v>
      </c>
      <c r="GT255">
        <v>540</v>
      </c>
      <c r="GU255">
        <v>7454</v>
      </c>
      <c r="GV255">
        <v>32355</v>
      </c>
      <c r="GW255">
        <v>0</v>
      </c>
      <c r="GX255">
        <v>0</v>
      </c>
      <c r="GY255">
        <v>0</v>
      </c>
      <c r="GZ255">
        <v>0</v>
      </c>
      <c r="HA255">
        <v>0</v>
      </c>
      <c r="HB255">
        <v>3026</v>
      </c>
      <c r="HC255">
        <v>2639</v>
      </c>
      <c r="HD255">
        <v>0</v>
      </c>
      <c r="HE255">
        <v>0</v>
      </c>
      <c r="HF255">
        <v>102</v>
      </c>
      <c r="HG255">
        <v>59</v>
      </c>
      <c r="HH255">
        <v>0</v>
      </c>
      <c r="HI255">
        <v>-3</v>
      </c>
      <c r="HJ255">
        <v>254</v>
      </c>
      <c r="HK255">
        <v>23</v>
      </c>
      <c r="HL255">
        <v>19</v>
      </c>
      <c r="HM255">
        <v>-212</v>
      </c>
      <c r="HN255">
        <v>49</v>
      </c>
      <c r="HO255">
        <v>96</v>
      </c>
      <c r="HP255">
        <v>454</v>
      </c>
      <c r="HQ255">
        <v>9</v>
      </c>
      <c r="HR255">
        <v>1287</v>
      </c>
      <c r="HS255">
        <v>0</v>
      </c>
      <c r="HT255">
        <v>0</v>
      </c>
      <c r="HU255">
        <v>-1205</v>
      </c>
      <c r="HV255">
        <v>6597</v>
      </c>
      <c r="HW255">
        <v>7</v>
      </c>
      <c r="HX255">
        <v>0</v>
      </c>
      <c r="HY255">
        <v>0</v>
      </c>
      <c r="HZ255">
        <v>0</v>
      </c>
      <c r="IA255">
        <v>186</v>
      </c>
      <c r="IB255">
        <v>0</v>
      </c>
      <c r="IC255">
        <v>71299</v>
      </c>
      <c r="ID255">
        <v>7406</v>
      </c>
      <c r="IE255">
        <v>28338</v>
      </c>
      <c r="IF255">
        <v>77578</v>
      </c>
      <c r="IG255">
        <v>13311</v>
      </c>
      <c r="IH255">
        <v>5356</v>
      </c>
      <c r="II255">
        <v>5741</v>
      </c>
      <c r="IJ255">
        <v>19160</v>
      </c>
      <c r="IK255">
        <v>7454</v>
      </c>
      <c r="IL255">
        <v>0</v>
      </c>
      <c r="IM255">
        <v>0</v>
      </c>
      <c r="IN255">
        <v>6597</v>
      </c>
      <c r="IO255">
        <v>0</v>
      </c>
      <c r="IP255">
        <v>242240</v>
      </c>
      <c r="IQ255">
        <v>40341</v>
      </c>
      <c r="IR255">
        <v>221</v>
      </c>
      <c r="IS255">
        <v>0</v>
      </c>
      <c r="IT255">
        <v>0</v>
      </c>
      <c r="IU255">
        <v>0</v>
      </c>
      <c r="IV255">
        <v>6106</v>
      </c>
      <c r="IW255">
        <v>0</v>
      </c>
      <c r="IX255">
        <v>0</v>
      </c>
      <c r="IY255">
        <v>0</v>
      </c>
      <c r="IZ255">
        <v>0</v>
      </c>
      <c r="JA255">
        <v>0</v>
      </c>
      <c r="JB255">
        <v>0</v>
      </c>
      <c r="JC255">
        <v>0</v>
      </c>
      <c r="JD255">
        <v>0</v>
      </c>
      <c r="JE255">
        <v>512</v>
      </c>
      <c r="JF255">
        <v>179</v>
      </c>
      <c r="JG255">
        <v>289599</v>
      </c>
      <c r="JH255">
        <v>293</v>
      </c>
      <c r="JI255">
        <v>1576</v>
      </c>
      <c r="JJ255">
        <v>0</v>
      </c>
      <c r="JK255">
        <v>0</v>
      </c>
      <c r="JL255">
        <v>0</v>
      </c>
      <c r="JM255">
        <v>-360</v>
      </c>
      <c r="JN255">
        <v>5968</v>
      </c>
      <c r="JO255">
        <v>485</v>
      </c>
      <c r="JP255">
        <v>5920</v>
      </c>
      <c r="JQ255">
        <v>0</v>
      </c>
      <c r="JR255">
        <v>303481</v>
      </c>
      <c r="JS255">
        <v>-2886</v>
      </c>
      <c r="JT255">
        <v>0</v>
      </c>
      <c r="JU255">
        <v>-50</v>
      </c>
      <c r="JV255">
        <v>0</v>
      </c>
      <c r="JW255">
        <v>-44608</v>
      </c>
      <c r="JX255">
        <v>0</v>
      </c>
      <c r="JY255">
        <v>-2874</v>
      </c>
      <c r="JZ255">
        <v>0</v>
      </c>
      <c r="KA255">
        <v>0</v>
      </c>
      <c r="KB255">
        <v>-6297</v>
      </c>
      <c r="KC255">
        <v>246766</v>
      </c>
      <c r="KD255">
        <v>-43</v>
      </c>
      <c r="KE255">
        <v>-95641</v>
      </c>
      <c r="KF255">
        <v>151082</v>
      </c>
      <c r="KG255">
        <v>0</v>
      </c>
      <c r="KH255">
        <v>729</v>
      </c>
      <c r="KI255">
        <v>0</v>
      </c>
      <c r="KJ255">
        <v>4845</v>
      </c>
      <c r="KK255">
        <v>10971</v>
      </c>
      <c r="KL255">
        <v>691</v>
      </c>
      <c r="KM255">
        <v>-2179</v>
      </c>
      <c r="KN255">
        <v>0</v>
      </c>
      <c r="KO255">
        <v>-34472</v>
      </c>
      <c r="KP255">
        <v>160</v>
      </c>
      <c r="KQ255">
        <v>4166</v>
      </c>
      <c r="KR255">
        <v>124611</v>
      </c>
      <c r="KS255">
        <v>2659</v>
      </c>
      <c r="KT255">
        <v>0</v>
      </c>
      <c r="KU255">
        <v>881</v>
      </c>
      <c r="KV255">
        <v>71932</v>
      </c>
      <c r="KW255">
        <v>9053</v>
      </c>
      <c r="KX255">
        <v>3388</v>
      </c>
      <c r="KY255">
        <v>0</v>
      </c>
      <c r="KZ255">
        <v>5726</v>
      </c>
      <c r="LA255">
        <v>82903</v>
      </c>
      <c r="LB255">
        <v>9744</v>
      </c>
      <c r="LC255">
        <v>0</v>
      </c>
      <c r="LD255">
        <v>12600</v>
      </c>
      <c r="LE255">
        <v>6331</v>
      </c>
      <c r="LF255">
        <v>1122</v>
      </c>
      <c r="LG255">
        <v>-4320</v>
      </c>
      <c r="LH255">
        <v>5517</v>
      </c>
      <c r="LI255">
        <v>21072</v>
      </c>
      <c r="LJ255">
        <v>5549</v>
      </c>
      <c r="LK255">
        <v>5890</v>
      </c>
      <c r="LL255">
        <v>11439</v>
      </c>
      <c r="LM255">
        <v>0</v>
      </c>
      <c r="LN255">
        <v>0</v>
      </c>
      <c r="LO255">
        <v>0</v>
      </c>
      <c r="LP255">
        <v>0</v>
      </c>
      <c r="LQ255">
        <v>0</v>
      </c>
      <c r="LR255">
        <v>0</v>
      </c>
      <c r="LS255">
        <v>0</v>
      </c>
      <c r="LT255">
        <v>0</v>
      </c>
      <c r="LU255">
        <v>71299</v>
      </c>
      <c r="LV255">
        <v>7406</v>
      </c>
      <c r="LW255">
        <v>28338</v>
      </c>
      <c r="LX255">
        <v>77578</v>
      </c>
      <c r="LY255">
        <v>13311</v>
      </c>
      <c r="LZ255">
        <v>5356</v>
      </c>
      <c r="MA255">
        <v>5741</v>
      </c>
      <c r="MB255">
        <v>19160</v>
      </c>
      <c r="MC255">
        <v>7454</v>
      </c>
      <c r="MD255">
        <v>0</v>
      </c>
      <c r="ME255">
        <v>0</v>
      </c>
      <c r="MF255">
        <v>6597</v>
      </c>
      <c r="MG255">
        <v>0</v>
      </c>
      <c r="MH255">
        <v>242240</v>
      </c>
      <c r="MI255">
        <v>0</v>
      </c>
      <c r="MJ255">
        <v>0</v>
      </c>
      <c r="MK255">
        <v>0</v>
      </c>
      <c r="ML255">
        <v>0</v>
      </c>
      <c r="MM255">
        <v>0</v>
      </c>
      <c r="MN255">
        <v>0</v>
      </c>
      <c r="MO255">
        <v>0</v>
      </c>
      <c r="MP255">
        <v>0</v>
      </c>
      <c r="MQ255">
        <v>0</v>
      </c>
      <c r="MR255">
        <v>0</v>
      </c>
      <c r="MS255">
        <v>0</v>
      </c>
      <c r="MT255">
        <v>0</v>
      </c>
      <c r="MU255">
        <v>0</v>
      </c>
      <c r="MV255">
        <v>0</v>
      </c>
      <c r="MW255">
        <v>0</v>
      </c>
      <c r="MX255">
        <v>0</v>
      </c>
      <c r="MY255">
        <v>0</v>
      </c>
      <c r="MZ255">
        <v>0</v>
      </c>
      <c r="NA255">
        <v>0</v>
      </c>
      <c r="NB255">
        <v>0</v>
      </c>
      <c r="NC255">
        <v>0</v>
      </c>
      <c r="ND255">
        <v>0</v>
      </c>
      <c r="NE255">
        <v>0</v>
      </c>
      <c r="NF255">
        <v>0</v>
      </c>
      <c r="NG255">
        <v>0</v>
      </c>
      <c r="NH255">
        <v>0</v>
      </c>
      <c r="NI255">
        <v>0</v>
      </c>
      <c r="NJ255">
        <v>0</v>
      </c>
      <c r="NK255">
        <v>0</v>
      </c>
      <c r="NL255">
        <v>0</v>
      </c>
      <c r="NM255">
        <v>0</v>
      </c>
      <c r="NN255">
        <v>0</v>
      </c>
      <c r="NO255">
        <v>0</v>
      </c>
      <c r="NP255">
        <v>0</v>
      </c>
      <c r="NQ255">
        <v>0</v>
      </c>
      <c r="NR255">
        <v>0</v>
      </c>
      <c r="NS255">
        <v>0</v>
      </c>
      <c r="NT255">
        <v>0</v>
      </c>
      <c r="NU255">
        <v>0</v>
      </c>
      <c r="NV255">
        <v>0</v>
      </c>
      <c r="NW255">
        <v>0</v>
      </c>
      <c r="NX255">
        <v>0</v>
      </c>
      <c r="NY255">
        <v>0</v>
      </c>
      <c r="NZ255">
        <v>0</v>
      </c>
      <c r="OA255">
        <v>0</v>
      </c>
      <c r="OB255">
        <v>0</v>
      </c>
      <c r="OC255">
        <v>0</v>
      </c>
      <c r="OD255">
        <v>0</v>
      </c>
      <c r="OE255">
        <v>0</v>
      </c>
      <c r="OF255">
        <v>0</v>
      </c>
      <c r="OG255">
        <v>0</v>
      </c>
      <c r="OH255">
        <v>0</v>
      </c>
      <c r="OI255">
        <v>0</v>
      </c>
      <c r="OJ255">
        <v>0</v>
      </c>
      <c r="OK255">
        <v>0</v>
      </c>
      <c r="OL255">
        <v>0</v>
      </c>
      <c r="OM255">
        <v>0</v>
      </c>
      <c r="ON255">
        <v>0</v>
      </c>
    </row>
    <row r="256" spans="1:404" x14ac:dyDescent="0.25">
      <c r="A256" t="s">
        <v>836</v>
      </c>
      <c r="B256" t="s">
        <v>837</v>
      </c>
      <c r="C256" t="s">
        <v>835</v>
      </c>
      <c r="E256" t="s">
        <v>97</v>
      </c>
      <c r="F256">
        <v>9508</v>
      </c>
      <c r="G256">
        <v>63375</v>
      </c>
      <c r="H256">
        <v>81575</v>
      </c>
      <c r="I256">
        <v>24929</v>
      </c>
      <c r="J256">
        <v>4300</v>
      </c>
      <c r="K256">
        <v>13949</v>
      </c>
      <c r="L256">
        <v>197636</v>
      </c>
      <c r="M256">
        <v>698</v>
      </c>
      <c r="N256">
        <v>0</v>
      </c>
      <c r="O256">
        <v>150</v>
      </c>
      <c r="P256">
        <v>1387</v>
      </c>
      <c r="Q256">
        <v>-1</v>
      </c>
      <c r="R256">
        <v>890</v>
      </c>
      <c r="S256">
        <v>689</v>
      </c>
      <c r="T256">
        <v>610</v>
      </c>
      <c r="U256">
        <v>4518</v>
      </c>
      <c r="V256">
        <v>0</v>
      </c>
      <c r="W256">
        <v>0</v>
      </c>
      <c r="X256">
        <v>712</v>
      </c>
      <c r="Y256">
        <v>377</v>
      </c>
      <c r="Z256">
        <v>-2644</v>
      </c>
      <c r="AA256">
        <v>382</v>
      </c>
      <c r="AB256">
        <v>0</v>
      </c>
      <c r="AC256">
        <v>0</v>
      </c>
      <c r="AD256">
        <v>0</v>
      </c>
      <c r="AE256">
        <v>0</v>
      </c>
      <c r="AF256">
        <v>0</v>
      </c>
      <c r="AG256">
        <v>0</v>
      </c>
      <c r="AH256">
        <v>0</v>
      </c>
      <c r="AI256">
        <v>7768</v>
      </c>
      <c r="AJ256">
        <v>0</v>
      </c>
      <c r="AK256">
        <v>0</v>
      </c>
      <c r="AL256">
        <v>0</v>
      </c>
      <c r="AM256">
        <v>0</v>
      </c>
      <c r="AN256">
        <v>0</v>
      </c>
      <c r="AO256">
        <v>0</v>
      </c>
      <c r="AP256">
        <v>0</v>
      </c>
      <c r="AQ256">
        <v>2119</v>
      </c>
      <c r="AR256">
        <v>908</v>
      </c>
      <c r="AS256">
        <v>0</v>
      </c>
      <c r="AT256">
        <v>0</v>
      </c>
      <c r="AU256">
        <v>0</v>
      </c>
      <c r="AV256">
        <v>2016</v>
      </c>
      <c r="AW256">
        <v>19120</v>
      </c>
      <c r="AX256">
        <v>382</v>
      </c>
      <c r="AY256">
        <v>3614</v>
      </c>
      <c r="AZ256">
        <v>58</v>
      </c>
      <c r="BA256">
        <v>6276</v>
      </c>
      <c r="BB256">
        <v>0</v>
      </c>
      <c r="BC256">
        <v>165</v>
      </c>
      <c r="BD256">
        <v>31631</v>
      </c>
      <c r="BE256">
        <v>3817</v>
      </c>
      <c r="BF256">
        <v>18770</v>
      </c>
      <c r="BG256">
        <v>116</v>
      </c>
      <c r="BH256">
        <v>440</v>
      </c>
      <c r="BI256">
        <v>6</v>
      </c>
      <c r="BJ256">
        <v>1643</v>
      </c>
      <c r="BK256">
        <v>21691</v>
      </c>
      <c r="BL256">
        <v>2393</v>
      </c>
      <c r="BM256">
        <v>1588</v>
      </c>
      <c r="BN256">
        <v>2706</v>
      </c>
      <c r="BO256">
        <v>175</v>
      </c>
      <c r="BP256">
        <v>5</v>
      </c>
      <c r="BQ256">
        <v>18</v>
      </c>
      <c r="BR256">
        <v>344</v>
      </c>
      <c r="BS256">
        <v>-183</v>
      </c>
      <c r="BT256">
        <v>8344</v>
      </c>
      <c r="BU256">
        <v>399</v>
      </c>
      <c r="BV256">
        <v>370</v>
      </c>
      <c r="BW256">
        <v>65769</v>
      </c>
      <c r="BX256">
        <v>1404</v>
      </c>
      <c r="BY256">
        <v>1110</v>
      </c>
      <c r="BZ256">
        <v>106</v>
      </c>
      <c r="CA256">
        <v>175</v>
      </c>
      <c r="CB256">
        <v>53</v>
      </c>
      <c r="CC256">
        <v>0</v>
      </c>
      <c r="CD256">
        <v>6</v>
      </c>
      <c r="CE256">
        <v>194</v>
      </c>
      <c r="CF256">
        <v>107</v>
      </c>
      <c r="CG256">
        <v>436</v>
      </c>
      <c r="CH256">
        <v>641</v>
      </c>
      <c r="CI256">
        <v>1120</v>
      </c>
      <c r="CJ256">
        <v>1074</v>
      </c>
      <c r="CK256">
        <v>46</v>
      </c>
      <c r="CL256">
        <v>46</v>
      </c>
      <c r="CM256">
        <v>246</v>
      </c>
      <c r="CN256">
        <v>155</v>
      </c>
      <c r="CO256">
        <v>39</v>
      </c>
      <c r="CP256">
        <v>237</v>
      </c>
      <c r="CQ256">
        <v>3689</v>
      </c>
      <c r="CR256">
        <v>313</v>
      </c>
      <c r="CS256">
        <v>61</v>
      </c>
      <c r="CT256">
        <v>957</v>
      </c>
      <c r="CU256">
        <v>565</v>
      </c>
      <c r="CV256">
        <v>19272</v>
      </c>
      <c r="CW256">
        <v>0</v>
      </c>
      <c r="CX256">
        <v>0</v>
      </c>
      <c r="CY256">
        <v>0</v>
      </c>
      <c r="CZ256">
        <v>0</v>
      </c>
      <c r="DA256">
        <v>0</v>
      </c>
      <c r="DB256">
        <v>0</v>
      </c>
      <c r="DC256">
        <v>46</v>
      </c>
      <c r="DD256">
        <v>0</v>
      </c>
      <c r="DE256">
        <v>0</v>
      </c>
      <c r="DF256">
        <v>-5</v>
      </c>
      <c r="DG256">
        <v>-29</v>
      </c>
      <c r="DH256">
        <v>0</v>
      </c>
      <c r="DI256">
        <v>0</v>
      </c>
      <c r="DJ256">
        <v>-27</v>
      </c>
      <c r="DK256">
        <v>0</v>
      </c>
      <c r="DL256">
        <v>95</v>
      </c>
      <c r="DM256">
        <v>0</v>
      </c>
      <c r="DN256">
        <v>4</v>
      </c>
      <c r="DO256">
        <v>627</v>
      </c>
      <c r="DP256">
        <v>670</v>
      </c>
      <c r="DQ256">
        <v>0</v>
      </c>
      <c r="DR256">
        <v>0</v>
      </c>
      <c r="DS256">
        <v>0</v>
      </c>
      <c r="DT256">
        <v>1193</v>
      </c>
      <c r="DU256">
        <v>0</v>
      </c>
      <c r="DV256">
        <v>2469</v>
      </c>
      <c r="DW256">
        <v>0</v>
      </c>
      <c r="DX256">
        <v>4373</v>
      </c>
      <c r="DY256">
        <v>57429</v>
      </c>
      <c r="DZ256">
        <v>712</v>
      </c>
      <c r="EA256">
        <v>3159</v>
      </c>
      <c r="EB256">
        <v>2319</v>
      </c>
      <c r="EC256">
        <v>7693</v>
      </c>
      <c r="ED256">
        <v>0</v>
      </c>
      <c r="EE256">
        <v>0</v>
      </c>
      <c r="EF256">
        <v>0</v>
      </c>
      <c r="EG256">
        <v>0</v>
      </c>
      <c r="EH256">
        <v>13150</v>
      </c>
      <c r="EI256">
        <v>14643</v>
      </c>
      <c r="EJ256">
        <v>0</v>
      </c>
      <c r="EK256">
        <v>263</v>
      </c>
      <c r="EL256">
        <v>14390</v>
      </c>
      <c r="EM256">
        <v>1639</v>
      </c>
      <c r="EN256">
        <v>7530</v>
      </c>
      <c r="EO256">
        <v>0</v>
      </c>
      <c r="EP256">
        <v>0</v>
      </c>
      <c r="EQ256">
        <v>19109</v>
      </c>
      <c r="ER256">
        <v>588</v>
      </c>
      <c r="ES256">
        <v>7802</v>
      </c>
      <c r="ET256">
        <v>7802</v>
      </c>
      <c r="EU256">
        <v>0</v>
      </c>
      <c r="EV256">
        <v>65</v>
      </c>
      <c r="EW256">
        <v>109</v>
      </c>
      <c r="EX256">
        <v>544</v>
      </c>
      <c r="EY256">
        <v>357</v>
      </c>
      <c r="EZ256">
        <v>40</v>
      </c>
      <c r="FA256">
        <v>52</v>
      </c>
      <c r="FB256">
        <v>-42</v>
      </c>
      <c r="FC256">
        <v>2098</v>
      </c>
      <c r="FD256">
        <v>4370</v>
      </c>
      <c r="FE256">
        <v>-15</v>
      </c>
      <c r="FF256">
        <v>65</v>
      </c>
      <c r="FG256">
        <v>5195</v>
      </c>
      <c r="FH256">
        <v>12838</v>
      </c>
      <c r="FI256">
        <v>-923</v>
      </c>
      <c r="FJ256">
        <v>66</v>
      </c>
      <c r="FK256">
        <v>0</v>
      </c>
      <c r="FL256">
        <v>218</v>
      </c>
      <c r="FM256">
        <v>706</v>
      </c>
      <c r="FN256">
        <v>176</v>
      </c>
      <c r="FO256">
        <v>110</v>
      </c>
      <c r="FP256">
        <v>-138</v>
      </c>
      <c r="FQ256">
        <v>0</v>
      </c>
      <c r="FR256">
        <v>0</v>
      </c>
      <c r="FS256">
        <v>202</v>
      </c>
      <c r="FT256">
        <v>-5</v>
      </c>
      <c r="FU256">
        <v>411</v>
      </c>
      <c r="FV256">
        <v>0</v>
      </c>
      <c r="FW256">
        <v>81</v>
      </c>
      <c r="FX256">
        <v>0</v>
      </c>
      <c r="FY256">
        <v>0</v>
      </c>
      <c r="FZ256">
        <v>0</v>
      </c>
      <c r="GA256">
        <v>0</v>
      </c>
      <c r="GB256">
        <v>-2</v>
      </c>
      <c r="GC256">
        <v>0</v>
      </c>
      <c r="GD256">
        <v>2901</v>
      </c>
      <c r="GE256">
        <v>3388</v>
      </c>
      <c r="GF256">
        <v>7434</v>
      </c>
      <c r="GG256">
        <v>1034</v>
      </c>
      <c r="GH256">
        <v>457</v>
      </c>
      <c r="GI256">
        <v>0</v>
      </c>
      <c r="GJ256">
        <v>0</v>
      </c>
      <c r="GK256">
        <v>16116</v>
      </c>
      <c r="GL256">
        <v>-54</v>
      </c>
      <c r="GM256">
        <v>-534</v>
      </c>
      <c r="GN256">
        <v>0</v>
      </c>
      <c r="GO256">
        <v>1045</v>
      </c>
      <c r="GP256">
        <v>174</v>
      </c>
      <c r="GQ256">
        <v>1005</v>
      </c>
      <c r="GR256">
        <v>0</v>
      </c>
      <c r="GS256">
        <v>1050</v>
      </c>
      <c r="GT256">
        <v>-45</v>
      </c>
      <c r="GU256">
        <v>2641</v>
      </c>
      <c r="GV256">
        <v>31595</v>
      </c>
      <c r="GW256">
        <v>0</v>
      </c>
      <c r="GX256">
        <v>0</v>
      </c>
      <c r="GY256">
        <v>0</v>
      </c>
      <c r="GZ256">
        <v>0</v>
      </c>
      <c r="HA256">
        <v>0</v>
      </c>
      <c r="HB256">
        <v>6210</v>
      </c>
      <c r="HC256">
        <v>2901</v>
      </c>
      <c r="HD256">
        <v>0</v>
      </c>
      <c r="HE256">
        <v>0</v>
      </c>
      <c r="HF256">
        <v>1018</v>
      </c>
      <c r="HG256">
        <v>29</v>
      </c>
      <c r="HH256">
        <v>0</v>
      </c>
      <c r="HI256">
        <v>-35</v>
      </c>
      <c r="HJ256">
        <v>250</v>
      </c>
      <c r="HK256">
        <v>97</v>
      </c>
      <c r="HL256">
        <v>18953</v>
      </c>
      <c r="HM256">
        <v>-119</v>
      </c>
      <c r="HN256">
        <v>313</v>
      </c>
      <c r="HO256">
        <v>-7</v>
      </c>
      <c r="HP256">
        <v>705</v>
      </c>
      <c r="HQ256">
        <v>0</v>
      </c>
      <c r="HR256">
        <v>1796</v>
      </c>
      <c r="HS256">
        <v>-945</v>
      </c>
      <c r="HT256">
        <v>12</v>
      </c>
      <c r="HU256">
        <v>787</v>
      </c>
      <c r="HV256">
        <v>31965</v>
      </c>
      <c r="HW256">
        <v>694</v>
      </c>
      <c r="HX256">
        <v>1469</v>
      </c>
      <c r="HY256">
        <v>0</v>
      </c>
      <c r="HZ256">
        <v>298</v>
      </c>
      <c r="IA256">
        <v>0</v>
      </c>
      <c r="IB256">
        <v>0</v>
      </c>
      <c r="IC256">
        <v>197636</v>
      </c>
      <c r="ID256">
        <v>7768</v>
      </c>
      <c r="IE256">
        <v>31631</v>
      </c>
      <c r="IF256">
        <v>65769</v>
      </c>
      <c r="IG256">
        <v>19272</v>
      </c>
      <c r="IH256">
        <v>4373</v>
      </c>
      <c r="II256">
        <v>12838</v>
      </c>
      <c r="IJ256">
        <v>16116</v>
      </c>
      <c r="IK256">
        <v>2641</v>
      </c>
      <c r="IL256">
        <v>0</v>
      </c>
      <c r="IM256">
        <v>0</v>
      </c>
      <c r="IN256">
        <v>31965</v>
      </c>
      <c r="IO256">
        <v>0</v>
      </c>
      <c r="IP256">
        <v>390009</v>
      </c>
      <c r="IQ256">
        <v>24481</v>
      </c>
      <c r="IR256">
        <v>49</v>
      </c>
      <c r="IS256">
        <v>20303</v>
      </c>
      <c r="IT256">
        <v>0</v>
      </c>
      <c r="IU256">
        <v>0</v>
      </c>
      <c r="IV256">
        <v>0</v>
      </c>
      <c r="IW256">
        <v>11129</v>
      </c>
      <c r="IX256">
        <v>0</v>
      </c>
      <c r="IY256">
        <v>0</v>
      </c>
      <c r="IZ256">
        <v>145</v>
      </c>
      <c r="JA256">
        <v>0</v>
      </c>
      <c r="JB256">
        <v>0</v>
      </c>
      <c r="JC256">
        <v>0</v>
      </c>
      <c r="JD256">
        <v>0</v>
      </c>
      <c r="JE256">
        <v>1171</v>
      </c>
      <c r="JF256">
        <v>0</v>
      </c>
      <c r="JG256">
        <v>447287</v>
      </c>
      <c r="JH256">
        <v>202</v>
      </c>
      <c r="JI256">
        <v>826</v>
      </c>
      <c r="JJ256">
        <v>0</v>
      </c>
      <c r="JK256">
        <v>0</v>
      </c>
      <c r="JL256">
        <v>0</v>
      </c>
      <c r="JM256">
        <v>79</v>
      </c>
      <c r="JN256">
        <v>7182</v>
      </c>
      <c r="JO256">
        <v>0</v>
      </c>
      <c r="JP256">
        <v>5373</v>
      </c>
      <c r="JQ256">
        <v>0</v>
      </c>
      <c r="JR256">
        <v>460949</v>
      </c>
      <c r="JS256">
        <v>-606</v>
      </c>
      <c r="JT256">
        <v>5327</v>
      </c>
      <c r="JU256">
        <v>-33</v>
      </c>
      <c r="JV256">
        <v>0</v>
      </c>
      <c r="JW256">
        <v>-64227</v>
      </c>
      <c r="JX256">
        <v>0</v>
      </c>
      <c r="JY256">
        <v>0</v>
      </c>
      <c r="JZ256">
        <v>0</v>
      </c>
      <c r="KA256">
        <v>0</v>
      </c>
      <c r="KB256">
        <v>0</v>
      </c>
      <c r="KC256">
        <v>401410</v>
      </c>
      <c r="KD256">
        <v>-92</v>
      </c>
      <c r="KE256">
        <v>-232139</v>
      </c>
      <c r="KF256">
        <v>169179</v>
      </c>
      <c r="KG256">
        <v>0</v>
      </c>
      <c r="KH256">
        <v>-321</v>
      </c>
      <c r="KI256">
        <v>-4919</v>
      </c>
      <c r="KJ256">
        <v>-102</v>
      </c>
      <c r="KK256">
        <v>-13193</v>
      </c>
      <c r="KL256">
        <v>-6310</v>
      </c>
      <c r="KM256">
        <v>-11443</v>
      </c>
      <c r="KN256">
        <v>0</v>
      </c>
      <c r="KO256">
        <v>0</v>
      </c>
      <c r="KP256">
        <v>-942</v>
      </c>
      <c r="KQ256">
        <v>-11651</v>
      </c>
      <c r="KR256">
        <v>104330</v>
      </c>
      <c r="KS256">
        <v>3720</v>
      </c>
      <c r="KT256">
        <v>-7933</v>
      </c>
      <c r="KU256">
        <v>1059</v>
      </c>
      <c r="KV256">
        <v>83711</v>
      </c>
      <c r="KW256">
        <v>7000</v>
      </c>
      <c r="KX256">
        <v>3399</v>
      </c>
      <c r="KY256">
        <v>-12852</v>
      </c>
      <c r="KZ256">
        <v>957</v>
      </c>
      <c r="LA256">
        <v>70518</v>
      </c>
      <c r="LB256">
        <v>690</v>
      </c>
      <c r="LC256">
        <v>0</v>
      </c>
      <c r="LD256">
        <v>18649</v>
      </c>
      <c r="LE256">
        <v>12513</v>
      </c>
      <c r="LF256">
        <v>-1853</v>
      </c>
      <c r="LG256">
        <v>6322</v>
      </c>
      <c r="LH256">
        <v>6784</v>
      </c>
      <c r="LI256">
        <v>42415</v>
      </c>
      <c r="LJ256">
        <v>7230</v>
      </c>
      <c r="LK256">
        <v>8211</v>
      </c>
      <c r="LL256">
        <v>15441</v>
      </c>
      <c r="LM256">
        <v>0</v>
      </c>
      <c r="LN256">
        <v>0</v>
      </c>
      <c r="LO256">
        <v>0</v>
      </c>
      <c r="LP256">
        <v>71312</v>
      </c>
      <c r="LQ256">
        <v>71312</v>
      </c>
      <c r="LR256">
        <v>0</v>
      </c>
      <c r="LS256">
        <v>7802</v>
      </c>
      <c r="LT256">
        <v>7802</v>
      </c>
      <c r="LU256">
        <v>197636</v>
      </c>
      <c r="LV256">
        <v>7768</v>
      </c>
      <c r="LW256">
        <v>31631</v>
      </c>
      <c r="LX256">
        <v>65769</v>
      </c>
      <c r="LY256">
        <v>19272</v>
      </c>
      <c r="LZ256">
        <v>4373</v>
      </c>
      <c r="MA256">
        <v>12838</v>
      </c>
      <c r="MB256">
        <v>16116</v>
      </c>
      <c r="MC256">
        <v>2641</v>
      </c>
      <c r="MD256">
        <v>0</v>
      </c>
      <c r="ME256">
        <v>0</v>
      </c>
      <c r="MF256">
        <v>31965</v>
      </c>
      <c r="MG256">
        <v>0</v>
      </c>
      <c r="MH256">
        <v>390009</v>
      </c>
      <c r="MI256">
        <v>0</v>
      </c>
      <c r="MJ256">
        <v>0</v>
      </c>
      <c r="MK256">
        <v>0</v>
      </c>
      <c r="ML256">
        <v>0</v>
      </c>
      <c r="MM256">
        <v>0</v>
      </c>
      <c r="MN256">
        <v>0</v>
      </c>
      <c r="MO256">
        <v>0</v>
      </c>
      <c r="MP256">
        <v>0</v>
      </c>
      <c r="MQ256">
        <v>0</v>
      </c>
      <c r="MR256">
        <v>0</v>
      </c>
      <c r="MS256">
        <v>0</v>
      </c>
      <c r="MT256">
        <v>0</v>
      </c>
      <c r="MU256">
        <v>0</v>
      </c>
      <c r="MV256">
        <v>0</v>
      </c>
      <c r="MW256">
        <v>0</v>
      </c>
      <c r="MX256">
        <v>0</v>
      </c>
      <c r="MY256">
        <v>0</v>
      </c>
      <c r="MZ256">
        <v>0</v>
      </c>
      <c r="NA256">
        <v>0</v>
      </c>
      <c r="NB256">
        <v>0</v>
      </c>
      <c r="NC256">
        <v>0</v>
      </c>
      <c r="ND256">
        <v>0</v>
      </c>
      <c r="NE256">
        <v>0</v>
      </c>
      <c r="NF256">
        <v>0</v>
      </c>
      <c r="NG256">
        <v>0</v>
      </c>
      <c r="NH256">
        <v>0</v>
      </c>
      <c r="NI256">
        <v>0</v>
      </c>
      <c r="NJ256">
        <v>0</v>
      </c>
      <c r="NK256">
        <v>0</v>
      </c>
      <c r="NL256">
        <v>0</v>
      </c>
      <c r="NM256">
        <v>0</v>
      </c>
      <c r="NN256">
        <v>0</v>
      </c>
      <c r="NO256">
        <v>0</v>
      </c>
      <c r="NP256">
        <v>0</v>
      </c>
      <c r="NQ256">
        <v>0</v>
      </c>
      <c r="NR256">
        <v>0</v>
      </c>
      <c r="NS256">
        <v>0</v>
      </c>
      <c r="NT256">
        <v>0</v>
      </c>
      <c r="NU256">
        <v>0</v>
      </c>
      <c r="NV256">
        <v>0</v>
      </c>
      <c r="NW256">
        <v>0</v>
      </c>
      <c r="NX256">
        <v>0</v>
      </c>
      <c r="NY256">
        <v>0</v>
      </c>
      <c r="NZ256">
        <v>0</v>
      </c>
      <c r="OA256">
        <v>0</v>
      </c>
      <c r="OB256">
        <v>0</v>
      </c>
      <c r="OC256">
        <v>0</v>
      </c>
      <c r="OD256">
        <v>0</v>
      </c>
      <c r="OE256">
        <v>0</v>
      </c>
      <c r="OF256">
        <v>0</v>
      </c>
      <c r="OG256">
        <v>0</v>
      </c>
      <c r="OH256">
        <v>0</v>
      </c>
      <c r="OI256">
        <v>0</v>
      </c>
      <c r="OJ256">
        <v>0</v>
      </c>
      <c r="OK256">
        <v>0</v>
      </c>
      <c r="OL256">
        <v>0</v>
      </c>
      <c r="OM256">
        <v>0</v>
      </c>
      <c r="ON256">
        <v>0</v>
      </c>
    </row>
    <row r="257" spans="1:404" x14ac:dyDescent="0.25">
      <c r="A257" t="s">
        <v>839</v>
      </c>
      <c r="B257" t="s">
        <v>840</v>
      </c>
      <c r="C257" t="s">
        <v>838</v>
      </c>
      <c r="E257" t="s">
        <v>61</v>
      </c>
      <c r="F257">
        <v>0</v>
      </c>
      <c r="G257">
        <v>0</v>
      </c>
      <c r="H257">
        <v>0</v>
      </c>
      <c r="I257">
        <v>0</v>
      </c>
      <c r="J257">
        <v>0</v>
      </c>
      <c r="K257">
        <v>0</v>
      </c>
      <c r="L257">
        <v>0</v>
      </c>
      <c r="M257">
        <v>0</v>
      </c>
      <c r="N257">
        <v>0</v>
      </c>
      <c r="O257">
        <v>0</v>
      </c>
      <c r="P257">
        <v>22</v>
      </c>
      <c r="Q257">
        <v>0</v>
      </c>
      <c r="R257">
        <v>0</v>
      </c>
      <c r="S257">
        <v>0</v>
      </c>
      <c r="T257">
        <v>0</v>
      </c>
      <c r="U257">
        <v>0</v>
      </c>
      <c r="V257">
        <v>0</v>
      </c>
      <c r="W257">
        <v>0</v>
      </c>
      <c r="X257">
        <v>0</v>
      </c>
      <c r="Y257">
        <v>0</v>
      </c>
      <c r="Z257">
        <v>0</v>
      </c>
      <c r="AA257">
        <v>110</v>
      </c>
      <c r="AB257">
        <v>0</v>
      </c>
      <c r="AC257">
        <v>0</v>
      </c>
      <c r="AD257">
        <v>0</v>
      </c>
      <c r="AE257">
        <v>0</v>
      </c>
      <c r="AF257">
        <v>0</v>
      </c>
      <c r="AG257">
        <v>0</v>
      </c>
      <c r="AH257">
        <v>0</v>
      </c>
      <c r="AI257">
        <v>132</v>
      </c>
      <c r="AJ257">
        <v>0</v>
      </c>
      <c r="AK257">
        <v>0</v>
      </c>
      <c r="AL257">
        <v>0</v>
      </c>
      <c r="AM257">
        <v>0</v>
      </c>
      <c r="AN257">
        <v>0</v>
      </c>
      <c r="AO257">
        <v>0</v>
      </c>
      <c r="AP257">
        <v>0</v>
      </c>
      <c r="AQ257">
        <v>0</v>
      </c>
      <c r="AR257">
        <v>0</v>
      </c>
      <c r="AS257">
        <v>0</v>
      </c>
      <c r="AT257">
        <v>0</v>
      </c>
      <c r="AU257">
        <v>0</v>
      </c>
      <c r="AV257">
        <v>0</v>
      </c>
      <c r="AW257">
        <v>0</v>
      </c>
      <c r="AX257">
        <v>0</v>
      </c>
      <c r="AY257">
        <v>0</v>
      </c>
      <c r="AZ257">
        <v>0</v>
      </c>
      <c r="BA257">
        <v>0</v>
      </c>
      <c r="BB257">
        <v>0</v>
      </c>
      <c r="BC257">
        <v>0</v>
      </c>
      <c r="BD257">
        <v>0</v>
      </c>
      <c r="BE257">
        <v>0</v>
      </c>
      <c r="BF257">
        <v>0</v>
      </c>
      <c r="BG257">
        <v>0</v>
      </c>
      <c r="BH257">
        <v>0</v>
      </c>
      <c r="BI257">
        <v>0</v>
      </c>
      <c r="BJ257">
        <v>0</v>
      </c>
      <c r="BK257">
        <v>0</v>
      </c>
      <c r="BL257">
        <v>0</v>
      </c>
      <c r="BM257">
        <v>0</v>
      </c>
      <c r="BN257">
        <v>0</v>
      </c>
      <c r="BO257">
        <v>0</v>
      </c>
      <c r="BP257">
        <v>0</v>
      </c>
      <c r="BQ257">
        <v>0</v>
      </c>
      <c r="BR257">
        <v>0</v>
      </c>
      <c r="BS257">
        <v>180</v>
      </c>
      <c r="BT257">
        <v>0</v>
      </c>
      <c r="BU257">
        <v>0</v>
      </c>
      <c r="BV257">
        <v>0</v>
      </c>
      <c r="BW257">
        <v>180</v>
      </c>
      <c r="BX257">
        <v>0</v>
      </c>
      <c r="BY257">
        <v>0</v>
      </c>
      <c r="BZ257">
        <v>0</v>
      </c>
      <c r="CA257">
        <v>0</v>
      </c>
      <c r="CB257">
        <v>0</v>
      </c>
      <c r="CC257">
        <v>0</v>
      </c>
      <c r="CD257">
        <v>0</v>
      </c>
      <c r="CE257">
        <v>0</v>
      </c>
      <c r="CF257">
        <v>0</v>
      </c>
      <c r="CG257">
        <v>0</v>
      </c>
      <c r="CH257">
        <v>0</v>
      </c>
      <c r="CI257">
        <v>0</v>
      </c>
      <c r="CJ257">
        <v>0</v>
      </c>
      <c r="CK257">
        <v>0</v>
      </c>
      <c r="CL257">
        <v>0</v>
      </c>
      <c r="CM257">
        <v>0</v>
      </c>
      <c r="CN257">
        <v>0</v>
      </c>
      <c r="CO257">
        <v>0</v>
      </c>
      <c r="CP257">
        <v>0</v>
      </c>
      <c r="CQ257">
        <v>0</v>
      </c>
      <c r="CR257">
        <v>0</v>
      </c>
      <c r="CS257">
        <v>0</v>
      </c>
      <c r="CT257">
        <v>0</v>
      </c>
      <c r="CU257">
        <v>0</v>
      </c>
      <c r="CV257">
        <v>0</v>
      </c>
      <c r="CW257">
        <v>0</v>
      </c>
      <c r="CX257">
        <v>0</v>
      </c>
      <c r="CY257">
        <v>0</v>
      </c>
      <c r="CZ257">
        <v>0</v>
      </c>
      <c r="DA257">
        <v>0</v>
      </c>
      <c r="DB257">
        <v>0</v>
      </c>
      <c r="DC257">
        <v>31</v>
      </c>
      <c r="DD257">
        <v>0</v>
      </c>
      <c r="DE257">
        <v>67</v>
      </c>
      <c r="DF257">
        <v>0</v>
      </c>
      <c r="DG257">
        <v>0</v>
      </c>
      <c r="DH257">
        <v>0</v>
      </c>
      <c r="DI257">
        <v>267</v>
      </c>
      <c r="DJ257">
        <v>0</v>
      </c>
      <c r="DK257">
        <v>0</v>
      </c>
      <c r="DL257">
        <v>0</v>
      </c>
      <c r="DM257">
        <v>0</v>
      </c>
      <c r="DN257">
        <v>52</v>
      </c>
      <c r="DO257">
        <v>0</v>
      </c>
      <c r="DP257">
        <v>319</v>
      </c>
      <c r="DQ257">
        <v>0</v>
      </c>
      <c r="DR257">
        <v>0</v>
      </c>
      <c r="DS257">
        <v>0</v>
      </c>
      <c r="DT257">
        <v>382</v>
      </c>
      <c r="DU257">
        <v>0</v>
      </c>
      <c r="DV257">
        <v>0</v>
      </c>
      <c r="DW257">
        <v>0</v>
      </c>
      <c r="DX257">
        <v>799</v>
      </c>
      <c r="DY257">
        <v>11661</v>
      </c>
      <c r="DZ257">
        <v>385</v>
      </c>
      <c r="EA257">
        <v>112</v>
      </c>
      <c r="EB257">
        <v>0</v>
      </c>
      <c r="EC257">
        <v>0</v>
      </c>
      <c r="ED257">
        <v>10</v>
      </c>
      <c r="EE257">
        <v>0</v>
      </c>
      <c r="EF257">
        <v>0</v>
      </c>
      <c r="EG257">
        <v>0</v>
      </c>
      <c r="EH257">
        <v>3093</v>
      </c>
      <c r="EI257">
        <v>1552</v>
      </c>
      <c r="EJ257">
        <v>414</v>
      </c>
      <c r="EK257">
        <v>0</v>
      </c>
      <c r="EL257">
        <v>1460</v>
      </c>
      <c r="EM257">
        <v>2250</v>
      </c>
      <c r="EN257">
        <v>1720</v>
      </c>
      <c r="EO257">
        <v>0</v>
      </c>
      <c r="EP257">
        <v>0</v>
      </c>
      <c r="EQ257">
        <v>4325</v>
      </c>
      <c r="ER257">
        <v>56</v>
      </c>
      <c r="ES257">
        <v>4835</v>
      </c>
      <c r="ET257">
        <v>2133</v>
      </c>
      <c r="EU257">
        <v>0</v>
      </c>
      <c r="EV257">
        <v>0</v>
      </c>
      <c r="EW257">
        <v>0</v>
      </c>
      <c r="EX257">
        <v>0</v>
      </c>
      <c r="EY257">
        <v>0</v>
      </c>
      <c r="EZ257">
        <v>0</v>
      </c>
      <c r="FA257">
        <v>0</v>
      </c>
      <c r="FB257">
        <v>0</v>
      </c>
      <c r="FC257">
        <v>1159</v>
      </c>
      <c r="FD257">
        <v>544</v>
      </c>
      <c r="FE257">
        <v>0</v>
      </c>
      <c r="FF257">
        <v>0</v>
      </c>
      <c r="FG257">
        <v>0</v>
      </c>
      <c r="FH257">
        <v>1703</v>
      </c>
      <c r="FI257">
        <v>0</v>
      </c>
      <c r="FJ257">
        <v>0</v>
      </c>
      <c r="FK257">
        <v>2</v>
      </c>
      <c r="FL257">
        <v>109</v>
      </c>
      <c r="FM257">
        <v>145</v>
      </c>
      <c r="FN257">
        <v>16</v>
      </c>
      <c r="FO257">
        <v>0</v>
      </c>
      <c r="FP257">
        <v>0</v>
      </c>
      <c r="FQ257">
        <v>0</v>
      </c>
      <c r="FR257">
        <v>19</v>
      </c>
      <c r="FS257">
        <v>22</v>
      </c>
      <c r="FT257">
        <v>97</v>
      </c>
      <c r="FU257">
        <v>36</v>
      </c>
      <c r="FV257">
        <v>0</v>
      </c>
      <c r="FW257">
        <v>92</v>
      </c>
      <c r="FX257">
        <v>18</v>
      </c>
      <c r="FY257">
        <v>0</v>
      </c>
      <c r="FZ257">
        <v>0</v>
      </c>
      <c r="GA257">
        <v>0</v>
      </c>
      <c r="GB257">
        <v>0</v>
      </c>
      <c r="GC257">
        <v>0</v>
      </c>
      <c r="GD257">
        <v>588</v>
      </c>
      <c r="GE257">
        <v>886</v>
      </c>
      <c r="GF257">
        <v>0</v>
      </c>
      <c r="GG257">
        <v>-38</v>
      </c>
      <c r="GH257">
        <v>825</v>
      </c>
      <c r="GI257">
        <v>0</v>
      </c>
      <c r="GJ257">
        <v>0</v>
      </c>
      <c r="GK257">
        <v>2817</v>
      </c>
      <c r="GL257">
        <v>57</v>
      </c>
      <c r="GM257">
        <v>117</v>
      </c>
      <c r="GN257">
        <v>59</v>
      </c>
      <c r="GO257">
        <v>259</v>
      </c>
      <c r="GP257">
        <v>0</v>
      </c>
      <c r="GQ257">
        <v>47</v>
      </c>
      <c r="GR257">
        <v>0</v>
      </c>
      <c r="GS257">
        <v>5</v>
      </c>
      <c r="GT257">
        <v>422</v>
      </c>
      <c r="GU257">
        <v>966</v>
      </c>
      <c r="GV257">
        <v>5486</v>
      </c>
      <c r="GW257">
        <v>0</v>
      </c>
      <c r="GX257">
        <v>0</v>
      </c>
      <c r="GY257">
        <v>0</v>
      </c>
      <c r="GZ257">
        <v>0</v>
      </c>
      <c r="HA257">
        <v>0</v>
      </c>
      <c r="HB257">
        <v>1209</v>
      </c>
      <c r="HC257">
        <v>435</v>
      </c>
      <c r="HD257">
        <v>0</v>
      </c>
      <c r="HE257">
        <v>0</v>
      </c>
      <c r="HF257">
        <v>310</v>
      </c>
      <c r="HG257">
        <v>643</v>
      </c>
      <c r="HH257">
        <v>2</v>
      </c>
      <c r="HI257">
        <v>0</v>
      </c>
      <c r="HJ257">
        <v>62</v>
      </c>
      <c r="HK257">
        <v>23</v>
      </c>
      <c r="HL257">
        <v>45</v>
      </c>
      <c r="HM257">
        <v>-8</v>
      </c>
      <c r="HN257">
        <v>0</v>
      </c>
      <c r="HO257">
        <v>71</v>
      </c>
      <c r="HP257">
        <v>0</v>
      </c>
      <c r="HQ257">
        <v>0</v>
      </c>
      <c r="HR257">
        <v>266</v>
      </c>
      <c r="HS257">
        <v>0</v>
      </c>
      <c r="HT257">
        <v>0</v>
      </c>
      <c r="HU257">
        <v>107</v>
      </c>
      <c r="HV257">
        <v>3165</v>
      </c>
      <c r="HW257">
        <v>489</v>
      </c>
      <c r="HX257">
        <v>2813</v>
      </c>
      <c r="HY257">
        <v>0</v>
      </c>
      <c r="HZ257">
        <v>443</v>
      </c>
      <c r="IA257">
        <v>0</v>
      </c>
      <c r="IB257">
        <v>293</v>
      </c>
      <c r="IC257">
        <v>0</v>
      </c>
      <c r="ID257">
        <v>132</v>
      </c>
      <c r="IE257">
        <v>0</v>
      </c>
      <c r="IF257">
        <v>180</v>
      </c>
      <c r="IG257">
        <v>0</v>
      </c>
      <c r="IH257">
        <v>799</v>
      </c>
      <c r="II257">
        <v>1703</v>
      </c>
      <c r="IJ257">
        <v>2817</v>
      </c>
      <c r="IK257">
        <v>966</v>
      </c>
      <c r="IL257">
        <v>0</v>
      </c>
      <c r="IM257">
        <v>0</v>
      </c>
      <c r="IN257">
        <v>3165</v>
      </c>
      <c r="IO257">
        <v>293</v>
      </c>
      <c r="IP257">
        <v>10055</v>
      </c>
      <c r="IQ257">
        <v>4676</v>
      </c>
      <c r="IR257">
        <v>0</v>
      </c>
      <c r="IS257">
        <v>3981</v>
      </c>
      <c r="IT257">
        <v>0</v>
      </c>
      <c r="IU257">
        <v>0</v>
      </c>
      <c r="IV257">
        <v>1093</v>
      </c>
      <c r="IW257">
        <v>0</v>
      </c>
      <c r="IX257">
        <v>0</v>
      </c>
      <c r="IY257">
        <v>0</v>
      </c>
      <c r="IZ257">
        <v>0</v>
      </c>
      <c r="JA257">
        <v>-350</v>
      </c>
      <c r="JB257">
        <v>0</v>
      </c>
      <c r="JC257">
        <v>0</v>
      </c>
      <c r="JD257">
        <v>0</v>
      </c>
      <c r="JE257">
        <v>42</v>
      </c>
      <c r="JF257">
        <v>0</v>
      </c>
      <c r="JG257">
        <v>19497</v>
      </c>
      <c r="JH257">
        <v>0</v>
      </c>
      <c r="JI257">
        <v>0</v>
      </c>
      <c r="JJ257">
        <v>0</v>
      </c>
      <c r="JK257">
        <v>0</v>
      </c>
      <c r="JL257">
        <v>0</v>
      </c>
      <c r="JM257">
        <v>-1</v>
      </c>
      <c r="JN257">
        <v>376</v>
      </c>
      <c r="JO257">
        <v>0</v>
      </c>
      <c r="JP257">
        <v>354</v>
      </c>
      <c r="JQ257">
        <v>10</v>
      </c>
      <c r="JR257">
        <v>20236</v>
      </c>
      <c r="JS257">
        <v>-55</v>
      </c>
      <c r="JT257">
        <v>0</v>
      </c>
      <c r="JU257">
        <v>0</v>
      </c>
      <c r="JV257">
        <v>0</v>
      </c>
      <c r="JW257">
        <v>-8657</v>
      </c>
      <c r="JX257">
        <v>0</v>
      </c>
      <c r="JY257">
        <v>0</v>
      </c>
      <c r="JZ257">
        <v>0</v>
      </c>
      <c r="KA257">
        <v>0</v>
      </c>
      <c r="KB257">
        <v>0</v>
      </c>
      <c r="KC257">
        <v>11524</v>
      </c>
      <c r="KD257">
        <v>0</v>
      </c>
      <c r="KE257">
        <v>-1849</v>
      </c>
      <c r="KF257">
        <v>9675</v>
      </c>
      <c r="KG257">
        <v>0</v>
      </c>
      <c r="KH257">
        <v>0</v>
      </c>
      <c r="KI257">
        <v>0</v>
      </c>
      <c r="KJ257">
        <v>0</v>
      </c>
      <c r="KK257">
        <v>2271</v>
      </c>
      <c r="KL257">
        <v>-344</v>
      </c>
      <c r="KM257">
        <v>0</v>
      </c>
      <c r="KN257">
        <v>0</v>
      </c>
      <c r="KO257">
        <v>-2522</v>
      </c>
      <c r="KP257">
        <v>10</v>
      </c>
      <c r="KQ257">
        <v>0</v>
      </c>
      <c r="KR257">
        <v>5672</v>
      </c>
      <c r="KS257">
        <v>0</v>
      </c>
      <c r="KT257">
        <v>0</v>
      </c>
      <c r="KU257">
        <v>0</v>
      </c>
      <c r="KV257">
        <v>12172</v>
      </c>
      <c r="KW257">
        <v>2853</v>
      </c>
      <c r="KX257">
        <v>0</v>
      </c>
      <c r="KY257">
        <v>0</v>
      </c>
      <c r="KZ257">
        <v>0</v>
      </c>
      <c r="LA257">
        <v>14443</v>
      </c>
      <c r="LB257">
        <v>2509</v>
      </c>
      <c r="LC257">
        <v>-362</v>
      </c>
      <c r="LD257">
        <v>2355</v>
      </c>
      <c r="LE257">
        <v>0</v>
      </c>
      <c r="LF257">
        <v>0</v>
      </c>
      <c r="LG257">
        <v>0</v>
      </c>
      <c r="LH257">
        <v>64</v>
      </c>
      <c r="LI257">
        <v>2419</v>
      </c>
      <c r="LJ257">
        <v>2176</v>
      </c>
      <c r="LK257">
        <v>2172</v>
      </c>
      <c r="LL257">
        <v>4348</v>
      </c>
      <c r="LM257">
        <v>0</v>
      </c>
      <c r="LN257">
        <v>0</v>
      </c>
      <c r="LO257">
        <v>0</v>
      </c>
      <c r="LP257">
        <v>12168</v>
      </c>
      <c r="LQ257">
        <v>14870</v>
      </c>
      <c r="LR257">
        <v>-2702</v>
      </c>
      <c r="LS257">
        <v>4835</v>
      </c>
      <c r="LT257">
        <v>2133</v>
      </c>
      <c r="LU257">
        <v>0</v>
      </c>
      <c r="LV257">
        <v>132</v>
      </c>
      <c r="LW257">
        <v>0</v>
      </c>
      <c r="LX257">
        <v>180</v>
      </c>
      <c r="LY257">
        <v>0</v>
      </c>
      <c r="LZ257">
        <v>799</v>
      </c>
      <c r="MA257">
        <v>1703</v>
      </c>
      <c r="MB257">
        <v>2817</v>
      </c>
      <c r="MC257">
        <v>966</v>
      </c>
      <c r="MD257">
        <v>0</v>
      </c>
      <c r="ME257">
        <v>0</v>
      </c>
      <c r="MF257">
        <v>3165</v>
      </c>
      <c r="MG257">
        <v>293</v>
      </c>
      <c r="MH257">
        <v>10055</v>
      </c>
      <c r="MI257">
        <v>0</v>
      </c>
      <c r="MJ257">
        <v>0</v>
      </c>
      <c r="MK257">
        <v>0</v>
      </c>
      <c r="ML257">
        <v>0</v>
      </c>
      <c r="MM257">
        <v>0</v>
      </c>
      <c r="MN257">
        <v>0</v>
      </c>
      <c r="MO257">
        <v>0</v>
      </c>
      <c r="MP257">
        <v>0</v>
      </c>
      <c r="MQ257">
        <v>0</v>
      </c>
      <c r="MR257">
        <v>0</v>
      </c>
      <c r="MS257">
        <v>0</v>
      </c>
      <c r="MT257">
        <v>0</v>
      </c>
      <c r="MU257">
        <v>0</v>
      </c>
      <c r="MV257">
        <v>0</v>
      </c>
      <c r="MW257">
        <v>0</v>
      </c>
      <c r="MX257">
        <v>-350</v>
      </c>
      <c r="MY257">
        <v>0</v>
      </c>
      <c r="MZ257">
        <v>0</v>
      </c>
      <c r="NA257">
        <v>-350</v>
      </c>
      <c r="NB257">
        <v>0</v>
      </c>
      <c r="NC257">
        <v>-350</v>
      </c>
      <c r="ND257">
        <v>0</v>
      </c>
      <c r="NE257">
        <v>0</v>
      </c>
      <c r="NF257">
        <v>0</v>
      </c>
      <c r="NG257">
        <v>0</v>
      </c>
      <c r="NH257">
        <v>0</v>
      </c>
      <c r="NI257">
        <v>0</v>
      </c>
      <c r="NJ257">
        <v>0</v>
      </c>
      <c r="NK257">
        <v>0</v>
      </c>
      <c r="NL257">
        <v>0</v>
      </c>
      <c r="NM257">
        <v>0</v>
      </c>
      <c r="NN257">
        <v>0</v>
      </c>
      <c r="NO257">
        <v>0</v>
      </c>
      <c r="NP257">
        <v>0</v>
      </c>
      <c r="NQ257">
        <v>0</v>
      </c>
      <c r="NR257">
        <v>0</v>
      </c>
      <c r="NS257">
        <v>0</v>
      </c>
      <c r="NT257">
        <v>0</v>
      </c>
      <c r="NU257">
        <v>0</v>
      </c>
      <c r="NV257">
        <v>0</v>
      </c>
      <c r="NW257">
        <v>0</v>
      </c>
      <c r="NX257">
        <v>0</v>
      </c>
      <c r="NY257">
        <v>0</v>
      </c>
      <c r="NZ257">
        <v>0</v>
      </c>
      <c r="OA257">
        <v>0</v>
      </c>
      <c r="OB257">
        <v>0</v>
      </c>
      <c r="OC257">
        <v>0</v>
      </c>
      <c r="OD257">
        <v>0</v>
      </c>
      <c r="OE257">
        <v>0</v>
      </c>
      <c r="OF257">
        <v>0</v>
      </c>
      <c r="OG257">
        <v>0</v>
      </c>
      <c r="OH257">
        <v>0</v>
      </c>
      <c r="OI257">
        <v>0</v>
      </c>
      <c r="OJ257">
        <v>0</v>
      </c>
      <c r="OK257">
        <v>0</v>
      </c>
      <c r="OL257">
        <v>0</v>
      </c>
      <c r="OM257">
        <v>0</v>
      </c>
      <c r="ON257">
        <v>0</v>
      </c>
    </row>
    <row r="258" spans="1:404" x14ac:dyDescent="0.25">
      <c r="A258" t="s">
        <v>842</v>
      </c>
      <c r="B258" t="s">
        <v>843</v>
      </c>
      <c r="C258" t="s">
        <v>841</v>
      </c>
      <c r="E258" t="s">
        <v>61</v>
      </c>
    </row>
    <row r="259" spans="1:404" x14ac:dyDescent="0.25">
      <c r="A259" t="s">
        <v>845</v>
      </c>
      <c r="B259" t="s">
        <v>846</v>
      </c>
      <c r="C259" t="s">
        <v>844</v>
      </c>
      <c r="E259" t="s">
        <v>5418</v>
      </c>
      <c r="F259">
        <v>0</v>
      </c>
      <c r="G259">
        <v>0</v>
      </c>
      <c r="H259">
        <v>0</v>
      </c>
      <c r="I259">
        <v>0</v>
      </c>
      <c r="J259">
        <v>0</v>
      </c>
      <c r="K259">
        <v>0</v>
      </c>
      <c r="L259">
        <v>0</v>
      </c>
      <c r="M259">
        <v>0</v>
      </c>
      <c r="N259">
        <v>0</v>
      </c>
      <c r="O259">
        <v>0</v>
      </c>
      <c r="P259">
        <v>0</v>
      </c>
      <c r="Q259">
        <v>0</v>
      </c>
      <c r="R259">
        <v>0</v>
      </c>
      <c r="S259">
        <v>0</v>
      </c>
      <c r="T259">
        <v>0</v>
      </c>
      <c r="U259">
        <v>0</v>
      </c>
      <c r="V259">
        <v>0</v>
      </c>
      <c r="W259">
        <v>0</v>
      </c>
      <c r="X259">
        <v>0</v>
      </c>
      <c r="Y259">
        <v>0</v>
      </c>
      <c r="Z259">
        <v>0</v>
      </c>
      <c r="AA259">
        <v>-376</v>
      </c>
      <c r="AB259">
        <v>0</v>
      </c>
      <c r="AC259">
        <v>0</v>
      </c>
      <c r="AD259">
        <v>0</v>
      </c>
      <c r="AE259">
        <v>0</v>
      </c>
      <c r="AF259">
        <v>0</v>
      </c>
      <c r="AG259">
        <v>0</v>
      </c>
      <c r="AH259">
        <v>0</v>
      </c>
      <c r="AI259">
        <v>-376</v>
      </c>
      <c r="AJ259">
        <v>0</v>
      </c>
      <c r="AK259">
        <v>0</v>
      </c>
      <c r="AL259">
        <v>0</v>
      </c>
      <c r="AM259">
        <v>0</v>
      </c>
      <c r="AN259">
        <v>0</v>
      </c>
      <c r="AO259">
        <v>0</v>
      </c>
      <c r="AP259">
        <v>0</v>
      </c>
      <c r="AQ259">
        <v>0</v>
      </c>
      <c r="AR259">
        <v>0</v>
      </c>
      <c r="AS259">
        <v>0</v>
      </c>
      <c r="AT259">
        <v>0</v>
      </c>
      <c r="AU259">
        <v>0</v>
      </c>
      <c r="AV259">
        <v>0</v>
      </c>
      <c r="AW259">
        <v>0</v>
      </c>
      <c r="AX259">
        <v>0</v>
      </c>
      <c r="AY259">
        <v>0</v>
      </c>
      <c r="AZ259">
        <v>0</v>
      </c>
      <c r="BA259">
        <v>0</v>
      </c>
      <c r="BB259">
        <v>0</v>
      </c>
      <c r="BC259">
        <v>0</v>
      </c>
      <c r="BD259">
        <v>0</v>
      </c>
      <c r="BE259">
        <v>0</v>
      </c>
      <c r="BF259">
        <v>0</v>
      </c>
      <c r="BG259">
        <v>0</v>
      </c>
      <c r="BH259">
        <v>0</v>
      </c>
      <c r="BI259">
        <v>0</v>
      </c>
      <c r="BJ259">
        <v>0</v>
      </c>
      <c r="BK259">
        <v>0</v>
      </c>
      <c r="BL259">
        <v>0</v>
      </c>
      <c r="BM259">
        <v>0</v>
      </c>
      <c r="BN259">
        <v>0</v>
      </c>
      <c r="BO259">
        <v>0</v>
      </c>
      <c r="BP259">
        <v>0</v>
      </c>
      <c r="BQ259">
        <v>0</v>
      </c>
      <c r="BR259">
        <v>0</v>
      </c>
      <c r="BS259">
        <v>0</v>
      </c>
      <c r="BT259">
        <v>0</v>
      </c>
      <c r="BU259">
        <v>0</v>
      </c>
      <c r="BV259">
        <v>0</v>
      </c>
      <c r="BW259">
        <v>0</v>
      </c>
      <c r="BX259">
        <v>0</v>
      </c>
      <c r="BY259">
        <v>0</v>
      </c>
      <c r="BZ259">
        <v>0</v>
      </c>
      <c r="CA259">
        <v>0</v>
      </c>
      <c r="CB259">
        <v>0</v>
      </c>
      <c r="CC259">
        <v>0</v>
      </c>
      <c r="CD259">
        <v>0</v>
      </c>
      <c r="CE259">
        <v>0</v>
      </c>
      <c r="CF259">
        <v>0</v>
      </c>
      <c r="CG259">
        <v>0</v>
      </c>
      <c r="CH259">
        <v>0</v>
      </c>
      <c r="CI259">
        <v>0</v>
      </c>
      <c r="CJ259">
        <v>0</v>
      </c>
      <c r="CK259">
        <v>0</v>
      </c>
      <c r="CL259">
        <v>0</v>
      </c>
      <c r="CM259">
        <v>0</v>
      </c>
      <c r="CN259">
        <v>0</v>
      </c>
      <c r="CO259">
        <v>0</v>
      </c>
      <c r="CP259">
        <v>0</v>
      </c>
      <c r="CQ259">
        <v>0</v>
      </c>
      <c r="CR259">
        <v>0</v>
      </c>
      <c r="CS259">
        <v>0</v>
      </c>
      <c r="CT259">
        <v>0</v>
      </c>
      <c r="CU259">
        <v>0</v>
      </c>
      <c r="CV259">
        <v>0</v>
      </c>
      <c r="CW259">
        <v>0</v>
      </c>
      <c r="CX259">
        <v>0</v>
      </c>
      <c r="CY259">
        <v>0</v>
      </c>
      <c r="CZ259">
        <v>0</v>
      </c>
      <c r="DA259">
        <v>0</v>
      </c>
      <c r="DB259">
        <v>0</v>
      </c>
      <c r="DC259">
        <v>0</v>
      </c>
      <c r="DD259">
        <v>0</v>
      </c>
      <c r="DE259">
        <v>0</v>
      </c>
      <c r="DF259">
        <v>0</v>
      </c>
      <c r="DG259">
        <v>0</v>
      </c>
      <c r="DH259">
        <v>0</v>
      </c>
      <c r="DI259">
        <v>0</v>
      </c>
      <c r="DJ259">
        <v>0</v>
      </c>
      <c r="DK259">
        <v>0</v>
      </c>
      <c r="DL259">
        <v>0</v>
      </c>
      <c r="DM259">
        <v>0</v>
      </c>
      <c r="DN259">
        <v>0</v>
      </c>
      <c r="DO259">
        <v>0</v>
      </c>
      <c r="DP259">
        <v>0</v>
      </c>
      <c r="DQ259">
        <v>0</v>
      </c>
      <c r="DR259">
        <v>0</v>
      </c>
      <c r="DS259">
        <v>0</v>
      </c>
      <c r="DT259">
        <v>0</v>
      </c>
      <c r="DU259">
        <v>0</v>
      </c>
      <c r="DV259">
        <v>0</v>
      </c>
      <c r="DW259">
        <v>0</v>
      </c>
      <c r="DX259">
        <v>0</v>
      </c>
      <c r="DY259">
        <v>0</v>
      </c>
      <c r="DZ259">
        <v>0</v>
      </c>
      <c r="EA259">
        <v>0</v>
      </c>
      <c r="EB259">
        <v>0</v>
      </c>
      <c r="EC259">
        <v>0</v>
      </c>
      <c r="ED259">
        <v>0</v>
      </c>
      <c r="EE259">
        <v>0</v>
      </c>
      <c r="EF259">
        <v>0</v>
      </c>
      <c r="EG259">
        <v>0</v>
      </c>
      <c r="EH259">
        <v>0</v>
      </c>
      <c r="EI259">
        <v>0</v>
      </c>
      <c r="EJ259">
        <v>0</v>
      </c>
      <c r="EK259">
        <v>0</v>
      </c>
      <c r="EL259">
        <v>0</v>
      </c>
      <c r="EM259">
        <v>0</v>
      </c>
      <c r="EN259">
        <v>0</v>
      </c>
      <c r="EO259">
        <v>0</v>
      </c>
      <c r="EP259">
        <v>0</v>
      </c>
      <c r="EQ259">
        <v>0</v>
      </c>
      <c r="ER259">
        <v>0</v>
      </c>
      <c r="ES259">
        <v>0</v>
      </c>
      <c r="ET259">
        <v>0</v>
      </c>
      <c r="EU259">
        <v>0</v>
      </c>
      <c r="EV259">
        <v>0</v>
      </c>
      <c r="EW259">
        <v>28</v>
      </c>
      <c r="EX259">
        <v>0</v>
      </c>
      <c r="EY259">
        <v>0</v>
      </c>
      <c r="EZ259">
        <v>0</v>
      </c>
      <c r="FA259">
        <v>0</v>
      </c>
      <c r="FB259">
        <v>0</v>
      </c>
      <c r="FC259">
        <v>0</v>
      </c>
      <c r="FD259">
        <v>2777</v>
      </c>
      <c r="FE259">
        <v>0</v>
      </c>
      <c r="FF259">
        <v>945</v>
      </c>
      <c r="FG259">
        <v>0</v>
      </c>
      <c r="FH259">
        <v>3750</v>
      </c>
      <c r="FI259">
        <v>0</v>
      </c>
      <c r="FJ259">
        <v>0</v>
      </c>
      <c r="FK259">
        <v>0</v>
      </c>
      <c r="FL259">
        <v>0</v>
      </c>
      <c r="FM259">
        <v>0</v>
      </c>
      <c r="FN259">
        <v>0</v>
      </c>
      <c r="FO259">
        <v>0</v>
      </c>
      <c r="FP259">
        <v>0</v>
      </c>
      <c r="FQ259">
        <v>0</v>
      </c>
      <c r="FR259">
        <v>0</v>
      </c>
      <c r="FS259">
        <v>2</v>
      </c>
      <c r="FT259">
        <v>0</v>
      </c>
      <c r="FU259">
        <v>0</v>
      </c>
      <c r="FV259">
        <v>0</v>
      </c>
      <c r="FW259">
        <v>0</v>
      </c>
      <c r="FX259">
        <v>0</v>
      </c>
      <c r="FY259">
        <v>0</v>
      </c>
      <c r="FZ259">
        <v>0</v>
      </c>
      <c r="GA259">
        <v>0</v>
      </c>
      <c r="GB259">
        <v>0</v>
      </c>
      <c r="GC259">
        <v>0</v>
      </c>
      <c r="GD259">
        <v>0</v>
      </c>
      <c r="GE259">
        <v>0</v>
      </c>
      <c r="GF259">
        <v>0</v>
      </c>
      <c r="GG259">
        <v>0</v>
      </c>
      <c r="GH259">
        <v>0</v>
      </c>
      <c r="GI259">
        <v>0</v>
      </c>
      <c r="GJ259">
        <v>0</v>
      </c>
      <c r="GK259">
        <v>2</v>
      </c>
      <c r="GL259">
        <v>0</v>
      </c>
      <c r="GM259">
        <v>474</v>
      </c>
      <c r="GN259">
        <v>191</v>
      </c>
      <c r="GO259">
        <v>173</v>
      </c>
      <c r="GP259">
        <v>0</v>
      </c>
      <c r="GQ259">
        <v>0</v>
      </c>
      <c r="GR259">
        <v>0</v>
      </c>
      <c r="GS259">
        <v>0</v>
      </c>
      <c r="GT259">
        <v>0</v>
      </c>
      <c r="GU259">
        <v>838</v>
      </c>
      <c r="GV259">
        <v>4590</v>
      </c>
      <c r="GW259">
        <v>0</v>
      </c>
      <c r="GX259">
        <v>0</v>
      </c>
      <c r="GY259">
        <v>0</v>
      </c>
      <c r="GZ259">
        <v>0</v>
      </c>
      <c r="HA259">
        <v>0</v>
      </c>
      <c r="HB259">
        <v>250</v>
      </c>
      <c r="HC259">
        <v>0</v>
      </c>
      <c r="HD259">
        <v>0</v>
      </c>
      <c r="HE259">
        <v>0</v>
      </c>
      <c r="HF259">
        <v>0</v>
      </c>
      <c r="HG259">
        <v>0</v>
      </c>
      <c r="HH259">
        <v>0</v>
      </c>
      <c r="HI259">
        <v>0</v>
      </c>
      <c r="HJ259">
        <v>0</v>
      </c>
      <c r="HK259">
        <v>0</v>
      </c>
      <c r="HL259">
        <v>0</v>
      </c>
      <c r="HM259">
        <v>0</v>
      </c>
      <c r="HN259">
        <v>0</v>
      </c>
      <c r="HO259">
        <v>0</v>
      </c>
      <c r="HP259">
        <v>0</v>
      </c>
      <c r="HQ259">
        <v>0</v>
      </c>
      <c r="HR259">
        <v>0</v>
      </c>
      <c r="HS259">
        <v>0</v>
      </c>
      <c r="HT259">
        <v>0</v>
      </c>
      <c r="HU259">
        <v>0</v>
      </c>
      <c r="HV259">
        <v>250</v>
      </c>
      <c r="HW259">
        <v>0</v>
      </c>
      <c r="HX259">
        <v>0</v>
      </c>
      <c r="HY259">
        <v>0</v>
      </c>
      <c r="HZ259">
        <v>0</v>
      </c>
      <c r="IA259">
        <v>0</v>
      </c>
      <c r="IB259">
        <v>-837</v>
      </c>
      <c r="IC259">
        <v>0</v>
      </c>
      <c r="ID259">
        <v>-376</v>
      </c>
      <c r="IE259">
        <v>0</v>
      </c>
      <c r="IF259">
        <v>0</v>
      </c>
      <c r="IG259">
        <v>0</v>
      </c>
      <c r="IH259">
        <v>0</v>
      </c>
      <c r="II259">
        <v>3750</v>
      </c>
      <c r="IJ259">
        <v>2</v>
      </c>
      <c r="IK259">
        <v>838</v>
      </c>
      <c r="IL259">
        <v>0</v>
      </c>
      <c r="IM259">
        <v>0</v>
      </c>
      <c r="IN259">
        <v>250</v>
      </c>
      <c r="IO259">
        <v>-837</v>
      </c>
      <c r="IP259">
        <v>3627</v>
      </c>
      <c r="IQ259">
        <v>0</v>
      </c>
      <c r="IR259">
        <v>0</v>
      </c>
      <c r="IS259">
        <v>0</v>
      </c>
      <c r="IT259">
        <v>0</v>
      </c>
      <c r="IU259">
        <v>0</v>
      </c>
      <c r="IV259">
        <v>0</v>
      </c>
      <c r="IW259">
        <v>0</v>
      </c>
      <c r="IX259">
        <v>0</v>
      </c>
      <c r="IY259">
        <v>0</v>
      </c>
      <c r="IZ259">
        <v>0</v>
      </c>
      <c r="JA259">
        <v>0</v>
      </c>
      <c r="JB259">
        <v>0</v>
      </c>
      <c r="JC259">
        <v>0</v>
      </c>
      <c r="JD259">
        <v>0</v>
      </c>
      <c r="JE259">
        <v>0</v>
      </c>
      <c r="JF259">
        <v>0</v>
      </c>
      <c r="JG259">
        <v>3627</v>
      </c>
      <c r="JH259">
        <v>0</v>
      </c>
      <c r="JI259">
        <v>334</v>
      </c>
      <c r="JJ259">
        <v>0</v>
      </c>
      <c r="JK259">
        <v>-44</v>
      </c>
      <c r="JL259">
        <v>0</v>
      </c>
      <c r="JM259">
        <v>0</v>
      </c>
      <c r="JN259">
        <v>0</v>
      </c>
      <c r="JO259">
        <v>0</v>
      </c>
      <c r="JP259">
        <v>0</v>
      </c>
      <c r="JQ259">
        <v>0</v>
      </c>
      <c r="JR259">
        <v>3917</v>
      </c>
      <c r="JS259">
        <v>-14</v>
      </c>
      <c r="JT259">
        <v>0</v>
      </c>
      <c r="JU259">
        <v>0</v>
      </c>
      <c r="JV259">
        <v>0</v>
      </c>
      <c r="JW259">
        <v>-705</v>
      </c>
      <c r="JX259">
        <v>0</v>
      </c>
      <c r="JY259">
        <v>0</v>
      </c>
      <c r="JZ259">
        <v>0</v>
      </c>
      <c r="KA259">
        <v>0</v>
      </c>
      <c r="KB259">
        <v>0</v>
      </c>
      <c r="KC259">
        <v>3198</v>
      </c>
      <c r="KD259">
        <v>0</v>
      </c>
      <c r="KE259">
        <v>-4382</v>
      </c>
      <c r="KF259">
        <v>-1184</v>
      </c>
      <c r="KG259">
        <v>0</v>
      </c>
      <c r="KH259">
        <v>0</v>
      </c>
      <c r="KI259">
        <v>0</v>
      </c>
      <c r="KJ259">
        <v>0</v>
      </c>
      <c r="KK259">
        <v>1184</v>
      </c>
      <c r="KL259">
        <v>0</v>
      </c>
      <c r="KM259">
        <v>0</v>
      </c>
      <c r="KN259">
        <v>0</v>
      </c>
      <c r="KO259">
        <v>0</v>
      </c>
      <c r="KP259">
        <v>0</v>
      </c>
      <c r="KQ259">
        <v>0</v>
      </c>
      <c r="KR259">
        <v>0</v>
      </c>
      <c r="KS259">
        <v>0</v>
      </c>
      <c r="KT259">
        <v>0</v>
      </c>
      <c r="KU259">
        <v>0</v>
      </c>
      <c r="KV259">
        <v>3762</v>
      </c>
      <c r="KW259">
        <v>0</v>
      </c>
      <c r="KX259">
        <v>0</v>
      </c>
      <c r="KY259">
        <v>0</v>
      </c>
      <c r="KZ259">
        <v>0</v>
      </c>
      <c r="LA259">
        <v>4946</v>
      </c>
      <c r="LB259">
        <v>0</v>
      </c>
      <c r="LC259">
        <v>0</v>
      </c>
      <c r="LD259">
        <v>0</v>
      </c>
      <c r="LE259">
        <v>0</v>
      </c>
      <c r="LF259">
        <v>0</v>
      </c>
      <c r="LG259">
        <v>0</v>
      </c>
      <c r="LH259">
        <v>0</v>
      </c>
      <c r="LI259">
        <v>0</v>
      </c>
      <c r="LJ259">
        <v>0</v>
      </c>
      <c r="LK259">
        <v>0</v>
      </c>
      <c r="LL259">
        <v>0</v>
      </c>
      <c r="LM259">
        <v>0</v>
      </c>
      <c r="LN259">
        <v>0</v>
      </c>
      <c r="LO259">
        <v>0</v>
      </c>
      <c r="LP259">
        <v>0</v>
      </c>
      <c r="LQ259">
        <v>0</v>
      </c>
      <c r="LR259">
        <v>0</v>
      </c>
      <c r="LS259">
        <v>0</v>
      </c>
      <c r="LT259">
        <v>0</v>
      </c>
      <c r="LU259">
        <v>0</v>
      </c>
      <c r="LV259">
        <v>-376</v>
      </c>
      <c r="LW259">
        <v>0</v>
      </c>
      <c r="LX259">
        <v>0</v>
      </c>
      <c r="LY259">
        <v>0</v>
      </c>
      <c r="LZ259">
        <v>0</v>
      </c>
      <c r="MA259">
        <v>3750</v>
      </c>
      <c r="MB259">
        <v>2</v>
      </c>
      <c r="MC259">
        <v>838</v>
      </c>
      <c r="MD259">
        <v>0</v>
      </c>
      <c r="ME259">
        <v>0</v>
      </c>
      <c r="MF259">
        <v>250</v>
      </c>
      <c r="MG259">
        <v>-837</v>
      </c>
      <c r="MH259">
        <v>3627</v>
      </c>
      <c r="MI259">
        <v>0</v>
      </c>
      <c r="MJ259">
        <v>0</v>
      </c>
      <c r="MK259">
        <v>0</v>
      </c>
      <c r="ML259">
        <v>0</v>
      </c>
      <c r="MM259">
        <v>0</v>
      </c>
      <c r="MN259">
        <v>0</v>
      </c>
      <c r="MO259">
        <v>0</v>
      </c>
      <c r="MP259">
        <v>0</v>
      </c>
      <c r="MQ259">
        <v>0</v>
      </c>
      <c r="MR259">
        <v>0</v>
      </c>
      <c r="MS259">
        <v>0</v>
      </c>
      <c r="MT259">
        <v>0</v>
      </c>
      <c r="MU259">
        <v>0</v>
      </c>
      <c r="MV259">
        <v>0</v>
      </c>
      <c r="MW259">
        <v>0</v>
      </c>
      <c r="MX259">
        <v>0</v>
      </c>
      <c r="MY259">
        <v>0</v>
      </c>
      <c r="MZ259">
        <v>0</v>
      </c>
      <c r="NA259">
        <v>0</v>
      </c>
      <c r="NB259">
        <v>0</v>
      </c>
      <c r="NC259">
        <v>0</v>
      </c>
      <c r="ND259">
        <v>0</v>
      </c>
      <c r="NE259">
        <v>0</v>
      </c>
      <c r="NF259">
        <v>0</v>
      </c>
      <c r="NG259">
        <v>0</v>
      </c>
      <c r="NH259">
        <v>0</v>
      </c>
      <c r="NI259">
        <v>0</v>
      </c>
      <c r="NJ259">
        <v>0</v>
      </c>
      <c r="NK259">
        <v>0</v>
      </c>
      <c r="NL259">
        <v>0</v>
      </c>
      <c r="NM259">
        <v>0</v>
      </c>
      <c r="NN259">
        <v>0</v>
      </c>
      <c r="NO259">
        <v>0</v>
      </c>
      <c r="NP259">
        <v>0</v>
      </c>
      <c r="NQ259">
        <v>0</v>
      </c>
      <c r="NR259">
        <v>0</v>
      </c>
      <c r="NS259">
        <v>0</v>
      </c>
      <c r="NT259">
        <v>0</v>
      </c>
      <c r="NU259">
        <v>0</v>
      </c>
      <c r="NV259">
        <v>0</v>
      </c>
      <c r="NW259">
        <v>0</v>
      </c>
      <c r="NX259">
        <v>0</v>
      </c>
      <c r="NY259">
        <v>0</v>
      </c>
      <c r="NZ259">
        <v>0</v>
      </c>
      <c r="OA259">
        <v>0</v>
      </c>
      <c r="OB259">
        <v>0</v>
      </c>
      <c r="OC259">
        <v>0</v>
      </c>
      <c r="OD259">
        <v>0</v>
      </c>
      <c r="OE259">
        <v>0</v>
      </c>
      <c r="OF259">
        <v>0</v>
      </c>
      <c r="OG259">
        <v>0</v>
      </c>
      <c r="OH259">
        <v>0</v>
      </c>
      <c r="OI259">
        <v>0</v>
      </c>
      <c r="OJ259">
        <v>0</v>
      </c>
      <c r="OK259">
        <v>0</v>
      </c>
      <c r="OL259">
        <v>0</v>
      </c>
      <c r="OM259">
        <v>0</v>
      </c>
      <c r="ON259">
        <v>0</v>
      </c>
    </row>
    <row r="260" spans="1:404" x14ac:dyDescent="0.25">
      <c r="A260" t="s">
        <v>848</v>
      </c>
      <c r="B260" t="s">
        <v>849</v>
      </c>
      <c r="C260" t="s">
        <v>847</v>
      </c>
      <c r="E260" t="s">
        <v>1942</v>
      </c>
      <c r="F260">
        <v>30277</v>
      </c>
      <c r="G260">
        <v>186027</v>
      </c>
      <c r="H260">
        <v>84714</v>
      </c>
      <c r="I260">
        <v>27915</v>
      </c>
      <c r="J260">
        <v>6273</v>
      </c>
      <c r="K260">
        <v>17872</v>
      </c>
      <c r="L260">
        <v>353078</v>
      </c>
      <c r="M260">
        <v>1048</v>
      </c>
      <c r="N260">
        <v>307</v>
      </c>
      <c r="O260">
        <v>1767</v>
      </c>
      <c r="P260">
        <v>4707</v>
      </c>
      <c r="Q260">
        <v>726</v>
      </c>
      <c r="R260">
        <v>1761</v>
      </c>
      <c r="S260">
        <v>5688</v>
      </c>
      <c r="T260">
        <v>7265</v>
      </c>
      <c r="U260">
        <v>3653</v>
      </c>
      <c r="V260">
        <v>0</v>
      </c>
      <c r="W260">
        <v>0</v>
      </c>
      <c r="X260">
        <v>452</v>
      </c>
      <c r="Y260">
        <v>1898</v>
      </c>
      <c r="Z260">
        <v>439</v>
      </c>
      <c r="AA260">
        <v>0</v>
      </c>
      <c r="AB260">
        <v>5221</v>
      </c>
      <c r="AC260">
        <v>0</v>
      </c>
      <c r="AD260">
        <v>6924</v>
      </c>
      <c r="AE260">
        <v>0</v>
      </c>
      <c r="AF260">
        <v>0</v>
      </c>
      <c r="AG260">
        <v>925</v>
      </c>
      <c r="AH260">
        <v>0</v>
      </c>
      <c r="AI260">
        <v>42781</v>
      </c>
      <c r="AJ260">
        <v>0</v>
      </c>
      <c r="AK260">
        <v>0</v>
      </c>
      <c r="AL260">
        <v>0</v>
      </c>
      <c r="AM260">
        <v>0</v>
      </c>
      <c r="AN260">
        <v>0</v>
      </c>
      <c r="AO260">
        <v>0</v>
      </c>
      <c r="AP260">
        <v>0</v>
      </c>
      <c r="AQ260">
        <v>2116</v>
      </c>
      <c r="AR260">
        <v>0</v>
      </c>
      <c r="AS260">
        <v>0</v>
      </c>
      <c r="AT260">
        <v>0</v>
      </c>
      <c r="AU260">
        <v>0</v>
      </c>
      <c r="AV260">
        <v>1374</v>
      </c>
      <c r="AW260">
        <v>20728</v>
      </c>
      <c r="AX260">
        <v>2092</v>
      </c>
      <c r="AY260">
        <v>13318</v>
      </c>
      <c r="AZ260">
        <v>1531</v>
      </c>
      <c r="BA260">
        <v>9131</v>
      </c>
      <c r="BB260">
        <v>1866</v>
      </c>
      <c r="BC260">
        <v>5049</v>
      </c>
      <c r="BD260">
        <v>55089</v>
      </c>
      <c r="BE260">
        <v>22478</v>
      </c>
      <c r="BF260">
        <v>45355</v>
      </c>
      <c r="BG260">
        <v>614</v>
      </c>
      <c r="BH260">
        <v>111</v>
      </c>
      <c r="BI260">
        <v>1080</v>
      </c>
      <c r="BJ260">
        <v>14161</v>
      </c>
      <c r="BK260">
        <v>59323</v>
      </c>
      <c r="BL260">
        <v>459</v>
      </c>
      <c r="BM260">
        <v>10098</v>
      </c>
      <c r="BN260">
        <v>7560</v>
      </c>
      <c r="BO260">
        <v>1</v>
      </c>
      <c r="BP260">
        <v>0</v>
      </c>
      <c r="BQ260">
        <v>303</v>
      </c>
      <c r="BR260">
        <v>9576</v>
      </c>
      <c r="BS260">
        <v>1805</v>
      </c>
      <c r="BT260">
        <v>18992</v>
      </c>
      <c r="BU260">
        <v>2441</v>
      </c>
      <c r="BV260">
        <v>33817</v>
      </c>
      <c r="BW260">
        <v>234109</v>
      </c>
      <c r="BX260">
        <v>2359</v>
      </c>
      <c r="BY260">
        <v>1783</v>
      </c>
      <c r="BZ260">
        <v>380</v>
      </c>
      <c r="CA260">
        <v>266</v>
      </c>
      <c r="CB260">
        <v>232</v>
      </c>
      <c r="CC260">
        <v>139</v>
      </c>
      <c r="CD260">
        <v>601</v>
      </c>
      <c r="CE260">
        <v>450</v>
      </c>
      <c r="CF260">
        <v>76</v>
      </c>
      <c r="CG260">
        <v>8</v>
      </c>
      <c r="CH260">
        <v>0</v>
      </c>
      <c r="CI260">
        <v>4543</v>
      </c>
      <c r="CJ260">
        <v>59</v>
      </c>
      <c r="CK260">
        <v>260</v>
      </c>
      <c r="CL260">
        <v>7</v>
      </c>
      <c r="CM260">
        <v>236</v>
      </c>
      <c r="CN260">
        <v>806</v>
      </c>
      <c r="CO260">
        <v>66</v>
      </c>
      <c r="CP260">
        <v>3367</v>
      </c>
      <c r="CQ260">
        <v>5478</v>
      </c>
      <c r="CR260">
        <v>0</v>
      </c>
      <c r="CS260">
        <v>0</v>
      </c>
      <c r="CT260">
        <v>935</v>
      </c>
      <c r="CU260">
        <v>912</v>
      </c>
      <c r="CV260">
        <v>28441</v>
      </c>
      <c r="CW260">
        <v>0</v>
      </c>
      <c r="CX260">
        <v>0</v>
      </c>
      <c r="CY260">
        <v>0</v>
      </c>
      <c r="CZ260">
        <v>0</v>
      </c>
      <c r="DA260">
        <v>0</v>
      </c>
      <c r="DB260">
        <v>0</v>
      </c>
      <c r="DC260">
        <v>0</v>
      </c>
      <c r="DD260">
        <v>0</v>
      </c>
      <c r="DE260">
        <v>0</v>
      </c>
      <c r="DF260">
        <v>0</v>
      </c>
      <c r="DG260">
        <v>0</v>
      </c>
      <c r="DH260">
        <v>0</v>
      </c>
      <c r="DI260">
        <v>0</v>
      </c>
      <c r="DJ260">
        <v>0</v>
      </c>
      <c r="DK260">
        <v>0</v>
      </c>
      <c r="DL260">
        <v>0</v>
      </c>
      <c r="DM260">
        <v>0</v>
      </c>
      <c r="DN260">
        <v>0</v>
      </c>
      <c r="DO260">
        <v>0</v>
      </c>
      <c r="DP260">
        <v>0</v>
      </c>
      <c r="DQ260">
        <v>0</v>
      </c>
      <c r="DR260">
        <v>0</v>
      </c>
      <c r="DS260">
        <v>0</v>
      </c>
      <c r="DT260">
        <v>0</v>
      </c>
      <c r="DU260">
        <v>387</v>
      </c>
      <c r="DV260">
        <v>2340</v>
      </c>
      <c r="DW260">
        <v>0</v>
      </c>
      <c r="DX260">
        <v>2727</v>
      </c>
      <c r="DY260">
        <v>0</v>
      </c>
      <c r="DZ260">
        <v>0</v>
      </c>
      <c r="EA260">
        <v>0</v>
      </c>
      <c r="EB260">
        <v>0</v>
      </c>
      <c r="EC260">
        <v>0</v>
      </c>
      <c r="ED260">
        <v>0</v>
      </c>
      <c r="EE260">
        <v>0</v>
      </c>
      <c r="EF260">
        <v>0</v>
      </c>
      <c r="EG260">
        <v>0</v>
      </c>
      <c r="EH260">
        <v>0</v>
      </c>
      <c r="EI260">
        <v>0</v>
      </c>
      <c r="EJ260">
        <v>0</v>
      </c>
      <c r="EK260">
        <v>0</v>
      </c>
      <c r="EL260">
        <v>0</v>
      </c>
      <c r="EM260">
        <v>0</v>
      </c>
      <c r="EN260">
        <v>0</v>
      </c>
      <c r="EO260">
        <v>0</v>
      </c>
      <c r="EP260">
        <v>0</v>
      </c>
      <c r="EQ260">
        <v>0</v>
      </c>
      <c r="ER260">
        <v>0</v>
      </c>
      <c r="ES260">
        <v>0</v>
      </c>
      <c r="ET260">
        <v>0</v>
      </c>
      <c r="EU260">
        <v>498</v>
      </c>
      <c r="EV260">
        <v>0</v>
      </c>
      <c r="EW260">
        <v>0</v>
      </c>
      <c r="EX260">
        <v>0</v>
      </c>
      <c r="EY260">
        <v>0</v>
      </c>
      <c r="EZ260">
        <v>0</v>
      </c>
      <c r="FA260">
        <v>0</v>
      </c>
      <c r="FB260">
        <v>0</v>
      </c>
      <c r="FC260">
        <v>0</v>
      </c>
      <c r="FD260">
        <v>1648</v>
      </c>
      <c r="FE260">
        <v>0</v>
      </c>
      <c r="FF260">
        <v>0</v>
      </c>
      <c r="FG260">
        <v>5616</v>
      </c>
      <c r="FH260">
        <v>7762</v>
      </c>
      <c r="FI260">
        <v>0</v>
      </c>
      <c r="FJ260">
        <v>3549</v>
      </c>
      <c r="FK260">
        <v>0</v>
      </c>
      <c r="FL260">
        <v>0</v>
      </c>
      <c r="FM260">
        <v>0</v>
      </c>
      <c r="FN260">
        <v>0</v>
      </c>
      <c r="FO260">
        <v>0</v>
      </c>
      <c r="FP260">
        <v>0</v>
      </c>
      <c r="FQ260">
        <v>0</v>
      </c>
      <c r="FR260">
        <v>0</v>
      </c>
      <c r="FS260">
        <v>0</v>
      </c>
      <c r="FT260">
        <v>0</v>
      </c>
      <c r="FU260">
        <v>-215</v>
      </c>
      <c r="FV260">
        <v>0</v>
      </c>
      <c r="FW260">
        <v>0</v>
      </c>
      <c r="FX260">
        <v>0</v>
      </c>
      <c r="FY260">
        <v>586</v>
      </c>
      <c r="FZ260">
        <v>0</v>
      </c>
      <c r="GA260">
        <v>0</v>
      </c>
      <c r="GB260">
        <v>0</v>
      </c>
      <c r="GC260">
        <v>1343</v>
      </c>
      <c r="GD260">
        <v>0</v>
      </c>
      <c r="GE260">
        <v>0</v>
      </c>
      <c r="GF260">
        <v>26823</v>
      </c>
      <c r="GG260">
        <v>0</v>
      </c>
      <c r="GH260">
        <v>9000</v>
      </c>
      <c r="GI260">
        <v>8</v>
      </c>
      <c r="GJ260">
        <v>0</v>
      </c>
      <c r="GK260">
        <v>41094</v>
      </c>
      <c r="GL260">
        <v>0</v>
      </c>
      <c r="GM260">
        <v>372</v>
      </c>
      <c r="GN260">
        <v>0</v>
      </c>
      <c r="GO260">
        <v>827</v>
      </c>
      <c r="GP260">
        <v>283</v>
      </c>
      <c r="GQ260">
        <v>3860</v>
      </c>
      <c r="GR260">
        <v>0</v>
      </c>
      <c r="GS260">
        <v>0</v>
      </c>
      <c r="GT260">
        <v>0</v>
      </c>
      <c r="GU260">
        <v>5342</v>
      </c>
      <c r="GV260">
        <v>54198</v>
      </c>
      <c r="GW260">
        <v>0</v>
      </c>
      <c r="GX260">
        <v>0</v>
      </c>
      <c r="GY260">
        <v>0</v>
      </c>
      <c r="GZ260">
        <v>0</v>
      </c>
      <c r="HA260">
        <v>0</v>
      </c>
      <c r="HB260">
        <v>-53</v>
      </c>
      <c r="HC260">
        <v>0</v>
      </c>
      <c r="HD260">
        <v>0</v>
      </c>
      <c r="HE260">
        <v>0</v>
      </c>
      <c r="HF260">
        <v>0</v>
      </c>
      <c r="HG260">
        <v>0</v>
      </c>
      <c r="HH260">
        <v>0</v>
      </c>
      <c r="HI260">
        <v>-733</v>
      </c>
      <c r="HJ260">
        <v>0</v>
      </c>
      <c r="HK260">
        <v>109</v>
      </c>
      <c r="HL260">
        <v>345</v>
      </c>
      <c r="HM260">
        <v>397</v>
      </c>
      <c r="HN260">
        <v>0</v>
      </c>
      <c r="HO260">
        <v>2305</v>
      </c>
      <c r="HP260">
        <v>1100</v>
      </c>
      <c r="HQ260">
        <v>0</v>
      </c>
      <c r="HR260">
        <v>0</v>
      </c>
      <c r="HS260">
        <v>0</v>
      </c>
      <c r="HT260">
        <v>0</v>
      </c>
      <c r="HU260">
        <v>0</v>
      </c>
      <c r="HV260">
        <v>3470</v>
      </c>
      <c r="HW260">
        <v>0</v>
      </c>
      <c r="HX260">
        <v>0</v>
      </c>
      <c r="HY260">
        <v>0</v>
      </c>
      <c r="HZ260">
        <v>0</v>
      </c>
      <c r="IA260">
        <v>0</v>
      </c>
      <c r="IB260">
        <v>0</v>
      </c>
      <c r="IC260">
        <v>353078</v>
      </c>
      <c r="ID260">
        <v>42781</v>
      </c>
      <c r="IE260">
        <v>55089</v>
      </c>
      <c r="IF260">
        <v>234109</v>
      </c>
      <c r="IG260">
        <v>28441</v>
      </c>
      <c r="IH260">
        <v>2727</v>
      </c>
      <c r="II260">
        <v>7762</v>
      </c>
      <c r="IJ260">
        <v>41094</v>
      </c>
      <c r="IK260">
        <v>5342</v>
      </c>
      <c r="IL260">
        <v>0</v>
      </c>
      <c r="IM260">
        <v>0</v>
      </c>
      <c r="IN260">
        <v>3470</v>
      </c>
      <c r="IO260">
        <v>0</v>
      </c>
      <c r="IP260">
        <v>773893</v>
      </c>
      <c r="IQ260">
        <v>0</v>
      </c>
      <c r="IR260">
        <v>0</v>
      </c>
      <c r="IS260">
        <v>0</v>
      </c>
      <c r="IT260">
        <v>0</v>
      </c>
      <c r="IU260">
        <v>0</v>
      </c>
      <c r="IV260">
        <v>0</v>
      </c>
      <c r="IW260">
        <v>0</v>
      </c>
      <c r="IX260">
        <v>0</v>
      </c>
      <c r="IY260">
        <v>0</v>
      </c>
      <c r="IZ260">
        <v>0</v>
      </c>
      <c r="JA260">
        <v>0</v>
      </c>
      <c r="JB260">
        <v>678</v>
      </c>
      <c r="JC260">
        <v>0</v>
      </c>
      <c r="JD260">
        <v>0</v>
      </c>
      <c r="JE260">
        <v>1398</v>
      </c>
      <c r="JF260">
        <v>0</v>
      </c>
      <c r="JG260">
        <v>775969</v>
      </c>
      <c r="JH260">
        <v>431</v>
      </c>
      <c r="JI260">
        <v>10458</v>
      </c>
      <c r="JJ260">
        <v>0</v>
      </c>
      <c r="JK260">
        <v>0</v>
      </c>
      <c r="JL260">
        <v>0</v>
      </c>
      <c r="JM260">
        <v>0</v>
      </c>
      <c r="JN260">
        <v>9887</v>
      </c>
      <c r="JO260">
        <v>0</v>
      </c>
      <c r="JP260">
        <v>9556</v>
      </c>
      <c r="JQ260">
        <v>0</v>
      </c>
      <c r="JR260">
        <v>806301</v>
      </c>
      <c r="JS260">
        <v>-2461</v>
      </c>
      <c r="JT260">
        <v>0</v>
      </c>
      <c r="JU260">
        <v>0</v>
      </c>
      <c r="JV260">
        <v>0</v>
      </c>
      <c r="JW260">
        <v>-9895</v>
      </c>
      <c r="JX260">
        <v>0</v>
      </c>
      <c r="JY260">
        <v>0</v>
      </c>
      <c r="JZ260">
        <v>0</v>
      </c>
      <c r="KA260">
        <v>0</v>
      </c>
      <c r="KB260">
        <v>0</v>
      </c>
      <c r="KC260">
        <v>793945</v>
      </c>
      <c r="KD260">
        <v>0</v>
      </c>
      <c r="KE260">
        <v>-422231</v>
      </c>
      <c r="KF260">
        <v>371714</v>
      </c>
      <c r="KG260">
        <v>0</v>
      </c>
      <c r="KH260">
        <v>1164</v>
      </c>
      <c r="KI260">
        <v>2192</v>
      </c>
      <c r="KJ260">
        <v>1662</v>
      </c>
      <c r="KK260">
        <v>43383</v>
      </c>
      <c r="KL260">
        <v>137</v>
      </c>
      <c r="KM260">
        <v>0</v>
      </c>
      <c r="KN260">
        <v>0</v>
      </c>
      <c r="KO260">
        <v>-81840</v>
      </c>
      <c r="KP260">
        <v>9691</v>
      </c>
      <c r="KQ260">
        <v>0</v>
      </c>
      <c r="KR260">
        <v>332531</v>
      </c>
      <c r="KS260">
        <v>16387</v>
      </c>
      <c r="KT260">
        <v>-1980</v>
      </c>
      <c r="KU260">
        <v>4650</v>
      </c>
      <c r="KV260">
        <v>226365</v>
      </c>
      <c r="KW260">
        <v>27868</v>
      </c>
      <c r="KX260">
        <v>17551</v>
      </c>
      <c r="KY260">
        <v>212</v>
      </c>
      <c r="KZ260">
        <v>6312</v>
      </c>
      <c r="LA260">
        <v>269748</v>
      </c>
      <c r="LB260">
        <v>28005</v>
      </c>
      <c r="LC260">
        <v>0</v>
      </c>
      <c r="LD260">
        <v>66406</v>
      </c>
      <c r="LE260">
        <v>13707</v>
      </c>
      <c r="LF260">
        <v>28853</v>
      </c>
      <c r="LG260">
        <v>-14112</v>
      </c>
      <c r="LH260">
        <v>14112</v>
      </c>
      <c r="LI260">
        <v>108966</v>
      </c>
      <c r="LJ260">
        <v>0</v>
      </c>
      <c r="LK260">
        <v>0</v>
      </c>
      <c r="LL260">
        <v>0</v>
      </c>
      <c r="LM260">
        <v>0</v>
      </c>
      <c r="LN260">
        <v>0</v>
      </c>
      <c r="LO260">
        <v>0</v>
      </c>
      <c r="LP260">
        <v>0</v>
      </c>
      <c r="LQ260">
        <v>0</v>
      </c>
      <c r="LR260">
        <v>0</v>
      </c>
      <c r="LS260">
        <v>0</v>
      </c>
      <c r="LT260">
        <v>0</v>
      </c>
      <c r="LU260">
        <v>353078</v>
      </c>
      <c r="LV260">
        <v>42781</v>
      </c>
      <c r="LW260">
        <v>55089</v>
      </c>
      <c r="LX260">
        <v>234109</v>
      </c>
      <c r="LY260">
        <v>28441</v>
      </c>
      <c r="LZ260">
        <v>2727</v>
      </c>
      <c r="MA260">
        <v>7762</v>
      </c>
      <c r="MB260">
        <v>41094</v>
      </c>
      <c r="MC260">
        <v>5342</v>
      </c>
      <c r="MD260">
        <v>0</v>
      </c>
      <c r="ME260">
        <v>0</v>
      </c>
      <c r="MF260">
        <v>3470</v>
      </c>
      <c r="MG260">
        <v>0</v>
      </c>
      <c r="MH260">
        <v>773893</v>
      </c>
      <c r="MI260">
        <v>0</v>
      </c>
      <c r="MJ260">
        <v>0</v>
      </c>
      <c r="MK260">
        <v>0</v>
      </c>
      <c r="ML260">
        <v>0</v>
      </c>
      <c r="MM260">
        <v>0</v>
      </c>
      <c r="MN260">
        <v>0</v>
      </c>
      <c r="MO260">
        <v>0</v>
      </c>
      <c r="MP260">
        <v>0</v>
      </c>
      <c r="MQ260">
        <v>0</v>
      </c>
      <c r="MR260">
        <v>0</v>
      </c>
      <c r="MS260">
        <v>0</v>
      </c>
      <c r="MT260">
        <v>0</v>
      </c>
      <c r="MU260">
        <v>0</v>
      </c>
      <c r="MV260">
        <v>0</v>
      </c>
      <c r="MW260">
        <v>0</v>
      </c>
      <c r="MX260">
        <v>0</v>
      </c>
      <c r="MY260">
        <v>0</v>
      </c>
      <c r="MZ260">
        <v>0</v>
      </c>
      <c r="NA260">
        <v>0</v>
      </c>
      <c r="NB260">
        <v>0</v>
      </c>
      <c r="NC260">
        <v>0</v>
      </c>
      <c r="ND260">
        <v>0</v>
      </c>
      <c r="NE260">
        <v>0</v>
      </c>
      <c r="NF260">
        <v>0</v>
      </c>
      <c r="NG260">
        <v>0</v>
      </c>
      <c r="NH260">
        <v>0</v>
      </c>
      <c r="NI260">
        <v>0</v>
      </c>
      <c r="NJ260">
        <v>0</v>
      </c>
      <c r="NK260">
        <v>0</v>
      </c>
      <c r="NL260">
        <v>0</v>
      </c>
      <c r="NM260">
        <v>0</v>
      </c>
      <c r="NN260">
        <v>0</v>
      </c>
      <c r="NO260">
        <v>0</v>
      </c>
      <c r="NP260">
        <v>0</v>
      </c>
      <c r="NQ260">
        <v>0</v>
      </c>
      <c r="NR260">
        <v>0</v>
      </c>
      <c r="NS260">
        <v>0</v>
      </c>
      <c r="NT260">
        <v>0</v>
      </c>
      <c r="NU260">
        <v>0</v>
      </c>
      <c r="NV260">
        <v>0</v>
      </c>
      <c r="NW260">
        <v>0</v>
      </c>
      <c r="NX260">
        <v>0</v>
      </c>
      <c r="NY260">
        <v>0</v>
      </c>
      <c r="NZ260">
        <v>678</v>
      </c>
      <c r="OA260">
        <v>0</v>
      </c>
      <c r="OB260">
        <v>678</v>
      </c>
      <c r="OC260">
        <v>0</v>
      </c>
      <c r="OD260">
        <v>0</v>
      </c>
      <c r="OE260">
        <v>0</v>
      </c>
      <c r="OF260">
        <v>0</v>
      </c>
      <c r="OG260">
        <v>0</v>
      </c>
      <c r="OH260">
        <v>0</v>
      </c>
      <c r="OI260">
        <v>0</v>
      </c>
      <c r="OJ260">
        <v>0</v>
      </c>
      <c r="OK260">
        <v>0</v>
      </c>
      <c r="OL260">
        <v>0</v>
      </c>
      <c r="OM260">
        <v>0</v>
      </c>
      <c r="ON260">
        <v>0</v>
      </c>
    </row>
    <row r="261" spans="1:404" x14ac:dyDescent="0.25">
      <c r="A261" t="s">
        <v>851</v>
      </c>
      <c r="B261" t="s">
        <v>852</v>
      </c>
      <c r="C261" t="s">
        <v>5439</v>
      </c>
      <c r="E261" t="s">
        <v>5408</v>
      </c>
      <c r="F261">
        <v>0</v>
      </c>
      <c r="G261">
        <v>0</v>
      </c>
      <c r="H261">
        <v>0</v>
      </c>
      <c r="I261">
        <v>0</v>
      </c>
      <c r="J261">
        <v>0</v>
      </c>
      <c r="K261">
        <v>0</v>
      </c>
      <c r="L261">
        <v>0</v>
      </c>
      <c r="M261">
        <v>0</v>
      </c>
      <c r="N261">
        <v>0</v>
      </c>
      <c r="O261">
        <v>0</v>
      </c>
      <c r="P261">
        <v>0</v>
      </c>
      <c r="Q261">
        <v>0</v>
      </c>
      <c r="R261">
        <v>0</v>
      </c>
      <c r="S261">
        <v>0</v>
      </c>
      <c r="T261">
        <v>0</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v>0</v>
      </c>
      <c r="BD261">
        <v>0</v>
      </c>
      <c r="BE261">
        <v>0</v>
      </c>
      <c r="BF261">
        <v>0</v>
      </c>
      <c r="BG261">
        <v>0</v>
      </c>
      <c r="BH261">
        <v>0</v>
      </c>
      <c r="BI261">
        <v>0</v>
      </c>
      <c r="BJ261">
        <v>0</v>
      </c>
      <c r="BK261">
        <v>0</v>
      </c>
      <c r="BL261">
        <v>0</v>
      </c>
      <c r="BM261">
        <v>0</v>
      </c>
      <c r="BN261">
        <v>0</v>
      </c>
      <c r="BO261">
        <v>0</v>
      </c>
      <c r="BP261">
        <v>0</v>
      </c>
      <c r="BQ261">
        <v>0</v>
      </c>
      <c r="BR261">
        <v>0</v>
      </c>
      <c r="BS261">
        <v>0</v>
      </c>
      <c r="BT261">
        <v>0</v>
      </c>
      <c r="BU261">
        <v>0</v>
      </c>
      <c r="BV261">
        <v>0</v>
      </c>
      <c r="BW261">
        <v>0</v>
      </c>
      <c r="BX261">
        <v>0</v>
      </c>
      <c r="BY261">
        <v>0</v>
      </c>
      <c r="BZ261">
        <v>0</v>
      </c>
      <c r="CA261">
        <v>0</v>
      </c>
      <c r="CB261">
        <v>0</v>
      </c>
      <c r="CC261">
        <v>0</v>
      </c>
      <c r="CD261">
        <v>0</v>
      </c>
      <c r="CE261">
        <v>0</v>
      </c>
      <c r="CF261">
        <v>0</v>
      </c>
      <c r="CG261">
        <v>0</v>
      </c>
      <c r="CH261">
        <v>0</v>
      </c>
      <c r="CI261">
        <v>0</v>
      </c>
      <c r="CJ261">
        <v>0</v>
      </c>
      <c r="CK261">
        <v>0</v>
      </c>
      <c r="CL261">
        <v>0</v>
      </c>
      <c r="CM261">
        <v>0</v>
      </c>
      <c r="CN261">
        <v>0</v>
      </c>
      <c r="CO261">
        <v>0</v>
      </c>
      <c r="CP261">
        <v>0</v>
      </c>
      <c r="CQ261">
        <v>0</v>
      </c>
      <c r="CR261">
        <v>0</v>
      </c>
      <c r="CS261">
        <v>0</v>
      </c>
      <c r="CT261">
        <v>0</v>
      </c>
      <c r="CU261">
        <v>0</v>
      </c>
      <c r="CV261">
        <v>0</v>
      </c>
      <c r="CW261">
        <v>0</v>
      </c>
      <c r="CX261">
        <v>0</v>
      </c>
      <c r="CY261">
        <v>0</v>
      </c>
      <c r="CZ261">
        <v>0</v>
      </c>
      <c r="DA261">
        <v>0</v>
      </c>
      <c r="DB261">
        <v>0</v>
      </c>
      <c r="DC261">
        <v>0</v>
      </c>
      <c r="DD261">
        <v>0</v>
      </c>
      <c r="DE261">
        <v>0</v>
      </c>
      <c r="DF261">
        <v>0</v>
      </c>
      <c r="DG261">
        <v>0</v>
      </c>
      <c r="DH261">
        <v>0</v>
      </c>
      <c r="DI261">
        <v>0</v>
      </c>
      <c r="DJ261">
        <v>0</v>
      </c>
      <c r="DK261">
        <v>0</v>
      </c>
      <c r="DL261">
        <v>0</v>
      </c>
      <c r="DM261">
        <v>0</v>
      </c>
      <c r="DN261">
        <v>0</v>
      </c>
      <c r="DO261">
        <v>0</v>
      </c>
      <c r="DP261">
        <v>0</v>
      </c>
      <c r="DQ261">
        <v>0</v>
      </c>
      <c r="DR261">
        <v>0</v>
      </c>
      <c r="DS261">
        <v>0</v>
      </c>
      <c r="DT261">
        <v>0</v>
      </c>
      <c r="DU261">
        <v>0</v>
      </c>
      <c r="DV261">
        <v>0</v>
      </c>
      <c r="DW261">
        <v>0</v>
      </c>
      <c r="DX261">
        <v>0</v>
      </c>
      <c r="DY261">
        <v>0</v>
      </c>
      <c r="DZ261">
        <v>0</v>
      </c>
      <c r="EA261">
        <v>0</v>
      </c>
      <c r="EB261">
        <v>0</v>
      </c>
      <c r="EC261">
        <v>0</v>
      </c>
      <c r="ED261">
        <v>0</v>
      </c>
      <c r="EE261">
        <v>0</v>
      </c>
      <c r="EF261">
        <v>0</v>
      </c>
      <c r="EG261">
        <v>0</v>
      </c>
      <c r="EH261">
        <v>0</v>
      </c>
      <c r="EI261">
        <v>0</v>
      </c>
      <c r="EJ261">
        <v>0</v>
      </c>
      <c r="EK261">
        <v>0</v>
      </c>
      <c r="EL261">
        <v>0</v>
      </c>
      <c r="EM261">
        <v>0</v>
      </c>
      <c r="EN261">
        <v>0</v>
      </c>
      <c r="EO261">
        <v>0</v>
      </c>
      <c r="EP261">
        <v>0</v>
      </c>
      <c r="EQ261">
        <v>0</v>
      </c>
      <c r="ER261">
        <v>0</v>
      </c>
      <c r="ES261">
        <v>0</v>
      </c>
      <c r="ET261">
        <v>0</v>
      </c>
      <c r="EU261">
        <v>0</v>
      </c>
      <c r="EV261">
        <v>0</v>
      </c>
      <c r="EW261">
        <v>0</v>
      </c>
      <c r="EX261">
        <v>0</v>
      </c>
      <c r="EY261">
        <v>0</v>
      </c>
      <c r="EZ261">
        <v>0</v>
      </c>
      <c r="FA261">
        <v>0</v>
      </c>
      <c r="FB261">
        <v>0</v>
      </c>
      <c r="FC261">
        <v>0</v>
      </c>
      <c r="FD261">
        <v>0</v>
      </c>
      <c r="FE261">
        <v>0</v>
      </c>
      <c r="FF261">
        <v>0</v>
      </c>
      <c r="FG261">
        <v>0</v>
      </c>
      <c r="FH261">
        <v>0</v>
      </c>
      <c r="FI261">
        <v>0</v>
      </c>
      <c r="FJ261">
        <v>0</v>
      </c>
      <c r="FK261">
        <v>0</v>
      </c>
      <c r="FL261">
        <v>0</v>
      </c>
      <c r="FM261">
        <v>0</v>
      </c>
      <c r="FN261">
        <v>0</v>
      </c>
      <c r="FO261">
        <v>0</v>
      </c>
      <c r="FP261">
        <v>0</v>
      </c>
      <c r="FQ261">
        <v>0</v>
      </c>
      <c r="FR261">
        <v>0</v>
      </c>
      <c r="FS261">
        <v>0</v>
      </c>
      <c r="FT261">
        <v>0</v>
      </c>
      <c r="FU261">
        <v>0</v>
      </c>
      <c r="FV261">
        <v>0</v>
      </c>
      <c r="FW261">
        <v>0</v>
      </c>
      <c r="FX261">
        <v>0</v>
      </c>
      <c r="FY261">
        <v>0</v>
      </c>
      <c r="FZ261">
        <v>0</v>
      </c>
      <c r="GA261">
        <v>0</v>
      </c>
      <c r="GB261">
        <v>0</v>
      </c>
      <c r="GC261">
        <v>0</v>
      </c>
      <c r="GD261">
        <v>0</v>
      </c>
      <c r="GE261">
        <v>0</v>
      </c>
      <c r="GF261">
        <v>0</v>
      </c>
      <c r="GG261">
        <v>0</v>
      </c>
      <c r="GH261">
        <v>0</v>
      </c>
      <c r="GI261">
        <v>0</v>
      </c>
      <c r="GJ261">
        <v>0</v>
      </c>
      <c r="GK261">
        <v>0</v>
      </c>
      <c r="GL261">
        <v>0</v>
      </c>
      <c r="GM261">
        <v>0</v>
      </c>
      <c r="GN261">
        <v>0</v>
      </c>
      <c r="GO261">
        <v>0</v>
      </c>
      <c r="GP261">
        <v>0</v>
      </c>
      <c r="GQ261">
        <v>0</v>
      </c>
      <c r="GR261">
        <v>0</v>
      </c>
      <c r="GS261">
        <v>0</v>
      </c>
      <c r="GT261">
        <v>0</v>
      </c>
      <c r="GU261">
        <v>0</v>
      </c>
      <c r="GV261">
        <v>0</v>
      </c>
      <c r="GW261">
        <v>0</v>
      </c>
      <c r="GX261">
        <v>2451</v>
      </c>
      <c r="GY261">
        <v>25330</v>
      </c>
      <c r="GZ261">
        <v>9</v>
      </c>
      <c r="HA261">
        <v>27790</v>
      </c>
      <c r="HB261">
        <v>146</v>
      </c>
      <c r="HC261">
        <v>0</v>
      </c>
      <c r="HD261">
        <v>0</v>
      </c>
      <c r="HE261">
        <v>0</v>
      </c>
      <c r="HF261">
        <v>0</v>
      </c>
      <c r="HG261">
        <v>0</v>
      </c>
      <c r="HH261">
        <v>0</v>
      </c>
      <c r="HI261">
        <v>0</v>
      </c>
      <c r="HJ261">
        <v>0</v>
      </c>
      <c r="HK261">
        <v>0</v>
      </c>
      <c r="HL261">
        <v>0</v>
      </c>
      <c r="HM261">
        <v>0</v>
      </c>
      <c r="HN261">
        <v>0</v>
      </c>
      <c r="HO261">
        <v>0</v>
      </c>
      <c r="HP261">
        <v>0</v>
      </c>
      <c r="HQ261">
        <v>0</v>
      </c>
      <c r="HR261">
        <v>0</v>
      </c>
      <c r="HS261">
        <v>0</v>
      </c>
      <c r="HT261">
        <v>0</v>
      </c>
      <c r="HU261">
        <v>0</v>
      </c>
      <c r="HV261">
        <v>146</v>
      </c>
      <c r="HW261">
        <v>0</v>
      </c>
      <c r="HX261">
        <v>0</v>
      </c>
      <c r="HY261">
        <v>0</v>
      </c>
      <c r="HZ261">
        <v>0</v>
      </c>
      <c r="IA261">
        <v>0</v>
      </c>
      <c r="IB261">
        <v>0</v>
      </c>
      <c r="IC261">
        <v>0</v>
      </c>
      <c r="ID261">
        <v>0</v>
      </c>
      <c r="IE261">
        <v>0</v>
      </c>
      <c r="IF261">
        <v>0</v>
      </c>
      <c r="IG261">
        <v>0</v>
      </c>
      <c r="IH261">
        <v>0</v>
      </c>
      <c r="II261">
        <v>0</v>
      </c>
      <c r="IJ261">
        <v>0</v>
      </c>
      <c r="IK261">
        <v>0</v>
      </c>
      <c r="IL261">
        <v>0</v>
      </c>
      <c r="IM261">
        <v>27790</v>
      </c>
      <c r="IN261">
        <v>146</v>
      </c>
      <c r="IO261">
        <v>0</v>
      </c>
      <c r="IP261">
        <v>27936</v>
      </c>
      <c r="IQ261">
        <v>0</v>
      </c>
      <c r="IR261">
        <v>0</v>
      </c>
      <c r="IS261">
        <v>0</v>
      </c>
      <c r="IT261">
        <v>0</v>
      </c>
      <c r="IU261">
        <v>0</v>
      </c>
      <c r="IV261">
        <v>0</v>
      </c>
      <c r="IW261">
        <v>0</v>
      </c>
      <c r="IX261">
        <v>0</v>
      </c>
      <c r="IY261">
        <v>0</v>
      </c>
      <c r="IZ261">
        <v>0</v>
      </c>
      <c r="JA261">
        <v>0</v>
      </c>
      <c r="JB261">
        <v>0</v>
      </c>
      <c r="JC261">
        <v>0</v>
      </c>
      <c r="JD261">
        <v>0</v>
      </c>
      <c r="JE261">
        <v>0</v>
      </c>
      <c r="JF261">
        <v>0</v>
      </c>
      <c r="JG261">
        <v>27936</v>
      </c>
      <c r="JH261">
        <v>0</v>
      </c>
      <c r="JI261">
        <v>375</v>
      </c>
      <c r="JJ261">
        <v>0</v>
      </c>
      <c r="JK261">
        <v>0</v>
      </c>
      <c r="JL261">
        <v>0</v>
      </c>
      <c r="JM261">
        <v>0</v>
      </c>
      <c r="JN261">
        <v>986</v>
      </c>
      <c r="JO261">
        <v>0</v>
      </c>
      <c r="JP261">
        <v>508</v>
      </c>
      <c r="JQ261">
        <v>0</v>
      </c>
      <c r="JR261">
        <v>29805</v>
      </c>
      <c r="JS261">
        <v>-16</v>
      </c>
      <c r="JT261">
        <v>385</v>
      </c>
      <c r="JU261">
        <v>0</v>
      </c>
      <c r="JV261">
        <v>0</v>
      </c>
      <c r="JW261">
        <v>0</v>
      </c>
      <c r="JX261">
        <v>0</v>
      </c>
      <c r="JY261">
        <v>0</v>
      </c>
      <c r="JZ261">
        <v>0</v>
      </c>
      <c r="KA261">
        <v>0</v>
      </c>
      <c r="KB261">
        <v>0</v>
      </c>
      <c r="KC261">
        <v>30174</v>
      </c>
      <c r="KD261">
        <v>0</v>
      </c>
      <c r="KE261">
        <v>-815</v>
      </c>
      <c r="KF261">
        <v>29359</v>
      </c>
      <c r="KG261">
        <v>0</v>
      </c>
      <c r="KH261">
        <v>0</v>
      </c>
      <c r="KI261">
        <v>0</v>
      </c>
      <c r="KJ261">
        <v>0</v>
      </c>
      <c r="KK261">
        <v>365</v>
      </c>
      <c r="KL261">
        <v>0</v>
      </c>
      <c r="KM261">
        <v>-2554</v>
      </c>
      <c r="KN261">
        <v>0</v>
      </c>
      <c r="KO261">
        <v>-4440</v>
      </c>
      <c r="KP261">
        <v>63</v>
      </c>
      <c r="KQ261">
        <v>0</v>
      </c>
      <c r="KR261">
        <v>22477</v>
      </c>
      <c r="KS261">
        <v>0</v>
      </c>
      <c r="KT261">
        <v>0</v>
      </c>
      <c r="KU261">
        <v>0</v>
      </c>
      <c r="KV261">
        <v>6876</v>
      </c>
      <c r="KW261">
        <v>1075</v>
      </c>
      <c r="KX261">
        <v>0</v>
      </c>
      <c r="KY261">
        <v>0</v>
      </c>
      <c r="KZ261">
        <v>0</v>
      </c>
      <c r="LA261">
        <v>7241</v>
      </c>
      <c r="LB261">
        <v>1075</v>
      </c>
      <c r="LC261">
        <v>0</v>
      </c>
      <c r="LD261">
        <v>2029</v>
      </c>
      <c r="LE261">
        <v>3</v>
      </c>
      <c r="LF261">
        <v>-1305</v>
      </c>
      <c r="LG261">
        <v>0</v>
      </c>
      <c r="LH261">
        <v>0</v>
      </c>
      <c r="LI261">
        <v>727</v>
      </c>
      <c r="LJ261">
        <v>0</v>
      </c>
      <c r="LK261">
        <v>0</v>
      </c>
      <c r="LL261">
        <v>0</v>
      </c>
      <c r="LM261">
        <v>0</v>
      </c>
      <c r="LN261">
        <v>0</v>
      </c>
      <c r="LO261">
        <v>0</v>
      </c>
      <c r="LP261">
        <v>0</v>
      </c>
      <c r="LQ261">
        <v>0</v>
      </c>
      <c r="LR261">
        <v>0</v>
      </c>
      <c r="LS261">
        <v>0</v>
      </c>
      <c r="LT261">
        <v>0</v>
      </c>
      <c r="LU261">
        <v>0</v>
      </c>
      <c r="LV261">
        <v>0</v>
      </c>
      <c r="LW261">
        <v>0</v>
      </c>
      <c r="LX261">
        <v>0</v>
      </c>
      <c r="LY261">
        <v>0</v>
      </c>
      <c r="LZ261">
        <v>0</v>
      </c>
      <c r="MA261">
        <v>0</v>
      </c>
      <c r="MB261">
        <v>0</v>
      </c>
      <c r="MC261">
        <v>0</v>
      </c>
      <c r="MD261">
        <v>0</v>
      </c>
      <c r="ME261">
        <v>27790</v>
      </c>
      <c r="MF261">
        <v>146</v>
      </c>
      <c r="MG261">
        <v>0</v>
      </c>
      <c r="MH261">
        <v>27936</v>
      </c>
      <c r="MI261">
        <v>0</v>
      </c>
      <c r="MJ261">
        <v>0</v>
      </c>
      <c r="MK261">
        <v>0</v>
      </c>
      <c r="ML261">
        <v>0</v>
      </c>
      <c r="MM261">
        <v>0</v>
      </c>
      <c r="MN261">
        <v>0</v>
      </c>
      <c r="MO261">
        <v>0</v>
      </c>
      <c r="MP261">
        <v>0</v>
      </c>
      <c r="MQ261">
        <v>0</v>
      </c>
      <c r="MR261">
        <v>0</v>
      </c>
      <c r="MS261">
        <v>0</v>
      </c>
      <c r="MT261">
        <v>0</v>
      </c>
      <c r="MU261">
        <v>0</v>
      </c>
      <c r="MV261">
        <v>0</v>
      </c>
      <c r="MW261">
        <v>0</v>
      </c>
      <c r="MX261">
        <v>0</v>
      </c>
      <c r="MY261">
        <v>0</v>
      </c>
      <c r="MZ261">
        <v>0</v>
      </c>
      <c r="NA261">
        <v>0</v>
      </c>
      <c r="NB261">
        <v>0</v>
      </c>
      <c r="NC261">
        <v>0</v>
      </c>
      <c r="ND261">
        <v>0</v>
      </c>
      <c r="NE261">
        <v>0</v>
      </c>
      <c r="NF261">
        <v>0</v>
      </c>
      <c r="NG261">
        <v>0</v>
      </c>
      <c r="NH261">
        <v>0</v>
      </c>
      <c r="NI261">
        <v>0</v>
      </c>
      <c r="NJ261">
        <v>0</v>
      </c>
      <c r="NK261">
        <v>0</v>
      </c>
      <c r="NL261">
        <v>0</v>
      </c>
      <c r="NM261">
        <v>0</v>
      </c>
      <c r="NN261">
        <v>0</v>
      </c>
      <c r="NO261">
        <v>0</v>
      </c>
      <c r="NP261">
        <v>0</v>
      </c>
      <c r="NQ261">
        <v>0</v>
      </c>
      <c r="NR261">
        <v>0</v>
      </c>
      <c r="NS261">
        <v>0</v>
      </c>
      <c r="NT261">
        <v>0</v>
      </c>
      <c r="NU261">
        <v>0</v>
      </c>
      <c r="NV261">
        <v>0</v>
      </c>
      <c r="NW261">
        <v>0</v>
      </c>
      <c r="NX261">
        <v>0</v>
      </c>
      <c r="NY261">
        <v>0</v>
      </c>
      <c r="NZ261">
        <v>0</v>
      </c>
      <c r="OA261">
        <v>0</v>
      </c>
      <c r="OB261">
        <v>0</v>
      </c>
      <c r="OC261">
        <v>0</v>
      </c>
      <c r="OD261">
        <v>0</v>
      </c>
      <c r="OE261">
        <v>0</v>
      </c>
      <c r="OF261">
        <v>0</v>
      </c>
      <c r="OG261">
        <v>0</v>
      </c>
      <c r="OH261">
        <v>0</v>
      </c>
      <c r="OI261">
        <v>0</v>
      </c>
      <c r="OJ261">
        <v>0</v>
      </c>
      <c r="OK261">
        <v>0</v>
      </c>
      <c r="OL261">
        <v>0</v>
      </c>
      <c r="OM261">
        <v>0</v>
      </c>
      <c r="ON261">
        <v>0</v>
      </c>
    </row>
    <row r="262" spans="1:404" x14ac:dyDescent="0.25">
      <c r="A262" t="s">
        <v>854</v>
      </c>
      <c r="B262" t="s">
        <v>855</v>
      </c>
      <c r="C262" t="s">
        <v>853</v>
      </c>
      <c r="E262" t="s">
        <v>71</v>
      </c>
      <c r="F262">
        <v>0</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0</v>
      </c>
      <c r="AL262">
        <v>0</v>
      </c>
      <c r="AM262">
        <v>0</v>
      </c>
      <c r="AN262">
        <v>0</v>
      </c>
      <c r="AO262">
        <v>0</v>
      </c>
      <c r="AP262">
        <v>0</v>
      </c>
      <c r="AQ262">
        <v>0</v>
      </c>
      <c r="AR262">
        <v>0</v>
      </c>
      <c r="AS262">
        <v>0</v>
      </c>
      <c r="AT262">
        <v>0</v>
      </c>
      <c r="AU262">
        <v>0</v>
      </c>
      <c r="AV262">
        <v>0</v>
      </c>
      <c r="AW262">
        <v>0</v>
      </c>
      <c r="AX262">
        <v>0</v>
      </c>
      <c r="AY262">
        <v>0</v>
      </c>
      <c r="AZ262">
        <v>0</v>
      </c>
      <c r="BA262">
        <v>0</v>
      </c>
      <c r="BB262">
        <v>0</v>
      </c>
      <c r="BC262">
        <v>0</v>
      </c>
      <c r="BD262">
        <v>0</v>
      </c>
      <c r="BE262">
        <v>0</v>
      </c>
      <c r="BF262">
        <v>0</v>
      </c>
      <c r="BG262">
        <v>0</v>
      </c>
      <c r="BH262">
        <v>0</v>
      </c>
      <c r="BI262">
        <v>0</v>
      </c>
      <c r="BJ262">
        <v>0</v>
      </c>
      <c r="BK262">
        <v>0</v>
      </c>
      <c r="BL262">
        <v>0</v>
      </c>
      <c r="BM262">
        <v>0</v>
      </c>
      <c r="BN262">
        <v>0</v>
      </c>
      <c r="BO262">
        <v>0</v>
      </c>
      <c r="BP262">
        <v>0</v>
      </c>
      <c r="BQ262">
        <v>0</v>
      </c>
      <c r="BR262">
        <v>0</v>
      </c>
      <c r="BS262">
        <v>0</v>
      </c>
      <c r="BT262">
        <v>0</v>
      </c>
      <c r="BU262">
        <v>0</v>
      </c>
      <c r="BV262">
        <v>0</v>
      </c>
      <c r="BW262">
        <v>0</v>
      </c>
      <c r="BX262">
        <v>0</v>
      </c>
      <c r="BY262">
        <v>0</v>
      </c>
      <c r="BZ262">
        <v>0</v>
      </c>
      <c r="CA262">
        <v>0</v>
      </c>
      <c r="CB262">
        <v>0</v>
      </c>
      <c r="CC262">
        <v>0</v>
      </c>
      <c r="CD262">
        <v>0</v>
      </c>
      <c r="CE262">
        <v>0</v>
      </c>
      <c r="CF262">
        <v>0</v>
      </c>
      <c r="CG262">
        <v>0</v>
      </c>
      <c r="CH262">
        <v>0</v>
      </c>
      <c r="CI262">
        <v>0</v>
      </c>
      <c r="CJ262">
        <v>0</v>
      </c>
      <c r="CK262">
        <v>0</v>
      </c>
      <c r="CL262">
        <v>0</v>
      </c>
      <c r="CM262">
        <v>0</v>
      </c>
      <c r="CN262">
        <v>0</v>
      </c>
      <c r="CO262">
        <v>0</v>
      </c>
      <c r="CP262">
        <v>0</v>
      </c>
      <c r="CQ262">
        <v>0</v>
      </c>
      <c r="CR262">
        <v>0</v>
      </c>
      <c r="CS262">
        <v>0</v>
      </c>
      <c r="CT262">
        <v>0</v>
      </c>
      <c r="CU262">
        <v>0</v>
      </c>
      <c r="CV262">
        <v>0</v>
      </c>
      <c r="CW262">
        <v>0</v>
      </c>
      <c r="CX262">
        <v>0</v>
      </c>
      <c r="CY262">
        <v>0</v>
      </c>
      <c r="CZ262">
        <v>0</v>
      </c>
      <c r="DA262">
        <v>0</v>
      </c>
      <c r="DB262">
        <v>0</v>
      </c>
      <c r="DC262">
        <v>0</v>
      </c>
      <c r="DD262">
        <v>0</v>
      </c>
      <c r="DE262">
        <v>0</v>
      </c>
      <c r="DF262">
        <v>0</v>
      </c>
      <c r="DG262">
        <v>0</v>
      </c>
      <c r="DH262">
        <v>0</v>
      </c>
      <c r="DI262">
        <v>0</v>
      </c>
      <c r="DJ262">
        <v>0</v>
      </c>
      <c r="DK262">
        <v>0</v>
      </c>
      <c r="DL262">
        <v>0</v>
      </c>
      <c r="DM262">
        <v>0</v>
      </c>
      <c r="DN262">
        <v>0</v>
      </c>
      <c r="DO262">
        <v>0</v>
      </c>
      <c r="DP262">
        <v>0</v>
      </c>
      <c r="DQ262">
        <v>0</v>
      </c>
      <c r="DR262">
        <v>0</v>
      </c>
      <c r="DS262">
        <v>0</v>
      </c>
      <c r="DT262">
        <v>0</v>
      </c>
      <c r="DU262">
        <v>0</v>
      </c>
      <c r="DV262">
        <v>0</v>
      </c>
      <c r="DW262">
        <v>0</v>
      </c>
      <c r="DX262">
        <v>0</v>
      </c>
      <c r="DY262">
        <v>0</v>
      </c>
      <c r="DZ262">
        <v>0</v>
      </c>
      <c r="EA262">
        <v>0</v>
      </c>
      <c r="EB262">
        <v>0</v>
      </c>
      <c r="EC262">
        <v>0</v>
      </c>
      <c r="ED262">
        <v>0</v>
      </c>
      <c r="EE262">
        <v>0</v>
      </c>
      <c r="EF262">
        <v>0</v>
      </c>
      <c r="EG262">
        <v>0</v>
      </c>
      <c r="EH262">
        <v>0</v>
      </c>
      <c r="EI262">
        <v>0</v>
      </c>
      <c r="EJ262">
        <v>0</v>
      </c>
      <c r="EK262">
        <v>0</v>
      </c>
      <c r="EL262">
        <v>0</v>
      </c>
      <c r="EM262">
        <v>0</v>
      </c>
      <c r="EN262">
        <v>0</v>
      </c>
      <c r="EO262">
        <v>0</v>
      </c>
      <c r="EP262">
        <v>0</v>
      </c>
      <c r="EQ262">
        <v>0</v>
      </c>
      <c r="ER262">
        <v>0</v>
      </c>
      <c r="ES262">
        <v>0</v>
      </c>
      <c r="ET262">
        <v>0</v>
      </c>
      <c r="EU262">
        <v>0</v>
      </c>
      <c r="EV262">
        <v>0</v>
      </c>
      <c r="EW262">
        <v>0</v>
      </c>
      <c r="EX262">
        <v>0</v>
      </c>
      <c r="EY262">
        <v>0</v>
      </c>
      <c r="EZ262">
        <v>0</v>
      </c>
      <c r="FA262">
        <v>0</v>
      </c>
      <c r="FB262">
        <v>0</v>
      </c>
      <c r="FC262">
        <v>0</v>
      </c>
      <c r="FD262">
        <v>0</v>
      </c>
      <c r="FE262">
        <v>0</v>
      </c>
      <c r="FF262">
        <v>0</v>
      </c>
      <c r="FG262">
        <v>0</v>
      </c>
      <c r="FH262">
        <v>0</v>
      </c>
      <c r="FI262">
        <v>0</v>
      </c>
      <c r="FJ262">
        <v>0</v>
      </c>
      <c r="FK262">
        <v>0</v>
      </c>
      <c r="FL262">
        <v>0</v>
      </c>
      <c r="FM262">
        <v>0</v>
      </c>
      <c r="FN262">
        <v>0</v>
      </c>
      <c r="FO262">
        <v>0</v>
      </c>
      <c r="FP262">
        <v>0</v>
      </c>
      <c r="FQ262">
        <v>0</v>
      </c>
      <c r="FR262">
        <v>0</v>
      </c>
      <c r="FS262">
        <v>0</v>
      </c>
      <c r="FT262">
        <v>0</v>
      </c>
      <c r="FU262">
        <v>0</v>
      </c>
      <c r="FV262">
        <v>0</v>
      </c>
      <c r="FW262">
        <v>0</v>
      </c>
      <c r="FX262">
        <v>0</v>
      </c>
      <c r="FY262">
        <v>0</v>
      </c>
      <c r="FZ262">
        <v>0</v>
      </c>
      <c r="GA262">
        <v>0</v>
      </c>
      <c r="GB262">
        <v>0</v>
      </c>
      <c r="GC262">
        <v>0</v>
      </c>
      <c r="GD262">
        <v>0</v>
      </c>
      <c r="GE262">
        <v>0</v>
      </c>
      <c r="GF262">
        <v>0</v>
      </c>
      <c r="GG262">
        <v>0</v>
      </c>
      <c r="GH262">
        <v>0</v>
      </c>
      <c r="GI262">
        <v>0</v>
      </c>
      <c r="GJ262">
        <v>0</v>
      </c>
      <c r="GK262">
        <v>0</v>
      </c>
      <c r="GL262">
        <v>0</v>
      </c>
      <c r="GM262">
        <v>0</v>
      </c>
      <c r="GN262">
        <v>0</v>
      </c>
      <c r="GO262">
        <v>0</v>
      </c>
      <c r="GP262">
        <v>0</v>
      </c>
      <c r="GQ262">
        <v>0</v>
      </c>
      <c r="GR262">
        <v>0</v>
      </c>
      <c r="GS262">
        <v>0</v>
      </c>
      <c r="GT262">
        <v>0</v>
      </c>
      <c r="GU262">
        <v>0</v>
      </c>
      <c r="GV262">
        <v>0</v>
      </c>
      <c r="GW262">
        <v>169655</v>
      </c>
      <c r="GX262">
        <v>0</v>
      </c>
      <c r="GY262">
        <v>0</v>
      </c>
      <c r="GZ262">
        <v>0</v>
      </c>
      <c r="HA262">
        <v>0</v>
      </c>
      <c r="HB262">
        <v>1348</v>
      </c>
      <c r="HC262">
        <v>0</v>
      </c>
      <c r="HD262">
        <v>0</v>
      </c>
      <c r="HE262">
        <v>0</v>
      </c>
      <c r="HF262">
        <v>0</v>
      </c>
      <c r="HG262">
        <v>0</v>
      </c>
      <c r="HH262">
        <v>0</v>
      </c>
      <c r="HI262">
        <v>0</v>
      </c>
      <c r="HJ262">
        <v>0</v>
      </c>
      <c r="HK262">
        <v>0</v>
      </c>
      <c r="HL262">
        <v>0</v>
      </c>
      <c r="HM262">
        <v>0</v>
      </c>
      <c r="HN262">
        <v>0</v>
      </c>
      <c r="HO262">
        <v>0</v>
      </c>
      <c r="HP262">
        <v>0</v>
      </c>
      <c r="HQ262">
        <v>0</v>
      </c>
      <c r="HR262">
        <v>0</v>
      </c>
      <c r="HS262">
        <v>0</v>
      </c>
      <c r="HT262">
        <v>0</v>
      </c>
      <c r="HU262">
        <v>0</v>
      </c>
      <c r="HV262">
        <v>1348</v>
      </c>
      <c r="HW262">
        <v>0</v>
      </c>
      <c r="HX262">
        <v>0</v>
      </c>
      <c r="HY262">
        <v>0</v>
      </c>
      <c r="HZ262">
        <v>0</v>
      </c>
      <c r="IA262">
        <v>0</v>
      </c>
      <c r="IB262">
        <v>0</v>
      </c>
      <c r="IC262">
        <v>0</v>
      </c>
      <c r="ID262">
        <v>0</v>
      </c>
      <c r="IE262">
        <v>0</v>
      </c>
      <c r="IF262">
        <v>0</v>
      </c>
      <c r="IG262">
        <v>0</v>
      </c>
      <c r="IH262">
        <v>0</v>
      </c>
      <c r="II262">
        <v>0</v>
      </c>
      <c r="IJ262">
        <v>0</v>
      </c>
      <c r="IK262">
        <v>0</v>
      </c>
      <c r="IL262">
        <v>169655</v>
      </c>
      <c r="IM262">
        <v>0</v>
      </c>
      <c r="IN262">
        <v>1348</v>
      </c>
      <c r="IO262">
        <v>0</v>
      </c>
      <c r="IP262">
        <v>171003</v>
      </c>
      <c r="IQ262">
        <v>0</v>
      </c>
      <c r="IR262">
        <v>0</v>
      </c>
      <c r="IS262">
        <v>0</v>
      </c>
      <c r="IT262">
        <v>0</v>
      </c>
      <c r="IU262">
        <v>0</v>
      </c>
      <c r="IV262">
        <v>0</v>
      </c>
      <c r="IW262">
        <v>0</v>
      </c>
      <c r="IX262">
        <v>0</v>
      </c>
      <c r="IY262">
        <v>0</v>
      </c>
      <c r="IZ262">
        <v>0</v>
      </c>
      <c r="JA262">
        <v>0</v>
      </c>
      <c r="JB262">
        <v>0</v>
      </c>
      <c r="JC262">
        <v>0</v>
      </c>
      <c r="JD262">
        <v>0</v>
      </c>
      <c r="JE262">
        <v>0</v>
      </c>
      <c r="JF262">
        <v>0</v>
      </c>
      <c r="JG262">
        <v>171003</v>
      </c>
      <c r="JH262">
        <v>0</v>
      </c>
      <c r="JI262">
        <v>3513</v>
      </c>
      <c r="JJ262">
        <v>0</v>
      </c>
      <c r="JK262">
        <v>0</v>
      </c>
      <c r="JL262">
        <v>0</v>
      </c>
      <c r="JM262">
        <v>0</v>
      </c>
      <c r="JN262">
        <v>422</v>
      </c>
      <c r="JO262">
        <v>0</v>
      </c>
      <c r="JP262">
        <v>147</v>
      </c>
      <c r="JQ262">
        <v>0</v>
      </c>
      <c r="JR262">
        <v>175085</v>
      </c>
      <c r="JS262">
        <v>-36</v>
      </c>
      <c r="JT262">
        <v>0</v>
      </c>
      <c r="JU262">
        <v>0</v>
      </c>
      <c r="JV262">
        <v>0</v>
      </c>
      <c r="JW262">
        <v>-1093</v>
      </c>
      <c r="JX262">
        <v>0</v>
      </c>
      <c r="JY262">
        <v>0</v>
      </c>
      <c r="JZ262">
        <v>0</v>
      </c>
      <c r="KA262">
        <v>0</v>
      </c>
      <c r="KB262">
        <v>0</v>
      </c>
      <c r="KC262">
        <v>173956</v>
      </c>
      <c r="KD262">
        <v>0</v>
      </c>
      <c r="KE262">
        <v>-7161</v>
      </c>
      <c r="KF262">
        <v>166795</v>
      </c>
      <c r="KG262">
        <v>0</v>
      </c>
      <c r="KH262">
        <v>0</v>
      </c>
      <c r="KI262">
        <v>0</v>
      </c>
      <c r="KJ262">
        <v>0</v>
      </c>
      <c r="KK262">
        <v>3253</v>
      </c>
      <c r="KL262">
        <v>0</v>
      </c>
      <c r="KM262">
        <v>0</v>
      </c>
      <c r="KN262">
        <v>-88102</v>
      </c>
      <c r="KO262">
        <v>0</v>
      </c>
      <c r="KP262">
        <v>232</v>
      </c>
      <c r="KQ262">
        <v>0</v>
      </c>
      <c r="KR262">
        <v>82178</v>
      </c>
      <c r="KS262">
        <v>0</v>
      </c>
      <c r="KT262">
        <v>0</v>
      </c>
      <c r="KU262">
        <v>0</v>
      </c>
      <c r="KV262">
        <v>16152</v>
      </c>
      <c r="KW262">
        <v>5603</v>
      </c>
      <c r="KX262">
        <v>0</v>
      </c>
      <c r="KY262">
        <v>0</v>
      </c>
      <c r="KZ262">
        <v>0</v>
      </c>
      <c r="LA262">
        <v>19405</v>
      </c>
      <c r="LB262">
        <v>5603</v>
      </c>
      <c r="LC262">
        <v>0</v>
      </c>
      <c r="LD262">
        <v>5004</v>
      </c>
      <c r="LE262">
        <v>0</v>
      </c>
      <c r="LF262">
        <v>0</v>
      </c>
      <c r="LG262">
        <v>-121</v>
      </c>
      <c r="LH262">
        <v>0</v>
      </c>
      <c r="LI262">
        <v>4250</v>
      </c>
      <c r="LJ262">
        <v>0</v>
      </c>
      <c r="LK262">
        <v>0</v>
      </c>
      <c r="LL262">
        <v>0</v>
      </c>
      <c r="LM262">
        <v>0</v>
      </c>
      <c r="LN262">
        <v>0</v>
      </c>
      <c r="LO262">
        <v>0</v>
      </c>
      <c r="LP262">
        <v>0</v>
      </c>
      <c r="LQ262">
        <v>0</v>
      </c>
      <c r="LR262">
        <v>0</v>
      </c>
      <c r="LS262">
        <v>0</v>
      </c>
      <c r="LT262">
        <v>0</v>
      </c>
      <c r="LU262">
        <v>0</v>
      </c>
      <c r="LV262">
        <v>0</v>
      </c>
      <c r="LW262">
        <v>0</v>
      </c>
      <c r="LX262">
        <v>0</v>
      </c>
      <c r="LY262">
        <v>0</v>
      </c>
      <c r="LZ262">
        <v>0</v>
      </c>
      <c r="MA262">
        <v>0</v>
      </c>
      <c r="MB262">
        <v>0</v>
      </c>
      <c r="MC262">
        <v>0</v>
      </c>
      <c r="MD262">
        <v>169655</v>
      </c>
      <c r="ME262">
        <v>0</v>
      </c>
      <c r="MF262">
        <v>1348</v>
      </c>
      <c r="MG262">
        <v>0</v>
      </c>
      <c r="MH262">
        <v>171003</v>
      </c>
      <c r="MI262">
        <v>0</v>
      </c>
      <c r="MJ262">
        <v>0</v>
      </c>
      <c r="MK262">
        <v>0</v>
      </c>
      <c r="ML262">
        <v>0</v>
      </c>
      <c r="MM262">
        <v>0</v>
      </c>
      <c r="MN262">
        <v>0</v>
      </c>
      <c r="MO262">
        <v>0</v>
      </c>
      <c r="MP262">
        <v>0</v>
      </c>
      <c r="MQ262">
        <v>0</v>
      </c>
      <c r="MR262">
        <v>0</v>
      </c>
      <c r="MS262">
        <v>0</v>
      </c>
      <c r="MT262">
        <v>0</v>
      </c>
      <c r="MU262">
        <v>0</v>
      </c>
      <c r="MV262">
        <v>0</v>
      </c>
      <c r="MW262">
        <v>0</v>
      </c>
      <c r="MX262">
        <v>0</v>
      </c>
      <c r="MY262">
        <v>0</v>
      </c>
      <c r="MZ262">
        <v>0</v>
      </c>
      <c r="NA262">
        <v>0</v>
      </c>
      <c r="NB262">
        <v>0</v>
      </c>
      <c r="NC262">
        <v>0</v>
      </c>
      <c r="ND262">
        <v>0</v>
      </c>
      <c r="NE262">
        <v>0</v>
      </c>
      <c r="NF262">
        <v>0</v>
      </c>
      <c r="NG262">
        <v>0</v>
      </c>
      <c r="NH262">
        <v>0</v>
      </c>
      <c r="NI262">
        <v>0</v>
      </c>
      <c r="NJ262">
        <v>0</v>
      </c>
      <c r="NK262">
        <v>0</v>
      </c>
      <c r="NL262">
        <v>0</v>
      </c>
      <c r="NM262">
        <v>0</v>
      </c>
      <c r="NN262">
        <v>0</v>
      </c>
      <c r="NO262">
        <v>0</v>
      </c>
      <c r="NP262">
        <v>0</v>
      </c>
      <c r="NQ262">
        <v>0</v>
      </c>
      <c r="NR262">
        <v>0</v>
      </c>
      <c r="NS262">
        <v>0</v>
      </c>
      <c r="NT262">
        <v>0</v>
      </c>
      <c r="NU262">
        <v>0</v>
      </c>
      <c r="NV262">
        <v>0</v>
      </c>
      <c r="NW262">
        <v>0</v>
      </c>
      <c r="NX262">
        <v>0</v>
      </c>
      <c r="NY262">
        <v>0</v>
      </c>
      <c r="NZ262">
        <v>0</v>
      </c>
      <c r="OA262">
        <v>0</v>
      </c>
      <c r="OB262">
        <v>0</v>
      </c>
      <c r="OC262">
        <v>0</v>
      </c>
      <c r="OD262">
        <v>0</v>
      </c>
      <c r="OE262">
        <v>0</v>
      </c>
      <c r="OF262">
        <v>0</v>
      </c>
      <c r="OG262">
        <v>0</v>
      </c>
      <c r="OH262">
        <v>0</v>
      </c>
      <c r="OI262">
        <v>0</v>
      </c>
      <c r="OJ262">
        <v>0</v>
      </c>
      <c r="OK262">
        <v>0</v>
      </c>
      <c r="OL262">
        <v>0</v>
      </c>
      <c r="OM262">
        <v>0</v>
      </c>
      <c r="ON262">
        <v>0</v>
      </c>
    </row>
    <row r="263" spans="1:404" x14ac:dyDescent="0.25">
      <c r="A263" t="s">
        <v>857</v>
      </c>
      <c r="B263" t="s">
        <v>858</v>
      </c>
      <c r="C263" t="s">
        <v>856</v>
      </c>
      <c r="E263" t="s">
        <v>71</v>
      </c>
      <c r="F263">
        <v>0</v>
      </c>
      <c r="G263">
        <v>0</v>
      </c>
      <c r="H263">
        <v>0</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0</v>
      </c>
      <c r="AS263">
        <v>0</v>
      </c>
      <c r="AT263">
        <v>0</v>
      </c>
      <c r="AU263">
        <v>0</v>
      </c>
      <c r="AV263">
        <v>0</v>
      </c>
      <c r="AW263">
        <v>0</v>
      </c>
      <c r="AX263">
        <v>0</v>
      </c>
      <c r="AY263">
        <v>0</v>
      </c>
      <c r="AZ263">
        <v>0</v>
      </c>
      <c r="BA263">
        <v>0</v>
      </c>
      <c r="BB263">
        <v>0</v>
      </c>
      <c r="BC263">
        <v>0</v>
      </c>
      <c r="BD263">
        <v>0</v>
      </c>
      <c r="BE263">
        <v>0</v>
      </c>
      <c r="BF263">
        <v>0</v>
      </c>
      <c r="BG263">
        <v>0</v>
      </c>
      <c r="BH263">
        <v>0</v>
      </c>
      <c r="BI263">
        <v>0</v>
      </c>
      <c r="BJ263">
        <v>0</v>
      </c>
      <c r="BK263">
        <v>0</v>
      </c>
      <c r="BL263">
        <v>0</v>
      </c>
      <c r="BM263">
        <v>0</v>
      </c>
      <c r="BN263">
        <v>0</v>
      </c>
      <c r="BO263">
        <v>0</v>
      </c>
      <c r="BP263">
        <v>0</v>
      </c>
      <c r="BQ263">
        <v>0</v>
      </c>
      <c r="BR263">
        <v>0</v>
      </c>
      <c r="BS263">
        <v>0</v>
      </c>
      <c r="BT263">
        <v>0</v>
      </c>
      <c r="BU263">
        <v>0</v>
      </c>
      <c r="BV263">
        <v>0</v>
      </c>
      <c r="BW263">
        <v>0</v>
      </c>
      <c r="BX263">
        <v>0</v>
      </c>
      <c r="BY263">
        <v>0</v>
      </c>
      <c r="BZ263">
        <v>0</v>
      </c>
      <c r="CA263">
        <v>0</v>
      </c>
      <c r="CB263">
        <v>0</v>
      </c>
      <c r="CC263">
        <v>0</v>
      </c>
      <c r="CD263">
        <v>0</v>
      </c>
      <c r="CE263">
        <v>0</v>
      </c>
      <c r="CF263">
        <v>0</v>
      </c>
      <c r="CG263">
        <v>0</v>
      </c>
      <c r="CH263">
        <v>0</v>
      </c>
      <c r="CI263">
        <v>0</v>
      </c>
      <c r="CJ263">
        <v>0</v>
      </c>
      <c r="CK263">
        <v>0</v>
      </c>
      <c r="CL263">
        <v>0</v>
      </c>
      <c r="CM263">
        <v>0</v>
      </c>
      <c r="CN263">
        <v>0</v>
      </c>
      <c r="CO263">
        <v>0</v>
      </c>
      <c r="CP263">
        <v>0</v>
      </c>
      <c r="CQ263">
        <v>0</v>
      </c>
      <c r="CR263">
        <v>0</v>
      </c>
      <c r="CS263">
        <v>0</v>
      </c>
      <c r="CT263">
        <v>0</v>
      </c>
      <c r="CU263">
        <v>0</v>
      </c>
      <c r="CV263">
        <v>0</v>
      </c>
      <c r="CW263">
        <v>0</v>
      </c>
      <c r="CX263">
        <v>0</v>
      </c>
      <c r="CY263">
        <v>0</v>
      </c>
      <c r="CZ263">
        <v>0</v>
      </c>
      <c r="DA263">
        <v>0</v>
      </c>
      <c r="DB263">
        <v>0</v>
      </c>
      <c r="DC263">
        <v>0</v>
      </c>
      <c r="DD263">
        <v>0</v>
      </c>
      <c r="DE263">
        <v>0</v>
      </c>
      <c r="DF263">
        <v>0</v>
      </c>
      <c r="DG263">
        <v>0</v>
      </c>
      <c r="DH263">
        <v>0</v>
      </c>
      <c r="DI263">
        <v>0</v>
      </c>
      <c r="DJ263">
        <v>0</v>
      </c>
      <c r="DK263">
        <v>0</v>
      </c>
      <c r="DL263">
        <v>0</v>
      </c>
      <c r="DM263">
        <v>0</v>
      </c>
      <c r="DN263">
        <v>0</v>
      </c>
      <c r="DO263">
        <v>0</v>
      </c>
      <c r="DP263">
        <v>0</v>
      </c>
      <c r="DQ263">
        <v>0</v>
      </c>
      <c r="DR263">
        <v>0</v>
      </c>
      <c r="DS263">
        <v>0</v>
      </c>
      <c r="DT263">
        <v>0</v>
      </c>
      <c r="DU263">
        <v>0</v>
      </c>
      <c r="DV263">
        <v>0</v>
      </c>
      <c r="DW263">
        <v>0</v>
      </c>
      <c r="DX263">
        <v>0</v>
      </c>
      <c r="DY263">
        <v>0</v>
      </c>
      <c r="DZ263">
        <v>0</v>
      </c>
      <c r="EA263">
        <v>0</v>
      </c>
      <c r="EB263">
        <v>0</v>
      </c>
      <c r="EC263">
        <v>0</v>
      </c>
      <c r="ED263">
        <v>0</v>
      </c>
      <c r="EE263">
        <v>0</v>
      </c>
      <c r="EF263">
        <v>0</v>
      </c>
      <c r="EG263">
        <v>0</v>
      </c>
      <c r="EH263">
        <v>0</v>
      </c>
      <c r="EI263">
        <v>0</v>
      </c>
      <c r="EJ263">
        <v>0</v>
      </c>
      <c r="EK263">
        <v>0</v>
      </c>
      <c r="EL263">
        <v>0</v>
      </c>
      <c r="EM263">
        <v>0</v>
      </c>
      <c r="EN263">
        <v>0</v>
      </c>
      <c r="EO263">
        <v>0</v>
      </c>
      <c r="EP263">
        <v>0</v>
      </c>
      <c r="EQ263">
        <v>0</v>
      </c>
      <c r="ER263">
        <v>0</v>
      </c>
      <c r="ES263">
        <v>0</v>
      </c>
      <c r="ET263">
        <v>0</v>
      </c>
      <c r="EU263">
        <v>0</v>
      </c>
      <c r="EV263">
        <v>0</v>
      </c>
      <c r="EW263">
        <v>0</v>
      </c>
      <c r="EX263">
        <v>0</v>
      </c>
      <c r="EY263">
        <v>0</v>
      </c>
      <c r="EZ263">
        <v>0</v>
      </c>
      <c r="FA263">
        <v>0</v>
      </c>
      <c r="FB263">
        <v>0</v>
      </c>
      <c r="FC263">
        <v>0</v>
      </c>
      <c r="FD263">
        <v>0</v>
      </c>
      <c r="FE263">
        <v>0</v>
      </c>
      <c r="FF263">
        <v>0</v>
      </c>
      <c r="FG263">
        <v>0</v>
      </c>
      <c r="FH263">
        <v>0</v>
      </c>
      <c r="FI263">
        <v>0</v>
      </c>
      <c r="FJ263">
        <v>0</v>
      </c>
      <c r="FK263">
        <v>0</v>
      </c>
      <c r="FL263">
        <v>0</v>
      </c>
      <c r="FM263">
        <v>0</v>
      </c>
      <c r="FN263">
        <v>0</v>
      </c>
      <c r="FO263">
        <v>0</v>
      </c>
      <c r="FP263">
        <v>0</v>
      </c>
      <c r="FQ263">
        <v>0</v>
      </c>
      <c r="FR263">
        <v>0</v>
      </c>
      <c r="FS263">
        <v>0</v>
      </c>
      <c r="FT263">
        <v>0</v>
      </c>
      <c r="FU263">
        <v>0</v>
      </c>
      <c r="FV263">
        <v>0</v>
      </c>
      <c r="FW263">
        <v>0</v>
      </c>
      <c r="FX263">
        <v>0</v>
      </c>
      <c r="FY263">
        <v>0</v>
      </c>
      <c r="FZ263">
        <v>0</v>
      </c>
      <c r="GA263">
        <v>0</v>
      </c>
      <c r="GB263">
        <v>0</v>
      </c>
      <c r="GC263">
        <v>0</v>
      </c>
      <c r="GD263">
        <v>0</v>
      </c>
      <c r="GE263">
        <v>0</v>
      </c>
      <c r="GF263">
        <v>0</v>
      </c>
      <c r="GG263">
        <v>0</v>
      </c>
      <c r="GH263">
        <v>0</v>
      </c>
      <c r="GI263">
        <v>0</v>
      </c>
      <c r="GJ263">
        <v>0</v>
      </c>
      <c r="GK263">
        <v>0</v>
      </c>
      <c r="GL263">
        <v>0</v>
      </c>
      <c r="GM263">
        <v>0</v>
      </c>
      <c r="GN263">
        <v>0</v>
      </c>
      <c r="GO263">
        <v>0</v>
      </c>
      <c r="GP263">
        <v>0</v>
      </c>
      <c r="GQ263">
        <v>0</v>
      </c>
      <c r="GR263">
        <v>0</v>
      </c>
      <c r="GS263">
        <v>0</v>
      </c>
      <c r="GT263">
        <v>0</v>
      </c>
      <c r="GU263">
        <v>0</v>
      </c>
      <c r="GV263">
        <v>0</v>
      </c>
      <c r="GW263">
        <v>139742</v>
      </c>
      <c r="GX263">
        <v>0</v>
      </c>
      <c r="GY263">
        <v>0</v>
      </c>
      <c r="GZ263">
        <v>0</v>
      </c>
      <c r="HA263">
        <v>0</v>
      </c>
      <c r="HB263">
        <v>5925</v>
      </c>
      <c r="HC263">
        <v>0</v>
      </c>
      <c r="HD263">
        <v>0</v>
      </c>
      <c r="HE263">
        <v>0</v>
      </c>
      <c r="HF263">
        <v>0</v>
      </c>
      <c r="HG263">
        <v>0</v>
      </c>
      <c r="HH263">
        <v>0</v>
      </c>
      <c r="HI263">
        <v>0</v>
      </c>
      <c r="HJ263">
        <v>0</v>
      </c>
      <c r="HK263">
        <v>0</v>
      </c>
      <c r="HL263">
        <v>0</v>
      </c>
      <c r="HM263">
        <v>0</v>
      </c>
      <c r="HN263">
        <v>0</v>
      </c>
      <c r="HO263">
        <v>0</v>
      </c>
      <c r="HP263">
        <v>0</v>
      </c>
      <c r="HQ263">
        <v>0</v>
      </c>
      <c r="HR263">
        <v>0</v>
      </c>
      <c r="HS263">
        <v>0</v>
      </c>
      <c r="HT263">
        <v>0</v>
      </c>
      <c r="HU263">
        <v>0</v>
      </c>
      <c r="HV263">
        <v>5925</v>
      </c>
      <c r="HW263">
        <v>0</v>
      </c>
      <c r="HX263">
        <v>0</v>
      </c>
      <c r="HY263">
        <v>0</v>
      </c>
      <c r="HZ263">
        <v>0</v>
      </c>
      <c r="IA263">
        <v>0</v>
      </c>
      <c r="IB263">
        <v>0</v>
      </c>
      <c r="IC263">
        <v>0</v>
      </c>
      <c r="ID263">
        <v>0</v>
      </c>
      <c r="IE263">
        <v>0</v>
      </c>
      <c r="IF263">
        <v>0</v>
      </c>
      <c r="IG263">
        <v>0</v>
      </c>
      <c r="IH263">
        <v>0</v>
      </c>
      <c r="II263">
        <v>0</v>
      </c>
      <c r="IJ263">
        <v>0</v>
      </c>
      <c r="IK263">
        <v>0</v>
      </c>
      <c r="IL263">
        <v>139742</v>
      </c>
      <c r="IM263">
        <v>0</v>
      </c>
      <c r="IN263">
        <v>5925</v>
      </c>
      <c r="IO263">
        <v>0</v>
      </c>
      <c r="IP263">
        <v>145667</v>
      </c>
      <c r="IQ263">
        <v>0</v>
      </c>
      <c r="IR263">
        <v>0</v>
      </c>
      <c r="IS263">
        <v>0</v>
      </c>
      <c r="IT263">
        <v>0</v>
      </c>
      <c r="IU263">
        <v>0</v>
      </c>
      <c r="IV263">
        <v>0</v>
      </c>
      <c r="IW263">
        <v>0</v>
      </c>
      <c r="IX263">
        <v>0</v>
      </c>
      <c r="IY263">
        <v>0</v>
      </c>
      <c r="IZ263">
        <v>1633</v>
      </c>
      <c r="JA263">
        <v>0</v>
      </c>
      <c r="JB263">
        <v>0</v>
      </c>
      <c r="JC263">
        <v>0</v>
      </c>
      <c r="JD263">
        <v>0</v>
      </c>
      <c r="JE263">
        <v>0</v>
      </c>
      <c r="JF263">
        <v>0</v>
      </c>
      <c r="JG263">
        <v>147300</v>
      </c>
      <c r="JH263">
        <v>0</v>
      </c>
      <c r="JI263">
        <v>4614</v>
      </c>
      <c r="JJ263">
        <v>0</v>
      </c>
      <c r="JK263">
        <v>0</v>
      </c>
      <c r="JL263">
        <v>0</v>
      </c>
      <c r="JM263">
        <v>0</v>
      </c>
      <c r="JN263">
        <v>1621</v>
      </c>
      <c r="JO263">
        <v>0</v>
      </c>
      <c r="JP263">
        <v>267</v>
      </c>
      <c r="JQ263">
        <v>0</v>
      </c>
      <c r="JR263">
        <v>153802</v>
      </c>
      <c r="JS263">
        <v>-2</v>
      </c>
      <c r="JT263">
        <v>0</v>
      </c>
      <c r="JU263">
        <v>0</v>
      </c>
      <c r="JV263">
        <v>0</v>
      </c>
      <c r="JW263">
        <v>0</v>
      </c>
      <c r="JX263">
        <v>0</v>
      </c>
      <c r="JY263">
        <v>0</v>
      </c>
      <c r="JZ263">
        <v>0</v>
      </c>
      <c r="KA263">
        <v>0</v>
      </c>
      <c r="KB263">
        <v>0</v>
      </c>
      <c r="KC263">
        <v>153800</v>
      </c>
      <c r="KD263">
        <v>0</v>
      </c>
      <c r="KE263">
        <v>-2305</v>
      </c>
      <c r="KF263">
        <v>151495</v>
      </c>
      <c r="KG263">
        <v>0</v>
      </c>
      <c r="KH263">
        <v>0</v>
      </c>
      <c r="KI263">
        <v>0</v>
      </c>
      <c r="KJ263">
        <v>0</v>
      </c>
      <c r="KK263">
        <v>1399</v>
      </c>
      <c r="KL263">
        <v>0</v>
      </c>
      <c r="KM263">
        <v>0</v>
      </c>
      <c r="KN263">
        <v>-84116</v>
      </c>
      <c r="KO263">
        <v>0</v>
      </c>
      <c r="KP263">
        <v>0</v>
      </c>
      <c r="KQ263">
        <v>0</v>
      </c>
      <c r="KR263">
        <v>66852</v>
      </c>
      <c r="KS263">
        <v>0</v>
      </c>
      <c r="KT263">
        <v>0</v>
      </c>
      <c r="KU263">
        <v>0</v>
      </c>
      <c r="KV263">
        <v>12951</v>
      </c>
      <c r="KW263">
        <v>5000</v>
      </c>
      <c r="KX263">
        <v>0</v>
      </c>
      <c r="KY263">
        <v>0</v>
      </c>
      <c r="KZ263">
        <v>0</v>
      </c>
      <c r="LA263">
        <v>14350</v>
      </c>
      <c r="LB263">
        <v>5000</v>
      </c>
      <c r="LC263">
        <v>0</v>
      </c>
      <c r="LD263">
        <v>0</v>
      </c>
      <c r="LE263">
        <v>0</v>
      </c>
      <c r="LF263">
        <v>0</v>
      </c>
      <c r="LG263">
        <v>0</v>
      </c>
      <c r="LH263">
        <v>0</v>
      </c>
      <c r="LI263">
        <v>0</v>
      </c>
      <c r="LJ263">
        <v>0</v>
      </c>
      <c r="LK263">
        <v>0</v>
      </c>
      <c r="LL263">
        <v>0</v>
      </c>
      <c r="LM263">
        <v>0</v>
      </c>
      <c r="LN263">
        <v>0</v>
      </c>
      <c r="LO263">
        <v>0</v>
      </c>
      <c r="LP263">
        <v>0</v>
      </c>
      <c r="LQ263">
        <v>0</v>
      </c>
      <c r="LR263">
        <v>0</v>
      </c>
      <c r="LS263">
        <v>0</v>
      </c>
      <c r="LT263">
        <v>0</v>
      </c>
      <c r="LU263">
        <v>0</v>
      </c>
      <c r="LV263">
        <v>0</v>
      </c>
      <c r="LW263">
        <v>0</v>
      </c>
      <c r="LX263">
        <v>0</v>
      </c>
      <c r="LY263">
        <v>0</v>
      </c>
      <c r="LZ263">
        <v>0</v>
      </c>
      <c r="MA263">
        <v>0</v>
      </c>
      <c r="MB263">
        <v>0</v>
      </c>
      <c r="MC263">
        <v>0</v>
      </c>
      <c r="MD263">
        <v>139742</v>
      </c>
      <c r="ME263">
        <v>0</v>
      </c>
      <c r="MF263">
        <v>5925</v>
      </c>
      <c r="MG263">
        <v>0</v>
      </c>
      <c r="MH263">
        <v>145667</v>
      </c>
      <c r="MI263">
        <v>0</v>
      </c>
      <c r="MJ263">
        <v>0</v>
      </c>
      <c r="MK263">
        <v>0</v>
      </c>
      <c r="ML263">
        <v>0</v>
      </c>
      <c r="MM263">
        <v>0</v>
      </c>
      <c r="MN263">
        <v>0</v>
      </c>
      <c r="MO263">
        <v>0</v>
      </c>
      <c r="MP263">
        <v>0</v>
      </c>
      <c r="MQ263">
        <v>0</v>
      </c>
      <c r="MR263">
        <v>0</v>
      </c>
      <c r="MS263">
        <v>0</v>
      </c>
      <c r="MT263">
        <v>0</v>
      </c>
      <c r="MU263">
        <v>0</v>
      </c>
      <c r="MV263">
        <v>0</v>
      </c>
      <c r="MW263">
        <v>0</v>
      </c>
      <c r="MX263">
        <v>0</v>
      </c>
      <c r="MY263">
        <v>0</v>
      </c>
      <c r="MZ263">
        <v>0</v>
      </c>
      <c r="NA263">
        <v>0</v>
      </c>
      <c r="NB263">
        <v>0</v>
      </c>
      <c r="NC263">
        <v>0</v>
      </c>
      <c r="ND263">
        <v>0</v>
      </c>
      <c r="NE263">
        <v>0</v>
      </c>
      <c r="NF263">
        <v>0</v>
      </c>
      <c r="NG263">
        <v>0</v>
      </c>
      <c r="NH263">
        <v>0</v>
      </c>
      <c r="NI263">
        <v>0</v>
      </c>
      <c r="NJ263">
        <v>0</v>
      </c>
      <c r="NK263">
        <v>0</v>
      </c>
      <c r="NL263">
        <v>0</v>
      </c>
      <c r="NM263">
        <v>0</v>
      </c>
      <c r="NN263">
        <v>0</v>
      </c>
      <c r="NO263">
        <v>0</v>
      </c>
      <c r="NP263">
        <v>0</v>
      </c>
      <c r="NQ263">
        <v>0</v>
      </c>
      <c r="NR263">
        <v>0</v>
      </c>
      <c r="NS263">
        <v>0</v>
      </c>
      <c r="NT263">
        <v>0</v>
      </c>
      <c r="NU263">
        <v>0</v>
      </c>
      <c r="NV263">
        <v>0</v>
      </c>
      <c r="NW263">
        <v>0</v>
      </c>
      <c r="NX263">
        <v>0</v>
      </c>
      <c r="NY263">
        <v>0</v>
      </c>
      <c r="NZ263">
        <v>0</v>
      </c>
      <c r="OA263">
        <v>0</v>
      </c>
      <c r="OB263">
        <v>0</v>
      </c>
      <c r="OC263">
        <v>0</v>
      </c>
      <c r="OD263">
        <v>0</v>
      </c>
      <c r="OE263">
        <v>0</v>
      </c>
      <c r="OF263">
        <v>0</v>
      </c>
      <c r="OG263">
        <v>0</v>
      </c>
      <c r="OH263">
        <v>0</v>
      </c>
      <c r="OI263">
        <v>0</v>
      </c>
      <c r="OJ263">
        <v>0</v>
      </c>
      <c r="OK263">
        <v>0</v>
      </c>
      <c r="OL263">
        <v>0</v>
      </c>
      <c r="OM263">
        <v>0</v>
      </c>
      <c r="ON263">
        <v>0</v>
      </c>
    </row>
    <row r="264" spans="1:404" x14ac:dyDescent="0.25">
      <c r="A264" t="s">
        <v>859</v>
      </c>
      <c r="B264" t="s">
        <v>860</v>
      </c>
      <c r="C264" t="s">
        <v>5440</v>
      </c>
      <c r="E264" t="s">
        <v>5408</v>
      </c>
      <c r="F264">
        <v>0</v>
      </c>
      <c r="G264">
        <v>0</v>
      </c>
      <c r="H264">
        <v>0</v>
      </c>
      <c r="I264">
        <v>0</v>
      </c>
      <c r="J264">
        <v>0</v>
      </c>
      <c r="K264">
        <v>0</v>
      </c>
      <c r="L264">
        <v>0</v>
      </c>
      <c r="M264">
        <v>0</v>
      </c>
      <c r="N264">
        <v>0</v>
      </c>
      <c r="O264">
        <v>0</v>
      </c>
      <c r="P264">
        <v>0</v>
      </c>
      <c r="Q264">
        <v>0</v>
      </c>
      <c r="R264">
        <v>0</v>
      </c>
      <c r="S264">
        <v>0</v>
      </c>
      <c r="T264">
        <v>0</v>
      </c>
      <c r="U264">
        <v>0</v>
      </c>
      <c r="V264">
        <v>0</v>
      </c>
      <c r="W264">
        <v>0</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v>0</v>
      </c>
      <c r="BD264">
        <v>0</v>
      </c>
      <c r="BE264">
        <v>0</v>
      </c>
      <c r="BF264">
        <v>0</v>
      </c>
      <c r="BG264">
        <v>0</v>
      </c>
      <c r="BH264">
        <v>0</v>
      </c>
      <c r="BI264">
        <v>0</v>
      </c>
      <c r="BJ264">
        <v>0</v>
      </c>
      <c r="BK264">
        <v>0</v>
      </c>
      <c r="BL264">
        <v>0</v>
      </c>
      <c r="BM264">
        <v>0</v>
      </c>
      <c r="BN264">
        <v>0</v>
      </c>
      <c r="BO264">
        <v>0</v>
      </c>
      <c r="BP264">
        <v>0</v>
      </c>
      <c r="BQ264">
        <v>0</v>
      </c>
      <c r="BR264">
        <v>0</v>
      </c>
      <c r="BS264">
        <v>0</v>
      </c>
      <c r="BT264">
        <v>0</v>
      </c>
      <c r="BU264">
        <v>0</v>
      </c>
      <c r="BV264">
        <v>0</v>
      </c>
      <c r="BW264">
        <v>0</v>
      </c>
      <c r="BX264">
        <v>0</v>
      </c>
      <c r="BY264">
        <v>0</v>
      </c>
      <c r="BZ264">
        <v>0</v>
      </c>
      <c r="CA264">
        <v>0</v>
      </c>
      <c r="CB264">
        <v>0</v>
      </c>
      <c r="CC264">
        <v>0</v>
      </c>
      <c r="CD264">
        <v>0</v>
      </c>
      <c r="CE264">
        <v>0</v>
      </c>
      <c r="CF264">
        <v>0</v>
      </c>
      <c r="CG264">
        <v>0</v>
      </c>
      <c r="CH264">
        <v>0</v>
      </c>
      <c r="CI264">
        <v>0</v>
      </c>
      <c r="CJ264">
        <v>0</v>
      </c>
      <c r="CK264">
        <v>0</v>
      </c>
      <c r="CL264">
        <v>0</v>
      </c>
      <c r="CM264">
        <v>0</v>
      </c>
      <c r="CN264">
        <v>0</v>
      </c>
      <c r="CO264">
        <v>0</v>
      </c>
      <c r="CP264">
        <v>0</v>
      </c>
      <c r="CQ264">
        <v>0</v>
      </c>
      <c r="CR264">
        <v>0</v>
      </c>
      <c r="CS264">
        <v>0</v>
      </c>
      <c r="CT264">
        <v>0</v>
      </c>
      <c r="CU264">
        <v>0</v>
      </c>
      <c r="CV264">
        <v>0</v>
      </c>
      <c r="CW264">
        <v>0</v>
      </c>
      <c r="CX264">
        <v>0</v>
      </c>
      <c r="CY264">
        <v>0</v>
      </c>
      <c r="CZ264">
        <v>0</v>
      </c>
      <c r="DA264">
        <v>0</v>
      </c>
      <c r="DB264">
        <v>0</v>
      </c>
      <c r="DC264">
        <v>0</v>
      </c>
      <c r="DD264">
        <v>0</v>
      </c>
      <c r="DE264">
        <v>0</v>
      </c>
      <c r="DF264">
        <v>0</v>
      </c>
      <c r="DG264">
        <v>0</v>
      </c>
      <c r="DH264">
        <v>0</v>
      </c>
      <c r="DI264">
        <v>0</v>
      </c>
      <c r="DJ264">
        <v>0</v>
      </c>
      <c r="DK264">
        <v>0</v>
      </c>
      <c r="DL264">
        <v>0</v>
      </c>
      <c r="DM264">
        <v>0</v>
      </c>
      <c r="DN264">
        <v>0</v>
      </c>
      <c r="DO264">
        <v>0</v>
      </c>
      <c r="DP264">
        <v>0</v>
      </c>
      <c r="DQ264">
        <v>0</v>
      </c>
      <c r="DR264">
        <v>0</v>
      </c>
      <c r="DS264">
        <v>0</v>
      </c>
      <c r="DT264">
        <v>0</v>
      </c>
      <c r="DU264">
        <v>0</v>
      </c>
      <c r="DV264">
        <v>0</v>
      </c>
      <c r="DW264">
        <v>0</v>
      </c>
      <c r="DX264">
        <v>0</v>
      </c>
      <c r="DY264">
        <v>0</v>
      </c>
      <c r="DZ264">
        <v>0</v>
      </c>
      <c r="EA264">
        <v>0</v>
      </c>
      <c r="EB264">
        <v>0</v>
      </c>
      <c r="EC264">
        <v>0</v>
      </c>
      <c r="ED264">
        <v>0</v>
      </c>
      <c r="EE264">
        <v>0</v>
      </c>
      <c r="EF264">
        <v>0</v>
      </c>
      <c r="EG264">
        <v>0</v>
      </c>
      <c r="EH264">
        <v>0</v>
      </c>
      <c r="EI264">
        <v>0</v>
      </c>
      <c r="EJ264">
        <v>0</v>
      </c>
      <c r="EK264">
        <v>0</v>
      </c>
      <c r="EL264">
        <v>0</v>
      </c>
      <c r="EM264">
        <v>0</v>
      </c>
      <c r="EN264">
        <v>0</v>
      </c>
      <c r="EO264">
        <v>0</v>
      </c>
      <c r="EP264">
        <v>0</v>
      </c>
      <c r="EQ264">
        <v>0</v>
      </c>
      <c r="ER264">
        <v>0</v>
      </c>
      <c r="ES264">
        <v>0</v>
      </c>
      <c r="ET264">
        <v>0</v>
      </c>
      <c r="EU264">
        <v>0</v>
      </c>
      <c r="EV264">
        <v>0</v>
      </c>
      <c r="EW264">
        <v>0</v>
      </c>
      <c r="EX264">
        <v>0</v>
      </c>
      <c r="EY264">
        <v>0</v>
      </c>
      <c r="EZ264">
        <v>0</v>
      </c>
      <c r="FA264">
        <v>0</v>
      </c>
      <c r="FB264">
        <v>0</v>
      </c>
      <c r="FC264">
        <v>0</v>
      </c>
      <c r="FD264">
        <v>0</v>
      </c>
      <c r="FE264">
        <v>0</v>
      </c>
      <c r="FF264">
        <v>0</v>
      </c>
      <c r="FG264">
        <v>0</v>
      </c>
      <c r="FH264">
        <v>0</v>
      </c>
      <c r="FI264">
        <v>0</v>
      </c>
      <c r="FJ264">
        <v>0</v>
      </c>
      <c r="FK264">
        <v>0</v>
      </c>
      <c r="FL264">
        <v>0</v>
      </c>
      <c r="FM264">
        <v>0</v>
      </c>
      <c r="FN264">
        <v>0</v>
      </c>
      <c r="FO264">
        <v>0</v>
      </c>
      <c r="FP264">
        <v>0</v>
      </c>
      <c r="FQ264">
        <v>0</v>
      </c>
      <c r="FR264">
        <v>0</v>
      </c>
      <c r="FS264">
        <v>0</v>
      </c>
      <c r="FT264">
        <v>0</v>
      </c>
      <c r="FU264">
        <v>0</v>
      </c>
      <c r="FV264">
        <v>0</v>
      </c>
      <c r="FW264">
        <v>0</v>
      </c>
      <c r="FX264">
        <v>0</v>
      </c>
      <c r="FY264">
        <v>0</v>
      </c>
      <c r="FZ264">
        <v>0</v>
      </c>
      <c r="GA264">
        <v>0</v>
      </c>
      <c r="GB264">
        <v>0</v>
      </c>
      <c r="GC264">
        <v>0</v>
      </c>
      <c r="GD264">
        <v>0</v>
      </c>
      <c r="GE264">
        <v>0</v>
      </c>
      <c r="GF264">
        <v>0</v>
      </c>
      <c r="GG264">
        <v>0</v>
      </c>
      <c r="GH264">
        <v>0</v>
      </c>
      <c r="GI264">
        <v>0</v>
      </c>
      <c r="GJ264">
        <v>0</v>
      </c>
      <c r="GK264">
        <v>0</v>
      </c>
      <c r="GL264">
        <v>0</v>
      </c>
      <c r="GM264">
        <v>0</v>
      </c>
      <c r="GN264">
        <v>0</v>
      </c>
      <c r="GO264">
        <v>0</v>
      </c>
      <c r="GP264">
        <v>0</v>
      </c>
      <c r="GQ264">
        <v>0</v>
      </c>
      <c r="GR264">
        <v>0</v>
      </c>
      <c r="GS264">
        <v>0</v>
      </c>
      <c r="GT264">
        <v>0</v>
      </c>
      <c r="GU264">
        <v>0</v>
      </c>
      <c r="GV264">
        <v>0</v>
      </c>
      <c r="GW264">
        <v>0</v>
      </c>
      <c r="GX264">
        <v>919</v>
      </c>
      <c r="GY264">
        <v>17118</v>
      </c>
      <c r="GZ264">
        <v>0</v>
      </c>
      <c r="HA264">
        <v>18038</v>
      </c>
      <c r="HB264">
        <v>0</v>
      </c>
      <c r="HC264">
        <v>0</v>
      </c>
      <c r="HD264">
        <v>0</v>
      </c>
      <c r="HE264">
        <v>0</v>
      </c>
      <c r="HF264">
        <v>0</v>
      </c>
      <c r="HG264">
        <v>0</v>
      </c>
      <c r="HH264">
        <v>0</v>
      </c>
      <c r="HI264">
        <v>0</v>
      </c>
      <c r="HJ264">
        <v>0</v>
      </c>
      <c r="HK264">
        <v>0</v>
      </c>
      <c r="HL264">
        <v>0</v>
      </c>
      <c r="HM264">
        <v>0</v>
      </c>
      <c r="HN264">
        <v>0</v>
      </c>
      <c r="HO264">
        <v>0</v>
      </c>
      <c r="HP264">
        <v>0</v>
      </c>
      <c r="HQ264">
        <v>0</v>
      </c>
      <c r="HR264">
        <v>0</v>
      </c>
      <c r="HS264">
        <v>0</v>
      </c>
      <c r="HT264">
        <v>0</v>
      </c>
      <c r="HU264">
        <v>0</v>
      </c>
      <c r="HV264">
        <v>0</v>
      </c>
      <c r="HW264">
        <v>0</v>
      </c>
      <c r="HX264">
        <v>0</v>
      </c>
      <c r="HY264">
        <v>0</v>
      </c>
      <c r="HZ264">
        <v>0</v>
      </c>
      <c r="IA264">
        <v>0</v>
      </c>
      <c r="IB264">
        <v>0</v>
      </c>
      <c r="IC264">
        <v>0</v>
      </c>
      <c r="ID264">
        <v>0</v>
      </c>
      <c r="IE264">
        <v>0</v>
      </c>
      <c r="IF264">
        <v>0</v>
      </c>
      <c r="IG264">
        <v>0</v>
      </c>
      <c r="IH264">
        <v>0</v>
      </c>
      <c r="II264">
        <v>0</v>
      </c>
      <c r="IJ264">
        <v>0</v>
      </c>
      <c r="IK264">
        <v>0</v>
      </c>
      <c r="IL264">
        <v>0</v>
      </c>
      <c r="IM264">
        <v>18038</v>
      </c>
      <c r="IN264">
        <v>0</v>
      </c>
      <c r="IO264">
        <v>0</v>
      </c>
      <c r="IP264">
        <v>18038</v>
      </c>
      <c r="IQ264">
        <v>0</v>
      </c>
      <c r="IR264">
        <v>0</v>
      </c>
      <c r="IS264">
        <v>0</v>
      </c>
      <c r="IT264">
        <v>0</v>
      </c>
      <c r="IU264">
        <v>0</v>
      </c>
      <c r="IV264">
        <v>0</v>
      </c>
      <c r="IW264">
        <v>0</v>
      </c>
      <c r="IX264">
        <v>0</v>
      </c>
      <c r="IY264">
        <v>0</v>
      </c>
      <c r="IZ264">
        <v>0</v>
      </c>
      <c r="JA264">
        <v>0</v>
      </c>
      <c r="JB264">
        <v>0</v>
      </c>
      <c r="JC264">
        <v>0</v>
      </c>
      <c r="JD264">
        <v>0</v>
      </c>
      <c r="JE264">
        <v>0</v>
      </c>
      <c r="JF264">
        <v>0</v>
      </c>
      <c r="JG264">
        <v>18038</v>
      </c>
      <c r="JH264">
        <v>0</v>
      </c>
      <c r="JI264">
        <v>0</v>
      </c>
      <c r="JJ264">
        <v>0</v>
      </c>
      <c r="JK264">
        <v>0</v>
      </c>
      <c r="JL264">
        <v>0</v>
      </c>
      <c r="JM264">
        <v>0</v>
      </c>
      <c r="JN264">
        <v>0</v>
      </c>
      <c r="JO264">
        <v>0</v>
      </c>
      <c r="JP264">
        <v>0</v>
      </c>
      <c r="JQ264">
        <v>0</v>
      </c>
      <c r="JR264">
        <v>18038</v>
      </c>
      <c r="JS264">
        <v>-3</v>
      </c>
      <c r="JT264">
        <v>0</v>
      </c>
      <c r="JU264">
        <v>0</v>
      </c>
      <c r="JV264">
        <v>0</v>
      </c>
      <c r="JW264">
        <v>0</v>
      </c>
      <c r="JX264">
        <v>0</v>
      </c>
      <c r="JY264">
        <v>0</v>
      </c>
      <c r="JZ264">
        <v>0</v>
      </c>
      <c r="KA264">
        <v>0</v>
      </c>
      <c r="KB264">
        <v>0</v>
      </c>
      <c r="KC264">
        <v>18035</v>
      </c>
      <c r="KD264">
        <v>0</v>
      </c>
      <c r="KE264">
        <v>0</v>
      </c>
      <c r="KF264">
        <v>18035</v>
      </c>
      <c r="KG264">
        <v>0</v>
      </c>
      <c r="KH264">
        <v>0</v>
      </c>
      <c r="KI264">
        <v>0</v>
      </c>
      <c r="KJ264">
        <v>0</v>
      </c>
      <c r="KK264">
        <v>1411</v>
      </c>
      <c r="KL264">
        <v>-1000</v>
      </c>
      <c r="KM264">
        <v>-2279</v>
      </c>
      <c r="KN264">
        <v>0</v>
      </c>
      <c r="KO264">
        <v>0</v>
      </c>
      <c r="KP264">
        <v>0</v>
      </c>
      <c r="KQ264">
        <v>0</v>
      </c>
      <c r="KR264">
        <v>15763</v>
      </c>
      <c r="KS264">
        <v>0</v>
      </c>
      <c r="KT264">
        <v>0</v>
      </c>
      <c r="KU264">
        <v>0</v>
      </c>
      <c r="KV264">
        <v>2300</v>
      </c>
      <c r="KW264">
        <v>3000</v>
      </c>
      <c r="KX264">
        <v>0</v>
      </c>
      <c r="KY264">
        <v>0</v>
      </c>
      <c r="KZ264">
        <v>0</v>
      </c>
      <c r="LA264">
        <v>3711</v>
      </c>
      <c r="LB264">
        <v>2000</v>
      </c>
      <c r="LC264">
        <v>0</v>
      </c>
      <c r="LD264">
        <v>0</v>
      </c>
      <c r="LE264">
        <v>0</v>
      </c>
      <c r="LF264">
        <v>0</v>
      </c>
      <c r="LG264">
        <v>0</v>
      </c>
      <c r="LH264">
        <v>0</v>
      </c>
      <c r="LI264">
        <v>0</v>
      </c>
      <c r="LJ264">
        <v>0</v>
      </c>
      <c r="LK264">
        <v>0</v>
      </c>
      <c r="LL264">
        <v>0</v>
      </c>
      <c r="LM264">
        <v>0</v>
      </c>
      <c r="LN264">
        <v>0</v>
      </c>
      <c r="LO264">
        <v>0</v>
      </c>
      <c r="LP264">
        <v>0</v>
      </c>
      <c r="LQ264">
        <v>0</v>
      </c>
      <c r="LR264">
        <v>0</v>
      </c>
      <c r="LS264">
        <v>0</v>
      </c>
      <c r="LT264">
        <v>0</v>
      </c>
      <c r="LU264">
        <v>0</v>
      </c>
      <c r="LV264">
        <v>0</v>
      </c>
      <c r="LW264">
        <v>0</v>
      </c>
      <c r="LX264">
        <v>0</v>
      </c>
      <c r="LY264">
        <v>0</v>
      </c>
      <c r="LZ264">
        <v>0</v>
      </c>
      <c r="MA264">
        <v>0</v>
      </c>
      <c r="MB264">
        <v>0</v>
      </c>
      <c r="MC264">
        <v>0</v>
      </c>
      <c r="MD264">
        <v>0</v>
      </c>
      <c r="ME264">
        <v>18038</v>
      </c>
      <c r="MF264">
        <v>0</v>
      </c>
      <c r="MG264">
        <v>0</v>
      </c>
      <c r="MH264">
        <v>18038</v>
      </c>
      <c r="MI264">
        <v>0</v>
      </c>
      <c r="MJ264">
        <v>0</v>
      </c>
      <c r="MK264">
        <v>0</v>
      </c>
      <c r="ML264">
        <v>0</v>
      </c>
      <c r="MM264">
        <v>0</v>
      </c>
      <c r="MN264">
        <v>0</v>
      </c>
      <c r="MO264">
        <v>0</v>
      </c>
      <c r="MP264">
        <v>0</v>
      </c>
      <c r="MQ264">
        <v>0</v>
      </c>
      <c r="MR264">
        <v>0</v>
      </c>
      <c r="MS264">
        <v>0</v>
      </c>
      <c r="MT264">
        <v>0</v>
      </c>
      <c r="MU264">
        <v>0</v>
      </c>
      <c r="MV264">
        <v>0</v>
      </c>
      <c r="MW264">
        <v>0</v>
      </c>
      <c r="MX264">
        <v>0</v>
      </c>
      <c r="MY264">
        <v>0</v>
      </c>
      <c r="MZ264">
        <v>0</v>
      </c>
      <c r="NA264">
        <v>0</v>
      </c>
      <c r="NB264">
        <v>0</v>
      </c>
      <c r="NC264">
        <v>0</v>
      </c>
      <c r="ND264">
        <v>0</v>
      </c>
      <c r="NE264">
        <v>0</v>
      </c>
      <c r="NF264">
        <v>0</v>
      </c>
      <c r="NG264">
        <v>0</v>
      </c>
      <c r="NH264">
        <v>0</v>
      </c>
      <c r="NI264">
        <v>0</v>
      </c>
      <c r="NJ264">
        <v>0</v>
      </c>
      <c r="NK264">
        <v>0</v>
      </c>
      <c r="NL264">
        <v>0</v>
      </c>
      <c r="NM264">
        <v>0</v>
      </c>
      <c r="NN264">
        <v>0</v>
      </c>
      <c r="NO264">
        <v>0</v>
      </c>
      <c r="NP264">
        <v>0</v>
      </c>
      <c r="NQ264">
        <v>0</v>
      </c>
      <c r="NR264">
        <v>0</v>
      </c>
      <c r="NS264">
        <v>0</v>
      </c>
      <c r="NT264">
        <v>0</v>
      </c>
      <c r="NU264">
        <v>0</v>
      </c>
      <c r="NV264">
        <v>0</v>
      </c>
      <c r="NW264">
        <v>0</v>
      </c>
      <c r="NX264">
        <v>0</v>
      </c>
      <c r="NY264">
        <v>0</v>
      </c>
      <c r="NZ264">
        <v>0</v>
      </c>
      <c r="OA264">
        <v>0</v>
      </c>
      <c r="OB264">
        <v>0</v>
      </c>
      <c r="OC264">
        <v>0</v>
      </c>
      <c r="OD264">
        <v>0</v>
      </c>
      <c r="OE264">
        <v>0</v>
      </c>
      <c r="OF264">
        <v>0</v>
      </c>
      <c r="OG264">
        <v>0</v>
      </c>
      <c r="OH264">
        <v>0</v>
      </c>
      <c r="OI264">
        <v>0</v>
      </c>
      <c r="OJ264">
        <v>0</v>
      </c>
      <c r="OK264">
        <v>0</v>
      </c>
      <c r="OL264">
        <v>0</v>
      </c>
      <c r="OM264">
        <v>0</v>
      </c>
      <c r="ON264">
        <v>0</v>
      </c>
    </row>
    <row r="265" spans="1:404" x14ac:dyDescent="0.25">
      <c r="A265" t="s">
        <v>865</v>
      </c>
      <c r="B265" t="s">
        <v>866</v>
      </c>
      <c r="C265" t="s">
        <v>864</v>
      </c>
      <c r="E265" t="s">
        <v>5418</v>
      </c>
      <c r="F265">
        <v>0</v>
      </c>
      <c r="G265">
        <v>0</v>
      </c>
      <c r="H265">
        <v>0</v>
      </c>
      <c r="I265">
        <v>0</v>
      </c>
      <c r="J265">
        <v>0</v>
      </c>
      <c r="K265">
        <v>0</v>
      </c>
      <c r="L265">
        <v>0</v>
      </c>
      <c r="M265">
        <v>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c r="AS265">
        <v>0</v>
      </c>
      <c r="AT265">
        <v>0</v>
      </c>
      <c r="AU265">
        <v>0</v>
      </c>
      <c r="AV265">
        <v>0</v>
      </c>
      <c r="AW265">
        <v>0</v>
      </c>
      <c r="AX265">
        <v>0</v>
      </c>
      <c r="AY265">
        <v>0</v>
      </c>
      <c r="AZ265">
        <v>0</v>
      </c>
      <c r="BA265">
        <v>0</v>
      </c>
      <c r="BB265">
        <v>0</v>
      </c>
      <c r="BC265">
        <v>0</v>
      </c>
      <c r="BD265">
        <v>0</v>
      </c>
      <c r="BE265">
        <v>0</v>
      </c>
      <c r="BF265">
        <v>0</v>
      </c>
      <c r="BG265">
        <v>0</v>
      </c>
      <c r="BH265">
        <v>0</v>
      </c>
      <c r="BI265">
        <v>0</v>
      </c>
      <c r="BJ265">
        <v>0</v>
      </c>
      <c r="BK265">
        <v>0</v>
      </c>
      <c r="BL265">
        <v>0</v>
      </c>
      <c r="BM265">
        <v>0</v>
      </c>
      <c r="BN265">
        <v>0</v>
      </c>
      <c r="BO265">
        <v>0</v>
      </c>
      <c r="BP265">
        <v>0</v>
      </c>
      <c r="BQ265">
        <v>0</v>
      </c>
      <c r="BR265">
        <v>0</v>
      </c>
      <c r="BS265">
        <v>0</v>
      </c>
      <c r="BT265">
        <v>0</v>
      </c>
      <c r="BU265">
        <v>0</v>
      </c>
      <c r="BV265">
        <v>0</v>
      </c>
      <c r="BW265">
        <v>0</v>
      </c>
      <c r="BX265">
        <v>0</v>
      </c>
      <c r="BY265">
        <v>0</v>
      </c>
      <c r="BZ265">
        <v>0</v>
      </c>
      <c r="CA265">
        <v>0</v>
      </c>
      <c r="CB265">
        <v>0</v>
      </c>
      <c r="CC265">
        <v>0</v>
      </c>
      <c r="CD265">
        <v>0</v>
      </c>
      <c r="CE265">
        <v>0</v>
      </c>
      <c r="CF265">
        <v>0</v>
      </c>
      <c r="CG265">
        <v>0</v>
      </c>
      <c r="CH265">
        <v>0</v>
      </c>
      <c r="CI265">
        <v>0</v>
      </c>
      <c r="CJ265">
        <v>0</v>
      </c>
      <c r="CK265">
        <v>0</v>
      </c>
      <c r="CL265">
        <v>0</v>
      </c>
      <c r="CM265">
        <v>0</v>
      </c>
      <c r="CN265">
        <v>0</v>
      </c>
      <c r="CO265">
        <v>0</v>
      </c>
      <c r="CP265">
        <v>0</v>
      </c>
      <c r="CQ265">
        <v>0</v>
      </c>
      <c r="CR265">
        <v>0</v>
      </c>
      <c r="CS265">
        <v>0</v>
      </c>
      <c r="CT265">
        <v>0</v>
      </c>
      <c r="CU265">
        <v>0</v>
      </c>
      <c r="CV265">
        <v>0</v>
      </c>
      <c r="CW265">
        <v>0</v>
      </c>
      <c r="CX265">
        <v>0</v>
      </c>
      <c r="CY265">
        <v>0</v>
      </c>
      <c r="CZ265">
        <v>0</v>
      </c>
      <c r="DA265">
        <v>0</v>
      </c>
      <c r="DB265">
        <v>0</v>
      </c>
      <c r="DC265">
        <v>0</v>
      </c>
      <c r="DD265">
        <v>0</v>
      </c>
      <c r="DE265">
        <v>0</v>
      </c>
      <c r="DF265">
        <v>0</v>
      </c>
      <c r="DG265">
        <v>0</v>
      </c>
      <c r="DH265">
        <v>0</v>
      </c>
      <c r="DI265">
        <v>0</v>
      </c>
      <c r="DJ265">
        <v>0</v>
      </c>
      <c r="DK265">
        <v>0</v>
      </c>
      <c r="DL265">
        <v>0</v>
      </c>
      <c r="DM265">
        <v>0</v>
      </c>
      <c r="DN265">
        <v>0</v>
      </c>
      <c r="DO265">
        <v>0</v>
      </c>
      <c r="DP265">
        <v>0</v>
      </c>
      <c r="DQ265">
        <v>0</v>
      </c>
      <c r="DR265">
        <v>0</v>
      </c>
      <c r="DS265">
        <v>0</v>
      </c>
      <c r="DT265">
        <v>0</v>
      </c>
      <c r="DU265">
        <v>0</v>
      </c>
      <c r="DV265">
        <v>0</v>
      </c>
      <c r="DW265">
        <v>0</v>
      </c>
      <c r="DX265">
        <v>0</v>
      </c>
      <c r="DY265">
        <v>0</v>
      </c>
      <c r="DZ265">
        <v>0</v>
      </c>
      <c r="EA265">
        <v>0</v>
      </c>
      <c r="EB265">
        <v>0</v>
      </c>
      <c r="EC265">
        <v>0</v>
      </c>
      <c r="ED265">
        <v>0</v>
      </c>
      <c r="EE265">
        <v>0</v>
      </c>
      <c r="EF265">
        <v>0</v>
      </c>
      <c r="EG265">
        <v>0</v>
      </c>
      <c r="EH265">
        <v>0</v>
      </c>
      <c r="EI265">
        <v>0</v>
      </c>
      <c r="EJ265">
        <v>0</v>
      </c>
      <c r="EK265">
        <v>0</v>
      </c>
      <c r="EL265">
        <v>0</v>
      </c>
      <c r="EM265">
        <v>0</v>
      </c>
      <c r="EN265">
        <v>0</v>
      </c>
      <c r="EO265">
        <v>0</v>
      </c>
      <c r="EP265">
        <v>0</v>
      </c>
      <c r="EQ265">
        <v>0</v>
      </c>
      <c r="ER265">
        <v>0</v>
      </c>
      <c r="ES265">
        <v>0</v>
      </c>
      <c r="ET265">
        <v>0</v>
      </c>
      <c r="EU265">
        <v>0</v>
      </c>
      <c r="EV265">
        <v>0</v>
      </c>
      <c r="EW265">
        <v>143</v>
      </c>
      <c r="EX265">
        <v>0</v>
      </c>
      <c r="EY265">
        <v>0</v>
      </c>
      <c r="EZ265">
        <v>0</v>
      </c>
      <c r="FA265">
        <v>0</v>
      </c>
      <c r="FB265">
        <v>0</v>
      </c>
      <c r="FC265">
        <v>0</v>
      </c>
      <c r="FD265">
        <v>1288</v>
      </c>
      <c r="FE265">
        <v>0</v>
      </c>
      <c r="FF265">
        <v>730</v>
      </c>
      <c r="FG265">
        <v>0</v>
      </c>
      <c r="FH265">
        <v>2161</v>
      </c>
      <c r="FI265">
        <v>0</v>
      </c>
      <c r="FJ265">
        <v>0</v>
      </c>
      <c r="FK265">
        <v>0</v>
      </c>
      <c r="FL265">
        <v>0</v>
      </c>
      <c r="FM265">
        <v>0</v>
      </c>
      <c r="FN265">
        <v>0</v>
      </c>
      <c r="FO265">
        <v>0</v>
      </c>
      <c r="FP265">
        <v>0</v>
      </c>
      <c r="FQ265">
        <v>0</v>
      </c>
      <c r="FR265">
        <v>0</v>
      </c>
      <c r="FS265">
        <v>0</v>
      </c>
      <c r="FT265">
        <v>0</v>
      </c>
      <c r="FU265">
        <v>0</v>
      </c>
      <c r="FV265">
        <v>0</v>
      </c>
      <c r="FW265">
        <v>0</v>
      </c>
      <c r="FX265">
        <v>0</v>
      </c>
      <c r="FY265">
        <v>0</v>
      </c>
      <c r="FZ265">
        <v>0</v>
      </c>
      <c r="GA265">
        <v>0</v>
      </c>
      <c r="GB265">
        <v>0</v>
      </c>
      <c r="GC265">
        <v>0</v>
      </c>
      <c r="GD265">
        <v>0</v>
      </c>
      <c r="GE265">
        <v>0</v>
      </c>
      <c r="GF265">
        <v>0</v>
      </c>
      <c r="GG265">
        <v>0</v>
      </c>
      <c r="GH265">
        <v>0</v>
      </c>
      <c r="GI265">
        <v>0</v>
      </c>
      <c r="GJ265">
        <v>0</v>
      </c>
      <c r="GK265">
        <v>0</v>
      </c>
      <c r="GL265">
        <v>0</v>
      </c>
      <c r="GM265">
        <v>220</v>
      </c>
      <c r="GN265">
        <v>0</v>
      </c>
      <c r="GO265">
        <v>0</v>
      </c>
      <c r="GP265">
        <v>0</v>
      </c>
      <c r="GQ265">
        <v>0</v>
      </c>
      <c r="GR265">
        <v>0</v>
      </c>
      <c r="GS265">
        <v>-48</v>
      </c>
      <c r="GT265">
        <v>0</v>
      </c>
      <c r="GU265">
        <v>172</v>
      </c>
      <c r="GV265">
        <v>2333</v>
      </c>
      <c r="GW265">
        <v>0</v>
      </c>
      <c r="GX265">
        <v>0</v>
      </c>
      <c r="GY265">
        <v>0</v>
      </c>
      <c r="GZ265">
        <v>0</v>
      </c>
      <c r="HA265">
        <v>0</v>
      </c>
      <c r="HB265">
        <v>359</v>
      </c>
      <c r="HC265">
        <v>0</v>
      </c>
      <c r="HD265">
        <v>0</v>
      </c>
      <c r="HE265">
        <v>0</v>
      </c>
      <c r="HF265">
        <v>0</v>
      </c>
      <c r="HG265">
        <v>0</v>
      </c>
      <c r="HH265">
        <v>0</v>
      </c>
      <c r="HI265">
        <v>0</v>
      </c>
      <c r="HJ265">
        <v>0</v>
      </c>
      <c r="HK265">
        <v>0</v>
      </c>
      <c r="HL265">
        <v>0</v>
      </c>
      <c r="HM265">
        <v>0</v>
      </c>
      <c r="HN265">
        <v>0</v>
      </c>
      <c r="HO265">
        <v>0</v>
      </c>
      <c r="HP265">
        <v>0</v>
      </c>
      <c r="HQ265">
        <v>0</v>
      </c>
      <c r="HR265">
        <v>0</v>
      </c>
      <c r="HS265">
        <v>0</v>
      </c>
      <c r="HT265">
        <v>0</v>
      </c>
      <c r="HU265">
        <v>0</v>
      </c>
      <c r="HV265">
        <v>359</v>
      </c>
      <c r="HW265">
        <v>84</v>
      </c>
      <c r="HX265">
        <v>880</v>
      </c>
      <c r="HY265">
        <v>0</v>
      </c>
      <c r="HZ265">
        <v>0</v>
      </c>
      <c r="IA265">
        <v>0</v>
      </c>
      <c r="IB265">
        <v>0</v>
      </c>
      <c r="IC265">
        <v>0</v>
      </c>
      <c r="ID265">
        <v>0</v>
      </c>
      <c r="IE265">
        <v>0</v>
      </c>
      <c r="IF265">
        <v>0</v>
      </c>
      <c r="IG265">
        <v>0</v>
      </c>
      <c r="IH265">
        <v>0</v>
      </c>
      <c r="II265">
        <v>2161</v>
      </c>
      <c r="IJ265">
        <v>0</v>
      </c>
      <c r="IK265">
        <v>172</v>
      </c>
      <c r="IL265">
        <v>0</v>
      </c>
      <c r="IM265">
        <v>0</v>
      </c>
      <c r="IN265">
        <v>359</v>
      </c>
      <c r="IO265">
        <v>0</v>
      </c>
      <c r="IP265">
        <v>2692</v>
      </c>
      <c r="IQ265">
        <v>0</v>
      </c>
      <c r="IR265">
        <v>0</v>
      </c>
      <c r="IS265">
        <v>0</v>
      </c>
      <c r="IT265">
        <v>0</v>
      </c>
      <c r="IU265">
        <v>0</v>
      </c>
      <c r="IV265">
        <v>0</v>
      </c>
      <c r="IW265">
        <v>0</v>
      </c>
      <c r="IX265">
        <v>0</v>
      </c>
      <c r="IY265">
        <v>0</v>
      </c>
      <c r="IZ265">
        <v>0</v>
      </c>
      <c r="JA265">
        <v>0</v>
      </c>
      <c r="JB265">
        <v>0</v>
      </c>
      <c r="JC265">
        <v>0</v>
      </c>
      <c r="JD265">
        <v>0</v>
      </c>
      <c r="JE265">
        <v>1</v>
      </c>
      <c r="JF265">
        <v>0</v>
      </c>
      <c r="JG265">
        <v>2693</v>
      </c>
      <c r="JH265">
        <v>0</v>
      </c>
      <c r="JI265">
        <v>46</v>
      </c>
      <c r="JJ265">
        <v>0</v>
      </c>
      <c r="JK265">
        <v>0</v>
      </c>
      <c r="JL265">
        <v>0</v>
      </c>
      <c r="JM265">
        <v>0</v>
      </c>
      <c r="JN265">
        <v>41</v>
      </c>
      <c r="JO265">
        <v>0</v>
      </c>
      <c r="JP265">
        <v>27</v>
      </c>
      <c r="JQ265">
        <v>0</v>
      </c>
      <c r="JR265">
        <v>2807</v>
      </c>
      <c r="JS265">
        <v>-1</v>
      </c>
      <c r="JT265">
        <v>0</v>
      </c>
      <c r="JU265">
        <v>0</v>
      </c>
      <c r="JV265">
        <v>0</v>
      </c>
      <c r="JW265">
        <v>0</v>
      </c>
      <c r="JX265">
        <v>0</v>
      </c>
      <c r="JY265">
        <v>0</v>
      </c>
      <c r="JZ265">
        <v>0</v>
      </c>
      <c r="KA265">
        <v>0</v>
      </c>
      <c r="KB265">
        <v>0</v>
      </c>
      <c r="KC265">
        <v>2806</v>
      </c>
      <c r="KD265">
        <v>0</v>
      </c>
      <c r="KE265">
        <v>-3161</v>
      </c>
      <c r="KF265">
        <v>-355</v>
      </c>
      <c r="KG265">
        <v>0</v>
      </c>
      <c r="KH265">
        <v>0</v>
      </c>
      <c r="KI265">
        <v>0</v>
      </c>
      <c r="KJ265">
        <v>0</v>
      </c>
      <c r="KK265">
        <v>247</v>
      </c>
      <c r="KL265">
        <v>108</v>
      </c>
      <c r="KM265">
        <v>0</v>
      </c>
      <c r="KN265">
        <v>0</v>
      </c>
      <c r="KO265">
        <v>0</v>
      </c>
      <c r="KP265">
        <v>0</v>
      </c>
      <c r="KQ265">
        <v>0</v>
      </c>
      <c r="KR265">
        <v>0</v>
      </c>
      <c r="KS265">
        <v>0</v>
      </c>
      <c r="KT265">
        <v>0</v>
      </c>
      <c r="KU265">
        <v>0</v>
      </c>
      <c r="KV265">
        <v>739</v>
      </c>
      <c r="KW265">
        <v>362</v>
      </c>
      <c r="KX265">
        <v>0</v>
      </c>
      <c r="KY265">
        <v>0</v>
      </c>
      <c r="KZ265">
        <v>0</v>
      </c>
      <c r="LA265">
        <v>986</v>
      </c>
      <c r="LB265">
        <v>470</v>
      </c>
      <c r="LC265">
        <v>0</v>
      </c>
      <c r="LD265">
        <v>567</v>
      </c>
      <c r="LE265">
        <v>0</v>
      </c>
      <c r="LF265">
        <v>0</v>
      </c>
      <c r="LG265">
        <v>-50</v>
      </c>
      <c r="LH265">
        <v>0</v>
      </c>
      <c r="LI265">
        <v>517</v>
      </c>
      <c r="LJ265">
        <v>0</v>
      </c>
      <c r="LK265">
        <v>0</v>
      </c>
      <c r="LL265">
        <v>0</v>
      </c>
      <c r="LM265">
        <v>0</v>
      </c>
      <c r="LN265">
        <v>0</v>
      </c>
      <c r="LO265">
        <v>0</v>
      </c>
      <c r="LP265">
        <v>0</v>
      </c>
      <c r="LQ265">
        <v>0</v>
      </c>
      <c r="LR265">
        <v>0</v>
      </c>
      <c r="LS265">
        <v>0</v>
      </c>
      <c r="LT265">
        <v>0</v>
      </c>
      <c r="LU265">
        <v>0</v>
      </c>
      <c r="LV265">
        <v>0</v>
      </c>
      <c r="LW265">
        <v>0</v>
      </c>
      <c r="LX265">
        <v>0</v>
      </c>
      <c r="LY265">
        <v>0</v>
      </c>
      <c r="LZ265">
        <v>0</v>
      </c>
      <c r="MA265">
        <v>2161</v>
      </c>
      <c r="MB265">
        <v>0</v>
      </c>
      <c r="MC265">
        <v>172</v>
      </c>
      <c r="MD265">
        <v>0</v>
      </c>
      <c r="ME265">
        <v>0</v>
      </c>
      <c r="MF265">
        <v>359</v>
      </c>
      <c r="MG265">
        <v>0</v>
      </c>
      <c r="MH265">
        <v>2692</v>
      </c>
      <c r="MI265">
        <v>0</v>
      </c>
      <c r="MJ265">
        <v>0</v>
      </c>
      <c r="MK265">
        <v>0</v>
      </c>
      <c r="ML265">
        <v>0</v>
      </c>
      <c r="MM265">
        <v>0</v>
      </c>
      <c r="MN265">
        <v>0</v>
      </c>
      <c r="MO265">
        <v>0</v>
      </c>
      <c r="MP265">
        <v>0</v>
      </c>
      <c r="MQ265">
        <v>0</v>
      </c>
      <c r="MR265">
        <v>0</v>
      </c>
      <c r="MS265">
        <v>0</v>
      </c>
      <c r="MT265">
        <v>0</v>
      </c>
      <c r="MU265">
        <v>0</v>
      </c>
      <c r="MV265">
        <v>0</v>
      </c>
      <c r="MW265">
        <v>0</v>
      </c>
      <c r="MX265">
        <v>0</v>
      </c>
      <c r="MY265">
        <v>0</v>
      </c>
      <c r="MZ265">
        <v>0</v>
      </c>
      <c r="NA265">
        <v>0</v>
      </c>
      <c r="NB265">
        <v>0</v>
      </c>
      <c r="NC265">
        <v>0</v>
      </c>
      <c r="ND265">
        <v>0</v>
      </c>
      <c r="NE265">
        <v>0</v>
      </c>
      <c r="NF265">
        <v>0</v>
      </c>
      <c r="NG265">
        <v>0</v>
      </c>
      <c r="NH265">
        <v>0</v>
      </c>
      <c r="NI265">
        <v>0</v>
      </c>
      <c r="NJ265">
        <v>0</v>
      </c>
      <c r="NK265">
        <v>0</v>
      </c>
      <c r="NL265">
        <v>0</v>
      </c>
      <c r="NM265">
        <v>0</v>
      </c>
      <c r="NN265">
        <v>0</v>
      </c>
      <c r="NO265">
        <v>0</v>
      </c>
      <c r="NP265">
        <v>0</v>
      </c>
      <c r="NQ265">
        <v>0</v>
      </c>
      <c r="NR265">
        <v>0</v>
      </c>
      <c r="NS265">
        <v>0</v>
      </c>
      <c r="NT265">
        <v>0</v>
      </c>
      <c r="NU265">
        <v>0</v>
      </c>
      <c r="NV265">
        <v>0</v>
      </c>
      <c r="NW265">
        <v>0</v>
      </c>
      <c r="NX265">
        <v>0</v>
      </c>
      <c r="NY265">
        <v>0</v>
      </c>
      <c r="NZ265">
        <v>0</v>
      </c>
      <c r="OA265">
        <v>0</v>
      </c>
      <c r="OB265">
        <v>0</v>
      </c>
      <c r="OC265">
        <v>0</v>
      </c>
      <c r="OD265">
        <v>0</v>
      </c>
      <c r="OE265">
        <v>0</v>
      </c>
      <c r="OF265">
        <v>0</v>
      </c>
      <c r="OG265">
        <v>0</v>
      </c>
      <c r="OH265">
        <v>0</v>
      </c>
      <c r="OI265">
        <v>0</v>
      </c>
      <c r="OJ265">
        <v>0</v>
      </c>
      <c r="OK265">
        <v>0</v>
      </c>
      <c r="OL265">
        <v>0</v>
      </c>
      <c r="OM265">
        <v>0</v>
      </c>
      <c r="ON265">
        <v>0</v>
      </c>
    </row>
    <row r="266" spans="1:404" x14ac:dyDescent="0.25">
      <c r="A266" t="s">
        <v>862</v>
      </c>
      <c r="B266" t="s">
        <v>863</v>
      </c>
      <c r="C266" t="s">
        <v>861</v>
      </c>
      <c r="E266" t="s">
        <v>125</v>
      </c>
      <c r="F266">
        <v>17840</v>
      </c>
      <c r="G266">
        <v>77380</v>
      </c>
      <c r="H266">
        <v>36536</v>
      </c>
      <c r="I266">
        <v>27522</v>
      </c>
      <c r="J266">
        <v>584</v>
      </c>
      <c r="K266">
        <v>14598</v>
      </c>
      <c r="L266">
        <v>174460</v>
      </c>
      <c r="M266">
        <v>49</v>
      </c>
      <c r="N266">
        <v>244</v>
      </c>
      <c r="O266">
        <v>640</v>
      </c>
      <c r="P266">
        <v>3129</v>
      </c>
      <c r="Q266">
        <v>100</v>
      </c>
      <c r="R266">
        <v>39</v>
      </c>
      <c r="S266">
        <v>186</v>
      </c>
      <c r="T266">
        <v>3924</v>
      </c>
      <c r="U266">
        <v>2167</v>
      </c>
      <c r="V266">
        <v>0</v>
      </c>
      <c r="W266">
        <v>0</v>
      </c>
      <c r="X266">
        <v>158</v>
      </c>
      <c r="Y266">
        <v>0</v>
      </c>
      <c r="Z266">
        <v>11</v>
      </c>
      <c r="AA266">
        <v>-863</v>
      </c>
      <c r="AB266">
        <v>-506</v>
      </c>
      <c r="AC266">
        <v>-49</v>
      </c>
      <c r="AD266">
        <v>428</v>
      </c>
      <c r="AE266">
        <v>0</v>
      </c>
      <c r="AF266">
        <v>0</v>
      </c>
      <c r="AG266">
        <v>765</v>
      </c>
      <c r="AH266">
        <v>0</v>
      </c>
      <c r="AI266">
        <v>10422</v>
      </c>
      <c r="AJ266">
        <v>0</v>
      </c>
      <c r="AK266">
        <v>0</v>
      </c>
      <c r="AL266">
        <v>0</v>
      </c>
      <c r="AM266">
        <v>0</v>
      </c>
      <c r="AN266">
        <v>0</v>
      </c>
      <c r="AO266">
        <v>0</v>
      </c>
      <c r="AP266">
        <v>0</v>
      </c>
      <c r="AQ266">
        <v>0</v>
      </c>
      <c r="AR266">
        <v>0</v>
      </c>
      <c r="AS266">
        <v>0</v>
      </c>
      <c r="AT266">
        <v>0</v>
      </c>
      <c r="AU266">
        <v>0</v>
      </c>
      <c r="AV266">
        <v>2207</v>
      </c>
      <c r="AW266">
        <v>27755</v>
      </c>
      <c r="AX266">
        <v>0</v>
      </c>
      <c r="AY266">
        <v>5419</v>
      </c>
      <c r="AZ266">
        <v>318</v>
      </c>
      <c r="BA266">
        <v>12729</v>
      </c>
      <c r="BB266">
        <v>0</v>
      </c>
      <c r="BC266">
        <v>678</v>
      </c>
      <c r="BD266">
        <v>49106</v>
      </c>
      <c r="BE266">
        <v>8350</v>
      </c>
      <c r="BF266">
        <v>20849</v>
      </c>
      <c r="BG266">
        <v>65</v>
      </c>
      <c r="BH266">
        <v>122</v>
      </c>
      <c r="BI266">
        <v>526</v>
      </c>
      <c r="BJ266">
        <v>15639</v>
      </c>
      <c r="BK266">
        <v>32809</v>
      </c>
      <c r="BL266">
        <v>4475</v>
      </c>
      <c r="BM266">
        <v>5353</v>
      </c>
      <c r="BN266">
        <v>3618</v>
      </c>
      <c r="BO266">
        <v>0</v>
      </c>
      <c r="BP266">
        <v>0</v>
      </c>
      <c r="BQ266">
        <v>201</v>
      </c>
      <c r="BR266">
        <v>0</v>
      </c>
      <c r="BS266">
        <v>1994</v>
      </c>
      <c r="BT266">
        <v>1322</v>
      </c>
      <c r="BU266">
        <v>579</v>
      </c>
      <c r="BV266">
        <v>4977</v>
      </c>
      <c r="BW266">
        <v>110932</v>
      </c>
      <c r="BX266">
        <v>895</v>
      </c>
      <c r="BY266">
        <v>875</v>
      </c>
      <c r="BZ266">
        <v>486</v>
      </c>
      <c r="CA266">
        <v>21</v>
      </c>
      <c r="CB266">
        <v>3</v>
      </c>
      <c r="CC266">
        <v>320</v>
      </c>
      <c r="CD266">
        <v>11</v>
      </c>
      <c r="CE266">
        <v>60</v>
      </c>
      <c r="CF266">
        <v>357</v>
      </c>
      <c r="CG266">
        <v>275</v>
      </c>
      <c r="CH266">
        <v>33</v>
      </c>
      <c r="CI266">
        <v>1845</v>
      </c>
      <c r="CJ266">
        <v>1573</v>
      </c>
      <c r="CK266">
        <v>186</v>
      </c>
      <c r="CL266">
        <v>303</v>
      </c>
      <c r="CM266">
        <v>349</v>
      </c>
      <c r="CN266">
        <v>357</v>
      </c>
      <c r="CO266">
        <v>134</v>
      </c>
      <c r="CP266">
        <v>637</v>
      </c>
      <c r="CQ266">
        <v>2811</v>
      </c>
      <c r="CR266">
        <v>1819</v>
      </c>
      <c r="CS266">
        <v>48</v>
      </c>
      <c r="CT266">
        <v>1015</v>
      </c>
      <c r="CU266">
        <v>182</v>
      </c>
      <c r="CV266">
        <v>26999</v>
      </c>
      <c r="CW266">
        <v>0</v>
      </c>
      <c r="CX266">
        <v>0</v>
      </c>
      <c r="CY266">
        <v>0</v>
      </c>
      <c r="CZ266">
        <v>0</v>
      </c>
      <c r="DA266">
        <v>0</v>
      </c>
      <c r="DB266">
        <v>0</v>
      </c>
      <c r="DC266">
        <v>845</v>
      </c>
      <c r="DD266">
        <v>124</v>
      </c>
      <c r="DE266">
        <v>0</v>
      </c>
      <c r="DF266">
        <v>0</v>
      </c>
      <c r="DG266">
        <v>0</v>
      </c>
      <c r="DH266">
        <v>0</v>
      </c>
      <c r="DI266">
        <v>0</v>
      </c>
      <c r="DJ266">
        <v>0</v>
      </c>
      <c r="DK266">
        <v>0</v>
      </c>
      <c r="DL266">
        <v>0</v>
      </c>
      <c r="DM266">
        <v>0</v>
      </c>
      <c r="DN266">
        <v>1275</v>
      </c>
      <c r="DO266">
        <v>0</v>
      </c>
      <c r="DP266">
        <v>1275</v>
      </c>
      <c r="DQ266">
        <v>0</v>
      </c>
      <c r="DR266">
        <v>0</v>
      </c>
      <c r="DS266">
        <v>0</v>
      </c>
      <c r="DT266">
        <v>1202</v>
      </c>
      <c r="DU266">
        <v>136</v>
      </c>
      <c r="DV266">
        <v>0</v>
      </c>
      <c r="DW266">
        <v>0</v>
      </c>
      <c r="DX266">
        <v>3582</v>
      </c>
      <c r="DY266">
        <v>29660</v>
      </c>
      <c r="DZ266">
        <v>299</v>
      </c>
      <c r="EA266">
        <v>2549</v>
      </c>
      <c r="EB266">
        <v>574</v>
      </c>
      <c r="EC266">
        <v>0</v>
      </c>
      <c r="ED266">
        <v>7</v>
      </c>
      <c r="EE266">
        <v>0</v>
      </c>
      <c r="EF266">
        <v>0</v>
      </c>
      <c r="EG266">
        <v>24</v>
      </c>
      <c r="EH266">
        <v>8533</v>
      </c>
      <c r="EI266">
        <v>6641</v>
      </c>
      <c r="EJ266">
        <v>999</v>
      </c>
      <c r="EK266">
        <v>2415</v>
      </c>
      <c r="EL266">
        <v>3588</v>
      </c>
      <c r="EM266">
        <v>9686</v>
      </c>
      <c r="EN266">
        <v>931</v>
      </c>
      <c r="EO266">
        <v>7</v>
      </c>
      <c r="EP266">
        <v>0</v>
      </c>
      <c r="EQ266">
        <v>0</v>
      </c>
      <c r="ER266">
        <v>261</v>
      </c>
      <c r="ES266">
        <v>31998</v>
      </c>
      <c r="ET266">
        <v>32050</v>
      </c>
      <c r="EU266">
        <v>597</v>
      </c>
      <c r="EV266">
        <v>486</v>
      </c>
      <c r="EW266">
        <v>27</v>
      </c>
      <c r="EX266">
        <v>709</v>
      </c>
      <c r="EY266">
        <v>55</v>
      </c>
      <c r="EZ266">
        <v>0</v>
      </c>
      <c r="FA266">
        <v>0</v>
      </c>
      <c r="FB266">
        <v>187</v>
      </c>
      <c r="FC266">
        <v>4063</v>
      </c>
      <c r="FD266">
        <v>6070</v>
      </c>
      <c r="FE266">
        <v>0</v>
      </c>
      <c r="FF266">
        <v>335</v>
      </c>
      <c r="FG266">
        <v>2007</v>
      </c>
      <c r="FH266">
        <v>14536</v>
      </c>
      <c r="FI266">
        <v>-1095</v>
      </c>
      <c r="FJ266">
        <v>373</v>
      </c>
      <c r="FK266">
        <v>0</v>
      </c>
      <c r="FL266">
        <v>612</v>
      </c>
      <c r="FM266">
        <v>577</v>
      </c>
      <c r="FN266">
        <v>0</v>
      </c>
      <c r="FO266">
        <v>0</v>
      </c>
      <c r="FP266">
        <v>150</v>
      </c>
      <c r="FQ266">
        <v>0</v>
      </c>
      <c r="FR266">
        <v>145</v>
      </c>
      <c r="FS266">
        <v>387</v>
      </c>
      <c r="FT266">
        <v>532</v>
      </c>
      <c r="FU266">
        <v>91</v>
      </c>
      <c r="FV266">
        <v>0</v>
      </c>
      <c r="FW266">
        <v>128</v>
      </c>
      <c r="FX266">
        <v>25</v>
      </c>
      <c r="FY266">
        <v>0</v>
      </c>
      <c r="FZ266">
        <v>0</v>
      </c>
      <c r="GA266">
        <v>0</v>
      </c>
      <c r="GB266">
        <v>628</v>
      </c>
      <c r="GC266">
        <v>0</v>
      </c>
      <c r="GD266">
        <v>4015</v>
      </c>
      <c r="GE266">
        <v>8262</v>
      </c>
      <c r="GF266">
        <v>21223</v>
      </c>
      <c r="GG266">
        <v>-2417</v>
      </c>
      <c r="GH266">
        <v>-37</v>
      </c>
      <c r="GI266">
        <v>102</v>
      </c>
      <c r="GJ266">
        <v>0</v>
      </c>
      <c r="GK266">
        <v>33701</v>
      </c>
      <c r="GL266">
        <v>-146</v>
      </c>
      <c r="GM266">
        <v>-3816</v>
      </c>
      <c r="GN266">
        <v>554</v>
      </c>
      <c r="GO266">
        <v>1159</v>
      </c>
      <c r="GP266">
        <v>477</v>
      </c>
      <c r="GQ266">
        <v>1804</v>
      </c>
      <c r="GR266">
        <v>0</v>
      </c>
      <c r="GS266">
        <v>0</v>
      </c>
      <c r="GT266">
        <v>408</v>
      </c>
      <c r="GU266">
        <v>440</v>
      </c>
      <c r="GV266">
        <v>48677</v>
      </c>
      <c r="GW266">
        <v>0</v>
      </c>
      <c r="GX266">
        <v>1044</v>
      </c>
      <c r="GY266">
        <v>17375</v>
      </c>
      <c r="GZ266">
        <v>109</v>
      </c>
      <c r="HA266">
        <v>18528</v>
      </c>
      <c r="HB266">
        <v>7027</v>
      </c>
      <c r="HC266">
        <v>1212</v>
      </c>
      <c r="HD266">
        <v>0</v>
      </c>
      <c r="HE266">
        <v>0</v>
      </c>
      <c r="HF266">
        <v>807</v>
      </c>
      <c r="HG266">
        <v>-67</v>
      </c>
      <c r="HH266">
        <v>0</v>
      </c>
      <c r="HI266">
        <v>-419</v>
      </c>
      <c r="HJ266">
        <v>926</v>
      </c>
      <c r="HK266">
        <v>38</v>
      </c>
      <c r="HL266">
        <v>109</v>
      </c>
      <c r="HM266">
        <v>-54</v>
      </c>
      <c r="HN266">
        <v>94</v>
      </c>
      <c r="HO266">
        <v>0</v>
      </c>
      <c r="HP266">
        <v>1132</v>
      </c>
      <c r="HQ266">
        <v>0</v>
      </c>
      <c r="HR266">
        <v>4681</v>
      </c>
      <c r="HS266">
        <v>0</v>
      </c>
      <c r="HT266">
        <v>305</v>
      </c>
      <c r="HU266">
        <v>0</v>
      </c>
      <c r="HV266">
        <v>15791</v>
      </c>
      <c r="HW266">
        <v>0</v>
      </c>
      <c r="HX266">
        <v>0</v>
      </c>
      <c r="HY266">
        <v>0</v>
      </c>
      <c r="HZ266">
        <v>0</v>
      </c>
      <c r="IA266">
        <v>0</v>
      </c>
      <c r="IB266">
        <v>387</v>
      </c>
      <c r="IC266">
        <v>174460</v>
      </c>
      <c r="ID266">
        <v>10422</v>
      </c>
      <c r="IE266">
        <v>49106</v>
      </c>
      <c r="IF266">
        <v>110932</v>
      </c>
      <c r="IG266">
        <v>26999</v>
      </c>
      <c r="IH266">
        <v>3582</v>
      </c>
      <c r="II266">
        <v>14536</v>
      </c>
      <c r="IJ266">
        <v>33701</v>
      </c>
      <c r="IK266">
        <v>440</v>
      </c>
      <c r="IL266">
        <v>0</v>
      </c>
      <c r="IM266">
        <v>18528</v>
      </c>
      <c r="IN266">
        <v>15791</v>
      </c>
      <c r="IO266">
        <v>387</v>
      </c>
      <c r="IP266">
        <v>458884</v>
      </c>
      <c r="IQ266">
        <v>45944</v>
      </c>
      <c r="IR266">
        <v>123</v>
      </c>
      <c r="IS266">
        <v>10110</v>
      </c>
      <c r="IT266">
        <v>0</v>
      </c>
      <c r="IU266">
        <v>0</v>
      </c>
      <c r="IV266">
        <v>9391</v>
      </c>
      <c r="IW266">
        <v>6328</v>
      </c>
      <c r="IX266">
        <v>0</v>
      </c>
      <c r="IY266">
        <v>0</v>
      </c>
      <c r="IZ266">
        <v>364</v>
      </c>
      <c r="JA266">
        <v>734</v>
      </c>
      <c r="JB266">
        <v>53533</v>
      </c>
      <c r="JC266">
        <v>0</v>
      </c>
      <c r="JD266">
        <v>-25977</v>
      </c>
      <c r="JE266">
        <v>-1109</v>
      </c>
      <c r="JF266">
        <v>0</v>
      </c>
      <c r="JG266">
        <v>558325</v>
      </c>
      <c r="JH266">
        <v>354</v>
      </c>
      <c r="JI266">
        <v>3085</v>
      </c>
      <c r="JJ266">
        <v>0</v>
      </c>
      <c r="JK266">
        <v>0</v>
      </c>
      <c r="JL266">
        <v>0</v>
      </c>
      <c r="JM266">
        <v>907</v>
      </c>
      <c r="JN266">
        <v>24243</v>
      </c>
      <c r="JO266">
        <v>0</v>
      </c>
      <c r="JP266">
        <v>24207</v>
      </c>
      <c r="JQ266">
        <v>-2084</v>
      </c>
      <c r="JR266">
        <v>609037</v>
      </c>
      <c r="JS266">
        <v>-20475</v>
      </c>
      <c r="JT266">
        <v>0</v>
      </c>
      <c r="JU266">
        <v>311</v>
      </c>
      <c r="JV266">
        <v>0</v>
      </c>
      <c r="JW266">
        <v>-59944</v>
      </c>
      <c r="JX266">
        <v>0</v>
      </c>
      <c r="JY266">
        <v>0</v>
      </c>
      <c r="JZ266">
        <v>0</v>
      </c>
      <c r="KA266">
        <v>0</v>
      </c>
      <c r="KB266">
        <v>0</v>
      </c>
      <c r="KC266">
        <v>528929</v>
      </c>
      <c r="KD266">
        <v>-533</v>
      </c>
      <c r="KE266">
        <v>-240720</v>
      </c>
      <c r="KF266">
        <v>287676</v>
      </c>
      <c r="KG266">
        <v>0</v>
      </c>
      <c r="KH266">
        <v>3694</v>
      </c>
      <c r="KI266">
        <v>3134</v>
      </c>
      <c r="KJ266">
        <v>-6747</v>
      </c>
      <c r="KK266">
        <v>8637</v>
      </c>
      <c r="KL266">
        <v>-388</v>
      </c>
      <c r="KM266">
        <v>-10508</v>
      </c>
      <c r="KN266">
        <v>0</v>
      </c>
      <c r="KO266">
        <v>-62988</v>
      </c>
      <c r="KP266">
        <v>1267</v>
      </c>
      <c r="KQ266">
        <v>3242</v>
      </c>
      <c r="KR266">
        <v>204417</v>
      </c>
      <c r="KS266">
        <v>5498</v>
      </c>
      <c r="KT266">
        <v>898</v>
      </c>
      <c r="KU266">
        <v>11897</v>
      </c>
      <c r="KV266">
        <v>156137</v>
      </c>
      <c r="KW266">
        <v>70469</v>
      </c>
      <c r="KX266">
        <v>9192</v>
      </c>
      <c r="KY266">
        <v>4032</v>
      </c>
      <c r="KZ266">
        <v>5150</v>
      </c>
      <c r="LA266">
        <v>164774</v>
      </c>
      <c r="LB266">
        <v>70081</v>
      </c>
      <c r="LC266">
        <v>0</v>
      </c>
      <c r="LD266">
        <v>42306</v>
      </c>
      <c r="LE266">
        <v>0</v>
      </c>
      <c r="LF266">
        <v>25819</v>
      </c>
      <c r="LG266">
        <v>-66189</v>
      </c>
      <c r="LH266">
        <v>47886</v>
      </c>
      <c r="LI266">
        <v>44702</v>
      </c>
      <c r="LJ266">
        <v>10594</v>
      </c>
      <c r="LK266">
        <v>15242</v>
      </c>
      <c r="LL266">
        <v>25836</v>
      </c>
      <c r="LM266">
        <v>0</v>
      </c>
      <c r="LN266">
        <v>0</v>
      </c>
      <c r="LO266">
        <v>0</v>
      </c>
      <c r="LP266">
        <v>33113</v>
      </c>
      <c r="LQ266">
        <v>33061</v>
      </c>
      <c r="LR266">
        <v>52</v>
      </c>
      <c r="LS266">
        <v>31998</v>
      </c>
      <c r="LT266">
        <v>32050</v>
      </c>
      <c r="LU266">
        <v>174460</v>
      </c>
      <c r="LV266">
        <v>10422</v>
      </c>
      <c r="LW266">
        <v>49106</v>
      </c>
      <c r="LX266">
        <v>110932</v>
      </c>
      <c r="LY266">
        <v>26999</v>
      </c>
      <c r="LZ266">
        <v>3582</v>
      </c>
      <c r="MA266">
        <v>14536</v>
      </c>
      <c r="MB266">
        <v>33701</v>
      </c>
      <c r="MC266">
        <v>440</v>
      </c>
      <c r="MD266">
        <v>0</v>
      </c>
      <c r="ME266">
        <v>18528</v>
      </c>
      <c r="MF266">
        <v>15791</v>
      </c>
      <c r="MG266">
        <v>387</v>
      </c>
      <c r="MH266">
        <v>458884</v>
      </c>
      <c r="MI266">
        <v>0</v>
      </c>
      <c r="MJ266">
        <v>0</v>
      </c>
      <c r="MK266">
        <v>0</v>
      </c>
      <c r="ML266">
        <v>0</v>
      </c>
      <c r="MM266">
        <v>0</v>
      </c>
      <c r="MN266">
        <v>0</v>
      </c>
      <c r="MO266">
        <v>0</v>
      </c>
      <c r="MP266">
        <v>0</v>
      </c>
      <c r="MQ266">
        <v>162</v>
      </c>
      <c r="MR266">
        <v>0</v>
      </c>
      <c r="MS266">
        <v>0</v>
      </c>
      <c r="MT266">
        <v>0</v>
      </c>
      <c r="MU266">
        <v>0</v>
      </c>
      <c r="MV266">
        <v>0</v>
      </c>
      <c r="MW266">
        <v>0</v>
      </c>
      <c r="MX266">
        <v>356</v>
      </c>
      <c r="MY266">
        <v>216</v>
      </c>
      <c r="MZ266">
        <v>0</v>
      </c>
      <c r="NA266">
        <v>734</v>
      </c>
      <c r="NB266">
        <v>0</v>
      </c>
      <c r="NC266">
        <v>734</v>
      </c>
      <c r="ND266">
        <v>0</v>
      </c>
      <c r="NE266">
        <v>393</v>
      </c>
      <c r="NF266">
        <v>0</v>
      </c>
      <c r="NG266">
        <v>0</v>
      </c>
      <c r="NH266">
        <v>0</v>
      </c>
      <c r="NI266">
        <v>0</v>
      </c>
      <c r="NJ266">
        <v>0</v>
      </c>
      <c r="NK266">
        <v>0</v>
      </c>
      <c r="NL266">
        <v>0</v>
      </c>
      <c r="NM266">
        <v>5392</v>
      </c>
      <c r="NN266">
        <v>103</v>
      </c>
      <c r="NO266">
        <v>19</v>
      </c>
      <c r="NP266">
        <v>0</v>
      </c>
      <c r="NQ266">
        <v>-4419</v>
      </c>
      <c r="NR266">
        <v>0</v>
      </c>
      <c r="NS266">
        <v>0</v>
      </c>
      <c r="NT266">
        <v>0</v>
      </c>
      <c r="NU266">
        <v>1713</v>
      </c>
      <c r="NV266">
        <v>9757</v>
      </c>
      <c r="NW266">
        <v>8104</v>
      </c>
      <c r="NX266">
        <v>2771</v>
      </c>
      <c r="NY266">
        <v>3723</v>
      </c>
      <c r="NZ266">
        <v>27556</v>
      </c>
      <c r="OA266">
        <v>25978</v>
      </c>
      <c r="OB266">
        <v>53534</v>
      </c>
      <c r="OC266">
        <v>0</v>
      </c>
      <c r="OD266">
        <v>0</v>
      </c>
      <c r="OE266">
        <v>0</v>
      </c>
      <c r="OF266">
        <v>0</v>
      </c>
      <c r="OG266">
        <v>0</v>
      </c>
      <c r="OH266">
        <v>0</v>
      </c>
      <c r="OI266">
        <v>1928</v>
      </c>
      <c r="OJ266">
        <v>0</v>
      </c>
      <c r="OK266">
        <v>1756</v>
      </c>
      <c r="OL266">
        <v>0</v>
      </c>
      <c r="OM266">
        <v>22294</v>
      </c>
      <c r="ON266">
        <v>25978</v>
      </c>
    </row>
    <row r="267" spans="1:404" x14ac:dyDescent="0.25">
      <c r="A267" t="s">
        <v>868</v>
      </c>
      <c r="B267" t="s">
        <v>869</v>
      </c>
      <c r="C267" t="s">
        <v>867</v>
      </c>
      <c r="E267" t="s">
        <v>71</v>
      </c>
      <c r="F267">
        <v>0</v>
      </c>
      <c r="G267">
        <v>0</v>
      </c>
      <c r="H267">
        <v>0</v>
      </c>
      <c r="I267">
        <v>0</v>
      </c>
      <c r="J267">
        <v>0</v>
      </c>
      <c r="K267">
        <v>0</v>
      </c>
      <c r="L267">
        <v>0</v>
      </c>
      <c r="M267">
        <v>0</v>
      </c>
      <c r="N267">
        <v>0</v>
      </c>
      <c r="O267">
        <v>0</v>
      </c>
      <c r="P267">
        <v>0</v>
      </c>
      <c r="Q267">
        <v>0</v>
      </c>
      <c r="R267">
        <v>0</v>
      </c>
      <c r="S267">
        <v>0</v>
      </c>
      <c r="T267">
        <v>0</v>
      </c>
      <c r="U267">
        <v>0</v>
      </c>
      <c r="V267">
        <v>0</v>
      </c>
      <c r="W267">
        <v>0</v>
      </c>
      <c r="X267">
        <v>0</v>
      </c>
      <c r="Y267">
        <v>0</v>
      </c>
      <c r="Z267">
        <v>0</v>
      </c>
      <c r="AA267">
        <v>0</v>
      </c>
      <c r="AB267">
        <v>0</v>
      </c>
      <c r="AC267">
        <v>0</v>
      </c>
      <c r="AD267">
        <v>0</v>
      </c>
      <c r="AE267">
        <v>0</v>
      </c>
      <c r="AF267">
        <v>0</v>
      </c>
      <c r="AG267">
        <v>0</v>
      </c>
      <c r="AH267">
        <v>0</v>
      </c>
      <c r="AI267">
        <v>0</v>
      </c>
      <c r="AJ267">
        <v>0</v>
      </c>
      <c r="AK267">
        <v>0</v>
      </c>
      <c r="AL267">
        <v>0</v>
      </c>
      <c r="AM267">
        <v>0</v>
      </c>
      <c r="AN267">
        <v>0</v>
      </c>
      <c r="AO267">
        <v>0</v>
      </c>
      <c r="AP267">
        <v>0</v>
      </c>
      <c r="AQ267">
        <v>0</v>
      </c>
      <c r="AR267">
        <v>0</v>
      </c>
      <c r="AS267">
        <v>0</v>
      </c>
      <c r="AT267">
        <v>0</v>
      </c>
      <c r="AU267">
        <v>0</v>
      </c>
      <c r="AV267">
        <v>0</v>
      </c>
      <c r="AW267">
        <v>0</v>
      </c>
      <c r="AX267">
        <v>0</v>
      </c>
      <c r="AY267">
        <v>0</v>
      </c>
      <c r="AZ267">
        <v>0</v>
      </c>
      <c r="BA267">
        <v>0</v>
      </c>
      <c r="BB267">
        <v>0</v>
      </c>
      <c r="BC267">
        <v>0</v>
      </c>
      <c r="BD267">
        <v>0</v>
      </c>
      <c r="BE267">
        <v>0</v>
      </c>
      <c r="BF267">
        <v>0</v>
      </c>
      <c r="BG267">
        <v>0</v>
      </c>
      <c r="BH267">
        <v>0</v>
      </c>
      <c r="BI267">
        <v>0</v>
      </c>
      <c r="BJ267">
        <v>0</v>
      </c>
      <c r="BK267">
        <v>0</v>
      </c>
      <c r="BL267">
        <v>0</v>
      </c>
      <c r="BM267">
        <v>0</v>
      </c>
      <c r="BN267">
        <v>0</v>
      </c>
      <c r="BO267">
        <v>0</v>
      </c>
      <c r="BP267">
        <v>0</v>
      </c>
      <c r="BQ267">
        <v>0</v>
      </c>
      <c r="BR267">
        <v>0</v>
      </c>
      <c r="BS267">
        <v>0</v>
      </c>
      <c r="BT267">
        <v>0</v>
      </c>
      <c r="BU267">
        <v>0</v>
      </c>
      <c r="BV267">
        <v>0</v>
      </c>
      <c r="BW267">
        <v>0</v>
      </c>
      <c r="BX267">
        <v>0</v>
      </c>
      <c r="BY267">
        <v>0</v>
      </c>
      <c r="BZ267">
        <v>0</v>
      </c>
      <c r="CA267">
        <v>0</v>
      </c>
      <c r="CB267">
        <v>0</v>
      </c>
      <c r="CC267">
        <v>0</v>
      </c>
      <c r="CD267">
        <v>0</v>
      </c>
      <c r="CE267">
        <v>0</v>
      </c>
      <c r="CF267">
        <v>0</v>
      </c>
      <c r="CG267">
        <v>0</v>
      </c>
      <c r="CH267">
        <v>0</v>
      </c>
      <c r="CI267">
        <v>0</v>
      </c>
      <c r="CJ267">
        <v>0</v>
      </c>
      <c r="CK267">
        <v>0</v>
      </c>
      <c r="CL267">
        <v>0</v>
      </c>
      <c r="CM267">
        <v>0</v>
      </c>
      <c r="CN267">
        <v>0</v>
      </c>
      <c r="CO267">
        <v>0</v>
      </c>
      <c r="CP267">
        <v>0</v>
      </c>
      <c r="CQ267">
        <v>0</v>
      </c>
      <c r="CR267">
        <v>0</v>
      </c>
      <c r="CS267">
        <v>0</v>
      </c>
      <c r="CT267">
        <v>0</v>
      </c>
      <c r="CU267">
        <v>0</v>
      </c>
      <c r="CV267">
        <v>0</v>
      </c>
      <c r="CW267">
        <v>0</v>
      </c>
      <c r="CX267">
        <v>0</v>
      </c>
      <c r="CY267">
        <v>0</v>
      </c>
      <c r="CZ267">
        <v>0</v>
      </c>
      <c r="DA267">
        <v>0</v>
      </c>
      <c r="DB267">
        <v>0</v>
      </c>
      <c r="DC267">
        <v>0</v>
      </c>
      <c r="DD267">
        <v>0</v>
      </c>
      <c r="DE267">
        <v>0</v>
      </c>
      <c r="DF267">
        <v>0</v>
      </c>
      <c r="DG267">
        <v>0</v>
      </c>
      <c r="DH267">
        <v>0</v>
      </c>
      <c r="DI267">
        <v>0</v>
      </c>
      <c r="DJ267">
        <v>0</v>
      </c>
      <c r="DK267">
        <v>0</v>
      </c>
      <c r="DL267">
        <v>0</v>
      </c>
      <c r="DM267">
        <v>0</v>
      </c>
      <c r="DN267">
        <v>0</v>
      </c>
      <c r="DO267">
        <v>0</v>
      </c>
      <c r="DP267">
        <v>0</v>
      </c>
      <c r="DQ267">
        <v>0</v>
      </c>
      <c r="DR267">
        <v>0</v>
      </c>
      <c r="DS267">
        <v>0</v>
      </c>
      <c r="DT267">
        <v>0</v>
      </c>
      <c r="DU267">
        <v>0</v>
      </c>
      <c r="DV267">
        <v>0</v>
      </c>
      <c r="DW267">
        <v>0</v>
      </c>
      <c r="DX267">
        <v>0</v>
      </c>
      <c r="DY267">
        <v>0</v>
      </c>
      <c r="DZ267">
        <v>0</v>
      </c>
      <c r="EA267">
        <v>0</v>
      </c>
      <c r="EB267">
        <v>0</v>
      </c>
      <c r="EC267">
        <v>0</v>
      </c>
      <c r="ED267">
        <v>0</v>
      </c>
      <c r="EE267">
        <v>0</v>
      </c>
      <c r="EF267">
        <v>0</v>
      </c>
      <c r="EG267">
        <v>0</v>
      </c>
      <c r="EH267">
        <v>0</v>
      </c>
      <c r="EI267">
        <v>0</v>
      </c>
      <c r="EJ267">
        <v>0</v>
      </c>
      <c r="EK267">
        <v>0</v>
      </c>
      <c r="EL267">
        <v>0</v>
      </c>
      <c r="EM267">
        <v>0</v>
      </c>
      <c r="EN267">
        <v>0</v>
      </c>
      <c r="EO267">
        <v>0</v>
      </c>
      <c r="EP267">
        <v>0</v>
      </c>
      <c r="EQ267">
        <v>0</v>
      </c>
      <c r="ER267">
        <v>0</v>
      </c>
      <c r="ES267">
        <v>0</v>
      </c>
      <c r="ET267">
        <v>0</v>
      </c>
      <c r="EU267">
        <v>0</v>
      </c>
      <c r="EV267">
        <v>0</v>
      </c>
      <c r="EW267">
        <v>0</v>
      </c>
      <c r="EX267">
        <v>0</v>
      </c>
      <c r="EY267">
        <v>0</v>
      </c>
      <c r="EZ267">
        <v>0</v>
      </c>
      <c r="FA267">
        <v>0</v>
      </c>
      <c r="FB267">
        <v>0</v>
      </c>
      <c r="FC267">
        <v>0</v>
      </c>
      <c r="FD267">
        <v>0</v>
      </c>
      <c r="FE267">
        <v>0</v>
      </c>
      <c r="FF267">
        <v>0</v>
      </c>
      <c r="FG267">
        <v>0</v>
      </c>
      <c r="FH267">
        <v>0</v>
      </c>
      <c r="FI267">
        <v>0</v>
      </c>
      <c r="FJ267">
        <v>0</v>
      </c>
      <c r="FK267">
        <v>0</v>
      </c>
      <c r="FL267">
        <v>0</v>
      </c>
      <c r="FM267">
        <v>0</v>
      </c>
      <c r="FN267">
        <v>0</v>
      </c>
      <c r="FO267">
        <v>0</v>
      </c>
      <c r="FP267">
        <v>0</v>
      </c>
      <c r="FQ267">
        <v>0</v>
      </c>
      <c r="FR267">
        <v>0</v>
      </c>
      <c r="FS267">
        <v>0</v>
      </c>
      <c r="FT267">
        <v>0</v>
      </c>
      <c r="FU267">
        <v>0</v>
      </c>
      <c r="FV267">
        <v>0</v>
      </c>
      <c r="FW267">
        <v>0</v>
      </c>
      <c r="FX267">
        <v>0</v>
      </c>
      <c r="FY267">
        <v>0</v>
      </c>
      <c r="FZ267">
        <v>0</v>
      </c>
      <c r="GA267">
        <v>0</v>
      </c>
      <c r="GB267">
        <v>0</v>
      </c>
      <c r="GC267">
        <v>0</v>
      </c>
      <c r="GD267">
        <v>0</v>
      </c>
      <c r="GE267">
        <v>0</v>
      </c>
      <c r="GF267">
        <v>0</v>
      </c>
      <c r="GG267">
        <v>0</v>
      </c>
      <c r="GH267">
        <v>0</v>
      </c>
      <c r="GI267">
        <v>0</v>
      </c>
      <c r="GJ267">
        <v>0</v>
      </c>
      <c r="GK267">
        <v>0</v>
      </c>
      <c r="GL267">
        <v>0</v>
      </c>
      <c r="GM267">
        <v>0</v>
      </c>
      <c r="GN267">
        <v>0</v>
      </c>
      <c r="GO267">
        <v>0</v>
      </c>
      <c r="GP267">
        <v>0</v>
      </c>
      <c r="GQ267">
        <v>0</v>
      </c>
      <c r="GR267">
        <v>0</v>
      </c>
      <c r="GS267">
        <v>0</v>
      </c>
      <c r="GT267">
        <v>0</v>
      </c>
      <c r="GU267">
        <v>0</v>
      </c>
      <c r="GV267">
        <v>0</v>
      </c>
      <c r="GW267">
        <v>316874</v>
      </c>
      <c r="GX267">
        <v>0</v>
      </c>
      <c r="GY267">
        <v>0</v>
      </c>
      <c r="GZ267">
        <v>0</v>
      </c>
      <c r="HA267">
        <v>0</v>
      </c>
      <c r="HB267">
        <v>1398</v>
      </c>
      <c r="HC267">
        <v>0</v>
      </c>
      <c r="HD267">
        <v>0</v>
      </c>
      <c r="HE267">
        <v>0</v>
      </c>
      <c r="HF267">
        <v>0</v>
      </c>
      <c r="HG267">
        <v>0</v>
      </c>
      <c r="HH267">
        <v>0</v>
      </c>
      <c r="HI267">
        <v>0</v>
      </c>
      <c r="HJ267">
        <v>0</v>
      </c>
      <c r="HK267">
        <v>0</v>
      </c>
      <c r="HL267">
        <v>0</v>
      </c>
      <c r="HM267">
        <v>0</v>
      </c>
      <c r="HN267">
        <v>0</v>
      </c>
      <c r="HO267">
        <v>0</v>
      </c>
      <c r="HP267">
        <v>0</v>
      </c>
      <c r="HQ267">
        <v>0</v>
      </c>
      <c r="HR267">
        <v>5501</v>
      </c>
      <c r="HS267">
        <v>0</v>
      </c>
      <c r="HT267">
        <v>0</v>
      </c>
      <c r="HU267">
        <v>0</v>
      </c>
      <c r="HV267">
        <v>6899</v>
      </c>
      <c r="HW267">
        <v>0</v>
      </c>
      <c r="HX267">
        <v>0</v>
      </c>
      <c r="HY267">
        <v>0</v>
      </c>
      <c r="HZ267">
        <v>0</v>
      </c>
      <c r="IA267">
        <v>0</v>
      </c>
      <c r="IB267">
        <v>0</v>
      </c>
      <c r="IC267">
        <v>0</v>
      </c>
      <c r="ID267">
        <v>0</v>
      </c>
      <c r="IE267">
        <v>0</v>
      </c>
      <c r="IF267">
        <v>0</v>
      </c>
      <c r="IG267">
        <v>0</v>
      </c>
      <c r="IH267">
        <v>0</v>
      </c>
      <c r="II267">
        <v>0</v>
      </c>
      <c r="IJ267">
        <v>0</v>
      </c>
      <c r="IK267">
        <v>0</v>
      </c>
      <c r="IL267">
        <v>316874</v>
      </c>
      <c r="IM267">
        <v>0</v>
      </c>
      <c r="IN267">
        <v>6899</v>
      </c>
      <c r="IO267">
        <v>0</v>
      </c>
      <c r="IP267">
        <v>323773</v>
      </c>
      <c r="IQ267">
        <v>0</v>
      </c>
      <c r="IR267">
        <v>0</v>
      </c>
      <c r="IS267">
        <v>0</v>
      </c>
      <c r="IT267">
        <v>0</v>
      </c>
      <c r="IU267">
        <v>0</v>
      </c>
      <c r="IV267">
        <v>0</v>
      </c>
      <c r="IW267">
        <v>0</v>
      </c>
      <c r="IX267">
        <v>0</v>
      </c>
      <c r="IY267">
        <v>0</v>
      </c>
      <c r="IZ267">
        <v>0</v>
      </c>
      <c r="JA267">
        <v>0</v>
      </c>
      <c r="JB267">
        <v>0</v>
      </c>
      <c r="JC267">
        <v>0</v>
      </c>
      <c r="JD267">
        <v>0</v>
      </c>
      <c r="JE267">
        <v>-3409</v>
      </c>
      <c r="JF267">
        <v>0</v>
      </c>
      <c r="JG267">
        <v>320364</v>
      </c>
      <c r="JH267">
        <v>0</v>
      </c>
      <c r="JI267">
        <v>0</v>
      </c>
      <c r="JJ267">
        <v>0</v>
      </c>
      <c r="JK267">
        <v>0</v>
      </c>
      <c r="JL267">
        <v>0</v>
      </c>
      <c r="JM267">
        <v>-10</v>
      </c>
      <c r="JN267">
        <v>9057</v>
      </c>
      <c r="JO267">
        <v>0</v>
      </c>
      <c r="JP267">
        <v>2810</v>
      </c>
      <c r="JQ267">
        <v>0</v>
      </c>
      <c r="JR267">
        <v>332221</v>
      </c>
      <c r="JS267">
        <v>-74</v>
      </c>
      <c r="JT267">
        <v>0</v>
      </c>
      <c r="JU267">
        <v>0</v>
      </c>
      <c r="JV267">
        <v>0</v>
      </c>
      <c r="JW267">
        <v>-763</v>
      </c>
      <c r="JX267">
        <v>0</v>
      </c>
      <c r="JY267">
        <v>0</v>
      </c>
      <c r="JZ267">
        <v>0</v>
      </c>
      <c r="KA267">
        <v>0</v>
      </c>
      <c r="KB267">
        <v>0</v>
      </c>
      <c r="KC267">
        <v>331384</v>
      </c>
      <c r="KD267">
        <v>0</v>
      </c>
      <c r="KE267">
        <v>-18820</v>
      </c>
      <c r="KF267">
        <v>312564</v>
      </c>
      <c r="KG267">
        <v>0</v>
      </c>
      <c r="KH267">
        <v>0</v>
      </c>
      <c r="KI267">
        <v>0</v>
      </c>
      <c r="KJ267">
        <v>0</v>
      </c>
      <c r="KK267">
        <v>3916</v>
      </c>
      <c r="KL267">
        <v>340</v>
      </c>
      <c r="KM267">
        <v>0</v>
      </c>
      <c r="KN267">
        <v>-258350</v>
      </c>
      <c r="KO267">
        <v>0</v>
      </c>
      <c r="KP267">
        <v>170</v>
      </c>
      <c r="KQ267">
        <v>0</v>
      </c>
      <c r="KR267">
        <v>56953</v>
      </c>
      <c r="KS267">
        <v>0</v>
      </c>
      <c r="KT267">
        <v>0</v>
      </c>
      <c r="KU267">
        <v>0</v>
      </c>
      <c r="KV267">
        <v>23178</v>
      </c>
      <c r="KW267">
        <v>10058</v>
      </c>
      <c r="KX267">
        <v>0</v>
      </c>
      <c r="KY267">
        <v>0</v>
      </c>
      <c r="KZ267">
        <v>0</v>
      </c>
      <c r="LA267">
        <v>27094</v>
      </c>
      <c r="LB267">
        <v>10398</v>
      </c>
      <c r="LC267">
        <v>0</v>
      </c>
      <c r="LD267">
        <v>9847</v>
      </c>
      <c r="LE267">
        <v>0</v>
      </c>
      <c r="LF267">
        <v>-100</v>
      </c>
      <c r="LG267">
        <v>0</v>
      </c>
      <c r="LH267">
        <v>244</v>
      </c>
      <c r="LI267">
        <v>9991</v>
      </c>
      <c r="LJ267">
        <v>0</v>
      </c>
      <c r="LK267">
        <v>0</v>
      </c>
      <c r="LL267">
        <v>0</v>
      </c>
      <c r="LM267">
        <v>0</v>
      </c>
      <c r="LN267">
        <v>0</v>
      </c>
      <c r="LO267">
        <v>0</v>
      </c>
      <c r="LP267">
        <v>0</v>
      </c>
      <c r="LQ267">
        <v>0</v>
      </c>
      <c r="LR267">
        <v>0</v>
      </c>
      <c r="LS267">
        <v>0</v>
      </c>
      <c r="LT267">
        <v>0</v>
      </c>
      <c r="LU267">
        <v>0</v>
      </c>
      <c r="LV267">
        <v>0</v>
      </c>
      <c r="LW267">
        <v>0</v>
      </c>
      <c r="LX267">
        <v>0</v>
      </c>
      <c r="LY267">
        <v>0</v>
      </c>
      <c r="LZ267">
        <v>0</v>
      </c>
      <c r="MA267">
        <v>0</v>
      </c>
      <c r="MB267">
        <v>0</v>
      </c>
      <c r="MC267">
        <v>0</v>
      </c>
      <c r="MD267">
        <v>316874</v>
      </c>
      <c r="ME267">
        <v>0</v>
      </c>
      <c r="MF267">
        <v>6899</v>
      </c>
      <c r="MG267">
        <v>0</v>
      </c>
      <c r="MH267">
        <v>323773</v>
      </c>
      <c r="MI267">
        <v>0</v>
      </c>
      <c r="MJ267">
        <v>0</v>
      </c>
      <c r="MK267">
        <v>0</v>
      </c>
      <c r="ML267">
        <v>0</v>
      </c>
      <c r="MM267">
        <v>0</v>
      </c>
      <c r="MN267">
        <v>0</v>
      </c>
      <c r="MO267">
        <v>0</v>
      </c>
      <c r="MP267">
        <v>0</v>
      </c>
      <c r="MQ267">
        <v>0</v>
      </c>
      <c r="MR267">
        <v>0</v>
      </c>
      <c r="MS267">
        <v>0</v>
      </c>
      <c r="MT267">
        <v>0</v>
      </c>
      <c r="MU267">
        <v>0</v>
      </c>
      <c r="MV267">
        <v>0</v>
      </c>
      <c r="MW267">
        <v>0</v>
      </c>
      <c r="MX267">
        <v>0</v>
      </c>
      <c r="MY267">
        <v>0</v>
      </c>
      <c r="MZ267">
        <v>0</v>
      </c>
      <c r="NA267">
        <v>0</v>
      </c>
      <c r="NB267">
        <v>0</v>
      </c>
      <c r="NC267">
        <v>0</v>
      </c>
      <c r="ND267">
        <v>0</v>
      </c>
      <c r="NE267">
        <v>0</v>
      </c>
      <c r="NF267">
        <v>0</v>
      </c>
      <c r="NG267">
        <v>0</v>
      </c>
      <c r="NH267">
        <v>0</v>
      </c>
      <c r="NI267">
        <v>0</v>
      </c>
      <c r="NJ267">
        <v>0</v>
      </c>
      <c r="NK267">
        <v>0</v>
      </c>
      <c r="NL267">
        <v>0</v>
      </c>
      <c r="NM267">
        <v>0</v>
      </c>
      <c r="NN267">
        <v>0</v>
      </c>
      <c r="NO267">
        <v>0</v>
      </c>
      <c r="NP267">
        <v>0</v>
      </c>
      <c r="NQ267">
        <v>0</v>
      </c>
      <c r="NR267">
        <v>0</v>
      </c>
      <c r="NS267">
        <v>0</v>
      </c>
      <c r="NT267">
        <v>0</v>
      </c>
      <c r="NU267">
        <v>0</v>
      </c>
      <c r="NV267">
        <v>0</v>
      </c>
      <c r="NW267">
        <v>0</v>
      </c>
      <c r="NX267">
        <v>0</v>
      </c>
      <c r="NY267">
        <v>0</v>
      </c>
      <c r="NZ267">
        <v>0</v>
      </c>
      <c r="OA267">
        <v>0</v>
      </c>
      <c r="OB267">
        <v>0</v>
      </c>
      <c r="OC267">
        <v>0</v>
      </c>
      <c r="OD267">
        <v>0</v>
      </c>
      <c r="OE267">
        <v>0</v>
      </c>
      <c r="OF267">
        <v>0</v>
      </c>
      <c r="OG267">
        <v>0</v>
      </c>
      <c r="OH267">
        <v>0</v>
      </c>
      <c r="OI267">
        <v>0</v>
      </c>
      <c r="OJ267">
        <v>0</v>
      </c>
      <c r="OK267">
        <v>0</v>
      </c>
      <c r="OL267">
        <v>0</v>
      </c>
      <c r="OM267">
        <v>0</v>
      </c>
      <c r="ON267">
        <v>0</v>
      </c>
    </row>
    <row r="268" spans="1:404" x14ac:dyDescent="0.25">
      <c r="A268" t="s">
        <v>871</v>
      </c>
      <c r="B268" t="s">
        <v>872</v>
      </c>
      <c r="C268" t="s">
        <v>870</v>
      </c>
      <c r="E268" t="s">
        <v>61</v>
      </c>
      <c r="F268">
        <v>0</v>
      </c>
      <c r="G268">
        <v>0</v>
      </c>
      <c r="H268">
        <v>0</v>
      </c>
      <c r="I268">
        <v>0</v>
      </c>
      <c r="J268">
        <v>0</v>
      </c>
      <c r="K268">
        <v>0</v>
      </c>
      <c r="L268">
        <v>0</v>
      </c>
      <c r="M268">
        <v>0</v>
      </c>
      <c r="N268">
        <v>95</v>
      </c>
      <c r="O268">
        <v>0</v>
      </c>
      <c r="P268">
        <v>-10</v>
      </c>
      <c r="Q268">
        <v>0</v>
      </c>
      <c r="R268">
        <v>0</v>
      </c>
      <c r="S268">
        <v>170</v>
      </c>
      <c r="T268">
        <v>0</v>
      </c>
      <c r="U268">
        <v>264</v>
      </c>
      <c r="V268">
        <v>0</v>
      </c>
      <c r="W268">
        <v>0</v>
      </c>
      <c r="X268">
        <v>0</v>
      </c>
      <c r="Y268">
        <v>0</v>
      </c>
      <c r="Z268">
        <v>263</v>
      </c>
      <c r="AA268">
        <v>-3068</v>
      </c>
      <c r="AB268">
        <v>33</v>
      </c>
      <c r="AC268">
        <v>0</v>
      </c>
      <c r="AD268">
        <v>0</v>
      </c>
      <c r="AE268">
        <v>0</v>
      </c>
      <c r="AF268">
        <v>0</v>
      </c>
      <c r="AG268">
        <v>0</v>
      </c>
      <c r="AH268">
        <v>0</v>
      </c>
      <c r="AI268">
        <v>-2252</v>
      </c>
      <c r="AJ268">
        <v>0</v>
      </c>
      <c r="AK268">
        <v>0</v>
      </c>
      <c r="AL268">
        <v>0</v>
      </c>
      <c r="AM268">
        <v>0</v>
      </c>
      <c r="AN268">
        <v>0</v>
      </c>
      <c r="AO268">
        <v>0</v>
      </c>
      <c r="AP268">
        <v>0</v>
      </c>
      <c r="AQ268">
        <v>526</v>
      </c>
      <c r="AR268">
        <v>1266</v>
      </c>
      <c r="AS268">
        <v>0</v>
      </c>
      <c r="AT268">
        <v>0</v>
      </c>
      <c r="AU268">
        <v>0</v>
      </c>
      <c r="AV268">
        <v>0</v>
      </c>
      <c r="AW268">
        <v>0</v>
      </c>
      <c r="AX268">
        <v>0</v>
      </c>
      <c r="AY268">
        <v>0</v>
      </c>
      <c r="AZ268">
        <v>0</v>
      </c>
      <c r="BA268">
        <v>0</v>
      </c>
      <c r="BB268">
        <v>0</v>
      </c>
      <c r="BC268">
        <v>0</v>
      </c>
      <c r="BD268">
        <v>0</v>
      </c>
      <c r="BE268">
        <v>0</v>
      </c>
      <c r="BF268">
        <v>0</v>
      </c>
      <c r="BG268">
        <v>0</v>
      </c>
      <c r="BH268">
        <v>0</v>
      </c>
      <c r="BI268">
        <v>0</v>
      </c>
      <c r="BJ268">
        <v>0</v>
      </c>
      <c r="BK268">
        <v>0</v>
      </c>
      <c r="BL268">
        <v>0</v>
      </c>
      <c r="BM268">
        <v>0</v>
      </c>
      <c r="BN268">
        <v>0</v>
      </c>
      <c r="BO268">
        <v>0</v>
      </c>
      <c r="BP268">
        <v>0</v>
      </c>
      <c r="BQ268">
        <v>0</v>
      </c>
      <c r="BR268">
        <v>0</v>
      </c>
      <c r="BS268">
        <v>0</v>
      </c>
      <c r="BT268">
        <v>0</v>
      </c>
      <c r="BU268">
        <v>0</v>
      </c>
      <c r="BV268">
        <v>0</v>
      </c>
      <c r="BW268">
        <v>0</v>
      </c>
      <c r="BX268">
        <v>0</v>
      </c>
      <c r="BY268">
        <v>0</v>
      </c>
      <c r="BZ268">
        <v>0</v>
      </c>
      <c r="CA268">
        <v>0</v>
      </c>
      <c r="CB268">
        <v>0</v>
      </c>
      <c r="CC268">
        <v>0</v>
      </c>
      <c r="CD268">
        <v>0</v>
      </c>
      <c r="CE268">
        <v>0</v>
      </c>
      <c r="CF268">
        <v>0</v>
      </c>
      <c r="CG268">
        <v>0</v>
      </c>
      <c r="CH268">
        <v>0</v>
      </c>
      <c r="CI268">
        <v>0</v>
      </c>
      <c r="CJ268">
        <v>0</v>
      </c>
      <c r="CK268">
        <v>0</v>
      </c>
      <c r="CL268">
        <v>0</v>
      </c>
      <c r="CM268">
        <v>0</v>
      </c>
      <c r="CN268">
        <v>0</v>
      </c>
      <c r="CO268">
        <v>0</v>
      </c>
      <c r="CP268">
        <v>0</v>
      </c>
      <c r="CQ268">
        <v>0</v>
      </c>
      <c r="CR268">
        <v>0</v>
      </c>
      <c r="CS268">
        <v>0</v>
      </c>
      <c r="CT268">
        <v>0</v>
      </c>
      <c r="CU268">
        <v>0</v>
      </c>
      <c r="CV268">
        <v>828</v>
      </c>
      <c r="CW268">
        <v>0</v>
      </c>
      <c r="CX268">
        <v>0</v>
      </c>
      <c r="CY268">
        <v>0</v>
      </c>
      <c r="CZ268">
        <v>0</v>
      </c>
      <c r="DA268">
        <v>0</v>
      </c>
      <c r="DB268">
        <v>0</v>
      </c>
      <c r="DC268">
        <v>1717</v>
      </c>
      <c r="DD268">
        <v>0</v>
      </c>
      <c r="DE268">
        <v>0</v>
      </c>
      <c r="DF268">
        <v>309</v>
      </c>
      <c r="DG268">
        <v>0</v>
      </c>
      <c r="DH268">
        <v>81</v>
      </c>
      <c r="DI268">
        <v>0</v>
      </c>
      <c r="DJ268">
        <v>0</v>
      </c>
      <c r="DK268">
        <v>0</v>
      </c>
      <c r="DL268">
        <v>0</v>
      </c>
      <c r="DM268">
        <v>639</v>
      </c>
      <c r="DN268">
        <v>323</v>
      </c>
      <c r="DO268">
        <v>0</v>
      </c>
      <c r="DP268">
        <v>1043</v>
      </c>
      <c r="DQ268">
        <v>0</v>
      </c>
      <c r="DR268">
        <v>0</v>
      </c>
      <c r="DS268">
        <v>0</v>
      </c>
      <c r="DT268">
        <v>679</v>
      </c>
      <c r="DU268">
        <v>-30</v>
      </c>
      <c r="DV268">
        <v>0</v>
      </c>
      <c r="DW268">
        <v>14</v>
      </c>
      <c r="DX268">
        <v>3732</v>
      </c>
      <c r="DY268">
        <v>57551</v>
      </c>
      <c r="DZ268">
        <v>1991</v>
      </c>
      <c r="EA268">
        <v>7496</v>
      </c>
      <c r="EB268">
        <v>927</v>
      </c>
      <c r="EC268">
        <v>68</v>
      </c>
      <c r="ED268">
        <v>68</v>
      </c>
      <c r="EE268">
        <v>210</v>
      </c>
      <c r="EF268">
        <v>5610</v>
      </c>
      <c r="EG268">
        <v>-36</v>
      </c>
      <c r="EH268">
        <v>12837</v>
      </c>
      <c r="EI268">
        <v>14350</v>
      </c>
      <c r="EJ268">
        <v>4235</v>
      </c>
      <c r="EK268">
        <v>6304</v>
      </c>
      <c r="EL268">
        <v>7227</v>
      </c>
      <c r="EM268">
        <v>19262</v>
      </c>
      <c r="EN268">
        <v>1106</v>
      </c>
      <c r="EO268">
        <v>107</v>
      </c>
      <c r="EP268">
        <v>0</v>
      </c>
      <c r="EQ268">
        <v>0</v>
      </c>
      <c r="ER268">
        <v>452</v>
      </c>
      <c r="ES268">
        <v>43369</v>
      </c>
      <c r="ET268">
        <v>51372</v>
      </c>
      <c r="EU268">
        <v>0</v>
      </c>
      <c r="EV268">
        <v>0</v>
      </c>
      <c r="EW268">
        <v>313</v>
      </c>
      <c r="EX268">
        <v>0</v>
      </c>
      <c r="EY268">
        <v>130</v>
      </c>
      <c r="EZ268">
        <v>366</v>
      </c>
      <c r="FA268">
        <v>0</v>
      </c>
      <c r="FB268">
        <v>177</v>
      </c>
      <c r="FC268">
        <v>79</v>
      </c>
      <c r="FD268">
        <v>2883</v>
      </c>
      <c r="FE268">
        <v>8</v>
      </c>
      <c r="FF268">
        <v>131</v>
      </c>
      <c r="FG268">
        <v>0</v>
      </c>
      <c r="FH268">
        <v>4087</v>
      </c>
      <c r="FI268">
        <v>-13</v>
      </c>
      <c r="FJ268">
        <v>0</v>
      </c>
      <c r="FK268">
        <v>12</v>
      </c>
      <c r="FL268">
        <v>371</v>
      </c>
      <c r="FM268">
        <v>528</v>
      </c>
      <c r="FN268">
        <v>0</v>
      </c>
      <c r="FO268">
        <v>185</v>
      </c>
      <c r="FP268">
        <v>19</v>
      </c>
      <c r="FQ268">
        <v>0</v>
      </c>
      <c r="FR268">
        <v>0</v>
      </c>
      <c r="FS268">
        <v>105</v>
      </c>
      <c r="FT268">
        <v>0</v>
      </c>
      <c r="FU268">
        <v>-73</v>
      </c>
      <c r="FV268">
        <v>0</v>
      </c>
      <c r="FW268">
        <v>335</v>
      </c>
      <c r="FX268">
        <v>56</v>
      </c>
      <c r="FY268">
        <v>0</v>
      </c>
      <c r="FZ268">
        <v>0</v>
      </c>
      <c r="GA268">
        <v>0</v>
      </c>
      <c r="GB268">
        <v>0</v>
      </c>
      <c r="GC268">
        <v>0</v>
      </c>
      <c r="GD268">
        <v>1715</v>
      </c>
      <c r="GE268">
        <v>1181</v>
      </c>
      <c r="GF268">
        <v>0</v>
      </c>
      <c r="GG268">
        <v>0</v>
      </c>
      <c r="GH268">
        <v>1790</v>
      </c>
      <c r="GI268">
        <v>0</v>
      </c>
      <c r="GJ268">
        <v>0</v>
      </c>
      <c r="GK268">
        <v>6209</v>
      </c>
      <c r="GL268">
        <v>0</v>
      </c>
      <c r="GM268">
        <v>261</v>
      </c>
      <c r="GN268">
        <v>222</v>
      </c>
      <c r="GO268">
        <v>1040</v>
      </c>
      <c r="GP268">
        <v>85</v>
      </c>
      <c r="GQ268">
        <v>792</v>
      </c>
      <c r="GR268">
        <v>0</v>
      </c>
      <c r="GS268">
        <v>4040</v>
      </c>
      <c r="GT268">
        <v>85</v>
      </c>
      <c r="GU268">
        <v>6525</v>
      </c>
      <c r="GV268">
        <v>16821</v>
      </c>
      <c r="GW268">
        <v>0</v>
      </c>
      <c r="GX268">
        <v>0</v>
      </c>
      <c r="GY268">
        <v>0</v>
      </c>
      <c r="GZ268">
        <v>0</v>
      </c>
      <c r="HA268">
        <v>0</v>
      </c>
      <c r="HB268">
        <v>294</v>
      </c>
      <c r="HC268">
        <v>867</v>
      </c>
      <c r="HD268">
        <v>0</v>
      </c>
      <c r="HE268">
        <v>0</v>
      </c>
      <c r="HF268">
        <v>1182</v>
      </c>
      <c r="HG268">
        <v>-169</v>
      </c>
      <c r="HH268">
        <v>0</v>
      </c>
      <c r="HI268">
        <v>0</v>
      </c>
      <c r="HJ268">
        <v>92</v>
      </c>
      <c r="HK268">
        <v>493</v>
      </c>
      <c r="HL268">
        <v>51</v>
      </c>
      <c r="HM268">
        <v>-127</v>
      </c>
      <c r="HN268">
        <v>0</v>
      </c>
      <c r="HO268">
        <v>0</v>
      </c>
      <c r="HP268">
        <v>0</v>
      </c>
      <c r="HQ268">
        <v>0</v>
      </c>
      <c r="HR268">
        <v>0</v>
      </c>
      <c r="HS268">
        <v>0</v>
      </c>
      <c r="HT268">
        <v>0</v>
      </c>
      <c r="HU268">
        <v>8417</v>
      </c>
      <c r="HV268">
        <v>11100</v>
      </c>
      <c r="HW268">
        <v>86</v>
      </c>
      <c r="HX268">
        <v>1259</v>
      </c>
      <c r="HY268">
        <v>0</v>
      </c>
      <c r="HZ268">
        <v>6887</v>
      </c>
      <c r="IA268">
        <v>914</v>
      </c>
      <c r="IB268">
        <v>0</v>
      </c>
      <c r="IC268">
        <v>0</v>
      </c>
      <c r="ID268">
        <v>-2252</v>
      </c>
      <c r="IE268">
        <v>0</v>
      </c>
      <c r="IF268">
        <v>0</v>
      </c>
      <c r="IG268">
        <v>828</v>
      </c>
      <c r="IH268">
        <v>3732</v>
      </c>
      <c r="II268">
        <v>4087</v>
      </c>
      <c r="IJ268">
        <v>6209</v>
      </c>
      <c r="IK268">
        <v>6525</v>
      </c>
      <c r="IL268">
        <v>0</v>
      </c>
      <c r="IM268">
        <v>0</v>
      </c>
      <c r="IN268">
        <v>11100</v>
      </c>
      <c r="IO268">
        <v>0</v>
      </c>
      <c r="IP268">
        <v>30229</v>
      </c>
      <c r="IQ268">
        <v>21182</v>
      </c>
      <c r="IR268">
        <v>0</v>
      </c>
      <c r="IS268">
        <v>21447</v>
      </c>
      <c r="IT268">
        <v>0</v>
      </c>
      <c r="IU268">
        <v>210</v>
      </c>
      <c r="IV268">
        <v>0</v>
      </c>
      <c r="IW268">
        <v>0</v>
      </c>
      <c r="IX268">
        <v>0</v>
      </c>
      <c r="IY268">
        <v>0</v>
      </c>
      <c r="IZ268">
        <v>0</v>
      </c>
      <c r="JA268">
        <v>-18909</v>
      </c>
      <c r="JB268">
        <v>0</v>
      </c>
      <c r="JC268">
        <v>14965</v>
      </c>
      <c r="JD268">
        <v>0</v>
      </c>
      <c r="JE268">
        <v>155</v>
      </c>
      <c r="JF268">
        <v>-18</v>
      </c>
      <c r="JG268">
        <v>69260</v>
      </c>
      <c r="JH268">
        <v>0</v>
      </c>
      <c r="JI268">
        <v>0</v>
      </c>
      <c r="JJ268">
        <v>0</v>
      </c>
      <c r="JK268">
        <v>0</v>
      </c>
      <c r="JL268">
        <v>0</v>
      </c>
      <c r="JM268">
        <v>-138</v>
      </c>
      <c r="JN268">
        <v>1761</v>
      </c>
      <c r="JO268">
        <v>0</v>
      </c>
      <c r="JP268">
        <v>8329</v>
      </c>
      <c r="JQ268">
        <v>-7227</v>
      </c>
      <c r="JR268">
        <v>71985</v>
      </c>
      <c r="JS268">
        <v>-2928</v>
      </c>
      <c r="JT268">
        <v>0</v>
      </c>
      <c r="JU268">
        <v>184</v>
      </c>
      <c r="JV268">
        <v>0</v>
      </c>
      <c r="JW268">
        <v>-44166</v>
      </c>
      <c r="JX268">
        <v>0</v>
      </c>
      <c r="JY268">
        <v>-95</v>
      </c>
      <c r="JZ268">
        <v>0</v>
      </c>
      <c r="KA268">
        <v>0</v>
      </c>
      <c r="KB268">
        <v>0</v>
      </c>
      <c r="KC268">
        <v>24979</v>
      </c>
      <c r="KD268">
        <v>0</v>
      </c>
      <c r="KE268">
        <v>-8776</v>
      </c>
      <c r="KF268">
        <v>16203</v>
      </c>
      <c r="KG268">
        <v>0</v>
      </c>
      <c r="KH268">
        <v>0</v>
      </c>
      <c r="KI268">
        <v>0</v>
      </c>
      <c r="KJ268">
        <v>0</v>
      </c>
      <c r="KK268">
        <v>-4957</v>
      </c>
      <c r="KL268">
        <v>446</v>
      </c>
      <c r="KM268">
        <v>-217</v>
      </c>
      <c r="KN268">
        <v>0</v>
      </c>
      <c r="KO268">
        <v>-6015</v>
      </c>
      <c r="KP268">
        <v>-75</v>
      </c>
      <c r="KQ268">
        <v>16761</v>
      </c>
      <c r="KR268">
        <v>10277</v>
      </c>
      <c r="KS268">
        <v>0</v>
      </c>
      <c r="KT268">
        <v>0</v>
      </c>
      <c r="KU268">
        <v>0</v>
      </c>
      <c r="KV268">
        <v>34805</v>
      </c>
      <c r="KW268">
        <v>9890</v>
      </c>
      <c r="KX268">
        <v>0</v>
      </c>
      <c r="KY268">
        <v>0</v>
      </c>
      <c r="KZ268">
        <v>0</v>
      </c>
      <c r="LA268">
        <v>29848</v>
      </c>
      <c r="LB268">
        <v>10336</v>
      </c>
      <c r="LC268">
        <v>0</v>
      </c>
      <c r="LD268">
        <v>2578</v>
      </c>
      <c r="LE268">
        <v>0</v>
      </c>
      <c r="LF268">
        <v>0</v>
      </c>
      <c r="LG268">
        <v>128</v>
      </c>
      <c r="LH268">
        <v>4076</v>
      </c>
      <c r="LI268">
        <v>6782</v>
      </c>
      <c r="LJ268">
        <v>4776</v>
      </c>
      <c r="LK268">
        <v>9979</v>
      </c>
      <c r="LL268">
        <v>14755</v>
      </c>
      <c r="LM268">
        <v>0</v>
      </c>
      <c r="LN268">
        <v>0</v>
      </c>
      <c r="LO268">
        <v>0</v>
      </c>
      <c r="LP268">
        <v>73883</v>
      </c>
      <c r="LQ268">
        <v>65880</v>
      </c>
      <c r="LR268">
        <v>8003</v>
      </c>
      <c r="LS268">
        <v>43369</v>
      </c>
      <c r="LT268">
        <v>51372</v>
      </c>
      <c r="LU268">
        <v>0</v>
      </c>
      <c r="LV268">
        <v>-2252</v>
      </c>
      <c r="LW268">
        <v>0</v>
      </c>
      <c r="LX268">
        <v>0</v>
      </c>
      <c r="LY268">
        <v>828</v>
      </c>
      <c r="LZ268">
        <v>3732</v>
      </c>
      <c r="MA268">
        <v>4087</v>
      </c>
      <c r="MB268">
        <v>6209</v>
      </c>
      <c r="MC268">
        <v>6525</v>
      </c>
      <c r="MD268">
        <v>0</v>
      </c>
      <c r="ME268">
        <v>0</v>
      </c>
      <c r="MF268">
        <v>11100</v>
      </c>
      <c r="MG268">
        <v>0</v>
      </c>
      <c r="MH268">
        <v>30229</v>
      </c>
      <c r="MI268">
        <v>0</v>
      </c>
      <c r="MJ268">
        <v>0</v>
      </c>
      <c r="MK268">
        <v>0</v>
      </c>
      <c r="ML268">
        <v>0</v>
      </c>
      <c r="MM268">
        <v>0</v>
      </c>
      <c r="MN268">
        <v>0</v>
      </c>
      <c r="MO268">
        <v>0</v>
      </c>
      <c r="MP268">
        <v>210</v>
      </c>
      <c r="MQ268">
        <v>0</v>
      </c>
      <c r="MR268">
        <v>0</v>
      </c>
      <c r="MS268">
        <v>0</v>
      </c>
      <c r="MT268">
        <v>0</v>
      </c>
      <c r="MU268">
        <v>0</v>
      </c>
      <c r="MV268">
        <v>0</v>
      </c>
      <c r="MW268">
        <v>139</v>
      </c>
      <c r="MX268">
        <v>-376</v>
      </c>
      <c r="MY268">
        <v>-3531</v>
      </c>
      <c r="MZ268">
        <v>-385</v>
      </c>
      <c r="NA268">
        <v>-3944</v>
      </c>
      <c r="NB268">
        <v>-14965</v>
      </c>
      <c r="NC268">
        <v>-18909</v>
      </c>
      <c r="ND268">
        <v>0</v>
      </c>
      <c r="NE268">
        <v>0</v>
      </c>
      <c r="NF268">
        <v>0</v>
      </c>
      <c r="NG268">
        <v>0</v>
      </c>
      <c r="NH268">
        <v>0</v>
      </c>
      <c r="NI268">
        <v>0</v>
      </c>
      <c r="NJ268">
        <v>0</v>
      </c>
      <c r="NK268">
        <v>0</v>
      </c>
      <c r="NL268">
        <v>0</v>
      </c>
      <c r="NM268">
        <v>0</v>
      </c>
      <c r="NN268">
        <v>0</v>
      </c>
      <c r="NO268">
        <v>0</v>
      </c>
      <c r="NP268">
        <v>0</v>
      </c>
      <c r="NQ268">
        <v>0</v>
      </c>
      <c r="NR268">
        <v>0</v>
      </c>
      <c r="NS268">
        <v>0</v>
      </c>
      <c r="NT268">
        <v>0</v>
      </c>
      <c r="NU268">
        <v>0</v>
      </c>
      <c r="NV268">
        <v>0</v>
      </c>
      <c r="NW268">
        <v>0</v>
      </c>
      <c r="NX268">
        <v>0</v>
      </c>
      <c r="NY268">
        <v>0</v>
      </c>
      <c r="NZ268">
        <v>0</v>
      </c>
      <c r="OA268">
        <v>0</v>
      </c>
      <c r="OB268">
        <v>0</v>
      </c>
      <c r="OC268">
        <v>902</v>
      </c>
      <c r="OD268">
        <v>0</v>
      </c>
      <c r="OE268">
        <v>-15866</v>
      </c>
      <c r="OF268">
        <v>0</v>
      </c>
      <c r="OG268">
        <v>0</v>
      </c>
      <c r="OH268">
        <v>-14965</v>
      </c>
      <c r="OI268">
        <v>0</v>
      </c>
      <c r="OJ268">
        <v>0</v>
      </c>
      <c r="OK268">
        <v>0</v>
      </c>
      <c r="OL268">
        <v>0</v>
      </c>
      <c r="OM268">
        <v>0</v>
      </c>
      <c r="ON268">
        <v>0</v>
      </c>
    </row>
    <row r="269" spans="1:404" x14ac:dyDescent="0.25">
      <c r="A269" t="s">
        <v>877</v>
      </c>
      <c r="B269" t="s">
        <v>878</v>
      </c>
      <c r="C269" t="s">
        <v>876</v>
      </c>
      <c r="E269" t="s">
        <v>1942</v>
      </c>
      <c r="F269">
        <v>39303</v>
      </c>
      <c r="G269">
        <v>229887</v>
      </c>
      <c r="H269">
        <v>41014</v>
      </c>
      <c r="I269">
        <v>57305</v>
      </c>
      <c r="J269">
        <v>9627</v>
      </c>
      <c r="K269">
        <v>21187</v>
      </c>
      <c r="L269">
        <v>398323</v>
      </c>
      <c r="M269">
        <v>1137</v>
      </c>
      <c r="N269">
        <v>486</v>
      </c>
      <c r="O269">
        <v>841</v>
      </c>
      <c r="P269">
        <v>5851</v>
      </c>
      <c r="Q269">
        <v>160</v>
      </c>
      <c r="R269">
        <v>1006</v>
      </c>
      <c r="S269">
        <v>7377</v>
      </c>
      <c r="T269">
        <v>2524</v>
      </c>
      <c r="U269">
        <v>4315</v>
      </c>
      <c r="V269">
        <v>0</v>
      </c>
      <c r="W269">
        <v>23</v>
      </c>
      <c r="X269">
        <v>615</v>
      </c>
      <c r="Y269">
        <v>1067</v>
      </c>
      <c r="Z269">
        <v>-451</v>
      </c>
      <c r="AA269">
        <v>0</v>
      </c>
      <c r="AB269">
        <v>9069</v>
      </c>
      <c r="AC269">
        <v>1054</v>
      </c>
      <c r="AD269">
        <v>5519</v>
      </c>
      <c r="AE269">
        <v>0</v>
      </c>
      <c r="AF269">
        <v>0</v>
      </c>
      <c r="AG269">
        <v>3350</v>
      </c>
      <c r="AH269">
        <v>0</v>
      </c>
      <c r="AI269">
        <v>43943</v>
      </c>
      <c r="AJ269">
        <v>0</v>
      </c>
      <c r="AK269">
        <v>0</v>
      </c>
      <c r="AL269">
        <v>0</v>
      </c>
      <c r="AM269">
        <v>0</v>
      </c>
      <c r="AN269">
        <v>0</v>
      </c>
      <c r="AO269">
        <v>0</v>
      </c>
      <c r="AP269">
        <v>0</v>
      </c>
      <c r="AQ269">
        <v>0</v>
      </c>
      <c r="AR269">
        <v>1646</v>
      </c>
      <c r="AS269">
        <v>0</v>
      </c>
      <c r="AT269">
        <v>0</v>
      </c>
      <c r="AU269">
        <v>0</v>
      </c>
      <c r="AV269">
        <v>6591</v>
      </c>
      <c r="AW269">
        <v>90228</v>
      </c>
      <c r="AX269">
        <v>529</v>
      </c>
      <c r="AY269">
        <v>18051</v>
      </c>
      <c r="AZ269">
        <v>1242</v>
      </c>
      <c r="BA269">
        <v>34344</v>
      </c>
      <c r="BB269">
        <v>348</v>
      </c>
      <c r="BC269">
        <v>5374</v>
      </c>
      <c r="BD269">
        <v>156707</v>
      </c>
      <c r="BE269">
        <v>19043</v>
      </c>
      <c r="BF269">
        <v>54694</v>
      </c>
      <c r="BG269">
        <v>915</v>
      </c>
      <c r="BH269">
        <v>1591</v>
      </c>
      <c r="BI269">
        <v>1709</v>
      </c>
      <c r="BJ269">
        <v>16132</v>
      </c>
      <c r="BK269">
        <v>69248</v>
      </c>
      <c r="BL269">
        <v>10350</v>
      </c>
      <c r="BM269">
        <v>10681</v>
      </c>
      <c r="BN269">
        <v>5888</v>
      </c>
      <c r="BO269">
        <v>200</v>
      </c>
      <c r="BP269">
        <v>-3</v>
      </c>
      <c r="BQ269">
        <v>747</v>
      </c>
      <c r="BR269">
        <v>3503</v>
      </c>
      <c r="BS269">
        <v>2209</v>
      </c>
      <c r="BT269">
        <v>31775</v>
      </c>
      <c r="BU269">
        <v>1890</v>
      </c>
      <c r="BV269">
        <v>29573</v>
      </c>
      <c r="BW269">
        <v>285253</v>
      </c>
      <c r="BX269">
        <v>3651</v>
      </c>
      <c r="BY269">
        <v>3102</v>
      </c>
      <c r="BZ269">
        <v>7</v>
      </c>
      <c r="CA269">
        <v>226</v>
      </c>
      <c r="CB269">
        <v>133</v>
      </c>
      <c r="CC269">
        <v>67</v>
      </c>
      <c r="CD269">
        <v>532</v>
      </c>
      <c r="CE269">
        <v>1151</v>
      </c>
      <c r="CF269">
        <v>298</v>
      </c>
      <c r="CG269">
        <v>96</v>
      </c>
      <c r="CH269">
        <v>0</v>
      </c>
      <c r="CI269">
        <v>6470</v>
      </c>
      <c r="CJ269">
        <v>1849</v>
      </c>
      <c r="CK269">
        <v>647</v>
      </c>
      <c r="CL269">
        <v>277</v>
      </c>
      <c r="CM269">
        <v>584</v>
      </c>
      <c r="CN269">
        <v>1757</v>
      </c>
      <c r="CO269">
        <v>98</v>
      </c>
      <c r="CP269">
        <v>3408</v>
      </c>
      <c r="CQ269">
        <v>9799</v>
      </c>
      <c r="CR269">
        <v>4407</v>
      </c>
      <c r="CS269">
        <v>84</v>
      </c>
      <c r="CT269">
        <v>209</v>
      </c>
      <c r="CU269">
        <v>2425</v>
      </c>
      <c r="CV269">
        <v>48912</v>
      </c>
      <c r="CW269">
        <v>0</v>
      </c>
      <c r="CX269">
        <v>0</v>
      </c>
      <c r="CY269">
        <v>0</v>
      </c>
      <c r="CZ269">
        <v>0</v>
      </c>
      <c r="DA269">
        <v>0</v>
      </c>
      <c r="DB269">
        <v>0</v>
      </c>
      <c r="DC269">
        <v>0</v>
      </c>
      <c r="DD269">
        <v>0</v>
      </c>
      <c r="DE269">
        <v>0</v>
      </c>
      <c r="DF269">
        <v>0</v>
      </c>
      <c r="DG269">
        <v>0</v>
      </c>
      <c r="DH269">
        <v>0</v>
      </c>
      <c r="DI269">
        <v>0</v>
      </c>
      <c r="DJ269">
        <v>0</v>
      </c>
      <c r="DK269">
        <v>0</v>
      </c>
      <c r="DL269">
        <v>0</v>
      </c>
      <c r="DM269">
        <v>0</v>
      </c>
      <c r="DN269">
        <v>0</v>
      </c>
      <c r="DO269">
        <v>0</v>
      </c>
      <c r="DP269">
        <v>0</v>
      </c>
      <c r="DQ269">
        <v>0</v>
      </c>
      <c r="DR269">
        <v>0</v>
      </c>
      <c r="DS269">
        <v>0</v>
      </c>
      <c r="DT269">
        <v>0</v>
      </c>
      <c r="DU269">
        <v>18</v>
      </c>
      <c r="DV269">
        <v>0</v>
      </c>
      <c r="DW269">
        <v>0</v>
      </c>
      <c r="DX269">
        <v>18</v>
      </c>
      <c r="DY269">
        <v>0</v>
      </c>
      <c r="DZ269">
        <v>0</v>
      </c>
      <c r="EA269">
        <v>0</v>
      </c>
      <c r="EB269">
        <v>0</v>
      </c>
      <c r="EC269">
        <v>0</v>
      </c>
      <c r="ED269">
        <v>0</v>
      </c>
      <c r="EE269">
        <v>0</v>
      </c>
      <c r="EF269">
        <v>0</v>
      </c>
      <c r="EG269">
        <v>0</v>
      </c>
      <c r="EH269">
        <v>0</v>
      </c>
      <c r="EI269">
        <v>0</v>
      </c>
      <c r="EJ269">
        <v>0</v>
      </c>
      <c r="EK269">
        <v>0</v>
      </c>
      <c r="EL269">
        <v>0</v>
      </c>
      <c r="EM269">
        <v>0</v>
      </c>
      <c r="EN269">
        <v>0</v>
      </c>
      <c r="EO269">
        <v>0</v>
      </c>
      <c r="EP269">
        <v>0</v>
      </c>
      <c r="EQ269">
        <v>0</v>
      </c>
      <c r="ER269">
        <v>0</v>
      </c>
      <c r="ES269">
        <v>0</v>
      </c>
      <c r="ET269">
        <v>0</v>
      </c>
      <c r="EU269">
        <v>0</v>
      </c>
      <c r="EV269">
        <v>0</v>
      </c>
      <c r="EW269">
        <v>40</v>
      </c>
      <c r="EX269">
        <v>0</v>
      </c>
      <c r="EY269">
        <v>0</v>
      </c>
      <c r="EZ269">
        <v>0</v>
      </c>
      <c r="FA269">
        <v>0</v>
      </c>
      <c r="FB269">
        <v>0</v>
      </c>
      <c r="FC269">
        <v>0</v>
      </c>
      <c r="FD269">
        <v>1490</v>
      </c>
      <c r="FE269">
        <v>0</v>
      </c>
      <c r="FF269">
        <v>0</v>
      </c>
      <c r="FG269">
        <v>9673</v>
      </c>
      <c r="FH269">
        <v>11203</v>
      </c>
      <c r="FI269">
        <v>0</v>
      </c>
      <c r="FJ269">
        <v>1923</v>
      </c>
      <c r="FK269">
        <v>0</v>
      </c>
      <c r="FL269">
        <v>0</v>
      </c>
      <c r="FM269">
        <v>0</v>
      </c>
      <c r="FN269">
        <v>0</v>
      </c>
      <c r="FO269">
        <v>0</v>
      </c>
      <c r="FP269">
        <v>0</v>
      </c>
      <c r="FQ269">
        <v>0</v>
      </c>
      <c r="FR269">
        <v>0</v>
      </c>
      <c r="FS269">
        <v>0</v>
      </c>
      <c r="FT269">
        <v>0</v>
      </c>
      <c r="FU269">
        <v>0</v>
      </c>
      <c r="FV269">
        <v>0</v>
      </c>
      <c r="FW269">
        <v>0</v>
      </c>
      <c r="FX269">
        <v>0</v>
      </c>
      <c r="FY269">
        <v>382</v>
      </c>
      <c r="FZ269">
        <v>0</v>
      </c>
      <c r="GA269">
        <v>0</v>
      </c>
      <c r="GB269">
        <v>0</v>
      </c>
      <c r="GC269">
        <v>-187</v>
      </c>
      <c r="GD269">
        <v>652</v>
      </c>
      <c r="GE269">
        <v>0</v>
      </c>
      <c r="GF269">
        <v>27352</v>
      </c>
      <c r="GG269">
        <v>-1317</v>
      </c>
      <c r="GH269">
        <v>8073</v>
      </c>
      <c r="GI269">
        <v>0</v>
      </c>
      <c r="GJ269">
        <v>0</v>
      </c>
      <c r="GK269">
        <v>36878</v>
      </c>
      <c r="GL269">
        <v>1495</v>
      </c>
      <c r="GM269">
        <v>312</v>
      </c>
      <c r="GN269">
        <v>662</v>
      </c>
      <c r="GO269">
        <v>828</v>
      </c>
      <c r="GP269">
        <v>0</v>
      </c>
      <c r="GQ269">
        <v>2893</v>
      </c>
      <c r="GR269">
        <v>0</v>
      </c>
      <c r="GS269">
        <v>2255</v>
      </c>
      <c r="GT269">
        <v>7383</v>
      </c>
      <c r="GU269">
        <v>15828</v>
      </c>
      <c r="GV269">
        <v>63909</v>
      </c>
      <c r="GW269">
        <v>0</v>
      </c>
      <c r="GX269">
        <v>0</v>
      </c>
      <c r="GY269">
        <v>0</v>
      </c>
      <c r="GZ269">
        <v>0</v>
      </c>
      <c r="HA269">
        <v>0</v>
      </c>
      <c r="HB269">
        <v>4734</v>
      </c>
      <c r="HC269">
        <v>0</v>
      </c>
      <c r="HD269">
        <v>0</v>
      </c>
      <c r="HE269">
        <v>0</v>
      </c>
      <c r="HF269">
        <v>0</v>
      </c>
      <c r="HG269">
        <v>0</v>
      </c>
      <c r="HH269">
        <v>0</v>
      </c>
      <c r="HI269">
        <v>-304</v>
      </c>
      <c r="HJ269">
        <v>0</v>
      </c>
      <c r="HK269">
        <v>516</v>
      </c>
      <c r="HL269">
        <v>538</v>
      </c>
      <c r="HM269">
        <v>0</v>
      </c>
      <c r="HN269">
        <v>0</v>
      </c>
      <c r="HO269">
        <v>0</v>
      </c>
      <c r="HP269">
        <v>1625</v>
      </c>
      <c r="HQ269">
        <v>0</v>
      </c>
      <c r="HR269">
        <v>0</v>
      </c>
      <c r="HS269">
        <v>0</v>
      </c>
      <c r="HT269">
        <v>0</v>
      </c>
      <c r="HU269">
        <v>-6540</v>
      </c>
      <c r="HV269">
        <v>569</v>
      </c>
      <c r="HW269">
        <v>66534</v>
      </c>
      <c r="HX269">
        <v>0</v>
      </c>
      <c r="HY269">
        <v>0</v>
      </c>
      <c r="HZ269">
        <v>284</v>
      </c>
      <c r="IA269">
        <v>49</v>
      </c>
      <c r="IB269">
        <v>-10719</v>
      </c>
      <c r="IC269">
        <v>398323</v>
      </c>
      <c r="ID269">
        <v>43943</v>
      </c>
      <c r="IE269">
        <v>156707</v>
      </c>
      <c r="IF269">
        <v>285253</v>
      </c>
      <c r="IG269">
        <v>48912</v>
      </c>
      <c r="IH269">
        <v>18</v>
      </c>
      <c r="II269">
        <v>11203</v>
      </c>
      <c r="IJ269">
        <v>36878</v>
      </c>
      <c r="IK269">
        <v>15828</v>
      </c>
      <c r="IL269">
        <v>0</v>
      </c>
      <c r="IM269">
        <v>0</v>
      </c>
      <c r="IN269">
        <v>569</v>
      </c>
      <c r="IO269">
        <v>-10719</v>
      </c>
      <c r="IP269">
        <v>986915</v>
      </c>
      <c r="IQ269">
        <v>0</v>
      </c>
      <c r="IR269">
        <v>0</v>
      </c>
      <c r="IS269">
        <v>0</v>
      </c>
      <c r="IT269">
        <v>0</v>
      </c>
      <c r="IU269">
        <v>0</v>
      </c>
      <c r="IV269">
        <v>0</v>
      </c>
      <c r="IW269">
        <v>0</v>
      </c>
      <c r="IX269">
        <v>0</v>
      </c>
      <c r="IY269">
        <v>0</v>
      </c>
      <c r="IZ269">
        <v>0</v>
      </c>
      <c r="JA269">
        <v>-9599</v>
      </c>
      <c r="JB269">
        <v>3516</v>
      </c>
      <c r="JC269">
        <v>9389</v>
      </c>
      <c r="JD269">
        <v>-1504</v>
      </c>
      <c r="JE269">
        <v>0</v>
      </c>
      <c r="JF269">
        <v>5937</v>
      </c>
      <c r="JG269">
        <v>994654</v>
      </c>
      <c r="JH269">
        <v>302</v>
      </c>
      <c r="JI269">
        <v>0</v>
      </c>
      <c r="JJ269">
        <v>0</v>
      </c>
      <c r="JK269">
        <v>0</v>
      </c>
      <c r="JL269">
        <v>0</v>
      </c>
      <c r="JM269">
        <v>2313</v>
      </c>
      <c r="JN269">
        <v>-6470</v>
      </c>
      <c r="JO269">
        <v>0</v>
      </c>
      <c r="JP269">
        <v>19775</v>
      </c>
      <c r="JQ269">
        <v>0</v>
      </c>
      <c r="JR269">
        <v>1010574</v>
      </c>
      <c r="JS269">
        <v>-1111</v>
      </c>
      <c r="JT269">
        <v>4385</v>
      </c>
      <c r="JU269">
        <v>0</v>
      </c>
      <c r="JV269">
        <v>0</v>
      </c>
      <c r="JW269">
        <v>-4298</v>
      </c>
      <c r="JX269">
        <v>0</v>
      </c>
      <c r="JY269">
        <v>0</v>
      </c>
      <c r="JZ269">
        <v>0</v>
      </c>
      <c r="KA269">
        <v>0</v>
      </c>
      <c r="KB269">
        <v>0</v>
      </c>
      <c r="KC269">
        <v>1009550</v>
      </c>
      <c r="KD269">
        <v>0</v>
      </c>
      <c r="KE269">
        <v>-517335</v>
      </c>
      <c r="KF269">
        <v>492215</v>
      </c>
      <c r="KG269">
        <v>0</v>
      </c>
      <c r="KH269">
        <v>-1837</v>
      </c>
      <c r="KI269">
        <v>3397</v>
      </c>
      <c r="KJ269">
        <v>2589</v>
      </c>
      <c r="KK269">
        <v>44178</v>
      </c>
      <c r="KL269">
        <v>3105</v>
      </c>
      <c r="KM269">
        <v>-7103</v>
      </c>
      <c r="KN269">
        <v>0</v>
      </c>
      <c r="KO269">
        <v>-101798</v>
      </c>
      <c r="KP269">
        <v>-1018</v>
      </c>
      <c r="KQ269">
        <v>2466</v>
      </c>
      <c r="KR269">
        <v>402934</v>
      </c>
      <c r="KS269">
        <v>24546</v>
      </c>
      <c r="KT269">
        <v>3982</v>
      </c>
      <c r="KU269">
        <v>7458</v>
      </c>
      <c r="KV269">
        <v>170365</v>
      </c>
      <c r="KW269">
        <v>32119</v>
      </c>
      <c r="KX269">
        <v>22709</v>
      </c>
      <c r="KY269">
        <v>7379</v>
      </c>
      <c r="KZ269">
        <v>10047</v>
      </c>
      <c r="LA269">
        <v>214543</v>
      </c>
      <c r="LB269">
        <v>35224</v>
      </c>
      <c r="LC269">
        <v>0</v>
      </c>
      <c r="LD269">
        <v>46460</v>
      </c>
      <c r="LE269">
        <v>-1870</v>
      </c>
      <c r="LF269">
        <v>104</v>
      </c>
      <c r="LG269">
        <v>-77933</v>
      </c>
      <c r="LH269">
        <v>14973</v>
      </c>
      <c r="LI269">
        <v>-18266</v>
      </c>
      <c r="LJ269">
        <v>0</v>
      </c>
      <c r="LK269">
        <v>0</v>
      </c>
      <c r="LL269">
        <v>0</v>
      </c>
      <c r="LM269">
        <v>0</v>
      </c>
      <c r="LN269">
        <v>0</v>
      </c>
      <c r="LO269">
        <v>0</v>
      </c>
      <c r="LP269">
        <v>0</v>
      </c>
      <c r="LQ269">
        <v>0</v>
      </c>
      <c r="LR269">
        <v>0</v>
      </c>
      <c r="LS269">
        <v>0</v>
      </c>
      <c r="LT269">
        <v>0</v>
      </c>
      <c r="LU269">
        <v>398323</v>
      </c>
      <c r="LV269">
        <v>43943</v>
      </c>
      <c r="LW269">
        <v>156707</v>
      </c>
      <c r="LX269">
        <v>285253</v>
      </c>
      <c r="LY269">
        <v>48912</v>
      </c>
      <c r="LZ269">
        <v>18</v>
      </c>
      <c r="MA269">
        <v>11203</v>
      </c>
      <c r="MB269">
        <v>36878</v>
      </c>
      <c r="MC269">
        <v>15828</v>
      </c>
      <c r="MD269">
        <v>0</v>
      </c>
      <c r="ME269">
        <v>0</v>
      </c>
      <c r="MF269">
        <v>569</v>
      </c>
      <c r="MG269">
        <v>-10719</v>
      </c>
      <c r="MH269">
        <v>986915</v>
      </c>
      <c r="MI269">
        <v>0</v>
      </c>
      <c r="MJ269">
        <v>0</v>
      </c>
      <c r="MK269">
        <v>0</v>
      </c>
      <c r="ML269">
        <v>0</v>
      </c>
      <c r="MM269">
        <v>0</v>
      </c>
      <c r="MN269">
        <v>0</v>
      </c>
      <c r="MO269">
        <v>0</v>
      </c>
      <c r="MP269">
        <v>0</v>
      </c>
      <c r="MQ269">
        <v>0</v>
      </c>
      <c r="MR269">
        <v>0</v>
      </c>
      <c r="MS269">
        <v>0</v>
      </c>
      <c r="MT269">
        <v>0</v>
      </c>
      <c r="MU269">
        <v>0</v>
      </c>
      <c r="MV269">
        <v>0</v>
      </c>
      <c r="MW269">
        <v>0</v>
      </c>
      <c r="MX269">
        <v>0</v>
      </c>
      <c r="MY269">
        <v>-329</v>
      </c>
      <c r="MZ269">
        <v>0</v>
      </c>
      <c r="NA269">
        <v>-210</v>
      </c>
      <c r="NB269">
        <v>-9389</v>
      </c>
      <c r="NC269">
        <v>-9599</v>
      </c>
      <c r="ND269">
        <v>0</v>
      </c>
      <c r="NE269">
        <v>0</v>
      </c>
      <c r="NF269">
        <v>0</v>
      </c>
      <c r="NG269">
        <v>0</v>
      </c>
      <c r="NH269">
        <v>0</v>
      </c>
      <c r="NI269">
        <v>0</v>
      </c>
      <c r="NJ269">
        <v>0</v>
      </c>
      <c r="NK269">
        <v>0</v>
      </c>
      <c r="NL269">
        <v>0</v>
      </c>
      <c r="NM269">
        <v>0</v>
      </c>
      <c r="NN269">
        <v>-94</v>
      </c>
      <c r="NO269">
        <v>0</v>
      </c>
      <c r="NP269">
        <v>-46</v>
      </c>
      <c r="NQ269">
        <v>0</v>
      </c>
      <c r="NR269">
        <v>0</v>
      </c>
      <c r="NS269">
        <v>0</v>
      </c>
      <c r="NT269">
        <v>1540</v>
      </c>
      <c r="NU269">
        <v>0</v>
      </c>
      <c r="NV269">
        <v>0</v>
      </c>
      <c r="NW269">
        <v>0</v>
      </c>
      <c r="NX269">
        <v>0</v>
      </c>
      <c r="NY269">
        <v>0</v>
      </c>
      <c r="NZ269">
        <v>2012</v>
      </c>
      <c r="OA269">
        <v>1504</v>
      </c>
      <c r="OB269">
        <v>3516</v>
      </c>
      <c r="OC269">
        <v>17</v>
      </c>
      <c r="OD269">
        <v>0</v>
      </c>
      <c r="OE269">
        <v>-9406</v>
      </c>
      <c r="OF269">
        <v>0</v>
      </c>
      <c r="OG269">
        <v>0</v>
      </c>
      <c r="OH269">
        <v>-9389</v>
      </c>
      <c r="OI269">
        <v>317</v>
      </c>
      <c r="OJ269">
        <v>0</v>
      </c>
      <c r="OK269">
        <v>1187</v>
      </c>
      <c r="OL269">
        <v>0</v>
      </c>
      <c r="OM269">
        <v>0</v>
      </c>
      <c r="ON269">
        <v>1504</v>
      </c>
    </row>
    <row r="270" spans="1:404" x14ac:dyDescent="0.25">
      <c r="A270" t="s">
        <v>880</v>
      </c>
      <c r="B270" t="s">
        <v>881</v>
      </c>
      <c r="C270" t="s">
        <v>5441</v>
      </c>
      <c r="E270" t="s">
        <v>5408</v>
      </c>
      <c r="F270">
        <v>0</v>
      </c>
      <c r="G270">
        <v>0</v>
      </c>
      <c r="H270">
        <v>0</v>
      </c>
      <c r="I270">
        <v>0</v>
      </c>
      <c r="J270">
        <v>0</v>
      </c>
      <c r="K270">
        <v>0</v>
      </c>
      <c r="L270">
        <v>0</v>
      </c>
      <c r="M270">
        <v>0</v>
      </c>
      <c r="N270">
        <v>0</v>
      </c>
      <c r="O270">
        <v>0</v>
      </c>
      <c r="P270">
        <v>0</v>
      </c>
      <c r="Q270">
        <v>0</v>
      </c>
      <c r="R270">
        <v>0</v>
      </c>
      <c r="S270">
        <v>0</v>
      </c>
      <c r="T270">
        <v>0</v>
      </c>
      <c r="U270">
        <v>0</v>
      </c>
      <c r="V270">
        <v>0</v>
      </c>
      <c r="W270">
        <v>0</v>
      </c>
      <c r="X270">
        <v>0</v>
      </c>
      <c r="Y270">
        <v>0</v>
      </c>
      <c r="Z270">
        <v>0</v>
      </c>
      <c r="AA270">
        <v>0</v>
      </c>
      <c r="AB270">
        <v>0</v>
      </c>
      <c r="AC270">
        <v>0</v>
      </c>
      <c r="AD270">
        <v>0</v>
      </c>
      <c r="AE270">
        <v>0</v>
      </c>
      <c r="AF270">
        <v>0</v>
      </c>
      <c r="AG270">
        <v>0</v>
      </c>
      <c r="AH270">
        <v>0</v>
      </c>
      <c r="AI270">
        <v>0</v>
      </c>
      <c r="AJ270">
        <v>0</v>
      </c>
      <c r="AK270">
        <v>0</v>
      </c>
      <c r="AL270">
        <v>0</v>
      </c>
      <c r="AM270">
        <v>0</v>
      </c>
      <c r="AN270">
        <v>0</v>
      </c>
      <c r="AO270">
        <v>0</v>
      </c>
      <c r="AP270">
        <v>0</v>
      </c>
      <c r="AQ270">
        <v>0</v>
      </c>
      <c r="AR270">
        <v>0</v>
      </c>
      <c r="AS270">
        <v>0</v>
      </c>
      <c r="AT270">
        <v>0</v>
      </c>
      <c r="AU270">
        <v>0</v>
      </c>
      <c r="AV270">
        <v>0</v>
      </c>
      <c r="AW270">
        <v>0</v>
      </c>
      <c r="AX270">
        <v>0</v>
      </c>
      <c r="AY270">
        <v>0</v>
      </c>
      <c r="AZ270">
        <v>0</v>
      </c>
      <c r="BA270">
        <v>0</v>
      </c>
      <c r="BB270">
        <v>0</v>
      </c>
      <c r="BC270">
        <v>0</v>
      </c>
      <c r="BD270">
        <v>0</v>
      </c>
      <c r="BE270">
        <v>0</v>
      </c>
      <c r="BF270">
        <v>0</v>
      </c>
      <c r="BG270">
        <v>0</v>
      </c>
      <c r="BH270">
        <v>0</v>
      </c>
      <c r="BI270">
        <v>0</v>
      </c>
      <c r="BJ270">
        <v>0</v>
      </c>
      <c r="BK270">
        <v>0</v>
      </c>
      <c r="BL270">
        <v>0</v>
      </c>
      <c r="BM270">
        <v>0</v>
      </c>
      <c r="BN270">
        <v>0</v>
      </c>
      <c r="BO270">
        <v>0</v>
      </c>
      <c r="BP270">
        <v>0</v>
      </c>
      <c r="BQ270">
        <v>0</v>
      </c>
      <c r="BR270">
        <v>0</v>
      </c>
      <c r="BS270">
        <v>0</v>
      </c>
      <c r="BT270">
        <v>0</v>
      </c>
      <c r="BU270">
        <v>0</v>
      </c>
      <c r="BV270">
        <v>0</v>
      </c>
      <c r="BW270">
        <v>0</v>
      </c>
      <c r="BX270">
        <v>0</v>
      </c>
      <c r="BY270">
        <v>0</v>
      </c>
      <c r="BZ270">
        <v>0</v>
      </c>
      <c r="CA270">
        <v>0</v>
      </c>
      <c r="CB270">
        <v>0</v>
      </c>
      <c r="CC270">
        <v>0</v>
      </c>
      <c r="CD270">
        <v>0</v>
      </c>
      <c r="CE270">
        <v>0</v>
      </c>
      <c r="CF270">
        <v>0</v>
      </c>
      <c r="CG270">
        <v>0</v>
      </c>
      <c r="CH270">
        <v>0</v>
      </c>
      <c r="CI270">
        <v>0</v>
      </c>
      <c r="CJ270">
        <v>0</v>
      </c>
      <c r="CK270">
        <v>0</v>
      </c>
      <c r="CL270">
        <v>0</v>
      </c>
      <c r="CM270">
        <v>0</v>
      </c>
      <c r="CN270">
        <v>0</v>
      </c>
      <c r="CO270">
        <v>0</v>
      </c>
      <c r="CP270">
        <v>0</v>
      </c>
      <c r="CQ270">
        <v>0</v>
      </c>
      <c r="CR270">
        <v>0</v>
      </c>
      <c r="CS270">
        <v>0</v>
      </c>
      <c r="CT270">
        <v>0</v>
      </c>
      <c r="CU270">
        <v>0</v>
      </c>
      <c r="CV270">
        <v>0</v>
      </c>
      <c r="CW270">
        <v>0</v>
      </c>
      <c r="CX270">
        <v>0</v>
      </c>
      <c r="CY270">
        <v>0</v>
      </c>
      <c r="CZ270">
        <v>0</v>
      </c>
      <c r="DA270">
        <v>0</v>
      </c>
      <c r="DB270">
        <v>0</v>
      </c>
      <c r="DC270">
        <v>0</v>
      </c>
      <c r="DD270">
        <v>0</v>
      </c>
      <c r="DE270">
        <v>0</v>
      </c>
      <c r="DF270">
        <v>0</v>
      </c>
      <c r="DG270">
        <v>0</v>
      </c>
      <c r="DH270">
        <v>0</v>
      </c>
      <c r="DI270">
        <v>0</v>
      </c>
      <c r="DJ270">
        <v>0</v>
      </c>
      <c r="DK270">
        <v>0</v>
      </c>
      <c r="DL270">
        <v>0</v>
      </c>
      <c r="DM270">
        <v>0</v>
      </c>
      <c r="DN270">
        <v>0</v>
      </c>
      <c r="DO270">
        <v>0</v>
      </c>
      <c r="DP270">
        <v>0</v>
      </c>
      <c r="DQ270">
        <v>0</v>
      </c>
      <c r="DR270">
        <v>0</v>
      </c>
      <c r="DS270">
        <v>0</v>
      </c>
      <c r="DT270">
        <v>0</v>
      </c>
      <c r="DU270">
        <v>0</v>
      </c>
      <c r="DV270">
        <v>0</v>
      </c>
      <c r="DW270">
        <v>0</v>
      </c>
      <c r="DX270">
        <v>0</v>
      </c>
      <c r="DY270">
        <v>0</v>
      </c>
      <c r="DZ270">
        <v>0</v>
      </c>
      <c r="EA270">
        <v>0</v>
      </c>
      <c r="EB270">
        <v>0</v>
      </c>
      <c r="EC270">
        <v>0</v>
      </c>
      <c r="ED270">
        <v>0</v>
      </c>
      <c r="EE270">
        <v>0</v>
      </c>
      <c r="EF270">
        <v>0</v>
      </c>
      <c r="EG270">
        <v>0</v>
      </c>
      <c r="EH270">
        <v>0</v>
      </c>
      <c r="EI270">
        <v>0</v>
      </c>
      <c r="EJ270">
        <v>0</v>
      </c>
      <c r="EK270">
        <v>0</v>
      </c>
      <c r="EL270">
        <v>0</v>
      </c>
      <c r="EM270">
        <v>0</v>
      </c>
      <c r="EN270">
        <v>0</v>
      </c>
      <c r="EO270">
        <v>0</v>
      </c>
      <c r="EP270">
        <v>0</v>
      </c>
      <c r="EQ270">
        <v>0</v>
      </c>
      <c r="ER270">
        <v>0</v>
      </c>
      <c r="ES270">
        <v>0</v>
      </c>
      <c r="ET270">
        <v>0</v>
      </c>
      <c r="EU270">
        <v>0</v>
      </c>
      <c r="EV270">
        <v>0</v>
      </c>
      <c r="EW270">
        <v>0</v>
      </c>
      <c r="EX270">
        <v>0</v>
      </c>
      <c r="EY270">
        <v>0</v>
      </c>
      <c r="EZ270">
        <v>0</v>
      </c>
      <c r="FA270">
        <v>0</v>
      </c>
      <c r="FB270">
        <v>0</v>
      </c>
      <c r="FC270">
        <v>0</v>
      </c>
      <c r="FD270">
        <v>0</v>
      </c>
      <c r="FE270">
        <v>0</v>
      </c>
      <c r="FF270">
        <v>0</v>
      </c>
      <c r="FG270">
        <v>0</v>
      </c>
      <c r="FH270">
        <v>0</v>
      </c>
      <c r="FI270">
        <v>0</v>
      </c>
      <c r="FJ270">
        <v>0</v>
      </c>
      <c r="FK270">
        <v>0</v>
      </c>
      <c r="FL270">
        <v>0</v>
      </c>
      <c r="FM270">
        <v>0</v>
      </c>
      <c r="FN270">
        <v>0</v>
      </c>
      <c r="FO270">
        <v>0</v>
      </c>
      <c r="FP270">
        <v>0</v>
      </c>
      <c r="FQ270">
        <v>0</v>
      </c>
      <c r="FR270">
        <v>0</v>
      </c>
      <c r="FS270">
        <v>0</v>
      </c>
      <c r="FT270">
        <v>0</v>
      </c>
      <c r="FU270">
        <v>0</v>
      </c>
      <c r="FV270">
        <v>0</v>
      </c>
      <c r="FW270">
        <v>0</v>
      </c>
      <c r="FX270">
        <v>0</v>
      </c>
      <c r="FY270">
        <v>0</v>
      </c>
      <c r="FZ270">
        <v>0</v>
      </c>
      <c r="GA270">
        <v>0</v>
      </c>
      <c r="GB270">
        <v>0</v>
      </c>
      <c r="GC270">
        <v>0</v>
      </c>
      <c r="GD270">
        <v>0</v>
      </c>
      <c r="GE270">
        <v>0</v>
      </c>
      <c r="GF270">
        <v>0</v>
      </c>
      <c r="GG270">
        <v>0</v>
      </c>
      <c r="GH270">
        <v>0</v>
      </c>
      <c r="GI270">
        <v>0</v>
      </c>
      <c r="GJ270">
        <v>0</v>
      </c>
      <c r="GK270">
        <v>0</v>
      </c>
      <c r="GL270">
        <v>0</v>
      </c>
      <c r="GM270">
        <v>0</v>
      </c>
      <c r="GN270">
        <v>0</v>
      </c>
      <c r="GO270">
        <v>0</v>
      </c>
      <c r="GP270">
        <v>0</v>
      </c>
      <c r="GQ270">
        <v>0</v>
      </c>
      <c r="GR270">
        <v>0</v>
      </c>
      <c r="GS270">
        <v>0</v>
      </c>
      <c r="GT270">
        <v>0</v>
      </c>
      <c r="GU270">
        <v>0</v>
      </c>
      <c r="GV270">
        <v>0</v>
      </c>
      <c r="GW270">
        <v>0</v>
      </c>
      <c r="GX270">
        <v>5089</v>
      </c>
      <c r="GY270">
        <v>39816</v>
      </c>
      <c r="GZ270">
        <v>418</v>
      </c>
      <c r="HA270">
        <v>45323</v>
      </c>
      <c r="HB270">
        <v>231</v>
      </c>
      <c r="HC270">
        <v>0</v>
      </c>
      <c r="HD270">
        <v>0</v>
      </c>
      <c r="HE270">
        <v>0</v>
      </c>
      <c r="HF270">
        <v>0</v>
      </c>
      <c r="HG270">
        <v>0</v>
      </c>
      <c r="HH270">
        <v>0</v>
      </c>
      <c r="HI270">
        <v>0</v>
      </c>
      <c r="HJ270">
        <v>0</v>
      </c>
      <c r="HK270">
        <v>0</v>
      </c>
      <c r="HL270">
        <v>0</v>
      </c>
      <c r="HM270">
        <v>0</v>
      </c>
      <c r="HN270">
        <v>0</v>
      </c>
      <c r="HO270">
        <v>0</v>
      </c>
      <c r="HP270">
        <v>0</v>
      </c>
      <c r="HQ270">
        <v>0</v>
      </c>
      <c r="HR270">
        <v>0</v>
      </c>
      <c r="HS270">
        <v>0</v>
      </c>
      <c r="HT270">
        <v>0</v>
      </c>
      <c r="HU270">
        <v>0</v>
      </c>
      <c r="HV270">
        <v>231</v>
      </c>
      <c r="HW270">
        <v>276</v>
      </c>
      <c r="HX270">
        <v>0</v>
      </c>
      <c r="HY270">
        <v>0</v>
      </c>
      <c r="HZ270">
        <v>13829</v>
      </c>
      <c r="IA270">
        <v>0</v>
      </c>
      <c r="IB270">
        <v>0</v>
      </c>
      <c r="IC270">
        <v>0</v>
      </c>
      <c r="ID270">
        <v>0</v>
      </c>
      <c r="IE270">
        <v>0</v>
      </c>
      <c r="IF270">
        <v>0</v>
      </c>
      <c r="IG270">
        <v>0</v>
      </c>
      <c r="IH270">
        <v>0</v>
      </c>
      <c r="II270">
        <v>0</v>
      </c>
      <c r="IJ270">
        <v>0</v>
      </c>
      <c r="IK270">
        <v>0</v>
      </c>
      <c r="IL270">
        <v>0</v>
      </c>
      <c r="IM270">
        <v>45323</v>
      </c>
      <c r="IN270">
        <v>231</v>
      </c>
      <c r="IO270">
        <v>0</v>
      </c>
      <c r="IP270">
        <v>45554</v>
      </c>
      <c r="IQ270">
        <v>0</v>
      </c>
      <c r="IR270">
        <v>0</v>
      </c>
      <c r="IS270">
        <v>0</v>
      </c>
      <c r="IT270">
        <v>0</v>
      </c>
      <c r="IU270">
        <v>0</v>
      </c>
      <c r="IV270">
        <v>0</v>
      </c>
      <c r="IW270">
        <v>0</v>
      </c>
      <c r="IX270">
        <v>0</v>
      </c>
      <c r="IY270">
        <v>0</v>
      </c>
      <c r="IZ270">
        <v>0</v>
      </c>
      <c r="JA270">
        <v>0</v>
      </c>
      <c r="JB270">
        <v>0</v>
      </c>
      <c r="JC270">
        <v>0</v>
      </c>
      <c r="JD270">
        <v>0</v>
      </c>
      <c r="JE270">
        <v>27</v>
      </c>
      <c r="JF270">
        <v>0</v>
      </c>
      <c r="JG270">
        <v>45581</v>
      </c>
      <c r="JH270">
        <v>0</v>
      </c>
      <c r="JI270">
        <v>528</v>
      </c>
      <c r="JJ270">
        <v>0</v>
      </c>
      <c r="JK270">
        <v>0</v>
      </c>
      <c r="JL270">
        <v>0</v>
      </c>
      <c r="JM270">
        <v>0</v>
      </c>
      <c r="JN270">
        <v>1552</v>
      </c>
      <c r="JO270">
        <v>0</v>
      </c>
      <c r="JP270">
        <v>851</v>
      </c>
      <c r="JQ270">
        <v>0</v>
      </c>
      <c r="JR270">
        <v>48512</v>
      </c>
      <c r="JS270">
        <v>-14</v>
      </c>
      <c r="JT270">
        <v>0</v>
      </c>
      <c r="JU270">
        <v>0</v>
      </c>
      <c r="JV270">
        <v>0</v>
      </c>
      <c r="JW270">
        <v>-5650</v>
      </c>
      <c r="JX270">
        <v>0</v>
      </c>
      <c r="JY270">
        <v>0</v>
      </c>
      <c r="JZ270">
        <v>0</v>
      </c>
      <c r="KA270">
        <v>0</v>
      </c>
      <c r="KB270">
        <v>0</v>
      </c>
      <c r="KC270">
        <v>42848</v>
      </c>
      <c r="KD270">
        <v>0</v>
      </c>
      <c r="KE270">
        <v>0</v>
      </c>
      <c r="KF270">
        <v>42848</v>
      </c>
      <c r="KG270">
        <v>0</v>
      </c>
      <c r="KH270">
        <v>0</v>
      </c>
      <c r="KI270">
        <v>0</v>
      </c>
      <c r="KJ270">
        <v>0</v>
      </c>
      <c r="KK270">
        <v>274</v>
      </c>
      <c r="KL270">
        <v>200</v>
      </c>
      <c r="KM270">
        <v>-5452</v>
      </c>
      <c r="KN270">
        <v>0</v>
      </c>
      <c r="KO270">
        <v>0</v>
      </c>
      <c r="KP270">
        <v>-9333</v>
      </c>
      <c r="KQ270">
        <v>0</v>
      </c>
      <c r="KR270">
        <v>26650</v>
      </c>
      <c r="KS270">
        <v>0</v>
      </c>
      <c r="KT270">
        <v>0</v>
      </c>
      <c r="KU270">
        <v>0</v>
      </c>
      <c r="KV270">
        <v>5711</v>
      </c>
      <c r="KW270">
        <v>4991</v>
      </c>
      <c r="KX270">
        <v>0</v>
      </c>
      <c r="KY270">
        <v>0</v>
      </c>
      <c r="KZ270">
        <v>0</v>
      </c>
      <c r="LA270">
        <v>5985</v>
      </c>
      <c r="LB270">
        <v>5191</v>
      </c>
      <c r="LC270">
        <v>0</v>
      </c>
      <c r="LD270">
        <v>3225</v>
      </c>
      <c r="LE270">
        <v>0</v>
      </c>
      <c r="LF270">
        <v>0</v>
      </c>
      <c r="LG270">
        <v>0</v>
      </c>
      <c r="LH270">
        <v>0</v>
      </c>
      <c r="LI270">
        <v>3225</v>
      </c>
      <c r="LJ270">
        <v>0</v>
      </c>
      <c r="LK270">
        <v>0</v>
      </c>
      <c r="LL270">
        <v>0</v>
      </c>
      <c r="LM270">
        <v>0</v>
      </c>
      <c r="LN270">
        <v>0</v>
      </c>
      <c r="LO270">
        <v>0</v>
      </c>
      <c r="LP270">
        <v>0</v>
      </c>
      <c r="LQ270">
        <v>0</v>
      </c>
      <c r="LR270">
        <v>0</v>
      </c>
      <c r="LS270">
        <v>0</v>
      </c>
      <c r="LT270">
        <v>0</v>
      </c>
      <c r="LU270">
        <v>0</v>
      </c>
      <c r="LV270">
        <v>0</v>
      </c>
      <c r="LW270">
        <v>0</v>
      </c>
      <c r="LX270">
        <v>0</v>
      </c>
      <c r="LY270">
        <v>0</v>
      </c>
      <c r="LZ270">
        <v>0</v>
      </c>
      <c r="MA270">
        <v>0</v>
      </c>
      <c r="MB270">
        <v>0</v>
      </c>
      <c r="MC270">
        <v>0</v>
      </c>
      <c r="MD270">
        <v>0</v>
      </c>
      <c r="ME270">
        <v>45323</v>
      </c>
      <c r="MF270">
        <v>231</v>
      </c>
      <c r="MG270">
        <v>0</v>
      </c>
      <c r="MH270">
        <v>45554</v>
      </c>
      <c r="MI270">
        <v>0</v>
      </c>
      <c r="MJ270">
        <v>0</v>
      </c>
      <c r="MK270">
        <v>0</v>
      </c>
      <c r="ML270">
        <v>0</v>
      </c>
      <c r="MM270">
        <v>0</v>
      </c>
      <c r="MN270">
        <v>0</v>
      </c>
      <c r="MO270">
        <v>0</v>
      </c>
      <c r="MP270">
        <v>0</v>
      </c>
      <c r="MQ270">
        <v>0</v>
      </c>
      <c r="MR270">
        <v>0</v>
      </c>
      <c r="MS270">
        <v>0</v>
      </c>
      <c r="MT270">
        <v>0</v>
      </c>
      <c r="MU270">
        <v>0</v>
      </c>
      <c r="MV270">
        <v>0</v>
      </c>
      <c r="MW270">
        <v>0</v>
      </c>
      <c r="MX270">
        <v>0</v>
      </c>
      <c r="MY270">
        <v>0</v>
      </c>
      <c r="MZ270">
        <v>0</v>
      </c>
      <c r="NA270">
        <v>0</v>
      </c>
      <c r="NB270">
        <v>0</v>
      </c>
      <c r="NC270">
        <v>0</v>
      </c>
      <c r="ND270">
        <v>0</v>
      </c>
      <c r="NE270">
        <v>0</v>
      </c>
      <c r="NF270">
        <v>0</v>
      </c>
      <c r="NG270">
        <v>0</v>
      </c>
      <c r="NH270">
        <v>0</v>
      </c>
      <c r="NI270">
        <v>0</v>
      </c>
      <c r="NJ270">
        <v>0</v>
      </c>
      <c r="NK270">
        <v>0</v>
      </c>
      <c r="NL270">
        <v>0</v>
      </c>
      <c r="NM270">
        <v>0</v>
      </c>
      <c r="NN270">
        <v>0</v>
      </c>
      <c r="NO270">
        <v>0</v>
      </c>
      <c r="NP270">
        <v>0</v>
      </c>
      <c r="NQ270">
        <v>0</v>
      </c>
      <c r="NR270">
        <v>0</v>
      </c>
      <c r="NS270">
        <v>0</v>
      </c>
      <c r="NT270">
        <v>0</v>
      </c>
      <c r="NU270">
        <v>0</v>
      </c>
      <c r="NV270">
        <v>0</v>
      </c>
      <c r="NW270">
        <v>0</v>
      </c>
      <c r="NX270">
        <v>0</v>
      </c>
      <c r="NY270">
        <v>0</v>
      </c>
      <c r="NZ270">
        <v>0</v>
      </c>
      <c r="OA270">
        <v>0</v>
      </c>
      <c r="OB270">
        <v>0</v>
      </c>
      <c r="OC270">
        <v>0</v>
      </c>
      <c r="OD270">
        <v>0</v>
      </c>
      <c r="OE270">
        <v>0</v>
      </c>
      <c r="OF270">
        <v>0</v>
      </c>
      <c r="OG270">
        <v>0</v>
      </c>
      <c r="OH270">
        <v>0</v>
      </c>
      <c r="OI270">
        <v>0</v>
      </c>
      <c r="OJ270">
        <v>0</v>
      </c>
      <c r="OK270">
        <v>0</v>
      </c>
      <c r="OL270">
        <v>0</v>
      </c>
      <c r="OM270">
        <v>0</v>
      </c>
      <c r="ON270">
        <v>0</v>
      </c>
    </row>
    <row r="271" spans="1:404" x14ac:dyDescent="0.25">
      <c r="A271" t="s">
        <v>883</v>
      </c>
      <c r="B271" t="s">
        <v>884</v>
      </c>
      <c r="C271" t="s">
        <v>882</v>
      </c>
      <c r="E271" t="s">
        <v>71</v>
      </c>
      <c r="F271">
        <v>0</v>
      </c>
      <c r="G271">
        <v>0</v>
      </c>
      <c r="H271">
        <v>0</v>
      </c>
      <c r="I271">
        <v>0</v>
      </c>
      <c r="J271">
        <v>0</v>
      </c>
      <c r="K271">
        <v>0</v>
      </c>
      <c r="L271">
        <v>0</v>
      </c>
      <c r="M271">
        <v>0</v>
      </c>
      <c r="N271">
        <v>0</v>
      </c>
      <c r="O271">
        <v>0</v>
      </c>
      <c r="P271">
        <v>0</v>
      </c>
      <c r="Q271">
        <v>0</v>
      </c>
      <c r="R271">
        <v>0</v>
      </c>
      <c r="S271">
        <v>0</v>
      </c>
      <c r="T271">
        <v>0</v>
      </c>
      <c r="U271">
        <v>0</v>
      </c>
      <c r="V271">
        <v>0</v>
      </c>
      <c r="W271">
        <v>0</v>
      </c>
      <c r="X271">
        <v>0</v>
      </c>
      <c r="Y271">
        <v>0</v>
      </c>
      <c r="Z271">
        <v>0</v>
      </c>
      <c r="AA271">
        <v>0</v>
      </c>
      <c r="AB271">
        <v>0</v>
      </c>
      <c r="AC271">
        <v>0</v>
      </c>
      <c r="AD271">
        <v>0</v>
      </c>
      <c r="AE271">
        <v>0</v>
      </c>
      <c r="AF271">
        <v>0</v>
      </c>
      <c r="AG271">
        <v>0</v>
      </c>
      <c r="AH271">
        <v>0</v>
      </c>
      <c r="AI271">
        <v>0</v>
      </c>
      <c r="AJ271">
        <v>0</v>
      </c>
      <c r="AK271">
        <v>0</v>
      </c>
      <c r="AL271">
        <v>0</v>
      </c>
      <c r="AM271">
        <v>0</v>
      </c>
      <c r="AN271">
        <v>0</v>
      </c>
      <c r="AO271">
        <v>0</v>
      </c>
      <c r="AP271">
        <v>0</v>
      </c>
      <c r="AQ271">
        <v>0</v>
      </c>
      <c r="AR271">
        <v>0</v>
      </c>
      <c r="AS271">
        <v>0</v>
      </c>
      <c r="AT271">
        <v>0</v>
      </c>
      <c r="AU271">
        <v>0</v>
      </c>
      <c r="AV271">
        <v>0</v>
      </c>
      <c r="AW271">
        <v>0</v>
      </c>
      <c r="AX271">
        <v>0</v>
      </c>
      <c r="AY271">
        <v>0</v>
      </c>
      <c r="AZ271">
        <v>0</v>
      </c>
      <c r="BA271">
        <v>0</v>
      </c>
      <c r="BB271">
        <v>0</v>
      </c>
      <c r="BC271">
        <v>0</v>
      </c>
      <c r="BD271">
        <v>0</v>
      </c>
      <c r="BE271">
        <v>0</v>
      </c>
      <c r="BF271">
        <v>0</v>
      </c>
      <c r="BG271">
        <v>0</v>
      </c>
      <c r="BH271">
        <v>0</v>
      </c>
      <c r="BI271">
        <v>0</v>
      </c>
      <c r="BJ271">
        <v>0</v>
      </c>
      <c r="BK271">
        <v>0</v>
      </c>
      <c r="BL271">
        <v>0</v>
      </c>
      <c r="BM271">
        <v>0</v>
      </c>
      <c r="BN271">
        <v>0</v>
      </c>
      <c r="BO271">
        <v>0</v>
      </c>
      <c r="BP271">
        <v>0</v>
      </c>
      <c r="BQ271">
        <v>0</v>
      </c>
      <c r="BR271">
        <v>0</v>
      </c>
      <c r="BS271">
        <v>0</v>
      </c>
      <c r="BT271">
        <v>0</v>
      </c>
      <c r="BU271">
        <v>0</v>
      </c>
      <c r="BV271">
        <v>0</v>
      </c>
      <c r="BW271">
        <v>0</v>
      </c>
      <c r="BX271">
        <v>0</v>
      </c>
      <c r="BY271">
        <v>0</v>
      </c>
      <c r="BZ271">
        <v>0</v>
      </c>
      <c r="CA271">
        <v>0</v>
      </c>
      <c r="CB271">
        <v>0</v>
      </c>
      <c r="CC271">
        <v>0</v>
      </c>
      <c r="CD271">
        <v>0</v>
      </c>
      <c r="CE271">
        <v>0</v>
      </c>
      <c r="CF271">
        <v>0</v>
      </c>
      <c r="CG271">
        <v>0</v>
      </c>
      <c r="CH271">
        <v>0</v>
      </c>
      <c r="CI271">
        <v>0</v>
      </c>
      <c r="CJ271">
        <v>0</v>
      </c>
      <c r="CK271">
        <v>0</v>
      </c>
      <c r="CL271">
        <v>0</v>
      </c>
      <c r="CM271">
        <v>0</v>
      </c>
      <c r="CN271">
        <v>0</v>
      </c>
      <c r="CO271">
        <v>0</v>
      </c>
      <c r="CP271">
        <v>0</v>
      </c>
      <c r="CQ271">
        <v>0</v>
      </c>
      <c r="CR271">
        <v>0</v>
      </c>
      <c r="CS271">
        <v>0</v>
      </c>
      <c r="CT271">
        <v>0</v>
      </c>
      <c r="CU271">
        <v>0</v>
      </c>
      <c r="CV271">
        <v>0</v>
      </c>
      <c r="CW271">
        <v>0</v>
      </c>
      <c r="CX271">
        <v>0</v>
      </c>
      <c r="CY271">
        <v>0</v>
      </c>
      <c r="CZ271">
        <v>0</v>
      </c>
      <c r="DA271">
        <v>0</v>
      </c>
      <c r="DB271">
        <v>0</v>
      </c>
      <c r="DC271">
        <v>0</v>
      </c>
      <c r="DD271">
        <v>0</v>
      </c>
      <c r="DE271">
        <v>0</v>
      </c>
      <c r="DF271">
        <v>0</v>
      </c>
      <c r="DG271">
        <v>0</v>
      </c>
      <c r="DH271">
        <v>0</v>
      </c>
      <c r="DI271">
        <v>0</v>
      </c>
      <c r="DJ271">
        <v>0</v>
      </c>
      <c r="DK271">
        <v>0</v>
      </c>
      <c r="DL271">
        <v>0</v>
      </c>
      <c r="DM271">
        <v>0</v>
      </c>
      <c r="DN271">
        <v>0</v>
      </c>
      <c r="DO271">
        <v>0</v>
      </c>
      <c r="DP271">
        <v>0</v>
      </c>
      <c r="DQ271">
        <v>0</v>
      </c>
      <c r="DR271">
        <v>0</v>
      </c>
      <c r="DS271">
        <v>0</v>
      </c>
      <c r="DT271">
        <v>0</v>
      </c>
      <c r="DU271">
        <v>0</v>
      </c>
      <c r="DV271">
        <v>0</v>
      </c>
      <c r="DW271">
        <v>0</v>
      </c>
      <c r="DX271">
        <v>0</v>
      </c>
      <c r="DY271">
        <v>0</v>
      </c>
      <c r="DZ271">
        <v>0</v>
      </c>
      <c r="EA271">
        <v>0</v>
      </c>
      <c r="EB271">
        <v>0</v>
      </c>
      <c r="EC271">
        <v>0</v>
      </c>
      <c r="ED271">
        <v>0</v>
      </c>
      <c r="EE271">
        <v>0</v>
      </c>
      <c r="EF271">
        <v>0</v>
      </c>
      <c r="EG271">
        <v>0</v>
      </c>
      <c r="EH271">
        <v>0</v>
      </c>
      <c r="EI271">
        <v>0</v>
      </c>
      <c r="EJ271">
        <v>0</v>
      </c>
      <c r="EK271">
        <v>0</v>
      </c>
      <c r="EL271">
        <v>0</v>
      </c>
      <c r="EM271">
        <v>0</v>
      </c>
      <c r="EN271">
        <v>0</v>
      </c>
      <c r="EO271">
        <v>0</v>
      </c>
      <c r="EP271">
        <v>0</v>
      </c>
      <c r="EQ271">
        <v>0</v>
      </c>
      <c r="ER271">
        <v>0</v>
      </c>
      <c r="ES271">
        <v>0</v>
      </c>
      <c r="ET271">
        <v>0</v>
      </c>
      <c r="EU271">
        <v>0</v>
      </c>
      <c r="EV271">
        <v>0</v>
      </c>
      <c r="EW271">
        <v>0</v>
      </c>
      <c r="EX271">
        <v>0</v>
      </c>
      <c r="EY271">
        <v>0</v>
      </c>
      <c r="EZ271">
        <v>0</v>
      </c>
      <c r="FA271">
        <v>0</v>
      </c>
      <c r="FB271">
        <v>0</v>
      </c>
      <c r="FC271">
        <v>0</v>
      </c>
      <c r="FD271">
        <v>0</v>
      </c>
      <c r="FE271">
        <v>0</v>
      </c>
      <c r="FF271">
        <v>0</v>
      </c>
      <c r="FG271">
        <v>0</v>
      </c>
      <c r="FH271">
        <v>0</v>
      </c>
      <c r="FI271">
        <v>0</v>
      </c>
      <c r="FJ271">
        <v>0</v>
      </c>
      <c r="FK271">
        <v>0</v>
      </c>
      <c r="FL271">
        <v>0</v>
      </c>
      <c r="FM271">
        <v>0</v>
      </c>
      <c r="FN271">
        <v>0</v>
      </c>
      <c r="FO271">
        <v>0</v>
      </c>
      <c r="FP271">
        <v>0</v>
      </c>
      <c r="FQ271">
        <v>0</v>
      </c>
      <c r="FR271">
        <v>0</v>
      </c>
      <c r="FS271">
        <v>0</v>
      </c>
      <c r="FT271">
        <v>0</v>
      </c>
      <c r="FU271">
        <v>0</v>
      </c>
      <c r="FV271">
        <v>0</v>
      </c>
      <c r="FW271">
        <v>0</v>
      </c>
      <c r="FX271">
        <v>0</v>
      </c>
      <c r="FY271">
        <v>0</v>
      </c>
      <c r="FZ271">
        <v>0</v>
      </c>
      <c r="GA271">
        <v>0</v>
      </c>
      <c r="GB271">
        <v>0</v>
      </c>
      <c r="GC271">
        <v>0</v>
      </c>
      <c r="GD271">
        <v>0</v>
      </c>
      <c r="GE271">
        <v>0</v>
      </c>
      <c r="GF271">
        <v>0</v>
      </c>
      <c r="GG271">
        <v>0</v>
      </c>
      <c r="GH271">
        <v>0</v>
      </c>
      <c r="GI271">
        <v>0</v>
      </c>
      <c r="GJ271">
        <v>0</v>
      </c>
      <c r="GK271">
        <v>0</v>
      </c>
      <c r="GL271">
        <v>0</v>
      </c>
      <c r="GM271">
        <v>0</v>
      </c>
      <c r="GN271">
        <v>0</v>
      </c>
      <c r="GO271">
        <v>0</v>
      </c>
      <c r="GP271">
        <v>0</v>
      </c>
      <c r="GQ271">
        <v>0</v>
      </c>
      <c r="GR271">
        <v>0</v>
      </c>
      <c r="GS271">
        <v>0</v>
      </c>
      <c r="GT271">
        <v>0</v>
      </c>
      <c r="GU271">
        <v>0</v>
      </c>
      <c r="GV271">
        <v>0</v>
      </c>
      <c r="GW271">
        <v>227302</v>
      </c>
      <c r="GX271">
        <v>0</v>
      </c>
      <c r="GY271">
        <v>0</v>
      </c>
      <c r="GZ271">
        <v>0</v>
      </c>
      <c r="HA271">
        <v>0</v>
      </c>
      <c r="HB271">
        <v>0</v>
      </c>
      <c r="HC271">
        <v>0</v>
      </c>
      <c r="HD271">
        <v>0</v>
      </c>
      <c r="HE271">
        <v>0</v>
      </c>
      <c r="HF271">
        <v>0</v>
      </c>
      <c r="HG271">
        <v>0</v>
      </c>
      <c r="HH271">
        <v>0</v>
      </c>
      <c r="HI271">
        <v>0</v>
      </c>
      <c r="HJ271">
        <v>0</v>
      </c>
      <c r="HK271">
        <v>0</v>
      </c>
      <c r="HL271">
        <v>0</v>
      </c>
      <c r="HM271">
        <v>0</v>
      </c>
      <c r="HN271">
        <v>0</v>
      </c>
      <c r="HO271">
        <v>0</v>
      </c>
      <c r="HP271">
        <v>0</v>
      </c>
      <c r="HQ271">
        <v>0</v>
      </c>
      <c r="HR271">
        <v>0</v>
      </c>
      <c r="HS271">
        <v>0</v>
      </c>
      <c r="HT271">
        <v>0</v>
      </c>
      <c r="HU271">
        <v>0</v>
      </c>
      <c r="HV271">
        <v>0</v>
      </c>
      <c r="HW271">
        <v>0</v>
      </c>
      <c r="HX271">
        <v>0</v>
      </c>
      <c r="HY271">
        <v>0</v>
      </c>
      <c r="HZ271">
        <v>0</v>
      </c>
      <c r="IA271">
        <v>0</v>
      </c>
      <c r="IB271">
        <v>0</v>
      </c>
      <c r="IC271">
        <v>0</v>
      </c>
      <c r="ID271">
        <v>0</v>
      </c>
      <c r="IE271">
        <v>0</v>
      </c>
      <c r="IF271">
        <v>0</v>
      </c>
      <c r="IG271">
        <v>0</v>
      </c>
      <c r="IH271">
        <v>0</v>
      </c>
      <c r="II271">
        <v>0</v>
      </c>
      <c r="IJ271">
        <v>0</v>
      </c>
      <c r="IK271">
        <v>0</v>
      </c>
      <c r="IL271">
        <v>227302</v>
      </c>
      <c r="IM271">
        <v>0</v>
      </c>
      <c r="IN271">
        <v>0</v>
      </c>
      <c r="IO271">
        <v>0</v>
      </c>
      <c r="IP271">
        <v>227302</v>
      </c>
      <c r="IQ271">
        <v>0</v>
      </c>
      <c r="IR271">
        <v>0</v>
      </c>
      <c r="IS271">
        <v>0</v>
      </c>
      <c r="IT271">
        <v>0</v>
      </c>
      <c r="IU271">
        <v>0</v>
      </c>
      <c r="IV271">
        <v>0</v>
      </c>
      <c r="IW271">
        <v>0</v>
      </c>
      <c r="IX271">
        <v>0</v>
      </c>
      <c r="IY271">
        <v>0</v>
      </c>
      <c r="IZ271">
        <v>0</v>
      </c>
      <c r="JA271">
        <v>0</v>
      </c>
      <c r="JB271">
        <v>0</v>
      </c>
      <c r="JC271">
        <v>0</v>
      </c>
      <c r="JD271">
        <v>0</v>
      </c>
      <c r="JE271">
        <v>0</v>
      </c>
      <c r="JF271">
        <v>0</v>
      </c>
      <c r="JG271">
        <v>227302</v>
      </c>
      <c r="JH271">
        <v>0</v>
      </c>
      <c r="JI271">
        <v>0</v>
      </c>
      <c r="JJ271">
        <v>0</v>
      </c>
      <c r="JK271">
        <v>0</v>
      </c>
      <c r="JL271">
        <v>0</v>
      </c>
      <c r="JM271">
        <v>0</v>
      </c>
      <c r="JN271">
        <v>3329</v>
      </c>
      <c r="JO271">
        <v>0</v>
      </c>
      <c r="JP271">
        <v>1474</v>
      </c>
      <c r="JQ271">
        <v>0</v>
      </c>
      <c r="JR271">
        <v>232105</v>
      </c>
      <c r="JS271">
        <v>0</v>
      </c>
      <c r="JT271">
        <v>0</v>
      </c>
      <c r="JU271">
        <v>0</v>
      </c>
      <c r="JV271">
        <v>0</v>
      </c>
      <c r="JW271">
        <v>0</v>
      </c>
      <c r="JX271">
        <v>0</v>
      </c>
      <c r="JY271">
        <v>0</v>
      </c>
      <c r="JZ271">
        <v>0</v>
      </c>
      <c r="KA271">
        <v>0</v>
      </c>
      <c r="KB271">
        <v>0</v>
      </c>
      <c r="KC271">
        <v>232105</v>
      </c>
      <c r="KD271">
        <v>0</v>
      </c>
      <c r="KE271">
        <v>-3710</v>
      </c>
      <c r="KF271">
        <v>228395</v>
      </c>
      <c r="KG271">
        <v>0</v>
      </c>
      <c r="KH271">
        <v>0</v>
      </c>
      <c r="KI271">
        <v>0</v>
      </c>
      <c r="KJ271">
        <v>0</v>
      </c>
      <c r="KK271">
        <v>6352</v>
      </c>
      <c r="KL271">
        <v>0</v>
      </c>
      <c r="KM271">
        <v>0</v>
      </c>
      <c r="KN271">
        <v>-154723</v>
      </c>
      <c r="KO271">
        <v>0</v>
      </c>
      <c r="KP271">
        <v>0</v>
      </c>
      <c r="KQ271">
        <v>0</v>
      </c>
      <c r="KR271">
        <v>78476</v>
      </c>
      <c r="KS271">
        <v>0</v>
      </c>
      <c r="KT271">
        <v>0</v>
      </c>
      <c r="KU271">
        <v>0</v>
      </c>
      <c r="KV271">
        <v>18308</v>
      </c>
      <c r="KW271">
        <v>7000</v>
      </c>
      <c r="KX271">
        <v>0</v>
      </c>
      <c r="KY271">
        <v>0</v>
      </c>
      <c r="KZ271">
        <v>0</v>
      </c>
      <c r="LA271">
        <v>24660</v>
      </c>
      <c r="LB271">
        <v>7000</v>
      </c>
      <c r="LC271">
        <v>0</v>
      </c>
      <c r="LD271">
        <v>0</v>
      </c>
      <c r="LE271">
        <v>0</v>
      </c>
      <c r="LF271">
        <v>0</v>
      </c>
      <c r="LG271">
        <v>0</v>
      </c>
      <c r="LH271">
        <v>0</v>
      </c>
      <c r="LI271">
        <v>0</v>
      </c>
      <c r="LJ271">
        <v>0</v>
      </c>
      <c r="LK271">
        <v>0</v>
      </c>
      <c r="LL271">
        <v>0</v>
      </c>
      <c r="LM271">
        <v>0</v>
      </c>
      <c r="LN271">
        <v>0</v>
      </c>
      <c r="LO271">
        <v>0</v>
      </c>
      <c r="LP271">
        <v>0</v>
      </c>
      <c r="LQ271">
        <v>0</v>
      </c>
      <c r="LR271">
        <v>0</v>
      </c>
      <c r="LS271">
        <v>0</v>
      </c>
      <c r="LT271">
        <v>0</v>
      </c>
      <c r="LU271">
        <v>0</v>
      </c>
      <c r="LV271">
        <v>0</v>
      </c>
      <c r="LW271">
        <v>0</v>
      </c>
      <c r="LX271">
        <v>0</v>
      </c>
      <c r="LY271">
        <v>0</v>
      </c>
      <c r="LZ271">
        <v>0</v>
      </c>
      <c r="MA271">
        <v>0</v>
      </c>
      <c r="MB271">
        <v>0</v>
      </c>
      <c r="MC271">
        <v>0</v>
      </c>
      <c r="MD271">
        <v>227302</v>
      </c>
      <c r="ME271">
        <v>0</v>
      </c>
      <c r="MF271">
        <v>0</v>
      </c>
      <c r="MG271">
        <v>0</v>
      </c>
      <c r="MH271">
        <v>227302</v>
      </c>
      <c r="MI271">
        <v>0</v>
      </c>
      <c r="MJ271">
        <v>0</v>
      </c>
      <c r="MK271">
        <v>0</v>
      </c>
      <c r="ML271">
        <v>0</v>
      </c>
      <c r="MM271">
        <v>0</v>
      </c>
      <c r="MN271">
        <v>0</v>
      </c>
      <c r="MO271">
        <v>0</v>
      </c>
      <c r="MP271">
        <v>0</v>
      </c>
      <c r="MQ271">
        <v>0</v>
      </c>
      <c r="MR271">
        <v>0</v>
      </c>
      <c r="MS271">
        <v>0</v>
      </c>
      <c r="MT271">
        <v>0</v>
      </c>
      <c r="MU271">
        <v>0</v>
      </c>
      <c r="MV271">
        <v>0</v>
      </c>
      <c r="MW271">
        <v>0</v>
      </c>
      <c r="MX271">
        <v>0</v>
      </c>
      <c r="MY271">
        <v>0</v>
      </c>
      <c r="MZ271">
        <v>0</v>
      </c>
      <c r="NA271">
        <v>0</v>
      </c>
      <c r="NB271">
        <v>0</v>
      </c>
      <c r="NC271">
        <v>0</v>
      </c>
      <c r="ND271">
        <v>0</v>
      </c>
      <c r="NE271">
        <v>0</v>
      </c>
      <c r="NF271">
        <v>0</v>
      </c>
      <c r="NG271">
        <v>0</v>
      </c>
      <c r="NH271">
        <v>0</v>
      </c>
      <c r="NI271">
        <v>0</v>
      </c>
      <c r="NJ271">
        <v>0</v>
      </c>
      <c r="NK271">
        <v>0</v>
      </c>
      <c r="NL271">
        <v>0</v>
      </c>
      <c r="NM271">
        <v>0</v>
      </c>
      <c r="NN271">
        <v>0</v>
      </c>
      <c r="NO271">
        <v>0</v>
      </c>
      <c r="NP271">
        <v>0</v>
      </c>
      <c r="NQ271">
        <v>0</v>
      </c>
      <c r="NR271">
        <v>0</v>
      </c>
      <c r="NS271">
        <v>0</v>
      </c>
      <c r="NT271">
        <v>0</v>
      </c>
      <c r="NU271">
        <v>0</v>
      </c>
      <c r="NV271">
        <v>0</v>
      </c>
      <c r="NW271">
        <v>0</v>
      </c>
      <c r="NX271">
        <v>0</v>
      </c>
      <c r="NY271">
        <v>0</v>
      </c>
      <c r="NZ271">
        <v>0</v>
      </c>
      <c r="OA271">
        <v>0</v>
      </c>
      <c r="OB271">
        <v>0</v>
      </c>
      <c r="OC271">
        <v>0</v>
      </c>
      <c r="OD271">
        <v>0</v>
      </c>
      <c r="OE271">
        <v>0</v>
      </c>
      <c r="OF271">
        <v>0</v>
      </c>
      <c r="OG271">
        <v>0</v>
      </c>
      <c r="OH271">
        <v>0</v>
      </c>
      <c r="OI271">
        <v>0</v>
      </c>
      <c r="OJ271">
        <v>0</v>
      </c>
      <c r="OK271">
        <v>0</v>
      </c>
      <c r="OL271">
        <v>0</v>
      </c>
      <c r="OM271">
        <v>0</v>
      </c>
      <c r="ON271">
        <v>0</v>
      </c>
    </row>
    <row r="272" spans="1:404" x14ac:dyDescent="0.25">
      <c r="A272" t="s">
        <v>886</v>
      </c>
      <c r="B272" t="s">
        <v>887</v>
      </c>
      <c r="C272" t="s">
        <v>885</v>
      </c>
      <c r="E272" t="s">
        <v>61</v>
      </c>
      <c r="F272">
        <v>0</v>
      </c>
      <c r="G272">
        <v>0</v>
      </c>
      <c r="H272">
        <v>0</v>
      </c>
      <c r="I272">
        <v>0</v>
      </c>
      <c r="J272">
        <v>0</v>
      </c>
      <c r="K272">
        <v>0</v>
      </c>
      <c r="L272">
        <v>0</v>
      </c>
      <c r="M272">
        <v>0</v>
      </c>
      <c r="N272">
        <v>0</v>
      </c>
      <c r="O272">
        <v>0</v>
      </c>
      <c r="P272">
        <v>0</v>
      </c>
      <c r="Q272">
        <v>0</v>
      </c>
      <c r="R272">
        <v>0</v>
      </c>
      <c r="S272">
        <v>0</v>
      </c>
      <c r="T272">
        <v>0</v>
      </c>
      <c r="U272">
        <v>0</v>
      </c>
      <c r="V272">
        <v>0</v>
      </c>
      <c r="W272">
        <v>0</v>
      </c>
      <c r="X272">
        <v>0</v>
      </c>
      <c r="Y272">
        <v>0</v>
      </c>
      <c r="Z272">
        <v>0</v>
      </c>
      <c r="AA272">
        <v>269</v>
      </c>
      <c r="AB272">
        <v>0</v>
      </c>
      <c r="AC272">
        <v>0</v>
      </c>
      <c r="AD272">
        <v>0</v>
      </c>
      <c r="AE272">
        <v>0</v>
      </c>
      <c r="AF272">
        <v>0</v>
      </c>
      <c r="AG272">
        <v>49</v>
      </c>
      <c r="AH272">
        <v>0</v>
      </c>
      <c r="AI272">
        <v>318</v>
      </c>
      <c r="AJ272">
        <v>0</v>
      </c>
      <c r="AK272">
        <v>0</v>
      </c>
      <c r="AL272">
        <v>0</v>
      </c>
      <c r="AM272">
        <v>0</v>
      </c>
      <c r="AN272">
        <v>0</v>
      </c>
      <c r="AO272">
        <v>0</v>
      </c>
      <c r="AP272">
        <v>0</v>
      </c>
      <c r="AQ272">
        <v>0</v>
      </c>
      <c r="AR272">
        <v>0</v>
      </c>
      <c r="AS272">
        <v>0</v>
      </c>
      <c r="AT272">
        <v>0</v>
      </c>
      <c r="AU272">
        <v>0</v>
      </c>
      <c r="AV272">
        <v>0</v>
      </c>
      <c r="AW272">
        <v>0</v>
      </c>
      <c r="AX272">
        <v>0</v>
      </c>
      <c r="AY272">
        <v>0</v>
      </c>
      <c r="AZ272">
        <v>0</v>
      </c>
      <c r="BA272">
        <v>0</v>
      </c>
      <c r="BB272">
        <v>0</v>
      </c>
      <c r="BC272">
        <v>0</v>
      </c>
      <c r="BD272">
        <v>0</v>
      </c>
      <c r="BE272">
        <v>0</v>
      </c>
      <c r="BF272">
        <v>0</v>
      </c>
      <c r="BG272">
        <v>0</v>
      </c>
      <c r="BH272">
        <v>0</v>
      </c>
      <c r="BI272">
        <v>0</v>
      </c>
      <c r="BJ272">
        <v>0</v>
      </c>
      <c r="BK272">
        <v>0</v>
      </c>
      <c r="BL272">
        <v>0</v>
      </c>
      <c r="BM272">
        <v>0</v>
      </c>
      <c r="BN272">
        <v>0</v>
      </c>
      <c r="BO272">
        <v>0</v>
      </c>
      <c r="BP272">
        <v>0</v>
      </c>
      <c r="BQ272">
        <v>0</v>
      </c>
      <c r="BR272">
        <v>0</v>
      </c>
      <c r="BS272">
        <v>0</v>
      </c>
      <c r="BT272">
        <v>0</v>
      </c>
      <c r="BU272">
        <v>0</v>
      </c>
      <c r="BV272">
        <v>0</v>
      </c>
      <c r="BW272">
        <v>0</v>
      </c>
      <c r="BX272">
        <v>0</v>
      </c>
      <c r="BY272">
        <v>0</v>
      </c>
      <c r="BZ272">
        <v>0</v>
      </c>
      <c r="CA272">
        <v>0</v>
      </c>
      <c r="CB272">
        <v>0</v>
      </c>
      <c r="CC272">
        <v>0</v>
      </c>
      <c r="CD272">
        <v>0</v>
      </c>
      <c r="CE272">
        <v>0</v>
      </c>
      <c r="CF272">
        <v>0</v>
      </c>
      <c r="CG272">
        <v>0</v>
      </c>
      <c r="CH272">
        <v>0</v>
      </c>
      <c r="CI272">
        <v>0</v>
      </c>
      <c r="CJ272">
        <v>0</v>
      </c>
      <c r="CK272">
        <v>0</v>
      </c>
      <c r="CL272">
        <v>0</v>
      </c>
      <c r="CM272">
        <v>0</v>
      </c>
      <c r="CN272">
        <v>0</v>
      </c>
      <c r="CO272">
        <v>0</v>
      </c>
      <c r="CP272">
        <v>0</v>
      </c>
      <c r="CQ272">
        <v>0</v>
      </c>
      <c r="CR272">
        <v>0</v>
      </c>
      <c r="CS272">
        <v>0</v>
      </c>
      <c r="CT272">
        <v>0</v>
      </c>
      <c r="CU272">
        <v>0</v>
      </c>
      <c r="CV272">
        <v>0</v>
      </c>
      <c r="CW272">
        <v>0</v>
      </c>
      <c r="CX272">
        <v>0</v>
      </c>
      <c r="CY272">
        <v>0</v>
      </c>
      <c r="CZ272">
        <v>0</v>
      </c>
      <c r="DA272">
        <v>0</v>
      </c>
      <c r="DB272">
        <v>0</v>
      </c>
      <c r="DC272">
        <v>54</v>
      </c>
      <c r="DD272">
        <v>0</v>
      </c>
      <c r="DE272">
        <v>0</v>
      </c>
      <c r="DF272">
        <v>0</v>
      </c>
      <c r="DG272">
        <v>0</v>
      </c>
      <c r="DH272">
        <v>0</v>
      </c>
      <c r="DI272">
        <v>-55</v>
      </c>
      <c r="DJ272">
        <v>112</v>
      </c>
      <c r="DK272">
        <v>0</v>
      </c>
      <c r="DL272">
        <v>0</v>
      </c>
      <c r="DM272">
        <v>0</v>
      </c>
      <c r="DN272">
        <v>768</v>
      </c>
      <c r="DO272">
        <v>200</v>
      </c>
      <c r="DP272">
        <v>1025</v>
      </c>
      <c r="DQ272">
        <v>0</v>
      </c>
      <c r="DR272">
        <v>0</v>
      </c>
      <c r="DS272">
        <v>0</v>
      </c>
      <c r="DT272">
        <v>831</v>
      </c>
      <c r="DU272">
        <v>-131</v>
      </c>
      <c r="DV272">
        <v>344</v>
      </c>
      <c r="DW272">
        <v>0</v>
      </c>
      <c r="DX272">
        <v>2123</v>
      </c>
      <c r="DY272">
        <v>23437</v>
      </c>
      <c r="DZ272">
        <v>534</v>
      </c>
      <c r="EA272">
        <v>2024</v>
      </c>
      <c r="EB272">
        <v>6</v>
      </c>
      <c r="EC272">
        <v>5</v>
      </c>
      <c r="ED272">
        <v>0</v>
      </c>
      <c r="EE272">
        <v>0</v>
      </c>
      <c r="EF272">
        <v>0</v>
      </c>
      <c r="EG272">
        <v>0</v>
      </c>
      <c r="EH272">
        <v>4954</v>
      </c>
      <c r="EI272">
        <v>4994</v>
      </c>
      <c r="EJ272">
        <v>3288</v>
      </c>
      <c r="EK272">
        <v>0</v>
      </c>
      <c r="EL272">
        <v>1913</v>
      </c>
      <c r="EM272">
        <v>0</v>
      </c>
      <c r="EN272">
        <v>1636</v>
      </c>
      <c r="EO272">
        <v>136</v>
      </c>
      <c r="EP272">
        <v>147</v>
      </c>
      <c r="EQ272">
        <v>8309</v>
      </c>
      <c r="ER272">
        <v>-599</v>
      </c>
      <c r="ES272">
        <v>10535</v>
      </c>
      <c r="ET272">
        <v>11763</v>
      </c>
      <c r="EU272">
        <v>0</v>
      </c>
      <c r="EV272">
        <v>21</v>
      </c>
      <c r="EW272">
        <v>0</v>
      </c>
      <c r="EX272">
        <v>412</v>
      </c>
      <c r="EY272">
        <v>277</v>
      </c>
      <c r="EZ272">
        <v>172</v>
      </c>
      <c r="FA272">
        <v>0</v>
      </c>
      <c r="FB272">
        <v>184</v>
      </c>
      <c r="FC272">
        <v>420</v>
      </c>
      <c r="FD272">
        <v>1777</v>
      </c>
      <c r="FE272">
        <v>0</v>
      </c>
      <c r="FF272">
        <v>136</v>
      </c>
      <c r="FG272">
        <v>0</v>
      </c>
      <c r="FH272">
        <v>3399</v>
      </c>
      <c r="FI272">
        <v>-129</v>
      </c>
      <c r="FJ272">
        <v>0</v>
      </c>
      <c r="FK272">
        <v>0</v>
      </c>
      <c r="FL272">
        <v>310</v>
      </c>
      <c r="FM272">
        <v>310</v>
      </c>
      <c r="FN272">
        <v>332</v>
      </c>
      <c r="FO272">
        <v>0</v>
      </c>
      <c r="FP272">
        <v>0</v>
      </c>
      <c r="FQ272">
        <v>0</v>
      </c>
      <c r="FR272">
        <v>23</v>
      </c>
      <c r="FS272">
        <v>196</v>
      </c>
      <c r="FT272">
        <v>76</v>
      </c>
      <c r="FU272">
        <v>36</v>
      </c>
      <c r="FV272">
        <v>139</v>
      </c>
      <c r="FW272">
        <v>10</v>
      </c>
      <c r="FX272">
        <v>149</v>
      </c>
      <c r="FY272">
        <v>0</v>
      </c>
      <c r="FZ272">
        <v>0</v>
      </c>
      <c r="GA272">
        <v>0</v>
      </c>
      <c r="GB272">
        <v>0</v>
      </c>
      <c r="GC272">
        <v>0</v>
      </c>
      <c r="GD272">
        <v>1343</v>
      </c>
      <c r="GE272">
        <v>1959</v>
      </c>
      <c r="GF272">
        <v>0</v>
      </c>
      <c r="GG272">
        <v>-23</v>
      </c>
      <c r="GH272">
        <v>994</v>
      </c>
      <c r="GI272">
        <v>45</v>
      </c>
      <c r="GJ272">
        <v>0</v>
      </c>
      <c r="GK272">
        <v>5770</v>
      </c>
      <c r="GL272">
        <v>51</v>
      </c>
      <c r="GM272">
        <v>23</v>
      </c>
      <c r="GN272">
        <v>0</v>
      </c>
      <c r="GO272">
        <v>350</v>
      </c>
      <c r="GP272">
        <v>63</v>
      </c>
      <c r="GQ272">
        <v>878</v>
      </c>
      <c r="GR272">
        <v>0</v>
      </c>
      <c r="GS272">
        <v>0</v>
      </c>
      <c r="GT272">
        <v>54</v>
      </c>
      <c r="GU272">
        <v>1419</v>
      </c>
      <c r="GV272">
        <v>10588</v>
      </c>
      <c r="GW272">
        <v>0</v>
      </c>
      <c r="GX272">
        <v>0</v>
      </c>
      <c r="GY272">
        <v>0</v>
      </c>
      <c r="GZ272">
        <v>0</v>
      </c>
      <c r="HA272">
        <v>0</v>
      </c>
      <c r="HB272">
        <v>2787</v>
      </c>
      <c r="HC272">
        <v>483</v>
      </c>
      <c r="HD272">
        <v>0</v>
      </c>
      <c r="HE272">
        <v>0</v>
      </c>
      <c r="HF272">
        <v>436</v>
      </c>
      <c r="HG272">
        <v>71</v>
      </c>
      <c r="HH272">
        <v>0</v>
      </c>
      <c r="HI272">
        <v>0</v>
      </c>
      <c r="HJ272">
        <v>175</v>
      </c>
      <c r="HK272">
        <v>240</v>
      </c>
      <c r="HL272">
        <v>160</v>
      </c>
      <c r="HM272">
        <v>-21</v>
      </c>
      <c r="HN272">
        <v>0</v>
      </c>
      <c r="HO272">
        <v>164</v>
      </c>
      <c r="HP272">
        <v>0</v>
      </c>
      <c r="HQ272">
        <v>0</v>
      </c>
      <c r="HR272">
        <v>271</v>
      </c>
      <c r="HS272">
        <v>0</v>
      </c>
      <c r="HT272">
        <v>0</v>
      </c>
      <c r="HU272">
        <v>0</v>
      </c>
      <c r="HV272">
        <v>4766</v>
      </c>
      <c r="HW272">
        <v>930</v>
      </c>
      <c r="HX272">
        <v>3992</v>
      </c>
      <c r="HY272">
        <v>0</v>
      </c>
      <c r="HZ272">
        <v>119</v>
      </c>
      <c r="IA272">
        <v>52</v>
      </c>
      <c r="IB272">
        <v>0</v>
      </c>
      <c r="IC272">
        <v>0</v>
      </c>
      <c r="ID272">
        <v>318</v>
      </c>
      <c r="IE272">
        <v>0</v>
      </c>
      <c r="IF272">
        <v>0</v>
      </c>
      <c r="IG272">
        <v>0</v>
      </c>
      <c r="IH272">
        <v>2123</v>
      </c>
      <c r="II272">
        <v>3399</v>
      </c>
      <c r="IJ272">
        <v>5770</v>
      </c>
      <c r="IK272">
        <v>1419</v>
      </c>
      <c r="IL272">
        <v>0</v>
      </c>
      <c r="IM272">
        <v>0</v>
      </c>
      <c r="IN272">
        <v>4766</v>
      </c>
      <c r="IO272">
        <v>0</v>
      </c>
      <c r="IP272">
        <v>17795</v>
      </c>
      <c r="IQ272">
        <v>14475</v>
      </c>
      <c r="IR272">
        <v>602</v>
      </c>
      <c r="IS272">
        <v>10124</v>
      </c>
      <c r="IT272">
        <v>0</v>
      </c>
      <c r="IU272">
        <v>82</v>
      </c>
      <c r="IV272">
        <v>0</v>
      </c>
      <c r="IW272">
        <v>0</v>
      </c>
      <c r="IX272">
        <v>0</v>
      </c>
      <c r="IY272">
        <v>0</v>
      </c>
      <c r="IZ272">
        <v>0</v>
      </c>
      <c r="JA272">
        <v>2518</v>
      </c>
      <c r="JB272">
        <v>0</v>
      </c>
      <c r="JC272">
        <v>-3584</v>
      </c>
      <c r="JD272">
        <v>0</v>
      </c>
      <c r="JE272">
        <v>153</v>
      </c>
      <c r="JF272">
        <v>-381</v>
      </c>
      <c r="JG272">
        <v>41784</v>
      </c>
      <c r="JH272">
        <v>0</v>
      </c>
      <c r="JI272">
        <v>1978</v>
      </c>
      <c r="JJ272">
        <v>0</v>
      </c>
      <c r="JK272">
        <v>0</v>
      </c>
      <c r="JL272">
        <v>0</v>
      </c>
      <c r="JM272">
        <v>-85</v>
      </c>
      <c r="JN272">
        <v>478</v>
      </c>
      <c r="JO272">
        <v>0</v>
      </c>
      <c r="JP272">
        <v>2225</v>
      </c>
      <c r="JQ272">
        <v>-1803</v>
      </c>
      <c r="JR272">
        <v>44577</v>
      </c>
      <c r="JS272">
        <v>-655</v>
      </c>
      <c r="JT272">
        <v>0</v>
      </c>
      <c r="JU272">
        <v>327</v>
      </c>
      <c r="JV272">
        <v>0</v>
      </c>
      <c r="JW272">
        <v>-23953</v>
      </c>
      <c r="JX272">
        <v>0</v>
      </c>
      <c r="JY272">
        <v>0</v>
      </c>
      <c r="JZ272">
        <v>0</v>
      </c>
      <c r="KA272">
        <v>0</v>
      </c>
      <c r="KB272">
        <v>0</v>
      </c>
      <c r="KC272">
        <v>20296</v>
      </c>
      <c r="KD272">
        <v>0</v>
      </c>
      <c r="KE272">
        <v>-4647</v>
      </c>
      <c r="KF272">
        <v>15649</v>
      </c>
      <c r="KG272">
        <v>0</v>
      </c>
      <c r="KH272">
        <v>0</v>
      </c>
      <c r="KI272">
        <v>0</v>
      </c>
      <c r="KJ272">
        <v>0</v>
      </c>
      <c r="KK272">
        <v>393</v>
      </c>
      <c r="KL272">
        <v>0</v>
      </c>
      <c r="KM272">
        <v>0</v>
      </c>
      <c r="KN272">
        <v>0</v>
      </c>
      <c r="KO272">
        <v>-1757</v>
      </c>
      <c r="KP272">
        <v>0</v>
      </c>
      <c r="KQ272">
        <v>0</v>
      </c>
      <c r="KR272">
        <v>9359</v>
      </c>
      <c r="KS272">
        <v>0</v>
      </c>
      <c r="KT272">
        <v>0</v>
      </c>
      <c r="KU272">
        <v>0</v>
      </c>
      <c r="KV272">
        <v>18467</v>
      </c>
      <c r="KW272">
        <v>1355</v>
      </c>
      <c r="KX272">
        <v>0</v>
      </c>
      <c r="KY272">
        <v>0</v>
      </c>
      <c r="KZ272">
        <v>0</v>
      </c>
      <c r="LA272">
        <v>18860</v>
      </c>
      <c r="LB272">
        <v>1355</v>
      </c>
      <c r="LC272">
        <v>0</v>
      </c>
      <c r="LD272">
        <v>2425</v>
      </c>
      <c r="LE272">
        <v>72</v>
      </c>
      <c r="LF272">
        <v>2565</v>
      </c>
      <c r="LG272">
        <v>0</v>
      </c>
      <c r="LH272">
        <v>5715</v>
      </c>
      <c r="LI272">
        <v>10777</v>
      </c>
      <c r="LJ272">
        <v>3835</v>
      </c>
      <c r="LK272">
        <v>5579</v>
      </c>
      <c r="LL272">
        <v>9414</v>
      </c>
      <c r="LM272">
        <v>0</v>
      </c>
      <c r="LN272">
        <v>0</v>
      </c>
      <c r="LO272">
        <v>0</v>
      </c>
      <c r="LP272">
        <v>26006</v>
      </c>
      <c r="LQ272">
        <v>24778</v>
      </c>
      <c r="LR272">
        <v>1228</v>
      </c>
      <c r="LS272">
        <v>10535</v>
      </c>
      <c r="LT272">
        <v>11763</v>
      </c>
      <c r="LU272">
        <v>0</v>
      </c>
      <c r="LV272">
        <v>318</v>
      </c>
      <c r="LW272">
        <v>0</v>
      </c>
      <c r="LX272">
        <v>0</v>
      </c>
      <c r="LY272">
        <v>0</v>
      </c>
      <c r="LZ272">
        <v>2123</v>
      </c>
      <c r="MA272">
        <v>3399</v>
      </c>
      <c r="MB272">
        <v>5770</v>
      </c>
      <c r="MC272">
        <v>1419</v>
      </c>
      <c r="MD272">
        <v>0</v>
      </c>
      <c r="ME272">
        <v>0</v>
      </c>
      <c r="MF272">
        <v>4766</v>
      </c>
      <c r="MG272">
        <v>0</v>
      </c>
      <c r="MH272">
        <v>17795</v>
      </c>
      <c r="MI272">
        <v>0</v>
      </c>
      <c r="MJ272">
        <v>0</v>
      </c>
      <c r="MK272">
        <v>0</v>
      </c>
      <c r="ML272">
        <v>0</v>
      </c>
      <c r="MM272">
        <v>0</v>
      </c>
      <c r="MN272">
        <v>0</v>
      </c>
      <c r="MO272">
        <v>0</v>
      </c>
      <c r="MP272">
        <v>0</v>
      </c>
      <c r="MQ272">
        <v>0</v>
      </c>
      <c r="MR272">
        <v>0</v>
      </c>
      <c r="MS272">
        <v>0</v>
      </c>
      <c r="MT272">
        <v>0</v>
      </c>
      <c r="MU272">
        <v>0</v>
      </c>
      <c r="MV272">
        <v>0</v>
      </c>
      <c r="MW272">
        <v>0</v>
      </c>
      <c r="MX272">
        <v>-117</v>
      </c>
      <c r="MY272">
        <v>-949</v>
      </c>
      <c r="MZ272">
        <v>0</v>
      </c>
      <c r="NA272">
        <v>-1066</v>
      </c>
      <c r="NB272">
        <v>3584</v>
      </c>
      <c r="NC272">
        <v>2518</v>
      </c>
      <c r="ND272">
        <v>0</v>
      </c>
      <c r="NE272">
        <v>0</v>
      </c>
      <c r="NF272">
        <v>0</v>
      </c>
      <c r="NG272">
        <v>0</v>
      </c>
      <c r="NH272">
        <v>0</v>
      </c>
      <c r="NI272">
        <v>0</v>
      </c>
      <c r="NJ272">
        <v>0</v>
      </c>
      <c r="NK272">
        <v>0</v>
      </c>
      <c r="NL272">
        <v>0</v>
      </c>
      <c r="NM272">
        <v>0</v>
      </c>
      <c r="NN272">
        <v>0</v>
      </c>
      <c r="NO272">
        <v>0</v>
      </c>
      <c r="NP272">
        <v>0</v>
      </c>
      <c r="NQ272">
        <v>0</v>
      </c>
      <c r="NR272">
        <v>0</v>
      </c>
      <c r="NS272">
        <v>0</v>
      </c>
      <c r="NT272">
        <v>0</v>
      </c>
      <c r="NU272">
        <v>0</v>
      </c>
      <c r="NV272">
        <v>0</v>
      </c>
      <c r="NW272">
        <v>0</v>
      </c>
      <c r="NX272">
        <v>0</v>
      </c>
      <c r="NY272">
        <v>0</v>
      </c>
      <c r="NZ272">
        <v>0</v>
      </c>
      <c r="OA272">
        <v>0</v>
      </c>
      <c r="OB272">
        <v>0</v>
      </c>
      <c r="OC272">
        <v>0</v>
      </c>
      <c r="OD272">
        <v>0</v>
      </c>
      <c r="OE272">
        <v>3584</v>
      </c>
      <c r="OF272">
        <v>0</v>
      </c>
      <c r="OG272">
        <v>0</v>
      </c>
      <c r="OH272">
        <v>3584</v>
      </c>
      <c r="OI272">
        <v>0</v>
      </c>
      <c r="OJ272">
        <v>0</v>
      </c>
      <c r="OK272">
        <v>0</v>
      </c>
      <c r="OL272">
        <v>0</v>
      </c>
      <c r="OM272">
        <v>0</v>
      </c>
      <c r="ON272">
        <v>0</v>
      </c>
    </row>
    <row r="273" spans="1:404" x14ac:dyDescent="0.25">
      <c r="A273" t="s">
        <v>889</v>
      </c>
      <c r="B273" t="s">
        <v>890</v>
      </c>
      <c r="C273" t="s">
        <v>888</v>
      </c>
      <c r="E273" t="s">
        <v>61</v>
      </c>
      <c r="F273">
        <v>0</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A273">
        <v>-1</v>
      </c>
      <c r="AB273">
        <v>0</v>
      </c>
      <c r="AC273">
        <v>0</v>
      </c>
      <c r="AD273">
        <v>0</v>
      </c>
      <c r="AE273">
        <v>0</v>
      </c>
      <c r="AF273">
        <v>0</v>
      </c>
      <c r="AG273">
        <v>75</v>
      </c>
      <c r="AH273">
        <v>0</v>
      </c>
      <c r="AI273">
        <v>74</v>
      </c>
      <c r="AJ273">
        <v>0</v>
      </c>
      <c r="AK273">
        <v>0</v>
      </c>
      <c r="AL273">
        <v>0</v>
      </c>
      <c r="AM273">
        <v>0</v>
      </c>
      <c r="AN273">
        <v>0</v>
      </c>
      <c r="AO273">
        <v>0</v>
      </c>
      <c r="AP273">
        <v>0</v>
      </c>
      <c r="AQ273">
        <v>0</v>
      </c>
      <c r="AR273">
        <v>0</v>
      </c>
      <c r="AS273">
        <v>0</v>
      </c>
      <c r="AT273">
        <v>0</v>
      </c>
      <c r="AU273">
        <v>0</v>
      </c>
      <c r="AV273">
        <v>0</v>
      </c>
      <c r="AW273">
        <v>0</v>
      </c>
      <c r="AX273">
        <v>0</v>
      </c>
      <c r="AY273">
        <v>0</v>
      </c>
      <c r="AZ273">
        <v>0</v>
      </c>
      <c r="BA273">
        <v>0</v>
      </c>
      <c r="BB273">
        <v>0</v>
      </c>
      <c r="BC273">
        <v>0</v>
      </c>
      <c r="BD273">
        <v>0</v>
      </c>
      <c r="BE273">
        <v>0</v>
      </c>
      <c r="BF273">
        <v>0</v>
      </c>
      <c r="BG273">
        <v>0</v>
      </c>
      <c r="BH273">
        <v>0</v>
      </c>
      <c r="BI273">
        <v>0</v>
      </c>
      <c r="BJ273">
        <v>0</v>
      </c>
      <c r="BK273">
        <v>0</v>
      </c>
      <c r="BL273">
        <v>0</v>
      </c>
      <c r="BM273">
        <v>0</v>
      </c>
      <c r="BN273">
        <v>0</v>
      </c>
      <c r="BO273">
        <v>0</v>
      </c>
      <c r="BP273">
        <v>0</v>
      </c>
      <c r="BQ273">
        <v>0</v>
      </c>
      <c r="BR273">
        <v>0</v>
      </c>
      <c r="BS273">
        <v>0</v>
      </c>
      <c r="BT273">
        <v>0</v>
      </c>
      <c r="BU273">
        <v>0</v>
      </c>
      <c r="BV273">
        <v>0</v>
      </c>
      <c r="BW273">
        <v>0</v>
      </c>
      <c r="BX273">
        <v>0</v>
      </c>
      <c r="BY273">
        <v>0</v>
      </c>
      <c r="BZ273">
        <v>0</v>
      </c>
      <c r="CA273">
        <v>0</v>
      </c>
      <c r="CB273">
        <v>0</v>
      </c>
      <c r="CC273">
        <v>0</v>
      </c>
      <c r="CD273">
        <v>0</v>
      </c>
      <c r="CE273">
        <v>0</v>
      </c>
      <c r="CF273">
        <v>0</v>
      </c>
      <c r="CG273">
        <v>0</v>
      </c>
      <c r="CH273">
        <v>0</v>
      </c>
      <c r="CI273">
        <v>0</v>
      </c>
      <c r="CJ273">
        <v>0</v>
      </c>
      <c r="CK273">
        <v>0</v>
      </c>
      <c r="CL273">
        <v>0</v>
      </c>
      <c r="CM273">
        <v>0</v>
      </c>
      <c r="CN273">
        <v>0</v>
      </c>
      <c r="CO273">
        <v>0</v>
      </c>
      <c r="CP273">
        <v>0</v>
      </c>
      <c r="CQ273">
        <v>0</v>
      </c>
      <c r="CR273">
        <v>0</v>
      </c>
      <c r="CS273">
        <v>0</v>
      </c>
      <c r="CT273">
        <v>0</v>
      </c>
      <c r="CU273">
        <v>0</v>
      </c>
      <c r="CV273">
        <v>2119</v>
      </c>
      <c r="CW273">
        <v>0</v>
      </c>
      <c r="CX273">
        <v>0</v>
      </c>
      <c r="CY273">
        <v>0</v>
      </c>
      <c r="CZ273">
        <v>0</v>
      </c>
      <c r="DA273">
        <v>0</v>
      </c>
      <c r="DB273">
        <v>0</v>
      </c>
      <c r="DC273">
        <v>8</v>
      </c>
      <c r="DD273">
        <v>10</v>
      </c>
      <c r="DE273">
        <v>372</v>
      </c>
      <c r="DF273">
        <v>0</v>
      </c>
      <c r="DG273">
        <v>243</v>
      </c>
      <c r="DH273">
        <v>41</v>
      </c>
      <c r="DI273">
        <v>2</v>
      </c>
      <c r="DJ273">
        <v>23</v>
      </c>
      <c r="DK273">
        <v>0</v>
      </c>
      <c r="DL273">
        <v>0</v>
      </c>
      <c r="DM273">
        <v>0</v>
      </c>
      <c r="DN273">
        <v>-5</v>
      </c>
      <c r="DO273">
        <v>0</v>
      </c>
      <c r="DP273">
        <v>304</v>
      </c>
      <c r="DQ273">
        <v>0</v>
      </c>
      <c r="DR273">
        <v>0</v>
      </c>
      <c r="DS273">
        <v>0</v>
      </c>
      <c r="DT273">
        <v>128</v>
      </c>
      <c r="DU273">
        <v>0</v>
      </c>
      <c r="DV273">
        <v>0</v>
      </c>
      <c r="DW273">
        <v>0</v>
      </c>
      <c r="DX273">
        <v>822</v>
      </c>
      <c r="DY273">
        <v>4925</v>
      </c>
      <c r="DZ273">
        <v>72</v>
      </c>
      <c r="EA273">
        <v>203</v>
      </c>
      <c r="EB273">
        <v>0</v>
      </c>
      <c r="EC273">
        <v>0</v>
      </c>
      <c r="ED273">
        <v>3</v>
      </c>
      <c r="EE273">
        <v>0</v>
      </c>
      <c r="EF273">
        <v>0</v>
      </c>
      <c r="EG273">
        <v>0</v>
      </c>
      <c r="EH273">
        <v>1369</v>
      </c>
      <c r="EI273">
        <v>1714</v>
      </c>
      <c r="EJ273">
        <v>0</v>
      </c>
      <c r="EK273">
        <v>49</v>
      </c>
      <c r="EL273">
        <v>506</v>
      </c>
      <c r="EM273">
        <v>0</v>
      </c>
      <c r="EN273">
        <v>0</v>
      </c>
      <c r="EO273">
        <v>9</v>
      </c>
      <c r="EP273">
        <v>0</v>
      </c>
      <c r="EQ273">
        <v>1693</v>
      </c>
      <c r="ER273">
        <v>35</v>
      </c>
      <c r="ES273">
        <v>1332</v>
      </c>
      <c r="ET273">
        <v>1160</v>
      </c>
      <c r="EU273">
        <v>0</v>
      </c>
      <c r="EV273">
        <v>0</v>
      </c>
      <c r="EW273">
        <v>0</v>
      </c>
      <c r="EX273">
        <v>0</v>
      </c>
      <c r="EY273">
        <v>0</v>
      </c>
      <c r="EZ273">
        <v>-2</v>
      </c>
      <c r="FA273">
        <v>0</v>
      </c>
      <c r="FB273">
        <v>171</v>
      </c>
      <c r="FC273">
        <v>-397</v>
      </c>
      <c r="FD273">
        <v>40</v>
      </c>
      <c r="FE273">
        <v>-9</v>
      </c>
      <c r="FF273">
        <v>0</v>
      </c>
      <c r="FG273">
        <v>0</v>
      </c>
      <c r="FH273">
        <v>-197</v>
      </c>
      <c r="FI273">
        <v>-49</v>
      </c>
      <c r="FJ273">
        <v>74</v>
      </c>
      <c r="FK273">
        <v>0</v>
      </c>
      <c r="FL273">
        <v>73</v>
      </c>
      <c r="FM273">
        <v>-4</v>
      </c>
      <c r="FN273">
        <v>-184</v>
      </c>
      <c r="FO273">
        <v>0</v>
      </c>
      <c r="FP273">
        <v>0</v>
      </c>
      <c r="FQ273">
        <v>0</v>
      </c>
      <c r="FR273">
        <v>0</v>
      </c>
      <c r="FS273">
        <v>9</v>
      </c>
      <c r="FT273">
        <v>0</v>
      </c>
      <c r="FU273">
        <v>-172</v>
      </c>
      <c r="FV273">
        <v>85</v>
      </c>
      <c r="FW273">
        <v>0</v>
      </c>
      <c r="FX273">
        <v>0</v>
      </c>
      <c r="FY273">
        <v>0</v>
      </c>
      <c r="FZ273">
        <v>0</v>
      </c>
      <c r="GA273">
        <v>0</v>
      </c>
      <c r="GB273">
        <v>0</v>
      </c>
      <c r="GC273">
        <v>0</v>
      </c>
      <c r="GD273">
        <v>342</v>
      </c>
      <c r="GE273">
        <v>629</v>
      </c>
      <c r="GF273">
        <v>-2</v>
      </c>
      <c r="GG273">
        <v>0</v>
      </c>
      <c r="GH273">
        <v>209</v>
      </c>
      <c r="GI273">
        <v>-468</v>
      </c>
      <c r="GJ273">
        <v>0</v>
      </c>
      <c r="GK273">
        <v>542</v>
      </c>
      <c r="GL273">
        <v>-41</v>
      </c>
      <c r="GM273">
        <v>147</v>
      </c>
      <c r="GN273">
        <v>0</v>
      </c>
      <c r="GO273">
        <v>198</v>
      </c>
      <c r="GP273">
        <v>0</v>
      </c>
      <c r="GQ273">
        <v>109</v>
      </c>
      <c r="GR273">
        <v>0</v>
      </c>
      <c r="GS273">
        <v>0</v>
      </c>
      <c r="GT273">
        <v>91</v>
      </c>
      <c r="GU273">
        <v>504</v>
      </c>
      <c r="GV273">
        <v>849</v>
      </c>
      <c r="GW273">
        <v>0</v>
      </c>
      <c r="GX273">
        <v>0</v>
      </c>
      <c r="GY273">
        <v>0</v>
      </c>
      <c r="GZ273">
        <v>0</v>
      </c>
      <c r="HA273">
        <v>0</v>
      </c>
      <c r="HB273">
        <v>459</v>
      </c>
      <c r="HC273">
        <v>148</v>
      </c>
      <c r="HD273">
        <v>0</v>
      </c>
      <c r="HE273">
        <v>0</v>
      </c>
      <c r="HF273">
        <v>248</v>
      </c>
      <c r="HG273">
        <v>-46</v>
      </c>
      <c r="HH273">
        <v>0</v>
      </c>
      <c r="HI273">
        <v>0</v>
      </c>
      <c r="HJ273">
        <v>23</v>
      </c>
      <c r="HK273">
        <v>90</v>
      </c>
      <c r="HL273">
        <v>29</v>
      </c>
      <c r="HM273">
        <v>8</v>
      </c>
      <c r="HN273">
        <v>0</v>
      </c>
      <c r="HO273">
        <v>57</v>
      </c>
      <c r="HP273">
        <v>0</v>
      </c>
      <c r="HQ273">
        <v>0</v>
      </c>
      <c r="HR273">
        <v>77</v>
      </c>
      <c r="HS273">
        <v>0</v>
      </c>
      <c r="HT273">
        <v>0</v>
      </c>
      <c r="HU273">
        <v>3645</v>
      </c>
      <c r="HV273">
        <v>4738</v>
      </c>
      <c r="HW273">
        <v>0</v>
      </c>
      <c r="HX273">
        <v>0</v>
      </c>
      <c r="HY273">
        <v>0</v>
      </c>
      <c r="HZ273">
        <v>0</v>
      </c>
      <c r="IA273">
        <v>0</v>
      </c>
      <c r="IB273">
        <v>0</v>
      </c>
      <c r="IC273">
        <v>0</v>
      </c>
      <c r="ID273">
        <v>74</v>
      </c>
      <c r="IE273">
        <v>0</v>
      </c>
      <c r="IF273">
        <v>0</v>
      </c>
      <c r="IG273">
        <v>2119</v>
      </c>
      <c r="IH273">
        <v>822</v>
      </c>
      <c r="II273">
        <v>-197</v>
      </c>
      <c r="IJ273">
        <v>542</v>
      </c>
      <c r="IK273">
        <v>504</v>
      </c>
      <c r="IL273">
        <v>0</v>
      </c>
      <c r="IM273">
        <v>0</v>
      </c>
      <c r="IN273">
        <v>4738</v>
      </c>
      <c r="IO273">
        <v>0</v>
      </c>
      <c r="IP273">
        <v>8602</v>
      </c>
      <c r="IQ273">
        <v>4662</v>
      </c>
      <c r="IR273">
        <v>0</v>
      </c>
      <c r="IS273">
        <v>1927</v>
      </c>
      <c r="IT273">
        <v>0</v>
      </c>
      <c r="IU273">
        <v>0</v>
      </c>
      <c r="IV273">
        <v>0</v>
      </c>
      <c r="IW273">
        <v>0</v>
      </c>
      <c r="IX273">
        <v>0</v>
      </c>
      <c r="IY273">
        <v>0</v>
      </c>
      <c r="IZ273">
        <v>0</v>
      </c>
      <c r="JA273">
        <v>0</v>
      </c>
      <c r="JB273">
        <v>0</v>
      </c>
      <c r="JC273">
        <v>0</v>
      </c>
      <c r="JD273">
        <v>0</v>
      </c>
      <c r="JE273">
        <v>0</v>
      </c>
      <c r="JF273">
        <v>0</v>
      </c>
      <c r="JG273">
        <v>15191</v>
      </c>
      <c r="JH273">
        <v>0</v>
      </c>
      <c r="JI273">
        <v>0</v>
      </c>
      <c r="JJ273">
        <v>0</v>
      </c>
      <c r="JK273">
        <v>0</v>
      </c>
      <c r="JL273">
        <v>0</v>
      </c>
      <c r="JM273">
        <v>0</v>
      </c>
      <c r="JN273">
        <v>833</v>
      </c>
      <c r="JO273">
        <v>0</v>
      </c>
      <c r="JP273">
        <v>671</v>
      </c>
      <c r="JQ273">
        <v>-503</v>
      </c>
      <c r="JR273">
        <v>16192</v>
      </c>
      <c r="JS273">
        <v>-8</v>
      </c>
      <c r="JT273">
        <v>0</v>
      </c>
      <c r="JU273">
        <v>0</v>
      </c>
      <c r="JV273">
        <v>0</v>
      </c>
      <c r="JW273">
        <v>-6769</v>
      </c>
      <c r="JX273">
        <v>0</v>
      </c>
      <c r="JY273">
        <v>0</v>
      </c>
      <c r="JZ273">
        <v>0</v>
      </c>
      <c r="KA273">
        <v>0</v>
      </c>
      <c r="KB273">
        <v>0</v>
      </c>
      <c r="KC273">
        <v>9415</v>
      </c>
      <c r="KD273">
        <v>0</v>
      </c>
      <c r="KE273">
        <v>-1596</v>
      </c>
      <c r="KF273">
        <v>7819</v>
      </c>
      <c r="KG273">
        <v>0</v>
      </c>
      <c r="KH273">
        <v>0</v>
      </c>
      <c r="KI273">
        <v>0</v>
      </c>
      <c r="KJ273">
        <v>0</v>
      </c>
      <c r="KK273">
        <v>-2490</v>
      </c>
      <c r="KL273">
        <v>55</v>
      </c>
      <c r="KM273">
        <v>0</v>
      </c>
      <c r="KN273">
        <v>0</v>
      </c>
      <c r="KO273">
        <v>322</v>
      </c>
      <c r="KP273">
        <v>35</v>
      </c>
      <c r="KQ273">
        <v>0</v>
      </c>
      <c r="KR273">
        <v>4118</v>
      </c>
      <c r="KS273">
        <v>0</v>
      </c>
      <c r="KT273">
        <v>0</v>
      </c>
      <c r="KU273">
        <v>0</v>
      </c>
      <c r="KV273">
        <v>5677</v>
      </c>
      <c r="KW273">
        <v>1127</v>
      </c>
      <c r="KX273">
        <v>0</v>
      </c>
      <c r="KY273">
        <v>0</v>
      </c>
      <c r="KZ273">
        <v>0</v>
      </c>
      <c r="LA273">
        <v>3187</v>
      </c>
      <c r="LB273">
        <v>1182</v>
      </c>
      <c r="LC273">
        <v>0</v>
      </c>
      <c r="LD273">
        <v>1846</v>
      </c>
      <c r="LE273">
        <v>134</v>
      </c>
      <c r="LF273">
        <v>-1163</v>
      </c>
      <c r="LG273">
        <v>0</v>
      </c>
      <c r="LH273">
        <v>4</v>
      </c>
      <c r="LI273">
        <v>797</v>
      </c>
      <c r="LJ273">
        <v>1367</v>
      </c>
      <c r="LK273">
        <v>1280</v>
      </c>
      <c r="LL273">
        <v>2647</v>
      </c>
      <c r="LM273">
        <v>0</v>
      </c>
      <c r="LN273">
        <v>0</v>
      </c>
      <c r="LO273">
        <v>0</v>
      </c>
      <c r="LP273">
        <v>5203</v>
      </c>
      <c r="LQ273">
        <v>5375</v>
      </c>
      <c r="LR273">
        <v>-172</v>
      </c>
      <c r="LS273">
        <v>1332</v>
      </c>
      <c r="LT273">
        <v>1160</v>
      </c>
      <c r="LU273">
        <v>0</v>
      </c>
      <c r="LV273">
        <v>74</v>
      </c>
      <c r="LW273">
        <v>0</v>
      </c>
      <c r="LX273">
        <v>0</v>
      </c>
      <c r="LY273">
        <v>2119</v>
      </c>
      <c r="LZ273">
        <v>822</v>
      </c>
      <c r="MA273">
        <v>-197</v>
      </c>
      <c r="MB273">
        <v>542</v>
      </c>
      <c r="MC273">
        <v>504</v>
      </c>
      <c r="MD273">
        <v>0</v>
      </c>
      <c r="ME273">
        <v>0</v>
      </c>
      <c r="MF273">
        <v>4738</v>
      </c>
      <c r="MG273">
        <v>0</v>
      </c>
      <c r="MH273">
        <v>8602</v>
      </c>
      <c r="MI273">
        <v>0</v>
      </c>
      <c r="MJ273">
        <v>0</v>
      </c>
      <c r="MK273">
        <v>0</v>
      </c>
      <c r="ML273">
        <v>0</v>
      </c>
      <c r="MM273">
        <v>0</v>
      </c>
      <c r="MN273">
        <v>0</v>
      </c>
      <c r="MO273">
        <v>0</v>
      </c>
      <c r="MP273">
        <v>0</v>
      </c>
      <c r="MQ273">
        <v>0</v>
      </c>
      <c r="MR273">
        <v>0</v>
      </c>
      <c r="MS273">
        <v>0</v>
      </c>
      <c r="MT273">
        <v>0</v>
      </c>
      <c r="MU273">
        <v>0</v>
      </c>
      <c r="MV273">
        <v>0</v>
      </c>
      <c r="MW273">
        <v>0</v>
      </c>
      <c r="MX273">
        <v>0</v>
      </c>
      <c r="MY273">
        <v>0</v>
      </c>
      <c r="MZ273">
        <v>0</v>
      </c>
      <c r="NA273">
        <v>0</v>
      </c>
      <c r="NB273">
        <v>0</v>
      </c>
      <c r="NC273">
        <v>0</v>
      </c>
      <c r="ND273">
        <v>0</v>
      </c>
      <c r="NE273">
        <v>0</v>
      </c>
      <c r="NF273">
        <v>0</v>
      </c>
      <c r="NG273">
        <v>0</v>
      </c>
      <c r="NH273">
        <v>0</v>
      </c>
      <c r="NI273">
        <v>0</v>
      </c>
      <c r="NJ273">
        <v>0</v>
      </c>
      <c r="NK273">
        <v>0</v>
      </c>
      <c r="NL273">
        <v>0</v>
      </c>
      <c r="NM273">
        <v>0</v>
      </c>
      <c r="NN273">
        <v>0</v>
      </c>
      <c r="NO273">
        <v>0</v>
      </c>
      <c r="NP273">
        <v>0</v>
      </c>
      <c r="NQ273">
        <v>0</v>
      </c>
      <c r="NR273">
        <v>0</v>
      </c>
      <c r="NS273">
        <v>0</v>
      </c>
      <c r="NT273">
        <v>0</v>
      </c>
      <c r="NU273">
        <v>0</v>
      </c>
      <c r="NV273">
        <v>0</v>
      </c>
      <c r="NW273">
        <v>0</v>
      </c>
      <c r="NX273">
        <v>0</v>
      </c>
      <c r="NY273">
        <v>0</v>
      </c>
      <c r="NZ273">
        <v>0</v>
      </c>
      <c r="OA273">
        <v>0</v>
      </c>
      <c r="OB273">
        <v>0</v>
      </c>
      <c r="OC273">
        <v>0</v>
      </c>
      <c r="OD273">
        <v>0</v>
      </c>
      <c r="OE273">
        <v>0</v>
      </c>
      <c r="OF273">
        <v>0</v>
      </c>
      <c r="OG273">
        <v>0</v>
      </c>
      <c r="OH273">
        <v>0</v>
      </c>
      <c r="OI273">
        <v>0</v>
      </c>
      <c r="OJ273">
        <v>0</v>
      </c>
      <c r="OK273">
        <v>0</v>
      </c>
      <c r="OL273">
        <v>0</v>
      </c>
      <c r="OM273">
        <v>0</v>
      </c>
      <c r="ON273">
        <v>0</v>
      </c>
    </row>
    <row r="274" spans="1:404" x14ac:dyDescent="0.25">
      <c r="A274" t="s">
        <v>892</v>
      </c>
      <c r="B274" t="s">
        <v>893</v>
      </c>
      <c r="C274" t="s">
        <v>891</v>
      </c>
      <c r="E274" t="s">
        <v>97</v>
      </c>
      <c r="F274">
        <v>13935</v>
      </c>
      <c r="G274">
        <v>99091</v>
      </c>
      <c r="H274">
        <v>33422</v>
      </c>
      <c r="I274">
        <v>19446</v>
      </c>
      <c r="J274">
        <v>2858</v>
      </c>
      <c r="K274">
        <v>17792</v>
      </c>
      <c r="L274">
        <v>186544</v>
      </c>
      <c r="M274">
        <v>1737</v>
      </c>
      <c r="N274">
        <v>71</v>
      </c>
      <c r="O274">
        <v>161</v>
      </c>
      <c r="P274">
        <v>597</v>
      </c>
      <c r="Q274">
        <v>0</v>
      </c>
      <c r="R274">
        <v>298</v>
      </c>
      <c r="S274">
        <v>655</v>
      </c>
      <c r="T274">
        <v>819</v>
      </c>
      <c r="U274">
        <v>3485</v>
      </c>
      <c r="V274">
        <v>0</v>
      </c>
      <c r="W274">
        <v>0</v>
      </c>
      <c r="X274">
        <v>29</v>
      </c>
      <c r="Y274">
        <v>0</v>
      </c>
      <c r="Z274">
        <v>-188</v>
      </c>
      <c r="AA274">
        <v>-137</v>
      </c>
      <c r="AB274">
        <v>0</v>
      </c>
      <c r="AC274">
        <v>0</v>
      </c>
      <c r="AD274">
        <v>0</v>
      </c>
      <c r="AE274">
        <v>0</v>
      </c>
      <c r="AF274">
        <v>0</v>
      </c>
      <c r="AG274">
        <v>0</v>
      </c>
      <c r="AH274">
        <v>0</v>
      </c>
      <c r="AI274">
        <v>7527</v>
      </c>
      <c r="AJ274">
        <v>0</v>
      </c>
      <c r="AK274">
        <v>0</v>
      </c>
      <c r="AL274">
        <v>0</v>
      </c>
      <c r="AM274">
        <v>0</v>
      </c>
      <c r="AN274">
        <v>0</v>
      </c>
      <c r="AO274">
        <v>0</v>
      </c>
      <c r="AP274">
        <v>0</v>
      </c>
      <c r="AQ274">
        <v>0</v>
      </c>
      <c r="AR274">
        <v>68</v>
      </c>
      <c r="AS274">
        <v>0</v>
      </c>
      <c r="AT274">
        <v>0</v>
      </c>
      <c r="AU274">
        <v>0</v>
      </c>
      <c r="AV274">
        <v>0</v>
      </c>
      <c r="AW274">
        <v>27761</v>
      </c>
      <c r="AX274">
        <v>0</v>
      </c>
      <c r="AY274">
        <v>7463</v>
      </c>
      <c r="AZ274">
        <v>0</v>
      </c>
      <c r="BA274">
        <v>14438</v>
      </c>
      <c r="BB274">
        <v>0</v>
      </c>
      <c r="BC274">
        <v>2533</v>
      </c>
      <c r="BD274">
        <v>52195</v>
      </c>
      <c r="BE274">
        <v>4951</v>
      </c>
      <c r="BF274">
        <v>17082</v>
      </c>
      <c r="BG274">
        <v>286</v>
      </c>
      <c r="BH274">
        <v>442</v>
      </c>
      <c r="BI274">
        <v>233</v>
      </c>
      <c r="BJ274">
        <v>1831</v>
      </c>
      <c r="BK274">
        <v>17968</v>
      </c>
      <c r="BL274">
        <v>4292</v>
      </c>
      <c r="BM274">
        <v>3674</v>
      </c>
      <c r="BN274">
        <v>3372</v>
      </c>
      <c r="BO274">
        <v>0</v>
      </c>
      <c r="BP274">
        <v>0</v>
      </c>
      <c r="BQ274">
        <v>0</v>
      </c>
      <c r="BR274">
        <v>47</v>
      </c>
      <c r="BS274">
        <v>164</v>
      </c>
      <c r="BT274">
        <v>9604</v>
      </c>
      <c r="BU274">
        <v>39</v>
      </c>
      <c r="BV274">
        <v>8864</v>
      </c>
      <c r="BW274">
        <v>73130</v>
      </c>
      <c r="BX274">
        <v>696</v>
      </c>
      <c r="BY274">
        <v>844</v>
      </c>
      <c r="BZ274">
        <v>211</v>
      </c>
      <c r="CA274">
        <v>209</v>
      </c>
      <c r="CB274">
        <v>124</v>
      </c>
      <c r="CC274">
        <v>151</v>
      </c>
      <c r="CD274">
        <v>118</v>
      </c>
      <c r="CE274">
        <v>263</v>
      </c>
      <c r="CF274">
        <v>244</v>
      </c>
      <c r="CG274">
        <v>216</v>
      </c>
      <c r="CH274">
        <v>313</v>
      </c>
      <c r="CI274">
        <v>1222</v>
      </c>
      <c r="CJ274">
        <v>531</v>
      </c>
      <c r="CK274">
        <v>524</v>
      </c>
      <c r="CL274">
        <v>382</v>
      </c>
      <c r="CM274">
        <v>347</v>
      </c>
      <c r="CN274">
        <v>657</v>
      </c>
      <c r="CO274">
        <v>155</v>
      </c>
      <c r="CP274">
        <v>1381</v>
      </c>
      <c r="CQ274">
        <v>5471</v>
      </c>
      <c r="CR274">
        <v>1514</v>
      </c>
      <c r="CS274">
        <v>158</v>
      </c>
      <c r="CT274">
        <v>436</v>
      </c>
      <c r="CU274">
        <v>1806</v>
      </c>
      <c r="CV274">
        <v>24084</v>
      </c>
      <c r="CW274">
        <v>0</v>
      </c>
      <c r="CX274">
        <v>0</v>
      </c>
      <c r="CY274">
        <v>0</v>
      </c>
      <c r="CZ274">
        <v>0</v>
      </c>
      <c r="DA274">
        <v>0</v>
      </c>
      <c r="DB274">
        <v>0</v>
      </c>
      <c r="DC274">
        <v>109</v>
      </c>
      <c r="DD274">
        <v>0</v>
      </c>
      <c r="DE274">
        <v>8</v>
      </c>
      <c r="DF274">
        <v>0</v>
      </c>
      <c r="DG274">
        <v>1821</v>
      </c>
      <c r="DH274">
        <v>457</v>
      </c>
      <c r="DI274">
        <v>0</v>
      </c>
      <c r="DJ274">
        <v>0</v>
      </c>
      <c r="DK274">
        <v>0</v>
      </c>
      <c r="DL274">
        <v>0</v>
      </c>
      <c r="DM274">
        <v>1846</v>
      </c>
      <c r="DN274">
        <v>112</v>
      </c>
      <c r="DO274">
        <v>0</v>
      </c>
      <c r="DP274">
        <v>4236</v>
      </c>
      <c r="DQ274">
        <v>605</v>
      </c>
      <c r="DR274">
        <v>0</v>
      </c>
      <c r="DS274">
        <v>0</v>
      </c>
      <c r="DT274">
        <v>3046</v>
      </c>
      <c r="DU274">
        <v>0</v>
      </c>
      <c r="DV274">
        <v>0</v>
      </c>
      <c r="DW274">
        <v>0</v>
      </c>
      <c r="DX274">
        <v>8004</v>
      </c>
      <c r="DY274">
        <v>8787</v>
      </c>
      <c r="DZ274">
        <v>36</v>
      </c>
      <c r="EA274">
        <v>1060</v>
      </c>
      <c r="EB274">
        <v>56</v>
      </c>
      <c r="EC274">
        <v>18799</v>
      </c>
      <c r="ED274">
        <v>0</v>
      </c>
      <c r="EE274">
        <v>0</v>
      </c>
      <c r="EF274">
        <v>0</v>
      </c>
      <c r="EG274">
        <v>0</v>
      </c>
      <c r="EH274">
        <v>3801</v>
      </c>
      <c r="EI274">
        <v>4838</v>
      </c>
      <c r="EJ274">
        <v>0</v>
      </c>
      <c r="EK274">
        <v>3280</v>
      </c>
      <c r="EL274">
        <v>8304</v>
      </c>
      <c r="EM274">
        <v>4806</v>
      </c>
      <c r="EN274">
        <v>3282</v>
      </c>
      <c r="EO274">
        <v>0</v>
      </c>
      <c r="EP274">
        <v>0</v>
      </c>
      <c r="EQ274">
        <v>78</v>
      </c>
      <c r="ER274">
        <v>0</v>
      </c>
      <c r="ES274">
        <v>21370</v>
      </c>
      <c r="ET274">
        <v>21719</v>
      </c>
      <c r="EU274">
        <v>163</v>
      </c>
      <c r="EV274">
        <v>123</v>
      </c>
      <c r="EW274">
        <v>25</v>
      </c>
      <c r="EX274">
        <v>4372</v>
      </c>
      <c r="EY274">
        <v>210</v>
      </c>
      <c r="EZ274">
        <v>0</v>
      </c>
      <c r="FA274">
        <v>0</v>
      </c>
      <c r="FB274">
        <v>159</v>
      </c>
      <c r="FC274">
        <v>1394</v>
      </c>
      <c r="FD274">
        <v>5697</v>
      </c>
      <c r="FE274">
        <v>0</v>
      </c>
      <c r="FF274">
        <v>0</v>
      </c>
      <c r="FG274">
        <v>2490</v>
      </c>
      <c r="FH274">
        <v>14633</v>
      </c>
      <c r="FI274">
        <v>0</v>
      </c>
      <c r="FJ274">
        <v>349</v>
      </c>
      <c r="FK274">
        <v>0</v>
      </c>
      <c r="FL274">
        <v>240</v>
      </c>
      <c r="FM274">
        <v>562</v>
      </c>
      <c r="FN274">
        <v>0</v>
      </c>
      <c r="FO274">
        <v>178</v>
      </c>
      <c r="FP274">
        <v>0</v>
      </c>
      <c r="FQ274">
        <v>0</v>
      </c>
      <c r="FR274">
        <v>-42</v>
      </c>
      <c r="FS274">
        <v>0</v>
      </c>
      <c r="FT274">
        <v>364</v>
      </c>
      <c r="FU274">
        <v>2</v>
      </c>
      <c r="FV274">
        <v>536</v>
      </c>
      <c r="FW274">
        <v>0</v>
      </c>
      <c r="FX274">
        <v>420</v>
      </c>
      <c r="FY274">
        <v>21</v>
      </c>
      <c r="FZ274">
        <v>0</v>
      </c>
      <c r="GA274">
        <v>0</v>
      </c>
      <c r="GB274">
        <v>0</v>
      </c>
      <c r="GC274">
        <v>0</v>
      </c>
      <c r="GD274">
        <v>3087</v>
      </c>
      <c r="GE274">
        <v>1722</v>
      </c>
      <c r="GF274">
        <v>46</v>
      </c>
      <c r="GG274">
        <v>0</v>
      </c>
      <c r="GH274">
        <v>4041</v>
      </c>
      <c r="GI274">
        <v>0</v>
      </c>
      <c r="GJ274">
        <v>0</v>
      </c>
      <c r="GK274">
        <v>11526</v>
      </c>
      <c r="GL274">
        <v>0</v>
      </c>
      <c r="GM274">
        <v>487</v>
      </c>
      <c r="GN274">
        <v>103</v>
      </c>
      <c r="GO274">
        <v>0</v>
      </c>
      <c r="GP274">
        <v>0</v>
      </c>
      <c r="GQ274">
        <v>5174</v>
      </c>
      <c r="GR274">
        <v>0</v>
      </c>
      <c r="GS274">
        <v>0</v>
      </c>
      <c r="GT274">
        <v>2667</v>
      </c>
      <c r="GU274">
        <v>8431</v>
      </c>
      <c r="GV274">
        <v>34590</v>
      </c>
      <c r="GW274">
        <v>0</v>
      </c>
      <c r="GX274">
        <v>0</v>
      </c>
      <c r="GY274">
        <v>0</v>
      </c>
      <c r="GZ274">
        <v>0</v>
      </c>
      <c r="HA274">
        <v>0</v>
      </c>
      <c r="HB274">
        <v>1329</v>
      </c>
      <c r="HC274">
        <v>-568</v>
      </c>
      <c r="HD274">
        <v>0</v>
      </c>
      <c r="HE274">
        <v>153</v>
      </c>
      <c r="HF274">
        <v>0</v>
      </c>
      <c r="HG274">
        <v>5644</v>
      </c>
      <c r="HH274">
        <v>0</v>
      </c>
      <c r="HI274">
        <v>-42</v>
      </c>
      <c r="HJ274">
        <v>327</v>
      </c>
      <c r="HK274">
        <v>192</v>
      </c>
      <c r="HL274">
        <v>6</v>
      </c>
      <c r="HM274">
        <v>-70</v>
      </c>
      <c r="HN274">
        <v>5718</v>
      </c>
      <c r="HO274">
        <v>0</v>
      </c>
      <c r="HP274">
        <v>962</v>
      </c>
      <c r="HQ274">
        <v>0</v>
      </c>
      <c r="HR274">
        <v>1750</v>
      </c>
      <c r="HS274">
        <v>0</v>
      </c>
      <c r="HT274">
        <v>0</v>
      </c>
      <c r="HU274">
        <v>2068</v>
      </c>
      <c r="HV274">
        <v>17469</v>
      </c>
      <c r="HW274">
        <v>34544</v>
      </c>
      <c r="HX274">
        <v>0</v>
      </c>
      <c r="HY274">
        <v>0</v>
      </c>
      <c r="HZ274">
        <v>0</v>
      </c>
      <c r="IA274">
        <v>3254</v>
      </c>
      <c r="IB274">
        <v>0</v>
      </c>
      <c r="IC274">
        <v>186544</v>
      </c>
      <c r="ID274">
        <v>7527</v>
      </c>
      <c r="IE274">
        <v>52195</v>
      </c>
      <c r="IF274">
        <v>73130</v>
      </c>
      <c r="IG274">
        <v>24084</v>
      </c>
      <c r="IH274">
        <v>8004</v>
      </c>
      <c r="II274">
        <v>14633</v>
      </c>
      <c r="IJ274">
        <v>11526</v>
      </c>
      <c r="IK274">
        <v>8431</v>
      </c>
      <c r="IL274">
        <v>0</v>
      </c>
      <c r="IM274">
        <v>0</v>
      </c>
      <c r="IN274">
        <v>17469</v>
      </c>
      <c r="IO274">
        <v>0</v>
      </c>
      <c r="IP274">
        <v>403543</v>
      </c>
      <c r="IQ274">
        <v>38090</v>
      </c>
      <c r="IR274">
        <v>0</v>
      </c>
      <c r="IS274">
        <v>6130</v>
      </c>
      <c r="IT274">
        <v>0</v>
      </c>
      <c r="IU274">
        <v>0</v>
      </c>
      <c r="IV274">
        <v>300</v>
      </c>
      <c r="IW274">
        <v>16094</v>
      </c>
      <c r="IX274">
        <v>16885</v>
      </c>
      <c r="IY274">
        <v>0</v>
      </c>
      <c r="IZ274">
        <v>321</v>
      </c>
      <c r="JA274">
        <v>4786</v>
      </c>
      <c r="JB274">
        <v>-944</v>
      </c>
      <c r="JC274">
        <v>-7192</v>
      </c>
      <c r="JD274">
        <v>0</v>
      </c>
      <c r="JE274">
        <v>980</v>
      </c>
      <c r="JF274">
        <v>0</v>
      </c>
      <c r="JG274">
        <v>478993</v>
      </c>
      <c r="JH274">
        <v>110</v>
      </c>
      <c r="JI274">
        <v>33</v>
      </c>
      <c r="JJ274">
        <v>0</v>
      </c>
      <c r="JK274">
        <v>-2000</v>
      </c>
      <c r="JL274">
        <v>0</v>
      </c>
      <c r="JM274">
        <v>-1494</v>
      </c>
      <c r="JN274">
        <v>18144</v>
      </c>
      <c r="JO274">
        <v>7349</v>
      </c>
      <c r="JP274">
        <v>7522</v>
      </c>
      <c r="JQ274">
        <v>0</v>
      </c>
      <c r="JR274">
        <v>508657</v>
      </c>
      <c r="JS274">
        <v>-4488</v>
      </c>
      <c r="JT274">
        <v>0</v>
      </c>
      <c r="JU274">
        <v>294</v>
      </c>
      <c r="JV274">
        <v>0</v>
      </c>
      <c r="JW274">
        <v>-46394</v>
      </c>
      <c r="JX274">
        <v>0</v>
      </c>
      <c r="JY274">
        <v>0</v>
      </c>
      <c r="JZ274">
        <v>0</v>
      </c>
      <c r="KA274">
        <v>0</v>
      </c>
      <c r="KB274">
        <v>0</v>
      </c>
      <c r="KC274">
        <v>458069</v>
      </c>
      <c r="KD274">
        <v>0</v>
      </c>
      <c r="KE274">
        <v>-240808</v>
      </c>
      <c r="KF274">
        <v>217261</v>
      </c>
      <c r="KG274">
        <v>0</v>
      </c>
      <c r="KH274">
        <v>886</v>
      </c>
      <c r="KI274">
        <v>787</v>
      </c>
      <c r="KJ274">
        <v>0</v>
      </c>
      <c r="KK274">
        <v>-23699</v>
      </c>
      <c r="KL274">
        <v>2749</v>
      </c>
      <c r="KM274">
        <v>0</v>
      </c>
      <c r="KN274">
        <v>0</v>
      </c>
      <c r="KO274">
        <v>-103374</v>
      </c>
      <c r="KP274">
        <v>24322</v>
      </c>
      <c r="KQ274">
        <v>0</v>
      </c>
      <c r="KR274">
        <v>98852</v>
      </c>
      <c r="KS274">
        <v>9306</v>
      </c>
      <c r="KT274">
        <v>-3560</v>
      </c>
      <c r="KU274">
        <v>436</v>
      </c>
      <c r="KV274">
        <v>133222</v>
      </c>
      <c r="KW274">
        <v>17264</v>
      </c>
      <c r="KX274">
        <v>10192</v>
      </c>
      <c r="KY274">
        <v>-2773</v>
      </c>
      <c r="KZ274">
        <v>436</v>
      </c>
      <c r="LA274">
        <v>109523</v>
      </c>
      <c r="LB274">
        <v>20013</v>
      </c>
      <c r="LC274">
        <v>0</v>
      </c>
      <c r="LD274">
        <v>31654</v>
      </c>
      <c r="LE274">
        <v>188</v>
      </c>
      <c r="LF274">
        <v>4571</v>
      </c>
      <c r="LG274">
        <v>-59458</v>
      </c>
      <c r="LH274">
        <v>11319</v>
      </c>
      <c r="LI274">
        <v>-11726</v>
      </c>
      <c r="LJ274">
        <v>7480</v>
      </c>
      <c r="LK274">
        <v>12922</v>
      </c>
      <c r="LL274">
        <v>20402</v>
      </c>
      <c r="LM274">
        <v>0</v>
      </c>
      <c r="LN274">
        <v>0</v>
      </c>
      <c r="LO274">
        <v>0</v>
      </c>
      <c r="LP274">
        <v>28738</v>
      </c>
      <c r="LQ274">
        <v>28389</v>
      </c>
      <c r="LR274">
        <v>349</v>
      </c>
      <c r="LS274">
        <v>21370</v>
      </c>
      <c r="LT274">
        <v>21719</v>
      </c>
      <c r="LU274">
        <v>186544</v>
      </c>
      <c r="LV274">
        <v>7527</v>
      </c>
      <c r="LW274">
        <v>52195</v>
      </c>
      <c r="LX274">
        <v>73130</v>
      </c>
      <c r="LY274">
        <v>24084</v>
      </c>
      <c r="LZ274">
        <v>8004</v>
      </c>
      <c r="MA274">
        <v>14633</v>
      </c>
      <c r="MB274">
        <v>11526</v>
      </c>
      <c r="MC274">
        <v>8431</v>
      </c>
      <c r="MD274">
        <v>0</v>
      </c>
      <c r="ME274">
        <v>0</v>
      </c>
      <c r="MF274">
        <v>17469</v>
      </c>
      <c r="MG274">
        <v>0</v>
      </c>
      <c r="MH274">
        <v>403543</v>
      </c>
      <c r="MI274">
        <v>0</v>
      </c>
      <c r="MJ274">
        <v>0</v>
      </c>
      <c r="MK274">
        <v>0</v>
      </c>
      <c r="ML274">
        <v>0</v>
      </c>
      <c r="MM274">
        <v>0</v>
      </c>
      <c r="MN274">
        <v>0</v>
      </c>
      <c r="MO274">
        <v>0</v>
      </c>
      <c r="MP274">
        <v>132</v>
      </c>
      <c r="MQ274">
        <v>0</v>
      </c>
      <c r="MR274">
        <v>0</v>
      </c>
      <c r="MS274">
        <v>-1073</v>
      </c>
      <c r="MT274">
        <v>-1382</v>
      </c>
      <c r="MU274">
        <v>0</v>
      </c>
      <c r="MV274">
        <v>134</v>
      </c>
      <c r="MW274">
        <v>0</v>
      </c>
      <c r="MX274">
        <v>-1207</v>
      </c>
      <c r="MY274">
        <v>453</v>
      </c>
      <c r="MZ274">
        <v>-12</v>
      </c>
      <c r="NA274">
        <v>-2406</v>
      </c>
      <c r="NB274">
        <v>7192</v>
      </c>
      <c r="NC274">
        <v>4786</v>
      </c>
      <c r="ND274">
        <v>0</v>
      </c>
      <c r="NE274">
        <v>0</v>
      </c>
      <c r="NF274">
        <v>0</v>
      </c>
      <c r="NG274">
        <v>0</v>
      </c>
      <c r="NH274">
        <v>0</v>
      </c>
      <c r="NI274">
        <v>0</v>
      </c>
      <c r="NJ274">
        <v>0</v>
      </c>
      <c r="NK274">
        <v>0</v>
      </c>
      <c r="NL274">
        <v>0</v>
      </c>
      <c r="NM274">
        <v>0</v>
      </c>
      <c r="NN274">
        <v>-87</v>
      </c>
      <c r="NO274">
        <v>0</v>
      </c>
      <c r="NP274">
        <v>0</v>
      </c>
      <c r="NQ274">
        <v>-228</v>
      </c>
      <c r="NR274">
        <v>-401</v>
      </c>
      <c r="NS274">
        <v>0</v>
      </c>
      <c r="NT274">
        <v>111</v>
      </c>
      <c r="NU274">
        <v>0</v>
      </c>
      <c r="NV274">
        <v>0</v>
      </c>
      <c r="NW274">
        <v>0</v>
      </c>
      <c r="NX274">
        <v>0</v>
      </c>
      <c r="NY274">
        <v>0</v>
      </c>
      <c r="NZ274">
        <v>-944</v>
      </c>
      <c r="OA274">
        <v>0</v>
      </c>
      <c r="OB274">
        <v>-944</v>
      </c>
      <c r="OC274">
        <v>2986</v>
      </c>
      <c r="OD274">
        <v>81</v>
      </c>
      <c r="OE274">
        <v>4125</v>
      </c>
      <c r="OF274">
        <v>0</v>
      </c>
      <c r="OG274">
        <v>0</v>
      </c>
      <c r="OH274">
        <v>7192</v>
      </c>
      <c r="OI274">
        <v>0</v>
      </c>
      <c r="OJ274">
        <v>0</v>
      </c>
      <c r="OK274">
        <v>0</v>
      </c>
      <c r="OL274">
        <v>0</v>
      </c>
      <c r="OM274">
        <v>0</v>
      </c>
      <c r="ON274">
        <v>0</v>
      </c>
    </row>
    <row r="275" spans="1:404" x14ac:dyDescent="0.25">
      <c r="A275" t="s">
        <v>895</v>
      </c>
      <c r="B275" t="s">
        <v>896</v>
      </c>
      <c r="C275" t="s">
        <v>894</v>
      </c>
      <c r="E275" t="s">
        <v>61</v>
      </c>
      <c r="F275">
        <v>0</v>
      </c>
      <c r="G275">
        <v>0</v>
      </c>
      <c r="H275">
        <v>0</v>
      </c>
      <c r="I275">
        <v>0</v>
      </c>
      <c r="J275">
        <v>0</v>
      </c>
      <c r="K275">
        <v>0</v>
      </c>
      <c r="L275">
        <v>0</v>
      </c>
      <c r="M275">
        <v>0</v>
      </c>
      <c r="N275">
        <v>0</v>
      </c>
      <c r="O275">
        <v>0</v>
      </c>
      <c r="P275">
        <v>0</v>
      </c>
      <c r="Q275">
        <v>0</v>
      </c>
      <c r="R275">
        <v>0</v>
      </c>
      <c r="S275">
        <v>0</v>
      </c>
      <c r="T275">
        <v>0</v>
      </c>
      <c r="U275">
        <v>0</v>
      </c>
      <c r="V275">
        <v>0</v>
      </c>
      <c r="W275">
        <v>0</v>
      </c>
      <c r="X275">
        <v>0</v>
      </c>
      <c r="Y275">
        <v>0</v>
      </c>
      <c r="Z275">
        <v>0</v>
      </c>
      <c r="AA275">
        <v>-719</v>
      </c>
      <c r="AB275">
        <v>0</v>
      </c>
      <c r="AC275">
        <v>0</v>
      </c>
      <c r="AD275">
        <v>0</v>
      </c>
      <c r="AE275">
        <v>0</v>
      </c>
      <c r="AF275">
        <v>0</v>
      </c>
      <c r="AG275">
        <v>-144</v>
      </c>
      <c r="AH275">
        <v>0</v>
      </c>
      <c r="AI275">
        <v>-863</v>
      </c>
      <c r="AJ275">
        <v>0</v>
      </c>
      <c r="AK275">
        <v>0</v>
      </c>
      <c r="AL275">
        <v>0</v>
      </c>
      <c r="AM275">
        <v>0</v>
      </c>
      <c r="AN275">
        <v>0</v>
      </c>
      <c r="AO275">
        <v>0</v>
      </c>
      <c r="AP275">
        <v>0</v>
      </c>
      <c r="AQ275">
        <v>0</v>
      </c>
      <c r="AR275">
        <v>0</v>
      </c>
      <c r="AS275">
        <v>0</v>
      </c>
      <c r="AT275">
        <v>0</v>
      </c>
      <c r="AU275">
        <v>0</v>
      </c>
      <c r="AV275">
        <v>0</v>
      </c>
      <c r="AW275">
        <v>0</v>
      </c>
      <c r="AX275">
        <v>0</v>
      </c>
      <c r="AY275">
        <v>0</v>
      </c>
      <c r="AZ275">
        <v>0</v>
      </c>
      <c r="BA275">
        <v>0</v>
      </c>
      <c r="BB275">
        <v>0</v>
      </c>
      <c r="BC275">
        <v>0</v>
      </c>
      <c r="BD275">
        <v>0</v>
      </c>
      <c r="BE275">
        <v>0</v>
      </c>
      <c r="BF275">
        <v>0</v>
      </c>
      <c r="BG275">
        <v>0</v>
      </c>
      <c r="BH275">
        <v>0</v>
      </c>
      <c r="BI275">
        <v>0</v>
      </c>
      <c r="BJ275">
        <v>0</v>
      </c>
      <c r="BK275">
        <v>0</v>
      </c>
      <c r="BL275">
        <v>0</v>
      </c>
      <c r="BM275">
        <v>0</v>
      </c>
      <c r="BN275">
        <v>0</v>
      </c>
      <c r="BO275">
        <v>0</v>
      </c>
      <c r="BP275">
        <v>0</v>
      </c>
      <c r="BQ275">
        <v>0</v>
      </c>
      <c r="BR275">
        <v>0</v>
      </c>
      <c r="BS275">
        <v>0</v>
      </c>
      <c r="BT275">
        <v>0</v>
      </c>
      <c r="BU275">
        <v>0</v>
      </c>
      <c r="BV275">
        <v>0</v>
      </c>
      <c r="BW275">
        <v>0</v>
      </c>
      <c r="BX275">
        <v>0</v>
      </c>
      <c r="BY275">
        <v>0</v>
      </c>
      <c r="BZ275">
        <v>0</v>
      </c>
      <c r="CA275">
        <v>0</v>
      </c>
      <c r="CB275">
        <v>0</v>
      </c>
      <c r="CC275">
        <v>0</v>
      </c>
      <c r="CD275">
        <v>0</v>
      </c>
      <c r="CE275">
        <v>0</v>
      </c>
      <c r="CF275">
        <v>0</v>
      </c>
      <c r="CG275">
        <v>0</v>
      </c>
      <c r="CH275">
        <v>0</v>
      </c>
      <c r="CI275">
        <v>0</v>
      </c>
      <c r="CJ275">
        <v>0</v>
      </c>
      <c r="CK275">
        <v>0</v>
      </c>
      <c r="CL275">
        <v>0</v>
      </c>
      <c r="CM275">
        <v>0</v>
      </c>
      <c r="CN275">
        <v>0</v>
      </c>
      <c r="CO275">
        <v>0</v>
      </c>
      <c r="CP275">
        <v>0</v>
      </c>
      <c r="CQ275">
        <v>0</v>
      </c>
      <c r="CR275">
        <v>0</v>
      </c>
      <c r="CS275">
        <v>0</v>
      </c>
      <c r="CT275">
        <v>0</v>
      </c>
      <c r="CU275">
        <v>0</v>
      </c>
      <c r="CV275">
        <v>0</v>
      </c>
      <c r="CW275">
        <v>0</v>
      </c>
      <c r="CX275">
        <v>0</v>
      </c>
      <c r="CY275">
        <v>0</v>
      </c>
      <c r="CZ275">
        <v>0</v>
      </c>
      <c r="DA275">
        <v>0</v>
      </c>
      <c r="DB275">
        <v>0</v>
      </c>
      <c r="DC275">
        <v>4522</v>
      </c>
      <c r="DD275">
        <v>0</v>
      </c>
      <c r="DE275">
        <v>0</v>
      </c>
      <c r="DF275">
        <v>301</v>
      </c>
      <c r="DG275">
        <v>0</v>
      </c>
      <c r="DH275">
        <v>0</v>
      </c>
      <c r="DI275">
        <v>0</v>
      </c>
      <c r="DJ275">
        <v>0</v>
      </c>
      <c r="DK275">
        <v>871</v>
      </c>
      <c r="DL275">
        <v>0</v>
      </c>
      <c r="DM275">
        <v>-216</v>
      </c>
      <c r="DN275">
        <v>2013</v>
      </c>
      <c r="DO275">
        <v>4526</v>
      </c>
      <c r="DP275">
        <v>7194</v>
      </c>
      <c r="DQ275">
        <v>0</v>
      </c>
      <c r="DR275">
        <v>0</v>
      </c>
      <c r="DS275">
        <v>0</v>
      </c>
      <c r="DT275">
        <v>1279</v>
      </c>
      <c r="DU275">
        <v>185</v>
      </c>
      <c r="DV275">
        <v>0</v>
      </c>
      <c r="DW275">
        <v>0</v>
      </c>
      <c r="DX275">
        <v>13481</v>
      </c>
      <c r="DY275">
        <v>42531</v>
      </c>
      <c r="DZ275">
        <v>245</v>
      </c>
      <c r="EA275">
        <v>2829</v>
      </c>
      <c r="EB275">
        <v>0</v>
      </c>
      <c r="EC275">
        <v>0</v>
      </c>
      <c r="ED275">
        <v>0</v>
      </c>
      <c r="EE275">
        <v>0</v>
      </c>
      <c r="EF275">
        <v>0</v>
      </c>
      <c r="EG275">
        <v>0</v>
      </c>
      <c r="EH275">
        <v>14986</v>
      </c>
      <c r="EI275">
        <v>9546</v>
      </c>
      <c r="EJ275">
        <v>0</v>
      </c>
      <c r="EK275">
        <v>10048</v>
      </c>
      <c r="EL275">
        <v>0</v>
      </c>
      <c r="EM275">
        <v>7657</v>
      </c>
      <c r="EN275">
        <v>0</v>
      </c>
      <c r="EO275">
        <v>623</v>
      </c>
      <c r="EP275">
        <v>0</v>
      </c>
      <c r="EQ275">
        <v>0</v>
      </c>
      <c r="ER275">
        <v>0</v>
      </c>
      <c r="ES275">
        <v>30712</v>
      </c>
      <c r="ET275">
        <v>33457</v>
      </c>
      <c r="EU275">
        <v>0</v>
      </c>
      <c r="EV275">
        <v>420</v>
      </c>
      <c r="EW275">
        <v>0</v>
      </c>
      <c r="EX275">
        <v>548</v>
      </c>
      <c r="EY275">
        <v>58</v>
      </c>
      <c r="EZ275">
        <v>492</v>
      </c>
      <c r="FA275">
        <v>0</v>
      </c>
      <c r="FB275">
        <v>760</v>
      </c>
      <c r="FC275">
        <v>1722</v>
      </c>
      <c r="FD275">
        <v>3633</v>
      </c>
      <c r="FE275">
        <v>0</v>
      </c>
      <c r="FF275">
        <v>-13</v>
      </c>
      <c r="FG275">
        <v>0</v>
      </c>
      <c r="FH275">
        <v>7620</v>
      </c>
      <c r="FI275">
        <v>3</v>
      </c>
      <c r="FJ275">
        <v>0</v>
      </c>
      <c r="FK275">
        <v>0</v>
      </c>
      <c r="FL275">
        <v>605</v>
      </c>
      <c r="FM275">
        <v>556</v>
      </c>
      <c r="FN275">
        <v>592</v>
      </c>
      <c r="FO275">
        <v>0</v>
      </c>
      <c r="FP275">
        <v>0</v>
      </c>
      <c r="FQ275">
        <v>0</v>
      </c>
      <c r="FR275">
        <v>263</v>
      </c>
      <c r="FS275">
        <v>-10</v>
      </c>
      <c r="FT275">
        <v>196</v>
      </c>
      <c r="FU275">
        <v>139</v>
      </c>
      <c r="FV275">
        <v>1180</v>
      </c>
      <c r="FW275">
        <v>1002</v>
      </c>
      <c r="FX275">
        <v>96</v>
      </c>
      <c r="FY275">
        <v>47</v>
      </c>
      <c r="FZ275">
        <v>0</v>
      </c>
      <c r="GA275">
        <v>0</v>
      </c>
      <c r="GB275">
        <v>0</v>
      </c>
      <c r="GC275">
        <v>0</v>
      </c>
      <c r="GD275">
        <v>2994</v>
      </c>
      <c r="GE275">
        <v>6806</v>
      </c>
      <c r="GF275">
        <v>0</v>
      </c>
      <c r="GG275">
        <v>0</v>
      </c>
      <c r="GH275">
        <v>-789</v>
      </c>
      <c r="GI275">
        <v>0</v>
      </c>
      <c r="GJ275">
        <v>1101</v>
      </c>
      <c r="GK275">
        <v>14781</v>
      </c>
      <c r="GL275">
        <v>0</v>
      </c>
      <c r="GM275">
        <v>2353</v>
      </c>
      <c r="GN275">
        <v>0</v>
      </c>
      <c r="GO275">
        <v>0</v>
      </c>
      <c r="GP275">
        <v>2130</v>
      </c>
      <c r="GQ275">
        <v>-5386</v>
      </c>
      <c r="GR275">
        <v>0</v>
      </c>
      <c r="GS275">
        <v>0</v>
      </c>
      <c r="GT275">
        <v>1123</v>
      </c>
      <c r="GU275">
        <v>220</v>
      </c>
      <c r="GV275">
        <v>22621</v>
      </c>
      <c r="GW275">
        <v>0</v>
      </c>
      <c r="GX275">
        <v>0</v>
      </c>
      <c r="GY275">
        <v>0</v>
      </c>
      <c r="GZ275">
        <v>0</v>
      </c>
      <c r="HA275">
        <v>0</v>
      </c>
      <c r="HB275">
        <v>4600</v>
      </c>
      <c r="HC275">
        <v>1917</v>
      </c>
      <c r="HD275">
        <v>0</v>
      </c>
      <c r="HE275">
        <v>0</v>
      </c>
      <c r="HF275">
        <v>1412</v>
      </c>
      <c r="HG275">
        <v>0</v>
      </c>
      <c r="HH275">
        <v>0</v>
      </c>
      <c r="HI275">
        <v>0</v>
      </c>
      <c r="HJ275">
        <v>514</v>
      </c>
      <c r="HK275">
        <v>94</v>
      </c>
      <c r="HL275">
        <v>0</v>
      </c>
      <c r="HM275">
        <v>4</v>
      </c>
      <c r="HN275">
        <v>0</v>
      </c>
      <c r="HO275">
        <v>0</v>
      </c>
      <c r="HP275">
        <v>0</v>
      </c>
      <c r="HQ275">
        <v>0</v>
      </c>
      <c r="HR275">
        <v>0</v>
      </c>
      <c r="HS275">
        <v>0</v>
      </c>
      <c r="HT275">
        <v>0</v>
      </c>
      <c r="HU275">
        <v>-9609</v>
      </c>
      <c r="HV275">
        <v>-1068</v>
      </c>
      <c r="HW275">
        <v>20308</v>
      </c>
      <c r="HX275">
        <v>278</v>
      </c>
      <c r="HY275">
        <v>0</v>
      </c>
      <c r="HZ275">
        <v>7241</v>
      </c>
      <c r="IA275">
        <v>131</v>
      </c>
      <c r="IB275">
        <v>0</v>
      </c>
      <c r="IC275">
        <v>0</v>
      </c>
      <c r="ID275">
        <v>-863</v>
      </c>
      <c r="IE275">
        <v>0</v>
      </c>
      <c r="IF275">
        <v>0</v>
      </c>
      <c r="IG275">
        <v>0</v>
      </c>
      <c r="IH275">
        <v>13481</v>
      </c>
      <c r="II275">
        <v>7620</v>
      </c>
      <c r="IJ275">
        <v>14781</v>
      </c>
      <c r="IK275">
        <v>220</v>
      </c>
      <c r="IL275">
        <v>0</v>
      </c>
      <c r="IM275">
        <v>0</v>
      </c>
      <c r="IN275">
        <v>-1068</v>
      </c>
      <c r="IO275">
        <v>0</v>
      </c>
      <c r="IP275">
        <v>34171</v>
      </c>
      <c r="IQ275">
        <v>27955</v>
      </c>
      <c r="IR275">
        <v>27</v>
      </c>
      <c r="IS275">
        <v>11731</v>
      </c>
      <c r="IT275">
        <v>0</v>
      </c>
      <c r="IU275">
        <v>0</v>
      </c>
      <c r="IV275">
        <v>278</v>
      </c>
      <c r="IW275">
        <v>0</v>
      </c>
      <c r="IX275">
        <v>0</v>
      </c>
      <c r="IY275">
        <v>0</v>
      </c>
      <c r="IZ275">
        <v>0</v>
      </c>
      <c r="JA275">
        <v>0</v>
      </c>
      <c r="JB275">
        <v>0</v>
      </c>
      <c r="JC275">
        <v>0</v>
      </c>
      <c r="JD275">
        <v>0</v>
      </c>
      <c r="JE275">
        <v>249</v>
      </c>
      <c r="JF275">
        <v>0</v>
      </c>
      <c r="JG275">
        <v>74411</v>
      </c>
      <c r="JH275">
        <v>0</v>
      </c>
      <c r="JI275">
        <v>2314</v>
      </c>
      <c r="JJ275">
        <v>0</v>
      </c>
      <c r="JK275">
        <v>0</v>
      </c>
      <c r="JL275">
        <v>0</v>
      </c>
      <c r="JM275">
        <v>0</v>
      </c>
      <c r="JN275">
        <v>37</v>
      </c>
      <c r="JO275">
        <v>0</v>
      </c>
      <c r="JP275">
        <v>6403</v>
      </c>
      <c r="JQ275">
        <v>-1231</v>
      </c>
      <c r="JR275">
        <v>81934</v>
      </c>
      <c r="JS275">
        <v>-1067</v>
      </c>
      <c r="JT275">
        <v>0</v>
      </c>
      <c r="JU275">
        <v>1753</v>
      </c>
      <c r="JV275">
        <v>0</v>
      </c>
      <c r="JW275">
        <v>-488</v>
      </c>
      <c r="JX275">
        <v>0</v>
      </c>
      <c r="JY275">
        <v>0</v>
      </c>
      <c r="JZ275">
        <v>0</v>
      </c>
      <c r="KA275">
        <v>0</v>
      </c>
      <c r="KB275">
        <v>0</v>
      </c>
      <c r="KC275">
        <v>82132</v>
      </c>
      <c r="KD275">
        <v>0</v>
      </c>
      <c r="KE275">
        <v>-43064</v>
      </c>
      <c r="KF275">
        <v>39068</v>
      </c>
      <c r="KG275">
        <v>0</v>
      </c>
      <c r="KH275">
        <v>0</v>
      </c>
      <c r="KI275">
        <v>0</v>
      </c>
      <c r="KJ275">
        <v>0</v>
      </c>
      <c r="KK275">
        <v>-2381</v>
      </c>
      <c r="KL275">
        <v>0</v>
      </c>
      <c r="KM275">
        <v>0</v>
      </c>
      <c r="KN275">
        <v>0</v>
      </c>
      <c r="KO275">
        <v>-7292</v>
      </c>
      <c r="KP275">
        <v>0</v>
      </c>
      <c r="KQ275">
        <v>0</v>
      </c>
      <c r="KR275">
        <v>14911</v>
      </c>
      <c r="KS275">
        <v>0</v>
      </c>
      <c r="KT275">
        <v>0</v>
      </c>
      <c r="KU275">
        <v>0</v>
      </c>
      <c r="KV275">
        <v>65329</v>
      </c>
      <c r="KW275">
        <v>3872</v>
      </c>
      <c r="KX275">
        <v>0</v>
      </c>
      <c r="KY275">
        <v>0</v>
      </c>
      <c r="KZ275">
        <v>0</v>
      </c>
      <c r="LA275">
        <v>62948</v>
      </c>
      <c r="LB275">
        <v>3872</v>
      </c>
      <c r="LC275">
        <v>0</v>
      </c>
      <c r="LD275">
        <v>0</v>
      </c>
      <c r="LE275">
        <v>0</v>
      </c>
      <c r="LF275">
        <v>0</v>
      </c>
      <c r="LG275">
        <v>0</v>
      </c>
      <c r="LH275">
        <v>0</v>
      </c>
      <c r="LI275">
        <v>0</v>
      </c>
      <c r="LJ275">
        <v>3600</v>
      </c>
      <c r="LK275">
        <v>6440</v>
      </c>
      <c r="LL275">
        <v>10040</v>
      </c>
      <c r="LM275">
        <v>0</v>
      </c>
      <c r="LN275">
        <v>0</v>
      </c>
      <c r="LO275">
        <v>0</v>
      </c>
      <c r="LP275">
        <v>45605</v>
      </c>
      <c r="LQ275">
        <v>42860</v>
      </c>
      <c r="LR275">
        <v>2745</v>
      </c>
      <c r="LS275">
        <v>30712</v>
      </c>
      <c r="LT275">
        <v>33457</v>
      </c>
      <c r="LU275">
        <v>0</v>
      </c>
      <c r="LV275">
        <v>-863</v>
      </c>
      <c r="LW275">
        <v>0</v>
      </c>
      <c r="LX275">
        <v>0</v>
      </c>
      <c r="LY275">
        <v>0</v>
      </c>
      <c r="LZ275">
        <v>13481</v>
      </c>
      <c r="MA275">
        <v>7620</v>
      </c>
      <c r="MB275">
        <v>14781</v>
      </c>
      <c r="MC275">
        <v>220</v>
      </c>
      <c r="MD275">
        <v>0</v>
      </c>
      <c r="ME275">
        <v>0</v>
      </c>
      <c r="MF275">
        <v>-1068</v>
      </c>
      <c r="MG275">
        <v>0</v>
      </c>
      <c r="MH275">
        <v>34171</v>
      </c>
      <c r="MI275">
        <v>0</v>
      </c>
      <c r="MJ275">
        <v>0</v>
      </c>
      <c r="MK275">
        <v>0</v>
      </c>
      <c r="ML275">
        <v>0</v>
      </c>
      <c r="MM275">
        <v>0</v>
      </c>
      <c r="MN275">
        <v>0</v>
      </c>
      <c r="MO275">
        <v>0</v>
      </c>
      <c r="MP275">
        <v>0</v>
      </c>
      <c r="MQ275">
        <v>0</v>
      </c>
      <c r="MR275">
        <v>0</v>
      </c>
      <c r="MS275">
        <v>0</v>
      </c>
      <c r="MT275">
        <v>0</v>
      </c>
      <c r="MU275">
        <v>0</v>
      </c>
      <c r="MV275">
        <v>0</v>
      </c>
      <c r="MW275">
        <v>0</v>
      </c>
      <c r="MX275">
        <v>0</v>
      </c>
      <c r="MY275">
        <v>0</v>
      </c>
      <c r="MZ275">
        <v>0</v>
      </c>
      <c r="NA275">
        <v>0</v>
      </c>
      <c r="NB275">
        <v>0</v>
      </c>
      <c r="NC275">
        <v>0</v>
      </c>
      <c r="ND275">
        <v>0</v>
      </c>
      <c r="NE275">
        <v>0</v>
      </c>
      <c r="NF275">
        <v>0</v>
      </c>
      <c r="NG275">
        <v>0</v>
      </c>
      <c r="NH275">
        <v>0</v>
      </c>
      <c r="NI275">
        <v>0</v>
      </c>
      <c r="NJ275">
        <v>0</v>
      </c>
      <c r="NK275">
        <v>0</v>
      </c>
      <c r="NL275">
        <v>0</v>
      </c>
      <c r="NM275">
        <v>0</v>
      </c>
      <c r="NN275">
        <v>0</v>
      </c>
      <c r="NO275">
        <v>0</v>
      </c>
      <c r="NP275">
        <v>0</v>
      </c>
      <c r="NQ275">
        <v>0</v>
      </c>
      <c r="NR275">
        <v>0</v>
      </c>
      <c r="NS275">
        <v>0</v>
      </c>
      <c r="NT275">
        <v>0</v>
      </c>
      <c r="NU275">
        <v>0</v>
      </c>
      <c r="NV275">
        <v>0</v>
      </c>
      <c r="NW275">
        <v>0</v>
      </c>
      <c r="NX275">
        <v>0</v>
      </c>
      <c r="NY275">
        <v>0</v>
      </c>
      <c r="NZ275">
        <v>0</v>
      </c>
      <c r="OA275">
        <v>0</v>
      </c>
      <c r="OB275">
        <v>0</v>
      </c>
      <c r="OC275">
        <v>0</v>
      </c>
      <c r="OD275">
        <v>0</v>
      </c>
      <c r="OE275">
        <v>0</v>
      </c>
      <c r="OF275">
        <v>0</v>
      </c>
      <c r="OG275">
        <v>0</v>
      </c>
      <c r="OH275">
        <v>0</v>
      </c>
      <c r="OI275">
        <v>0</v>
      </c>
      <c r="OJ275">
        <v>0</v>
      </c>
      <c r="OK275">
        <v>0</v>
      </c>
      <c r="OL275">
        <v>0</v>
      </c>
      <c r="OM275">
        <v>0</v>
      </c>
      <c r="ON275">
        <v>0</v>
      </c>
    </row>
    <row r="276" spans="1:404" x14ac:dyDescent="0.25">
      <c r="A276" t="s">
        <v>898</v>
      </c>
      <c r="B276" t="s">
        <v>899</v>
      </c>
      <c r="C276" t="s">
        <v>897</v>
      </c>
      <c r="E276" t="s">
        <v>1942</v>
      </c>
      <c r="F276">
        <v>43378</v>
      </c>
      <c r="G276">
        <v>150587</v>
      </c>
      <c r="H276">
        <v>10571</v>
      </c>
      <c r="I276">
        <v>47830</v>
      </c>
      <c r="J276">
        <v>8787</v>
      </c>
      <c r="K276">
        <v>40982</v>
      </c>
      <c r="L276">
        <v>302135</v>
      </c>
      <c r="M276">
        <v>1727</v>
      </c>
      <c r="N276">
        <v>3601</v>
      </c>
      <c r="O276">
        <v>8529</v>
      </c>
      <c r="P276">
        <v>29</v>
      </c>
      <c r="Q276">
        <v>0</v>
      </c>
      <c r="R276">
        <v>10065</v>
      </c>
      <c r="S276">
        <v>116</v>
      </c>
      <c r="T276">
        <v>1987</v>
      </c>
      <c r="U276">
        <v>4439</v>
      </c>
      <c r="V276">
        <v>0</v>
      </c>
      <c r="W276">
        <v>-1064</v>
      </c>
      <c r="X276">
        <v>813</v>
      </c>
      <c r="Y276">
        <v>40</v>
      </c>
      <c r="Z276">
        <v>-1922</v>
      </c>
      <c r="AA276">
        <v>554</v>
      </c>
      <c r="AB276">
        <v>9002</v>
      </c>
      <c r="AC276">
        <v>0</v>
      </c>
      <c r="AD276">
        <v>2720</v>
      </c>
      <c r="AE276">
        <v>0</v>
      </c>
      <c r="AF276">
        <v>0</v>
      </c>
      <c r="AG276">
        <v>491</v>
      </c>
      <c r="AH276">
        <v>0</v>
      </c>
      <c r="AI276">
        <v>41127</v>
      </c>
      <c r="AJ276">
        <v>114</v>
      </c>
      <c r="AK276">
        <v>0</v>
      </c>
      <c r="AL276">
        <v>207</v>
      </c>
      <c r="AM276">
        <v>0</v>
      </c>
      <c r="AN276">
        <v>35</v>
      </c>
      <c r="AO276">
        <v>5841</v>
      </c>
      <c r="AP276">
        <v>116</v>
      </c>
      <c r="AQ276">
        <v>0</v>
      </c>
      <c r="AR276">
        <v>5317</v>
      </c>
      <c r="AS276">
        <v>0</v>
      </c>
      <c r="AT276">
        <v>0</v>
      </c>
      <c r="AU276">
        <v>0</v>
      </c>
      <c r="AV276">
        <v>112</v>
      </c>
      <c r="AW276">
        <v>63628</v>
      </c>
      <c r="AX276">
        <v>92</v>
      </c>
      <c r="AY276">
        <v>19905</v>
      </c>
      <c r="AZ276">
        <v>776</v>
      </c>
      <c r="BA276">
        <v>32307</v>
      </c>
      <c r="BB276">
        <v>3830</v>
      </c>
      <c r="BC276">
        <v>3735</v>
      </c>
      <c r="BD276">
        <v>124385</v>
      </c>
      <c r="BE276">
        <v>11484</v>
      </c>
      <c r="BF276">
        <v>38035</v>
      </c>
      <c r="BG276">
        <v>444</v>
      </c>
      <c r="BH276">
        <v>796</v>
      </c>
      <c r="BI276">
        <v>1324</v>
      </c>
      <c r="BJ276">
        <v>14040</v>
      </c>
      <c r="BK276">
        <v>75585</v>
      </c>
      <c r="BL276">
        <v>7454</v>
      </c>
      <c r="BM276">
        <v>12497</v>
      </c>
      <c r="BN276">
        <v>6630</v>
      </c>
      <c r="BO276">
        <v>406</v>
      </c>
      <c r="BP276">
        <v>9</v>
      </c>
      <c r="BQ276">
        <v>406</v>
      </c>
      <c r="BR276">
        <v>2834</v>
      </c>
      <c r="BS276">
        <v>466</v>
      </c>
      <c r="BT276">
        <v>20865</v>
      </c>
      <c r="BU276">
        <v>5931</v>
      </c>
      <c r="BV276">
        <v>18387</v>
      </c>
      <c r="BW276">
        <v>234523</v>
      </c>
      <c r="BX276">
        <v>2822</v>
      </c>
      <c r="BY276">
        <v>2801</v>
      </c>
      <c r="BZ276">
        <v>237</v>
      </c>
      <c r="CA276">
        <v>424</v>
      </c>
      <c r="CB276">
        <v>159</v>
      </c>
      <c r="CC276">
        <v>116</v>
      </c>
      <c r="CD276">
        <v>244</v>
      </c>
      <c r="CE276">
        <v>989</v>
      </c>
      <c r="CF276">
        <v>29</v>
      </c>
      <c r="CG276">
        <v>65</v>
      </c>
      <c r="CH276">
        <v>15</v>
      </c>
      <c r="CI276">
        <v>4487</v>
      </c>
      <c r="CJ276">
        <v>2537</v>
      </c>
      <c r="CK276">
        <v>215</v>
      </c>
      <c r="CL276">
        <v>189</v>
      </c>
      <c r="CM276">
        <v>444</v>
      </c>
      <c r="CN276">
        <v>356</v>
      </c>
      <c r="CO276">
        <v>218</v>
      </c>
      <c r="CP276">
        <v>2314</v>
      </c>
      <c r="CQ276">
        <v>8177</v>
      </c>
      <c r="CR276">
        <v>724</v>
      </c>
      <c r="CS276">
        <v>3</v>
      </c>
      <c r="CT276">
        <v>94</v>
      </c>
      <c r="CU276">
        <v>859</v>
      </c>
      <c r="CV276">
        <v>32600</v>
      </c>
      <c r="CW276">
        <v>829</v>
      </c>
      <c r="CX276">
        <v>0</v>
      </c>
      <c r="CY276">
        <v>309</v>
      </c>
      <c r="CZ276">
        <v>0</v>
      </c>
      <c r="DA276">
        <v>0</v>
      </c>
      <c r="DB276">
        <v>0</v>
      </c>
      <c r="DC276">
        <v>0</v>
      </c>
      <c r="DD276">
        <v>0</v>
      </c>
      <c r="DE276">
        <v>0</v>
      </c>
      <c r="DF276">
        <v>0</v>
      </c>
      <c r="DG276">
        <v>0</v>
      </c>
      <c r="DH276">
        <v>0</v>
      </c>
      <c r="DI276">
        <v>0</v>
      </c>
      <c r="DJ276">
        <v>0</v>
      </c>
      <c r="DK276">
        <v>0</v>
      </c>
      <c r="DL276">
        <v>0</v>
      </c>
      <c r="DM276">
        <v>0</v>
      </c>
      <c r="DN276">
        <v>1269</v>
      </c>
      <c r="DO276">
        <v>0</v>
      </c>
      <c r="DP276">
        <v>1269</v>
      </c>
      <c r="DQ276">
        <v>0</v>
      </c>
      <c r="DR276">
        <v>0</v>
      </c>
      <c r="DS276">
        <v>0</v>
      </c>
      <c r="DT276">
        <v>0</v>
      </c>
      <c r="DU276">
        <v>187</v>
      </c>
      <c r="DV276">
        <v>2278</v>
      </c>
      <c r="DW276">
        <v>0</v>
      </c>
      <c r="DX276">
        <v>3734</v>
      </c>
      <c r="DY276">
        <v>0</v>
      </c>
      <c r="DZ276">
        <v>0</v>
      </c>
      <c r="EA276">
        <v>0</v>
      </c>
      <c r="EB276">
        <v>0</v>
      </c>
      <c r="EC276">
        <v>0</v>
      </c>
      <c r="ED276">
        <v>0</v>
      </c>
      <c r="EE276">
        <v>0</v>
      </c>
      <c r="EF276">
        <v>0</v>
      </c>
      <c r="EG276">
        <v>0</v>
      </c>
      <c r="EH276">
        <v>0</v>
      </c>
      <c r="EI276">
        <v>0</v>
      </c>
      <c r="EJ276">
        <v>0</v>
      </c>
      <c r="EK276">
        <v>0</v>
      </c>
      <c r="EL276">
        <v>0</v>
      </c>
      <c r="EM276">
        <v>0</v>
      </c>
      <c r="EN276">
        <v>0</v>
      </c>
      <c r="EO276">
        <v>0</v>
      </c>
      <c r="EP276">
        <v>0</v>
      </c>
      <c r="EQ276">
        <v>0</v>
      </c>
      <c r="ER276">
        <v>0</v>
      </c>
      <c r="ES276">
        <v>0</v>
      </c>
      <c r="ET276">
        <v>0</v>
      </c>
      <c r="EU276">
        <v>962</v>
      </c>
      <c r="EV276">
        <v>98</v>
      </c>
      <c r="EW276">
        <v>-32</v>
      </c>
      <c r="EX276">
        <v>950</v>
      </c>
      <c r="EY276">
        <v>0</v>
      </c>
      <c r="EZ276">
        <v>0</v>
      </c>
      <c r="FA276">
        <v>0</v>
      </c>
      <c r="FB276">
        <v>0</v>
      </c>
      <c r="FC276">
        <v>0</v>
      </c>
      <c r="FD276">
        <v>1797</v>
      </c>
      <c r="FE276">
        <v>0</v>
      </c>
      <c r="FF276">
        <v>0</v>
      </c>
      <c r="FG276">
        <v>8486</v>
      </c>
      <c r="FH276">
        <v>12261</v>
      </c>
      <c r="FI276">
        <v>0</v>
      </c>
      <c r="FJ276">
        <v>1663</v>
      </c>
      <c r="FK276">
        <v>0</v>
      </c>
      <c r="FL276">
        <v>0</v>
      </c>
      <c r="FM276">
        <v>0</v>
      </c>
      <c r="FN276">
        <v>0</v>
      </c>
      <c r="FO276">
        <v>0</v>
      </c>
      <c r="FP276">
        <v>0</v>
      </c>
      <c r="FQ276">
        <v>0</v>
      </c>
      <c r="FR276">
        <v>0</v>
      </c>
      <c r="FS276">
        <v>0</v>
      </c>
      <c r="FT276">
        <v>0</v>
      </c>
      <c r="FU276">
        <v>0</v>
      </c>
      <c r="FV276">
        <v>354</v>
      </c>
      <c r="FW276">
        <v>102</v>
      </c>
      <c r="FX276">
        <v>0</v>
      </c>
      <c r="FY276">
        <v>0</v>
      </c>
      <c r="FZ276">
        <v>0</v>
      </c>
      <c r="GA276">
        <v>0</v>
      </c>
      <c r="GB276">
        <v>0</v>
      </c>
      <c r="GC276">
        <v>0</v>
      </c>
      <c r="GD276">
        <v>0</v>
      </c>
      <c r="GE276">
        <v>0</v>
      </c>
      <c r="GF276">
        <v>19188</v>
      </c>
      <c r="GG276">
        <v>24</v>
      </c>
      <c r="GH276">
        <v>8069</v>
      </c>
      <c r="GI276">
        <v>186</v>
      </c>
      <c r="GJ276">
        <v>0</v>
      </c>
      <c r="GK276">
        <v>29586</v>
      </c>
      <c r="GL276">
        <v>0</v>
      </c>
      <c r="GM276">
        <v>615</v>
      </c>
      <c r="GN276">
        <v>0</v>
      </c>
      <c r="GO276">
        <v>12</v>
      </c>
      <c r="GP276">
        <v>0</v>
      </c>
      <c r="GQ276">
        <v>4232</v>
      </c>
      <c r="GR276">
        <v>0</v>
      </c>
      <c r="GS276">
        <v>78</v>
      </c>
      <c r="GT276">
        <v>0</v>
      </c>
      <c r="GU276">
        <v>4937</v>
      </c>
      <c r="GV276">
        <v>46784</v>
      </c>
      <c r="GW276">
        <v>0</v>
      </c>
      <c r="GX276">
        <v>0</v>
      </c>
      <c r="GY276">
        <v>26964</v>
      </c>
      <c r="GZ276">
        <v>0</v>
      </c>
      <c r="HA276">
        <v>26964</v>
      </c>
      <c r="HB276">
        <v>11468</v>
      </c>
      <c r="HC276">
        <v>0</v>
      </c>
      <c r="HD276">
        <v>0</v>
      </c>
      <c r="HE276">
        <v>0</v>
      </c>
      <c r="HF276">
        <v>0</v>
      </c>
      <c r="HG276">
        <v>0</v>
      </c>
      <c r="HH276">
        <v>0</v>
      </c>
      <c r="HI276">
        <v>-122</v>
      </c>
      <c r="HJ276">
        <v>0</v>
      </c>
      <c r="HK276">
        <v>799</v>
      </c>
      <c r="HL276">
        <v>314</v>
      </c>
      <c r="HM276">
        <v>0</v>
      </c>
      <c r="HN276">
        <v>0</v>
      </c>
      <c r="HO276">
        <v>468</v>
      </c>
      <c r="HP276">
        <v>1194</v>
      </c>
      <c r="HQ276">
        <v>0</v>
      </c>
      <c r="HR276">
        <v>11</v>
      </c>
      <c r="HS276">
        <v>0</v>
      </c>
      <c r="HT276">
        <v>0</v>
      </c>
      <c r="HU276">
        <v>-21</v>
      </c>
      <c r="HV276">
        <v>14111</v>
      </c>
      <c r="HW276">
        <v>0</v>
      </c>
      <c r="HX276">
        <v>46385</v>
      </c>
      <c r="HY276">
        <v>0</v>
      </c>
      <c r="HZ276">
        <v>0</v>
      </c>
      <c r="IA276">
        <v>7846</v>
      </c>
      <c r="IB276">
        <v>0</v>
      </c>
      <c r="IC276">
        <v>302135</v>
      </c>
      <c r="ID276">
        <v>41127</v>
      </c>
      <c r="IE276">
        <v>124385</v>
      </c>
      <c r="IF276">
        <v>234523</v>
      </c>
      <c r="IG276">
        <v>32600</v>
      </c>
      <c r="IH276">
        <v>3734</v>
      </c>
      <c r="II276">
        <v>12261</v>
      </c>
      <c r="IJ276">
        <v>29586</v>
      </c>
      <c r="IK276">
        <v>4937</v>
      </c>
      <c r="IL276">
        <v>0</v>
      </c>
      <c r="IM276">
        <v>26964</v>
      </c>
      <c r="IN276">
        <v>14111</v>
      </c>
      <c r="IO276">
        <v>0</v>
      </c>
      <c r="IP276">
        <v>826364</v>
      </c>
      <c r="IQ276">
        <v>0</v>
      </c>
      <c r="IR276">
        <v>0</v>
      </c>
      <c r="IS276">
        <v>0</v>
      </c>
      <c r="IT276">
        <v>0</v>
      </c>
      <c r="IU276">
        <v>0</v>
      </c>
      <c r="IV276">
        <v>0</v>
      </c>
      <c r="IW276">
        <v>0</v>
      </c>
      <c r="IX276">
        <v>0</v>
      </c>
      <c r="IY276">
        <v>0</v>
      </c>
      <c r="IZ276">
        <v>0</v>
      </c>
      <c r="JA276">
        <v>1119</v>
      </c>
      <c r="JB276">
        <v>0</v>
      </c>
      <c r="JC276">
        <v>1452</v>
      </c>
      <c r="JD276">
        <v>-171</v>
      </c>
      <c r="JE276">
        <v>1055</v>
      </c>
      <c r="JF276">
        <v>0</v>
      </c>
      <c r="JG276">
        <v>829819</v>
      </c>
      <c r="JH276">
        <v>607</v>
      </c>
      <c r="JI276">
        <v>495</v>
      </c>
      <c r="JJ276">
        <v>0</v>
      </c>
      <c r="JK276">
        <v>0</v>
      </c>
      <c r="JL276">
        <v>0</v>
      </c>
      <c r="JM276">
        <v>0</v>
      </c>
      <c r="JN276">
        <v>8123</v>
      </c>
      <c r="JO276">
        <v>0</v>
      </c>
      <c r="JP276">
        <v>16055</v>
      </c>
      <c r="JQ276">
        <v>0</v>
      </c>
      <c r="JR276">
        <v>855099</v>
      </c>
      <c r="JS276">
        <v>-6174</v>
      </c>
      <c r="JT276">
        <v>2</v>
      </c>
      <c r="JU276">
        <v>0</v>
      </c>
      <c r="JV276">
        <v>0</v>
      </c>
      <c r="JW276">
        <v>-3824</v>
      </c>
      <c r="JX276">
        <v>0</v>
      </c>
      <c r="JY276">
        <v>0</v>
      </c>
      <c r="JZ276">
        <v>0</v>
      </c>
      <c r="KA276">
        <v>0</v>
      </c>
      <c r="KB276">
        <v>-18068</v>
      </c>
      <c r="KC276">
        <v>827035</v>
      </c>
      <c r="KD276">
        <v>-600</v>
      </c>
      <c r="KE276">
        <v>-341856</v>
      </c>
      <c r="KF276">
        <v>484579</v>
      </c>
      <c r="KG276">
        <v>0</v>
      </c>
      <c r="KH276">
        <v>2757</v>
      </c>
      <c r="KI276">
        <v>0</v>
      </c>
      <c r="KJ276">
        <v>1575</v>
      </c>
      <c r="KK276">
        <v>34340</v>
      </c>
      <c r="KL276">
        <v>4665</v>
      </c>
      <c r="KM276">
        <v>0</v>
      </c>
      <c r="KN276">
        <v>0</v>
      </c>
      <c r="KO276">
        <v>-79543</v>
      </c>
      <c r="KP276">
        <v>-6591</v>
      </c>
      <c r="KQ276">
        <v>0</v>
      </c>
      <c r="KR276">
        <v>407954</v>
      </c>
      <c r="KS276">
        <v>11761</v>
      </c>
      <c r="KT276">
        <v>0</v>
      </c>
      <c r="KU276">
        <v>4306</v>
      </c>
      <c r="KV276">
        <v>135430</v>
      </c>
      <c r="KW276">
        <v>34679</v>
      </c>
      <c r="KX276">
        <v>14518</v>
      </c>
      <c r="KY276">
        <v>0</v>
      </c>
      <c r="KZ276">
        <v>5881</v>
      </c>
      <c r="LA276">
        <v>169770</v>
      </c>
      <c r="LB276">
        <v>39344</v>
      </c>
      <c r="LC276">
        <v>0</v>
      </c>
      <c r="LD276">
        <v>0</v>
      </c>
      <c r="LE276">
        <v>189</v>
      </c>
      <c r="LF276">
        <v>0</v>
      </c>
      <c r="LG276">
        <v>0</v>
      </c>
      <c r="LH276">
        <v>0</v>
      </c>
      <c r="LI276">
        <v>171</v>
      </c>
      <c r="LJ276">
        <v>0</v>
      </c>
      <c r="LK276">
        <v>0</v>
      </c>
      <c r="LL276">
        <v>0</v>
      </c>
      <c r="LM276">
        <v>0</v>
      </c>
      <c r="LN276">
        <v>0</v>
      </c>
      <c r="LO276">
        <v>0</v>
      </c>
      <c r="LP276">
        <v>0</v>
      </c>
      <c r="LQ276">
        <v>0</v>
      </c>
      <c r="LR276">
        <v>0</v>
      </c>
      <c r="LS276">
        <v>0</v>
      </c>
      <c r="LT276">
        <v>0</v>
      </c>
      <c r="LU276">
        <v>302135</v>
      </c>
      <c r="LV276">
        <v>41127</v>
      </c>
      <c r="LW276">
        <v>124385</v>
      </c>
      <c r="LX276">
        <v>234523</v>
      </c>
      <c r="LY276">
        <v>32600</v>
      </c>
      <c r="LZ276">
        <v>3734</v>
      </c>
      <c r="MA276">
        <v>12261</v>
      </c>
      <c r="MB276">
        <v>29586</v>
      </c>
      <c r="MC276">
        <v>4937</v>
      </c>
      <c r="MD276">
        <v>0</v>
      </c>
      <c r="ME276">
        <v>26964</v>
      </c>
      <c r="MF276">
        <v>14111</v>
      </c>
      <c r="MG276">
        <v>0</v>
      </c>
      <c r="MH276">
        <v>826364</v>
      </c>
      <c r="MI276">
        <v>0</v>
      </c>
      <c r="MJ276">
        <v>0</v>
      </c>
      <c r="MK276">
        <v>0</v>
      </c>
      <c r="ML276">
        <v>0</v>
      </c>
      <c r="MM276">
        <v>0</v>
      </c>
      <c r="MN276">
        <v>0</v>
      </c>
      <c r="MO276">
        <v>0</v>
      </c>
      <c r="MP276">
        <v>0</v>
      </c>
      <c r="MQ276">
        <v>0</v>
      </c>
      <c r="MR276">
        <v>0</v>
      </c>
      <c r="MS276">
        <v>0</v>
      </c>
      <c r="MT276">
        <v>0</v>
      </c>
      <c r="MU276">
        <v>0</v>
      </c>
      <c r="MV276">
        <v>0</v>
      </c>
      <c r="MW276">
        <v>0</v>
      </c>
      <c r="MX276">
        <v>0</v>
      </c>
      <c r="MY276">
        <v>0</v>
      </c>
      <c r="MZ276">
        <v>0</v>
      </c>
      <c r="NA276">
        <v>0</v>
      </c>
      <c r="NB276">
        <v>0</v>
      </c>
      <c r="NC276">
        <v>0</v>
      </c>
      <c r="ND276">
        <v>0</v>
      </c>
      <c r="NE276">
        <v>0</v>
      </c>
      <c r="NF276">
        <v>0</v>
      </c>
      <c r="NG276">
        <v>0</v>
      </c>
      <c r="NH276">
        <v>0</v>
      </c>
      <c r="NI276">
        <v>0</v>
      </c>
      <c r="NJ276">
        <v>0</v>
      </c>
      <c r="NK276">
        <v>0</v>
      </c>
      <c r="NL276">
        <v>0</v>
      </c>
      <c r="NM276">
        <v>0</v>
      </c>
      <c r="NN276">
        <v>0</v>
      </c>
      <c r="NO276">
        <v>0</v>
      </c>
      <c r="NP276">
        <v>0</v>
      </c>
      <c r="NQ276">
        <v>0</v>
      </c>
      <c r="NR276">
        <v>0</v>
      </c>
      <c r="NS276">
        <v>0</v>
      </c>
      <c r="NT276">
        <v>0</v>
      </c>
      <c r="NU276">
        <v>0</v>
      </c>
      <c r="NV276">
        <v>0</v>
      </c>
      <c r="NW276">
        <v>0</v>
      </c>
      <c r="NX276">
        <v>0</v>
      </c>
      <c r="NY276">
        <v>0</v>
      </c>
      <c r="NZ276">
        <v>1280</v>
      </c>
      <c r="OA276">
        <v>172</v>
      </c>
      <c r="OB276">
        <v>1452</v>
      </c>
      <c r="OC276">
        <v>0</v>
      </c>
      <c r="OD276">
        <v>0</v>
      </c>
      <c r="OE276">
        <v>0</v>
      </c>
      <c r="OF276">
        <v>0</v>
      </c>
      <c r="OG276">
        <v>0</v>
      </c>
      <c r="OH276">
        <v>0</v>
      </c>
      <c r="OI276">
        <v>189</v>
      </c>
      <c r="OJ276">
        <v>0</v>
      </c>
      <c r="OK276">
        <v>-17</v>
      </c>
      <c r="OL276">
        <v>0</v>
      </c>
      <c r="OM276">
        <v>0</v>
      </c>
      <c r="ON276">
        <v>172</v>
      </c>
    </row>
    <row r="277" spans="1:404" x14ac:dyDescent="0.25">
      <c r="A277" t="s">
        <v>901</v>
      </c>
      <c r="B277" t="s">
        <v>902</v>
      </c>
      <c r="C277" t="s">
        <v>900</v>
      </c>
      <c r="E277" t="s">
        <v>5418</v>
      </c>
      <c r="F277">
        <v>0</v>
      </c>
      <c r="G277">
        <v>0</v>
      </c>
      <c r="H277">
        <v>0</v>
      </c>
      <c r="I277">
        <v>0</v>
      </c>
      <c r="J277">
        <v>0</v>
      </c>
      <c r="K277">
        <v>0</v>
      </c>
      <c r="L277">
        <v>0</v>
      </c>
      <c r="M277">
        <v>0</v>
      </c>
      <c r="N277">
        <v>64</v>
      </c>
      <c r="O277">
        <v>0</v>
      </c>
      <c r="P277">
        <v>0</v>
      </c>
      <c r="Q277">
        <v>0</v>
      </c>
      <c r="R277">
        <v>0</v>
      </c>
      <c r="S277">
        <v>0</v>
      </c>
      <c r="T277">
        <v>0</v>
      </c>
      <c r="U277">
        <v>0</v>
      </c>
      <c r="V277">
        <v>0</v>
      </c>
      <c r="W277">
        <v>0</v>
      </c>
      <c r="X277">
        <v>0</v>
      </c>
      <c r="Y277">
        <v>0</v>
      </c>
      <c r="Z277">
        <v>0</v>
      </c>
      <c r="AA277">
        <v>-422</v>
      </c>
      <c r="AB277">
        <v>0</v>
      </c>
      <c r="AC277">
        <v>0</v>
      </c>
      <c r="AD277">
        <v>0</v>
      </c>
      <c r="AE277">
        <v>0</v>
      </c>
      <c r="AF277">
        <v>0</v>
      </c>
      <c r="AG277">
        <v>0</v>
      </c>
      <c r="AH277">
        <v>0</v>
      </c>
      <c r="AI277">
        <v>-358</v>
      </c>
      <c r="AJ277">
        <v>0</v>
      </c>
      <c r="AK277">
        <v>0</v>
      </c>
      <c r="AL277">
        <v>0</v>
      </c>
      <c r="AM277">
        <v>0</v>
      </c>
      <c r="AN277">
        <v>0</v>
      </c>
      <c r="AO277">
        <v>0</v>
      </c>
      <c r="AP277">
        <v>0</v>
      </c>
      <c r="AQ277">
        <v>0</v>
      </c>
      <c r="AR277">
        <v>0</v>
      </c>
      <c r="AS277">
        <v>0</v>
      </c>
      <c r="AT277">
        <v>0</v>
      </c>
      <c r="AU277">
        <v>0</v>
      </c>
      <c r="AV277">
        <v>0</v>
      </c>
      <c r="AW277">
        <v>0</v>
      </c>
      <c r="AX277">
        <v>0</v>
      </c>
      <c r="AY277">
        <v>0</v>
      </c>
      <c r="AZ277">
        <v>0</v>
      </c>
      <c r="BA277">
        <v>0</v>
      </c>
      <c r="BB277">
        <v>0</v>
      </c>
      <c r="BC277">
        <v>0</v>
      </c>
      <c r="BD277">
        <v>0</v>
      </c>
      <c r="BE277">
        <v>0</v>
      </c>
      <c r="BF277">
        <v>0</v>
      </c>
      <c r="BG277">
        <v>0</v>
      </c>
      <c r="BH277">
        <v>0</v>
      </c>
      <c r="BI277">
        <v>0</v>
      </c>
      <c r="BJ277">
        <v>0</v>
      </c>
      <c r="BK277">
        <v>0</v>
      </c>
      <c r="BL277">
        <v>0</v>
      </c>
      <c r="BM277">
        <v>0</v>
      </c>
      <c r="BN277">
        <v>0</v>
      </c>
      <c r="BO277">
        <v>0</v>
      </c>
      <c r="BP277">
        <v>0</v>
      </c>
      <c r="BQ277">
        <v>0</v>
      </c>
      <c r="BR277">
        <v>0</v>
      </c>
      <c r="BS277">
        <v>0</v>
      </c>
      <c r="BT277">
        <v>0</v>
      </c>
      <c r="BU277">
        <v>0</v>
      </c>
      <c r="BV277">
        <v>0</v>
      </c>
      <c r="BW277">
        <v>0</v>
      </c>
      <c r="BX277">
        <v>0</v>
      </c>
      <c r="BY277">
        <v>0</v>
      </c>
      <c r="BZ277">
        <v>0</v>
      </c>
      <c r="CA277">
        <v>0</v>
      </c>
      <c r="CB277">
        <v>0</v>
      </c>
      <c r="CC277">
        <v>0</v>
      </c>
      <c r="CD277">
        <v>0</v>
      </c>
      <c r="CE277">
        <v>0</v>
      </c>
      <c r="CF277">
        <v>0</v>
      </c>
      <c r="CG277">
        <v>0</v>
      </c>
      <c r="CH277">
        <v>0</v>
      </c>
      <c r="CI277">
        <v>0</v>
      </c>
      <c r="CJ277">
        <v>0</v>
      </c>
      <c r="CK277">
        <v>0</v>
      </c>
      <c r="CL277">
        <v>0</v>
      </c>
      <c r="CM277">
        <v>0</v>
      </c>
      <c r="CN277">
        <v>0</v>
      </c>
      <c r="CO277">
        <v>0</v>
      </c>
      <c r="CP277">
        <v>0</v>
      </c>
      <c r="CQ277">
        <v>0</v>
      </c>
      <c r="CR277">
        <v>0</v>
      </c>
      <c r="CS277">
        <v>0</v>
      </c>
      <c r="CT277">
        <v>0</v>
      </c>
      <c r="CU277">
        <v>0</v>
      </c>
      <c r="CV277">
        <v>0</v>
      </c>
      <c r="CW277">
        <v>0</v>
      </c>
      <c r="CX277">
        <v>0</v>
      </c>
      <c r="CY277">
        <v>0</v>
      </c>
      <c r="CZ277">
        <v>0</v>
      </c>
      <c r="DA277">
        <v>0</v>
      </c>
      <c r="DB277">
        <v>0</v>
      </c>
      <c r="DC277">
        <v>0</v>
      </c>
      <c r="DD277">
        <v>0</v>
      </c>
      <c r="DE277">
        <v>0</v>
      </c>
      <c r="DF277">
        <v>0</v>
      </c>
      <c r="DG277">
        <v>0</v>
      </c>
      <c r="DH277">
        <v>0</v>
      </c>
      <c r="DI277">
        <v>0</v>
      </c>
      <c r="DJ277">
        <v>0</v>
      </c>
      <c r="DK277">
        <v>0</v>
      </c>
      <c r="DL277">
        <v>0</v>
      </c>
      <c r="DM277">
        <v>0</v>
      </c>
      <c r="DN277">
        <v>0</v>
      </c>
      <c r="DO277">
        <v>0</v>
      </c>
      <c r="DP277">
        <v>0</v>
      </c>
      <c r="DQ277">
        <v>0</v>
      </c>
      <c r="DR277">
        <v>0</v>
      </c>
      <c r="DS277">
        <v>0</v>
      </c>
      <c r="DT277">
        <v>0</v>
      </c>
      <c r="DU277">
        <v>0</v>
      </c>
      <c r="DV277">
        <v>0</v>
      </c>
      <c r="DW277">
        <v>0</v>
      </c>
      <c r="DX277">
        <v>0</v>
      </c>
      <c r="DY277">
        <v>0</v>
      </c>
      <c r="DZ277">
        <v>0</v>
      </c>
      <c r="EA277">
        <v>0</v>
      </c>
      <c r="EB277">
        <v>0</v>
      </c>
      <c r="EC277">
        <v>0</v>
      </c>
      <c r="ED277">
        <v>0</v>
      </c>
      <c r="EE277">
        <v>0</v>
      </c>
      <c r="EF277">
        <v>0</v>
      </c>
      <c r="EG277">
        <v>0</v>
      </c>
      <c r="EH277">
        <v>0</v>
      </c>
      <c r="EI277">
        <v>0</v>
      </c>
      <c r="EJ277">
        <v>0</v>
      </c>
      <c r="EK277">
        <v>0</v>
      </c>
      <c r="EL277">
        <v>0</v>
      </c>
      <c r="EM277">
        <v>0</v>
      </c>
      <c r="EN277">
        <v>0</v>
      </c>
      <c r="EO277">
        <v>0</v>
      </c>
      <c r="EP277">
        <v>0</v>
      </c>
      <c r="EQ277">
        <v>0</v>
      </c>
      <c r="ER277">
        <v>0</v>
      </c>
      <c r="ES277">
        <v>0</v>
      </c>
      <c r="ET277">
        <v>0</v>
      </c>
      <c r="EU277">
        <v>0</v>
      </c>
      <c r="EV277">
        <v>0</v>
      </c>
      <c r="EW277">
        <v>0</v>
      </c>
      <c r="EX277">
        <v>0</v>
      </c>
      <c r="EY277">
        <v>0</v>
      </c>
      <c r="EZ277">
        <v>0</v>
      </c>
      <c r="FA277">
        <v>0</v>
      </c>
      <c r="FB277">
        <v>0</v>
      </c>
      <c r="FC277">
        <v>0</v>
      </c>
      <c r="FD277">
        <v>4693</v>
      </c>
      <c r="FE277">
        <v>0</v>
      </c>
      <c r="FF277">
        <v>124</v>
      </c>
      <c r="FG277">
        <v>0</v>
      </c>
      <c r="FH277">
        <v>4817</v>
      </c>
      <c r="FI277">
        <v>0</v>
      </c>
      <c r="FJ277">
        <v>0</v>
      </c>
      <c r="FK277">
        <v>0</v>
      </c>
      <c r="FL277">
        <v>0</v>
      </c>
      <c r="FM277">
        <v>0</v>
      </c>
      <c r="FN277">
        <v>0</v>
      </c>
      <c r="FO277">
        <v>0</v>
      </c>
      <c r="FP277">
        <v>0</v>
      </c>
      <c r="FQ277">
        <v>0</v>
      </c>
      <c r="FR277">
        <v>0</v>
      </c>
      <c r="FS277">
        <v>179</v>
      </c>
      <c r="FT277">
        <v>0</v>
      </c>
      <c r="FU277">
        <v>0</v>
      </c>
      <c r="FV277">
        <v>0</v>
      </c>
      <c r="FW277">
        <v>0</v>
      </c>
      <c r="FX277">
        <v>0</v>
      </c>
      <c r="FY277">
        <v>0</v>
      </c>
      <c r="FZ277">
        <v>0</v>
      </c>
      <c r="GA277">
        <v>0</v>
      </c>
      <c r="GB277">
        <v>0</v>
      </c>
      <c r="GC277">
        <v>0</v>
      </c>
      <c r="GD277">
        <v>21</v>
      </c>
      <c r="GE277">
        <v>0</v>
      </c>
      <c r="GF277">
        <v>0</v>
      </c>
      <c r="GG277">
        <v>0</v>
      </c>
      <c r="GH277">
        <v>0</v>
      </c>
      <c r="GI277">
        <v>0</v>
      </c>
      <c r="GJ277">
        <v>0</v>
      </c>
      <c r="GK277">
        <v>200</v>
      </c>
      <c r="GL277">
        <v>0</v>
      </c>
      <c r="GM277">
        <v>445</v>
      </c>
      <c r="GN277">
        <v>88</v>
      </c>
      <c r="GO277">
        <v>385</v>
      </c>
      <c r="GP277">
        <v>0</v>
      </c>
      <c r="GQ277">
        <v>0</v>
      </c>
      <c r="GR277">
        <v>0</v>
      </c>
      <c r="GS277">
        <v>0</v>
      </c>
      <c r="GT277">
        <v>0</v>
      </c>
      <c r="GU277">
        <v>918</v>
      </c>
      <c r="GV277">
        <v>5935</v>
      </c>
      <c r="GW277">
        <v>0</v>
      </c>
      <c r="GX277">
        <v>0</v>
      </c>
      <c r="GY277">
        <v>0</v>
      </c>
      <c r="GZ277">
        <v>0</v>
      </c>
      <c r="HA277">
        <v>0</v>
      </c>
      <c r="HB277">
        <v>515</v>
      </c>
      <c r="HC277">
        <v>0</v>
      </c>
      <c r="HD277">
        <v>0</v>
      </c>
      <c r="HE277">
        <v>0</v>
      </c>
      <c r="HF277">
        <v>0</v>
      </c>
      <c r="HG277">
        <v>0</v>
      </c>
      <c r="HH277">
        <v>0</v>
      </c>
      <c r="HI277">
        <v>0</v>
      </c>
      <c r="HJ277">
        <v>0</v>
      </c>
      <c r="HK277">
        <v>0</v>
      </c>
      <c r="HL277">
        <v>0</v>
      </c>
      <c r="HM277">
        <v>0</v>
      </c>
      <c r="HN277">
        <v>0</v>
      </c>
      <c r="HO277">
        <v>0</v>
      </c>
      <c r="HP277">
        <v>0</v>
      </c>
      <c r="HQ277">
        <v>0</v>
      </c>
      <c r="HR277">
        <v>9</v>
      </c>
      <c r="HS277">
        <v>0</v>
      </c>
      <c r="HT277">
        <v>0</v>
      </c>
      <c r="HU277">
        <v>0</v>
      </c>
      <c r="HV277">
        <v>524</v>
      </c>
      <c r="HW277">
        <v>0</v>
      </c>
      <c r="HX277">
        <v>1904</v>
      </c>
      <c r="HY277">
        <v>0</v>
      </c>
      <c r="HZ277">
        <v>0</v>
      </c>
      <c r="IA277">
        <v>0</v>
      </c>
      <c r="IB277">
        <v>0</v>
      </c>
      <c r="IC277">
        <v>0</v>
      </c>
      <c r="ID277">
        <v>-358</v>
      </c>
      <c r="IE277">
        <v>0</v>
      </c>
      <c r="IF277">
        <v>0</v>
      </c>
      <c r="IG277">
        <v>0</v>
      </c>
      <c r="IH277">
        <v>0</v>
      </c>
      <c r="II277">
        <v>4817</v>
      </c>
      <c r="IJ277">
        <v>200</v>
      </c>
      <c r="IK277">
        <v>918</v>
      </c>
      <c r="IL277">
        <v>0</v>
      </c>
      <c r="IM277">
        <v>0</v>
      </c>
      <c r="IN277">
        <v>524</v>
      </c>
      <c r="IO277">
        <v>0</v>
      </c>
      <c r="IP277">
        <v>6101</v>
      </c>
      <c r="IQ277">
        <v>0</v>
      </c>
      <c r="IR277">
        <v>0</v>
      </c>
      <c r="IS277">
        <v>0</v>
      </c>
      <c r="IT277">
        <v>0</v>
      </c>
      <c r="IU277">
        <v>0</v>
      </c>
      <c r="IV277">
        <v>0</v>
      </c>
      <c r="IW277">
        <v>0</v>
      </c>
      <c r="IX277">
        <v>0</v>
      </c>
      <c r="IY277">
        <v>0</v>
      </c>
      <c r="IZ277">
        <v>0</v>
      </c>
      <c r="JA277">
        <v>0</v>
      </c>
      <c r="JB277">
        <v>0</v>
      </c>
      <c r="JC277">
        <v>0</v>
      </c>
      <c r="JD277">
        <v>0</v>
      </c>
      <c r="JE277">
        <v>0</v>
      </c>
      <c r="JF277">
        <v>0</v>
      </c>
      <c r="JG277">
        <v>6101</v>
      </c>
      <c r="JH277">
        <v>0</v>
      </c>
      <c r="JI277">
        <v>250</v>
      </c>
      <c r="JJ277">
        <v>0</v>
      </c>
      <c r="JK277">
        <v>0</v>
      </c>
      <c r="JL277">
        <v>0</v>
      </c>
      <c r="JM277">
        <v>0</v>
      </c>
      <c r="JN277">
        <v>158</v>
      </c>
      <c r="JO277">
        <v>0</v>
      </c>
      <c r="JP277">
        <v>18</v>
      </c>
      <c r="JQ277">
        <v>0</v>
      </c>
      <c r="JR277">
        <v>6527</v>
      </c>
      <c r="JS277">
        <v>-19</v>
      </c>
      <c r="JT277">
        <v>0</v>
      </c>
      <c r="JU277">
        <v>0</v>
      </c>
      <c r="JV277">
        <v>0</v>
      </c>
      <c r="JW277">
        <v>-2817</v>
      </c>
      <c r="JX277">
        <v>0</v>
      </c>
      <c r="JY277">
        <v>0</v>
      </c>
      <c r="JZ277">
        <v>0</v>
      </c>
      <c r="KA277">
        <v>0</v>
      </c>
      <c r="KB277">
        <v>0</v>
      </c>
      <c r="KC277">
        <v>3691</v>
      </c>
      <c r="KD277">
        <v>0</v>
      </c>
      <c r="KE277">
        <v>-6699</v>
      </c>
      <c r="KF277">
        <v>-3008</v>
      </c>
      <c r="KG277">
        <v>0</v>
      </c>
      <c r="KH277">
        <v>0</v>
      </c>
      <c r="KI277">
        <v>0</v>
      </c>
      <c r="KJ277">
        <v>0</v>
      </c>
      <c r="KK277">
        <v>2615</v>
      </c>
      <c r="KL277">
        <v>393</v>
      </c>
      <c r="KM277">
        <v>0</v>
      </c>
      <c r="KN277">
        <v>0</v>
      </c>
      <c r="KO277">
        <v>0</v>
      </c>
      <c r="KP277">
        <v>0</v>
      </c>
      <c r="KQ277">
        <v>0</v>
      </c>
      <c r="KR277">
        <v>0</v>
      </c>
      <c r="KS277">
        <v>0</v>
      </c>
      <c r="KT277">
        <v>0</v>
      </c>
      <c r="KU277">
        <v>0</v>
      </c>
      <c r="KV277">
        <v>6382</v>
      </c>
      <c r="KW277">
        <v>221</v>
      </c>
      <c r="KX277">
        <v>0</v>
      </c>
      <c r="KY277">
        <v>0</v>
      </c>
      <c r="KZ277">
        <v>0</v>
      </c>
      <c r="LA277">
        <v>8997</v>
      </c>
      <c r="LB277">
        <v>614</v>
      </c>
      <c r="LC277">
        <v>-81</v>
      </c>
      <c r="LD277">
        <v>691</v>
      </c>
      <c r="LE277">
        <v>289</v>
      </c>
      <c r="LF277">
        <v>0</v>
      </c>
      <c r="LG277">
        <v>0</v>
      </c>
      <c r="LH277">
        <v>0</v>
      </c>
      <c r="LI277">
        <v>980</v>
      </c>
      <c r="LJ277">
        <v>0</v>
      </c>
      <c r="LK277">
        <v>0</v>
      </c>
      <c r="LL277">
        <v>0</v>
      </c>
      <c r="LM277">
        <v>0</v>
      </c>
      <c r="LN277">
        <v>0</v>
      </c>
      <c r="LO277">
        <v>0</v>
      </c>
      <c r="LP277">
        <v>0</v>
      </c>
      <c r="LQ277">
        <v>0</v>
      </c>
      <c r="LR277">
        <v>0</v>
      </c>
      <c r="LS277">
        <v>0</v>
      </c>
      <c r="LT277">
        <v>0</v>
      </c>
      <c r="LU277">
        <v>0</v>
      </c>
      <c r="LV277">
        <v>-358</v>
      </c>
      <c r="LW277">
        <v>0</v>
      </c>
      <c r="LX277">
        <v>0</v>
      </c>
      <c r="LY277">
        <v>0</v>
      </c>
      <c r="LZ277">
        <v>0</v>
      </c>
      <c r="MA277">
        <v>4817</v>
      </c>
      <c r="MB277">
        <v>200</v>
      </c>
      <c r="MC277">
        <v>918</v>
      </c>
      <c r="MD277">
        <v>0</v>
      </c>
      <c r="ME277">
        <v>0</v>
      </c>
      <c r="MF277">
        <v>524</v>
      </c>
      <c r="MG277">
        <v>0</v>
      </c>
      <c r="MH277">
        <v>6101</v>
      </c>
      <c r="MI277">
        <v>0</v>
      </c>
      <c r="MJ277">
        <v>0</v>
      </c>
      <c r="MK277">
        <v>0</v>
      </c>
      <c r="ML277">
        <v>0</v>
      </c>
      <c r="MM277">
        <v>0</v>
      </c>
      <c r="MN277">
        <v>0</v>
      </c>
      <c r="MO277">
        <v>0</v>
      </c>
      <c r="MP277">
        <v>0</v>
      </c>
      <c r="MQ277">
        <v>0</v>
      </c>
      <c r="MR277">
        <v>0</v>
      </c>
      <c r="MS277">
        <v>0</v>
      </c>
      <c r="MT277">
        <v>0</v>
      </c>
      <c r="MU277">
        <v>0</v>
      </c>
      <c r="MV277">
        <v>0</v>
      </c>
      <c r="MW277">
        <v>0</v>
      </c>
      <c r="MX277">
        <v>0</v>
      </c>
      <c r="MY277">
        <v>0</v>
      </c>
      <c r="MZ277">
        <v>0</v>
      </c>
      <c r="NA277">
        <v>0</v>
      </c>
      <c r="NB277">
        <v>0</v>
      </c>
      <c r="NC277">
        <v>0</v>
      </c>
      <c r="ND277">
        <v>0</v>
      </c>
      <c r="NE277">
        <v>0</v>
      </c>
      <c r="NF277">
        <v>0</v>
      </c>
      <c r="NG277">
        <v>0</v>
      </c>
      <c r="NH277">
        <v>0</v>
      </c>
      <c r="NI277">
        <v>0</v>
      </c>
      <c r="NJ277">
        <v>0</v>
      </c>
      <c r="NK277">
        <v>0</v>
      </c>
      <c r="NL277">
        <v>0</v>
      </c>
      <c r="NM277">
        <v>0</v>
      </c>
      <c r="NN277">
        <v>0</v>
      </c>
      <c r="NO277">
        <v>0</v>
      </c>
      <c r="NP277">
        <v>0</v>
      </c>
      <c r="NQ277">
        <v>0</v>
      </c>
      <c r="NR277">
        <v>0</v>
      </c>
      <c r="NS277">
        <v>0</v>
      </c>
      <c r="NT277">
        <v>0</v>
      </c>
      <c r="NU277">
        <v>0</v>
      </c>
      <c r="NV277">
        <v>0</v>
      </c>
      <c r="NW277">
        <v>0</v>
      </c>
      <c r="NX277">
        <v>0</v>
      </c>
      <c r="NY277">
        <v>0</v>
      </c>
      <c r="NZ277">
        <v>0</v>
      </c>
      <c r="OA277">
        <v>0</v>
      </c>
      <c r="OB277">
        <v>0</v>
      </c>
      <c r="OC277">
        <v>0</v>
      </c>
      <c r="OD277">
        <v>0</v>
      </c>
      <c r="OE277">
        <v>0</v>
      </c>
      <c r="OF277">
        <v>0</v>
      </c>
      <c r="OG277">
        <v>0</v>
      </c>
      <c r="OH277">
        <v>0</v>
      </c>
      <c r="OI277">
        <v>0</v>
      </c>
      <c r="OJ277">
        <v>0</v>
      </c>
      <c r="OK277">
        <v>0</v>
      </c>
      <c r="OL277">
        <v>0</v>
      </c>
      <c r="OM277">
        <v>0</v>
      </c>
      <c r="ON277">
        <v>0</v>
      </c>
    </row>
    <row r="278" spans="1:404" x14ac:dyDescent="0.25">
      <c r="A278" t="s">
        <v>904</v>
      </c>
      <c r="B278" t="s">
        <v>905</v>
      </c>
      <c r="C278" t="s">
        <v>903</v>
      </c>
      <c r="E278" t="s">
        <v>61</v>
      </c>
      <c r="F278">
        <v>0</v>
      </c>
      <c r="G278">
        <v>0</v>
      </c>
      <c r="H278">
        <v>0</v>
      </c>
      <c r="I278">
        <v>0</v>
      </c>
      <c r="J278">
        <v>0</v>
      </c>
      <c r="K278">
        <v>0</v>
      </c>
      <c r="L278">
        <v>0</v>
      </c>
      <c r="M278">
        <v>0</v>
      </c>
      <c r="N278">
        <v>0</v>
      </c>
      <c r="O278">
        <v>0</v>
      </c>
      <c r="P278">
        <v>0</v>
      </c>
      <c r="Q278">
        <v>0</v>
      </c>
      <c r="R278">
        <v>469</v>
      </c>
      <c r="S278">
        <v>0</v>
      </c>
      <c r="T278">
        <v>0</v>
      </c>
      <c r="U278">
        <v>0</v>
      </c>
      <c r="V278">
        <v>0</v>
      </c>
      <c r="W278">
        <v>0</v>
      </c>
      <c r="X278">
        <v>0</v>
      </c>
      <c r="Y278">
        <v>56</v>
      </c>
      <c r="Z278">
        <v>129</v>
      </c>
      <c r="AA278">
        <v>0</v>
      </c>
      <c r="AB278">
        <v>0</v>
      </c>
      <c r="AC278">
        <v>0</v>
      </c>
      <c r="AD278">
        <v>0</v>
      </c>
      <c r="AE278">
        <v>0</v>
      </c>
      <c r="AF278">
        <v>0</v>
      </c>
      <c r="AG278">
        <v>48</v>
      </c>
      <c r="AH278">
        <v>0</v>
      </c>
      <c r="AI278">
        <v>702</v>
      </c>
      <c r="AJ278">
        <v>0</v>
      </c>
      <c r="AK278">
        <v>0</v>
      </c>
      <c r="AL278">
        <v>93</v>
      </c>
      <c r="AM278">
        <v>0</v>
      </c>
      <c r="AN278">
        <v>0</v>
      </c>
      <c r="AO278">
        <v>0</v>
      </c>
      <c r="AP278">
        <v>0</v>
      </c>
      <c r="AQ278">
        <v>4</v>
      </c>
      <c r="AR278">
        <v>0</v>
      </c>
      <c r="AS278">
        <v>0</v>
      </c>
      <c r="AT278">
        <v>0</v>
      </c>
      <c r="AU278">
        <v>0</v>
      </c>
      <c r="AV278">
        <v>0</v>
      </c>
      <c r="AW278">
        <v>0</v>
      </c>
      <c r="AX278">
        <v>0</v>
      </c>
      <c r="AY278">
        <v>0</v>
      </c>
      <c r="AZ278">
        <v>0</v>
      </c>
      <c r="BA278">
        <v>0</v>
      </c>
      <c r="BB278">
        <v>0</v>
      </c>
      <c r="BC278">
        <v>0</v>
      </c>
      <c r="BD278">
        <v>0</v>
      </c>
      <c r="BE278">
        <v>0</v>
      </c>
      <c r="BF278">
        <v>0</v>
      </c>
      <c r="BG278">
        <v>0</v>
      </c>
      <c r="BH278">
        <v>0</v>
      </c>
      <c r="BI278">
        <v>0</v>
      </c>
      <c r="BJ278">
        <v>0</v>
      </c>
      <c r="BK278">
        <v>0</v>
      </c>
      <c r="BL278">
        <v>0</v>
      </c>
      <c r="BM278">
        <v>0</v>
      </c>
      <c r="BN278">
        <v>0</v>
      </c>
      <c r="BO278">
        <v>0</v>
      </c>
      <c r="BP278">
        <v>0</v>
      </c>
      <c r="BQ278">
        <v>0</v>
      </c>
      <c r="BR278">
        <v>0</v>
      </c>
      <c r="BS278">
        <v>0</v>
      </c>
      <c r="BT278">
        <v>0</v>
      </c>
      <c r="BU278">
        <v>0</v>
      </c>
      <c r="BV278">
        <v>0</v>
      </c>
      <c r="BW278">
        <v>0</v>
      </c>
      <c r="BX278">
        <v>0</v>
      </c>
      <c r="BY278">
        <v>0</v>
      </c>
      <c r="BZ278">
        <v>0</v>
      </c>
      <c r="CA278">
        <v>0</v>
      </c>
      <c r="CB278">
        <v>0</v>
      </c>
      <c r="CC278">
        <v>0</v>
      </c>
      <c r="CD278">
        <v>0</v>
      </c>
      <c r="CE278">
        <v>0</v>
      </c>
      <c r="CF278">
        <v>0</v>
      </c>
      <c r="CG278">
        <v>0</v>
      </c>
      <c r="CH278">
        <v>0</v>
      </c>
      <c r="CI278">
        <v>0</v>
      </c>
      <c r="CJ278">
        <v>0</v>
      </c>
      <c r="CK278">
        <v>0</v>
      </c>
      <c r="CL278">
        <v>0</v>
      </c>
      <c r="CM278">
        <v>0</v>
      </c>
      <c r="CN278">
        <v>0</v>
      </c>
      <c r="CO278">
        <v>0</v>
      </c>
      <c r="CP278">
        <v>0</v>
      </c>
      <c r="CQ278">
        <v>0</v>
      </c>
      <c r="CR278">
        <v>0</v>
      </c>
      <c r="CS278">
        <v>0</v>
      </c>
      <c r="CT278">
        <v>0</v>
      </c>
      <c r="CU278">
        <v>0</v>
      </c>
      <c r="CV278">
        <v>0</v>
      </c>
      <c r="CW278">
        <v>0</v>
      </c>
      <c r="CX278">
        <v>0</v>
      </c>
      <c r="CY278">
        <v>0</v>
      </c>
      <c r="CZ278">
        <v>0</v>
      </c>
      <c r="DA278">
        <v>0</v>
      </c>
      <c r="DB278">
        <v>0</v>
      </c>
      <c r="DC278">
        <v>890</v>
      </c>
      <c r="DD278">
        <v>0</v>
      </c>
      <c r="DE278">
        <v>0</v>
      </c>
      <c r="DF278">
        <v>0</v>
      </c>
      <c r="DG278">
        <v>252</v>
      </c>
      <c r="DH278">
        <v>0</v>
      </c>
      <c r="DI278">
        <v>0</v>
      </c>
      <c r="DJ278">
        <v>0</v>
      </c>
      <c r="DK278">
        <v>0</v>
      </c>
      <c r="DL278">
        <v>0</v>
      </c>
      <c r="DM278">
        <v>0</v>
      </c>
      <c r="DN278">
        <v>0</v>
      </c>
      <c r="DO278">
        <v>0</v>
      </c>
      <c r="DP278">
        <v>252</v>
      </c>
      <c r="DQ278">
        <v>0</v>
      </c>
      <c r="DR278">
        <v>0</v>
      </c>
      <c r="DS278">
        <v>0</v>
      </c>
      <c r="DT278">
        <v>884</v>
      </c>
      <c r="DU278">
        <v>0</v>
      </c>
      <c r="DV278">
        <v>0</v>
      </c>
      <c r="DW278">
        <v>32</v>
      </c>
      <c r="DX278">
        <v>2058</v>
      </c>
      <c r="DY278">
        <v>0</v>
      </c>
      <c r="DZ278">
        <v>0</v>
      </c>
      <c r="EA278">
        <v>0</v>
      </c>
      <c r="EB278">
        <v>0</v>
      </c>
      <c r="EC278">
        <v>0</v>
      </c>
      <c r="ED278">
        <v>0</v>
      </c>
      <c r="EE278">
        <v>0</v>
      </c>
      <c r="EF278">
        <v>0</v>
      </c>
      <c r="EG278">
        <v>0</v>
      </c>
      <c r="EH278">
        <v>0</v>
      </c>
      <c r="EI278">
        <v>0</v>
      </c>
      <c r="EJ278">
        <v>0</v>
      </c>
      <c r="EK278">
        <v>0</v>
      </c>
      <c r="EL278">
        <v>0</v>
      </c>
      <c r="EM278">
        <v>0</v>
      </c>
      <c r="EN278">
        <v>0</v>
      </c>
      <c r="EO278">
        <v>0</v>
      </c>
      <c r="EP278">
        <v>0</v>
      </c>
      <c r="EQ278">
        <v>0</v>
      </c>
      <c r="ER278">
        <v>0</v>
      </c>
      <c r="ES278">
        <v>0</v>
      </c>
      <c r="ET278">
        <v>0</v>
      </c>
      <c r="EU278">
        <v>0</v>
      </c>
      <c r="EV278">
        <v>0</v>
      </c>
      <c r="EW278">
        <v>0</v>
      </c>
      <c r="EX278">
        <v>0</v>
      </c>
      <c r="EY278">
        <v>0</v>
      </c>
      <c r="EZ278">
        <v>0</v>
      </c>
      <c r="FA278">
        <v>0</v>
      </c>
      <c r="FB278">
        <v>0</v>
      </c>
      <c r="FC278">
        <v>2547</v>
      </c>
      <c r="FD278">
        <v>601</v>
      </c>
      <c r="FE278">
        <v>0</v>
      </c>
      <c r="FF278">
        <v>66</v>
      </c>
      <c r="FG278">
        <v>0</v>
      </c>
      <c r="FH278">
        <v>3214</v>
      </c>
      <c r="FI278">
        <v>174</v>
      </c>
      <c r="FJ278">
        <v>0</v>
      </c>
      <c r="FK278">
        <v>0</v>
      </c>
      <c r="FL278">
        <v>413</v>
      </c>
      <c r="FM278">
        <v>543</v>
      </c>
      <c r="FN278">
        <v>67</v>
      </c>
      <c r="FO278">
        <v>0</v>
      </c>
      <c r="FP278">
        <v>0</v>
      </c>
      <c r="FQ278">
        <v>0</v>
      </c>
      <c r="FR278">
        <v>138</v>
      </c>
      <c r="FS278">
        <v>0</v>
      </c>
      <c r="FT278">
        <v>362</v>
      </c>
      <c r="FU278">
        <v>9</v>
      </c>
      <c r="FV278">
        <v>0</v>
      </c>
      <c r="FW278">
        <v>64</v>
      </c>
      <c r="FX278">
        <v>0</v>
      </c>
      <c r="FY278">
        <v>13</v>
      </c>
      <c r="FZ278">
        <v>263</v>
      </c>
      <c r="GA278">
        <v>0</v>
      </c>
      <c r="GB278">
        <v>0</v>
      </c>
      <c r="GC278">
        <v>0</v>
      </c>
      <c r="GD278">
        <v>1135</v>
      </c>
      <c r="GE278">
        <v>1368</v>
      </c>
      <c r="GF278">
        <v>0</v>
      </c>
      <c r="GG278">
        <v>-209</v>
      </c>
      <c r="GH278">
        <v>1066</v>
      </c>
      <c r="GI278">
        <v>0</v>
      </c>
      <c r="GJ278">
        <v>0</v>
      </c>
      <c r="GK278">
        <v>5406</v>
      </c>
      <c r="GL278">
        <v>150</v>
      </c>
      <c r="GM278">
        <v>-42</v>
      </c>
      <c r="GN278">
        <v>0</v>
      </c>
      <c r="GO278">
        <v>395</v>
      </c>
      <c r="GP278">
        <v>21</v>
      </c>
      <c r="GQ278">
        <v>2314</v>
      </c>
      <c r="GR278">
        <v>0</v>
      </c>
      <c r="GS278">
        <v>6554</v>
      </c>
      <c r="GT278">
        <v>0</v>
      </c>
      <c r="GU278">
        <v>9392</v>
      </c>
      <c r="GV278">
        <v>18012</v>
      </c>
      <c r="GW278">
        <v>0</v>
      </c>
      <c r="GX278">
        <v>0</v>
      </c>
      <c r="GY278">
        <v>0</v>
      </c>
      <c r="GZ278">
        <v>0</v>
      </c>
      <c r="HA278">
        <v>0</v>
      </c>
      <c r="HB278">
        <v>2126</v>
      </c>
      <c r="HC278">
        <v>795</v>
      </c>
      <c r="HD278">
        <v>0</v>
      </c>
      <c r="HE278">
        <v>0</v>
      </c>
      <c r="HF278">
        <v>923</v>
      </c>
      <c r="HG278">
        <v>-23</v>
      </c>
      <c r="HH278">
        <v>0</v>
      </c>
      <c r="HI278">
        <v>0</v>
      </c>
      <c r="HJ278">
        <v>140</v>
      </c>
      <c r="HK278">
        <v>220</v>
      </c>
      <c r="HL278">
        <v>44</v>
      </c>
      <c r="HM278">
        <v>47</v>
      </c>
      <c r="HN278">
        <v>0</v>
      </c>
      <c r="HO278">
        <v>64</v>
      </c>
      <c r="HP278">
        <v>0</v>
      </c>
      <c r="HQ278">
        <v>0</v>
      </c>
      <c r="HR278">
        <v>-94</v>
      </c>
      <c r="HS278">
        <v>0</v>
      </c>
      <c r="HT278">
        <v>0</v>
      </c>
      <c r="HU278">
        <v>0</v>
      </c>
      <c r="HV278">
        <v>4242</v>
      </c>
      <c r="HW278">
        <v>0</v>
      </c>
      <c r="HX278">
        <v>0</v>
      </c>
      <c r="HY278">
        <v>0</v>
      </c>
      <c r="HZ278">
        <v>0</v>
      </c>
      <c r="IA278">
        <v>0</v>
      </c>
      <c r="IB278">
        <v>0</v>
      </c>
      <c r="IC278">
        <v>0</v>
      </c>
      <c r="ID278">
        <v>702</v>
      </c>
      <c r="IE278">
        <v>0</v>
      </c>
      <c r="IF278">
        <v>0</v>
      </c>
      <c r="IG278">
        <v>0</v>
      </c>
      <c r="IH278">
        <v>2058</v>
      </c>
      <c r="II278">
        <v>3214</v>
      </c>
      <c r="IJ278">
        <v>5406</v>
      </c>
      <c r="IK278">
        <v>9392</v>
      </c>
      <c r="IL278">
        <v>0</v>
      </c>
      <c r="IM278">
        <v>0</v>
      </c>
      <c r="IN278">
        <v>4242</v>
      </c>
      <c r="IO278">
        <v>0</v>
      </c>
      <c r="IP278">
        <v>25014</v>
      </c>
      <c r="IQ278">
        <v>16343</v>
      </c>
      <c r="IR278">
        <v>0</v>
      </c>
      <c r="IS278">
        <v>0</v>
      </c>
      <c r="IT278">
        <v>0</v>
      </c>
      <c r="IU278">
        <v>0</v>
      </c>
      <c r="IV278">
        <v>2334</v>
      </c>
      <c r="IW278">
        <v>0</v>
      </c>
      <c r="IX278">
        <v>0</v>
      </c>
      <c r="IY278">
        <v>0</v>
      </c>
      <c r="IZ278">
        <v>0</v>
      </c>
      <c r="JA278">
        <v>0</v>
      </c>
      <c r="JB278">
        <v>0</v>
      </c>
      <c r="JC278">
        <v>0</v>
      </c>
      <c r="JD278">
        <v>0</v>
      </c>
      <c r="JE278">
        <v>0</v>
      </c>
      <c r="JF278">
        <v>0</v>
      </c>
      <c r="JG278">
        <v>43691</v>
      </c>
      <c r="JH278">
        <v>0</v>
      </c>
      <c r="JI278">
        <v>0</v>
      </c>
      <c r="JJ278">
        <v>0</v>
      </c>
      <c r="JK278">
        <v>0</v>
      </c>
      <c r="JL278">
        <v>0</v>
      </c>
      <c r="JM278">
        <v>0</v>
      </c>
      <c r="JN278">
        <v>0</v>
      </c>
      <c r="JO278">
        <v>0</v>
      </c>
      <c r="JP278">
        <v>655</v>
      </c>
      <c r="JQ278">
        <v>0</v>
      </c>
      <c r="JR278">
        <v>44346</v>
      </c>
      <c r="JS278">
        <v>0</v>
      </c>
      <c r="JT278">
        <v>0</v>
      </c>
      <c r="JU278">
        <v>0</v>
      </c>
      <c r="JV278">
        <v>0</v>
      </c>
      <c r="JW278">
        <v>-23094</v>
      </c>
      <c r="JX278">
        <v>0</v>
      </c>
      <c r="JY278">
        <v>0</v>
      </c>
      <c r="JZ278">
        <v>0</v>
      </c>
      <c r="KA278">
        <v>0</v>
      </c>
      <c r="KB278">
        <v>0</v>
      </c>
      <c r="KC278">
        <v>21252</v>
      </c>
      <c r="KD278">
        <v>0</v>
      </c>
      <c r="KE278">
        <v>-965</v>
      </c>
      <c r="KF278">
        <v>20287</v>
      </c>
      <c r="KG278">
        <v>0</v>
      </c>
      <c r="KH278">
        <v>0</v>
      </c>
      <c r="KI278">
        <v>0</v>
      </c>
      <c r="KJ278">
        <v>0</v>
      </c>
      <c r="KK278">
        <v>-1591</v>
      </c>
      <c r="KL278">
        <v>0</v>
      </c>
      <c r="KM278">
        <v>-1170</v>
      </c>
      <c r="KN278">
        <v>0</v>
      </c>
      <c r="KO278">
        <v>-5378</v>
      </c>
      <c r="KP278">
        <v>0</v>
      </c>
      <c r="KQ278">
        <v>0</v>
      </c>
      <c r="KR278">
        <v>8930</v>
      </c>
      <c r="KS278">
        <v>0</v>
      </c>
      <c r="KT278">
        <v>0</v>
      </c>
      <c r="KU278">
        <v>0</v>
      </c>
      <c r="KV278">
        <v>3625</v>
      </c>
      <c r="KW278">
        <v>1000</v>
      </c>
      <c r="KX278">
        <v>0</v>
      </c>
      <c r="KY278">
        <v>0</v>
      </c>
      <c r="KZ278">
        <v>0</v>
      </c>
      <c r="LA278">
        <v>2034</v>
      </c>
      <c r="LB278">
        <v>1000</v>
      </c>
      <c r="LC278">
        <v>0</v>
      </c>
      <c r="LD278">
        <v>0</v>
      </c>
      <c r="LE278">
        <v>0</v>
      </c>
      <c r="LF278">
        <v>0</v>
      </c>
      <c r="LG278">
        <v>0</v>
      </c>
      <c r="LH278">
        <v>0</v>
      </c>
      <c r="LI278">
        <v>0</v>
      </c>
      <c r="LJ278" t="s">
        <v>5442</v>
      </c>
      <c r="LK278" t="s">
        <v>5442</v>
      </c>
      <c r="LL278" t="s">
        <v>5442</v>
      </c>
      <c r="LM278">
        <v>0</v>
      </c>
      <c r="LN278">
        <v>0</v>
      </c>
      <c r="LO278">
        <v>0</v>
      </c>
      <c r="LP278">
        <v>0</v>
      </c>
      <c r="LQ278">
        <v>0</v>
      </c>
      <c r="LR278">
        <v>0</v>
      </c>
      <c r="LS278">
        <v>0</v>
      </c>
      <c r="LT278">
        <v>0</v>
      </c>
      <c r="LU278">
        <v>0</v>
      </c>
      <c r="LV278">
        <v>702</v>
      </c>
      <c r="LW278">
        <v>0</v>
      </c>
      <c r="LX278">
        <v>0</v>
      </c>
      <c r="LY278">
        <v>0</v>
      </c>
      <c r="LZ278">
        <v>2058</v>
      </c>
      <c r="MA278">
        <v>3214</v>
      </c>
      <c r="MB278">
        <v>5406</v>
      </c>
      <c r="MC278">
        <v>9392</v>
      </c>
      <c r="MD278">
        <v>0</v>
      </c>
      <c r="ME278">
        <v>0</v>
      </c>
      <c r="MF278">
        <v>4242</v>
      </c>
      <c r="MG278">
        <v>0</v>
      </c>
      <c r="MH278">
        <v>25014</v>
      </c>
      <c r="MI278">
        <v>0</v>
      </c>
      <c r="MJ278">
        <v>0</v>
      </c>
      <c r="MK278">
        <v>0</v>
      </c>
      <c r="ML278">
        <v>0</v>
      </c>
      <c r="MM278">
        <v>0</v>
      </c>
      <c r="MN278">
        <v>0</v>
      </c>
      <c r="MO278">
        <v>0</v>
      </c>
      <c r="MP278">
        <v>0</v>
      </c>
      <c r="MQ278">
        <v>0</v>
      </c>
      <c r="MR278">
        <v>0</v>
      </c>
      <c r="MS278">
        <v>0</v>
      </c>
      <c r="MT278">
        <v>0</v>
      </c>
      <c r="MU278">
        <v>0</v>
      </c>
      <c r="MV278">
        <v>0</v>
      </c>
      <c r="MW278">
        <v>0</v>
      </c>
      <c r="MX278">
        <v>0</v>
      </c>
      <c r="MY278">
        <v>0</v>
      </c>
      <c r="MZ278">
        <v>0</v>
      </c>
      <c r="NA278">
        <v>0</v>
      </c>
      <c r="NB278">
        <v>0</v>
      </c>
      <c r="NC278">
        <v>0</v>
      </c>
      <c r="ND278">
        <v>0</v>
      </c>
      <c r="NE278">
        <v>0</v>
      </c>
      <c r="NF278">
        <v>0</v>
      </c>
      <c r="NG278">
        <v>0</v>
      </c>
      <c r="NH278">
        <v>0</v>
      </c>
      <c r="NI278">
        <v>0</v>
      </c>
      <c r="NJ278">
        <v>0</v>
      </c>
      <c r="NK278">
        <v>0</v>
      </c>
      <c r="NL278">
        <v>0</v>
      </c>
      <c r="NM278">
        <v>0</v>
      </c>
      <c r="NN278">
        <v>0</v>
      </c>
      <c r="NO278">
        <v>0</v>
      </c>
      <c r="NP278">
        <v>0</v>
      </c>
      <c r="NQ278">
        <v>0</v>
      </c>
      <c r="NR278">
        <v>0</v>
      </c>
      <c r="NS278">
        <v>0</v>
      </c>
      <c r="NT278">
        <v>0</v>
      </c>
      <c r="NU278">
        <v>0</v>
      </c>
      <c r="NV278">
        <v>0</v>
      </c>
      <c r="NW278">
        <v>0</v>
      </c>
      <c r="NX278">
        <v>0</v>
      </c>
      <c r="NY278">
        <v>0</v>
      </c>
      <c r="NZ278">
        <v>0</v>
      </c>
      <c r="OA278">
        <v>0</v>
      </c>
      <c r="OB278">
        <v>0</v>
      </c>
      <c r="OC278">
        <v>0</v>
      </c>
      <c r="OD278">
        <v>0</v>
      </c>
      <c r="OE278">
        <v>0</v>
      </c>
      <c r="OF278">
        <v>0</v>
      </c>
      <c r="OG278">
        <v>0</v>
      </c>
      <c r="OH278">
        <v>0</v>
      </c>
      <c r="OI278">
        <v>0</v>
      </c>
      <c r="OJ278">
        <v>0</v>
      </c>
      <c r="OK278">
        <v>0</v>
      </c>
      <c r="OL278">
        <v>0</v>
      </c>
      <c r="OM278">
        <v>0</v>
      </c>
      <c r="ON278">
        <v>0</v>
      </c>
    </row>
    <row r="279" spans="1:404" x14ac:dyDescent="0.25">
      <c r="A279" t="s">
        <v>907</v>
      </c>
      <c r="B279" t="s">
        <v>908</v>
      </c>
      <c r="C279" t="s">
        <v>906</v>
      </c>
      <c r="E279" t="s">
        <v>125</v>
      </c>
      <c r="F279">
        <v>19041</v>
      </c>
      <c r="G279">
        <v>43397</v>
      </c>
      <c r="H279">
        <v>24482</v>
      </c>
      <c r="I279">
        <v>13491</v>
      </c>
      <c r="J279">
        <v>4558</v>
      </c>
      <c r="K279">
        <v>11748</v>
      </c>
      <c r="L279">
        <v>116717</v>
      </c>
      <c r="M279">
        <v>-226</v>
      </c>
      <c r="N279">
        <v>999</v>
      </c>
      <c r="O279">
        <v>0</v>
      </c>
      <c r="P279">
        <v>419</v>
      </c>
      <c r="Q279">
        <v>192</v>
      </c>
      <c r="R279">
        <v>298</v>
      </c>
      <c r="S279">
        <v>781</v>
      </c>
      <c r="T279">
        <v>281</v>
      </c>
      <c r="U279">
        <v>1084</v>
      </c>
      <c r="V279">
        <v>0</v>
      </c>
      <c r="W279">
        <v>0</v>
      </c>
      <c r="X279">
        <v>85</v>
      </c>
      <c r="Y279">
        <v>239</v>
      </c>
      <c r="Z279">
        <v>-156</v>
      </c>
      <c r="AA279">
        <v>-684</v>
      </c>
      <c r="AB279">
        <v>-10</v>
      </c>
      <c r="AC279">
        <v>0</v>
      </c>
      <c r="AD279">
        <v>30</v>
      </c>
      <c r="AE279">
        <v>0</v>
      </c>
      <c r="AF279">
        <v>0</v>
      </c>
      <c r="AG279">
        <v>0</v>
      </c>
      <c r="AH279">
        <v>0</v>
      </c>
      <c r="AI279">
        <v>3332</v>
      </c>
      <c r="AJ279">
        <v>0</v>
      </c>
      <c r="AK279">
        <v>0</v>
      </c>
      <c r="AL279">
        <v>0</v>
      </c>
      <c r="AM279">
        <v>0</v>
      </c>
      <c r="AN279">
        <v>0</v>
      </c>
      <c r="AO279">
        <v>0</v>
      </c>
      <c r="AP279">
        <v>0</v>
      </c>
      <c r="AQ279">
        <v>465</v>
      </c>
      <c r="AR279">
        <v>483</v>
      </c>
      <c r="AS279">
        <v>0</v>
      </c>
      <c r="AT279">
        <v>0</v>
      </c>
      <c r="AU279">
        <v>0</v>
      </c>
      <c r="AV279">
        <v>309</v>
      </c>
      <c r="AW279">
        <v>23001</v>
      </c>
      <c r="AX279">
        <v>0</v>
      </c>
      <c r="AY279">
        <v>9667</v>
      </c>
      <c r="AZ279">
        <v>2123</v>
      </c>
      <c r="BA279">
        <v>6001</v>
      </c>
      <c r="BB279">
        <v>970</v>
      </c>
      <c r="BC279">
        <v>712</v>
      </c>
      <c r="BD279">
        <v>42783</v>
      </c>
      <c r="BE279">
        <v>5307</v>
      </c>
      <c r="BF279">
        <v>12741</v>
      </c>
      <c r="BG279">
        <v>620</v>
      </c>
      <c r="BH279">
        <v>1097</v>
      </c>
      <c r="BI279">
        <v>99</v>
      </c>
      <c r="BJ279">
        <v>664</v>
      </c>
      <c r="BK279">
        <v>20403</v>
      </c>
      <c r="BL279">
        <v>2318</v>
      </c>
      <c r="BM279">
        <v>2025</v>
      </c>
      <c r="BN279">
        <v>1927</v>
      </c>
      <c r="BO279">
        <v>75</v>
      </c>
      <c r="BP279">
        <v>0</v>
      </c>
      <c r="BQ279">
        <v>1384</v>
      </c>
      <c r="BR279">
        <v>250</v>
      </c>
      <c r="BS279">
        <v>252</v>
      </c>
      <c r="BT279">
        <v>4358</v>
      </c>
      <c r="BU279">
        <v>1374</v>
      </c>
      <c r="BV279">
        <v>-952</v>
      </c>
      <c r="BW279">
        <v>59095</v>
      </c>
      <c r="BX279">
        <v>1714</v>
      </c>
      <c r="BY279">
        <v>205</v>
      </c>
      <c r="BZ279">
        <v>47</v>
      </c>
      <c r="CA279">
        <v>41</v>
      </c>
      <c r="CB279">
        <v>36</v>
      </c>
      <c r="CC279">
        <v>28</v>
      </c>
      <c r="CD279">
        <v>45</v>
      </c>
      <c r="CE279">
        <v>0</v>
      </c>
      <c r="CF279">
        <v>21</v>
      </c>
      <c r="CG279">
        <v>174</v>
      </c>
      <c r="CH279">
        <v>21</v>
      </c>
      <c r="CI279">
        <v>1122</v>
      </c>
      <c r="CJ279">
        <v>425</v>
      </c>
      <c r="CK279">
        <v>614</v>
      </c>
      <c r="CL279">
        <v>321</v>
      </c>
      <c r="CM279">
        <v>163</v>
      </c>
      <c r="CN279">
        <v>292</v>
      </c>
      <c r="CO279">
        <v>28</v>
      </c>
      <c r="CP279">
        <v>889</v>
      </c>
      <c r="CQ279">
        <v>2964</v>
      </c>
      <c r="CR279">
        <v>910</v>
      </c>
      <c r="CS279">
        <v>23</v>
      </c>
      <c r="CT279">
        <v>10</v>
      </c>
      <c r="CU279">
        <v>677</v>
      </c>
      <c r="CV279">
        <v>14416</v>
      </c>
      <c r="CW279">
        <v>41</v>
      </c>
      <c r="CX279">
        <v>0</v>
      </c>
      <c r="CY279">
        <v>20</v>
      </c>
      <c r="CZ279">
        <v>0</v>
      </c>
      <c r="DA279">
        <v>0</v>
      </c>
      <c r="DB279">
        <v>0</v>
      </c>
      <c r="DC279">
        <v>1262</v>
      </c>
      <c r="DD279">
        <v>0</v>
      </c>
      <c r="DE279">
        <v>10</v>
      </c>
      <c r="DF279">
        <v>669</v>
      </c>
      <c r="DG279">
        <v>15</v>
      </c>
      <c r="DH279">
        <v>1894</v>
      </c>
      <c r="DI279">
        <v>34</v>
      </c>
      <c r="DJ279">
        <v>505</v>
      </c>
      <c r="DK279">
        <v>95</v>
      </c>
      <c r="DL279">
        <v>0</v>
      </c>
      <c r="DM279">
        <v>0</v>
      </c>
      <c r="DN279">
        <v>2063</v>
      </c>
      <c r="DO279">
        <v>162</v>
      </c>
      <c r="DP279">
        <v>4768</v>
      </c>
      <c r="DQ279">
        <v>525</v>
      </c>
      <c r="DR279">
        <v>0</v>
      </c>
      <c r="DS279">
        <v>0</v>
      </c>
      <c r="DT279">
        <v>-380</v>
      </c>
      <c r="DU279">
        <v>217</v>
      </c>
      <c r="DV279">
        <v>1226</v>
      </c>
      <c r="DW279">
        <v>2</v>
      </c>
      <c r="DX279">
        <v>8299</v>
      </c>
      <c r="DY279">
        <v>0</v>
      </c>
      <c r="DZ279">
        <v>0</v>
      </c>
      <c r="EA279">
        <v>0</v>
      </c>
      <c r="EB279">
        <v>0</v>
      </c>
      <c r="EC279">
        <v>0</v>
      </c>
      <c r="ED279">
        <v>0</v>
      </c>
      <c r="EE279">
        <v>0</v>
      </c>
      <c r="EF279">
        <v>0</v>
      </c>
      <c r="EG279">
        <v>0</v>
      </c>
      <c r="EH279">
        <v>0</v>
      </c>
      <c r="EI279">
        <v>0</v>
      </c>
      <c r="EJ279">
        <v>0</v>
      </c>
      <c r="EK279">
        <v>0</v>
      </c>
      <c r="EL279">
        <v>0</v>
      </c>
      <c r="EM279">
        <v>0</v>
      </c>
      <c r="EN279">
        <v>0</v>
      </c>
      <c r="EO279">
        <v>0</v>
      </c>
      <c r="EP279">
        <v>0</v>
      </c>
      <c r="EQ279">
        <v>0</v>
      </c>
      <c r="ER279">
        <v>0</v>
      </c>
      <c r="ES279">
        <v>0</v>
      </c>
      <c r="ET279">
        <v>0</v>
      </c>
      <c r="EU279">
        <v>0</v>
      </c>
      <c r="EV279">
        <v>0</v>
      </c>
      <c r="EW279">
        <v>52</v>
      </c>
      <c r="EX279">
        <v>1161</v>
      </c>
      <c r="EY279">
        <v>354</v>
      </c>
      <c r="EZ279">
        <v>390</v>
      </c>
      <c r="FA279">
        <v>0</v>
      </c>
      <c r="FB279">
        <v>11</v>
      </c>
      <c r="FC279">
        <v>1162</v>
      </c>
      <c r="FD279">
        <v>2142</v>
      </c>
      <c r="FE279">
        <v>0</v>
      </c>
      <c r="FF279">
        <v>85</v>
      </c>
      <c r="FG279">
        <v>2272</v>
      </c>
      <c r="FH279">
        <v>7629</v>
      </c>
      <c r="FI279">
        <v>-1650</v>
      </c>
      <c r="FJ279">
        <v>779</v>
      </c>
      <c r="FK279">
        <v>321</v>
      </c>
      <c r="FL279">
        <v>660</v>
      </c>
      <c r="FM279">
        <v>1110</v>
      </c>
      <c r="FN279">
        <v>28</v>
      </c>
      <c r="FO279">
        <v>151</v>
      </c>
      <c r="FP279">
        <v>0</v>
      </c>
      <c r="FQ279">
        <v>0</v>
      </c>
      <c r="FR279">
        <v>0</v>
      </c>
      <c r="FS279">
        <v>0</v>
      </c>
      <c r="FT279">
        <v>89</v>
      </c>
      <c r="FU279">
        <v>-21</v>
      </c>
      <c r="FV279">
        <v>0</v>
      </c>
      <c r="FW279">
        <v>471</v>
      </c>
      <c r="FX279">
        <v>298</v>
      </c>
      <c r="FY279">
        <v>366</v>
      </c>
      <c r="FZ279">
        <v>0</v>
      </c>
      <c r="GA279">
        <v>532</v>
      </c>
      <c r="GB279">
        <v>0</v>
      </c>
      <c r="GC279">
        <v>-341</v>
      </c>
      <c r="GD279">
        <v>1948</v>
      </c>
      <c r="GE279">
        <v>4671</v>
      </c>
      <c r="GF279">
        <v>1467</v>
      </c>
      <c r="GG279">
        <v>0</v>
      </c>
      <c r="GH279">
        <v>481</v>
      </c>
      <c r="GI279">
        <v>0</v>
      </c>
      <c r="GJ279">
        <v>0</v>
      </c>
      <c r="GK279">
        <v>11360</v>
      </c>
      <c r="GL279">
        <v>1231</v>
      </c>
      <c r="GM279">
        <v>-6</v>
      </c>
      <c r="GN279">
        <v>0</v>
      </c>
      <c r="GO279">
        <v>704</v>
      </c>
      <c r="GP279">
        <v>4</v>
      </c>
      <c r="GQ279">
        <v>1053</v>
      </c>
      <c r="GR279">
        <v>33</v>
      </c>
      <c r="GS279">
        <v>11</v>
      </c>
      <c r="GT279">
        <v>3868</v>
      </c>
      <c r="GU279">
        <v>6898</v>
      </c>
      <c r="GV279">
        <v>25887</v>
      </c>
      <c r="GW279">
        <v>0</v>
      </c>
      <c r="GX279">
        <v>0</v>
      </c>
      <c r="GY279">
        <v>0</v>
      </c>
      <c r="GZ279">
        <v>0</v>
      </c>
      <c r="HA279">
        <v>0</v>
      </c>
      <c r="HB279">
        <v>3211</v>
      </c>
      <c r="HC279">
        <v>485</v>
      </c>
      <c r="HD279">
        <v>0</v>
      </c>
      <c r="HE279">
        <v>0</v>
      </c>
      <c r="HF279">
        <v>895</v>
      </c>
      <c r="HG279">
        <v>-86</v>
      </c>
      <c r="HH279">
        <v>0</v>
      </c>
      <c r="HI279">
        <v>420</v>
      </c>
      <c r="HJ279">
        <v>384</v>
      </c>
      <c r="HK279">
        <v>418</v>
      </c>
      <c r="HL279">
        <v>126</v>
      </c>
      <c r="HM279">
        <v>-112</v>
      </c>
      <c r="HN279">
        <v>150</v>
      </c>
      <c r="HO279">
        <v>0</v>
      </c>
      <c r="HP279">
        <v>1106</v>
      </c>
      <c r="HQ279">
        <v>0</v>
      </c>
      <c r="HR279">
        <v>1468</v>
      </c>
      <c r="HS279">
        <v>0</v>
      </c>
      <c r="HT279">
        <v>0</v>
      </c>
      <c r="HU279">
        <v>2656</v>
      </c>
      <c r="HV279">
        <v>11121</v>
      </c>
      <c r="HW279">
        <v>752</v>
      </c>
      <c r="HX279">
        <v>19311</v>
      </c>
      <c r="HY279">
        <v>0</v>
      </c>
      <c r="HZ279">
        <v>0</v>
      </c>
      <c r="IA279">
        <v>4289</v>
      </c>
      <c r="IB279">
        <v>518</v>
      </c>
      <c r="IC279">
        <v>116717</v>
      </c>
      <c r="ID279">
        <v>3332</v>
      </c>
      <c r="IE279">
        <v>42783</v>
      </c>
      <c r="IF279">
        <v>59095</v>
      </c>
      <c r="IG279">
        <v>14416</v>
      </c>
      <c r="IH279">
        <v>8299</v>
      </c>
      <c r="II279">
        <v>7629</v>
      </c>
      <c r="IJ279">
        <v>11360</v>
      </c>
      <c r="IK279">
        <v>6898</v>
      </c>
      <c r="IL279">
        <v>0</v>
      </c>
      <c r="IM279">
        <v>0</v>
      </c>
      <c r="IN279">
        <v>11121</v>
      </c>
      <c r="IO279">
        <v>518</v>
      </c>
      <c r="IP279">
        <v>282168</v>
      </c>
      <c r="IQ279">
        <v>41549</v>
      </c>
      <c r="IR279">
        <v>145</v>
      </c>
      <c r="IS279">
        <v>0</v>
      </c>
      <c r="IT279">
        <v>0</v>
      </c>
      <c r="IU279">
        <v>0</v>
      </c>
      <c r="IV279">
        <v>657</v>
      </c>
      <c r="IW279">
        <v>3794</v>
      </c>
      <c r="IX279">
        <v>0</v>
      </c>
      <c r="IY279">
        <v>0</v>
      </c>
      <c r="IZ279">
        <v>0</v>
      </c>
      <c r="JA279">
        <v>-2056</v>
      </c>
      <c r="JB279">
        <v>1073</v>
      </c>
      <c r="JC279">
        <v>0</v>
      </c>
      <c r="JD279">
        <v>0</v>
      </c>
      <c r="JE279">
        <v>0</v>
      </c>
      <c r="JF279">
        <v>0</v>
      </c>
      <c r="JG279">
        <v>327330</v>
      </c>
      <c r="JH279">
        <v>172</v>
      </c>
      <c r="JI279">
        <v>0</v>
      </c>
      <c r="JJ279">
        <v>0</v>
      </c>
      <c r="JK279">
        <v>0</v>
      </c>
      <c r="JL279">
        <v>0</v>
      </c>
      <c r="JM279">
        <v>3337</v>
      </c>
      <c r="JN279">
        <v>14952</v>
      </c>
      <c r="JO279">
        <v>1990</v>
      </c>
      <c r="JP279">
        <v>14182</v>
      </c>
      <c r="JQ279">
        <v>0</v>
      </c>
      <c r="JR279">
        <v>361963</v>
      </c>
      <c r="JS279">
        <v>-1021</v>
      </c>
      <c r="JT279">
        <v>-942</v>
      </c>
      <c r="JU279">
        <v>11</v>
      </c>
      <c r="JV279">
        <v>0</v>
      </c>
      <c r="JW279">
        <v>-43377</v>
      </c>
      <c r="JX279">
        <v>0</v>
      </c>
      <c r="JY279">
        <v>-58</v>
      </c>
      <c r="JZ279">
        <v>0</v>
      </c>
      <c r="KA279">
        <v>0</v>
      </c>
      <c r="KB279">
        <v>-55</v>
      </c>
      <c r="KC279">
        <v>316521</v>
      </c>
      <c r="KD279">
        <v>0</v>
      </c>
      <c r="KE279">
        <v>-156146</v>
      </c>
      <c r="KF279">
        <v>160375</v>
      </c>
      <c r="KG279">
        <v>0</v>
      </c>
      <c r="KH279">
        <v>-596</v>
      </c>
      <c r="KI279">
        <v>3178</v>
      </c>
      <c r="KJ279">
        <v>907</v>
      </c>
      <c r="KK279">
        <v>-7829</v>
      </c>
      <c r="KL279">
        <v>1300</v>
      </c>
      <c r="KM279">
        <v>-10471</v>
      </c>
      <c r="KN279">
        <v>0</v>
      </c>
      <c r="KO279">
        <v>-31611</v>
      </c>
      <c r="KP279">
        <v>45</v>
      </c>
      <c r="KQ279">
        <v>0</v>
      </c>
      <c r="KR279">
        <v>88304</v>
      </c>
      <c r="KS279">
        <v>4721</v>
      </c>
      <c r="KT279">
        <v>0</v>
      </c>
      <c r="KU279">
        <v>131</v>
      </c>
      <c r="KV279">
        <v>59979</v>
      </c>
      <c r="KW279">
        <v>6000</v>
      </c>
      <c r="KX279">
        <v>4125</v>
      </c>
      <c r="KY279">
        <v>3178</v>
      </c>
      <c r="KZ279">
        <v>1038</v>
      </c>
      <c r="LA279">
        <v>52151</v>
      </c>
      <c r="LB279">
        <v>7300</v>
      </c>
      <c r="LC279">
        <v>0</v>
      </c>
      <c r="LD279">
        <v>27991</v>
      </c>
      <c r="LE279">
        <v>-1025</v>
      </c>
      <c r="LF279">
        <v>2508</v>
      </c>
      <c r="LG279">
        <v>29649</v>
      </c>
      <c r="LH279">
        <v>-26980</v>
      </c>
      <c r="LI279">
        <v>32143</v>
      </c>
      <c r="LJ279">
        <v>4291</v>
      </c>
      <c r="LK279">
        <v>5237</v>
      </c>
      <c r="LL279">
        <v>9528</v>
      </c>
      <c r="LM279">
        <v>0</v>
      </c>
      <c r="LN279">
        <v>0</v>
      </c>
      <c r="LO279">
        <v>0</v>
      </c>
      <c r="LP279">
        <v>0</v>
      </c>
      <c r="LQ279">
        <v>0</v>
      </c>
      <c r="LR279">
        <v>0</v>
      </c>
      <c r="LS279">
        <v>0</v>
      </c>
      <c r="LT279">
        <v>0</v>
      </c>
      <c r="LU279">
        <v>116717</v>
      </c>
      <c r="LV279">
        <v>3332</v>
      </c>
      <c r="LW279">
        <v>42783</v>
      </c>
      <c r="LX279">
        <v>59095</v>
      </c>
      <c r="LY279">
        <v>14416</v>
      </c>
      <c r="LZ279">
        <v>8299</v>
      </c>
      <c r="MA279">
        <v>7629</v>
      </c>
      <c r="MB279">
        <v>11360</v>
      </c>
      <c r="MC279">
        <v>6898</v>
      </c>
      <c r="MD279">
        <v>0</v>
      </c>
      <c r="ME279">
        <v>0</v>
      </c>
      <c r="MF279">
        <v>11121</v>
      </c>
      <c r="MG279">
        <v>518</v>
      </c>
      <c r="MH279">
        <v>282168</v>
      </c>
      <c r="MI279">
        <v>0</v>
      </c>
      <c r="MJ279">
        <v>0</v>
      </c>
      <c r="MK279">
        <v>0</v>
      </c>
      <c r="ML279">
        <v>0</v>
      </c>
      <c r="MM279">
        <v>0</v>
      </c>
      <c r="MN279">
        <v>0</v>
      </c>
      <c r="MO279">
        <v>0</v>
      </c>
      <c r="MP279">
        <v>0</v>
      </c>
      <c r="MQ279">
        <v>0</v>
      </c>
      <c r="MR279">
        <v>0</v>
      </c>
      <c r="MS279">
        <v>0</v>
      </c>
      <c r="MT279">
        <v>0</v>
      </c>
      <c r="MU279">
        <v>0</v>
      </c>
      <c r="MV279">
        <v>0</v>
      </c>
      <c r="MW279">
        <v>0</v>
      </c>
      <c r="MX279">
        <v>-467</v>
      </c>
      <c r="MY279">
        <v>-1191</v>
      </c>
      <c r="MZ279">
        <v>0</v>
      </c>
      <c r="NA279">
        <v>-2056</v>
      </c>
      <c r="NB279">
        <v>0</v>
      </c>
      <c r="NC279">
        <v>-2056</v>
      </c>
      <c r="ND279">
        <v>0</v>
      </c>
      <c r="NE279">
        <v>0</v>
      </c>
      <c r="NF279">
        <v>0</v>
      </c>
      <c r="NG279">
        <v>0</v>
      </c>
      <c r="NH279">
        <v>0</v>
      </c>
      <c r="NI279">
        <v>0</v>
      </c>
      <c r="NJ279">
        <v>0</v>
      </c>
      <c r="NK279">
        <v>0</v>
      </c>
      <c r="NL279">
        <v>0</v>
      </c>
      <c r="NM279">
        <v>0</v>
      </c>
      <c r="NN279">
        <v>0</v>
      </c>
      <c r="NO279">
        <v>0</v>
      </c>
      <c r="NP279">
        <v>0</v>
      </c>
      <c r="NQ279">
        <v>0</v>
      </c>
      <c r="NR279">
        <v>159</v>
      </c>
      <c r="NS279">
        <v>0</v>
      </c>
      <c r="NT279">
        <v>0</v>
      </c>
      <c r="NU279">
        <v>0</v>
      </c>
      <c r="NV279">
        <v>0</v>
      </c>
      <c r="NW279">
        <v>0</v>
      </c>
      <c r="NX279">
        <v>0</v>
      </c>
      <c r="NY279">
        <v>0</v>
      </c>
      <c r="NZ279">
        <v>1073</v>
      </c>
      <c r="OA279">
        <v>0</v>
      </c>
      <c r="OB279">
        <v>1073</v>
      </c>
      <c r="OC279">
        <v>0</v>
      </c>
      <c r="OD279">
        <v>0</v>
      </c>
      <c r="OE279">
        <v>0</v>
      </c>
      <c r="OF279">
        <v>0</v>
      </c>
      <c r="OG279">
        <v>0</v>
      </c>
      <c r="OH279">
        <v>0</v>
      </c>
      <c r="OI279">
        <v>0</v>
      </c>
      <c r="OJ279">
        <v>0</v>
      </c>
      <c r="OK279">
        <v>0</v>
      </c>
      <c r="OL279">
        <v>0</v>
      </c>
      <c r="OM279">
        <v>0</v>
      </c>
      <c r="ON279">
        <v>0</v>
      </c>
    </row>
    <row r="280" spans="1:404" x14ac:dyDescent="0.25">
      <c r="A280" t="s">
        <v>910</v>
      </c>
      <c r="B280" t="s">
        <v>911</v>
      </c>
      <c r="C280" t="s">
        <v>909</v>
      </c>
      <c r="E280" t="s">
        <v>125</v>
      </c>
      <c r="F280">
        <v>15338</v>
      </c>
      <c r="G280">
        <v>27974</v>
      </c>
      <c r="H280">
        <v>9464</v>
      </c>
      <c r="I280">
        <v>22670</v>
      </c>
      <c r="J280">
        <v>2815</v>
      </c>
      <c r="K280">
        <v>18559</v>
      </c>
      <c r="L280">
        <v>96820</v>
      </c>
      <c r="M280">
        <v>148</v>
      </c>
      <c r="N280">
        <v>2245</v>
      </c>
      <c r="O280">
        <v>2622</v>
      </c>
      <c r="P280">
        <v>40</v>
      </c>
      <c r="Q280">
        <v>0</v>
      </c>
      <c r="R280">
        <v>2273</v>
      </c>
      <c r="S280">
        <v>0</v>
      </c>
      <c r="T280">
        <v>313</v>
      </c>
      <c r="U280">
        <v>1648</v>
      </c>
      <c r="V280">
        <v>0</v>
      </c>
      <c r="W280">
        <v>0</v>
      </c>
      <c r="X280">
        <v>47</v>
      </c>
      <c r="Y280">
        <v>334</v>
      </c>
      <c r="Z280">
        <v>955</v>
      </c>
      <c r="AA280">
        <v>-71</v>
      </c>
      <c r="AB280">
        <v>4273</v>
      </c>
      <c r="AC280">
        <v>0</v>
      </c>
      <c r="AD280">
        <v>1269</v>
      </c>
      <c r="AE280">
        <v>0</v>
      </c>
      <c r="AF280">
        <v>0</v>
      </c>
      <c r="AG280">
        <v>182</v>
      </c>
      <c r="AH280">
        <v>-423</v>
      </c>
      <c r="AI280">
        <v>15855</v>
      </c>
      <c r="AJ280">
        <v>0</v>
      </c>
      <c r="AK280">
        <v>0</v>
      </c>
      <c r="AL280">
        <v>0</v>
      </c>
      <c r="AM280">
        <v>0</v>
      </c>
      <c r="AN280">
        <v>0</v>
      </c>
      <c r="AO280">
        <v>0</v>
      </c>
      <c r="AP280">
        <v>0</v>
      </c>
      <c r="AQ280">
        <v>1298</v>
      </c>
      <c r="AR280">
        <v>3148</v>
      </c>
      <c r="AS280">
        <v>0</v>
      </c>
      <c r="AT280">
        <v>0</v>
      </c>
      <c r="AU280">
        <v>0</v>
      </c>
      <c r="AV280">
        <v>2964</v>
      </c>
      <c r="AW280">
        <v>42597</v>
      </c>
      <c r="AX280">
        <v>1</v>
      </c>
      <c r="AY280">
        <v>8660</v>
      </c>
      <c r="AZ280">
        <v>709</v>
      </c>
      <c r="BA280">
        <v>11810</v>
      </c>
      <c r="BB280">
        <v>0</v>
      </c>
      <c r="BC280">
        <v>971</v>
      </c>
      <c r="BD280">
        <v>67712</v>
      </c>
      <c r="BE280">
        <v>9097</v>
      </c>
      <c r="BF280">
        <v>19391</v>
      </c>
      <c r="BG280">
        <v>475</v>
      </c>
      <c r="BH280">
        <v>469</v>
      </c>
      <c r="BI280">
        <v>154</v>
      </c>
      <c r="BJ280">
        <v>2149</v>
      </c>
      <c r="BK280">
        <v>28553</v>
      </c>
      <c r="BL280">
        <v>4272</v>
      </c>
      <c r="BM280">
        <v>3885</v>
      </c>
      <c r="BN280">
        <v>2203</v>
      </c>
      <c r="BO280">
        <v>569</v>
      </c>
      <c r="BP280">
        <v>194</v>
      </c>
      <c r="BQ280">
        <v>969</v>
      </c>
      <c r="BR280">
        <v>26</v>
      </c>
      <c r="BS280">
        <v>728</v>
      </c>
      <c r="BT280">
        <v>6095</v>
      </c>
      <c r="BU280">
        <v>3326</v>
      </c>
      <c r="BV280">
        <v>13476</v>
      </c>
      <c r="BW280">
        <v>96031</v>
      </c>
      <c r="BX280">
        <v>2638</v>
      </c>
      <c r="BY280">
        <v>130</v>
      </c>
      <c r="BZ280">
        <v>-55</v>
      </c>
      <c r="CA280">
        <v>59</v>
      </c>
      <c r="CB280">
        <v>0</v>
      </c>
      <c r="CC280">
        <v>2</v>
      </c>
      <c r="CD280">
        <v>872</v>
      </c>
      <c r="CE280">
        <v>313</v>
      </c>
      <c r="CF280">
        <v>115</v>
      </c>
      <c r="CG280">
        <v>191</v>
      </c>
      <c r="CH280">
        <v>89</v>
      </c>
      <c r="CI280">
        <v>3154</v>
      </c>
      <c r="CJ280">
        <v>1662</v>
      </c>
      <c r="CK280">
        <v>0</v>
      </c>
      <c r="CL280">
        <v>0</v>
      </c>
      <c r="CM280">
        <v>243</v>
      </c>
      <c r="CN280">
        <v>294</v>
      </c>
      <c r="CO280">
        <v>122</v>
      </c>
      <c r="CP280">
        <v>450</v>
      </c>
      <c r="CQ280">
        <v>3183</v>
      </c>
      <c r="CR280">
        <v>1364</v>
      </c>
      <c r="CS280">
        <v>1478</v>
      </c>
      <c r="CT280">
        <v>288</v>
      </c>
      <c r="CU280">
        <v>206</v>
      </c>
      <c r="CV280">
        <v>23149</v>
      </c>
      <c r="CW280">
        <v>0</v>
      </c>
      <c r="CX280">
        <v>0</v>
      </c>
      <c r="CY280">
        <v>0</v>
      </c>
      <c r="CZ280">
        <v>0</v>
      </c>
      <c r="DA280">
        <v>0</v>
      </c>
      <c r="DB280">
        <v>0</v>
      </c>
      <c r="DC280">
        <v>1707</v>
      </c>
      <c r="DD280">
        <v>0</v>
      </c>
      <c r="DE280">
        <v>0</v>
      </c>
      <c r="DF280">
        <v>-40</v>
      </c>
      <c r="DG280">
        <v>2218</v>
      </c>
      <c r="DH280">
        <v>0</v>
      </c>
      <c r="DI280">
        <v>375</v>
      </c>
      <c r="DJ280">
        <v>0</v>
      </c>
      <c r="DK280">
        <v>0</v>
      </c>
      <c r="DL280">
        <v>0</v>
      </c>
      <c r="DM280">
        <v>0</v>
      </c>
      <c r="DN280">
        <v>185</v>
      </c>
      <c r="DO280">
        <v>1813</v>
      </c>
      <c r="DP280">
        <v>4591</v>
      </c>
      <c r="DQ280">
        <v>530</v>
      </c>
      <c r="DR280">
        <v>0</v>
      </c>
      <c r="DS280">
        <v>0</v>
      </c>
      <c r="DT280">
        <v>351</v>
      </c>
      <c r="DU280">
        <v>598</v>
      </c>
      <c r="DV280">
        <v>3</v>
      </c>
      <c r="DW280">
        <v>0</v>
      </c>
      <c r="DX280">
        <v>7740</v>
      </c>
      <c r="DY280">
        <v>0</v>
      </c>
      <c r="DZ280">
        <v>0</v>
      </c>
      <c r="EA280">
        <v>0</v>
      </c>
      <c r="EB280">
        <v>0</v>
      </c>
      <c r="EC280">
        <v>0</v>
      </c>
      <c r="ED280">
        <v>0</v>
      </c>
      <c r="EE280">
        <v>0</v>
      </c>
      <c r="EF280">
        <v>0</v>
      </c>
      <c r="EG280">
        <v>0</v>
      </c>
      <c r="EH280">
        <v>0</v>
      </c>
      <c r="EI280">
        <v>0</v>
      </c>
      <c r="EJ280">
        <v>0</v>
      </c>
      <c r="EK280">
        <v>0</v>
      </c>
      <c r="EL280">
        <v>0</v>
      </c>
      <c r="EM280">
        <v>0</v>
      </c>
      <c r="EN280">
        <v>0</v>
      </c>
      <c r="EO280">
        <v>0</v>
      </c>
      <c r="EP280">
        <v>0</v>
      </c>
      <c r="EQ280">
        <v>0</v>
      </c>
      <c r="ER280">
        <v>0</v>
      </c>
      <c r="ES280">
        <v>0</v>
      </c>
      <c r="ET280">
        <v>0</v>
      </c>
      <c r="EU280">
        <v>1</v>
      </c>
      <c r="EV280">
        <v>0</v>
      </c>
      <c r="EW280">
        <v>477</v>
      </c>
      <c r="EX280">
        <v>4610</v>
      </c>
      <c r="EY280">
        <v>315</v>
      </c>
      <c r="EZ280">
        <v>300</v>
      </c>
      <c r="FA280">
        <v>0</v>
      </c>
      <c r="FB280">
        <v>2140</v>
      </c>
      <c r="FC280">
        <v>1671</v>
      </c>
      <c r="FD280">
        <v>3114</v>
      </c>
      <c r="FE280">
        <v>68</v>
      </c>
      <c r="FF280">
        <v>1202</v>
      </c>
      <c r="FG280">
        <v>3251</v>
      </c>
      <c r="FH280">
        <v>17149</v>
      </c>
      <c r="FI280">
        <v>-1626</v>
      </c>
      <c r="FJ280">
        <v>482</v>
      </c>
      <c r="FK280">
        <v>0</v>
      </c>
      <c r="FL280">
        <v>606</v>
      </c>
      <c r="FM280">
        <v>682</v>
      </c>
      <c r="FN280">
        <v>6</v>
      </c>
      <c r="FO280">
        <v>-7</v>
      </c>
      <c r="FP280">
        <v>-6</v>
      </c>
      <c r="FQ280">
        <v>0</v>
      </c>
      <c r="FR280">
        <v>-42</v>
      </c>
      <c r="FS280">
        <v>0</v>
      </c>
      <c r="FT280">
        <v>-3</v>
      </c>
      <c r="FU280">
        <v>172</v>
      </c>
      <c r="FV280">
        <v>-38</v>
      </c>
      <c r="FW280">
        <v>894</v>
      </c>
      <c r="FX280">
        <v>0</v>
      </c>
      <c r="FY280">
        <v>0</v>
      </c>
      <c r="FZ280">
        <v>0</v>
      </c>
      <c r="GA280">
        <v>0</v>
      </c>
      <c r="GB280">
        <v>0</v>
      </c>
      <c r="GC280">
        <v>35</v>
      </c>
      <c r="GD280">
        <v>4273</v>
      </c>
      <c r="GE280">
        <v>12647</v>
      </c>
      <c r="GF280">
        <v>2939</v>
      </c>
      <c r="GG280">
        <v>-29</v>
      </c>
      <c r="GH280">
        <v>1970</v>
      </c>
      <c r="GI280">
        <v>0</v>
      </c>
      <c r="GJ280">
        <v>0</v>
      </c>
      <c r="GK280">
        <v>22955</v>
      </c>
      <c r="GL280">
        <v>197</v>
      </c>
      <c r="GM280">
        <v>1642</v>
      </c>
      <c r="GN280">
        <v>342</v>
      </c>
      <c r="GO280">
        <v>1085</v>
      </c>
      <c r="GP280">
        <v>1122</v>
      </c>
      <c r="GQ280">
        <v>6158</v>
      </c>
      <c r="GR280">
        <v>14</v>
      </c>
      <c r="GS280">
        <v>-10870</v>
      </c>
      <c r="GT280">
        <v>2107</v>
      </c>
      <c r="GU280">
        <v>1797</v>
      </c>
      <c r="GV280">
        <v>41901</v>
      </c>
      <c r="GW280">
        <v>0</v>
      </c>
      <c r="GX280">
        <v>0</v>
      </c>
      <c r="GY280">
        <v>0</v>
      </c>
      <c r="GZ280">
        <v>0</v>
      </c>
      <c r="HA280">
        <v>0</v>
      </c>
      <c r="HB280">
        <v>1656</v>
      </c>
      <c r="HC280">
        <v>-70</v>
      </c>
      <c r="HD280">
        <v>0</v>
      </c>
      <c r="HE280">
        <v>0</v>
      </c>
      <c r="HF280">
        <v>1635</v>
      </c>
      <c r="HG280">
        <v>-124</v>
      </c>
      <c r="HH280">
        <v>0</v>
      </c>
      <c r="HI280">
        <v>229</v>
      </c>
      <c r="HJ280">
        <v>544</v>
      </c>
      <c r="HK280">
        <v>436</v>
      </c>
      <c r="HL280">
        <v>163</v>
      </c>
      <c r="HM280">
        <v>-144</v>
      </c>
      <c r="HN280">
        <v>0</v>
      </c>
      <c r="HO280">
        <v>0</v>
      </c>
      <c r="HP280">
        <v>771</v>
      </c>
      <c r="HQ280">
        <v>0</v>
      </c>
      <c r="HR280">
        <v>0</v>
      </c>
      <c r="HS280">
        <v>0</v>
      </c>
      <c r="HT280">
        <v>0</v>
      </c>
      <c r="HU280">
        <v>0</v>
      </c>
      <c r="HV280">
        <v>5096</v>
      </c>
      <c r="HW280">
        <v>3675</v>
      </c>
      <c r="HX280">
        <v>31774</v>
      </c>
      <c r="HY280">
        <v>0</v>
      </c>
      <c r="HZ280">
        <v>397</v>
      </c>
      <c r="IA280">
        <v>4160</v>
      </c>
      <c r="IB280">
        <v>0</v>
      </c>
      <c r="IC280">
        <v>96820</v>
      </c>
      <c r="ID280">
        <v>15855</v>
      </c>
      <c r="IE280">
        <v>67712</v>
      </c>
      <c r="IF280">
        <v>96031</v>
      </c>
      <c r="IG280">
        <v>23149</v>
      </c>
      <c r="IH280">
        <v>7740</v>
      </c>
      <c r="II280">
        <v>17149</v>
      </c>
      <c r="IJ280">
        <v>22955</v>
      </c>
      <c r="IK280">
        <v>1797</v>
      </c>
      <c r="IL280">
        <v>0</v>
      </c>
      <c r="IM280">
        <v>0</v>
      </c>
      <c r="IN280">
        <v>5096</v>
      </c>
      <c r="IO280">
        <v>0</v>
      </c>
      <c r="IP280">
        <v>354304</v>
      </c>
      <c r="IQ280">
        <v>57774</v>
      </c>
      <c r="IR280">
        <v>679</v>
      </c>
      <c r="IS280">
        <v>-22</v>
      </c>
      <c r="IT280">
        <v>0</v>
      </c>
      <c r="IU280">
        <v>0</v>
      </c>
      <c r="IV280">
        <v>0</v>
      </c>
      <c r="IW280">
        <v>0</v>
      </c>
      <c r="IX280">
        <v>0</v>
      </c>
      <c r="IY280">
        <v>0</v>
      </c>
      <c r="IZ280">
        <v>404</v>
      </c>
      <c r="JA280">
        <v>0</v>
      </c>
      <c r="JB280">
        <v>599</v>
      </c>
      <c r="JC280">
        <v>0</v>
      </c>
      <c r="JD280">
        <v>-826</v>
      </c>
      <c r="JE280">
        <v>-274</v>
      </c>
      <c r="JF280">
        <v>0</v>
      </c>
      <c r="JG280">
        <v>412638</v>
      </c>
      <c r="JH280">
        <v>158</v>
      </c>
      <c r="JI280">
        <v>11629</v>
      </c>
      <c r="JJ280">
        <v>0</v>
      </c>
      <c r="JK280">
        <v>0</v>
      </c>
      <c r="JL280">
        <v>0</v>
      </c>
      <c r="JM280">
        <v>1274</v>
      </c>
      <c r="JN280">
        <v>16903</v>
      </c>
      <c r="JO280">
        <v>0</v>
      </c>
      <c r="JP280">
        <v>8960</v>
      </c>
      <c r="JQ280">
        <v>0</v>
      </c>
      <c r="JR280">
        <v>451562</v>
      </c>
      <c r="JS280">
        <v>-2347</v>
      </c>
      <c r="JT280">
        <v>0</v>
      </c>
      <c r="JU280">
        <v>-3983</v>
      </c>
      <c r="JV280">
        <v>0</v>
      </c>
      <c r="JW280">
        <v>-74386</v>
      </c>
      <c r="JX280">
        <v>0</v>
      </c>
      <c r="JY280">
        <v>0</v>
      </c>
      <c r="JZ280">
        <v>0</v>
      </c>
      <c r="KA280">
        <v>0</v>
      </c>
      <c r="KB280">
        <v>0</v>
      </c>
      <c r="KC280">
        <v>370846</v>
      </c>
      <c r="KD280">
        <v>0</v>
      </c>
      <c r="KE280">
        <v>-161869</v>
      </c>
      <c r="KF280">
        <v>208977</v>
      </c>
      <c r="KG280">
        <v>0</v>
      </c>
      <c r="KH280">
        <v>-508</v>
      </c>
      <c r="KI280">
        <v>1408</v>
      </c>
      <c r="KJ280">
        <v>596</v>
      </c>
      <c r="KK280">
        <v>4250</v>
      </c>
      <c r="KL280">
        <v>700</v>
      </c>
      <c r="KM280">
        <v>-9742</v>
      </c>
      <c r="KN280">
        <v>0</v>
      </c>
      <c r="KO280">
        <v>-61819</v>
      </c>
      <c r="KP280">
        <v>-583</v>
      </c>
      <c r="KQ280">
        <v>-219</v>
      </c>
      <c r="KR280">
        <v>120885</v>
      </c>
      <c r="KS280">
        <v>3434</v>
      </c>
      <c r="KT280">
        <v>885</v>
      </c>
      <c r="KU280">
        <v>1783</v>
      </c>
      <c r="KV280">
        <v>70196</v>
      </c>
      <c r="KW280">
        <v>8044</v>
      </c>
      <c r="KX280">
        <v>2926</v>
      </c>
      <c r="KY280">
        <v>2293</v>
      </c>
      <c r="KZ280">
        <v>2379</v>
      </c>
      <c r="LA280">
        <v>74446</v>
      </c>
      <c r="LB280">
        <v>8744</v>
      </c>
      <c r="LC280">
        <v>0</v>
      </c>
      <c r="LD280">
        <v>19013</v>
      </c>
      <c r="LE280">
        <v>3</v>
      </c>
      <c r="LF280">
        <v>22727</v>
      </c>
      <c r="LG280">
        <v>-28290</v>
      </c>
      <c r="LH280">
        <v>13078</v>
      </c>
      <c r="LI280">
        <v>29118</v>
      </c>
      <c r="LJ280">
        <v>7846</v>
      </c>
      <c r="LK280">
        <v>12471</v>
      </c>
      <c r="LL280">
        <v>20317</v>
      </c>
      <c r="LM280">
        <v>0</v>
      </c>
      <c r="LN280">
        <v>0</v>
      </c>
      <c r="LO280">
        <v>0</v>
      </c>
      <c r="LP280">
        <v>0</v>
      </c>
      <c r="LQ280">
        <v>0</v>
      </c>
      <c r="LR280">
        <v>0</v>
      </c>
      <c r="LS280">
        <v>0</v>
      </c>
      <c r="LT280">
        <v>0</v>
      </c>
      <c r="LU280">
        <v>96820</v>
      </c>
      <c r="LV280">
        <v>15855</v>
      </c>
      <c r="LW280">
        <v>67712</v>
      </c>
      <c r="LX280">
        <v>96031</v>
      </c>
      <c r="LY280">
        <v>23149</v>
      </c>
      <c r="LZ280">
        <v>7740</v>
      </c>
      <c r="MA280">
        <v>17149</v>
      </c>
      <c r="MB280">
        <v>22955</v>
      </c>
      <c r="MC280">
        <v>1797</v>
      </c>
      <c r="MD280">
        <v>0</v>
      </c>
      <c r="ME280">
        <v>0</v>
      </c>
      <c r="MF280">
        <v>5096</v>
      </c>
      <c r="MG280">
        <v>0</v>
      </c>
      <c r="MH280">
        <v>354304</v>
      </c>
      <c r="MI280">
        <v>0</v>
      </c>
      <c r="MJ280">
        <v>0</v>
      </c>
      <c r="MK280">
        <v>0</v>
      </c>
      <c r="ML280">
        <v>0</v>
      </c>
      <c r="MM280">
        <v>0</v>
      </c>
      <c r="MN280">
        <v>0</v>
      </c>
      <c r="MO280">
        <v>0</v>
      </c>
      <c r="MP280">
        <v>0</v>
      </c>
      <c r="MQ280">
        <v>0</v>
      </c>
      <c r="MR280">
        <v>0</v>
      </c>
      <c r="MS280">
        <v>0</v>
      </c>
      <c r="MT280">
        <v>0</v>
      </c>
      <c r="MU280">
        <v>0</v>
      </c>
      <c r="MV280">
        <v>0</v>
      </c>
      <c r="MW280">
        <v>0</v>
      </c>
      <c r="MX280">
        <v>0</v>
      </c>
      <c r="MY280">
        <v>0</v>
      </c>
      <c r="MZ280">
        <v>0</v>
      </c>
      <c r="NA280">
        <v>0</v>
      </c>
      <c r="NB280">
        <v>0</v>
      </c>
      <c r="NC280">
        <v>0</v>
      </c>
      <c r="ND280">
        <v>0</v>
      </c>
      <c r="NE280">
        <v>0</v>
      </c>
      <c r="NF280">
        <v>0</v>
      </c>
      <c r="NG280">
        <v>0</v>
      </c>
      <c r="NH280">
        <v>0</v>
      </c>
      <c r="NI280">
        <v>0</v>
      </c>
      <c r="NJ280">
        <v>0</v>
      </c>
      <c r="NK280">
        <v>0</v>
      </c>
      <c r="NL280">
        <v>0</v>
      </c>
      <c r="NM280">
        <v>0</v>
      </c>
      <c r="NN280">
        <v>0</v>
      </c>
      <c r="NO280">
        <v>0</v>
      </c>
      <c r="NP280">
        <v>0</v>
      </c>
      <c r="NQ280">
        <v>269</v>
      </c>
      <c r="NR280">
        <v>-499</v>
      </c>
      <c r="NS280">
        <v>0</v>
      </c>
      <c r="NT280">
        <v>3</v>
      </c>
      <c r="NU280">
        <v>0</v>
      </c>
      <c r="NV280">
        <v>0</v>
      </c>
      <c r="NW280">
        <v>0</v>
      </c>
      <c r="NX280">
        <v>0</v>
      </c>
      <c r="NY280">
        <v>0</v>
      </c>
      <c r="NZ280">
        <v>-227</v>
      </c>
      <c r="OA280">
        <v>826</v>
      </c>
      <c r="OB280">
        <v>599</v>
      </c>
      <c r="OC280">
        <v>0</v>
      </c>
      <c r="OD280">
        <v>0</v>
      </c>
      <c r="OE280">
        <v>0</v>
      </c>
      <c r="OF280">
        <v>0</v>
      </c>
      <c r="OG280">
        <v>0</v>
      </c>
      <c r="OH280">
        <v>0</v>
      </c>
      <c r="OI280">
        <v>826</v>
      </c>
      <c r="OJ280">
        <v>0</v>
      </c>
      <c r="OK280">
        <v>0</v>
      </c>
      <c r="OL280">
        <v>0</v>
      </c>
      <c r="OM280">
        <v>0</v>
      </c>
      <c r="ON280">
        <v>826</v>
      </c>
    </row>
    <row r="281" spans="1:404" x14ac:dyDescent="0.25">
      <c r="A281" t="s">
        <v>913</v>
      </c>
      <c r="B281" t="s">
        <v>914</v>
      </c>
      <c r="C281" t="s">
        <v>912</v>
      </c>
      <c r="E281" t="s">
        <v>125</v>
      </c>
      <c r="F281">
        <v>13522</v>
      </c>
      <c r="G281">
        <v>40117</v>
      </c>
      <c r="H281">
        <v>15618</v>
      </c>
      <c r="I281">
        <v>11603</v>
      </c>
      <c r="J281">
        <v>911</v>
      </c>
      <c r="K281">
        <v>10520</v>
      </c>
      <c r="L281">
        <v>92291</v>
      </c>
      <c r="M281">
        <v>658</v>
      </c>
      <c r="N281">
        <v>799</v>
      </c>
      <c r="O281">
        <v>4894</v>
      </c>
      <c r="P281">
        <v>4587</v>
      </c>
      <c r="Q281">
        <v>0</v>
      </c>
      <c r="R281">
        <v>4553</v>
      </c>
      <c r="S281">
        <v>279</v>
      </c>
      <c r="T281">
        <v>0</v>
      </c>
      <c r="U281">
        <v>1490</v>
      </c>
      <c r="V281">
        <v>0</v>
      </c>
      <c r="W281">
        <v>0</v>
      </c>
      <c r="X281">
        <v>540</v>
      </c>
      <c r="Y281">
        <v>1606</v>
      </c>
      <c r="Z281">
        <v>-3575</v>
      </c>
      <c r="AA281">
        <v>-1084</v>
      </c>
      <c r="AB281">
        <v>4091</v>
      </c>
      <c r="AC281">
        <v>0</v>
      </c>
      <c r="AD281">
        <v>237</v>
      </c>
      <c r="AE281">
        <v>0</v>
      </c>
      <c r="AF281">
        <v>0</v>
      </c>
      <c r="AG281">
        <v>-491</v>
      </c>
      <c r="AH281">
        <v>-3094</v>
      </c>
      <c r="AI281">
        <v>15490</v>
      </c>
      <c r="AJ281">
        <v>0</v>
      </c>
      <c r="AK281">
        <v>0</v>
      </c>
      <c r="AL281">
        <v>0</v>
      </c>
      <c r="AM281">
        <v>0</v>
      </c>
      <c r="AN281">
        <v>0</v>
      </c>
      <c r="AO281">
        <v>0</v>
      </c>
      <c r="AP281">
        <v>0</v>
      </c>
      <c r="AQ281">
        <v>8255</v>
      </c>
      <c r="AR281">
        <v>0</v>
      </c>
      <c r="AS281">
        <v>0</v>
      </c>
      <c r="AT281">
        <v>0</v>
      </c>
      <c r="AU281">
        <v>0</v>
      </c>
      <c r="AV281">
        <v>6</v>
      </c>
      <c r="AW281">
        <v>22034</v>
      </c>
      <c r="AX281">
        <v>3199</v>
      </c>
      <c r="AY281">
        <v>7568</v>
      </c>
      <c r="AZ281">
        <v>689</v>
      </c>
      <c r="BA281">
        <v>14035</v>
      </c>
      <c r="BB281">
        <v>1469</v>
      </c>
      <c r="BC281">
        <v>370</v>
      </c>
      <c r="BD281">
        <v>49370</v>
      </c>
      <c r="BE281">
        <v>3632</v>
      </c>
      <c r="BF281">
        <v>11385</v>
      </c>
      <c r="BG281">
        <v>0</v>
      </c>
      <c r="BH281">
        <v>0</v>
      </c>
      <c r="BI281">
        <v>0</v>
      </c>
      <c r="BJ281">
        <v>7873</v>
      </c>
      <c r="BK281">
        <v>21437</v>
      </c>
      <c r="BL281">
        <v>0</v>
      </c>
      <c r="BM281">
        <v>3248</v>
      </c>
      <c r="BN281">
        <v>247</v>
      </c>
      <c r="BO281">
        <v>0</v>
      </c>
      <c r="BP281">
        <v>0</v>
      </c>
      <c r="BQ281">
        <v>0</v>
      </c>
      <c r="BR281">
        <v>151</v>
      </c>
      <c r="BS281">
        <v>304</v>
      </c>
      <c r="BT281">
        <v>7994</v>
      </c>
      <c r="BU281">
        <v>818</v>
      </c>
      <c r="BV281">
        <v>11516</v>
      </c>
      <c r="BW281">
        <v>68605</v>
      </c>
      <c r="BX281">
        <v>1797</v>
      </c>
      <c r="BY281">
        <v>516</v>
      </c>
      <c r="BZ281">
        <v>214</v>
      </c>
      <c r="CA281">
        <v>225</v>
      </c>
      <c r="CB281">
        <v>218</v>
      </c>
      <c r="CC281">
        <v>431</v>
      </c>
      <c r="CD281">
        <v>383</v>
      </c>
      <c r="CE281">
        <v>314</v>
      </c>
      <c r="CF281">
        <v>363</v>
      </c>
      <c r="CG281">
        <v>1217</v>
      </c>
      <c r="CH281">
        <v>711</v>
      </c>
      <c r="CI281">
        <v>2364</v>
      </c>
      <c r="CJ281">
        <v>867</v>
      </c>
      <c r="CK281">
        <v>262</v>
      </c>
      <c r="CL281">
        <v>106</v>
      </c>
      <c r="CM281">
        <v>0</v>
      </c>
      <c r="CN281">
        <v>506</v>
      </c>
      <c r="CO281">
        <v>84</v>
      </c>
      <c r="CP281">
        <v>549</v>
      </c>
      <c r="CQ281">
        <v>3676</v>
      </c>
      <c r="CR281">
        <v>1344</v>
      </c>
      <c r="CS281">
        <v>0</v>
      </c>
      <c r="CT281">
        <v>142</v>
      </c>
      <c r="CU281">
        <v>4063</v>
      </c>
      <c r="CV281">
        <v>23581</v>
      </c>
      <c r="CW281">
        <v>0</v>
      </c>
      <c r="CX281">
        <v>0</v>
      </c>
      <c r="CY281">
        <v>0</v>
      </c>
      <c r="CZ281">
        <v>0</v>
      </c>
      <c r="DA281">
        <v>0</v>
      </c>
      <c r="DB281">
        <v>0</v>
      </c>
      <c r="DC281">
        <v>675</v>
      </c>
      <c r="DD281">
        <v>0</v>
      </c>
      <c r="DE281">
        <v>-5</v>
      </c>
      <c r="DF281">
        <v>0</v>
      </c>
      <c r="DG281">
        <v>0</v>
      </c>
      <c r="DH281">
        <v>1331</v>
      </c>
      <c r="DI281">
        <v>0</v>
      </c>
      <c r="DJ281">
        <v>1617</v>
      </c>
      <c r="DK281">
        <v>0</v>
      </c>
      <c r="DL281">
        <v>1808</v>
      </c>
      <c r="DM281">
        <v>0</v>
      </c>
      <c r="DN281">
        <v>1234</v>
      </c>
      <c r="DO281">
        <v>0</v>
      </c>
      <c r="DP281">
        <v>5990</v>
      </c>
      <c r="DQ281">
        <v>290</v>
      </c>
      <c r="DR281">
        <v>0</v>
      </c>
      <c r="DS281">
        <v>-1082</v>
      </c>
      <c r="DT281">
        <v>1587</v>
      </c>
      <c r="DU281">
        <v>0</v>
      </c>
      <c r="DV281">
        <v>693</v>
      </c>
      <c r="DW281">
        <v>55</v>
      </c>
      <c r="DX281">
        <v>8203</v>
      </c>
      <c r="DY281">
        <v>66605</v>
      </c>
      <c r="DZ281">
        <v>2979</v>
      </c>
      <c r="EA281">
        <v>15243</v>
      </c>
      <c r="EB281">
        <v>890</v>
      </c>
      <c r="EC281">
        <v>0</v>
      </c>
      <c r="ED281">
        <v>241</v>
      </c>
      <c r="EE281">
        <v>0</v>
      </c>
      <c r="EF281">
        <v>0</v>
      </c>
      <c r="EG281">
        <v>392</v>
      </c>
      <c r="EH281">
        <v>23877</v>
      </c>
      <c r="EI281">
        <v>15245</v>
      </c>
      <c r="EJ281">
        <v>15800</v>
      </c>
      <c r="EK281">
        <v>565</v>
      </c>
      <c r="EL281">
        <v>5674</v>
      </c>
      <c r="EM281">
        <v>77</v>
      </c>
      <c r="EN281">
        <v>0</v>
      </c>
      <c r="EO281">
        <v>37</v>
      </c>
      <c r="EP281">
        <v>0</v>
      </c>
      <c r="EQ281">
        <v>23654</v>
      </c>
      <c r="ER281">
        <v>200</v>
      </c>
      <c r="ES281">
        <v>23384</v>
      </c>
      <c r="ET281">
        <v>24605</v>
      </c>
      <c r="EU281">
        <v>230</v>
      </c>
      <c r="EV281">
        <v>1638</v>
      </c>
      <c r="EW281">
        <v>149</v>
      </c>
      <c r="EX281">
        <v>1819</v>
      </c>
      <c r="EY281">
        <v>349</v>
      </c>
      <c r="EZ281">
        <v>-1102</v>
      </c>
      <c r="FA281">
        <v>172</v>
      </c>
      <c r="FB281">
        <v>103</v>
      </c>
      <c r="FC281">
        <v>936</v>
      </c>
      <c r="FD281">
        <v>3134</v>
      </c>
      <c r="FE281">
        <v>-3</v>
      </c>
      <c r="FF281">
        <v>1022</v>
      </c>
      <c r="FG281">
        <v>3070</v>
      </c>
      <c r="FH281">
        <v>11517</v>
      </c>
      <c r="FI281">
        <v>-96</v>
      </c>
      <c r="FJ281">
        <v>414</v>
      </c>
      <c r="FK281">
        <v>0</v>
      </c>
      <c r="FL281">
        <v>0</v>
      </c>
      <c r="FM281">
        <v>815</v>
      </c>
      <c r="FN281">
        <v>374</v>
      </c>
      <c r="FO281">
        <v>0</v>
      </c>
      <c r="FP281">
        <v>929</v>
      </c>
      <c r="FQ281">
        <v>0</v>
      </c>
      <c r="FR281">
        <v>14</v>
      </c>
      <c r="FS281">
        <v>349</v>
      </c>
      <c r="FT281">
        <v>494</v>
      </c>
      <c r="FU281">
        <v>-30</v>
      </c>
      <c r="FV281">
        <v>1071</v>
      </c>
      <c r="FW281">
        <v>273</v>
      </c>
      <c r="FX281">
        <v>187</v>
      </c>
      <c r="FY281">
        <v>314</v>
      </c>
      <c r="FZ281">
        <v>0</v>
      </c>
      <c r="GA281">
        <v>176</v>
      </c>
      <c r="GB281">
        <v>0</v>
      </c>
      <c r="GC281">
        <v>30</v>
      </c>
      <c r="GD281">
        <v>3404</v>
      </c>
      <c r="GE281">
        <v>3888</v>
      </c>
      <c r="GF281">
        <v>4665</v>
      </c>
      <c r="GG281">
        <v>0</v>
      </c>
      <c r="GH281">
        <v>478</v>
      </c>
      <c r="GI281">
        <v>0</v>
      </c>
      <c r="GJ281">
        <v>0</v>
      </c>
      <c r="GK281">
        <v>17749</v>
      </c>
      <c r="GL281">
        <v>96</v>
      </c>
      <c r="GM281">
        <v>1216</v>
      </c>
      <c r="GN281">
        <v>0</v>
      </c>
      <c r="GO281">
        <v>600</v>
      </c>
      <c r="GP281">
        <v>6</v>
      </c>
      <c r="GQ281">
        <v>13</v>
      </c>
      <c r="GR281">
        <v>0</v>
      </c>
      <c r="GS281">
        <v>9267</v>
      </c>
      <c r="GT281">
        <v>0</v>
      </c>
      <c r="GU281">
        <v>11198</v>
      </c>
      <c r="GV281">
        <v>40464</v>
      </c>
      <c r="GW281">
        <v>0</v>
      </c>
      <c r="GX281">
        <v>0</v>
      </c>
      <c r="GY281">
        <v>0</v>
      </c>
      <c r="GZ281">
        <v>0</v>
      </c>
      <c r="HA281">
        <v>0</v>
      </c>
      <c r="HB281">
        <v>3106</v>
      </c>
      <c r="HC281">
        <v>2888</v>
      </c>
      <c r="HD281">
        <v>0</v>
      </c>
      <c r="HE281">
        <v>0</v>
      </c>
      <c r="HF281">
        <v>1</v>
      </c>
      <c r="HG281">
        <v>-291</v>
      </c>
      <c r="HH281">
        <v>0</v>
      </c>
      <c r="HI281">
        <v>-119</v>
      </c>
      <c r="HJ281">
        <v>257</v>
      </c>
      <c r="HK281">
        <v>1078</v>
      </c>
      <c r="HL281">
        <v>161</v>
      </c>
      <c r="HM281">
        <v>-76</v>
      </c>
      <c r="HN281">
        <v>0</v>
      </c>
      <c r="HO281">
        <v>0</v>
      </c>
      <c r="HP281">
        <v>776</v>
      </c>
      <c r="HQ281">
        <v>0</v>
      </c>
      <c r="HR281">
        <v>1269</v>
      </c>
      <c r="HS281">
        <v>0</v>
      </c>
      <c r="HT281">
        <v>2</v>
      </c>
      <c r="HU281">
        <v>-9908</v>
      </c>
      <c r="HV281">
        <v>-856</v>
      </c>
      <c r="HW281">
        <v>4568</v>
      </c>
      <c r="HX281">
        <v>32888</v>
      </c>
      <c r="HY281">
        <v>0</v>
      </c>
      <c r="HZ281">
        <v>7267</v>
      </c>
      <c r="IA281">
        <v>994</v>
      </c>
      <c r="IB281">
        <v>2498</v>
      </c>
      <c r="IC281">
        <v>92291</v>
      </c>
      <c r="ID281">
        <v>15490</v>
      </c>
      <c r="IE281">
        <v>49370</v>
      </c>
      <c r="IF281">
        <v>68605</v>
      </c>
      <c r="IG281">
        <v>23581</v>
      </c>
      <c r="IH281">
        <v>8203</v>
      </c>
      <c r="II281">
        <v>11517</v>
      </c>
      <c r="IJ281">
        <v>17749</v>
      </c>
      <c r="IK281">
        <v>11198</v>
      </c>
      <c r="IL281">
        <v>0</v>
      </c>
      <c r="IM281">
        <v>0</v>
      </c>
      <c r="IN281">
        <v>-856</v>
      </c>
      <c r="IO281">
        <v>2498</v>
      </c>
      <c r="IP281">
        <v>299646</v>
      </c>
      <c r="IQ281">
        <v>37809</v>
      </c>
      <c r="IR281">
        <v>0</v>
      </c>
      <c r="IS281">
        <v>37364</v>
      </c>
      <c r="IT281">
        <v>0</v>
      </c>
      <c r="IU281">
        <v>0</v>
      </c>
      <c r="IV281">
        <v>0</v>
      </c>
      <c r="IW281">
        <v>0</v>
      </c>
      <c r="IX281">
        <v>0</v>
      </c>
      <c r="IY281">
        <v>0</v>
      </c>
      <c r="IZ281">
        <v>0</v>
      </c>
      <c r="JA281">
        <v>-24918</v>
      </c>
      <c r="JB281">
        <v>-508</v>
      </c>
      <c r="JC281">
        <v>0</v>
      </c>
      <c r="JD281">
        <v>0</v>
      </c>
      <c r="JE281">
        <v>1204</v>
      </c>
      <c r="JF281">
        <v>0</v>
      </c>
      <c r="JG281">
        <v>350597</v>
      </c>
      <c r="JH281">
        <v>46</v>
      </c>
      <c r="JI281">
        <v>33853</v>
      </c>
      <c r="JJ281">
        <v>0</v>
      </c>
      <c r="JK281">
        <v>0</v>
      </c>
      <c r="JL281">
        <v>0</v>
      </c>
      <c r="JM281">
        <v>4589</v>
      </c>
      <c r="JN281">
        <v>10311</v>
      </c>
      <c r="JO281">
        <v>0</v>
      </c>
      <c r="JP281">
        <v>19963</v>
      </c>
      <c r="JQ281">
        <v>-4724</v>
      </c>
      <c r="JR281">
        <v>414635</v>
      </c>
      <c r="JS281">
        <v>-2982</v>
      </c>
      <c r="JT281">
        <v>5182</v>
      </c>
      <c r="JU281">
        <v>100</v>
      </c>
      <c r="JV281">
        <v>0</v>
      </c>
      <c r="JW281">
        <v>-81493</v>
      </c>
      <c r="JX281">
        <v>0</v>
      </c>
      <c r="JY281">
        <v>-740</v>
      </c>
      <c r="JZ281">
        <v>0</v>
      </c>
      <c r="KA281">
        <v>0</v>
      </c>
      <c r="KB281">
        <v>0</v>
      </c>
      <c r="KC281">
        <v>334702</v>
      </c>
      <c r="KD281">
        <v>0</v>
      </c>
      <c r="KE281">
        <v>-153765</v>
      </c>
      <c r="KF281">
        <v>180937</v>
      </c>
      <c r="KG281">
        <v>0</v>
      </c>
      <c r="KH281">
        <v>-580</v>
      </c>
      <c r="KI281">
        <v>2773</v>
      </c>
      <c r="KJ281">
        <v>278</v>
      </c>
      <c r="KK281">
        <v>-30154</v>
      </c>
      <c r="KL281">
        <v>-1950</v>
      </c>
      <c r="KM281">
        <v>-11734</v>
      </c>
      <c r="KN281">
        <v>0</v>
      </c>
      <c r="KO281">
        <v>-40784</v>
      </c>
      <c r="KP281">
        <v>-819</v>
      </c>
      <c r="KQ281">
        <v>0</v>
      </c>
      <c r="KR281">
        <v>86137</v>
      </c>
      <c r="KS281">
        <v>5008</v>
      </c>
      <c r="KT281">
        <v>5674</v>
      </c>
      <c r="KU281">
        <v>1414</v>
      </c>
      <c r="KV281">
        <v>222356</v>
      </c>
      <c r="KW281">
        <v>23373</v>
      </c>
      <c r="KX281">
        <v>4428</v>
      </c>
      <c r="KY281">
        <v>8447</v>
      </c>
      <c r="KZ281">
        <v>1692</v>
      </c>
      <c r="LA281">
        <v>192202</v>
      </c>
      <c r="LB281">
        <v>21423</v>
      </c>
      <c r="LC281">
        <v>0</v>
      </c>
      <c r="LD281">
        <v>21021</v>
      </c>
      <c r="LE281">
        <v>0</v>
      </c>
      <c r="LF281">
        <v>13025</v>
      </c>
      <c r="LG281">
        <v>0</v>
      </c>
      <c r="LH281">
        <v>1747</v>
      </c>
      <c r="LI281">
        <v>35793</v>
      </c>
      <c r="LJ281">
        <v>5161</v>
      </c>
      <c r="LK281">
        <v>6660</v>
      </c>
      <c r="LL281">
        <v>11821</v>
      </c>
      <c r="LM281">
        <v>0</v>
      </c>
      <c r="LN281">
        <v>0</v>
      </c>
      <c r="LO281">
        <v>0</v>
      </c>
      <c r="LP281">
        <v>86350</v>
      </c>
      <c r="LQ281">
        <v>85129</v>
      </c>
      <c r="LR281">
        <v>1221</v>
      </c>
      <c r="LS281">
        <v>23384</v>
      </c>
      <c r="LT281">
        <v>24605</v>
      </c>
      <c r="LU281">
        <v>92291</v>
      </c>
      <c r="LV281">
        <v>15490</v>
      </c>
      <c r="LW281">
        <v>49370</v>
      </c>
      <c r="LX281">
        <v>68605</v>
      </c>
      <c r="LY281">
        <v>23581</v>
      </c>
      <c r="LZ281">
        <v>8203</v>
      </c>
      <c r="MA281">
        <v>11517</v>
      </c>
      <c r="MB281">
        <v>17749</v>
      </c>
      <c r="MC281">
        <v>11198</v>
      </c>
      <c r="MD281">
        <v>0</v>
      </c>
      <c r="ME281">
        <v>0</v>
      </c>
      <c r="MF281">
        <v>-856</v>
      </c>
      <c r="MG281">
        <v>2498</v>
      </c>
      <c r="MH281">
        <v>299646</v>
      </c>
      <c r="MI281">
        <v>0</v>
      </c>
      <c r="MJ281">
        <v>0</v>
      </c>
      <c r="MK281">
        <v>0</v>
      </c>
      <c r="ML281">
        <v>0</v>
      </c>
      <c r="MM281">
        <v>0</v>
      </c>
      <c r="MN281">
        <v>0</v>
      </c>
      <c r="MO281">
        <v>0</v>
      </c>
      <c r="MP281">
        <v>0</v>
      </c>
      <c r="MQ281">
        <v>0</v>
      </c>
      <c r="MR281">
        <v>0</v>
      </c>
      <c r="MS281">
        <v>0</v>
      </c>
      <c r="MT281">
        <v>0</v>
      </c>
      <c r="MU281">
        <v>0</v>
      </c>
      <c r="MV281">
        <v>0</v>
      </c>
      <c r="MW281">
        <v>0</v>
      </c>
      <c r="MX281">
        <v>0</v>
      </c>
      <c r="MY281">
        <v>-24918</v>
      </c>
      <c r="MZ281">
        <v>0</v>
      </c>
      <c r="NA281">
        <v>-24918</v>
      </c>
      <c r="NB281">
        <v>0</v>
      </c>
      <c r="NC281">
        <v>-24918</v>
      </c>
      <c r="ND281">
        <v>0</v>
      </c>
      <c r="NE281">
        <v>0</v>
      </c>
      <c r="NF281">
        <v>0</v>
      </c>
      <c r="NG281">
        <v>0</v>
      </c>
      <c r="NH281">
        <v>0</v>
      </c>
      <c r="NI281">
        <v>0</v>
      </c>
      <c r="NJ281">
        <v>0</v>
      </c>
      <c r="NK281">
        <v>0</v>
      </c>
      <c r="NL281">
        <v>0</v>
      </c>
      <c r="NM281">
        <v>0</v>
      </c>
      <c r="NN281">
        <v>0</v>
      </c>
      <c r="NO281">
        <v>0</v>
      </c>
      <c r="NP281">
        <v>0</v>
      </c>
      <c r="NQ281">
        <v>0</v>
      </c>
      <c r="NR281">
        <v>0</v>
      </c>
      <c r="NS281">
        <v>0</v>
      </c>
      <c r="NT281">
        <v>0</v>
      </c>
      <c r="NU281">
        <v>0</v>
      </c>
      <c r="NV281">
        <v>0</v>
      </c>
      <c r="NW281">
        <v>0</v>
      </c>
      <c r="NX281">
        <v>-508</v>
      </c>
      <c r="NY281">
        <v>0</v>
      </c>
      <c r="NZ281">
        <v>-508</v>
      </c>
      <c r="OA281">
        <v>0</v>
      </c>
      <c r="OB281">
        <v>-508</v>
      </c>
      <c r="OC281">
        <v>0</v>
      </c>
      <c r="OD281">
        <v>0</v>
      </c>
      <c r="OE281">
        <v>0</v>
      </c>
      <c r="OF281">
        <v>0</v>
      </c>
      <c r="OG281">
        <v>0</v>
      </c>
      <c r="OH281">
        <v>0</v>
      </c>
      <c r="OI281">
        <v>0</v>
      </c>
      <c r="OJ281">
        <v>0</v>
      </c>
      <c r="OK281">
        <v>0</v>
      </c>
      <c r="OL281">
        <v>0</v>
      </c>
      <c r="OM281">
        <v>0</v>
      </c>
      <c r="ON281">
        <v>0</v>
      </c>
    </row>
    <row r="282" spans="1:404" x14ac:dyDescent="0.25">
      <c r="A282" t="s">
        <v>916</v>
      </c>
      <c r="B282" t="s">
        <v>917</v>
      </c>
      <c r="C282" t="s">
        <v>915</v>
      </c>
      <c r="E282" t="s">
        <v>61</v>
      </c>
      <c r="F282">
        <v>0</v>
      </c>
      <c r="G282">
        <v>0</v>
      </c>
      <c r="H282">
        <v>0</v>
      </c>
      <c r="I282">
        <v>0</v>
      </c>
      <c r="J282">
        <v>0</v>
      </c>
      <c r="K282">
        <v>0</v>
      </c>
      <c r="L282">
        <v>0</v>
      </c>
      <c r="M282">
        <v>0</v>
      </c>
      <c r="N282">
        <v>0</v>
      </c>
      <c r="O282">
        <v>0</v>
      </c>
      <c r="P282">
        <v>0</v>
      </c>
      <c r="Q282">
        <v>0</v>
      </c>
      <c r="R282">
        <v>12</v>
      </c>
      <c r="S282">
        <v>126</v>
      </c>
      <c r="T282">
        <v>0</v>
      </c>
      <c r="U282">
        <v>53</v>
      </c>
      <c r="V282">
        <v>0</v>
      </c>
      <c r="W282">
        <v>0</v>
      </c>
      <c r="X282">
        <v>0</v>
      </c>
      <c r="Y282">
        <v>0</v>
      </c>
      <c r="Z282">
        <v>0</v>
      </c>
      <c r="AA282">
        <v>-120</v>
      </c>
      <c r="AB282">
        <v>0</v>
      </c>
      <c r="AC282">
        <v>0</v>
      </c>
      <c r="AD282">
        <v>0</v>
      </c>
      <c r="AE282">
        <v>0</v>
      </c>
      <c r="AF282">
        <v>0</v>
      </c>
      <c r="AG282">
        <v>30</v>
      </c>
      <c r="AH282">
        <v>230</v>
      </c>
      <c r="AI282">
        <v>331</v>
      </c>
      <c r="AJ282">
        <v>0</v>
      </c>
      <c r="AK282">
        <v>0</v>
      </c>
      <c r="AL282">
        <v>6</v>
      </c>
      <c r="AM282">
        <v>15</v>
      </c>
      <c r="AN282">
        <v>0</v>
      </c>
      <c r="AO282">
        <v>0</v>
      </c>
      <c r="AP282">
        <v>0</v>
      </c>
      <c r="AQ282">
        <v>0</v>
      </c>
      <c r="AR282">
        <v>0</v>
      </c>
      <c r="AS282">
        <v>0</v>
      </c>
      <c r="AT282">
        <v>0</v>
      </c>
      <c r="AU282">
        <v>0</v>
      </c>
      <c r="AV282">
        <v>0</v>
      </c>
      <c r="AW282">
        <v>0</v>
      </c>
      <c r="AX282">
        <v>0</v>
      </c>
      <c r="AY282">
        <v>0</v>
      </c>
      <c r="AZ282">
        <v>0</v>
      </c>
      <c r="BA282">
        <v>0</v>
      </c>
      <c r="BB282">
        <v>0</v>
      </c>
      <c r="BC282">
        <v>0</v>
      </c>
      <c r="BD282">
        <v>0</v>
      </c>
      <c r="BE282">
        <v>0</v>
      </c>
      <c r="BF282">
        <v>0</v>
      </c>
      <c r="BG282">
        <v>0</v>
      </c>
      <c r="BH282">
        <v>0</v>
      </c>
      <c r="BI282">
        <v>0</v>
      </c>
      <c r="BJ282">
        <v>0</v>
      </c>
      <c r="BK282">
        <v>0</v>
      </c>
      <c r="BL282">
        <v>0</v>
      </c>
      <c r="BM282">
        <v>0</v>
      </c>
      <c r="BN282">
        <v>0</v>
      </c>
      <c r="BO282">
        <v>0</v>
      </c>
      <c r="BP282">
        <v>0</v>
      </c>
      <c r="BQ282">
        <v>0</v>
      </c>
      <c r="BR282">
        <v>0</v>
      </c>
      <c r="BS282">
        <v>0</v>
      </c>
      <c r="BT282">
        <v>0</v>
      </c>
      <c r="BU282">
        <v>0</v>
      </c>
      <c r="BV282">
        <v>0</v>
      </c>
      <c r="BW282">
        <v>0</v>
      </c>
      <c r="BX282">
        <v>0</v>
      </c>
      <c r="BY282">
        <v>0</v>
      </c>
      <c r="BZ282">
        <v>0</v>
      </c>
      <c r="CA282">
        <v>0</v>
      </c>
      <c r="CB282">
        <v>0</v>
      </c>
      <c r="CC282">
        <v>0</v>
      </c>
      <c r="CD282">
        <v>0</v>
      </c>
      <c r="CE282">
        <v>0</v>
      </c>
      <c r="CF282">
        <v>0</v>
      </c>
      <c r="CG282">
        <v>0</v>
      </c>
      <c r="CH282">
        <v>0</v>
      </c>
      <c r="CI282">
        <v>0</v>
      </c>
      <c r="CJ282">
        <v>0</v>
      </c>
      <c r="CK282">
        <v>0</v>
      </c>
      <c r="CL282">
        <v>0</v>
      </c>
      <c r="CM282">
        <v>0</v>
      </c>
      <c r="CN282">
        <v>0</v>
      </c>
      <c r="CO282">
        <v>0</v>
      </c>
      <c r="CP282">
        <v>0</v>
      </c>
      <c r="CQ282">
        <v>0</v>
      </c>
      <c r="CR282">
        <v>0</v>
      </c>
      <c r="CS282">
        <v>0</v>
      </c>
      <c r="CT282">
        <v>0</v>
      </c>
      <c r="CU282">
        <v>1</v>
      </c>
      <c r="CV282">
        <v>2</v>
      </c>
      <c r="CW282">
        <v>0</v>
      </c>
      <c r="CX282">
        <v>0</v>
      </c>
      <c r="CY282">
        <v>0</v>
      </c>
      <c r="CZ282">
        <v>0</v>
      </c>
      <c r="DA282">
        <v>0</v>
      </c>
      <c r="DB282">
        <v>0</v>
      </c>
      <c r="DC282">
        <v>583</v>
      </c>
      <c r="DD282">
        <v>-1</v>
      </c>
      <c r="DE282">
        <v>166</v>
      </c>
      <c r="DF282">
        <v>132</v>
      </c>
      <c r="DG282">
        <v>8</v>
      </c>
      <c r="DH282">
        <v>24</v>
      </c>
      <c r="DI282">
        <v>0</v>
      </c>
      <c r="DJ282">
        <v>4</v>
      </c>
      <c r="DK282">
        <v>68</v>
      </c>
      <c r="DL282">
        <v>4</v>
      </c>
      <c r="DM282">
        <v>725</v>
      </c>
      <c r="DN282">
        <v>124</v>
      </c>
      <c r="DO282">
        <v>1280</v>
      </c>
      <c r="DP282">
        <v>2237</v>
      </c>
      <c r="DQ282">
        <v>177</v>
      </c>
      <c r="DR282">
        <v>0</v>
      </c>
      <c r="DS282">
        <v>0</v>
      </c>
      <c r="DT282">
        <v>141</v>
      </c>
      <c r="DU282">
        <v>0</v>
      </c>
      <c r="DV282">
        <v>0</v>
      </c>
      <c r="DW282">
        <v>0</v>
      </c>
      <c r="DX282">
        <v>3435</v>
      </c>
      <c r="DY282">
        <v>0</v>
      </c>
      <c r="DZ282">
        <v>0</v>
      </c>
      <c r="EA282">
        <v>0</v>
      </c>
      <c r="EB282">
        <v>0</v>
      </c>
      <c r="EC282">
        <v>0</v>
      </c>
      <c r="ED282">
        <v>0</v>
      </c>
      <c r="EE282">
        <v>0</v>
      </c>
      <c r="EF282">
        <v>0</v>
      </c>
      <c r="EG282">
        <v>0</v>
      </c>
      <c r="EH282">
        <v>0</v>
      </c>
      <c r="EI282">
        <v>0</v>
      </c>
      <c r="EJ282">
        <v>0</v>
      </c>
      <c r="EK282">
        <v>0</v>
      </c>
      <c r="EL282">
        <v>0</v>
      </c>
      <c r="EM282">
        <v>0</v>
      </c>
      <c r="EN282">
        <v>0</v>
      </c>
      <c r="EO282">
        <v>0</v>
      </c>
      <c r="EP282">
        <v>0</v>
      </c>
      <c r="EQ282">
        <v>0</v>
      </c>
      <c r="ER282">
        <v>0</v>
      </c>
      <c r="ES282">
        <v>0</v>
      </c>
      <c r="ET282">
        <v>0</v>
      </c>
      <c r="EU282">
        <v>0</v>
      </c>
      <c r="EV282">
        <v>0</v>
      </c>
      <c r="EW282">
        <v>384</v>
      </c>
      <c r="EX282">
        <v>1155</v>
      </c>
      <c r="EY282">
        <v>314</v>
      </c>
      <c r="EZ282">
        <v>2</v>
      </c>
      <c r="FA282">
        <v>0</v>
      </c>
      <c r="FB282">
        <v>0</v>
      </c>
      <c r="FC282">
        <v>0</v>
      </c>
      <c r="FD282">
        <v>2088</v>
      </c>
      <c r="FE282">
        <v>15</v>
      </c>
      <c r="FF282">
        <v>0</v>
      </c>
      <c r="FG282">
        <v>-36</v>
      </c>
      <c r="FH282">
        <v>3922</v>
      </c>
      <c r="FI282">
        <v>-139</v>
      </c>
      <c r="FJ282">
        <v>0</v>
      </c>
      <c r="FK282">
        <v>2</v>
      </c>
      <c r="FL282">
        <v>384</v>
      </c>
      <c r="FM282">
        <v>427</v>
      </c>
      <c r="FN282">
        <v>361</v>
      </c>
      <c r="FO282">
        <v>204</v>
      </c>
      <c r="FP282">
        <v>0</v>
      </c>
      <c r="FQ282">
        <v>0</v>
      </c>
      <c r="FR282">
        <v>165</v>
      </c>
      <c r="FS282">
        <v>36</v>
      </c>
      <c r="FT282">
        <v>266</v>
      </c>
      <c r="FU282">
        <v>47</v>
      </c>
      <c r="FV282">
        <v>79</v>
      </c>
      <c r="FW282">
        <v>0</v>
      </c>
      <c r="FX282">
        <v>94</v>
      </c>
      <c r="FY282">
        <v>5</v>
      </c>
      <c r="FZ282">
        <v>0</v>
      </c>
      <c r="GA282">
        <v>0</v>
      </c>
      <c r="GB282">
        <v>0</v>
      </c>
      <c r="GC282">
        <v>0</v>
      </c>
      <c r="GD282">
        <v>1987</v>
      </c>
      <c r="GE282">
        <v>1556</v>
      </c>
      <c r="GF282">
        <v>0</v>
      </c>
      <c r="GG282">
        <v>40</v>
      </c>
      <c r="GH282">
        <v>1343</v>
      </c>
      <c r="GI282">
        <v>0</v>
      </c>
      <c r="GJ282">
        <v>0</v>
      </c>
      <c r="GK282">
        <v>6857</v>
      </c>
      <c r="GL282">
        <v>179</v>
      </c>
      <c r="GM282">
        <v>285</v>
      </c>
      <c r="GN282">
        <v>9</v>
      </c>
      <c r="GO282">
        <v>480</v>
      </c>
      <c r="GP282">
        <v>7</v>
      </c>
      <c r="GQ282">
        <v>5297</v>
      </c>
      <c r="GR282">
        <v>0</v>
      </c>
      <c r="GS282">
        <v>3868</v>
      </c>
      <c r="GT282">
        <v>280</v>
      </c>
      <c r="GU282">
        <v>10405</v>
      </c>
      <c r="GV282">
        <v>21184</v>
      </c>
      <c r="GW282">
        <v>0</v>
      </c>
      <c r="GX282">
        <v>0</v>
      </c>
      <c r="GY282">
        <v>0</v>
      </c>
      <c r="GZ282">
        <v>0</v>
      </c>
      <c r="HA282">
        <v>0</v>
      </c>
      <c r="HB282">
        <v>2985</v>
      </c>
      <c r="HC282">
        <v>962</v>
      </c>
      <c r="HD282">
        <v>0</v>
      </c>
      <c r="HE282">
        <v>0</v>
      </c>
      <c r="HF282">
        <v>61</v>
      </c>
      <c r="HG282">
        <v>203</v>
      </c>
      <c r="HH282">
        <v>0</v>
      </c>
      <c r="HI282">
        <v>0</v>
      </c>
      <c r="HJ282">
        <v>298</v>
      </c>
      <c r="HK282">
        <v>271</v>
      </c>
      <c r="HL282">
        <v>31</v>
      </c>
      <c r="HM282">
        <v>20</v>
      </c>
      <c r="HN282">
        <v>0</v>
      </c>
      <c r="HO282">
        <v>396</v>
      </c>
      <c r="HP282">
        <v>0</v>
      </c>
      <c r="HQ282">
        <v>0</v>
      </c>
      <c r="HR282">
        <v>516</v>
      </c>
      <c r="HS282">
        <v>50</v>
      </c>
      <c r="HT282">
        <v>212</v>
      </c>
      <c r="HU282">
        <v>-16</v>
      </c>
      <c r="HV282">
        <v>5989</v>
      </c>
      <c r="HW282">
        <v>9756</v>
      </c>
      <c r="HX282">
        <v>8403</v>
      </c>
      <c r="HY282">
        <v>0</v>
      </c>
      <c r="HZ282">
        <v>696</v>
      </c>
      <c r="IA282">
        <v>1129</v>
      </c>
      <c r="IB282">
        <v>-290</v>
      </c>
      <c r="IC282">
        <v>0</v>
      </c>
      <c r="ID282">
        <v>331</v>
      </c>
      <c r="IE282">
        <v>0</v>
      </c>
      <c r="IF282">
        <v>0</v>
      </c>
      <c r="IG282">
        <v>2</v>
      </c>
      <c r="IH282">
        <v>3435</v>
      </c>
      <c r="II282">
        <v>3922</v>
      </c>
      <c r="IJ282">
        <v>6857</v>
      </c>
      <c r="IK282">
        <v>10405</v>
      </c>
      <c r="IL282">
        <v>0</v>
      </c>
      <c r="IM282">
        <v>0</v>
      </c>
      <c r="IN282">
        <v>5989</v>
      </c>
      <c r="IO282">
        <v>-290</v>
      </c>
      <c r="IP282">
        <v>30651</v>
      </c>
      <c r="IQ282">
        <v>32184</v>
      </c>
      <c r="IR282">
        <v>182</v>
      </c>
      <c r="IS282">
        <v>0</v>
      </c>
      <c r="IT282">
        <v>0</v>
      </c>
      <c r="IU282">
        <v>0</v>
      </c>
      <c r="IV282">
        <v>371</v>
      </c>
      <c r="IW282">
        <v>0</v>
      </c>
      <c r="IX282">
        <v>0</v>
      </c>
      <c r="IY282">
        <v>0</v>
      </c>
      <c r="IZ282">
        <v>0</v>
      </c>
      <c r="JA282">
        <v>-2069</v>
      </c>
      <c r="JB282">
        <v>120</v>
      </c>
      <c r="JC282">
        <v>0</v>
      </c>
      <c r="JD282">
        <v>0</v>
      </c>
      <c r="JE282">
        <v>123</v>
      </c>
      <c r="JF282">
        <v>0</v>
      </c>
      <c r="JG282">
        <v>61562</v>
      </c>
      <c r="JH282">
        <v>0</v>
      </c>
      <c r="JI282">
        <v>881</v>
      </c>
      <c r="JJ282">
        <v>0</v>
      </c>
      <c r="JK282">
        <v>0</v>
      </c>
      <c r="JL282">
        <v>0</v>
      </c>
      <c r="JM282">
        <v>-342</v>
      </c>
      <c r="JN282">
        <v>753</v>
      </c>
      <c r="JO282">
        <v>0</v>
      </c>
      <c r="JP282">
        <v>887</v>
      </c>
      <c r="JQ282">
        <v>0</v>
      </c>
      <c r="JR282">
        <v>63741</v>
      </c>
      <c r="JS282">
        <v>-192</v>
      </c>
      <c r="JT282">
        <v>0</v>
      </c>
      <c r="JU282">
        <v>293</v>
      </c>
      <c r="JV282">
        <v>0</v>
      </c>
      <c r="JW282">
        <v>-32294</v>
      </c>
      <c r="JX282">
        <v>0</v>
      </c>
      <c r="JY282">
        <v>-4179</v>
      </c>
      <c r="JZ282">
        <v>0</v>
      </c>
      <c r="KA282">
        <v>0</v>
      </c>
      <c r="KB282">
        <v>0</v>
      </c>
      <c r="KC282">
        <v>27369</v>
      </c>
      <c r="KD282">
        <v>0</v>
      </c>
      <c r="KE282">
        <v>-8773</v>
      </c>
      <c r="KF282">
        <v>18596</v>
      </c>
      <c r="KG282">
        <v>0</v>
      </c>
      <c r="KH282">
        <v>0</v>
      </c>
      <c r="KI282">
        <v>0</v>
      </c>
      <c r="KJ282">
        <v>-2</v>
      </c>
      <c r="KK282">
        <v>-8714</v>
      </c>
      <c r="KL282">
        <v>1561</v>
      </c>
      <c r="KM282">
        <v>0</v>
      </c>
      <c r="KN282">
        <v>0</v>
      </c>
      <c r="KO282">
        <v>10050</v>
      </c>
      <c r="KP282">
        <v>252</v>
      </c>
      <c r="KQ282">
        <v>0</v>
      </c>
      <c r="KR282">
        <v>13201</v>
      </c>
      <c r="KS282">
        <v>0</v>
      </c>
      <c r="KT282">
        <v>0</v>
      </c>
      <c r="KU282">
        <v>2</v>
      </c>
      <c r="KV282">
        <v>41130</v>
      </c>
      <c r="KW282">
        <v>9403</v>
      </c>
      <c r="KX282">
        <v>0</v>
      </c>
      <c r="KY282">
        <v>0</v>
      </c>
      <c r="KZ282">
        <v>0</v>
      </c>
      <c r="LA282">
        <v>32416</v>
      </c>
      <c r="LB282">
        <v>10964</v>
      </c>
      <c r="LC282">
        <v>477</v>
      </c>
      <c r="LD282">
        <v>2001</v>
      </c>
      <c r="LE282">
        <v>40</v>
      </c>
      <c r="LF282">
        <v>732</v>
      </c>
      <c r="LG282">
        <v>0</v>
      </c>
      <c r="LH282">
        <v>33</v>
      </c>
      <c r="LI282">
        <v>3107</v>
      </c>
      <c r="LJ282">
        <v>4184</v>
      </c>
      <c r="LK282">
        <v>7453</v>
      </c>
      <c r="LL282">
        <v>11637</v>
      </c>
      <c r="LM282">
        <v>0</v>
      </c>
      <c r="LN282">
        <v>0</v>
      </c>
      <c r="LO282">
        <v>0</v>
      </c>
      <c r="LP282">
        <v>0</v>
      </c>
      <c r="LQ282">
        <v>0</v>
      </c>
      <c r="LR282">
        <v>0</v>
      </c>
      <c r="LS282">
        <v>0</v>
      </c>
      <c r="LT282">
        <v>0</v>
      </c>
      <c r="LU282">
        <v>0</v>
      </c>
      <c r="LV282">
        <v>331</v>
      </c>
      <c r="LW282">
        <v>0</v>
      </c>
      <c r="LX282">
        <v>0</v>
      </c>
      <c r="LY282">
        <v>2</v>
      </c>
      <c r="LZ282">
        <v>3435</v>
      </c>
      <c r="MA282">
        <v>3922</v>
      </c>
      <c r="MB282">
        <v>6857</v>
      </c>
      <c r="MC282">
        <v>10405</v>
      </c>
      <c r="MD282">
        <v>0</v>
      </c>
      <c r="ME282">
        <v>0</v>
      </c>
      <c r="MF282">
        <v>5989</v>
      </c>
      <c r="MG282">
        <v>-290</v>
      </c>
      <c r="MH282">
        <v>30651</v>
      </c>
      <c r="MI282">
        <v>0</v>
      </c>
      <c r="MJ282">
        <v>0</v>
      </c>
      <c r="MK282">
        <v>0</v>
      </c>
      <c r="ML282">
        <v>0</v>
      </c>
      <c r="MM282">
        <v>0</v>
      </c>
      <c r="MN282">
        <v>0</v>
      </c>
      <c r="MO282">
        <v>0</v>
      </c>
      <c r="MP282">
        <v>0</v>
      </c>
      <c r="MQ282">
        <v>0</v>
      </c>
      <c r="MR282">
        <v>0</v>
      </c>
      <c r="MS282">
        <v>0</v>
      </c>
      <c r="MT282">
        <v>0</v>
      </c>
      <c r="MU282">
        <v>0</v>
      </c>
      <c r="MV282">
        <v>2</v>
      </c>
      <c r="MW282">
        <v>0</v>
      </c>
      <c r="MX282">
        <v>-33</v>
      </c>
      <c r="MY282">
        <v>-2038</v>
      </c>
      <c r="MZ282">
        <v>0</v>
      </c>
      <c r="NA282">
        <v>-2069</v>
      </c>
      <c r="NB282">
        <v>0</v>
      </c>
      <c r="NC282">
        <v>-2069</v>
      </c>
      <c r="ND282">
        <v>0</v>
      </c>
      <c r="NE282">
        <v>0</v>
      </c>
      <c r="NF282">
        <v>0</v>
      </c>
      <c r="NG282">
        <v>0</v>
      </c>
      <c r="NH282">
        <v>0</v>
      </c>
      <c r="NI282">
        <v>0</v>
      </c>
      <c r="NJ282">
        <v>0</v>
      </c>
      <c r="NK282">
        <v>0</v>
      </c>
      <c r="NL282">
        <v>0</v>
      </c>
      <c r="NM282">
        <v>0</v>
      </c>
      <c r="NN282">
        <v>0</v>
      </c>
      <c r="NO282">
        <v>0</v>
      </c>
      <c r="NP282">
        <v>0</v>
      </c>
      <c r="NQ282">
        <v>0</v>
      </c>
      <c r="NR282">
        <v>0</v>
      </c>
      <c r="NS282">
        <v>0</v>
      </c>
      <c r="NT282">
        <v>0</v>
      </c>
      <c r="NU282">
        <v>120</v>
      </c>
      <c r="NV282">
        <v>0</v>
      </c>
      <c r="NW282">
        <v>0</v>
      </c>
      <c r="NX282">
        <v>0</v>
      </c>
      <c r="NY282">
        <v>0</v>
      </c>
      <c r="NZ282">
        <v>120</v>
      </c>
      <c r="OA282">
        <v>0</v>
      </c>
      <c r="OB282">
        <v>120</v>
      </c>
      <c r="OC282">
        <v>0</v>
      </c>
      <c r="OD282">
        <v>0</v>
      </c>
      <c r="OE282">
        <v>0</v>
      </c>
      <c r="OF282">
        <v>0</v>
      </c>
      <c r="OG282">
        <v>0</v>
      </c>
      <c r="OH282">
        <v>0</v>
      </c>
      <c r="OI282">
        <v>0</v>
      </c>
      <c r="OJ282">
        <v>0</v>
      </c>
      <c r="OK282">
        <v>0</v>
      </c>
      <c r="OL282">
        <v>0</v>
      </c>
      <c r="OM282">
        <v>0</v>
      </c>
      <c r="ON282">
        <v>0</v>
      </c>
    </row>
    <row r="283" spans="1:404" x14ac:dyDescent="0.25">
      <c r="A283" t="s">
        <v>919</v>
      </c>
      <c r="B283" t="s">
        <v>920</v>
      </c>
      <c r="C283" t="s">
        <v>918</v>
      </c>
      <c r="E283" t="s">
        <v>125</v>
      </c>
      <c r="F283">
        <v>12596</v>
      </c>
      <c r="G283">
        <v>48303</v>
      </c>
      <c r="H283">
        <v>5345</v>
      </c>
      <c r="I283">
        <v>22044</v>
      </c>
      <c r="J283">
        <v>410</v>
      </c>
      <c r="K283">
        <v>9540</v>
      </c>
      <c r="L283">
        <v>98238</v>
      </c>
      <c r="M283">
        <v>288</v>
      </c>
      <c r="N283">
        <v>1162</v>
      </c>
      <c r="O283">
        <v>1476</v>
      </c>
      <c r="P283">
        <v>0</v>
      </c>
      <c r="Q283">
        <v>72</v>
      </c>
      <c r="R283">
        <v>2656</v>
      </c>
      <c r="S283">
        <v>0</v>
      </c>
      <c r="T283">
        <v>145</v>
      </c>
      <c r="U283">
        <v>555</v>
      </c>
      <c r="V283">
        <v>0</v>
      </c>
      <c r="W283">
        <v>-1441</v>
      </c>
      <c r="X283">
        <v>419</v>
      </c>
      <c r="Y283">
        <v>0</v>
      </c>
      <c r="Z283">
        <v>-2406</v>
      </c>
      <c r="AA283">
        <v>-662</v>
      </c>
      <c r="AB283">
        <v>4123</v>
      </c>
      <c r="AC283">
        <v>540</v>
      </c>
      <c r="AD283">
        <v>208</v>
      </c>
      <c r="AE283">
        <v>0</v>
      </c>
      <c r="AF283">
        <v>0</v>
      </c>
      <c r="AG283">
        <v>93</v>
      </c>
      <c r="AH283">
        <v>0</v>
      </c>
      <c r="AI283">
        <v>7228</v>
      </c>
      <c r="AJ283">
        <v>0</v>
      </c>
      <c r="AK283">
        <v>0</v>
      </c>
      <c r="AL283">
        <v>0</v>
      </c>
      <c r="AM283">
        <v>0</v>
      </c>
      <c r="AN283">
        <v>0</v>
      </c>
      <c r="AO283">
        <v>0</v>
      </c>
      <c r="AP283">
        <v>0</v>
      </c>
      <c r="AQ283">
        <v>1675</v>
      </c>
      <c r="AR283">
        <v>2873</v>
      </c>
      <c r="AS283">
        <v>0</v>
      </c>
      <c r="AT283">
        <v>0</v>
      </c>
      <c r="AU283">
        <v>0</v>
      </c>
      <c r="AV283">
        <v>1415</v>
      </c>
      <c r="AW283">
        <v>12994</v>
      </c>
      <c r="AX283">
        <v>4609</v>
      </c>
      <c r="AY283">
        <v>16012</v>
      </c>
      <c r="AZ283">
        <v>860</v>
      </c>
      <c r="BA283">
        <v>5757</v>
      </c>
      <c r="BB283">
        <v>945</v>
      </c>
      <c r="BC283">
        <v>882</v>
      </c>
      <c r="BD283">
        <v>43474</v>
      </c>
      <c r="BE283">
        <v>1344</v>
      </c>
      <c r="BF283">
        <v>10824</v>
      </c>
      <c r="BG283">
        <v>56</v>
      </c>
      <c r="BH283">
        <v>128</v>
      </c>
      <c r="BI283">
        <v>75</v>
      </c>
      <c r="BJ283">
        <v>2043</v>
      </c>
      <c r="BK283">
        <v>14858</v>
      </c>
      <c r="BL283">
        <v>2936</v>
      </c>
      <c r="BM283">
        <v>2009</v>
      </c>
      <c r="BN283">
        <v>1891</v>
      </c>
      <c r="BO283">
        <v>0</v>
      </c>
      <c r="BP283">
        <v>0</v>
      </c>
      <c r="BQ283">
        <v>-49</v>
      </c>
      <c r="BR283">
        <v>954</v>
      </c>
      <c r="BS283">
        <v>61</v>
      </c>
      <c r="BT283">
        <v>7993</v>
      </c>
      <c r="BU283">
        <v>295</v>
      </c>
      <c r="BV283">
        <v>5446</v>
      </c>
      <c r="BW283">
        <v>50864</v>
      </c>
      <c r="BX283">
        <v>1315</v>
      </c>
      <c r="BY283">
        <v>408</v>
      </c>
      <c r="BZ283">
        <v>124</v>
      </c>
      <c r="CA283">
        <v>56</v>
      </c>
      <c r="CB283">
        <v>27</v>
      </c>
      <c r="CC283">
        <v>332</v>
      </c>
      <c r="CD283">
        <v>45</v>
      </c>
      <c r="CE283">
        <v>7</v>
      </c>
      <c r="CF283">
        <v>6</v>
      </c>
      <c r="CG283">
        <v>104</v>
      </c>
      <c r="CH283">
        <v>124</v>
      </c>
      <c r="CI283">
        <v>1232</v>
      </c>
      <c r="CJ283">
        <v>743</v>
      </c>
      <c r="CK283">
        <v>752</v>
      </c>
      <c r="CL283">
        <v>551</v>
      </c>
      <c r="CM283">
        <v>110</v>
      </c>
      <c r="CN283">
        <v>120</v>
      </c>
      <c r="CO283">
        <v>20</v>
      </c>
      <c r="CP283">
        <v>674</v>
      </c>
      <c r="CQ283">
        <v>2389</v>
      </c>
      <c r="CR283">
        <v>11</v>
      </c>
      <c r="CS283">
        <v>1</v>
      </c>
      <c r="CT283">
        <v>913</v>
      </c>
      <c r="CU283">
        <v>1026</v>
      </c>
      <c r="CV283">
        <v>15025</v>
      </c>
      <c r="CW283">
        <v>0</v>
      </c>
      <c r="CX283">
        <v>0</v>
      </c>
      <c r="CY283">
        <v>0</v>
      </c>
      <c r="CZ283">
        <v>0</v>
      </c>
      <c r="DA283">
        <v>0</v>
      </c>
      <c r="DB283">
        <v>0</v>
      </c>
      <c r="DC283">
        <v>1407</v>
      </c>
      <c r="DD283">
        <v>0</v>
      </c>
      <c r="DE283">
        <v>151</v>
      </c>
      <c r="DF283">
        <v>0</v>
      </c>
      <c r="DG283">
        <v>220</v>
      </c>
      <c r="DH283">
        <v>0</v>
      </c>
      <c r="DI283">
        <v>0</v>
      </c>
      <c r="DJ283">
        <v>448</v>
      </c>
      <c r="DK283">
        <v>0</v>
      </c>
      <c r="DL283">
        <v>0</v>
      </c>
      <c r="DM283">
        <v>-193</v>
      </c>
      <c r="DN283">
        <v>1725</v>
      </c>
      <c r="DO283">
        <v>2050</v>
      </c>
      <c r="DP283">
        <v>4250</v>
      </c>
      <c r="DQ283">
        <v>0</v>
      </c>
      <c r="DR283">
        <v>0</v>
      </c>
      <c r="DS283">
        <v>0</v>
      </c>
      <c r="DT283">
        <v>1538</v>
      </c>
      <c r="DU283">
        <v>0</v>
      </c>
      <c r="DV283">
        <v>1751</v>
      </c>
      <c r="DW283">
        <v>30</v>
      </c>
      <c r="DX283">
        <v>9127</v>
      </c>
      <c r="DY283">
        <v>36072</v>
      </c>
      <c r="DZ283">
        <v>63</v>
      </c>
      <c r="EA283">
        <v>1353</v>
      </c>
      <c r="EB283">
        <v>331</v>
      </c>
      <c r="EC283">
        <v>4057</v>
      </c>
      <c r="ED283">
        <v>1042</v>
      </c>
      <c r="EE283">
        <v>106</v>
      </c>
      <c r="EF283">
        <v>0</v>
      </c>
      <c r="EG283">
        <v>35</v>
      </c>
      <c r="EH283">
        <v>8563</v>
      </c>
      <c r="EI283">
        <v>14566</v>
      </c>
      <c r="EJ283">
        <v>3099</v>
      </c>
      <c r="EK283">
        <v>343</v>
      </c>
      <c r="EL283">
        <v>5595</v>
      </c>
      <c r="EM283">
        <v>11759</v>
      </c>
      <c r="EN283">
        <v>384</v>
      </c>
      <c r="EO283">
        <v>26</v>
      </c>
      <c r="EP283">
        <v>0</v>
      </c>
      <c r="EQ283">
        <v>78</v>
      </c>
      <c r="ER283">
        <v>91</v>
      </c>
      <c r="ES283">
        <v>51590</v>
      </c>
      <c r="ET283">
        <v>50145</v>
      </c>
      <c r="EU283">
        <v>277</v>
      </c>
      <c r="EV283">
        <v>0</v>
      </c>
      <c r="EW283">
        <v>870</v>
      </c>
      <c r="EX283">
        <v>630</v>
      </c>
      <c r="EY283">
        <v>1476</v>
      </c>
      <c r="EZ283">
        <v>0</v>
      </c>
      <c r="FA283">
        <v>0</v>
      </c>
      <c r="FB283">
        <v>0</v>
      </c>
      <c r="FC283">
        <v>3277</v>
      </c>
      <c r="FD283">
        <v>827</v>
      </c>
      <c r="FE283">
        <v>0</v>
      </c>
      <c r="FF283">
        <v>0</v>
      </c>
      <c r="FG283">
        <v>1300</v>
      </c>
      <c r="FH283">
        <v>8657</v>
      </c>
      <c r="FI283">
        <v>-1274</v>
      </c>
      <c r="FJ283">
        <v>425</v>
      </c>
      <c r="FK283">
        <v>0</v>
      </c>
      <c r="FL283">
        <v>1423</v>
      </c>
      <c r="FM283">
        <v>620</v>
      </c>
      <c r="FN283">
        <v>629</v>
      </c>
      <c r="FO283">
        <v>0</v>
      </c>
      <c r="FP283">
        <v>0</v>
      </c>
      <c r="FQ283">
        <v>0</v>
      </c>
      <c r="FR283">
        <v>0</v>
      </c>
      <c r="FS283">
        <v>30</v>
      </c>
      <c r="FT283">
        <v>52</v>
      </c>
      <c r="FU283">
        <v>149</v>
      </c>
      <c r="FV283">
        <v>81</v>
      </c>
      <c r="FW283">
        <v>81</v>
      </c>
      <c r="FX283">
        <v>81</v>
      </c>
      <c r="FY283">
        <v>0</v>
      </c>
      <c r="FZ283">
        <v>0</v>
      </c>
      <c r="GA283">
        <v>0</v>
      </c>
      <c r="GB283">
        <v>0</v>
      </c>
      <c r="GC283">
        <v>0</v>
      </c>
      <c r="GD283">
        <v>1940</v>
      </c>
      <c r="GE283">
        <v>1461</v>
      </c>
      <c r="GF283">
        <v>6074</v>
      </c>
      <c r="GG283">
        <v>-152</v>
      </c>
      <c r="GH283">
        <v>3949</v>
      </c>
      <c r="GI283">
        <v>0</v>
      </c>
      <c r="GJ283">
        <v>0</v>
      </c>
      <c r="GK283">
        <v>15569</v>
      </c>
      <c r="GL283">
        <v>224</v>
      </c>
      <c r="GM283">
        <v>1032</v>
      </c>
      <c r="GN283">
        <v>0</v>
      </c>
      <c r="GO283">
        <v>0</v>
      </c>
      <c r="GP283">
        <v>82</v>
      </c>
      <c r="GQ283">
        <v>-875</v>
      </c>
      <c r="GR283">
        <v>0</v>
      </c>
      <c r="GS283">
        <v>0</v>
      </c>
      <c r="GT283">
        <v>118</v>
      </c>
      <c r="GU283">
        <v>581</v>
      </c>
      <c r="GV283">
        <v>24807</v>
      </c>
      <c r="GW283">
        <v>0</v>
      </c>
      <c r="GX283">
        <v>0</v>
      </c>
      <c r="GY283">
        <v>0</v>
      </c>
      <c r="GZ283">
        <v>0</v>
      </c>
      <c r="HA283">
        <v>0</v>
      </c>
      <c r="HB283">
        <v>1465</v>
      </c>
      <c r="HC283">
        <v>474</v>
      </c>
      <c r="HD283">
        <v>0</v>
      </c>
      <c r="HE283">
        <v>468</v>
      </c>
      <c r="HF283">
        <v>0</v>
      </c>
      <c r="HG283">
        <v>-596</v>
      </c>
      <c r="HH283">
        <v>0</v>
      </c>
      <c r="HI283">
        <v>46</v>
      </c>
      <c r="HJ283">
        <v>405</v>
      </c>
      <c r="HK283">
        <v>383</v>
      </c>
      <c r="HL283">
        <v>70</v>
      </c>
      <c r="HM283">
        <v>-208</v>
      </c>
      <c r="HN283">
        <v>0</v>
      </c>
      <c r="HO283">
        <v>8569</v>
      </c>
      <c r="HP283">
        <v>635</v>
      </c>
      <c r="HQ283">
        <v>0</v>
      </c>
      <c r="HR283">
        <v>860</v>
      </c>
      <c r="HS283">
        <v>0</v>
      </c>
      <c r="HT283">
        <v>0</v>
      </c>
      <c r="HU283">
        <v>0</v>
      </c>
      <c r="HV283">
        <v>12571</v>
      </c>
      <c r="HW283">
        <v>707</v>
      </c>
      <c r="HX283">
        <v>28156</v>
      </c>
      <c r="HY283">
        <v>0</v>
      </c>
      <c r="HZ283">
        <v>0</v>
      </c>
      <c r="IA283">
        <v>2669</v>
      </c>
      <c r="IB283">
        <v>11719</v>
      </c>
      <c r="IC283">
        <v>98238</v>
      </c>
      <c r="ID283">
        <v>7228</v>
      </c>
      <c r="IE283">
        <v>43474</v>
      </c>
      <c r="IF283">
        <v>50864</v>
      </c>
      <c r="IG283">
        <v>15025</v>
      </c>
      <c r="IH283">
        <v>9127</v>
      </c>
      <c r="II283">
        <v>8657</v>
      </c>
      <c r="IJ283">
        <v>15569</v>
      </c>
      <c r="IK283">
        <v>581</v>
      </c>
      <c r="IL283">
        <v>0</v>
      </c>
      <c r="IM283">
        <v>0</v>
      </c>
      <c r="IN283">
        <v>12571</v>
      </c>
      <c r="IO283">
        <v>11719</v>
      </c>
      <c r="IP283">
        <v>273053</v>
      </c>
      <c r="IQ283">
        <v>32000</v>
      </c>
      <c r="IR283">
        <v>746</v>
      </c>
      <c r="IS283">
        <v>13671</v>
      </c>
      <c r="IT283">
        <v>0</v>
      </c>
      <c r="IU283">
        <v>0</v>
      </c>
      <c r="IV283">
        <v>0</v>
      </c>
      <c r="IW283">
        <v>0</v>
      </c>
      <c r="IX283">
        <v>0</v>
      </c>
      <c r="IY283">
        <v>0</v>
      </c>
      <c r="IZ283">
        <v>499</v>
      </c>
      <c r="JA283">
        <v>0</v>
      </c>
      <c r="JB283">
        <v>0</v>
      </c>
      <c r="JC283">
        <v>0</v>
      </c>
      <c r="JD283">
        <v>0</v>
      </c>
      <c r="JE283">
        <v>-415</v>
      </c>
      <c r="JF283">
        <v>0</v>
      </c>
      <c r="JG283">
        <v>319554</v>
      </c>
      <c r="JH283">
        <v>131</v>
      </c>
      <c r="JI283">
        <v>2059</v>
      </c>
      <c r="JJ283">
        <v>0</v>
      </c>
      <c r="JK283">
        <v>-2348</v>
      </c>
      <c r="JL283">
        <v>0</v>
      </c>
      <c r="JM283">
        <v>1503</v>
      </c>
      <c r="JN283">
        <v>7924</v>
      </c>
      <c r="JO283">
        <v>0</v>
      </c>
      <c r="JP283">
        <v>14034</v>
      </c>
      <c r="JQ283">
        <v>-5595</v>
      </c>
      <c r="JR283">
        <v>337262</v>
      </c>
      <c r="JS283">
        <v>-6561</v>
      </c>
      <c r="JT283">
        <v>0</v>
      </c>
      <c r="JU283">
        <v>0</v>
      </c>
      <c r="JV283">
        <v>0</v>
      </c>
      <c r="JW283">
        <v>-47055</v>
      </c>
      <c r="JX283">
        <v>0</v>
      </c>
      <c r="JY283">
        <v>-5625</v>
      </c>
      <c r="JZ283">
        <v>0</v>
      </c>
      <c r="KA283">
        <v>0</v>
      </c>
      <c r="KB283">
        <v>0</v>
      </c>
      <c r="KC283">
        <v>278021</v>
      </c>
      <c r="KD283">
        <v>0</v>
      </c>
      <c r="KE283">
        <v>-128592</v>
      </c>
      <c r="KF283">
        <v>149429</v>
      </c>
      <c r="KG283">
        <v>0</v>
      </c>
      <c r="KH283">
        <v>-317</v>
      </c>
      <c r="KI283">
        <v>-808</v>
      </c>
      <c r="KJ283">
        <v>-280</v>
      </c>
      <c r="KK283">
        <v>-13661</v>
      </c>
      <c r="KL283">
        <v>0</v>
      </c>
      <c r="KM283">
        <v>-2042</v>
      </c>
      <c r="KN283">
        <v>0</v>
      </c>
      <c r="KO283">
        <v>-8960</v>
      </c>
      <c r="KP283">
        <v>1200</v>
      </c>
      <c r="KQ283">
        <v>5625</v>
      </c>
      <c r="KR283">
        <v>99219</v>
      </c>
      <c r="KS283">
        <v>3285</v>
      </c>
      <c r="KT283">
        <v>-1768</v>
      </c>
      <c r="KU283">
        <v>1603</v>
      </c>
      <c r="KV283">
        <v>92646</v>
      </c>
      <c r="KW283">
        <v>7500</v>
      </c>
      <c r="KX283">
        <v>2968</v>
      </c>
      <c r="KY283">
        <v>-2576</v>
      </c>
      <c r="KZ283">
        <v>1323</v>
      </c>
      <c r="LA283">
        <v>78985</v>
      </c>
      <c r="LB283">
        <v>7500</v>
      </c>
      <c r="LC283">
        <v>0</v>
      </c>
      <c r="LD283">
        <v>23092</v>
      </c>
      <c r="LE283">
        <v>0</v>
      </c>
      <c r="LF283">
        <v>-5</v>
      </c>
      <c r="LG283">
        <v>8786</v>
      </c>
      <c r="LH283">
        <v>0</v>
      </c>
      <c r="LI283">
        <v>31873</v>
      </c>
      <c r="LJ283">
        <v>4124</v>
      </c>
      <c r="LK283">
        <v>4315</v>
      </c>
      <c r="LL283">
        <v>8439</v>
      </c>
      <c r="LM283">
        <v>0</v>
      </c>
      <c r="LN283">
        <v>0</v>
      </c>
      <c r="LO283">
        <v>0</v>
      </c>
      <c r="LP283">
        <v>43059</v>
      </c>
      <c r="LQ283">
        <v>44504</v>
      </c>
      <c r="LR283">
        <v>-1445</v>
      </c>
      <c r="LS283">
        <v>51590</v>
      </c>
      <c r="LT283">
        <v>50145</v>
      </c>
      <c r="LU283">
        <v>98238</v>
      </c>
      <c r="LV283">
        <v>7228</v>
      </c>
      <c r="LW283">
        <v>43474</v>
      </c>
      <c r="LX283">
        <v>50864</v>
      </c>
      <c r="LY283">
        <v>15025</v>
      </c>
      <c r="LZ283">
        <v>9127</v>
      </c>
      <c r="MA283">
        <v>8657</v>
      </c>
      <c r="MB283">
        <v>15569</v>
      </c>
      <c r="MC283">
        <v>581</v>
      </c>
      <c r="MD283">
        <v>0</v>
      </c>
      <c r="ME283">
        <v>0</v>
      </c>
      <c r="MF283">
        <v>12571</v>
      </c>
      <c r="MG283">
        <v>11719</v>
      </c>
      <c r="MH283">
        <v>273053</v>
      </c>
      <c r="MI283">
        <v>0</v>
      </c>
      <c r="MJ283">
        <v>0</v>
      </c>
      <c r="MK283">
        <v>0</v>
      </c>
      <c r="ML283">
        <v>0</v>
      </c>
      <c r="MM283">
        <v>0</v>
      </c>
      <c r="MN283">
        <v>0</v>
      </c>
      <c r="MO283">
        <v>0</v>
      </c>
      <c r="MP283">
        <v>0</v>
      </c>
      <c r="MQ283">
        <v>0</v>
      </c>
      <c r="MR283">
        <v>0</v>
      </c>
      <c r="MS283">
        <v>0</v>
      </c>
      <c r="MT283">
        <v>0</v>
      </c>
      <c r="MU283">
        <v>0</v>
      </c>
      <c r="MV283">
        <v>0</v>
      </c>
      <c r="MW283">
        <v>0</v>
      </c>
      <c r="MX283">
        <v>0</v>
      </c>
      <c r="MY283">
        <v>0</v>
      </c>
      <c r="MZ283">
        <v>0</v>
      </c>
      <c r="NA283">
        <v>0</v>
      </c>
      <c r="NB283">
        <v>0</v>
      </c>
      <c r="NC283">
        <v>0</v>
      </c>
      <c r="ND283">
        <v>0</v>
      </c>
      <c r="NE283">
        <v>0</v>
      </c>
      <c r="NF283">
        <v>0</v>
      </c>
      <c r="NG283">
        <v>0</v>
      </c>
      <c r="NH283">
        <v>0</v>
      </c>
      <c r="NI283">
        <v>0</v>
      </c>
      <c r="NJ283">
        <v>0</v>
      </c>
      <c r="NK283">
        <v>0</v>
      </c>
      <c r="NL283">
        <v>0</v>
      </c>
      <c r="NM283">
        <v>0</v>
      </c>
      <c r="NN283">
        <v>0</v>
      </c>
      <c r="NO283">
        <v>0</v>
      </c>
      <c r="NP283">
        <v>0</v>
      </c>
      <c r="NQ283">
        <v>0</v>
      </c>
      <c r="NR283">
        <v>0</v>
      </c>
      <c r="NS283">
        <v>0</v>
      </c>
      <c r="NT283">
        <v>0</v>
      </c>
      <c r="NU283">
        <v>0</v>
      </c>
      <c r="NV283">
        <v>0</v>
      </c>
      <c r="NW283">
        <v>0</v>
      </c>
      <c r="NX283">
        <v>0</v>
      </c>
      <c r="NY283">
        <v>0</v>
      </c>
      <c r="NZ283">
        <v>0</v>
      </c>
      <c r="OA283">
        <v>0</v>
      </c>
      <c r="OB283">
        <v>0</v>
      </c>
      <c r="OC283">
        <v>0</v>
      </c>
      <c r="OD283">
        <v>0</v>
      </c>
      <c r="OE283">
        <v>0</v>
      </c>
      <c r="OF283">
        <v>0</v>
      </c>
      <c r="OG283">
        <v>0</v>
      </c>
      <c r="OH283">
        <v>0</v>
      </c>
      <c r="OI283">
        <v>0</v>
      </c>
      <c r="OJ283">
        <v>0</v>
      </c>
      <c r="OK283">
        <v>0</v>
      </c>
      <c r="OL283">
        <v>0</v>
      </c>
      <c r="OM283">
        <v>0</v>
      </c>
      <c r="ON283">
        <v>0</v>
      </c>
    </row>
    <row r="284" spans="1:404" x14ac:dyDescent="0.25">
      <c r="A284" t="s">
        <v>922</v>
      </c>
      <c r="B284" t="s">
        <v>923</v>
      </c>
      <c r="C284" t="s">
        <v>921</v>
      </c>
      <c r="E284" t="s">
        <v>1940</v>
      </c>
      <c r="F284">
        <v>22264</v>
      </c>
      <c r="G284">
        <v>118886</v>
      </c>
      <c r="H284">
        <v>100108</v>
      </c>
      <c r="I284">
        <v>19311</v>
      </c>
      <c r="J284">
        <v>6097</v>
      </c>
      <c r="K284">
        <v>47165</v>
      </c>
      <c r="L284">
        <v>313831</v>
      </c>
      <c r="M284">
        <v>785</v>
      </c>
      <c r="N284">
        <v>0</v>
      </c>
      <c r="O284">
        <v>0</v>
      </c>
      <c r="P284">
        <v>1055</v>
      </c>
      <c r="Q284">
        <v>53</v>
      </c>
      <c r="R284">
        <v>0</v>
      </c>
      <c r="S284">
        <v>1797</v>
      </c>
      <c r="T284">
        <v>235</v>
      </c>
      <c r="U284">
        <v>1312</v>
      </c>
      <c r="V284">
        <v>0</v>
      </c>
      <c r="W284">
        <v>0</v>
      </c>
      <c r="X284">
        <v>138</v>
      </c>
      <c r="Y284">
        <v>-876</v>
      </c>
      <c r="Z284">
        <v>-9447</v>
      </c>
      <c r="AA284">
        <v>489</v>
      </c>
      <c r="AB284">
        <v>7791</v>
      </c>
      <c r="AC284">
        <v>119</v>
      </c>
      <c r="AD284">
        <v>0</v>
      </c>
      <c r="AE284">
        <v>0</v>
      </c>
      <c r="AF284">
        <v>0</v>
      </c>
      <c r="AG284">
        <v>0</v>
      </c>
      <c r="AH284">
        <v>0</v>
      </c>
      <c r="AI284">
        <v>3450</v>
      </c>
      <c r="AJ284">
        <v>0</v>
      </c>
      <c r="AK284">
        <v>0</v>
      </c>
      <c r="AL284">
        <v>0</v>
      </c>
      <c r="AM284">
        <v>0</v>
      </c>
      <c r="AN284">
        <v>0</v>
      </c>
      <c r="AO284">
        <v>0</v>
      </c>
      <c r="AP284">
        <v>0</v>
      </c>
      <c r="AQ284">
        <v>11377</v>
      </c>
      <c r="AR284">
        <v>2055</v>
      </c>
      <c r="AS284">
        <v>0</v>
      </c>
      <c r="AT284">
        <v>0</v>
      </c>
      <c r="AU284">
        <v>0</v>
      </c>
      <c r="AV284">
        <v>1130</v>
      </c>
      <c r="AW284">
        <v>20026</v>
      </c>
      <c r="AX284">
        <v>2537</v>
      </c>
      <c r="AY284">
        <v>2760</v>
      </c>
      <c r="AZ284">
        <v>1574</v>
      </c>
      <c r="BA284">
        <v>21414</v>
      </c>
      <c r="BB284">
        <v>-38</v>
      </c>
      <c r="BC284">
        <v>1222</v>
      </c>
      <c r="BD284">
        <v>50625</v>
      </c>
      <c r="BE284">
        <v>5915</v>
      </c>
      <c r="BF284">
        <v>12193</v>
      </c>
      <c r="BG284">
        <v>211</v>
      </c>
      <c r="BH284">
        <v>75</v>
      </c>
      <c r="BI284">
        <v>92</v>
      </c>
      <c r="BJ284">
        <v>1485</v>
      </c>
      <c r="BK284">
        <v>24584</v>
      </c>
      <c r="BL284">
        <v>3715</v>
      </c>
      <c r="BM284">
        <v>4849</v>
      </c>
      <c r="BN284">
        <v>1814</v>
      </c>
      <c r="BO284">
        <v>54</v>
      </c>
      <c r="BP284">
        <v>4</v>
      </c>
      <c r="BQ284">
        <v>40</v>
      </c>
      <c r="BR284">
        <v>2064</v>
      </c>
      <c r="BS284">
        <v>637</v>
      </c>
      <c r="BT284">
        <v>8574</v>
      </c>
      <c r="BU284">
        <v>1294</v>
      </c>
      <c r="BV284">
        <v>7430</v>
      </c>
      <c r="BW284">
        <v>79845</v>
      </c>
      <c r="BX284">
        <v>1969</v>
      </c>
      <c r="BY284">
        <v>171</v>
      </c>
      <c r="BZ284">
        <v>255</v>
      </c>
      <c r="CA284">
        <v>88</v>
      </c>
      <c r="CB284">
        <v>11</v>
      </c>
      <c r="CC284">
        <v>197</v>
      </c>
      <c r="CD284">
        <v>199</v>
      </c>
      <c r="CE284">
        <v>219</v>
      </c>
      <c r="CF284">
        <v>27</v>
      </c>
      <c r="CG284">
        <v>106</v>
      </c>
      <c r="CH284">
        <v>33</v>
      </c>
      <c r="CI284">
        <v>1188</v>
      </c>
      <c r="CJ284">
        <v>989</v>
      </c>
      <c r="CK284">
        <v>244</v>
      </c>
      <c r="CL284">
        <v>244</v>
      </c>
      <c r="CM284">
        <v>161</v>
      </c>
      <c r="CN284">
        <v>456</v>
      </c>
      <c r="CO284">
        <v>9</v>
      </c>
      <c r="CP284">
        <v>1001</v>
      </c>
      <c r="CQ284">
        <v>4389</v>
      </c>
      <c r="CR284">
        <v>130</v>
      </c>
      <c r="CS284">
        <v>15</v>
      </c>
      <c r="CT284">
        <v>478</v>
      </c>
      <c r="CU284">
        <v>1602</v>
      </c>
      <c r="CV284">
        <v>18536</v>
      </c>
      <c r="CW284">
        <v>0</v>
      </c>
      <c r="CX284">
        <v>0</v>
      </c>
      <c r="CY284">
        <v>0</v>
      </c>
      <c r="CZ284">
        <v>0</v>
      </c>
      <c r="DA284">
        <v>0</v>
      </c>
      <c r="DB284">
        <v>0</v>
      </c>
      <c r="DC284">
        <v>1949</v>
      </c>
      <c r="DD284">
        <v>0</v>
      </c>
      <c r="DE284">
        <v>0</v>
      </c>
      <c r="DF284">
        <v>0</v>
      </c>
      <c r="DG284">
        <v>2139</v>
      </c>
      <c r="DH284">
        <v>5585</v>
      </c>
      <c r="DI284">
        <v>-305</v>
      </c>
      <c r="DJ284">
        <v>4709</v>
      </c>
      <c r="DK284">
        <v>-347</v>
      </c>
      <c r="DL284">
        <v>11</v>
      </c>
      <c r="DM284">
        <v>6249</v>
      </c>
      <c r="DN284">
        <v>3125</v>
      </c>
      <c r="DO284">
        <v>0</v>
      </c>
      <c r="DP284">
        <v>21164</v>
      </c>
      <c r="DQ284">
        <v>163</v>
      </c>
      <c r="DR284">
        <v>384</v>
      </c>
      <c r="DS284">
        <v>0</v>
      </c>
      <c r="DT284">
        <v>2124</v>
      </c>
      <c r="DU284">
        <v>0</v>
      </c>
      <c r="DV284">
        <v>0</v>
      </c>
      <c r="DW284">
        <v>182</v>
      </c>
      <c r="DX284">
        <v>25966</v>
      </c>
      <c r="DY284">
        <v>25739</v>
      </c>
      <c r="DZ284">
        <v>392</v>
      </c>
      <c r="EA284">
        <v>3847</v>
      </c>
      <c r="EB284">
        <v>27</v>
      </c>
      <c r="EC284">
        <v>20</v>
      </c>
      <c r="ED284">
        <v>29</v>
      </c>
      <c r="EE284">
        <v>0</v>
      </c>
      <c r="EF284">
        <v>0</v>
      </c>
      <c r="EG284">
        <v>0</v>
      </c>
      <c r="EH284">
        <v>5627</v>
      </c>
      <c r="EI284">
        <v>8307</v>
      </c>
      <c r="EJ284">
        <v>1250</v>
      </c>
      <c r="EK284">
        <v>835</v>
      </c>
      <c r="EL284">
        <v>3053</v>
      </c>
      <c r="EM284">
        <v>5145</v>
      </c>
      <c r="EN284">
        <v>5449</v>
      </c>
      <c r="EO284">
        <v>0</v>
      </c>
      <c r="EP284">
        <v>0</v>
      </c>
      <c r="EQ284">
        <v>8000</v>
      </c>
      <c r="ER284">
        <v>333</v>
      </c>
      <c r="ES284">
        <v>17284</v>
      </c>
      <c r="ET284">
        <v>9339</v>
      </c>
      <c r="EU284">
        <v>14</v>
      </c>
      <c r="EV284">
        <v>113</v>
      </c>
      <c r="EW284">
        <v>302</v>
      </c>
      <c r="EX284">
        <v>140</v>
      </c>
      <c r="EY284">
        <v>28</v>
      </c>
      <c r="EZ284">
        <v>421</v>
      </c>
      <c r="FA284">
        <v>0</v>
      </c>
      <c r="FB284">
        <v>402</v>
      </c>
      <c r="FC284">
        <v>2625</v>
      </c>
      <c r="FD284">
        <v>2869</v>
      </c>
      <c r="FE284">
        <v>0</v>
      </c>
      <c r="FF284">
        <v>175</v>
      </c>
      <c r="FG284">
        <v>2716</v>
      </c>
      <c r="FH284">
        <v>9805</v>
      </c>
      <c r="FI284">
        <v>-388</v>
      </c>
      <c r="FJ284">
        <v>190</v>
      </c>
      <c r="FK284">
        <v>0</v>
      </c>
      <c r="FL284">
        <v>200</v>
      </c>
      <c r="FM284">
        <v>3140</v>
      </c>
      <c r="FN284">
        <v>-232</v>
      </c>
      <c r="FO284">
        <v>279</v>
      </c>
      <c r="FP284">
        <v>0</v>
      </c>
      <c r="FQ284">
        <v>0</v>
      </c>
      <c r="FR284">
        <v>7</v>
      </c>
      <c r="FS284">
        <v>258</v>
      </c>
      <c r="FT284">
        <v>272</v>
      </c>
      <c r="FU284">
        <v>-113</v>
      </c>
      <c r="FV284">
        <v>1061</v>
      </c>
      <c r="FW284">
        <v>281</v>
      </c>
      <c r="FX284">
        <v>235</v>
      </c>
      <c r="FY284">
        <v>0</v>
      </c>
      <c r="FZ284">
        <v>0</v>
      </c>
      <c r="GA284">
        <v>0</v>
      </c>
      <c r="GB284">
        <v>0</v>
      </c>
      <c r="GC284">
        <v>0</v>
      </c>
      <c r="GD284">
        <v>5748</v>
      </c>
      <c r="GE284">
        <v>5873</v>
      </c>
      <c r="GF284">
        <v>0</v>
      </c>
      <c r="GG284">
        <v>67</v>
      </c>
      <c r="GH284">
        <v>1537</v>
      </c>
      <c r="GI284">
        <v>0</v>
      </c>
      <c r="GJ284">
        <v>0</v>
      </c>
      <c r="GK284">
        <v>18414</v>
      </c>
      <c r="GL284">
        <v>1107</v>
      </c>
      <c r="GM284">
        <v>-517</v>
      </c>
      <c r="GN284">
        <v>0</v>
      </c>
      <c r="GO284">
        <v>1246</v>
      </c>
      <c r="GP284">
        <v>0</v>
      </c>
      <c r="GQ284">
        <v>672</v>
      </c>
      <c r="GR284">
        <v>0</v>
      </c>
      <c r="GS284">
        <v>0</v>
      </c>
      <c r="GT284">
        <v>557</v>
      </c>
      <c r="GU284">
        <v>3065</v>
      </c>
      <c r="GV284">
        <v>31285</v>
      </c>
      <c r="GW284">
        <v>0</v>
      </c>
      <c r="GX284">
        <v>0</v>
      </c>
      <c r="GY284">
        <v>0</v>
      </c>
      <c r="GZ284">
        <v>0</v>
      </c>
      <c r="HA284">
        <v>0</v>
      </c>
      <c r="HB284">
        <v>5106</v>
      </c>
      <c r="HC284">
        <v>1220</v>
      </c>
      <c r="HD284">
        <v>0</v>
      </c>
      <c r="HE284">
        <v>270</v>
      </c>
      <c r="HF284">
        <v>1273</v>
      </c>
      <c r="HG284">
        <v>183</v>
      </c>
      <c r="HH284">
        <v>0</v>
      </c>
      <c r="HI284">
        <v>344</v>
      </c>
      <c r="HJ284">
        <v>391</v>
      </c>
      <c r="HK284">
        <v>189</v>
      </c>
      <c r="HL284">
        <v>148</v>
      </c>
      <c r="HM284">
        <v>-218</v>
      </c>
      <c r="HN284">
        <v>0</v>
      </c>
      <c r="HO284">
        <v>0</v>
      </c>
      <c r="HP284">
        <v>235</v>
      </c>
      <c r="HQ284">
        <v>0</v>
      </c>
      <c r="HR284">
        <v>1363</v>
      </c>
      <c r="HS284">
        <v>0</v>
      </c>
      <c r="HT284">
        <v>0</v>
      </c>
      <c r="HU284">
        <v>4019</v>
      </c>
      <c r="HV284">
        <v>14522</v>
      </c>
      <c r="HW284">
        <v>821</v>
      </c>
      <c r="HX284">
        <v>9141</v>
      </c>
      <c r="HY284">
        <v>0</v>
      </c>
      <c r="HZ284">
        <v>1072</v>
      </c>
      <c r="IA284">
        <v>16322</v>
      </c>
      <c r="IB284">
        <v>1517</v>
      </c>
      <c r="IC284">
        <v>313831</v>
      </c>
      <c r="ID284">
        <v>3450</v>
      </c>
      <c r="IE284">
        <v>50625</v>
      </c>
      <c r="IF284">
        <v>79845</v>
      </c>
      <c r="IG284">
        <v>18536</v>
      </c>
      <c r="IH284">
        <v>25966</v>
      </c>
      <c r="II284">
        <v>9805</v>
      </c>
      <c r="IJ284">
        <v>18414</v>
      </c>
      <c r="IK284">
        <v>3065</v>
      </c>
      <c r="IL284">
        <v>0</v>
      </c>
      <c r="IM284">
        <v>0</v>
      </c>
      <c r="IN284">
        <v>14522</v>
      </c>
      <c r="IO284">
        <v>1517</v>
      </c>
      <c r="IP284">
        <v>539577</v>
      </c>
      <c r="IQ284">
        <v>77887</v>
      </c>
      <c r="IR284">
        <v>28627</v>
      </c>
      <c r="IS284">
        <v>11580</v>
      </c>
      <c r="IT284">
        <v>0</v>
      </c>
      <c r="IU284">
        <v>0</v>
      </c>
      <c r="IV284">
        <v>0</v>
      </c>
      <c r="IW284">
        <v>0</v>
      </c>
      <c r="IX284">
        <v>12822</v>
      </c>
      <c r="IY284">
        <v>308</v>
      </c>
      <c r="IZ284">
        <v>417</v>
      </c>
      <c r="JA284">
        <v>516</v>
      </c>
      <c r="JB284">
        <v>-722</v>
      </c>
      <c r="JC284">
        <v>0</v>
      </c>
      <c r="JD284">
        <v>0</v>
      </c>
      <c r="JE284">
        <v>867</v>
      </c>
      <c r="JF284">
        <v>0</v>
      </c>
      <c r="JG284">
        <v>671879</v>
      </c>
      <c r="JH284">
        <v>212</v>
      </c>
      <c r="JI284">
        <v>0</v>
      </c>
      <c r="JJ284">
        <v>0</v>
      </c>
      <c r="JK284">
        <v>0</v>
      </c>
      <c r="JL284">
        <v>0</v>
      </c>
      <c r="JM284">
        <v>100</v>
      </c>
      <c r="JN284">
        <v>11638</v>
      </c>
      <c r="JO284">
        <v>123</v>
      </c>
      <c r="JP284">
        <v>9440</v>
      </c>
      <c r="JQ284">
        <v>-3053</v>
      </c>
      <c r="JR284">
        <v>690340</v>
      </c>
      <c r="JS284">
        <v>-8189</v>
      </c>
      <c r="JT284">
        <v>0</v>
      </c>
      <c r="JU284">
        <v>0</v>
      </c>
      <c r="JV284">
        <v>0</v>
      </c>
      <c r="JW284">
        <v>-150024</v>
      </c>
      <c r="JX284">
        <v>0</v>
      </c>
      <c r="JY284">
        <v>-50</v>
      </c>
      <c r="JZ284">
        <v>0</v>
      </c>
      <c r="KA284">
        <v>0</v>
      </c>
      <c r="KB284">
        <v>0</v>
      </c>
      <c r="KC284">
        <v>532076</v>
      </c>
      <c r="KD284">
        <v>0</v>
      </c>
      <c r="KE284">
        <v>-338028</v>
      </c>
      <c r="KF284">
        <v>194049</v>
      </c>
      <c r="KG284">
        <v>0</v>
      </c>
      <c r="KH284">
        <v>2032</v>
      </c>
      <c r="KI284">
        <v>1420</v>
      </c>
      <c r="KJ284">
        <v>0</v>
      </c>
      <c r="KK284">
        <v>4145</v>
      </c>
      <c r="KL284">
        <v>1589</v>
      </c>
      <c r="KM284">
        <v>-10458</v>
      </c>
      <c r="KN284">
        <v>0</v>
      </c>
      <c r="KO284">
        <v>-46997</v>
      </c>
      <c r="KP284">
        <v>383</v>
      </c>
      <c r="KQ284">
        <v>-3</v>
      </c>
      <c r="KR284">
        <v>128708</v>
      </c>
      <c r="KS284">
        <v>25544</v>
      </c>
      <c r="KT284">
        <v>448</v>
      </c>
      <c r="KU284">
        <v>0</v>
      </c>
      <c r="KV284">
        <v>80629</v>
      </c>
      <c r="KW284">
        <v>19571</v>
      </c>
      <c r="KX284">
        <v>27576</v>
      </c>
      <c r="KY284">
        <v>1868</v>
      </c>
      <c r="KZ284">
        <v>0</v>
      </c>
      <c r="LA284">
        <v>84774</v>
      </c>
      <c r="LB284">
        <v>21160</v>
      </c>
      <c r="LC284">
        <v>0</v>
      </c>
      <c r="LD284">
        <v>23874</v>
      </c>
      <c r="LE284">
        <v>0</v>
      </c>
      <c r="LF284">
        <v>2782</v>
      </c>
      <c r="LG284">
        <v>-20717</v>
      </c>
      <c r="LH284">
        <v>3513</v>
      </c>
      <c r="LI284">
        <v>-11336</v>
      </c>
      <c r="LJ284">
        <v>6890</v>
      </c>
      <c r="LK284">
        <v>10441</v>
      </c>
      <c r="LL284">
        <v>17332</v>
      </c>
      <c r="LM284">
        <v>0</v>
      </c>
      <c r="LN284">
        <v>0</v>
      </c>
      <c r="LO284">
        <v>0</v>
      </c>
      <c r="LP284">
        <v>30054</v>
      </c>
      <c r="LQ284">
        <v>37999</v>
      </c>
      <c r="LR284">
        <v>-7945</v>
      </c>
      <c r="LS284">
        <v>17284</v>
      </c>
      <c r="LT284">
        <v>9339</v>
      </c>
      <c r="LU284">
        <v>313831</v>
      </c>
      <c r="LV284">
        <v>3450</v>
      </c>
      <c r="LW284">
        <v>50625</v>
      </c>
      <c r="LX284">
        <v>79845</v>
      </c>
      <c r="LY284">
        <v>18536</v>
      </c>
      <c r="LZ284">
        <v>25966</v>
      </c>
      <c r="MA284">
        <v>9805</v>
      </c>
      <c r="MB284">
        <v>18414</v>
      </c>
      <c r="MC284">
        <v>3065</v>
      </c>
      <c r="MD284">
        <v>0</v>
      </c>
      <c r="ME284">
        <v>0</v>
      </c>
      <c r="MF284">
        <v>14522</v>
      </c>
      <c r="MG284">
        <v>1517</v>
      </c>
      <c r="MH284">
        <v>539577</v>
      </c>
      <c r="MI284">
        <v>0</v>
      </c>
      <c r="MJ284">
        <v>0</v>
      </c>
      <c r="MK284">
        <v>0</v>
      </c>
      <c r="ML284">
        <v>0</v>
      </c>
      <c r="MM284">
        <v>0</v>
      </c>
      <c r="MN284">
        <v>0</v>
      </c>
      <c r="MO284">
        <v>0</v>
      </c>
      <c r="MP284">
        <v>0</v>
      </c>
      <c r="MQ284">
        <v>0</v>
      </c>
      <c r="MR284">
        <v>0</v>
      </c>
      <c r="MS284">
        <v>0</v>
      </c>
      <c r="MT284">
        <v>0</v>
      </c>
      <c r="MU284">
        <v>0</v>
      </c>
      <c r="MV284">
        <v>0</v>
      </c>
      <c r="MW284">
        <v>0</v>
      </c>
      <c r="MX284">
        <v>516</v>
      </c>
      <c r="MY284">
        <v>0</v>
      </c>
      <c r="MZ284">
        <v>0</v>
      </c>
      <c r="NA284">
        <v>516</v>
      </c>
      <c r="NB284">
        <v>0</v>
      </c>
      <c r="NC284">
        <v>516</v>
      </c>
      <c r="ND284">
        <v>0</v>
      </c>
      <c r="NE284">
        <v>0</v>
      </c>
      <c r="NF284">
        <v>0</v>
      </c>
      <c r="NG284">
        <v>0</v>
      </c>
      <c r="NH284">
        <v>0</v>
      </c>
      <c r="NI284">
        <v>0</v>
      </c>
      <c r="NJ284">
        <v>0</v>
      </c>
      <c r="NK284">
        <v>0</v>
      </c>
      <c r="NL284">
        <v>0</v>
      </c>
      <c r="NM284">
        <v>0</v>
      </c>
      <c r="NN284">
        <v>0</v>
      </c>
      <c r="NO284">
        <v>0</v>
      </c>
      <c r="NP284">
        <v>0</v>
      </c>
      <c r="NQ284">
        <v>1144</v>
      </c>
      <c r="NR284">
        <v>-1866</v>
      </c>
      <c r="NS284">
        <v>0</v>
      </c>
      <c r="NT284">
        <v>0</v>
      </c>
      <c r="NU284">
        <v>0</v>
      </c>
      <c r="NV284">
        <v>0</v>
      </c>
      <c r="NW284">
        <v>0</v>
      </c>
      <c r="NX284">
        <v>0</v>
      </c>
      <c r="NY284">
        <v>0</v>
      </c>
      <c r="NZ284">
        <v>-722</v>
      </c>
      <c r="OA284">
        <v>0</v>
      </c>
      <c r="OB284">
        <v>-722</v>
      </c>
      <c r="OC284">
        <v>0</v>
      </c>
      <c r="OD284">
        <v>0</v>
      </c>
      <c r="OE284">
        <v>0</v>
      </c>
      <c r="OF284">
        <v>0</v>
      </c>
      <c r="OG284">
        <v>0</v>
      </c>
      <c r="OH284">
        <v>0</v>
      </c>
      <c r="OI284">
        <v>0</v>
      </c>
      <c r="OJ284">
        <v>0</v>
      </c>
      <c r="OK284">
        <v>0</v>
      </c>
      <c r="OL284">
        <v>0</v>
      </c>
      <c r="OM284">
        <v>0</v>
      </c>
      <c r="ON284">
        <v>0</v>
      </c>
    </row>
    <row r="285" spans="1:404" x14ac:dyDescent="0.25">
      <c r="A285" t="s">
        <v>925</v>
      </c>
      <c r="B285" t="s">
        <v>926</v>
      </c>
      <c r="C285" t="s">
        <v>924</v>
      </c>
      <c r="E285" t="s">
        <v>125</v>
      </c>
      <c r="F285">
        <v>7527</v>
      </c>
      <c r="G285">
        <v>17349</v>
      </c>
      <c r="H285">
        <v>2641</v>
      </c>
      <c r="I285">
        <v>15406</v>
      </c>
      <c r="J285">
        <v>532</v>
      </c>
      <c r="K285">
        <v>6911</v>
      </c>
      <c r="L285">
        <v>50366</v>
      </c>
      <c r="M285">
        <v>21</v>
      </c>
      <c r="N285">
        <v>-6</v>
      </c>
      <c r="O285">
        <v>0</v>
      </c>
      <c r="P285">
        <v>650</v>
      </c>
      <c r="Q285">
        <v>43</v>
      </c>
      <c r="R285">
        <v>2043</v>
      </c>
      <c r="S285">
        <v>90</v>
      </c>
      <c r="T285">
        <v>492</v>
      </c>
      <c r="U285">
        <v>4433</v>
      </c>
      <c r="V285">
        <v>0</v>
      </c>
      <c r="W285">
        <v>0</v>
      </c>
      <c r="X285">
        <v>281</v>
      </c>
      <c r="Y285">
        <v>174</v>
      </c>
      <c r="Z285">
        <v>0</v>
      </c>
      <c r="AA285">
        <v>0</v>
      </c>
      <c r="AB285">
        <v>2566</v>
      </c>
      <c r="AC285">
        <v>0</v>
      </c>
      <c r="AD285">
        <v>140</v>
      </c>
      <c r="AE285">
        <v>0</v>
      </c>
      <c r="AF285">
        <v>0</v>
      </c>
      <c r="AG285">
        <v>0</v>
      </c>
      <c r="AH285">
        <v>0</v>
      </c>
      <c r="AI285">
        <v>10927</v>
      </c>
      <c r="AJ285">
        <v>0</v>
      </c>
      <c r="AK285">
        <v>0</v>
      </c>
      <c r="AL285">
        <v>0</v>
      </c>
      <c r="AM285">
        <v>0</v>
      </c>
      <c r="AN285">
        <v>0</v>
      </c>
      <c r="AO285">
        <v>0</v>
      </c>
      <c r="AP285">
        <v>0</v>
      </c>
      <c r="AQ285">
        <v>0</v>
      </c>
      <c r="AR285">
        <v>0</v>
      </c>
      <c r="AS285">
        <v>0</v>
      </c>
      <c r="AT285">
        <v>0</v>
      </c>
      <c r="AU285">
        <v>0</v>
      </c>
      <c r="AV285">
        <v>1316</v>
      </c>
      <c r="AW285">
        <v>19748</v>
      </c>
      <c r="AX285">
        <v>1593</v>
      </c>
      <c r="AY285">
        <v>2649</v>
      </c>
      <c r="AZ285">
        <v>269</v>
      </c>
      <c r="BA285">
        <v>7768</v>
      </c>
      <c r="BB285">
        <v>0</v>
      </c>
      <c r="BC285">
        <v>1893</v>
      </c>
      <c r="BD285">
        <v>35236</v>
      </c>
      <c r="BE285">
        <v>1917</v>
      </c>
      <c r="BF285">
        <v>15756</v>
      </c>
      <c r="BG285">
        <v>94</v>
      </c>
      <c r="BH285">
        <v>17</v>
      </c>
      <c r="BI285">
        <v>185</v>
      </c>
      <c r="BJ285">
        <v>1510</v>
      </c>
      <c r="BK285">
        <v>11224</v>
      </c>
      <c r="BL285">
        <v>471</v>
      </c>
      <c r="BM285">
        <v>2937</v>
      </c>
      <c r="BN285">
        <v>1378</v>
      </c>
      <c r="BO285">
        <v>0</v>
      </c>
      <c r="BP285">
        <v>417</v>
      </c>
      <c r="BQ285">
        <v>2</v>
      </c>
      <c r="BR285">
        <v>240</v>
      </c>
      <c r="BS285">
        <v>2098</v>
      </c>
      <c r="BT285">
        <v>4065</v>
      </c>
      <c r="BU285">
        <v>271</v>
      </c>
      <c r="BV285">
        <v>2814</v>
      </c>
      <c r="BW285">
        <v>49040</v>
      </c>
      <c r="BX285">
        <v>349</v>
      </c>
      <c r="BY285">
        <v>349</v>
      </c>
      <c r="BZ285">
        <v>174</v>
      </c>
      <c r="CA285">
        <v>11</v>
      </c>
      <c r="CB285">
        <v>339</v>
      </c>
      <c r="CC285">
        <v>16</v>
      </c>
      <c r="CD285">
        <v>407</v>
      </c>
      <c r="CE285">
        <v>74</v>
      </c>
      <c r="CF285">
        <v>80</v>
      </c>
      <c r="CG285">
        <v>408</v>
      </c>
      <c r="CH285">
        <v>224</v>
      </c>
      <c r="CI285">
        <v>1938</v>
      </c>
      <c r="CJ285">
        <v>33</v>
      </c>
      <c r="CK285">
        <v>401</v>
      </c>
      <c r="CL285">
        <v>11</v>
      </c>
      <c r="CM285">
        <v>0</v>
      </c>
      <c r="CN285">
        <v>193</v>
      </c>
      <c r="CO285">
        <v>0</v>
      </c>
      <c r="CP285">
        <v>1086</v>
      </c>
      <c r="CQ285">
        <v>2610</v>
      </c>
      <c r="CR285">
        <v>6</v>
      </c>
      <c r="CS285">
        <v>60</v>
      </c>
      <c r="CT285">
        <v>470</v>
      </c>
      <c r="CU285">
        <v>2240</v>
      </c>
      <c r="CV285">
        <v>13578</v>
      </c>
      <c r="CW285">
        <v>0</v>
      </c>
      <c r="CX285">
        <v>0</v>
      </c>
      <c r="CY285">
        <v>0</v>
      </c>
      <c r="CZ285">
        <v>0</v>
      </c>
      <c r="DA285">
        <v>0</v>
      </c>
      <c r="DB285">
        <v>0</v>
      </c>
      <c r="DC285">
        <v>67</v>
      </c>
      <c r="DD285">
        <v>0</v>
      </c>
      <c r="DE285">
        <v>163</v>
      </c>
      <c r="DF285">
        <v>76</v>
      </c>
      <c r="DG285">
        <v>0</v>
      </c>
      <c r="DH285">
        <v>0</v>
      </c>
      <c r="DI285">
        <v>0</v>
      </c>
      <c r="DJ285">
        <v>64</v>
      </c>
      <c r="DK285">
        <v>0</v>
      </c>
      <c r="DL285">
        <v>0</v>
      </c>
      <c r="DM285">
        <v>0</v>
      </c>
      <c r="DN285">
        <v>0</v>
      </c>
      <c r="DO285">
        <v>151</v>
      </c>
      <c r="DP285">
        <v>215</v>
      </c>
      <c r="DQ285">
        <v>0</v>
      </c>
      <c r="DR285">
        <v>0</v>
      </c>
      <c r="DS285">
        <v>0</v>
      </c>
      <c r="DT285">
        <v>1675</v>
      </c>
      <c r="DU285">
        <v>0</v>
      </c>
      <c r="DV285">
        <v>0</v>
      </c>
      <c r="DW285">
        <v>0</v>
      </c>
      <c r="DX285">
        <v>2196</v>
      </c>
      <c r="DY285">
        <v>0</v>
      </c>
      <c r="DZ285">
        <v>0</v>
      </c>
      <c r="EA285">
        <v>0</v>
      </c>
      <c r="EB285">
        <v>0</v>
      </c>
      <c r="EC285">
        <v>0</v>
      </c>
      <c r="ED285">
        <v>0</v>
      </c>
      <c r="EE285">
        <v>0</v>
      </c>
      <c r="EF285">
        <v>0</v>
      </c>
      <c r="EG285">
        <v>0</v>
      </c>
      <c r="EH285">
        <v>0</v>
      </c>
      <c r="EI285">
        <v>0</v>
      </c>
      <c r="EJ285">
        <v>0</v>
      </c>
      <c r="EK285">
        <v>0</v>
      </c>
      <c r="EL285">
        <v>0</v>
      </c>
      <c r="EM285">
        <v>0</v>
      </c>
      <c r="EN285">
        <v>0</v>
      </c>
      <c r="EO285">
        <v>0</v>
      </c>
      <c r="EP285">
        <v>0</v>
      </c>
      <c r="EQ285">
        <v>0</v>
      </c>
      <c r="ER285">
        <v>0</v>
      </c>
      <c r="ES285">
        <v>0</v>
      </c>
      <c r="ET285">
        <v>0</v>
      </c>
      <c r="EU285">
        <v>66</v>
      </c>
      <c r="EV285">
        <v>28</v>
      </c>
      <c r="EW285">
        <v>4</v>
      </c>
      <c r="EX285">
        <v>589</v>
      </c>
      <c r="EY285">
        <v>-65</v>
      </c>
      <c r="EZ285">
        <v>78</v>
      </c>
      <c r="FA285">
        <v>267</v>
      </c>
      <c r="FB285">
        <v>0</v>
      </c>
      <c r="FC285">
        <v>547</v>
      </c>
      <c r="FD285">
        <v>2483</v>
      </c>
      <c r="FE285">
        <v>99</v>
      </c>
      <c r="FF285">
        <v>5</v>
      </c>
      <c r="FG285">
        <v>1002</v>
      </c>
      <c r="FH285">
        <v>5103</v>
      </c>
      <c r="FI285">
        <v>257</v>
      </c>
      <c r="FJ285">
        <v>128</v>
      </c>
      <c r="FK285">
        <v>0</v>
      </c>
      <c r="FL285">
        <v>-20</v>
      </c>
      <c r="FM285">
        <v>173</v>
      </c>
      <c r="FN285">
        <v>0</v>
      </c>
      <c r="FO285">
        <v>0</v>
      </c>
      <c r="FP285">
        <v>58</v>
      </c>
      <c r="FQ285">
        <v>0</v>
      </c>
      <c r="FR285">
        <v>70</v>
      </c>
      <c r="FS285">
        <v>222</v>
      </c>
      <c r="FT285">
        <v>4</v>
      </c>
      <c r="FU285">
        <v>0</v>
      </c>
      <c r="FV285">
        <v>333</v>
      </c>
      <c r="FW285">
        <v>0</v>
      </c>
      <c r="FX285">
        <v>316</v>
      </c>
      <c r="FY285">
        <v>0</v>
      </c>
      <c r="FZ285">
        <v>250</v>
      </c>
      <c r="GA285">
        <v>0</v>
      </c>
      <c r="GB285">
        <v>63</v>
      </c>
      <c r="GC285">
        <v>0</v>
      </c>
      <c r="GD285">
        <v>1268</v>
      </c>
      <c r="GE285">
        <v>3062</v>
      </c>
      <c r="GF285">
        <v>4024</v>
      </c>
      <c r="GG285">
        <v>305</v>
      </c>
      <c r="GH285">
        <v>2106</v>
      </c>
      <c r="GI285">
        <v>0</v>
      </c>
      <c r="GJ285">
        <v>95</v>
      </c>
      <c r="GK285">
        <v>12714</v>
      </c>
      <c r="GL285">
        <v>32</v>
      </c>
      <c r="GM285">
        <v>-353</v>
      </c>
      <c r="GN285">
        <v>0</v>
      </c>
      <c r="GO285">
        <v>315</v>
      </c>
      <c r="GP285">
        <v>22</v>
      </c>
      <c r="GQ285">
        <v>2005</v>
      </c>
      <c r="GR285">
        <v>0</v>
      </c>
      <c r="GS285">
        <v>409</v>
      </c>
      <c r="GT285">
        <v>362</v>
      </c>
      <c r="GU285">
        <v>2792</v>
      </c>
      <c r="GV285">
        <v>20609</v>
      </c>
      <c r="GW285">
        <v>0</v>
      </c>
      <c r="GX285">
        <v>0</v>
      </c>
      <c r="GY285">
        <v>0</v>
      </c>
      <c r="GZ285">
        <v>0</v>
      </c>
      <c r="HA285">
        <v>0</v>
      </c>
      <c r="HB285">
        <v>4357</v>
      </c>
      <c r="HC285">
        <v>-547</v>
      </c>
      <c r="HD285">
        <v>0</v>
      </c>
      <c r="HE285">
        <v>0</v>
      </c>
      <c r="HF285">
        <v>0</v>
      </c>
      <c r="HG285">
        <v>616</v>
      </c>
      <c r="HH285">
        <v>0</v>
      </c>
      <c r="HI285">
        <v>10</v>
      </c>
      <c r="HJ285">
        <v>62</v>
      </c>
      <c r="HK285">
        <v>266</v>
      </c>
      <c r="HL285">
        <v>95</v>
      </c>
      <c r="HM285">
        <v>-50</v>
      </c>
      <c r="HN285">
        <v>0</v>
      </c>
      <c r="HO285">
        <v>928</v>
      </c>
      <c r="HP285">
        <v>384</v>
      </c>
      <c r="HQ285">
        <v>0</v>
      </c>
      <c r="HR285">
        <v>1170</v>
      </c>
      <c r="HS285">
        <v>0</v>
      </c>
      <c r="HT285">
        <v>0</v>
      </c>
      <c r="HU285">
        <v>-4952</v>
      </c>
      <c r="HV285">
        <v>2339</v>
      </c>
      <c r="HW285">
        <v>135</v>
      </c>
      <c r="HX285">
        <v>18970</v>
      </c>
      <c r="HY285">
        <v>0</v>
      </c>
      <c r="HZ285">
        <v>1249</v>
      </c>
      <c r="IA285">
        <v>5139</v>
      </c>
      <c r="IB285">
        <v>0</v>
      </c>
      <c r="IC285">
        <v>50366</v>
      </c>
      <c r="ID285">
        <v>10927</v>
      </c>
      <c r="IE285">
        <v>35236</v>
      </c>
      <c r="IF285">
        <v>49040</v>
      </c>
      <c r="IG285">
        <v>13578</v>
      </c>
      <c r="IH285">
        <v>2196</v>
      </c>
      <c r="II285">
        <v>5103</v>
      </c>
      <c r="IJ285">
        <v>12714</v>
      </c>
      <c r="IK285">
        <v>2792</v>
      </c>
      <c r="IL285">
        <v>0</v>
      </c>
      <c r="IM285">
        <v>0</v>
      </c>
      <c r="IN285">
        <v>2339</v>
      </c>
      <c r="IO285">
        <v>0</v>
      </c>
      <c r="IP285">
        <v>184291</v>
      </c>
      <c r="IQ285">
        <v>36740</v>
      </c>
      <c r="IR285">
        <v>0</v>
      </c>
      <c r="IS285">
        <v>0</v>
      </c>
      <c r="IT285">
        <v>0</v>
      </c>
      <c r="IU285">
        <v>0</v>
      </c>
      <c r="IV285">
        <v>592</v>
      </c>
      <c r="IW285">
        <v>0</v>
      </c>
      <c r="IX285">
        <v>0</v>
      </c>
      <c r="IY285">
        <v>0</v>
      </c>
      <c r="IZ285">
        <v>36</v>
      </c>
      <c r="JA285">
        <v>-123</v>
      </c>
      <c r="JB285">
        <v>-3</v>
      </c>
      <c r="JC285">
        <v>-184</v>
      </c>
      <c r="JD285">
        <v>14</v>
      </c>
      <c r="JE285">
        <v>14</v>
      </c>
      <c r="JF285">
        <v>0</v>
      </c>
      <c r="JG285">
        <v>221377</v>
      </c>
      <c r="JH285">
        <v>133</v>
      </c>
      <c r="JI285">
        <v>157</v>
      </c>
      <c r="JJ285">
        <v>0</v>
      </c>
      <c r="JK285">
        <v>0</v>
      </c>
      <c r="JL285">
        <v>0</v>
      </c>
      <c r="JM285">
        <v>95</v>
      </c>
      <c r="JN285">
        <v>3196</v>
      </c>
      <c r="JO285">
        <v>0</v>
      </c>
      <c r="JP285">
        <v>6725</v>
      </c>
      <c r="JQ285">
        <v>0</v>
      </c>
      <c r="JR285">
        <v>231683</v>
      </c>
      <c r="JS285">
        <v>-503</v>
      </c>
      <c r="JT285">
        <v>0</v>
      </c>
      <c r="JU285">
        <v>508</v>
      </c>
      <c r="JV285">
        <v>0</v>
      </c>
      <c r="JW285">
        <v>-37424</v>
      </c>
      <c r="JX285">
        <v>0</v>
      </c>
      <c r="JY285">
        <v>0</v>
      </c>
      <c r="JZ285">
        <v>0</v>
      </c>
      <c r="KA285">
        <v>0</v>
      </c>
      <c r="KB285">
        <v>-3347</v>
      </c>
      <c r="KC285">
        <v>190917</v>
      </c>
      <c r="KD285">
        <v>0</v>
      </c>
      <c r="KE285">
        <v>-86778</v>
      </c>
      <c r="KF285">
        <v>104139</v>
      </c>
      <c r="KG285">
        <v>0</v>
      </c>
      <c r="KH285">
        <v>-570</v>
      </c>
      <c r="KI285">
        <v>2763</v>
      </c>
      <c r="KJ285">
        <v>1391</v>
      </c>
      <c r="KK285">
        <v>5443</v>
      </c>
      <c r="KL285">
        <v>544</v>
      </c>
      <c r="KM285">
        <v>-7472</v>
      </c>
      <c r="KN285">
        <v>0</v>
      </c>
      <c r="KO285">
        <v>-28611</v>
      </c>
      <c r="KP285">
        <v>1099</v>
      </c>
      <c r="KQ285">
        <v>0</v>
      </c>
      <c r="KR285">
        <v>68828</v>
      </c>
      <c r="KS285">
        <v>2975</v>
      </c>
      <c r="KT285">
        <v>-2763</v>
      </c>
      <c r="KU285">
        <v>1594</v>
      </c>
      <c r="KV285">
        <v>31628</v>
      </c>
      <c r="KW285">
        <v>5203</v>
      </c>
      <c r="KX285">
        <v>2405</v>
      </c>
      <c r="KY285">
        <v>0</v>
      </c>
      <c r="KZ285">
        <v>2985</v>
      </c>
      <c r="LA285">
        <v>37071</v>
      </c>
      <c r="LB285">
        <v>5747</v>
      </c>
      <c r="LC285">
        <v>0</v>
      </c>
      <c r="LD285">
        <v>13428</v>
      </c>
      <c r="LE285">
        <v>3329</v>
      </c>
      <c r="LF285">
        <v>0</v>
      </c>
      <c r="LG285">
        <v>-22522</v>
      </c>
      <c r="LH285">
        <v>4381</v>
      </c>
      <c r="LI285">
        <v>-2511</v>
      </c>
      <c r="LJ285">
        <v>6422</v>
      </c>
      <c r="LK285">
        <v>7688</v>
      </c>
      <c r="LL285">
        <v>14110</v>
      </c>
      <c r="LM285">
        <v>100</v>
      </c>
      <c r="LN285">
        <v>0</v>
      </c>
      <c r="LO285">
        <v>0</v>
      </c>
      <c r="LP285">
        <v>0</v>
      </c>
      <c r="LQ285">
        <v>0</v>
      </c>
      <c r="LR285">
        <v>0</v>
      </c>
      <c r="LS285">
        <v>0</v>
      </c>
      <c r="LT285">
        <v>0</v>
      </c>
      <c r="LU285">
        <v>50366</v>
      </c>
      <c r="LV285">
        <v>10927</v>
      </c>
      <c r="LW285">
        <v>35236</v>
      </c>
      <c r="LX285">
        <v>49040</v>
      </c>
      <c r="LY285">
        <v>13578</v>
      </c>
      <c r="LZ285">
        <v>2196</v>
      </c>
      <c r="MA285">
        <v>5103</v>
      </c>
      <c r="MB285">
        <v>12714</v>
      </c>
      <c r="MC285">
        <v>2792</v>
      </c>
      <c r="MD285">
        <v>0</v>
      </c>
      <c r="ME285">
        <v>0</v>
      </c>
      <c r="MF285">
        <v>2339</v>
      </c>
      <c r="MG285">
        <v>0</v>
      </c>
      <c r="MH285">
        <v>184291</v>
      </c>
      <c r="MI285">
        <v>23</v>
      </c>
      <c r="MJ285">
        <v>0</v>
      </c>
      <c r="MK285">
        <v>0</v>
      </c>
      <c r="ML285">
        <v>0</v>
      </c>
      <c r="MM285">
        <v>0</v>
      </c>
      <c r="MN285">
        <v>0</v>
      </c>
      <c r="MO285">
        <v>0</v>
      </c>
      <c r="MP285">
        <v>0</v>
      </c>
      <c r="MQ285">
        <v>0</v>
      </c>
      <c r="MR285">
        <v>0</v>
      </c>
      <c r="MS285">
        <v>0</v>
      </c>
      <c r="MT285">
        <v>0</v>
      </c>
      <c r="MU285">
        <v>-477</v>
      </c>
      <c r="MV285">
        <v>0</v>
      </c>
      <c r="MW285">
        <v>0</v>
      </c>
      <c r="MX285">
        <v>-27</v>
      </c>
      <c r="MY285">
        <v>0</v>
      </c>
      <c r="MZ285">
        <v>5</v>
      </c>
      <c r="NA285">
        <v>-307</v>
      </c>
      <c r="NB285">
        <v>184</v>
      </c>
      <c r="NC285">
        <v>-123</v>
      </c>
      <c r="ND285">
        <v>0</v>
      </c>
      <c r="NE285">
        <v>0</v>
      </c>
      <c r="NF285">
        <v>0</v>
      </c>
      <c r="NG285">
        <v>0</v>
      </c>
      <c r="NH285">
        <v>0</v>
      </c>
      <c r="NI285">
        <v>0</v>
      </c>
      <c r="NJ285">
        <v>0</v>
      </c>
      <c r="NK285">
        <v>0</v>
      </c>
      <c r="NL285">
        <v>0</v>
      </c>
      <c r="NM285">
        <v>0</v>
      </c>
      <c r="NN285">
        <v>0</v>
      </c>
      <c r="NO285">
        <v>0</v>
      </c>
      <c r="NP285">
        <v>0</v>
      </c>
      <c r="NQ285">
        <v>0</v>
      </c>
      <c r="NR285">
        <v>0</v>
      </c>
      <c r="NS285">
        <v>0</v>
      </c>
      <c r="NT285">
        <v>0</v>
      </c>
      <c r="NU285">
        <v>0</v>
      </c>
      <c r="NV285">
        <v>0</v>
      </c>
      <c r="NW285">
        <v>0</v>
      </c>
      <c r="NX285">
        <v>0</v>
      </c>
      <c r="NY285">
        <v>0</v>
      </c>
      <c r="NZ285">
        <v>11</v>
      </c>
      <c r="OA285">
        <v>-14</v>
      </c>
      <c r="OB285">
        <v>-3</v>
      </c>
      <c r="OC285">
        <v>86</v>
      </c>
      <c r="OD285">
        <v>91</v>
      </c>
      <c r="OE285">
        <v>0</v>
      </c>
      <c r="OF285">
        <v>0</v>
      </c>
      <c r="OG285">
        <v>7</v>
      </c>
      <c r="OH285">
        <v>184</v>
      </c>
      <c r="OI285">
        <v>0</v>
      </c>
      <c r="OJ285">
        <v>-14</v>
      </c>
      <c r="OK285">
        <v>0</v>
      </c>
      <c r="OL285">
        <v>0</v>
      </c>
      <c r="OM285">
        <v>0</v>
      </c>
      <c r="ON285">
        <v>-14</v>
      </c>
    </row>
    <row r="286" spans="1:404" x14ac:dyDescent="0.25">
      <c r="A286" t="s">
        <v>928</v>
      </c>
      <c r="B286" t="s">
        <v>929</v>
      </c>
      <c r="C286" t="s">
        <v>927</v>
      </c>
      <c r="E286" t="s">
        <v>61</v>
      </c>
    </row>
    <row r="287" spans="1:404" x14ac:dyDescent="0.25">
      <c r="A287" t="s">
        <v>931</v>
      </c>
      <c r="B287" t="s">
        <v>932</v>
      </c>
      <c r="C287" t="s">
        <v>930</v>
      </c>
      <c r="E287" t="s">
        <v>61</v>
      </c>
      <c r="F287">
        <v>0</v>
      </c>
      <c r="G287">
        <v>0</v>
      </c>
      <c r="H287">
        <v>0</v>
      </c>
      <c r="I287">
        <v>0</v>
      </c>
      <c r="J287">
        <v>0</v>
      </c>
      <c r="K287">
        <v>0</v>
      </c>
      <c r="L287">
        <v>0</v>
      </c>
      <c r="M287">
        <v>0</v>
      </c>
      <c r="N287">
        <v>0</v>
      </c>
      <c r="O287">
        <v>0</v>
      </c>
      <c r="P287">
        <v>0</v>
      </c>
      <c r="Q287">
        <v>0</v>
      </c>
      <c r="R287">
        <v>-28</v>
      </c>
      <c r="S287">
        <v>0</v>
      </c>
      <c r="T287">
        <v>0</v>
      </c>
      <c r="U287">
        <v>0</v>
      </c>
      <c r="V287">
        <v>0</v>
      </c>
      <c r="W287">
        <v>0</v>
      </c>
      <c r="X287">
        <v>0</v>
      </c>
      <c r="Y287">
        <v>0</v>
      </c>
      <c r="Z287">
        <v>-141</v>
      </c>
      <c r="AA287">
        <v>-647</v>
      </c>
      <c r="AB287">
        <v>0</v>
      </c>
      <c r="AC287">
        <v>0</v>
      </c>
      <c r="AD287">
        <v>8</v>
      </c>
      <c r="AE287">
        <v>0</v>
      </c>
      <c r="AF287">
        <v>0</v>
      </c>
      <c r="AG287">
        <v>0</v>
      </c>
      <c r="AH287">
        <v>0</v>
      </c>
      <c r="AI287">
        <v>-808</v>
      </c>
      <c r="AJ287">
        <v>0</v>
      </c>
      <c r="AK287">
        <v>0</v>
      </c>
      <c r="AL287">
        <v>0</v>
      </c>
      <c r="AM287">
        <v>0</v>
      </c>
      <c r="AN287">
        <v>0</v>
      </c>
      <c r="AO287">
        <v>0</v>
      </c>
      <c r="AP287">
        <v>0</v>
      </c>
      <c r="AQ287">
        <v>647</v>
      </c>
      <c r="AR287">
        <v>0</v>
      </c>
      <c r="AS287">
        <v>0</v>
      </c>
      <c r="AT287">
        <v>0</v>
      </c>
      <c r="AU287">
        <v>0</v>
      </c>
      <c r="AV287">
        <v>0</v>
      </c>
      <c r="AW287">
        <v>0</v>
      </c>
      <c r="AX287">
        <v>0</v>
      </c>
      <c r="AY287">
        <v>0</v>
      </c>
      <c r="AZ287">
        <v>0</v>
      </c>
      <c r="BA287">
        <v>0</v>
      </c>
      <c r="BB287">
        <v>0</v>
      </c>
      <c r="BC287">
        <v>0</v>
      </c>
      <c r="BD287">
        <v>0</v>
      </c>
      <c r="BE287">
        <v>0</v>
      </c>
      <c r="BF287">
        <v>0</v>
      </c>
      <c r="BG287">
        <v>0</v>
      </c>
      <c r="BH287">
        <v>0</v>
      </c>
      <c r="BI287">
        <v>0</v>
      </c>
      <c r="BJ287">
        <v>0</v>
      </c>
      <c r="BK287">
        <v>0</v>
      </c>
      <c r="BL287">
        <v>0</v>
      </c>
      <c r="BM287">
        <v>0</v>
      </c>
      <c r="BN287">
        <v>0</v>
      </c>
      <c r="BO287">
        <v>0</v>
      </c>
      <c r="BP287">
        <v>0</v>
      </c>
      <c r="BQ287">
        <v>0</v>
      </c>
      <c r="BR287">
        <v>0</v>
      </c>
      <c r="BS287">
        <v>0</v>
      </c>
      <c r="BT287">
        <v>0</v>
      </c>
      <c r="BU287">
        <v>0</v>
      </c>
      <c r="BV287">
        <v>0</v>
      </c>
      <c r="BW287">
        <v>0</v>
      </c>
      <c r="BX287">
        <v>0</v>
      </c>
      <c r="BY287">
        <v>0</v>
      </c>
      <c r="BZ287">
        <v>0</v>
      </c>
      <c r="CA287">
        <v>0</v>
      </c>
      <c r="CB287">
        <v>0</v>
      </c>
      <c r="CC287">
        <v>0</v>
      </c>
      <c r="CD287">
        <v>0</v>
      </c>
      <c r="CE287">
        <v>0</v>
      </c>
      <c r="CF287">
        <v>0</v>
      </c>
      <c r="CG287">
        <v>0</v>
      </c>
      <c r="CH287">
        <v>0</v>
      </c>
      <c r="CI287">
        <v>0</v>
      </c>
      <c r="CJ287">
        <v>0</v>
      </c>
      <c r="CK287">
        <v>0</v>
      </c>
      <c r="CL287">
        <v>0</v>
      </c>
      <c r="CM287">
        <v>0</v>
      </c>
      <c r="CN287">
        <v>0</v>
      </c>
      <c r="CO287">
        <v>0</v>
      </c>
      <c r="CP287">
        <v>0</v>
      </c>
      <c r="CQ287">
        <v>0</v>
      </c>
      <c r="CR287">
        <v>0</v>
      </c>
      <c r="CS287">
        <v>0</v>
      </c>
      <c r="CT287">
        <v>0</v>
      </c>
      <c r="CU287">
        <v>0</v>
      </c>
      <c r="CV287">
        <v>0</v>
      </c>
      <c r="CW287">
        <v>0</v>
      </c>
      <c r="CX287">
        <v>0</v>
      </c>
      <c r="CY287">
        <v>0</v>
      </c>
      <c r="CZ287">
        <v>0</v>
      </c>
      <c r="DA287">
        <v>0</v>
      </c>
      <c r="DB287">
        <v>0</v>
      </c>
      <c r="DC287">
        <v>409</v>
      </c>
      <c r="DD287">
        <v>0</v>
      </c>
      <c r="DE287">
        <v>0</v>
      </c>
      <c r="DF287">
        <v>0</v>
      </c>
      <c r="DG287">
        <v>0</v>
      </c>
      <c r="DH287">
        <v>0</v>
      </c>
      <c r="DI287">
        <v>0</v>
      </c>
      <c r="DJ287">
        <v>314</v>
      </c>
      <c r="DK287">
        <v>23</v>
      </c>
      <c r="DL287">
        <v>177</v>
      </c>
      <c r="DM287">
        <v>0</v>
      </c>
      <c r="DN287">
        <v>296</v>
      </c>
      <c r="DO287">
        <v>29</v>
      </c>
      <c r="DP287">
        <v>839</v>
      </c>
      <c r="DQ287">
        <v>1162</v>
      </c>
      <c r="DR287">
        <v>12</v>
      </c>
      <c r="DS287">
        <v>0</v>
      </c>
      <c r="DT287">
        <v>0</v>
      </c>
      <c r="DU287">
        <v>2</v>
      </c>
      <c r="DV287">
        <v>688</v>
      </c>
      <c r="DW287">
        <v>0</v>
      </c>
      <c r="DX287">
        <v>3112</v>
      </c>
      <c r="DY287">
        <v>0</v>
      </c>
      <c r="DZ287">
        <v>0</v>
      </c>
      <c r="EA287">
        <v>0</v>
      </c>
      <c r="EB287">
        <v>0</v>
      </c>
      <c r="EC287">
        <v>0</v>
      </c>
      <c r="ED287">
        <v>0</v>
      </c>
      <c r="EE287">
        <v>0</v>
      </c>
      <c r="EF287">
        <v>0</v>
      </c>
      <c r="EG287">
        <v>0</v>
      </c>
      <c r="EH287">
        <v>0</v>
      </c>
      <c r="EI287">
        <v>0</v>
      </c>
      <c r="EJ287">
        <v>0</v>
      </c>
      <c r="EK287">
        <v>0</v>
      </c>
      <c r="EL287">
        <v>0</v>
      </c>
      <c r="EM287">
        <v>0</v>
      </c>
      <c r="EN287">
        <v>0</v>
      </c>
      <c r="EO287">
        <v>0</v>
      </c>
      <c r="EP287">
        <v>0</v>
      </c>
      <c r="EQ287">
        <v>0</v>
      </c>
      <c r="ER287">
        <v>0</v>
      </c>
      <c r="ES287">
        <v>0</v>
      </c>
      <c r="ET287">
        <v>0</v>
      </c>
      <c r="EU287">
        <v>0</v>
      </c>
      <c r="EV287">
        <v>0</v>
      </c>
      <c r="EW287">
        <v>0</v>
      </c>
      <c r="EX287">
        <v>0</v>
      </c>
      <c r="EY287">
        <v>1135</v>
      </c>
      <c r="EZ287">
        <v>378</v>
      </c>
      <c r="FA287">
        <v>0</v>
      </c>
      <c r="FB287">
        <v>0</v>
      </c>
      <c r="FC287">
        <v>105</v>
      </c>
      <c r="FD287">
        <v>2396</v>
      </c>
      <c r="FE287">
        <v>-50</v>
      </c>
      <c r="FF287">
        <v>0</v>
      </c>
      <c r="FG287">
        <v>0</v>
      </c>
      <c r="FH287">
        <v>3964</v>
      </c>
      <c r="FI287">
        <v>-158</v>
      </c>
      <c r="FJ287">
        <v>0</v>
      </c>
      <c r="FK287">
        <v>0</v>
      </c>
      <c r="FL287">
        <v>359</v>
      </c>
      <c r="FM287">
        <v>810</v>
      </c>
      <c r="FN287">
        <v>326</v>
      </c>
      <c r="FO287">
        <v>213</v>
      </c>
      <c r="FP287">
        <v>0</v>
      </c>
      <c r="FQ287">
        <v>0</v>
      </c>
      <c r="FR287">
        <v>-2</v>
      </c>
      <c r="FS287">
        <v>0</v>
      </c>
      <c r="FT287">
        <v>55</v>
      </c>
      <c r="FU287">
        <v>25</v>
      </c>
      <c r="FV287">
        <v>369</v>
      </c>
      <c r="FW287">
        <v>7</v>
      </c>
      <c r="FX287">
        <v>49</v>
      </c>
      <c r="FY287">
        <v>0</v>
      </c>
      <c r="FZ287">
        <v>94</v>
      </c>
      <c r="GA287">
        <v>0</v>
      </c>
      <c r="GB287">
        <v>0</v>
      </c>
      <c r="GC287">
        <v>0</v>
      </c>
      <c r="GD287">
        <v>1241</v>
      </c>
      <c r="GE287">
        <v>2587</v>
      </c>
      <c r="GF287">
        <v>0</v>
      </c>
      <c r="GG287">
        <v>-74</v>
      </c>
      <c r="GH287">
        <v>-968</v>
      </c>
      <c r="GI287">
        <v>0</v>
      </c>
      <c r="GJ287">
        <v>0</v>
      </c>
      <c r="GK287">
        <v>4933</v>
      </c>
      <c r="GL287">
        <v>0</v>
      </c>
      <c r="GM287">
        <v>961</v>
      </c>
      <c r="GN287">
        <v>0</v>
      </c>
      <c r="GO287">
        <v>865</v>
      </c>
      <c r="GP287">
        <v>0</v>
      </c>
      <c r="GQ287">
        <v>-2</v>
      </c>
      <c r="GR287">
        <v>0</v>
      </c>
      <c r="GS287">
        <v>458</v>
      </c>
      <c r="GT287">
        <v>628</v>
      </c>
      <c r="GU287">
        <v>2910</v>
      </c>
      <c r="GV287">
        <v>11807</v>
      </c>
      <c r="GW287">
        <v>0</v>
      </c>
      <c r="GX287">
        <v>0</v>
      </c>
      <c r="GY287">
        <v>0</v>
      </c>
      <c r="GZ287">
        <v>0</v>
      </c>
      <c r="HA287">
        <v>0</v>
      </c>
      <c r="HB287">
        <v>21356</v>
      </c>
      <c r="HC287">
        <v>505</v>
      </c>
      <c r="HD287">
        <v>0</v>
      </c>
      <c r="HE287">
        <v>0</v>
      </c>
      <c r="HF287">
        <v>0</v>
      </c>
      <c r="HG287">
        <v>644</v>
      </c>
      <c r="HH287">
        <v>0</v>
      </c>
      <c r="HI287">
        <v>0</v>
      </c>
      <c r="HJ287">
        <v>329</v>
      </c>
      <c r="HK287">
        <v>101</v>
      </c>
      <c r="HL287">
        <v>0</v>
      </c>
      <c r="HM287">
        <v>-274</v>
      </c>
      <c r="HN287">
        <v>0</v>
      </c>
      <c r="HO287">
        <v>68</v>
      </c>
      <c r="HP287">
        <v>0</v>
      </c>
      <c r="HQ287">
        <v>0</v>
      </c>
      <c r="HR287">
        <v>0</v>
      </c>
      <c r="HS287">
        <v>0</v>
      </c>
      <c r="HT287">
        <v>0</v>
      </c>
      <c r="HU287">
        <v>0</v>
      </c>
      <c r="HV287">
        <v>22729</v>
      </c>
      <c r="HW287">
        <v>0</v>
      </c>
      <c r="HX287">
        <v>0</v>
      </c>
      <c r="HY287">
        <v>0</v>
      </c>
      <c r="HZ287">
        <v>0</v>
      </c>
      <c r="IA287">
        <v>0</v>
      </c>
      <c r="IB287">
        <v>0</v>
      </c>
      <c r="IC287">
        <v>0</v>
      </c>
      <c r="ID287">
        <v>-808</v>
      </c>
      <c r="IE287">
        <v>0</v>
      </c>
      <c r="IF287">
        <v>0</v>
      </c>
      <c r="IG287">
        <v>0</v>
      </c>
      <c r="IH287">
        <v>3112</v>
      </c>
      <c r="II287">
        <v>3964</v>
      </c>
      <c r="IJ287">
        <v>4933</v>
      </c>
      <c r="IK287">
        <v>2910</v>
      </c>
      <c r="IL287">
        <v>0</v>
      </c>
      <c r="IM287">
        <v>0</v>
      </c>
      <c r="IN287">
        <v>22729</v>
      </c>
      <c r="IO287">
        <v>0</v>
      </c>
      <c r="IP287">
        <v>36840</v>
      </c>
      <c r="IQ287">
        <v>27107</v>
      </c>
      <c r="IR287">
        <v>286</v>
      </c>
      <c r="IS287">
        <v>0</v>
      </c>
      <c r="IT287">
        <v>0</v>
      </c>
      <c r="IU287">
        <v>0</v>
      </c>
      <c r="IV287">
        <v>470</v>
      </c>
      <c r="IW287">
        <v>0</v>
      </c>
      <c r="IX287">
        <v>0</v>
      </c>
      <c r="IY287">
        <v>0</v>
      </c>
      <c r="IZ287">
        <v>0</v>
      </c>
      <c r="JA287">
        <v>0</v>
      </c>
      <c r="JB287">
        <v>0</v>
      </c>
      <c r="JC287">
        <v>0</v>
      </c>
      <c r="JD287">
        <v>0</v>
      </c>
      <c r="JE287">
        <v>325</v>
      </c>
      <c r="JF287">
        <v>0</v>
      </c>
      <c r="JG287">
        <v>65028</v>
      </c>
      <c r="JH287">
        <v>0</v>
      </c>
      <c r="JI287">
        <v>0</v>
      </c>
      <c r="JJ287">
        <v>0</v>
      </c>
      <c r="JK287">
        <v>0</v>
      </c>
      <c r="JL287">
        <v>0</v>
      </c>
      <c r="JM287">
        <v>19</v>
      </c>
      <c r="JN287">
        <v>556</v>
      </c>
      <c r="JO287">
        <v>0</v>
      </c>
      <c r="JP287">
        <v>62</v>
      </c>
      <c r="JQ287">
        <v>0</v>
      </c>
      <c r="JR287">
        <v>65665</v>
      </c>
      <c r="JS287">
        <v>-1119</v>
      </c>
      <c r="JT287">
        <v>0</v>
      </c>
      <c r="JU287">
        <v>0</v>
      </c>
      <c r="JV287">
        <v>0</v>
      </c>
      <c r="JW287">
        <v>-26892</v>
      </c>
      <c r="JX287">
        <v>0</v>
      </c>
      <c r="JY287">
        <v>-145</v>
      </c>
      <c r="JZ287">
        <v>0</v>
      </c>
      <c r="KA287">
        <v>0</v>
      </c>
      <c r="KB287">
        <v>0</v>
      </c>
      <c r="KC287">
        <v>37509</v>
      </c>
      <c r="KD287">
        <v>0</v>
      </c>
      <c r="KE287">
        <v>-4571</v>
      </c>
      <c r="KF287">
        <v>32938</v>
      </c>
      <c r="KG287">
        <v>0</v>
      </c>
      <c r="KH287">
        <v>0</v>
      </c>
      <c r="KI287">
        <v>0</v>
      </c>
      <c r="KJ287">
        <v>0</v>
      </c>
      <c r="KK287">
        <v>-10408</v>
      </c>
      <c r="KL287">
        <v>-137</v>
      </c>
      <c r="KM287">
        <v>0</v>
      </c>
      <c r="KN287">
        <v>0</v>
      </c>
      <c r="KO287">
        <v>-1819</v>
      </c>
      <c r="KP287">
        <v>54</v>
      </c>
      <c r="KQ287">
        <v>0</v>
      </c>
      <c r="KR287">
        <v>14889</v>
      </c>
      <c r="KS287">
        <v>0</v>
      </c>
      <c r="KT287">
        <v>0</v>
      </c>
      <c r="KU287">
        <v>0</v>
      </c>
      <c r="KV287">
        <v>52880</v>
      </c>
      <c r="KW287">
        <v>3218</v>
      </c>
      <c r="KX287">
        <v>0</v>
      </c>
      <c r="KY287">
        <v>0</v>
      </c>
      <c r="KZ287">
        <v>0</v>
      </c>
      <c r="LA287">
        <v>42472</v>
      </c>
      <c r="LB287">
        <v>3081</v>
      </c>
      <c r="LC287">
        <v>-15705</v>
      </c>
      <c r="LD287">
        <v>0</v>
      </c>
      <c r="LE287">
        <v>0</v>
      </c>
      <c r="LF287">
        <v>0</v>
      </c>
      <c r="LG287">
        <v>0</v>
      </c>
      <c r="LH287">
        <v>0</v>
      </c>
      <c r="LI287">
        <v>0</v>
      </c>
      <c r="LJ287">
        <v>2662</v>
      </c>
      <c r="LK287">
        <v>4829</v>
      </c>
      <c r="LL287">
        <v>7491</v>
      </c>
      <c r="LM287">
        <v>0</v>
      </c>
      <c r="LN287">
        <v>0</v>
      </c>
      <c r="LO287">
        <v>0</v>
      </c>
      <c r="LP287">
        <v>0</v>
      </c>
      <c r="LQ287">
        <v>0</v>
      </c>
      <c r="LR287">
        <v>0</v>
      </c>
      <c r="LS287">
        <v>0</v>
      </c>
      <c r="LT287">
        <v>0</v>
      </c>
      <c r="LU287">
        <v>0</v>
      </c>
      <c r="LV287">
        <v>-808</v>
      </c>
      <c r="LW287">
        <v>0</v>
      </c>
      <c r="LX287">
        <v>0</v>
      </c>
      <c r="LY287">
        <v>0</v>
      </c>
      <c r="LZ287">
        <v>3112</v>
      </c>
      <c r="MA287">
        <v>3964</v>
      </c>
      <c r="MB287">
        <v>4933</v>
      </c>
      <c r="MC287">
        <v>2910</v>
      </c>
      <c r="MD287">
        <v>0</v>
      </c>
      <c r="ME287">
        <v>0</v>
      </c>
      <c r="MF287">
        <v>22729</v>
      </c>
      <c r="MG287">
        <v>0</v>
      </c>
      <c r="MH287">
        <v>36840</v>
      </c>
      <c r="MI287">
        <v>0</v>
      </c>
      <c r="MJ287">
        <v>0</v>
      </c>
      <c r="MK287">
        <v>0</v>
      </c>
      <c r="ML287">
        <v>0</v>
      </c>
      <c r="MM287">
        <v>0</v>
      </c>
      <c r="MN287">
        <v>0</v>
      </c>
      <c r="MO287">
        <v>0</v>
      </c>
      <c r="MP287">
        <v>0</v>
      </c>
      <c r="MQ287">
        <v>0</v>
      </c>
      <c r="MR287">
        <v>0</v>
      </c>
      <c r="MS287">
        <v>0</v>
      </c>
      <c r="MT287">
        <v>0</v>
      </c>
      <c r="MU287">
        <v>0</v>
      </c>
      <c r="MV287">
        <v>0</v>
      </c>
      <c r="MW287">
        <v>0</v>
      </c>
      <c r="MX287">
        <v>0</v>
      </c>
      <c r="MY287">
        <v>0</v>
      </c>
      <c r="MZ287">
        <v>0</v>
      </c>
      <c r="NA287">
        <v>0</v>
      </c>
      <c r="NB287">
        <v>0</v>
      </c>
      <c r="NC287">
        <v>0</v>
      </c>
      <c r="ND287">
        <v>0</v>
      </c>
      <c r="NE287">
        <v>0</v>
      </c>
      <c r="NF287">
        <v>0</v>
      </c>
      <c r="NG287">
        <v>0</v>
      </c>
      <c r="NH287">
        <v>0</v>
      </c>
      <c r="NI287">
        <v>0</v>
      </c>
      <c r="NJ287">
        <v>0</v>
      </c>
      <c r="NK287">
        <v>0</v>
      </c>
      <c r="NL287">
        <v>0</v>
      </c>
      <c r="NM287">
        <v>0</v>
      </c>
      <c r="NN287">
        <v>0</v>
      </c>
      <c r="NO287">
        <v>0</v>
      </c>
      <c r="NP287">
        <v>0</v>
      </c>
      <c r="NQ287">
        <v>0</v>
      </c>
      <c r="NR287">
        <v>0</v>
      </c>
      <c r="NS287">
        <v>0</v>
      </c>
      <c r="NT287">
        <v>0</v>
      </c>
      <c r="NU287">
        <v>0</v>
      </c>
      <c r="NV287">
        <v>0</v>
      </c>
      <c r="NW287">
        <v>0</v>
      </c>
      <c r="NX287">
        <v>0</v>
      </c>
      <c r="NY287">
        <v>0</v>
      </c>
      <c r="NZ287">
        <v>0</v>
      </c>
      <c r="OA287">
        <v>0</v>
      </c>
      <c r="OB287">
        <v>0</v>
      </c>
      <c r="OC287">
        <v>0</v>
      </c>
      <c r="OD287">
        <v>0</v>
      </c>
      <c r="OE287">
        <v>0</v>
      </c>
      <c r="OF287">
        <v>0</v>
      </c>
      <c r="OG287">
        <v>0</v>
      </c>
      <c r="OH287">
        <v>0</v>
      </c>
      <c r="OI287">
        <v>0</v>
      </c>
      <c r="OJ287">
        <v>0</v>
      </c>
      <c r="OK287">
        <v>0</v>
      </c>
      <c r="OL287">
        <v>0</v>
      </c>
      <c r="OM287">
        <v>0</v>
      </c>
      <c r="ON287">
        <v>0</v>
      </c>
    </row>
    <row r="288" spans="1:404" x14ac:dyDescent="0.25">
      <c r="A288" t="s">
        <v>934</v>
      </c>
      <c r="B288" t="s">
        <v>935</v>
      </c>
      <c r="C288" t="s">
        <v>933</v>
      </c>
      <c r="E288" t="s">
        <v>61</v>
      </c>
      <c r="F288">
        <v>0</v>
      </c>
      <c r="G288">
        <v>0</v>
      </c>
      <c r="H288">
        <v>0</v>
      </c>
      <c r="I288">
        <v>0</v>
      </c>
      <c r="J288">
        <v>0</v>
      </c>
      <c r="K288">
        <v>0</v>
      </c>
      <c r="L288">
        <v>0</v>
      </c>
      <c r="M288">
        <v>0</v>
      </c>
      <c r="N288">
        <v>23</v>
      </c>
      <c r="O288">
        <v>0</v>
      </c>
      <c r="P288">
        <v>0</v>
      </c>
      <c r="Q288">
        <v>0</v>
      </c>
      <c r="R288">
        <v>0</v>
      </c>
      <c r="S288">
        <v>0</v>
      </c>
      <c r="T288">
        <v>0</v>
      </c>
      <c r="U288">
        <v>0</v>
      </c>
      <c r="V288">
        <v>0</v>
      </c>
      <c r="W288">
        <v>0</v>
      </c>
      <c r="X288">
        <v>0</v>
      </c>
      <c r="Y288">
        <v>0</v>
      </c>
      <c r="Z288">
        <v>0</v>
      </c>
      <c r="AA288">
        <v>-152</v>
      </c>
      <c r="AB288">
        <v>0</v>
      </c>
      <c r="AC288">
        <v>0</v>
      </c>
      <c r="AD288">
        <v>0</v>
      </c>
      <c r="AE288">
        <v>0</v>
      </c>
      <c r="AF288">
        <v>0</v>
      </c>
      <c r="AG288">
        <v>12</v>
      </c>
      <c r="AH288">
        <v>0</v>
      </c>
      <c r="AI288">
        <v>-117</v>
      </c>
      <c r="AJ288">
        <v>0</v>
      </c>
      <c r="AK288">
        <v>0</v>
      </c>
      <c r="AL288">
        <v>0</v>
      </c>
      <c r="AM288">
        <v>0</v>
      </c>
      <c r="AN288">
        <v>0</v>
      </c>
      <c r="AO288">
        <v>0</v>
      </c>
      <c r="AP288">
        <v>0</v>
      </c>
      <c r="AQ288">
        <v>0</v>
      </c>
      <c r="AR288">
        <v>0</v>
      </c>
      <c r="AS288">
        <v>0</v>
      </c>
      <c r="AT288">
        <v>0</v>
      </c>
      <c r="AU288">
        <v>0</v>
      </c>
      <c r="AV288">
        <v>0</v>
      </c>
      <c r="AW288">
        <v>0</v>
      </c>
      <c r="AX288">
        <v>0</v>
      </c>
      <c r="AY288">
        <v>0</v>
      </c>
      <c r="AZ288">
        <v>0</v>
      </c>
      <c r="BA288">
        <v>0</v>
      </c>
      <c r="BB288">
        <v>0</v>
      </c>
      <c r="BC288">
        <v>0</v>
      </c>
      <c r="BD288">
        <v>0</v>
      </c>
      <c r="BE288">
        <v>0</v>
      </c>
      <c r="BF288">
        <v>0</v>
      </c>
      <c r="BG288">
        <v>0</v>
      </c>
      <c r="BH288">
        <v>0</v>
      </c>
      <c r="BI288">
        <v>0</v>
      </c>
      <c r="BJ288">
        <v>0</v>
      </c>
      <c r="BK288">
        <v>0</v>
      </c>
      <c r="BL288">
        <v>0</v>
      </c>
      <c r="BM288">
        <v>0</v>
      </c>
      <c r="BN288">
        <v>0</v>
      </c>
      <c r="BO288">
        <v>0</v>
      </c>
      <c r="BP288">
        <v>0</v>
      </c>
      <c r="BQ288">
        <v>9</v>
      </c>
      <c r="BR288">
        <v>0</v>
      </c>
      <c r="BS288">
        <v>0</v>
      </c>
      <c r="BT288">
        <v>0</v>
      </c>
      <c r="BU288">
        <v>0</v>
      </c>
      <c r="BV288">
        <v>0</v>
      </c>
      <c r="BW288">
        <v>9</v>
      </c>
      <c r="BX288">
        <v>0</v>
      </c>
      <c r="BY288">
        <v>0</v>
      </c>
      <c r="BZ288">
        <v>0</v>
      </c>
      <c r="CA288">
        <v>0</v>
      </c>
      <c r="CB288">
        <v>0</v>
      </c>
      <c r="CC288">
        <v>0</v>
      </c>
      <c r="CD288">
        <v>0</v>
      </c>
      <c r="CE288">
        <v>0</v>
      </c>
      <c r="CF288">
        <v>0</v>
      </c>
      <c r="CG288">
        <v>0</v>
      </c>
      <c r="CH288">
        <v>0</v>
      </c>
      <c r="CI288">
        <v>0</v>
      </c>
      <c r="CJ288">
        <v>0</v>
      </c>
      <c r="CK288">
        <v>0</v>
      </c>
      <c r="CL288">
        <v>0</v>
      </c>
      <c r="CM288">
        <v>0</v>
      </c>
      <c r="CN288">
        <v>0</v>
      </c>
      <c r="CO288">
        <v>0</v>
      </c>
      <c r="CP288">
        <v>0</v>
      </c>
      <c r="CQ288">
        <v>0</v>
      </c>
      <c r="CR288">
        <v>0</v>
      </c>
      <c r="CS288">
        <v>0</v>
      </c>
      <c r="CT288">
        <v>0</v>
      </c>
      <c r="CU288">
        <v>0</v>
      </c>
      <c r="CV288">
        <v>0</v>
      </c>
      <c r="CW288">
        <v>0</v>
      </c>
      <c r="CX288">
        <v>0</v>
      </c>
      <c r="CY288">
        <v>0</v>
      </c>
      <c r="CZ288">
        <v>0</v>
      </c>
      <c r="DA288">
        <v>0</v>
      </c>
      <c r="DB288">
        <v>0</v>
      </c>
      <c r="DC288">
        <v>66</v>
      </c>
      <c r="DD288">
        <v>0</v>
      </c>
      <c r="DE288">
        <v>63</v>
      </c>
      <c r="DF288">
        <v>0</v>
      </c>
      <c r="DG288">
        <v>0</v>
      </c>
      <c r="DH288">
        <v>0</v>
      </c>
      <c r="DI288">
        <v>0</v>
      </c>
      <c r="DJ288">
        <v>7</v>
      </c>
      <c r="DK288">
        <v>42</v>
      </c>
      <c r="DL288">
        <v>0</v>
      </c>
      <c r="DM288">
        <v>18</v>
      </c>
      <c r="DN288">
        <v>54</v>
      </c>
      <c r="DO288">
        <v>18</v>
      </c>
      <c r="DP288">
        <v>139</v>
      </c>
      <c r="DQ288">
        <v>52</v>
      </c>
      <c r="DR288">
        <v>0</v>
      </c>
      <c r="DS288">
        <v>0</v>
      </c>
      <c r="DT288">
        <v>272</v>
      </c>
      <c r="DU288">
        <v>-9</v>
      </c>
      <c r="DV288">
        <v>7</v>
      </c>
      <c r="DW288">
        <v>0</v>
      </c>
      <c r="DX288">
        <v>590</v>
      </c>
      <c r="DY288">
        <v>0</v>
      </c>
      <c r="DZ288">
        <v>0</v>
      </c>
      <c r="EA288">
        <v>0</v>
      </c>
      <c r="EB288">
        <v>0</v>
      </c>
      <c r="EC288">
        <v>0</v>
      </c>
      <c r="ED288">
        <v>0</v>
      </c>
      <c r="EE288">
        <v>0</v>
      </c>
      <c r="EF288">
        <v>0</v>
      </c>
      <c r="EG288">
        <v>0</v>
      </c>
      <c r="EH288">
        <v>0</v>
      </c>
      <c r="EI288">
        <v>0</v>
      </c>
      <c r="EJ288">
        <v>0</v>
      </c>
      <c r="EK288">
        <v>0</v>
      </c>
      <c r="EL288">
        <v>0</v>
      </c>
      <c r="EM288">
        <v>0</v>
      </c>
      <c r="EN288">
        <v>0</v>
      </c>
      <c r="EO288">
        <v>0</v>
      </c>
      <c r="EP288">
        <v>0</v>
      </c>
      <c r="EQ288">
        <v>0</v>
      </c>
      <c r="ER288">
        <v>0</v>
      </c>
      <c r="ES288">
        <v>0</v>
      </c>
      <c r="ET288">
        <v>0</v>
      </c>
      <c r="EU288">
        <v>0</v>
      </c>
      <c r="EV288">
        <v>37</v>
      </c>
      <c r="EW288">
        <v>0</v>
      </c>
      <c r="EX288">
        <v>403</v>
      </c>
      <c r="EY288">
        <v>0</v>
      </c>
      <c r="EZ288">
        <v>0</v>
      </c>
      <c r="FA288">
        <v>0</v>
      </c>
      <c r="FB288">
        <v>263</v>
      </c>
      <c r="FC288">
        <v>265</v>
      </c>
      <c r="FD288">
        <v>452</v>
      </c>
      <c r="FE288">
        <v>0</v>
      </c>
      <c r="FF288">
        <v>131</v>
      </c>
      <c r="FG288">
        <v>0</v>
      </c>
      <c r="FH288">
        <v>1551</v>
      </c>
      <c r="FI288">
        <v>30</v>
      </c>
      <c r="FJ288">
        <v>0</v>
      </c>
      <c r="FK288">
        <v>0</v>
      </c>
      <c r="FL288">
        <v>0</v>
      </c>
      <c r="FM288">
        <v>62</v>
      </c>
      <c r="FN288">
        <v>0</v>
      </c>
      <c r="FO288">
        <v>0</v>
      </c>
      <c r="FP288">
        <v>0</v>
      </c>
      <c r="FQ288">
        <v>0</v>
      </c>
      <c r="FR288">
        <v>64</v>
      </c>
      <c r="FS288">
        <v>173</v>
      </c>
      <c r="FT288">
        <v>64</v>
      </c>
      <c r="FU288">
        <v>52</v>
      </c>
      <c r="FV288">
        <v>40</v>
      </c>
      <c r="FW288">
        <v>0</v>
      </c>
      <c r="FX288">
        <v>139</v>
      </c>
      <c r="FY288">
        <v>30</v>
      </c>
      <c r="FZ288">
        <v>0</v>
      </c>
      <c r="GA288">
        <v>0</v>
      </c>
      <c r="GB288">
        <v>0</v>
      </c>
      <c r="GC288">
        <v>0</v>
      </c>
      <c r="GD288">
        <v>378</v>
      </c>
      <c r="GE288">
        <v>1490</v>
      </c>
      <c r="GF288">
        <v>93</v>
      </c>
      <c r="GG288">
        <v>0</v>
      </c>
      <c r="GH288">
        <v>0</v>
      </c>
      <c r="GI288">
        <v>0</v>
      </c>
      <c r="GJ288">
        <v>0</v>
      </c>
      <c r="GK288">
        <v>2615</v>
      </c>
      <c r="GL288">
        <v>48</v>
      </c>
      <c r="GM288">
        <v>-12</v>
      </c>
      <c r="GN288">
        <v>25</v>
      </c>
      <c r="GO288">
        <v>224</v>
      </c>
      <c r="GP288">
        <v>0</v>
      </c>
      <c r="GQ288">
        <v>228</v>
      </c>
      <c r="GR288">
        <v>0</v>
      </c>
      <c r="GS288">
        <v>0</v>
      </c>
      <c r="GT288">
        <v>0</v>
      </c>
      <c r="GU288">
        <v>513</v>
      </c>
      <c r="GV288">
        <v>4679</v>
      </c>
      <c r="GW288">
        <v>0</v>
      </c>
      <c r="GX288">
        <v>0</v>
      </c>
      <c r="GY288">
        <v>0</v>
      </c>
      <c r="GZ288">
        <v>0</v>
      </c>
      <c r="HA288">
        <v>0</v>
      </c>
      <c r="HB288">
        <v>1088</v>
      </c>
      <c r="HC288">
        <v>351</v>
      </c>
      <c r="HD288">
        <v>0</v>
      </c>
      <c r="HE288">
        <v>0</v>
      </c>
      <c r="HF288">
        <v>177</v>
      </c>
      <c r="HG288">
        <v>56</v>
      </c>
      <c r="HH288">
        <v>0</v>
      </c>
      <c r="HI288">
        <v>0</v>
      </c>
      <c r="HJ288">
        <v>88</v>
      </c>
      <c r="HK288">
        <v>77</v>
      </c>
      <c r="HL288">
        <v>2168</v>
      </c>
      <c r="HM288">
        <v>17</v>
      </c>
      <c r="HN288">
        <v>0</v>
      </c>
      <c r="HO288">
        <v>155</v>
      </c>
      <c r="HP288">
        <v>0</v>
      </c>
      <c r="HQ288">
        <v>0</v>
      </c>
      <c r="HR288">
        <v>88</v>
      </c>
      <c r="HS288">
        <v>0</v>
      </c>
      <c r="HT288">
        <v>0</v>
      </c>
      <c r="HU288">
        <v>-81</v>
      </c>
      <c r="HV288">
        <v>4184</v>
      </c>
      <c r="HW288">
        <v>1173</v>
      </c>
      <c r="HX288">
        <v>5663</v>
      </c>
      <c r="HY288">
        <v>0</v>
      </c>
      <c r="HZ288">
        <v>1</v>
      </c>
      <c r="IA288">
        <v>11</v>
      </c>
      <c r="IB288">
        <v>0</v>
      </c>
      <c r="IC288">
        <v>0</v>
      </c>
      <c r="ID288">
        <v>-117</v>
      </c>
      <c r="IE288">
        <v>0</v>
      </c>
      <c r="IF288">
        <v>9</v>
      </c>
      <c r="IG288">
        <v>0</v>
      </c>
      <c r="IH288">
        <v>590</v>
      </c>
      <c r="II288">
        <v>1551</v>
      </c>
      <c r="IJ288">
        <v>2615</v>
      </c>
      <c r="IK288">
        <v>513</v>
      </c>
      <c r="IL288">
        <v>0</v>
      </c>
      <c r="IM288">
        <v>0</v>
      </c>
      <c r="IN288">
        <v>4184</v>
      </c>
      <c r="IO288">
        <v>0</v>
      </c>
      <c r="IP288">
        <v>9345</v>
      </c>
      <c r="IQ288">
        <v>5187</v>
      </c>
      <c r="IR288">
        <v>35</v>
      </c>
      <c r="IS288">
        <v>0</v>
      </c>
      <c r="IT288">
        <v>0</v>
      </c>
      <c r="IU288">
        <v>0</v>
      </c>
      <c r="IV288">
        <v>504</v>
      </c>
      <c r="IW288">
        <v>0</v>
      </c>
      <c r="IX288">
        <v>0</v>
      </c>
      <c r="IY288">
        <v>0</v>
      </c>
      <c r="IZ288">
        <v>0</v>
      </c>
      <c r="JA288">
        <v>-51</v>
      </c>
      <c r="JB288">
        <v>0</v>
      </c>
      <c r="JC288">
        <v>-21</v>
      </c>
      <c r="JD288">
        <v>0</v>
      </c>
      <c r="JE288">
        <v>0</v>
      </c>
      <c r="JF288">
        <v>0</v>
      </c>
      <c r="JG288">
        <v>14998</v>
      </c>
      <c r="JH288">
        <v>0</v>
      </c>
      <c r="JI288">
        <v>457</v>
      </c>
      <c r="JJ288">
        <v>0</v>
      </c>
      <c r="JK288">
        <v>0</v>
      </c>
      <c r="JL288">
        <v>0</v>
      </c>
      <c r="JM288">
        <v>-23</v>
      </c>
      <c r="JN288">
        <v>107</v>
      </c>
      <c r="JO288">
        <v>0</v>
      </c>
      <c r="JP288">
        <v>6</v>
      </c>
      <c r="JQ288">
        <v>0</v>
      </c>
      <c r="JR288">
        <v>15545</v>
      </c>
      <c r="JS288">
        <v>-15</v>
      </c>
      <c r="JT288">
        <v>0</v>
      </c>
      <c r="JU288">
        <v>0</v>
      </c>
      <c r="JV288">
        <v>0</v>
      </c>
      <c r="JW288">
        <v>-5298</v>
      </c>
      <c r="JX288">
        <v>0</v>
      </c>
      <c r="JY288">
        <v>0</v>
      </c>
      <c r="JZ288">
        <v>0</v>
      </c>
      <c r="KA288">
        <v>0</v>
      </c>
      <c r="KB288">
        <v>0</v>
      </c>
      <c r="KC288">
        <v>10232</v>
      </c>
      <c r="KD288">
        <v>0</v>
      </c>
      <c r="KE288">
        <v>-4308</v>
      </c>
      <c r="KF288">
        <v>5924</v>
      </c>
      <c r="KG288">
        <v>0</v>
      </c>
      <c r="KH288">
        <v>0</v>
      </c>
      <c r="KI288">
        <v>0</v>
      </c>
      <c r="KJ288">
        <v>0</v>
      </c>
      <c r="KK288">
        <v>162</v>
      </c>
      <c r="KL288">
        <v>427</v>
      </c>
      <c r="KM288">
        <v>0</v>
      </c>
      <c r="KN288">
        <v>0</v>
      </c>
      <c r="KO288">
        <v>-1928</v>
      </c>
      <c r="KP288">
        <v>-25</v>
      </c>
      <c r="KQ288">
        <v>0</v>
      </c>
      <c r="KR288">
        <v>4241</v>
      </c>
      <c r="KS288">
        <v>0</v>
      </c>
      <c r="KT288">
        <v>0</v>
      </c>
      <c r="KU288">
        <v>0</v>
      </c>
      <c r="KV288">
        <v>14920</v>
      </c>
      <c r="KW288">
        <v>2534</v>
      </c>
      <c r="KX288">
        <v>0</v>
      </c>
      <c r="KY288">
        <v>0</v>
      </c>
      <c r="KZ288">
        <v>0</v>
      </c>
      <c r="LA288">
        <v>15082</v>
      </c>
      <c r="LB288">
        <v>2961</v>
      </c>
      <c r="LC288">
        <v>0</v>
      </c>
      <c r="LD288">
        <v>884</v>
      </c>
      <c r="LE288">
        <v>0</v>
      </c>
      <c r="LF288">
        <v>259</v>
      </c>
      <c r="LG288">
        <v>-440</v>
      </c>
      <c r="LH288">
        <v>378</v>
      </c>
      <c r="LI288">
        <v>1081</v>
      </c>
      <c r="LJ288">
        <v>1067</v>
      </c>
      <c r="LK288">
        <v>1237</v>
      </c>
      <c r="LL288">
        <v>2304</v>
      </c>
      <c r="LM288">
        <v>0</v>
      </c>
      <c r="LN288">
        <v>0</v>
      </c>
      <c r="LO288">
        <v>0</v>
      </c>
      <c r="LP288">
        <v>0</v>
      </c>
      <c r="LQ288">
        <v>0</v>
      </c>
      <c r="LR288">
        <v>0</v>
      </c>
      <c r="LS288">
        <v>0</v>
      </c>
      <c r="LT288">
        <v>0</v>
      </c>
      <c r="LU288">
        <v>0</v>
      </c>
      <c r="LV288">
        <v>-117</v>
      </c>
      <c r="LW288">
        <v>0</v>
      </c>
      <c r="LX288">
        <v>9</v>
      </c>
      <c r="LY288">
        <v>0</v>
      </c>
      <c r="LZ288">
        <v>590</v>
      </c>
      <c r="MA288">
        <v>1551</v>
      </c>
      <c r="MB288">
        <v>2615</v>
      </c>
      <c r="MC288">
        <v>513</v>
      </c>
      <c r="MD288">
        <v>0</v>
      </c>
      <c r="ME288">
        <v>0</v>
      </c>
      <c r="MF288">
        <v>4184</v>
      </c>
      <c r="MG288">
        <v>0</v>
      </c>
      <c r="MH288">
        <v>9345</v>
      </c>
      <c r="MI288">
        <v>0</v>
      </c>
      <c r="MJ288">
        <v>0</v>
      </c>
      <c r="MK288">
        <v>0</v>
      </c>
      <c r="ML288">
        <v>0</v>
      </c>
      <c r="MM288">
        <v>0</v>
      </c>
      <c r="MN288">
        <v>0</v>
      </c>
      <c r="MO288">
        <v>0</v>
      </c>
      <c r="MP288">
        <v>0</v>
      </c>
      <c r="MQ288">
        <v>0</v>
      </c>
      <c r="MR288">
        <v>0</v>
      </c>
      <c r="MS288">
        <v>0</v>
      </c>
      <c r="MT288">
        <v>0</v>
      </c>
      <c r="MU288">
        <v>0</v>
      </c>
      <c r="MV288">
        <v>0</v>
      </c>
      <c r="MW288">
        <v>0</v>
      </c>
      <c r="MX288">
        <v>0</v>
      </c>
      <c r="MY288">
        <v>0</v>
      </c>
      <c r="MZ288">
        <v>-72</v>
      </c>
      <c r="NA288">
        <v>-72</v>
      </c>
      <c r="NB288">
        <v>21</v>
      </c>
      <c r="NC288">
        <v>-51</v>
      </c>
      <c r="ND288">
        <v>0</v>
      </c>
      <c r="NE288">
        <v>0</v>
      </c>
      <c r="NF288">
        <v>0</v>
      </c>
      <c r="NG288">
        <v>0</v>
      </c>
      <c r="NH288">
        <v>0</v>
      </c>
      <c r="NI288">
        <v>0</v>
      </c>
      <c r="NJ288">
        <v>0</v>
      </c>
      <c r="NK288">
        <v>0</v>
      </c>
      <c r="NL288">
        <v>0</v>
      </c>
      <c r="NM288">
        <v>0</v>
      </c>
      <c r="NN288">
        <v>0</v>
      </c>
      <c r="NO288">
        <v>0</v>
      </c>
      <c r="NP288">
        <v>0</v>
      </c>
      <c r="NQ288">
        <v>0</v>
      </c>
      <c r="NR288">
        <v>0</v>
      </c>
      <c r="NS288">
        <v>0</v>
      </c>
      <c r="NT288">
        <v>0</v>
      </c>
      <c r="NU288">
        <v>0</v>
      </c>
      <c r="NV288">
        <v>0</v>
      </c>
      <c r="NW288">
        <v>0</v>
      </c>
      <c r="NX288">
        <v>0</v>
      </c>
      <c r="NY288">
        <v>0</v>
      </c>
      <c r="NZ288">
        <v>0</v>
      </c>
      <c r="OA288">
        <v>0</v>
      </c>
      <c r="OB288">
        <v>0</v>
      </c>
      <c r="OC288">
        <v>21</v>
      </c>
      <c r="OD288">
        <v>0</v>
      </c>
      <c r="OE288">
        <v>0</v>
      </c>
      <c r="OF288">
        <v>0</v>
      </c>
      <c r="OG288">
        <v>0</v>
      </c>
      <c r="OH288">
        <v>21</v>
      </c>
      <c r="OI288">
        <v>0</v>
      </c>
      <c r="OJ288">
        <v>0</v>
      </c>
      <c r="OK288">
        <v>0</v>
      </c>
      <c r="OL288">
        <v>0</v>
      </c>
      <c r="OM288">
        <v>0</v>
      </c>
      <c r="ON288">
        <v>0</v>
      </c>
    </row>
    <row r="289" spans="1:404" x14ac:dyDescent="0.25">
      <c r="A289" t="s">
        <v>937</v>
      </c>
      <c r="B289" t="s">
        <v>938</v>
      </c>
      <c r="C289" t="s">
        <v>936</v>
      </c>
      <c r="E289" t="s">
        <v>1940</v>
      </c>
      <c r="F289">
        <v>15047</v>
      </c>
      <c r="G289">
        <v>81206</v>
      </c>
      <c r="H289">
        <v>13426</v>
      </c>
      <c r="I289">
        <v>18929</v>
      </c>
      <c r="J289">
        <v>1149</v>
      </c>
      <c r="K289">
        <v>13310</v>
      </c>
      <c r="L289">
        <v>143067</v>
      </c>
      <c r="M289">
        <v>108</v>
      </c>
      <c r="N289">
        <v>-366</v>
      </c>
      <c r="O289">
        <v>2631</v>
      </c>
      <c r="P289">
        <v>300</v>
      </c>
      <c r="Q289">
        <v>18</v>
      </c>
      <c r="R289">
        <v>1401</v>
      </c>
      <c r="S289">
        <v>362</v>
      </c>
      <c r="T289">
        <v>187</v>
      </c>
      <c r="U289">
        <v>1335</v>
      </c>
      <c r="V289">
        <v>0</v>
      </c>
      <c r="W289">
        <v>0</v>
      </c>
      <c r="X289">
        <v>-532</v>
      </c>
      <c r="Y289">
        <v>314</v>
      </c>
      <c r="Z289">
        <v>-7940</v>
      </c>
      <c r="AA289">
        <v>0</v>
      </c>
      <c r="AB289">
        <v>7483</v>
      </c>
      <c r="AC289">
        <v>0</v>
      </c>
      <c r="AD289">
        <v>0</v>
      </c>
      <c r="AE289">
        <v>0</v>
      </c>
      <c r="AF289">
        <v>0</v>
      </c>
      <c r="AG289">
        <v>0</v>
      </c>
      <c r="AH289">
        <v>0</v>
      </c>
      <c r="AI289">
        <v>5301</v>
      </c>
      <c r="AJ289">
        <v>0</v>
      </c>
      <c r="AK289">
        <v>0</v>
      </c>
      <c r="AL289">
        <v>0</v>
      </c>
      <c r="AM289">
        <v>0</v>
      </c>
      <c r="AN289">
        <v>0</v>
      </c>
      <c r="AO289">
        <v>0</v>
      </c>
      <c r="AP289">
        <v>0</v>
      </c>
      <c r="AQ289">
        <v>6140</v>
      </c>
      <c r="AR289">
        <v>10019</v>
      </c>
      <c r="AS289">
        <v>0</v>
      </c>
      <c r="AT289">
        <v>0</v>
      </c>
      <c r="AU289">
        <v>0</v>
      </c>
      <c r="AV289">
        <v>1715</v>
      </c>
      <c r="AW289">
        <v>16178</v>
      </c>
      <c r="AX289">
        <v>0</v>
      </c>
      <c r="AY289">
        <v>5463</v>
      </c>
      <c r="AZ289">
        <v>183</v>
      </c>
      <c r="BA289">
        <v>8249</v>
      </c>
      <c r="BB289">
        <v>18</v>
      </c>
      <c r="BC289">
        <v>1821</v>
      </c>
      <c r="BD289">
        <v>33627</v>
      </c>
      <c r="BE289">
        <v>5424</v>
      </c>
      <c r="BF289">
        <v>16225</v>
      </c>
      <c r="BG289">
        <v>300</v>
      </c>
      <c r="BH289">
        <v>565</v>
      </c>
      <c r="BI289">
        <v>104</v>
      </c>
      <c r="BJ289">
        <v>2947</v>
      </c>
      <c r="BK289">
        <v>18772</v>
      </c>
      <c r="BL289">
        <v>4228</v>
      </c>
      <c r="BM289">
        <v>4583</v>
      </c>
      <c r="BN289">
        <v>1821</v>
      </c>
      <c r="BO289">
        <v>528</v>
      </c>
      <c r="BP289">
        <v>213</v>
      </c>
      <c r="BQ289">
        <v>213</v>
      </c>
      <c r="BR289">
        <v>384</v>
      </c>
      <c r="BS289">
        <v>841</v>
      </c>
      <c r="BT289">
        <v>7723</v>
      </c>
      <c r="BU289">
        <v>839</v>
      </c>
      <c r="BV289">
        <v>3042</v>
      </c>
      <c r="BW289">
        <v>68752</v>
      </c>
      <c r="BX289">
        <v>2034</v>
      </c>
      <c r="BY289">
        <v>279</v>
      </c>
      <c r="BZ289">
        <v>36</v>
      </c>
      <c r="CA289">
        <v>167</v>
      </c>
      <c r="CB289">
        <v>10</v>
      </c>
      <c r="CC289">
        <v>429</v>
      </c>
      <c r="CD289">
        <v>413</v>
      </c>
      <c r="CE289">
        <v>130</v>
      </c>
      <c r="CF289">
        <v>10</v>
      </c>
      <c r="CG289">
        <v>1395</v>
      </c>
      <c r="CH289">
        <v>238</v>
      </c>
      <c r="CI289">
        <v>797</v>
      </c>
      <c r="CJ289">
        <v>797</v>
      </c>
      <c r="CK289">
        <v>13</v>
      </c>
      <c r="CL289">
        <v>10</v>
      </c>
      <c r="CM289">
        <v>46</v>
      </c>
      <c r="CN289">
        <v>92</v>
      </c>
      <c r="CO289">
        <v>18</v>
      </c>
      <c r="CP289">
        <v>1019</v>
      </c>
      <c r="CQ289">
        <v>2689</v>
      </c>
      <c r="CR289">
        <v>14</v>
      </c>
      <c r="CS289">
        <v>163</v>
      </c>
      <c r="CT289">
        <v>361</v>
      </c>
      <c r="CU289">
        <v>589</v>
      </c>
      <c r="CV289">
        <v>11749</v>
      </c>
      <c r="CW289">
        <v>0</v>
      </c>
      <c r="CX289">
        <v>0</v>
      </c>
      <c r="CY289">
        <v>0</v>
      </c>
      <c r="CZ289">
        <v>0</v>
      </c>
      <c r="DA289">
        <v>0</v>
      </c>
      <c r="DB289">
        <v>0</v>
      </c>
      <c r="DC289">
        <v>234</v>
      </c>
      <c r="DD289">
        <v>0</v>
      </c>
      <c r="DE289">
        <v>73</v>
      </c>
      <c r="DF289">
        <v>394</v>
      </c>
      <c r="DG289">
        <v>712</v>
      </c>
      <c r="DH289">
        <v>692</v>
      </c>
      <c r="DI289">
        <v>113</v>
      </c>
      <c r="DJ289">
        <v>369</v>
      </c>
      <c r="DK289">
        <v>0</v>
      </c>
      <c r="DL289">
        <v>326</v>
      </c>
      <c r="DM289">
        <v>1074</v>
      </c>
      <c r="DN289">
        <v>1710</v>
      </c>
      <c r="DO289">
        <v>1717</v>
      </c>
      <c r="DP289">
        <v>6713</v>
      </c>
      <c r="DQ289">
        <v>476</v>
      </c>
      <c r="DR289">
        <v>0</v>
      </c>
      <c r="DS289">
        <v>0</v>
      </c>
      <c r="DT289">
        <v>1151</v>
      </c>
      <c r="DU289">
        <v>633</v>
      </c>
      <c r="DV289">
        <v>471</v>
      </c>
      <c r="DW289">
        <v>172</v>
      </c>
      <c r="DX289">
        <v>10317</v>
      </c>
      <c r="DY289">
        <v>0</v>
      </c>
      <c r="DZ289">
        <v>0</v>
      </c>
      <c r="EA289">
        <v>0</v>
      </c>
      <c r="EB289">
        <v>0</v>
      </c>
      <c r="EC289">
        <v>0</v>
      </c>
      <c r="ED289">
        <v>0</v>
      </c>
      <c r="EE289">
        <v>0</v>
      </c>
      <c r="EF289">
        <v>0</v>
      </c>
      <c r="EG289">
        <v>0</v>
      </c>
      <c r="EH289">
        <v>0</v>
      </c>
      <c r="EI289">
        <v>0</v>
      </c>
      <c r="EJ289">
        <v>0</v>
      </c>
      <c r="EK289">
        <v>0</v>
      </c>
      <c r="EL289">
        <v>0</v>
      </c>
      <c r="EM289">
        <v>0</v>
      </c>
      <c r="EN289">
        <v>0</v>
      </c>
      <c r="EO289">
        <v>0</v>
      </c>
      <c r="EP289">
        <v>0</v>
      </c>
      <c r="EQ289">
        <v>0</v>
      </c>
      <c r="ER289">
        <v>0</v>
      </c>
      <c r="ES289">
        <v>0</v>
      </c>
      <c r="ET289">
        <v>0</v>
      </c>
      <c r="EU289">
        <v>0</v>
      </c>
      <c r="EV289">
        <v>1236</v>
      </c>
      <c r="EW289">
        <v>0</v>
      </c>
      <c r="EX289">
        <v>0</v>
      </c>
      <c r="EY289">
        <v>0</v>
      </c>
      <c r="EZ289">
        <v>187</v>
      </c>
      <c r="FA289">
        <v>0</v>
      </c>
      <c r="FB289">
        <v>0</v>
      </c>
      <c r="FC289">
        <v>1528</v>
      </c>
      <c r="FD289">
        <v>4848</v>
      </c>
      <c r="FE289">
        <v>0</v>
      </c>
      <c r="FF289">
        <v>106</v>
      </c>
      <c r="FG289">
        <v>3972</v>
      </c>
      <c r="FH289">
        <v>11877</v>
      </c>
      <c r="FI289">
        <v>-487</v>
      </c>
      <c r="FJ289">
        <v>188</v>
      </c>
      <c r="FK289">
        <v>0</v>
      </c>
      <c r="FL289">
        <v>356</v>
      </c>
      <c r="FM289">
        <v>349</v>
      </c>
      <c r="FN289">
        <v>25</v>
      </c>
      <c r="FO289">
        <v>128</v>
      </c>
      <c r="FP289">
        <v>0</v>
      </c>
      <c r="FQ289">
        <v>0</v>
      </c>
      <c r="FR289">
        <v>3</v>
      </c>
      <c r="FS289">
        <v>91</v>
      </c>
      <c r="FT289">
        <v>11</v>
      </c>
      <c r="FU289">
        <v>139</v>
      </c>
      <c r="FV289">
        <v>0</v>
      </c>
      <c r="FW289">
        <v>652</v>
      </c>
      <c r="FX289">
        <v>864</v>
      </c>
      <c r="FY289">
        <v>236</v>
      </c>
      <c r="FZ289">
        <v>0</v>
      </c>
      <c r="GA289">
        <v>0</v>
      </c>
      <c r="GB289">
        <v>0</v>
      </c>
      <c r="GC289">
        <v>0</v>
      </c>
      <c r="GD289">
        <v>3512</v>
      </c>
      <c r="GE289">
        <v>656</v>
      </c>
      <c r="GF289">
        <v>0</v>
      </c>
      <c r="GG289">
        <v>-530</v>
      </c>
      <c r="GH289">
        <v>6242</v>
      </c>
      <c r="GI289">
        <v>0</v>
      </c>
      <c r="GJ289">
        <v>124</v>
      </c>
      <c r="GK289">
        <v>12559</v>
      </c>
      <c r="GL289">
        <v>231</v>
      </c>
      <c r="GM289">
        <v>472</v>
      </c>
      <c r="GN289">
        <v>1155</v>
      </c>
      <c r="GO289">
        <v>343</v>
      </c>
      <c r="GP289">
        <v>214</v>
      </c>
      <c r="GQ289">
        <v>542</v>
      </c>
      <c r="GR289">
        <v>0</v>
      </c>
      <c r="GS289">
        <v>338</v>
      </c>
      <c r="GT289">
        <v>1053</v>
      </c>
      <c r="GU289">
        <v>4348</v>
      </c>
      <c r="GV289">
        <v>28784</v>
      </c>
      <c r="GW289">
        <v>0</v>
      </c>
      <c r="GX289">
        <v>0</v>
      </c>
      <c r="GY289">
        <v>0</v>
      </c>
      <c r="GZ289">
        <v>0</v>
      </c>
      <c r="HA289">
        <v>0</v>
      </c>
      <c r="HB289">
        <v>492</v>
      </c>
      <c r="HC289">
        <v>120</v>
      </c>
      <c r="HD289">
        <v>67</v>
      </c>
      <c r="HE289">
        <v>852</v>
      </c>
      <c r="HF289">
        <v>30</v>
      </c>
      <c r="HG289">
        <v>-1937</v>
      </c>
      <c r="HH289">
        <v>0</v>
      </c>
      <c r="HI289">
        <v>8</v>
      </c>
      <c r="HJ289">
        <v>483</v>
      </c>
      <c r="HK289">
        <v>356</v>
      </c>
      <c r="HL289">
        <v>182</v>
      </c>
      <c r="HM289">
        <v>-292</v>
      </c>
      <c r="HN289">
        <v>766</v>
      </c>
      <c r="HO289">
        <v>1093</v>
      </c>
      <c r="HP289">
        <v>207</v>
      </c>
      <c r="HQ289">
        <v>0</v>
      </c>
      <c r="HR289">
        <v>3042</v>
      </c>
      <c r="HS289">
        <v>0</v>
      </c>
      <c r="HT289">
        <v>0</v>
      </c>
      <c r="HU289">
        <v>2</v>
      </c>
      <c r="HV289">
        <v>5471</v>
      </c>
      <c r="HW289">
        <v>1360</v>
      </c>
      <c r="HX289">
        <v>18008</v>
      </c>
      <c r="HY289">
        <v>0</v>
      </c>
      <c r="HZ289">
        <v>0</v>
      </c>
      <c r="IA289">
        <v>0</v>
      </c>
      <c r="IB289">
        <v>0</v>
      </c>
      <c r="IC289">
        <v>143067</v>
      </c>
      <c r="ID289">
        <v>5301</v>
      </c>
      <c r="IE289">
        <v>33627</v>
      </c>
      <c r="IF289">
        <v>68752</v>
      </c>
      <c r="IG289">
        <v>11749</v>
      </c>
      <c r="IH289">
        <v>10317</v>
      </c>
      <c r="II289">
        <v>11877</v>
      </c>
      <c r="IJ289">
        <v>12559</v>
      </c>
      <c r="IK289">
        <v>4348</v>
      </c>
      <c r="IL289">
        <v>0</v>
      </c>
      <c r="IM289">
        <v>0</v>
      </c>
      <c r="IN289">
        <v>5471</v>
      </c>
      <c r="IO289">
        <v>0</v>
      </c>
      <c r="IP289">
        <v>307068</v>
      </c>
      <c r="IQ289">
        <v>45879</v>
      </c>
      <c r="IR289">
        <v>2978</v>
      </c>
      <c r="IS289">
        <v>0</v>
      </c>
      <c r="IT289">
        <v>0</v>
      </c>
      <c r="IU289">
        <v>0</v>
      </c>
      <c r="IV289">
        <v>0</v>
      </c>
      <c r="IW289">
        <v>0</v>
      </c>
      <c r="IX289">
        <v>8019</v>
      </c>
      <c r="IY289">
        <v>302</v>
      </c>
      <c r="IZ289">
        <v>410</v>
      </c>
      <c r="JA289">
        <v>0</v>
      </c>
      <c r="JB289">
        <v>-31</v>
      </c>
      <c r="JC289">
        <v>0</v>
      </c>
      <c r="JD289">
        <v>0</v>
      </c>
      <c r="JE289">
        <v>0</v>
      </c>
      <c r="JF289">
        <v>0</v>
      </c>
      <c r="JG289">
        <v>364625</v>
      </c>
      <c r="JH289">
        <v>208</v>
      </c>
      <c r="JI289">
        <v>3014</v>
      </c>
      <c r="JJ289">
        <v>0</v>
      </c>
      <c r="JK289">
        <v>0</v>
      </c>
      <c r="JL289">
        <v>0</v>
      </c>
      <c r="JM289">
        <v>261</v>
      </c>
      <c r="JN289">
        <v>4623</v>
      </c>
      <c r="JO289">
        <v>0</v>
      </c>
      <c r="JP289">
        <v>3908</v>
      </c>
      <c r="JQ289">
        <v>0</v>
      </c>
      <c r="JR289">
        <v>376639</v>
      </c>
      <c r="JS289">
        <v>-1466</v>
      </c>
      <c r="JT289">
        <v>0</v>
      </c>
      <c r="JU289">
        <v>0</v>
      </c>
      <c r="JV289">
        <v>0</v>
      </c>
      <c r="JW289">
        <v>-48647</v>
      </c>
      <c r="JX289">
        <v>0</v>
      </c>
      <c r="JY289">
        <v>0</v>
      </c>
      <c r="JZ289">
        <v>0</v>
      </c>
      <c r="KA289">
        <v>0</v>
      </c>
      <c r="KB289">
        <v>0</v>
      </c>
      <c r="KC289">
        <v>326526</v>
      </c>
      <c r="KD289">
        <v>0</v>
      </c>
      <c r="KE289">
        <v>-169157</v>
      </c>
      <c r="KF289">
        <v>157369</v>
      </c>
      <c r="KG289">
        <v>0</v>
      </c>
      <c r="KH289">
        <v>-1040</v>
      </c>
      <c r="KI289">
        <v>3970</v>
      </c>
      <c r="KJ289">
        <v>0</v>
      </c>
      <c r="KK289">
        <v>7664</v>
      </c>
      <c r="KL289">
        <v>-384</v>
      </c>
      <c r="KM289">
        <v>0</v>
      </c>
      <c r="KN289">
        <v>0</v>
      </c>
      <c r="KO289">
        <v>-13356</v>
      </c>
      <c r="KP289">
        <v>277</v>
      </c>
      <c r="KQ289">
        <v>-6052</v>
      </c>
      <c r="KR289">
        <v>141136</v>
      </c>
      <c r="KS289">
        <v>9122</v>
      </c>
      <c r="KT289">
        <v>-11187</v>
      </c>
      <c r="KU289">
        <v>0</v>
      </c>
      <c r="KV289">
        <v>94975</v>
      </c>
      <c r="KW289">
        <v>12546</v>
      </c>
      <c r="KX289">
        <v>8082</v>
      </c>
      <c r="KY289">
        <v>-7217</v>
      </c>
      <c r="KZ289">
        <v>0</v>
      </c>
      <c r="LA289">
        <v>102639</v>
      </c>
      <c r="LB289">
        <v>12162</v>
      </c>
      <c r="LC289">
        <v>0</v>
      </c>
      <c r="LD289">
        <v>12272</v>
      </c>
      <c r="LE289">
        <v>0</v>
      </c>
      <c r="LF289">
        <v>-277</v>
      </c>
      <c r="LG289">
        <v>-8068</v>
      </c>
      <c r="LH289">
        <v>7159</v>
      </c>
      <c r="LI289">
        <v>10943</v>
      </c>
      <c r="LJ289">
        <v>4403</v>
      </c>
      <c r="LK289">
        <v>7804</v>
      </c>
      <c r="LL289">
        <v>12207</v>
      </c>
      <c r="LM289">
        <v>0</v>
      </c>
      <c r="LN289">
        <v>0</v>
      </c>
      <c r="LO289">
        <v>0</v>
      </c>
      <c r="LP289">
        <v>0</v>
      </c>
      <c r="LQ289">
        <v>0</v>
      </c>
      <c r="LR289">
        <v>0</v>
      </c>
      <c r="LS289">
        <v>0</v>
      </c>
      <c r="LT289">
        <v>0</v>
      </c>
      <c r="LU289">
        <v>143067</v>
      </c>
      <c r="LV289">
        <v>5301</v>
      </c>
      <c r="LW289">
        <v>33627</v>
      </c>
      <c r="LX289">
        <v>68752</v>
      </c>
      <c r="LY289">
        <v>11749</v>
      </c>
      <c r="LZ289">
        <v>10317</v>
      </c>
      <c r="MA289">
        <v>11877</v>
      </c>
      <c r="MB289">
        <v>12559</v>
      </c>
      <c r="MC289">
        <v>4348</v>
      </c>
      <c r="MD289">
        <v>0</v>
      </c>
      <c r="ME289">
        <v>0</v>
      </c>
      <c r="MF289">
        <v>5471</v>
      </c>
      <c r="MG289">
        <v>0</v>
      </c>
      <c r="MH289">
        <v>307068</v>
      </c>
      <c r="MI289">
        <v>0</v>
      </c>
      <c r="MJ289">
        <v>0</v>
      </c>
      <c r="MK289">
        <v>0</v>
      </c>
      <c r="ML289">
        <v>0</v>
      </c>
      <c r="MM289">
        <v>0</v>
      </c>
      <c r="MN289">
        <v>0</v>
      </c>
      <c r="MO289">
        <v>0</v>
      </c>
      <c r="MP289">
        <v>0</v>
      </c>
      <c r="MQ289">
        <v>0</v>
      </c>
      <c r="MR289">
        <v>0</v>
      </c>
      <c r="MS289">
        <v>0</v>
      </c>
      <c r="MT289">
        <v>0</v>
      </c>
      <c r="MU289">
        <v>0</v>
      </c>
      <c r="MV289">
        <v>0</v>
      </c>
      <c r="MW289">
        <v>0</v>
      </c>
      <c r="MX289">
        <v>0</v>
      </c>
      <c r="MY289">
        <v>0</v>
      </c>
      <c r="MZ289">
        <v>0</v>
      </c>
      <c r="NA289">
        <v>0</v>
      </c>
      <c r="NB289">
        <v>0</v>
      </c>
      <c r="NC289">
        <v>0</v>
      </c>
      <c r="ND289">
        <v>0</v>
      </c>
      <c r="NE289">
        <v>0</v>
      </c>
      <c r="NF289">
        <v>0</v>
      </c>
      <c r="NG289">
        <v>0</v>
      </c>
      <c r="NH289">
        <v>0</v>
      </c>
      <c r="NI289">
        <v>0</v>
      </c>
      <c r="NJ289">
        <v>0</v>
      </c>
      <c r="NK289">
        <v>0</v>
      </c>
      <c r="NL289">
        <v>0</v>
      </c>
      <c r="NM289">
        <v>0</v>
      </c>
      <c r="NN289">
        <v>0</v>
      </c>
      <c r="NO289">
        <v>0</v>
      </c>
      <c r="NP289">
        <v>0</v>
      </c>
      <c r="NQ289">
        <v>0</v>
      </c>
      <c r="NR289">
        <v>0</v>
      </c>
      <c r="NS289">
        <v>0</v>
      </c>
      <c r="NT289">
        <v>0</v>
      </c>
      <c r="NU289">
        <v>-31</v>
      </c>
      <c r="NV289">
        <v>0</v>
      </c>
      <c r="NW289">
        <v>0</v>
      </c>
      <c r="NX289">
        <v>0</v>
      </c>
      <c r="NY289">
        <v>0</v>
      </c>
      <c r="NZ289">
        <v>-31</v>
      </c>
      <c r="OA289">
        <v>0</v>
      </c>
      <c r="OB289">
        <v>-31</v>
      </c>
      <c r="OC289">
        <v>0</v>
      </c>
      <c r="OD289">
        <v>0</v>
      </c>
      <c r="OE289">
        <v>0</v>
      </c>
      <c r="OF289">
        <v>0</v>
      </c>
      <c r="OG289">
        <v>0</v>
      </c>
      <c r="OH289">
        <v>0</v>
      </c>
      <c r="OI289">
        <v>0</v>
      </c>
      <c r="OJ289">
        <v>0</v>
      </c>
      <c r="OK289">
        <v>0</v>
      </c>
      <c r="OL289">
        <v>0</v>
      </c>
      <c r="OM289">
        <v>0</v>
      </c>
      <c r="ON289">
        <v>0</v>
      </c>
    </row>
    <row r="290" spans="1:404" x14ac:dyDescent="0.25">
      <c r="A290" t="s">
        <v>940</v>
      </c>
      <c r="B290" t="s">
        <v>941</v>
      </c>
      <c r="C290" t="s">
        <v>939</v>
      </c>
      <c r="E290" t="s">
        <v>61</v>
      </c>
      <c r="F290">
        <v>0</v>
      </c>
      <c r="G290">
        <v>0</v>
      </c>
      <c r="H290">
        <v>0</v>
      </c>
      <c r="I290">
        <v>0</v>
      </c>
      <c r="J290">
        <v>0</v>
      </c>
      <c r="K290">
        <v>0</v>
      </c>
      <c r="L290">
        <v>0</v>
      </c>
      <c r="M290">
        <v>0</v>
      </c>
      <c r="N290">
        <v>0</v>
      </c>
      <c r="O290">
        <v>0</v>
      </c>
      <c r="P290">
        <v>0</v>
      </c>
      <c r="Q290">
        <v>0</v>
      </c>
      <c r="R290">
        <v>0</v>
      </c>
      <c r="S290">
        <v>0</v>
      </c>
      <c r="T290">
        <v>0</v>
      </c>
      <c r="U290">
        <v>147</v>
      </c>
      <c r="V290">
        <v>0</v>
      </c>
      <c r="W290">
        <v>0</v>
      </c>
      <c r="X290">
        <v>0</v>
      </c>
      <c r="Y290">
        <v>0</v>
      </c>
      <c r="Z290">
        <v>0</v>
      </c>
      <c r="AA290">
        <v>-306</v>
      </c>
      <c r="AB290">
        <v>0</v>
      </c>
      <c r="AC290">
        <v>0</v>
      </c>
      <c r="AD290">
        <v>0</v>
      </c>
      <c r="AE290">
        <v>0</v>
      </c>
      <c r="AF290">
        <v>0</v>
      </c>
      <c r="AG290">
        <v>0</v>
      </c>
      <c r="AH290">
        <v>0</v>
      </c>
      <c r="AI290">
        <v>-159</v>
      </c>
      <c r="AJ290">
        <v>0</v>
      </c>
      <c r="AK290">
        <v>0</v>
      </c>
      <c r="AL290">
        <v>0</v>
      </c>
      <c r="AM290">
        <v>0</v>
      </c>
      <c r="AN290">
        <v>0</v>
      </c>
      <c r="AO290">
        <v>0</v>
      </c>
      <c r="AP290">
        <v>0</v>
      </c>
      <c r="AQ290">
        <v>0</v>
      </c>
      <c r="AR290">
        <v>0</v>
      </c>
      <c r="AS290">
        <v>0</v>
      </c>
      <c r="AT290">
        <v>0</v>
      </c>
      <c r="AU290">
        <v>0</v>
      </c>
      <c r="AV290">
        <v>0</v>
      </c>
      <c r="AW290">
        <v>0</v>
      </c>
      <c r="AX290">
        <v>0</v>
      </c>
      <c r="AY290">
        <v>0</v>
      </c>
      <c r="AZ290">
        <v>0</v>
      </c>
      <c r="BA290">
        <v>0</v>
      </c>
      <c r="BB290">
        <v>0</v>
      </c>
      <c r="BC290">
        <v>0</v>
      </c>
      <c r="BD290">
        <v>0</v>
      </c>
      <c r="BE290">
        <v>0</v>
      </c>
      <c r="BF290">
        <v>0</v>
      </c>
      <c r="BG290">
        <v>0</v>
      </c>
      <c r="BH290">
        <v>134</v>
      </c>
      <c r="BI290">
        <v>0</v>
      </c>
      <c r="BJ290">
        <v>0</v>
      </c>
      <c r="BK290">
        <v>0</v>
      </c>
      <c r="BL290">
        <v>0</v>
      </c>
      <c r="BM290">
        <v>0</v>
      </c>
      <c r="BN290">
        <v>0</v>
      </c>
      <c r="BO290">
        <v>0</v>
      </c>
      <c r="BP290">
        <v>0</v>
      </c>
      <c r="BQ290">
        <v>0</v>
      </c>
      <c r="BR290">
        <v>0</v>
      </c>
      <c r="BS290">
        <v>0</v>
      </c>
      <c r="BT290">
        <v>0</v>
      </c>
      <c r="BU290">
        <v>0</v>
      </c>
      <c r="BV290">
        <v>0</v>
      </c>
      <c r="BW290">
        <v>134</v>
      </c>
      <c r="BX290">
        <v>0</v>
      </c>
      <c r="BY290">
        <v>0</v>
      </c>
      <c r="BZ290">
        <v>0</v>
      </c>
      <c r="CA290">
        <v>0</v>
      </c>
      <c r="CB290">
        <v>0</v>
      </c>
      <c r="CC290">
        <v>0</v>
      </c>
      <c r="CD290">
        <v>0</v>
      </c>
      <c r="CE290">
        <v>0</v>
      </c>
      <c r="CF290">
        <v>0</v>
      </c>
      <c r="CG290">
        <v>0</v>
      </c>
      <c r="CH290">
        <v>0</v>
      </c>
      <c r="CI290">
        <v>0</v>
      </c>
      <c r="CJ290">
        <v>0</v>
      </c>
      <c r="CK290">
        <v>0</v>
      </c>
      <c r="CL290">
        <v>0</v>
      </c>
      <c r="CM290">
        <v>0</v>
      </c>
      <c r="CN290">
        <v>0</v>
      </c>
      <c r="CO290">
        <v>0</v>
      </c>
      <c r="CP290">
        <v>0</v>
      </c>
      <c r="CQ290">
        <v>0</v>
      </c>
      <c r="CR290">
        <v>0</v>
      </c>
      <c r="CS290">
        <v>0</v>
      </c>
      <c r="CT290">
        <v>0</v>
      </c>
      <c r="CU290">
        <v>0</v>
      </c>
      <c r="CV290">
        <v>0</v>
      </c>
      <c r="CW290">
        <v>0</v>
      </c>
      <c r="CX290">
        <v>0</v>
      </c>
      <c r="CY290">
        <v>0</v>
      </c>
      <c r="CZ290">
        <v>0</v>
      </c>
      <c r="DA290">
        <v>0</v>
      </c>
      <c r="DB290">
        <v>0</v>
      </c>
      <c r="DC290">
        <v>84</v>
      </c>
      <c r="DD290">
        <v>0</v>
      </c>
      <c r="DE290">
        <v>83</v>
      </c>
      <c r="DF290">
        <v>0</v>
      </c>
      <c r="DG290">
        <v>0</v>
      </c>
      <c r="DH290">
        <v>0</v>
      </c>
      <c r="DI290">
        <v>0</v>
      </c>
      <c r="DJ290">
        <v>7</v>
      </c>
      <c r="DK290">
        <v>25</v>
      </c>
      <c r="DL290">
        <v>0</v>
      </c>
      <c r="DM290">
        <v>0</v>
      </c>
      <c r="DN290">
        <v>412</v>
      </c>
      <c r="DO290">
        <v>0</v>
      </c>
      <c r="DP290">
        <v>444</v>
      </c>
      <c r="DQ290">
        <v>30</v>
      </c>
      <c r="DR290">
        <v>3</v>
      </c>
      <c r="DS290">
        <v>-46</v>
      </c>
      <c r="DT290">
        <v>270</v>
      </c>
      <c r="DU290">
        <v>0</v>
      </c>
      <c r="DV290">
        <v>0</v>
      </c>
      <c r="DW290">
        <v>0</v>
      </c>
      <c r="DX290">
        <v>868</v>
      </c>
      <c r="DY290">
        <v>6036</v>
      </c>
      <c r="DZ290">
        <v>125</v>
      </c>
      <c r="EA290">
        <v>255</v>
      </c>
      <c r="EB290">
        <v>0</v>
      </c>
      <c r="EC290">
        <v>62</v>
      </c>
      <c r="ED290">
        <v>5</v>
      </c>
      <c r="EE290">
        <v>0</v>
      </c>
      <c r="EF290">
        <v>0</v>
      </c>
      <c r="EG290">
        <v>0</v>
      </c>
      <c r="EH290">
        <v>2055</v>
      </c>
      <c r="EI290">
        <v>913</v>
      </c>
      <c r="EJ290">
        <v>571</v>
      </c>
      <c r="EK290">
        <v>0</v>
      </c>
      <c r="EL290">
        <v>3191</v>
      </c>
      <c r="EM290">
        <v>0</v>
      </c>
      <c r="EN290">
        <v>0</v>
      </c>
      <c r="EO290">
        <v>0</v>
      </c>
      <c r="EP290">
        <v>0</v>
      </c>
      <c r="EQ290">
        <v>0</v>
      </c>
      <c r="ER290">
        <v>58</v>
      </c>
      <c r="ES290">
        <v>1256</v>
      </c>
      <c r="ET290">
        <v>951</v>
      </c>
      <c r="EU290">
        <v>0</v>
      </c>
      <c r="EV290">
        <v>0</v>
      </c>
      <c r="EW290">
        <v>0</v>
      </c>
      <c r="EX290">
        <v>0</v>
      </c>
      <c r="EY290">
        <v>0</v>
      </c>
      <c r="EZ290">
        <v>0</v>
      </c>
      <c r="FA290">
        <v>0</v>
      </c>
      <c r="FB290">
        <v>475</v>
      </c>
      <c r="FC290">
        <v>0</v>
      </c>
      <c r="FD290">
        <v>442</v>
      </c>
      <c r="FE290">
        <v>0</v>
      </c>
      <c r="FF290">
        <v>28</v>
      </c>
      <c r="FG290">
        <v>0</v>
      </c>
      <c r="FH290">
        <v>945</v>
      </c>
      <c r="FI290">
        <v>49</v>
      </c>
      <c r="FJ290">
        <v>0</v>
      </c>
      <c r="FK290">
        <v>83</v>
      </c>
      <c r="FL290">
        <v>200</v>
      </c>
      <c r="FM290">
        <v>120</v>
      </c>
      <c r="FN290">
        <v>0</v>
      </c>
      <c r="FO290">
        <v>0</v>
      </c>
      <c r="FP290">
        <v>0</v>
      </c>
      <c r="FQ290">
        <v>0</v>
      </c>
      <c r="FR290">
        <v>56</v>
      </c>
      <c r="FS290">
        <v>80</v>
      </c>
      <c r="FT290">
        <v>59</v>
      </c>
      <c r="FU290">
        <v>-89</v>
      </c>
      <c r="FV290">
        <v>0</v>
      </c>
      <c r="FW290">
        <v>35</v>
      </c>
      <c r="FX290">
        <v>0</v>
      </c>
      <c r="FY290">
        <v>0</v>
      </c>
      <c r="FZ290">
        <v>0</v>
      </c>
      <c r="GA290">
        <v>0</v>
      </c>
      <c r="GB290">
        <v>0</v>
      </c>
      <c r="GC290">
        <v>0</v>
      </c>
      <c r="GD290">
        <v>482</v>
      </c>
      <c r="GE290">
        <v>756</v>
      </c>
      <c r="GF290">
        <v>0</v>
      </c>
      <c r="GG290">
        <v>0</v>
      </c>
      <c r="GH290">
        <v>370</v>
      </c>
      <c r="GI290">
        <v>0</v>
      </c>
      <c r="GJ290">
        <v>0</v>
      </c>
      <c r="GK290">
        <v>2201</v>
      </c>
      <c r="GL290">
        <v>55</v>
      </c>
      <c r="GM290">
        <v>181</v>
      </c>
      <c r="GN290">
        <v>39</v>
      </c>
      <c r="GO290">
        <v>591</v>
      </c>
      <c r="GP290">
        <v>0</v>
      </c>
      <c r="GQ290">
        <v>11075</v>
      </c>
      <c r="GR290">
        <v>0</v>
      </c>
      <c r="GS290">
        <v>0</v>
      </c>
      <c r="GT290">
        <v>0</v>
      </c>
      <c r="GU290">
        <v>11941</v>
      </c>
      <c r="GV290">
        <v>15087</v>
      </c>
      <c r="GW290">
        <v>0</v>
      </c>
      <c r="GX290">
        <v>0</v>
      </c>
      <c r="GY290">
        <v>0</v>
      </c>
      <c r="GZ290">
        <v>0</v>
      </c>
      <c r="HA290">
        <v>0</v>
      </c>
      <c r="HB290">
        <v>1113</v>
      </c>
      <c r="HC290">
        <v>608</v>
      </c>
      <c r="HD290">
        <v>0</v>
      </c>
      <c r="HE290">
        <v>0</v>
      </c>
      <c r="HF290">
        <v>0</v>
      </c>
      <c r="HG290">
        <v>378</v>
      </c>
      <c r="HH290">
        <v>0</v>
      </c>
      <c r="HI290">
        <v>0</v>
      </c>
      <c r="HJ290">
        <v>163</v>
      </c>
      <c r="HK290">
        <v>-13</v>
      </c>
      <c r="HL290">
        <v>22</v>
      </c>
      <c r="HM290">
        <v>48</v>
      </c>
      <c r="HN290">
        <v>0</v>
      </c>
      <c r="HO290">
        <v>0</v>
      </c>
      <c r="HP290">
        <v>0</v>
      </c>
      <c r="HQ290">
        <v>0</v>
      </c>
      <c r="HR290">
        <v>0</v>
      </c>
      <c r="HS290">
        <v>0</v>
      </c>
      <c r="HT290">
        <v>0</v>
      </c>
      <c r="HU290">
        <v>-3294</v>
      </c>
      <c r="HV290">
        <v>-975</v>
      </c>
      <c r="HW290">
        <v>12189</v>
      </c>
      <c r="HX290">
        <v>0</v>
      </c>
      <c r="HY290">
        <v>0</v>
      </c>
      <c r="HZ290">
        <v>0</v>
      </c>
      <c r="IA290">
        <v>0</v>
      </c>
      <c r="IB290">
        <v>45</v>
      </c>
      <c r="IC290">
        <v>0</v>
      </c>
      <c r="ID290">
        <v>-159</v>
      </c>
      <c r="IE290">
        <v>0</v>
      </c>
      <c r="IF290">
        <v>134</v>
      </c>
      <c r="IG290">
        <v>0</v>
      </c>
      <c r="IH290">
        <v>868</v>
      </c>
      <c r="II290">
        <v>945</v>
      </c>
      <c r="IJ290">
        <v>2201</v>
      </c>
      <c r="IK290">
        <v>11941</v>
      </c>
      <c r="IL290">
        <v>0</v>
      </c>
      <c r="IM290">
        <v>0</v>
      </c>
      <c r="IN290">
        <v>-975</v>
      </c>
      <c r="IO290">
        <v>45</v>
      </c>
      <c r="IP290">
        <v>15000</v>
      </c>
      <c r="IQ290">
        <v>3091</v>
      </c>
      <c r="IR290">
        <v>42</v>
      </c>
      <c r="IS290">
        <v>1962</v>
      </c>
      <c r="IT290">
        <v>0</v>
      </c>
      <c r="IU290">
        <v>0</v>
      </c>
      <c r="IV290">
        <v>683</v>
      </c>
      <c r="IW290">
        <v>0</v>
      </c>
      <c r="IX290">
        <v>0</v>
      </c>
      <c r="IY290">
        <v>0</v>
      </c>
      <c r="IZ290">
        <v>18</v>
      </c>
      <c r="JA290">
        <v>21</v>
      </c>
      <c r="JB290">
        <v>0</v>
      </c>
      <c r="JC290">
        <v>0</v>
      </c>
      <c r="JD290">
        <v>0</v>
      </c>
      <c r="JE290">
        <v>0</v>
      </c>
      <c r="JF290">
        <v>1408</v>
      </c>
      <c r="JG290">
        <v>22225</v>
      </c>
      <c r="JH290">
        <v>0</v>
      </c>
      <c r="JI290">
        <v>0</v>
      </c>
      <c r="JJ290">
        <v>0</v>
      </c>
      <c r="JK290">
        <v>0</v>
      </c>
      <c r="JL290">
        <v>0</v>
      </c>
      <c r="JM290">
        <v>-19</v>
      </c>
      <c r="JN290">
        <v>158</v>
      </c>
      <c r="JO290">
        <v>0</v>
      </c>
      <c r="JP290">
        <v>59</v>
      </c>
      <c r="JQ290">
        <v>-31</v>
      </c>
      <c r="JR290">
        <v>22392</v>
      </c>
      <c r="JS290">
        <v>-57</v>
      </c>
      <c r="JT290">
        <v>0</v>
      </c>
      <c r="JU290">
        <v>0</v>
      </c>
      <c r="JV290">
        <v>0</v>
      </c>
      <c r="JW290">
        <v>-4876</v>
      </c>
      <c r="JX290">
        <v>0</v>
      </c>
      <c r="JY290">
        <v>0</v>
      </c>
      <c r="JZ290">
        <v>0</v>
      </c>
      <c r="KA290">
        <v>0</v>
      </c>
      <c r="KB290">
        <v>0</v>
      </c>
      <c r="KC290">
        <v>17459</v>
      </c>
      <c r="KD290">
        <v>0</v>
      </c>
      <c r="KE290">
        <v>-13539</v>
      </c>
      <c r="KF290">
        <v>3920</v>
      </c>
      <c r="KG290">
        <v>0</v>
      </c>
      <c r="KH290">
        <v>0</v>
      </c>
      <c r="KI290">
        <v>0</v>
      </c>
      <c r="KJ290">
        <v>0</v>
      </c>
      <c r="KK290">
        <v>-1432</v>
      </c>
      <c r="KL290">
        <v>6701</v>
      </c>
      <c r="KM290">
        <v>0</v>
      </c>
      <c r="KN290">
        <v>0</v>
      </c>
      <c r="KO290">
        <v>-1757</v>
      </c>
      <c r="KP290">
        <v>124</v>
      </c>
      <c r="KQ290">
        <v>0</v>
      </c>
      <c r="KR290">
        <v>5116</v>
      </c>
      <c r="KS290">
        <v>0</v>
      </c>
      <c r="KT290">
        <v>0</v>
      </c>
      <c r="KU290">
        <v>0</v>
      </c>
      <c r="KV290">
        <v>5123</v>
      </c>
      <c r="KW290">
        <v>12642</v>
      </c>
      <c r="KX290">
        <v>0</v>
      </c>
      <c r="KY290">
        <v>0</v>
      </c>
      <c r="KZ290">
        <v>0</v>
      </c>
      <c r="LA290">
        <v>3691</v>
      </c>
      <c r="LB290">
        <v>19343</v>
      </c>
      <c r="LC290">
        <v>0</v>
      </c>
      <c r="LD290">
        <v>0</v>
      </c>
      <c r="LE290">
        <v>0</v>
      </c>
      <c r="LF290">
        <v>0</v>
      </c>
      <c r="LG290">
        <v>0</v>
      </c>
      <c r="LH290">
        <v>0</v>
      </c>
      <c r="LI290">
        <v>0</v>
      </c>
      <c r="LJ290">
        <v>1165</v>
      </c>
      <c r="LK290">
        <v>890</v>
      </c>
      <c r="LL290">
        <v>2055</v>
      </c>
      <c r="LM290">
        <v>0</v>
      </c>
      <c r="LN290">
        <v>0</v>
      </c>
      <c r="LO290">
        <v>0</v>
      </c>
      <c r="LP290">
        <v>6483</v>
      </c>
      <c r="LQ290">
        <v>6788</v>
      </c>
      <c r="LR290">
        <v>-305</v>
      </c>
      <c r="LS290">
        <v>1256</v>
      </c>
      <c r="LT290">
        <v>951</v>
      </c>
      <c r="LU290">
        <v>0</v>
      </c>
      <c r="LV290">
        <v>-159</v>
      </c>
      <c r="LW290">
        <v>0</v>
      </c>
      <c r="LX290">
        <v>134</v>
      </c>
      <c r="LY290">
        <v>0</v>
      </c>
      <c r="LZ290">
        <v>868</v>
      </c>
      <c r="MA290">
        <v>945</v>
      </c>
      <c r="MB290">
        <v>2201</v>
      </c>
      <c r="MC290">
        <v>11941</v>
      </c>
      <c r="MD290">
        <v>0</v>
      </c>
      <c r="ME290">
        <v>0</v>
      </c>
      <c r="MF290">
        <v>-975</v>
      </c>
      <c r="MG290">
        <v>45</v>
      </c>
      <c r="MH290">
        <v>15000</v>
      </c>
      <c r="MI290">
        <v>0</v>
      </c>
      <c r="MJ290">
        <v>0</v>
      </c>
      <c r="MK290">
        <v>0</v>
      </c>
      <c r="ML290">
        <v>0</v>
      </c>
      <c r="MM290">
        <v>0</v>
      </c>
      <c r="MN290">
        <v>0</v>
      </c>
      <c r="MO290">
        <v>0</v>
      </c>
      <c r="MP290">
        <v>0</v>
      </c>
      <c r="MQ290">
        <v>0</v>
      </c>
      <c r="MR290">
        <v>0</v>
      </c>
      <c r="MS290">
        <v>0</v>
      </c>
      <c r="MT290">
        <v>0</v>
      </c>
      <c r="MU290">
        <v>0</v>
      </c>
      <c r="MV290">
        <v>0</v>
      </c>
      <c r="MW290">
        <v>0</v>
      </c>
      <c r="MX290">
        <v>21</v>
      </c>
      <c r="MY290">
        <v>0</v>
      </c>
      <c r="MZ290">
        <v>0</v>
      </c>
      <c r="NA290">
        <v>21</v>
      </c>
      <c r="NB290">
        <v>0</v>
      </c>
      <c r="NC290">
        <v>21</v>
      </c>
      <c r="ND290">
        <v>0</v>
      </c>
      <c r="NE290">
        <v>0</v>
      </c>
      <c r="NF290">
        <v>0</v>
      </c>
      <c r="NG290">
        <v>0</v>
      </c>
      <c r="NH290">
        <v>0</v>
      </c>
      <c r="NI290">
        <v>0</v>
      </c>
      <c r="NJ290">
        <v>0</v>
      </c>
      <c r="NK290">
        <v>0</v>
      </c>
      <c r="NL290">
        <v>0</v>
      </c>
      <c r="NM290">
        <v>0</v>
      </c>
      <c r="NN290">
        <v>0</v>
      </c>
      <c r="NO290">
        <v>0</v>
      </c>
      <c r="NP290">
        <v>0</v>
      </c>
      <c r="NQ290">
        <v>0</v>
      </c>
      <c r="NR290">
        <v>0</v>
      </c>
      <c r="NS290">
        <v>0</v>
      </c>
      <c r="NT290">
        <v>0</v>
      </c>
      <c r="NU290">
        <v>0</v>
      </c>
      <c r="NV290">
        <v>0</v>
      </c>
      <c r="NW290">
        <v>0</v>
      </c>
      <c r="NX290">
        <v>0</v>
      </c>
      <c r="NY290">
        <v>0</v>
      </c>
      <c r="NZ290">
        <v>0</v>
      </c>
      <c r="OA290">
        <v>0</v>
      </c>
      <c r="OB290">
        <v>0</v>
      </c>
      <c r="OC290">
        <v>0</v>
      </c>
      <c r="OD290">
        <v>0</v>
      </c>
      <c r="OE290">
        <v>0</v>
      </c>
      <c r="OF290">
        <v>0</v>
      </c>
      <c r="OG290">
        <v>0</v>
      </c>
      <c r="OH290">
        <v>0</v>
      </c>
      <c r="OI290">
        <v>0</v>
      </c>
      <c r="OJ290">
        <v>0</v>
      </c>
      <c r="OK290">
        <v>0</v>
      </c>
      <c r="OL290">
        <v>0</v>
      </c>
      <c r="OM290">
        <v>0</v>
      </c>
      <c r="ON290">
        <v>0</v>
      </c>
    </row>
    <row r="291" spans="1:404" x14ac:dyDescent="0.25">
      <c r="A291" t="s">
        <v>943</v>
      </c>
      <c r="B291" t="s">
        <v>944</v>
      </c>
      <c r="C291" t="s">
        <v>942</v>
      </c>
      <c r="E291" t="s">
        <v>97</v>
      </c>
      <c r="F291">
        <v>13840</v>
      </c>
      <c r="G291">
        <v>111670</v>
      </c>
      <c r="H291">
        <v>47938</v>
      </c>
      <c r="I291">
        <v>28128</v>
      </c>
      <c r="J291">
        <v>4024</v>
      </c>
      <c r="K291">
        <v>8953</v>
      </c>
      <c r="L291">
        <v>214553</v>
      </c>
      <c r="M291">
        <v>478</v>
      </c>
      <c r="N291">
        <v>85</v>
      </c>
      <c r="O291">
        <v>123</v>
      </c>
      <c r="P291">
        <v>209</v>
      </c>
      <c r="Q291">
        <v>0</v>
      </c>
      <c r="R291">
        <v>531</v>
      </c>
      <c r="S291">
        <v>1738</v>
      </c>
      <c r="T291">
        <v>476</v>
      </c>
      <c r="U291">
        <v>5041</v>
      </c>
      <c r="V291">
        <v>0</v>
      </c>
      <c r="W291">
        <v>0</v>
      </c>
      <c r="X291">
        <v>208</v>
      </c>
      <c r="Y291">
        <v>90</v>
      </c>
      <c r="Z291">
        <v>-240</v>
      </c>
      <c r="AA291">
        <v>139</v>
      </c>
      <c r="AB291">
        <v>0</v>
      </c>
      <c r="AC291">
        <v>0</v>
      </c>
      <c r="AD291">
        <v>0</v>
      </c>
      <c r="AE291">
        <v>0</v>
      </c>
      <c r="AF291">
        <v>0</v>
      </c>
      <c r="AG291">
        <v>0</v>
      </c>
      <c r="AH291">
        <v>0</v>
      </c>
      <c r="AI291">
        <v>8878</v>
      </c>
      <c r="AJ291">
        <v>0</v>
      </c>
      <c r="AK291">
        <v>0</v>
      </c>
      <c r="AL291">
        <v>0</v>
      </c>
      <c r="AM291">
        <v>0</v>
      </c>
      <c r="AN291">
        <v>0</v>
      </c>
      <c r="AO291">
        <v>0</v>
      </c>
      <c r="AP291">
        <v>0</v>
      </c>
      <c r="AQ291">
        <v>852</v>
      </c>
      <c r="AR291">
        <v>36</v>
      </c>
      <c r="AS291">
        <v>0</v>
      </c>
      <c r="AT291">
        <v>0</v>
      </c>
      <c r="AU291">
        <v>0</v>
      </c>
      <c r="AV291">
        <v>3272</v>
      </c>
      <c r="AW291">
        <v>26994</v>
      </c>
      <c r="AX291">
        <v>49</v>
      </c>
      <c r="AY291">
        <v>6750</v>
      </c>
      <c r="AZ291">
        <v>1212</v>
      </c>
      <c r="BA291">
        <v>12469</v>
      </c>
      <c r="BB291">
        <v>683</v>
      </c>
      <c r="BC291">
        <v>577</v>
      </c>
      <c r="BD291">
        <v>52006</v>
      </c>
      <c r="BE291">
        <v>4559</v>
      </c>
      <c r="BF291">
        <v>3449</v>
      </c>
      <c r="BG291">
        <v>223</v>
      </c>
      <c r="BH291">
        <v>189</v>
      </c>
      <c r="BI291">
        <v>1217</v>
      </c>
      <c r="BJ291">
        <v>7238</v>
      </c>
      <c r="BK291">
        <v>21525</v>
      </c>
      <c r="BL291">
        <v>3182</v>
      </c>
      <c r="BM291">
        <v>5358</v>
      </c>
      <c r="BN291">
        <v>1363</v>
      </c>
      <c r="BO291">
        <v>99</v>
      </c>
      <c r="BP291">
        <v>12</v>
      </c>
      <c r="BQ291">
        <v>804</v>
      </c>
      <c r="BR291">
        <v>21</v>
      </c>
      <c r="BS291">
        <v>-37</v>
      </c>
      <c r="BT291">
        <v>-4809</v>
      </c>
      <c r="BU291">
        <v>440</v>
      </c>
      <c r="BV291">
        <v>14547</v>
      </c>
      <c r="BW291">
        <v>62422</v>
      </c>
      <c r="BX291">
        <v>650</v>
      </c>
      <c r="BY291">
        <v>631</v>
      </c>
      <c r="BZ291">
        <v>417</v>
      </c>
      <c r="CA291">
        <v>171</v>
      </c>
      <c r="CB291">
        <v>292</v>
      </c>
      <c r="CC291">
        <v>200</v>
      </c>
      <c r="CD291">
        <v>162</v>
      </c>
      <c r="CE291">
        <v>284</v>
      </c>
      <c r="CF291">
        <v>169</v>
      </c>
      <c r="CG291">
        <v>862</v>
      </c>
      <c r="CH291">
        <v>688</v>
      </c>
      <c r="CI291">
        <v>1628</v>
      </c>
      <c r="CJ291">
        <v>956</v>
      </c>
      <c r="CK291">
        <v>145</v>
      </c>
      <c r="CL291">
        <v>145</v>
      </c>
      <c r="CM291">
        <v>300</v>
      </c>
      <c r="CN291">
        <v>90</v>
      </c>
      <c r="CO291">
        <v>6</v>
      </c>
      <c r="CP291">
        <v>1911</v>
      </c>
      <c r="CQ291">
        <v>4311</v>
      </c>
      <c r="CR291">
        <v>570</v>
      </c>
      <c r="CS291">
        <v>0</v>
      </c>
      <c r="CT291">
        <v>304</v>
      </c>
      <c r="CU291">
        <v>4269</v>
      </c>
      <c r="CV291">
        <v>24897</v>
      </c>
      <c r="CW291">
        <v>0</v>
      </c>
      <c r="CX291">
        <v>0</v>
      </c>
      <c r="CY291">
        <v>0</v>
      </c>
      <c r="CZ291">
        <v>0</v>
      </c>
      <c r="DA291">
        <v>0</v>
      </c>
      <c r="DB291">
        <v>0</v>
      </c>
      <c r="DC291">
        <v>607</v>
      </c>
      <c r="DD291">
        <v>-9</v>
      </c>
      <c r="DE291">
        <v>0</v>
      </c>
      <c r="DF291">
        <v>-61</v>
      </c>
      <c r="DG291">
        <v>0</v>
      </c>
      <c r="DH291">
        <v>0</v>
      </c>
      <c r="DI291">
        <v>-11</v>
      </c>
      <c r="DJ291">
        <v>1</v>
      </c>
      <c r="DK291">
        <v>0</v>
      </c>
      <c r="DL291">
        <v>39</v>
      </c>
      <c r="DM291">
        <v>459</v>
      </c>
      <c r="DN291">
        <v>888</v>
      </c>
      <c r="DO291">
        <v>732</v>
      </c>
      <c r="DP291">
        <v>2108</v>
      </c>
      <c r="DQ291">
        <v>569</v>
      </c>
      <c r="DR291">
        <v>0</v>
      </c>
      <c r="DS291">
        <v>0</v>
      </c>
      <c r="DT291">
        <v>1194</v>
      </c>
      <c r="DU291">
        <v>23</v>
      </c>
      <c r="DV291">
        <v>1034</v>
      </c>
      <c r="DW291">
        <v>0</v>
      </c>
      <c r="DX291">
        <v>5465</v>
      </c>
      <c r="DY291">
        <v>0</v>
      </c>
      <c r="DZ291">
        <v>0</v>
      </c>
      <c r="EA291">
        <v>0</v>
      </c>
      <c r="EB291">
        <v>0</v>
      </c>
      <c r="EC291">
        <v>0</v>
      </c>
      <c r="ED291">
        <v>0</v>
      </c>
      <c r="EE291">
        <v>0</v>
      </c>
      <c r="EF291">
        <v>0</v>
      </c>
      <c r="EG291">
        <v>0</v>
      </c>
      <c r="EH291">
        <v>0</v>
      </c>
      <c r="EI291">
        <v>0</v>
      </c>
      <c r="EJ291">
        <v>0</v>
      </c>
      <c r="EK291">
        <v>0</v>
      </c>
      <c r="EL291">
        <v>0</v>
      </c>
      <c r="EM291">
        <v>0</v>
      </c>
      <c r="EN291">
        <v>0</v>
      </c>
      <c r="EO291">
        <v>0</v>
      </c>
      <c r="EP291">
        <v>0</v>
      </c>
      <c r="EQ291">
        <v>0</v>
      </c>
      <c r="ER291">
        <v>0</v>
      </c>
      <c r="ES291">
        <v>0</v>
      </c>
      <c r="ET291">
        <v>0</v>
      </c>
      <c r="EU291">
        <v>0</v>
      </c>
      <c r="EV291">
        <v>380</v>
      </c>
      <c r="EW291">
        <v>519</v>
      </c>
      <c r="EX291">
        <v>1126</v>
      </c>
      <c r="EY291">
        <v>241</v>
      </c>
      <c r="EZ291">
        <v>98</v>
      </c>
      <c r="FA291">
        <v>0</v>
      </c>
      <c r="FB291">
        <v>402</v>
      </c>
      <c r="FC291">
        <v>394</v>
      </c>
      <c r="FD291">
        <v>3426</v>
      </c>
      <c r="FE291">
        <v>0</v>
      </c>
      <c r="FF291">
        <v>95</v>
      </c>
      <c r="FG291">
        <v>1670</v>
      </c>
      <c r="FH291">
        <v>8352</v>
      </c>
      <c r="FI291">
        <v>-832</v>
      </c>
      <c r="FJ291">
        <v>394</v>
      </c>
      <c r="FK291">
        <v>0</v>
      </c>
      <c r="FL291">
        <v>0</v>
      </c>
      <c r="FM291">
        <v>679</v>
      </c>
      <c r="FN291">
        <v>0</v>
      </c>
      <c r="FO291">
        <v>0</v>
      </c>
      <c r="FP291">
        <v>0</v>
      </c>
      <c r="FQ291">
        <v>0</v>
      </c>
      <c r="FR291">
        <v>10</v>
      </c>
      <c r="FS291">
        <v>1</v>
      </c>
      <c r="FT291">
        <v>125</v>
      </c>
      <c r="FU291">
        <v>-3</v>
      </c>
      <c r="FV291">
        <v>2</v>
      </c>
      <c r="FW291">
        <v>1738</v>
      </c>
      <c r="FX291">
        <v>212</v>
      </c>
      <c r="FY291">
        <v>73</v>
      </c>
      <c r="FZ291">
        <v>0</v>
      </c>
      <c r="GA291">
        <v>0</v>
      </c>
      <c r="GB291">
        <v>0</v>
      </c>
      <c r="GC291">
        <v>0</v>
      </c>
      <c r="GD291">
        <v>3138</v>
      </c>
      <c r="GE291">
        <v>1383</v>
      </c>
      <c r="GF291">
        <v>0</v>
      </c>
      <c r="GG291">
        <v>0</v>
      </c>
      <c r="GH291">
        <v>4154</v>
      </c>
      <c r="GI291">
        <v>0</v>
      </c>
      <c r="GJ291">
        <v>-35</v>
      </c>
      <c r="GK291">
        <v>11039</v>
      </c>
      <c r="GL291">
        <v>118</v>
      </c>
      <c r="GM291">
        <v>48</v>
      </c>
      <c r="GN291">
        <v>0</v>
      </c>
      <c r="GO291">
        <v>450</v>
      </c>
      <c r="GP291">
        <v>726</v>
      </c>
      <c r="GQ291">
        <v>2257</v>
      </c>
      <c r="GR291">
        <v>0</v>
      </c>
      <c r="GS291">
        <v>0</v>
      </c>
      <c r="GT291">
        <v>492</v>
      </c>
      <c r="GU291">
        <v>4091</v>
      </c>
      <c r="GV291">
        <v>23482</v>
      </c>
      <c r="GW291">
        <v>0</v>
      </c>
      <c r="GX291">
        <v>0</v>
      </c>
      <c r="GY291">
        <v>0</v>
      </c>
      <c r="GZ291">
        <v>0</v>
      </c>
      <c r="HA291">
        <v>0</v>
      </c>
      <c r="HB291">
        <v>5696</v>
      </c>
      <c r="HC291">
        <v>806</v>
      </c>
      <c r="HD291">
        <v>0</v>
      </c>
      <c r="HE291">
        <v>0</v>
      </c>
      <c r="HF291">
        <v>1194</v>
      </c>
      <c r="HG291">
        <v>-73</v>
      </c>
      <c r="HH291">
        <v>0</v>
      </c>
      <c r="HI291">
        <v>78</v>
      </c>
      <c r="HJ291">
        <v>324</v>
      </c>
      <c r="HK291">
        <v>186</v>
      </c>
      <c r="HL291">
        <v>64</v>
      </c>
      <c r="HM291">
        <v>-117</v>
      </c>
      <c r="HN291">
        <v>4689</v>
      </c>
      <c r="HO291">
        <v>0</v>
      </c>
      <c r="HP291">
        <v>778</v>
      </c>
      <c r="HQ291">
        <v>0</v>
      </c>
      <c r="HR291">
        <v>1601</v>
      </c>
      <c r="HS291">
        <v>0</v>
      </c>
      <c r="HT291">
        <v>761</v>
      </c>
      <c r="HU291">
        <v>921</v>
      </c>
      <c r="HV291">
        <v>16908</v>
      </c>
      <c r="HW291">
        <v>1746</v>
      </c>
      <c r="HX291">
        <v>19456</v>
      </c>
      <c r="HY291">
        <v>0</v>
      </c>
      <c r="HZ291">
        <v>296</v>
      </c>
      <c r="IA291">
        <v>0</v>
      </c>
      <c r="IB291">
        <v>0</v>
      </c>
      <c r="IC291">
        <v>214553</v>
      </c>
      <c r="ID291">
        <v>8878</v>
      </c>
      <c r="IE291">
        <v>52006</v>
      </c>
      <c r="IF291">
        <v>62422</v>
      </c>
      <c r="IG291">
        <v>24897</v>
      </c>
      <c r="IH291">
        <v>5465</v>
      </c>
      <c r="II291">
        <v>8352</v>
      </c>
      <c r="IJ291">
        <v>11039</v>
      </c>
      <c r="IK291">
        <v>4091</v>
      </c>
      <c r="IL291">
        <v>0</v>
      </c>
      <c r="IM291">
        <v>0</v>
      </c>
      <c r="IN291">
        <v>16908</v>
      </c>
      <c r="IO291">
        <v>0</v>
      </c>
      <c r="IP291">
        <v>408610</v>
      </c>
      <c r="IQ291">
        <v>54723</v>
      </c>
      <c r="IR291">
        <v>939</v>
      </c>
      <c r="IS291">
        <v>0</v>
      </c>
      <c r="IT291">
        <v>0</v>
      </c>
      <c r="IU291">
        <v>0</v>
      </c>
      <c r="IV291">
        <v>0</v>
      </c>
      <c r="IW291">
        <v>15096</v>
      </c>
      <c r="IX291">
        <v>14753</v>
      </c>
      <c r="IY291">
        <v>0</v>
      </c>
      <c r="IZ291">
        <v>0</v>
      </c>
      <c r="JA291">
        <v>180</v>
      </c>
      <c r="JB291">
        <v>83</v>
      </c>
      <c r="JC291">
        <v>-3125</v>
      </c>
      <c r="JD291">
        <v>-944</v>
      </c>
      <c r="JE291">
        <v>928</v>
      </c>
      <c r="JF291">
        <v>-6</v>
      </c>
      <c r="JG291">
        <v>491237</v>
      </c>
      <c r="JH291">
        <v>107</v>
      </c>
      <c r="JI291">
        <v>4777</v>
      </c>
      <c r="JJ291">
        <v>0</v>
      </c>
      <c r="JK291">
        <v>0</v>
      </c>
      <c r="JL291">
        <v>0</v>
      </c>
      <c r="JM291">
        <v>1595</v>
      </c>
      <c r="JN291">
        <v>12594</v>
      </c>
      <c r="JO291">
        <v>0</v>
      </c>
      <c r="JP291">
        <v>7274</v>
      </c>
      <c r="JQ291">
        <v>0</v>
      </c>
      <c r="JR291">
        <v>517584</v>
      </c>
      <c r="JS291">
        <v>-4239</v>
      </c>
      <c r="JT291">
        <v>3935</v>
      </c>
      <c r="JU291">
        <v>90</v>
      </c>
      <c r="JV291">
        <v>0</v>
      </c>
      <c r="JW291">
        <v>-57058</v>
      </c>
      <c r="JX291">
        <v>0</v>
      </c>
      <c r="JY291">
        <v>0</v>
      </c>
      <c r="JZ291">
        <v>0</v>
      </c>
      <c r="KA291">
        <v>0</v>
      </c>
      <c r="KB291">
        <v>-1492</v>
      </c>
      <c r="KC291">
        <v>458820</v>
      </c>
      <c r="KD291">
        <v>0</v>
      </c>
      <c r="KE291">
        <v>-257041</v>
      </c>
      <c r="KF291">
        <v>201779</v>
      </c>
      <c r="KG291">
        <v>0</v>
      </c>
      <c r="KH291">
        <v>-1975</v>
      </c>
      <c r="KI291">
        <v>0</v>
      </c>
      <c r="KJ291">
        <v>0</v>
      </c>
      <c r="KK291">
        <v>579</v>
      </c>
      <c r="KL291">
        <v>0</v>
      </c>
      <c r="KM291">
        <v>0</v>
      </c>
      <c r="KN291">
        <v>0</v>
      </c>
      <c r="KO291">
        <v>-88004</v>
      </c>
      <c r="KP291">
        <v>1891</v>
      </c>
      <c r="KQ291">
        <v>-314</v>
      </c>
      <c r="KR291">
        <v>94378</v>
      </c>
      <c r="KS291">
        <v>15265</v>
      </c>
      <c r="KT291">
        <v>0</v>
      </c>
      <c r="KU291">
        <v>51</v>
      </c>
      <c r="KV291">
        <v>190924</v>
      </c>
      <c r="KW291">
        <v>17000</v>
      </c>
      <c r="KX291">
        <v>13290</v>
      </c>
      <c r="KY291">
        <v>0</v>
      </c>
      <c r="KZ291">
        <v>51</v>
      </c>
      <c r="LA291">
        <v>191503</v>
      </c>
      <c r="LB291">
        <v>17000</v>
      </c>
      <c r="LC291">
        <v>-2735</v>
      </c>
      <c r="LD291">
        <v>19581</v>
      </c>
      <c r="LE291">
        <v>12169</v>
      </c>
      <c r="LF291">
        <v>0</v>
      </c>
      <c r="LG291">
        <v>-894</v>
      </c>
      <c r="LH291">
        <v>7636</v>
      </c>
      <c r="LI291">
        <v>34989</v>
      </c>
      <c r="LJ291">
        <v>7437</v>
      </c>
      <c r="LK291">
        <v>12602</v>
      </c>
      <c r="LL291">
        <v>20039</v>
      </c>
      <c r="LM291">
        <v>0</v>
      </c>
      <c r="LN291">
        <v>0</v>
      </c>
      <c r="LO291">
        <v>0</v>
      </c>
      <c r="LP291">
        <v>0</v>
      </c>
      <c r="LQ291">
        <v>0</v>
      </c>
      <c r="LR291">
        <v>0</v>
      </c>
      <c r="LS291">
        <v>0</v>
      </c>
      <c r="LT291">
        <v>0</v>
      </c>
      <c r="LU291">
        <v>214553</v>
      </c>
      <c r="LV291">
        <v>8878</v>
      </c>
      <c r="LW291">
        <v>52006</v>
      </c>
      <c r="LX291">
        <v>62422</v>
      </c>
      <c r="LY291">
        <v>24897</v>
      </c>
      <c r="LZ291">
        <v>5465</v>
      </c>
      <c r="MA291">
        <v>8352</v>
      </c>
      <c r="MB291">
        <v>11039</v>
      </c>
      <c r="MC291">
        <v>4091</v>
      </c>
      <c r="MD291">
        <v>0</v>
      </c>
      <c r="ME291">
        <v>0</v>
      </c>
      <c r="MF291">
        <v>16908</v>
      </c>
      <c r="MG291">
        <v>0</v>
      </c>
      <c r="MH291">
        <v>408610</v>
      </c>
      <c r="MI291">
        <v>0</v>
      </c>
      <c r="MJ291">
        <v>0</v>
      </c>
      <c r="MK291">
        <v>0</v>
      </c>
      <c r="ML291">
        <v>0</v>
      </c>
      <c r="MM291">
        <v>0</v>
      </c>
      <c r="MN291">
        <v>0</v>
      </c>
      <c r="MO291">
        <v>0</v>
      </c>
      <c r="MP291">
        <v>0</v>
      </c>
      <c r="MQ291">
        <v>0</v>
      </c>
      <c r="MR291">
        <v>0</v>
      </c>
      <c r="MS291">
        <v>0</v>
      </c>
      <c r="MT291">
        <v>0</v>
      </c>
      <c r="MU291">
        <v>0</v>
      </c>
      <c r="MV291">
        <v>0</v>
      </c>
      <c r="MW291">
        <v>0</v>
      </c>
      <c r="MX291">
        <v>-279</v>
      </c>
      <c r="MY291">
        <v>-2725</v>
      </c>
      <c r="MZ291">
        <v>-4</v>
      </c>
      <c r="NA291">
        <v>-2945</v>
      </c>
      <c r="NB291">
        <v>3125</v>
      </c>
      <c r="NC291">
        <v>180</v>
      </c>
      <c r="ND291">
        <v>0</v>
      </c>
      <c r="NE291">
        <v>0</v>
      </c>
      <c r="NF291">
        <v>0</v>
      </c>
      <c r="NG291">
        <v>0</v>
      </c>
      <c r="NH291">
        <v>0</v>
      </c>
      <c r="NI291">
        <v>0</v>
      </c>
      <c r="NJ291">
        <v>0</v>
      </c>
      <c r="NK291">
        <v>0</v>
      </c>
      <c r="NL291">
        <v>0</v>
      </c>
      <c r="NM291">
        <v>-176</v>
      </c>
      <c r="NN291">
        <v>-53</v>
      </c>
      <c r="NO291">
        <v>0</v>
      </c>
      <c r="NP291">
        <v>-63</v>
      </c>
      <c r="NQ291">
        <v>-17</v>
      </c>
      <c r="NR291">
        <v>-847</v>
      </c>
      <c r="NS291">
        <v>0</v>
      </c>
      <c r="NT291">
        <v>288</v>
      </c>
      <c r="NU291">
        <v>0</v>
      </c>
      <c r="NV291">
        <v>0</v>
      </c>
      <c r="NW291">
        <v>0</v>
      </c>
      <c r="NX291">
        <v>0</v>
      </c>
      <c r="NY291">
        <v>0</v>
      </c>
      <c r="NZ291">
        <v>-861</v>
      </c>
      <c r="OA291">
        <v>944</v>
      </c>
      <c r="OB291">
        <v>83</v>
      </c>
      <c r="OC291">
        <v>307</v>
      </c>
      <c r="OD291">
        <v>2818</v>
      </c>
      <c r="OE291">
        <v>0</v>
      </c>
      <c r="OF291">
        <v>0</v>
      </c>
      <c r="OG291">
        <v>0</v>
      </c>
      <c r="OH291">
        <v>3125</v>
      </c>
      <c r="OI291">
        <v>910</v>
      </c>
      <c r="OJ291">
        <v>34</v>
      </c>
      <c r="OK291">
        <v>0</v>
      </c>
      <c r="OL291">
        <v>0</v>
      </c>
      <c r="OM291">
        <v>0</v>
      </c>
      <c r="ON291">
        <v>944</v>
      </c>
    </row>
    <row r="292" spans="1:404" x14ac:dyDescent="0.25">
      <c r="A292" t="s">
        <v>946</v>
      </c>
      <c r="B292" t="s">
        <v>947</v>
      </c>
      <c r="C292" t="s">
        <v>945</v>
      </c>
      <c r="E292" t="s">
        <v>61</v>
      </c>
      <c r="F292">
        <v>0</v>
      </c>
      <c r="G292">
        <v>0</v>
      </c>
      <c r="H292">
        <v>0</v>
      </c>
      <c r="I292">
        <v>0</v>
      </c>
      <c r="J292">
        <v>0</v>
      </c>
      <c r="K292">
        <v>0</v>
      </c>
      <c r="L292">
        <v>0</v>
      </c>
      <c r="M292">
        <v>127</v>
      </c>
      <c r="N292">
        <v>0</v>
      </c>
      <c r="O292">
        <v>0</v>
      </c>
      <c r="P292">
        <v>0</v>
      </c>
      <c r="Q292">
        <v>0</v>
      </c>
      <c r="R292">
        <v>0</v>
      </c>
      <c r="S292">
        <v>0</v>
      </c>
      <c r="T292">
        <v>0</v>
      </c>
      <c r="U292">
        <v>0</v>
      </c>
      <c r="V292">
        <v>0</v>
      </c>
      <c r="W292">
        <v>0</v>
      </c>
      <c r="X292">
        <v>0</v>
      </c>
      <c r="Y292">
        <v>0</v>
      </c>
      <c r="Z292">
        <v>0</v>
      </c>
      <c r="AA292">
        <v>-901</v>
      </c>
      <c r="AB292">
        <v>0</v>
      </c>
      <c r="AC292">
        <v>0</v>
      </c>
      <c r="AD292">
        <v>0</v>
      </c>
      <c r="AE292">
        <v>0</v>
      </c>
      <c r="AF292">
        <v>0</v>
      </c>
      <c r="AG292">
        <v>0</v>
      </c>
      <c r="AH292">
        <v>0</v>
      </c>
      <c r="AI292">
        <v>-774</v>
      </c>
      <c r="AJ292">
        <v>0</v>
      </c>
      <c r="AK292">
        <v>0</v>
      </c>
      <c r="AL292">
        <v>0</v>
      </c>
      <c r="AM292">
        <v>0</v>
      </c>
      <c r="AN292">
        <v>0</v>
      </c>
      <c r="AO292">
        <v>0</v>
      </c>
      <c r="AP292">
        <v>0</v>
      </c>
      <c r="AQ292">
        <v>0</v>
      </c>
      <c r="AR292">
        <v>0</v>
      </c>
      <c r="AS292">
        <v>0</v>
      </c>
      <c r="AT292">
        <v>0</v>
      </c>
      <c r="AU292">
        <v>0</v>
      </c>
      <c r="AV292">
        <v>0</v>
      </c>
      <c r="AW292">
        <v>0</v>
      </c>
      <c r="AX292">
        <v>0</v>
      </c>
      <c r="AY292">
        <v>0</v>
      </c>
      <c r="AZ292">
        <v>0</v>
      </c>
      <c r="BA292">
        <v>0</v>
      </c>
      <c r="BB292">
        <v>0</v>
      </c>
      <c r="BC292">
        <v>0</v>
      </c>
      <c r="BD292">
        <v>0</v>
      </c>
      <c r="BE292">
        <v>0</v>
      </c>
      <c r="BF292">
        <v>0</v>
      </c>
      <c r="BG292">
        <v>0</v>
      </c>
      <c r="BH292">
        <v>0</v>
      </c>
      <c r="BI292">
        <v>0</v>
      </c>
      <c r="BJ292">
        <v>0</v>
      </c>
      <c r="BK292">
        <v>0</v>
      </c>
      <c r="BL292">
        <v>0</v>
      </c>
      <c r="BM292">
        <v>0</v>
      </c>
      <c r="BN292">
        <v>0</v>
      </c>
      <c r="BO292">
        <v>0</v>
      </c>
      <c r="BP292">
        <v>0</v>
      </c>
      <c r="BQ292">
        <v>0</v>
      </c>
      <c r="BR292">
        <v>0</v>
      </c>
      <c r="BS292">
        <v>0</v>
      </c>
      <c r="BT292">
        <v>0</v>
      </c>
      <c r="BU292">
        <v>0</v>
      </c>
      <c r="BV292">
        <v>0</v>
      </c>
      <c r="BW292">
        <v>0</v>
      </c>
      <c r="BX292">
        <v>0</v>
      </c>
      <c r="BY292">
        <v>0</v>
      </c>
      <c r="BZ292">
        <v>0</v>
      </c>
      <c r="CA292">
        <v>0</v>
      </c>
      <c r="CB292">
        <v>0</v>
      </c>
      <c r="CC292">
        <v>0</v>
      </c>
      <c r="CD292">
        <v>0</v>
      </c>
      <c r="CE292">
        <v>0</v>
      </c>
      <c r="CF292">
        <v>0</v>
      </c>
      <c r="CG292">
        <v>0</v>
      </c>
      <c r="CH292">
        <v>0</v>
      </c>
      <c r="CI292">
        <v>0</v>
      </c>
      <c r="CJ292">
        <v>0</v>
      </c>
      <c r="CK292">
        <v>0</v>
      </c>
      <c r="CL292">
        <v>0</v>
      </c>
      <c r="CM292">
        <v>0</v>
      </c>
      <c r="CN292">
        <v>0</v>
      </c>
      <c r="CO292">
        <v>0</v>
      </c>
      <c r="CP292">
        <v>0</v>
      </c>
      <c r="CQ292">
        <v>0</v>
      </c>
      <c r="CR292">
        <v>0</v>
      </c>
      <c r="CS292">
        <v>0</v>
      </c>
      <c r="CT292">
        <v>0</v>
      </c>
      <c r="CU292">
        <v>0</v>
      </c>
      <c r="CV292">
        <v>0</v>
      </c>
      <c r="CW292">
        <v>0</v>
      </c>
      <c r="CX292">
        <v>0</v>
      </c>
      <c r="CY292">
        <v>0</v>
      </c>
      <c r="CZ292">
        <v>0</v>
      </c>
      <c r="DA292">
        <v>0</v>
      </c>
      <c r="DB292">
        <v>0</v>
      </c>
      <c r="DC292">
        <v>48</v>
      </c>
      <c r="DD292">
        <v>0</v>
      </c>
      <c r="DE292">
        <v>107</v>
      </c>
      <c r="DF292">
        <v>30</v>
      </c>
      <c r="DG292">
        <v>0</v>
      </c>
      <c r="DH292">
        <v>109</v>
      </c>
      <c r="DI292">
        <v>0</v>
      </c>
      <c r="DJ292">
        <v>174</v>
      </c>
      <c r="DK292">
        <v>0</v>
      </c>
      <c r="DL292">
        <v>0</v>
      </c>
      <c r="DM292">
        <v>705</v>
      </c>
      <c r="DN292">
        <v>68</v>
      </c>
      <c r="DO292">
        <v>0</v>
      </c>
      <c r="DP292">
        <v>1056</v>
      </c>
      <c r="DQ292">
        <v>0</v>
      </c>
      <c r="DR292">
        <v>0</v>
      </c>
      <c r="DS292">
        <v>0</v>
      </c>
      <c r="DT292">
        <v>162</v>
      </c>
      <c r="DU292">
        <v>0</v>
      </c>
      <c r="DV292">
        <v>0</v>
      </c>
      <c r="DW292">
        <v>0</v>
      </c>
      <c r="DX292">
        <v>1403</v>
      </c>
      <c r="DY292">
        <v>0</v>
      </c>
      <c r="DZ292">
        <v>0</v>
      </c>
      <c r="EA292">
        <v>0</v>
      </c>
      <c r="EB292">
        <v>0</v>
      </c>
      <c r="EC292">
        <v>0</v>
      </c>
      <c r="ED292">
        <v>0</v>
      </c>
      <c r="EE292">
        <v>0</v>
      </c>
      <c r="EF292">
        <v>0</v>
      </c>
      <c r="EG292">
        <v>0</v>
      </c>
      <c r="EH292">
        <v>0</v>
      </c>
      <c r="EI292">
        <v>0</v>
      </c>
      <c r="EJ292">
        <v>0</v>
      </c>
      <c r="EK292">
        <v>0</v>
      </c>
      <c r="EL292">
        <v>0</v>
      </c>
      <c r="EM292">
        <v>0</v>
      </c>
      <c r="EN292">
        <v>0</v>
      </c>
      <c r="EO292">
        <v>0</v>
      </c>
      <c r="EP292">
        <v>0</v>
      </c>
      <c r="EQ292">
        <v>0</v>
      </c>
      <c r="ER292">
        <v>0</v>
      </c>
      <c r="ES292">
        <v>0</v>
      </c>
      <c r="ET292">
        <v>0</v>
      </c>
      <c r="EU292">
        <v>0</v>
      </c>
      <c r="EV292">
        <v>161</v>
      </c>
      <c r="EW292">
        <v>0</v>
      </c>
      <c r="EX292">
        <v>0</v>
      </c>
      <c r="EY292">
        <v>0</v>
      </c>
      <c r="EZ292">
        <v>0</v>
      </c>
      <c r="FA292">
        <v>0</v>
      </c>
      <c r="FB292">
        <v>-2</v>
      </c>
      <c r="FC292">
        <v>585</v>
      </c>
      <c r="FD292">
        <v>530</v>
      </c>
      <c r="FE292">
        <v>0</v>
      </c>
      <c r="FF292">
        <v>0</v>
      </c>
      <c r="FG292">
        <v>0</v>
      </c>
      <c r="FH292">
        <v>1274</v>
      </c>
      <c r="FI292">
        <v>-83</v>
      </c>
      <c r="FJ292">
        <v>0</v>
      </c>
      <c r="FK292">
        <v>0</v>
      </c>
      <c r="FL292">
        <v>108</v>
      </c>
      <c r="FM292">
        <v>146</v>
      </c>
      <c r="FN292">
        <v>49</v>
      </c>
      <c r="FO292">
        <v>16</v>
      </c>
      <c r="FP292">
        <v>0</v>
      </c>
      <c r="FQ292">
        <v>0</v>
      </c>
      <c r="FR292">
        <v>5</v>
      </c>
      <c r="FS292">
        <v>63</v>
      </c>
      <c r="FT292">
        <v>195</v>
      </c>
      <c r="FU292">
        <v>41</v>
      </c>
      <c r="FV292">
        <v>0</v>
      </c>
      <c r="FW292">
        <v>0</v>
      </c>
      <c r="FX292">
        <v>0</v>
      </c>
      <c r="FY292">
        <v>0</v>
      </c>
      <c r="FZ292">
        <v>0</v>
      </c>
      <c r="GA292">
        <v>0</v>
      </c>
      <c r="GB292">
        <v>3</v>
      </c>
      <c r="GC292">
        <v>0</v>
      </c>
      <c r="GD292">
        <v>479</v>
      </c>
      <c r="GE292">
        <v>2764</v>
      </c>
      <c r="GF292">
        <v>0</v>
      </c>
      <c r="GG292">
        <v>0</v>
      </c>
      <c r="GH292">
        <v>-564</v>
      </c>
      <c r="GI292">
        <v>0</v>
      </c>
      <c r="GJ292">
        <v>0</v>
      </c>
      <c r="GK292">
        <v>3222</v>
      </c>
      <c r="GL292">
        <v>115</v>
      </c>
      <c r="GM292">
        <v>378</v>
      </c>
      <c r="GN292">
        <v>0</v>
      </c>
      <c r="GO292">
        <v>561</v>
      </c>
      <c r="GP292">
        <v>113</v>
      </c>
      <c r="GQ292">
        <v>0</v>
      </c>
      <c r="GR292">
        <v>0</v>
      </c>
      <c r="GS292">
        <v>0</v>
      </c>
      <c r="GT292">
        <v>100</v>
      </c>
      <c r="GU292">
        <v>1267</v>
      </c>
      <c r="GV292">
        <v>5763</v>
      </c>
      <c r="GW292">
        <v>0</v>
      </c>
      <c r="GX292">
        <v>0</v>
      </c>
      <c r="GY292">
        <v>0</v>
      </c>
      <c r="GZ292">
        <v>0</v>
      </c>
      <c r="HA292">
        <v>0</v>
      </c>
      <c r="HB292">
        <v>2028</v>
      </c>
      <c r="HC292">
        <v>102</v>
      </c>
      <c r="HD292">
        <v>0</v>
      </c>
      <c r="HE292">
        <v>-71</v>
      </c>
      <c r="HF292">
        <v>349</v>
      </c>
      <c r="HG292">
        <v>-138</v>
      </c>
      <c r="HH292">
        <v>0</v>
      </c>
      <c r="HI292">
        <v>0</v>
      </c>
      <c r="HJ292">
        <v>137</v>
      </c>
      <c r="HK292">
        <v>332</v>
      </c>
      <c r="HL292">
        <v>-5</v>
      </c>
      <c r="HM292">
        <v>168</v>
      </c>
      <c r="HN292">
        <v>0</v>
      </c>
      <c r="HO292">
        <v>0</v>
      </c>
      <c r="HP292">
        <v>0</v>
      </c>
      <c r="HQ292">
        <v>0</v>
      </c>
      <c r="HR292">
        <v>523</v>
      </c>
      <c r="HS292">
        <v>0</v>
      </c>
      <c r="HT292">
        <v>0</v>
      </c>
      <c r="HU292">
        <v>-370</v>
      </c>
      <c r="HV292">
        <v>3055</v>
      </c>
      <c r="HW292">
        <v>4126</v>
      </c>
      <c r="HX292">
        <v>0</v>
      </c>
      <c r="HY292">
        <v>0</v>
      </c>
      <c r="HZ292">
        <v>0</v>
      </c>
      <c r="IA292">
        <v>1818</v>
      </c>
      <c r="IB292">
        <v>0</v>
      </c>
      <c r="IC292">
        <v>0</v>
      </c>
      <c r="ID292">
        <v>-774</v>
      </c>
      <c r="IE292">
        <v>0</v>
      </c>
      <c r="IF292">
        <v>0</v>
      </c>
      <c r="IG292">
        <v>0</v>
      </c>
      <c r="IH292">
        <v>1403</v>
      </c>
      <c r="II292">
        <v>1274</v>
      </c>
      <c r="IJ292">
        <v>3222</v>
      </c>
      <c r="IK292">
        <v>1267</v>
      </c>
      <c r="IL292">
        <v>0</v>
      </c>
      <c r="IM292">
        <v>0</v>
      </c>
      <c r="IN292">
        <v>3055</v>
      </c>
      <c r="IO292">
        <v>0</v>
      </c>
      <c r="IP292">
        <v>9447</v>
      </c>
      <c r="IQ292">
        <v>10620</v>
      </c>
      <c r="IR292">
        <v>406</v>
      </c>
      <c r="IS292">
        <v>0</v>
      </c>
      <c r="IT292">
        <v>0</v>
      </c>
      <c r="IU292">
        <v>0</v>
      </c>
      <c r="IV292">
        <v>1675</v>
      </c>
      <c r="IW292">
        <v>0</v>
      </c>
      <c r="IX292">
        <v>0</v>
      </c>
      <c r="IY292">
        <v>0</v>
      </c>
      <c r="IZ292">
        <v>0</v>
      </c>
      <c r="JA292">
        <v>0</v>
      </c>
      <c r="JB292">
        <v>0</v>
      </c>
      <c r="JC292">
        <v>0</v>
      </c>
      <c r="JD292">
        <v>0</v>
      </c>
      <c r="JE292">
        <v>0</v>
      </c>
      <c r="JF292">
        <v>0</v>
      </c>
      <c r="JG292">
        <v>22148</v>
      </c>
      <c r="JH292">
        <v>0</v>
      </c>
      <c r="JI292">
        <v>126</v>
      </c>
      <c r="JJ292">
        <v>0</v>
      </c>
      <c r="JK292">
        <v>0</v>
      </c>
      <c r="JL292">
        <v>0</v>
      </c>
      <c r="JM292">
        <v>1</v>
      </c>
      <c r="JN292">
        <v>0</v>
      </c>
      <c r="JO292">
        <v>0</v>
      </c>
      <c r="JP292">
        <v>11</v>
      </c>
      <c r="JQ292">
        <v>0</v>
      </c>
      <c r="JR292">
        <v>22286</v>
      </c>
      <c r="JS292">
        <v>-31</v>
      </c>
      <c r="JT292">
        <v>0</v>
      </c>
      <c r="JU292">
        <v>0</v>
      </c>
      <c r="JV292">
        <v>0</v>
      </c>
      <c r="JW292">
        <v>-10792</v>
      </c>
      <c r="JX292">
        <v>0</v>
      </c>
      <c r="JY292">
        <v>0</v>
      </c>
      <c r="JZ292">
        <v>0</v>
      </c>
      <c r="KA292">
        <v>0</v>
      </c>
      <c r="KB292">
        <v>0</v>
      </c>
      <c r="KC292">
        <v>11463</v>
      </c>
      <c r="KD292">
        <v>0</v>
      </c>
      <c r="KE292">
        <v>-1275</v>
      </c>
      <c r="KF292">
        <v>10188</v>
      </c>
      <c r="KG292">
        <v>0</v>
      </c>
      <c r="KH292">
        <v>0</v>
      </c>
      <c r="KI292">
        <v>0</v>
      </c>
      <c r="KJ292">
        <v>0</v>
      </c>
      <c r="KK292">
        <v>-118</v>
      </c>
      <c r="KL292">
        <v>343</v>
      </c>
      <c r="KM292">
        <v>0</v>
      </c>
      <c r="KN292">
        <v>0</v>
      </c>
      <c r="KO292">
        <v>1802</v>
      </c>
      <c r="KP292">
        <v>-110</v>
      </c>
      <c r="KQ292">
        <v>0</v>
      </c>
      <c r="KR292">
        <v>9374</v>
      </c>
      <c r="KS292">
        <v>0</v>
      </c>
      <c r="KT292">
        <v>0</v>
      </c>
      <c r="KU292">
        <v>0</v>
      </c>
      <c r="KV292">
        <v>14455</v>
      </c>
      <c r="KW292">
        <v>1464</v>
      </c>
      <c r="KX292">
        <v>0</v>
      </c>
      <c r="KY292">
        <v>0</v>
      </c>
      <c r="KZ292">
        <v>0</v>
      </c>
      <c r="LA292">
        <v>14337</v>
      </c>
      <c r="LB292">
        <v>1807</v>
      </c>
      <c r="LC292">
        <v>0</v>
      </c>
      <c r="LD292">
        <v>784</v>
      </c>
      <c r="LE292">
        <v>0</v>
      </c>
      <c r="LF292">
        <v>2348</v>
      </c>
      <c r="LG292">
        <v>-622</v>
      </c>
      <c r="LH292">
        <v>574</v>
      </c>
      <c r="LI292">
        <v>3084</v>
      </c>
      <c r="LJ292">
        <v>2173</v>
      </c>
      <c r="LK292">
        <v>1539</v>
      </c>
      <c r="LL292">
        <v>3712</v>
      </c>
      <c r="LM292">
        <v>0</v>
      </c>
      <c r="LN292">
        <v>0</v>
      </c>
      <c r="LO292">
        <v>0</v>
      </c>
      <c r="LP292">
        <v>0</v>
      </c>
      <c r="LQ292">
        <v>0</v>
      </c>
      <c r="LR292">
        <v>0</v>
      </c>
      <c r="LS292">
        <v>0</v>
      </c>
      <c r="LT292">
        <v>0</v>
      </c>
      <c r="LU292">
        <v>0</v>
      </c>
      <c r="LV292">
        <v>-774</v>
      </c>
      <c r="LW292">
        <v>0</v>
      </c>
      <c r="LX292">
        <v>0</v>
      </c>
      <c r="LY292">
        <v>0</v>
      </c>
      <c r="LZ292">
        <v>1403</v>
      </c>
      <c r="MA292">
        <v>1274</v>
      </c>
      <c r="MB292">
        <v>3222</v>
      </c>
      <c r="MC292">
        <v>1267</v>
      </c>
      <c r="MD292">
        <v>0</v>
      </c>
      <c r="ME292">
        <v>0</v>
      </c>
      <c r="MF292">
        <v>3055</v>
      </c>
      <c r="MG292">
        <v>0</v>
      </c>
      <c r="MH292">
        <v>9447</v>
      </c>
      <c r="MI292">
        <v>0</v>
      </c>
      <c r="MJ292">
        <v>0</v>
      </c>
      <c r="MK292">
        <v>0</v>
      </c>
      <c r="ML292">
        <v>0</v>
      </c>
      <c r="MM292">
        <v>0</v>
      </c>
      <c r="MN292">
        <v>0</v>
      </c>
      <c r="MO292">
        <v>0</v>
      </c>
      <c r="MP292">
        <v>0</v>
      </c>
      <c r="MQ292">
        <v>0</v>
      </c>
      <c r="MR292">
        <v>0</v>
      </c>
      <c r="MS292">
        <v>0</v>
      </c>
      <c r="MT292">
        <v>0</v>
      </c>
      <c r="MU292">
        <v>0</v>
      </c>
      <c r="MV292">
        <v>0</v>
      </c>
      <c r="MW292">
        <v>0</v>
      </c>
      <c r="MX292">
        <v>0</v>
      </c>
      <c r="MY292">
        <v>0</v>
      </c>
      <c r="MZ292">
        <v>0</v>
      </c>
      <c r="NA292">
        <v>0</v>
      </c>
      <c r="NB292">
        <v>0</v>
      </c>
      <c r="NC292">
        <v>0</v>
      </c>
      <c r="ND292">
        <v>0</v>
      </c>
      <c r="NE292">
        <v>0</v>
      </c>
      <c r="NF292">
        <v>0</v>
      </c>
      <c r="NG292">
        <v>0</v>
      </c>
      <c r="NH292">
        <v>0</v>
      </c>
      <c r="NI292">
        <v>0</v>
      </c>
      <c r="NJ292">
        <v>0</v>
      </c>
      <c r="NK292">
        <v>0</v>
      </c>
      <c r="NL292">
        <v>0</v>
      </c>
      <c r="NM292">
        <v>0</v>
      </c>
      <c r="NN292">
        <v>0</v>
      </c>
      <c r="NO292">
        <v>0</v>
      </c>
      <c r="NP292">
        <v>0</v>
      </c>
      <c r="NQ292">
        <v>0</v>
      </c>
      <c r="NR292">
        <v>0</v>
      </c>
      <c r="NS292">
        <v>0</v>
      </c>
      <c r="NT292">
        <v>0</v>
      </c>
      <c r="NU292">
        <v>0</v>
      </c>
      <c r="NV292">
        <v>0</v>
      </c>
      <c r="NW292">
        <v>0</v>
      </c>
      <c r="NX292">
        <v>0</v>
      </c>
      <c r="NY292">
        <v>0</v>
      </c>
      <c r="NZ292">
        <v>0</v>
      </c>
      <c r="OA292">
        <v>0</v>
      </c>
      <c r="OB292">
        <v>0</v>
      </c>
      <c r="OC292">
        <v>0</v>
      </c>
      <c r="OD292">
        <v>0</v>
      </c>
      <c r="OE292">
        <v>0</v>
      </c>
      <c r="OF292">
        <v>0</v>
      </c>
      <c r="OG292">
        <v>0</v>
      </c>
      <c r="OH292">
        <v>0</v>
      </c>
      <c r="OI292">
        <v>0</v>
      </c>
      <c r="OJ292">
        <v>0</v>
      </c>
      <c r="OK292">
        <v>0</v>
      </c>
      <c r="OL292">
        <v>0</v>
      </c>
      <c r="OM292">
        <v>0</v>
      </c>
      <c r="ON292">
        <v>0</v>
      </c>
    </row>
    <row r="293" spans="1:404" x14ac:dyDescent="0.25">
      <c r="A293" t="s">
        <v>949</v>
      </c>
      <c r="B293" t="s">
        <v>950</v>
      </c>
      <c r="C293" t="s">
        <v>948</v>
      </c>
      <c r="E293" t="s">
        <v>61</v>
      </c>
      <c r="F293">
        <v>0</v>
      </c>
      <c r="G293">
        <v>0</v>
      </c>
      <c r="H293">
        <v>0</v>
      </c>
      <c r="I293">
        <v>0</v>
      </c>
      <c r="J293">
        <v>0</v>
      </c>
      <c r="K293">
        <v>0</v>
      </c>
      <c r="L293">
        <v>0</v>
      </c>
      <c r="M293">
        <v>0</v>
      </c>
      <c r="N293">
        <v>0</v>
      </c>
      <c r="O293">
        <v>0</v>
      </c>
      <c r="P293">
        <v>0</v>
      </c>
      <c r="Q293">
        <v>0</v>
      </c>
      <c r="R293">
        <v>0</v>
      </c>
      <c r="S293">
        <v>56</v>
      </c>
      <c r="T293">
        <v>0</v>
      </c>
      <c r="U293">
        <v>0</v>
      </c>
      <c r="V293">
        <v>0</v>
      </c>
      <c r="W293">
        <v>0</v>
      </c>
      <c r="X293">
        <v>0</v>
      </c>
      <c r="Y293">
        <v>0</v>
      </c>
      <c r="Z293">
        <v>0</v>
      </c>
      <c r="AA293">
        <v>68</v>
      </c>
      <c r="AB293">
        <v>0</v>
      </c>
      <c r="AC293">
        <v>0</v>
      </c>
      <c r="AD293">
        <v>0</v>
      </c>
      <c r="AE293">
        <v>0</v>
      </c>
      <c r="AF293">
        <v>0</v>
      </c>
      <c r="AG293">
        <v>126</v>
      </c>
      <c r="AH293">
        <v>0</v>
      </c>
      <c r="AI293">
        <v>250</v>
      </c>
      <c r="AJ293">
        <v>0</v>
      </c>
      <c r="AK293">
        <v>0</v>
      </c>
      <c r="AL293">
        <v>0</v>
      </c>
      <c r="AM293">
        <v>0</v>
      </c>
      <c r="AN293">
        <v>0</v>
      </c>
      <c r="AO293">
        <v>0</v>
      </c>
      <c r="AP293">
        <v>0</v>
      </c>
      <c r="AQ293">
        <v>0</v>
      </c>
      <c r="AR293">
        <v>0</v>
      </c>
      <c r="AS293">
        <v>0</v>
      </c>
      <c r="AT293">
        <v>0</v>
      </c>
      <c r="AU293">
        <v>0</v>
      </c>
      <c r="AV293">
        <v>0</v>
      </c>
      <c r="AW293">
        <v>0</v>
      </c>
      <c r="AX293">
        <v>0</v>
      </c>
      <c r="AY293">
        <v>0</v>
      </c>
      <c r="AZ293">
        <v>0</v>
      </c>
      <c r="BA293">
        <v>0</v>
      </c>
      <c r="BB293">
        <v>0</v>
      </c>
      <c r="BC293">
        <v>0</v>
      </c>
      <c r="BD293">
        <v>0</v>
      </c>
      <c r="BE293">
        <v>0</v>
      </c>
      <c r="BF293">
        <v>0</v>
      </c>
      <c r="BG293">
        <v>0</v>
      </c>
      <c r="BH293">
        <v>0</v>
      </c>
      <c r="BI293">
        <v>0</v>
      </c>
      <c r="BJ293">
        <v>0</v>
      </c>
      <c r="BK293">
        <v>0</v>
      </c>
      <c r="BL293">
        <v>0</v>
      </c>
      <c r="BM293">
        <v>0</v>
      </c>
      <c r="BN293">
        <v>0</v>
      </c>
      <c r="BO293">
        <v>0</v>
      </c>
      <c r="BP293">
        <v>0</v>
      </c>
      <c r="BQ293">
        <v>0</v>
      </c>
      <c r="BR293">
        <v>0</v>
      </c>
      <c r="BS293">
        <v>0</v>
      </c>
      <c r="BT293">
        <v>0</v>
      </c>
      <c r="BU293">
        <v>0</v>
      </c>
      <c r="BV293">
        <v>0</v>
      </c>
      <c r="BW293">
        <v>0</v>
      </c>
      <c r="BX293">
        <v>0</v>
      </c>
      <c r="BY293">
        <v>0</v>
      </c>
      <c r="BZ293">
        <v>0</v>
      </c>
      <c r="CA293">
        <v>0</v>
      </c>
      <c r="CB293">
        <v>0</v>
      </c>
      <c r="CC293">
        <v>0</v>
      </c>
      <c r="CD293">
        <v>0</v>
      </c>
      <c r="CE293">
        <v>0</v>
      </c>
      <c r="CF293">
        <v>0</v>
      </c>
      <c r="CG293">
        <v>0</v>
      </c>
      <c r="CH293">
        <v>0</v>
      </c>
      <c r="CI293">
        <v>0</v>
      </c>
      <c r="CJ293">
        <v>0</v>
      </c>
      <c r="CK293">
        <v>0</v>
      </c>
      <c r="CL293">
        <v>0</v>
      </c>
      <c r="CM293">
        <v>0</v>
      </c>
      <c r="CN293">
        <v>0</v>
      </c>
      <c r="CO293">
        <v>0</v>
      </c>
      <c r="CP293">
        <v>0</v>
      </c>
      <c r="CQ293">
        <v>0</v>
      </c>
      <c r="CR293">
        <v>0</v>
      </c>
      <c r="CS293">
        <v>0</v>
      </c>
      <c r="CT293">
        <v>0</v>
      </c>
      <c r="CU293">
        <v>0</v>
      </c>
      <c r="CV293">
        <v>0</v>
      </c>
      <c r="CW293">
        <v>0</v>
      </c>
      <c r="CX293">
        <v>0</v>
      </c>
      <c r="CY293">
        <v>0</v>
      </c>
      <c r="CZ293">
        <v>0</v>
      </c>
      <c r="DA293">
        <v>0</v>
      </c>
      <c r="DB293">
        <v>0</v>
      </c>
      <c r="DC293">
        <v>214</v>
      </c>
      <c r="DD293">
        <v>0</v>
      </c>
      <c r="DE293">
        <v>-18</v>
      </c>
      <c r="DF293">
        <v>0</v>
      </c>
      <c r="DG293">
        <v>0</v>
      </c>
      <c r="DH293">
        <v>0</v>
      </c>
      <c r="DI293">
        <v>0</v>
      </c>
      <c r="DJ293">
        <v>0</v>
      </c>
      <c r="DK293">
        <v>0</v>
      </c>
      <c r="DL293">
        <v>0</v>
      </c>
      <c r="DM293">
        <v>156</v>
      </c>
      <c r="DN293">
        <v>0</v>
      </c>
      <c r="DO293">
        <v>0</v>
      </c>
      <c r="DP293">
        <v>156</v>
      </c>
      <c r="DQ293">
        <v>0</v>
      </c>
      <c r="DR293">
        <v>0</v>
      </c>
      <c r="DS293">
        <v>0</v>
      </c>
      <c r="DT293">
        <v>-360</v>
      </c>
      <c r="DU293">
        <v>367</v>
      </c>
      <c r="DV293">
        <v>0</v>
      </c>
      <c r="DW293">
        <v>0</v>
      </c>
      <c r="DX293">
        <v>359</v>
      </c>
      <c r="DY293">
        <v>0</v>
      </c>
      <c r="DZ293">
        <v>0</v>
      </c>
      <c r="EA293">
        <v>0</v>
      </c>
      <c r="EB293">
        <v>0</v>
      </c>
      <c r="EC293">
        <v>0</v>
      </c>
      <c r="ED293">
        <v>0</v>
      </c>
      <c r="EE293">
        <v>0</v>
      </c>
      <c r="EF293">
        <v>0</v>
      </c>
      <c r="EG293">
        <v>0</v>
      </c>
      <c r="EH293">
        <v>0</v>
      </c>
      <c r="EI293">
        <v>0</v>
      </c>
      <c r="EJ293">
        <v>0</v>
      </c>
      <c r="EK293">
        <v>0</v>
      </c>
      <c r="EL293">
        <v>0</v>
      </c>
      <c r="EM293">
        <v>0</v>
      </c>
      <c r="EN293">
        <v>0</v>
      </c>
      <c r="EO293">
        <v>0</v>
      </c>
      <c r="EP293">
        <v>0</v>
      </c>
      <c r="EQ293">
        <v>0</v>
      </c>
      <c r="ER293">
        <v>0</v>
      </c>
      <c r="ES293">
        <v>0</v>
      </c>
      <c r="ET293">
        <v>0</v>
      </c>
      <c r="EU293">
        <v>0</v>
      </c>
      <c r="EV293">
        <v>0</v>
      </c>
      <c r="EW293">
        <v>0</v>
      </c>
      <c r="EX293">
        <v>124</v>
      </c>
      <c r="EY293">
        <v>0</v>
      </c>
      <c r="EZ293">
        <v>0</v>
      </c>
      <c r="FA293">
        <v>0</v>
      </c>
      <c r="FB293">
        <v>0</v>
      </c>
      <c r="FC293">
        <v>182</v>
      </c>
      <c r="FD293">
        <v>909</v>
      </c>
      <c r="FE293">
        <v>0</v>
      </c>
      <c r="FF293">
        <v>27</v>
      </c>
      <c r="FG293">
        <v>0</v>
      </c>
      <c r="FH293">
        <v>1242</v>
      </c>
      <c r="FI293">
        <v>-202</v>
      </c>
      <c r="FJ293">
        <v>0</v>
      </c>
      <c r="FK293">
        <v>0</v>
      </c>
      <c r="FL293">
        <v>0</v>
      </c>
      <c r="FM293">
        <v>0</v>
      </c>
      <c r="FN293">
        <v>0</v>
      </c>
      <c r="FO293">
        <v>0</v>
      </c>
      <c r="FP293">
        <v>0</v>
      </c>
      <c r="FQ293">
        <v>0</v>
      </c>
      <c r="FR293">
        <v>0</v>
      </c>
      <c r="FS293">
        <v>3</v>
      </c>
      <c r="FT293">
        <v>331</v>
      </c>
      <c r="FU293">
        <v>65</v>
      </c>
      <c r="FV293">
        <v>0</v>
      </c>
      <c r="FW293">
        <v>0</v>
      </c>
      <c r="FX293">
        <v>0</v>
      </c>
      <c r="FY293">
        <v>0</v>
      </c>
      <c r="FZ293">
        <v>23</v>
      </c>
      <c r="GA293">
        <v>0</v>
      </c>
      <c r="GB293">
        <v>0</v>
      </c>
      <c r="GC293">
        <v>0</v>
      </c>
      <c r="GD293">
        <v>428</v>
      </c>
      <c r="GE293">
        <v>1717</v>
      </c>
      <c r="GF293">
        <v>0</v>
      </c>
      <c r="GG293">
        <v>0</v>
      </c>
      <c r="GH293">
        <v>0</v>
      </c>
      <c r="GI293">
        <v>0</v>
      </c>
      <c r="GJ293">
        <v>0</v>
      </c>
      <c r="GK293">
        <v>2365</v>
      </c>
      <c r="GL293">
        <v>-35</v>
      </c>
      <c r="GM293">
        <v>119</v>
      </c>
      <c r="GN293">
        <v>0</v>
      </c>
      <c r="GO293">
        <v>211</v>
      </c>
      <c r="GP293">
        <v>13</v>
      </c>
      <c r="GQ293">
        <v>759</v>
      </c>
      <c r="GR293">
        <v>0</v>
      </c>
      <c r="GS293">
        <v>0</v>
      </c>
      <c r="GT293">
        <v>0</v>
      </c>
      <c r="GU293">
        <v>1067</v>
      </c>
      <c r="GV293">
        <v>4674</v>
      </c>
      <c r="GW293">
        <v>0</v>
      </c>
      <c r="GX293">
        <v>0</v>
      </c>
      <c r="GY293">
        <v>0</v>
      </c>
      <c r="GZ293">
        <v>0</v>
      </c>
      <c r="HA293">
        <v>0</v>
      </c>
      <c r="HB293">
        <v>2489</v>
      </c>
      <c r="HC293">
        <v>-253</v>
      </c>
      <c r="HD293">
        <v>0</v>
      </c>
      <c r="HE293">
        <v>0</v>
      </c>
      <c r="HF293">
        <v>0</v>
      </c>
      <c r="HG293">
        <v>0</v>
      </c>
      <c r="HH293">
        <v>0</v>
      </c>
      <c r="HI293">
        <v>0</v>
      </c>
      <c r="HJ293">
        <v>73</v>
      </c>
      <c r="HK293">
        <v>75</v>
      </c>
      <c r="HL293">
        <v>1</v>
      </c>
      <c r="HM293">
        <v>-13</v>
      </c>
      <c r="HN293">
        <v>0</v>
      </c>
      <c r="HO293">
        <v>0</v>
      </c>
      <c r="HP293">
        <v>0</v>
      </c>
      <c r="HQ293">
        <v>0</v>
      </c>
      <c r="HR293">
        <v>945</v>
      </c>
      <c r="HS293">
        <v>505</v>
      </c>
      <c r="HT293">
        <v>0</v>
      </c>
      <c r="HU293">
        <v>963</v>
      </c>
      <c r="HV293">
        <v>4785</v>
      </c>
      <c r="HW293">
        <v>0</v>
      </c>
      <c r="HX293">
        <v>0</v>
      </c>
      <c r="HY293">
        <v>0</v>
      </c>
      <c r="HZ293">
        <v>0</v>
      </c>
      <c r="IA293">
        <v>19</v>
      </c>
      <c r="IB293">
        <v>0</v>
      </c>
      <c r="IC293">
        <v>0</v>
      </c>
      <c r="ID293">
        <v>250</v>
      </c>
      <c r="IE293">
        <v>0</v>
      </c>
      <c r="IF293">
        <v>0</v>
      </c>
      <c r="IG293">
        <v>0</v>
      </c>
      <c r="IH293">
        <v>359</v>
      </c>
      <c r="II293">
        <v>1242</v>
      </c>
      <c r="IJ293">
        <v>2365</v>
      </c>
      <c r="IK293">
        <v>1067</v>
      </c>
      <c r="IL293">
        <v>0</v>
      </c>
      <c r="IM293">
        <v>0</v>
      </c>
      <c r="IN293">
        <v>4785</v>
      </c>
      <c r="IO293">
        <v>0</v>
      </c>
      <c r="IP293">
        <v>10068</v>
      </c>
      <c r="IQ293">
        <v>12661</v>
      </c>
      <c r="IR293">
        <v>0</v>
      </c>
      <c r="IS293">
        <v>0</v>
      </c>
      <c r="IT293">
        <v>0</v>
      </c>
      <c r="IU293">
        <v>0</v>
      </c>
      <c r="IV293">
        <v>56</v>
      </c>
      <c r="IW293">
        <v>0</v>
      </c>
      <c r="IX293">
        <v>0</v>
      </c>
      <c r="IY293">
        <v>0</v>
      </c>
      <c r="IZ293">
        <v>0</v>
      </c>
      <c r="JA293">
        <v>-171</v>
      </c>
      <c r="JB293">
        <v>0</v>
      </c>
      <c r="JC293">
        <v>-92</v>
      </c>
      <c r="JD293">
        <v>0</v>
      </c>
      <c r="JE293">
        <v>0</v>
      </c>
      <c r="JF293">
        <v>0</v>
      </c>
      <c r="JG293">
        <v>22522</v>
      </c>
      <c r="JH293">
        <v>0</v>
      </c>
      <c r="JI293">
        <v>0</v>
      </c>
      <c r="JJ293">
        <v>0</v>
      </c>
      <c r="JK293">
        <v>0</v>
      </c>
      <c r="JL293">
        <v>0</v>
      </c>
      <c r="JM293">
        <v>0</v>
      </c>
      <c r="JN293">
        <v>0</v>
      </c>
      <c r="JO293">
        <v>0</v>
      </c>
      <c r="JP293">
        <v>138</v>
      </c>
      <c r="JQ293">
        <v>0</v>
      </c>
      <c r="JR293">
        <v>22660</v>
      </c>
      <c r="JS293">
        <v>0</v>
      </c>
      <c r="JT293">
        <v>0</v>
      </c>
      <c r="JU293">
        <v>0</v>
      </c>
      <c r="JV293">
        <v>0</v>
      </c>
      <c r="JW293">
        <v>-12423</v>
      </c>
      <c r="JX293">
        <v>0</v>
      </c>
      <c r="JY293">
        <v>0</v>
      </c>
      <c r="JZ293">
        <v>0</v>
      </c>
      <c r="KA293">
        <v>0</v>
      </c>
      <c r="KB293">
        <v>0</v>
      </c>
      <c r="KC293">
        <v>10237</v>
      </c>
      <c r="KD293">
        <v>0</v>
      </c>
      <c r="KE293">
        <v>-904</v>
      </c>
      <c r="KF293">
        <v>9333</v>
      </c>
      <c r="KG293">
        <v>0</v>
      </c>
      <c r="KH293">
        <v>0</v>
      </c>
      <c r="KI293">
        <v>0</v>
      </c>
      <c r="KJ293">
        <v>0</v>
      </c>
      <c r="KK293">
        <v>-971</v>
      </c>
      <c r="KL293">
        <v>1534</v>
      </c>
      <c r="KM293">
        <v>0</v>
      </c>
      <c r="KN293">
        <v>0</v>
      </c>
      <c r="KO293">
        <v>-2180</v>
      </c>
      <c r="KP293">
        <v>0</v>
      </c>
      <c r="KQ293">
        <v>0</v>
      </c>
      <c r="KR293">
        <v>5867</v>
      </c>
      <c r="KS293">
        <v>0</v>
      </c>
      <c r="KT293">
        <v>0</v>
      </c>
      <c r="KU293">
        <v>0</v>
      </c>
      <c r="KV293">
        <v>9196</v>
      </c>
      <c r="KW293">
        <v>1000</v>
      </c>
      <c r="KX293">
        <v>0</v>
      </c>
      <c r="KY293">
        <v>0</v>
      </c>
      <c r="KZ293">
        <v>0</v>
      </c>
      <c r="LA293">
        <v>8225</v>
      </c>
      <c r="LB293">
        <v>1000</v>
      </c>
      <c r="LC293">
        <v>0</v>
      </c>
      <c r="LD293">
        <v>773</v>
      </c>
      <c r="LE293">
        <v>17</v>
      </c>
      <c r="LF293">
        <v>3592</v>
      </c>
      <c r="LG293">
        <v>0</v>
      </c>
      <c r="LH293">
        <v>1246</v>
      </c>
      <c r="LI293">
        <v>5628</v>
      </c>
      <c r="LJ293">
        <v>1967</v>
      </c>
      <c r="LK293">
        <v>3237</v>
      </c>
      <c r="LL293">
        <v>5204</v>
      </c>
      <c r="LM293">
        <v>60</v>
      </c>
      <c r="LN293">
        <v>0</v>
      </c>
      <c r="LO293">
        <v>0</v>
      </c>
      <c r="LP293">
        <v>0</v>
      </c>
      <c r="LQ293">
        <v>0</v>
      </c>
      <c r="LR293">
        <v>0</v>
      </c>
      <c r="LS293">
        <v>0</v>
      </c>
      <c r="LT293">
        <v>0</v>
      </c>
      <c r="LU293">
        <v>0</v>
      </c>
      <c r="LV293">
        <v>250</v>
      </c>
      <c r="LW293">
        <v>0</v>
      </c>
      <c r="LX293">
        <v>0</v>
      </c>
      <c r="LY293">
        <v>0</v>
      </c>
      <c r="LZ293">
        <v>359</v>
      </c>
      <c r="MA293">
        <v>1242</v>
      </c>
      <c r="MB293">
        <v>2365</v>
      </c>
      <c r="MC293">
        <v>1067</v>
      </c>
      <c r="MD293">
        <v>0</v>
      </c>
      <c r="ME293">
        <v>0</v>
      </c>
      <c r="MF293">
        <v>4785</v>
      </c>
      <c r="MG293">
        <v>0</v>
      </c>
      <c r="MH293">
        <v>10068</v>
      </c>
      <c r="MI293">
        <v>0</v>
      </c>
      <c r="MJ293">
        <v>0</v>
      </c>
      <c r="MK293">
        <v>0</v>
      </c>
      <c r="ML293">
        <v>0</v>
      </c>
      <c r="MM293">
        <v>0</v>
      </c>
      <c r="MN293">
        <v>0</v>
      </c>
      <c r="MO293">
        <v>0</v>
      </c>
      <c r="MP293">
        <v>0</v>
      </c>
      <c r="MQ293">
        <v>0</v>
      </c>
      <c r="MR293">
        <v>0</v>
      </c>
      <c r="MS293">
        <v>0</v>
      </c>
      <c r="MT293">
        <v>0</v>
      </c>
      <c r="MU293">
        <v>0</v>
      </c>
      <c r="MV293">
        <v>0</v>
      </c>
      <c r="MW293">
        <v>-15</v>
      </c>
      <c r="MX293">
        <v>-325</v>
      </c>
      <c r="MY293">
        <v>0</v>
      </c>
      <c r="MZ293">
        <v>77</v>
      </c>
      <c r="NA293">
        <v>-263</v>
      </c>
      <c r="NB293">
        <v>92</v>
      </c>
      <c r="NC293">
        <v>-171</v>
      </c>
      <c r="ND293">
        <v>0</v>
      </c>
      <c r="NE293">
        <v>0</v>
      </c>
      <c r="NF293">
        <v>0</v>
      </c>
      <c r="NG293">
        <v>0</v>
      </c>
      <c r="NH293">
        <v>0</v>
      </c>
      <c r="NI293">
        <v>0</v>
      </c>
      <c r="NJ293">
        <v>0</v>
      </c>
      <c r="NK293">
        <v>0</v>
      </c>
      <c r="NL293">
        <v>0</v>
      </c>
      <c r="NM293">
        <v>0</v>
      </c>
      <c r="NN293">
        <v>0</v>
      </c>
      <c r="NO293">
        <v>0</v>
      </c>
      <c r="NP293">
        <v>0</v>
      </c>
      <c r="NQ293">
        <v>0</v>
      </c>
      <c r="NR293">
        <v>0</v>
      </c>
      <c r="NS293">
        <v>0</v>
      </c>
      <c r="NT293">
        <v>0</v>
      </c>
      <c r="NU293">
        <v>0</v>
      </c>
      <c r="NV293">
        <v>0</v>
      </c>
      <c r="NW293">
        <v>0</v>
      </c>
      <c r="NX293">
        <v>0</v>
      </c>
      <c r="NY293">
        <v>0</v>
      </c>
      <c r="NZ293">
        <v>0</v>
      </c>
      <c r="OA293">
        <v>0</v>
      </c>
      <c r="OB293">
        <v>0</v>
      </c>
      <c r="OC293">
        <v>92</v>
      </c>
      <c r="OD293">
        <v>0</v>
      </c>
      <c r="OE293">
        <v>0</v>
      </c>
      <c r="OF293">
        <v>0</v>
      </c>
      <c r="OG293">
        <v>0</v>
      </c>
      <c r="OH293">
        <v>92</v>
      </c>
      <c r="OI293">
        <v>0</v>
      </c>
      <c r="OJ293">
        <v>0</v>
      </c>
      <c r="OK293">
        <v>0</v>
      </c>
      <c r="OL293">
        <v>0</v>
      </c>
      <c r="OM293">
        <v>0</v>
      </c>
      <c r="ON293">
        <v>0</v>
      </c>
    </row>
    <row r="294" spans="1:404" x14ac:dyDescent="0.25">
      <c r="A294" t="s">
        <v>952</v>
      </c>
      <c r="B294" t="s">
        <v>953</v>
      </c>
      <c r="C294" t="s">
        <v>951</v>
      </c>
      <c r="E294" t="s">
        <v>61</v>
      </c>
      <c r="F294">
        <v>0</v>
      </c>
      <c r="G294">
        <v>0</v>
      </c>
      <c r="H294">
        <v>0</v>
      </c>
      <c r="I294">
        <v>0</v>
      </c>
      <c r="J294">
        <v>0</v>
      </c>
      <c r="K294">
        <v>0</v>
      </c>
      <c r="L294">
        <v>0</v>
      </c>
      <c r="M294">
        <v>0</v>
      </c>
      <c r="N294">
        <v>0</v>
      </c>
      <c r="O294">
        <v>0</v>
      </c>
      <c r="P294">
        <v>0</v>
      </c>
      <c r="Q294">
        <v>0</v>
      </c>
      <c r="R294">
        <v>0</v>
      </c>
      <c r="S294">
        <v>49</v>
      </c>
      <c r="T294">
        <v>0</v>
      </c>
      <c r="U294">
        <v>0</v>
      </c>
      <c r="V294">
        <v>0</v>
      </c>
      <c r="W294">
        <v>0</v>
      </c>
      <c r="X294">
        <v>0</v>
      </c>
      <c r="Y294">
        <v>0</v>
      </c>
      <c r="Z294">
        <v>0</v>
      </c>
      <c r="AA294">
        <v>-1025</v>
      </c>
      <c r="AB294">
        <v>0</v>
      </c>
      <c r="AC294">
        <v>0</v>
      </c>
      <c r="AD294">
        <v>0</v>
      </c>
      <c r="AE294">
        <v>0</v>
      </c>
      <c r="AF294">
        <v>0</v>
      </c>
      <c r="AG294">
        <v>0</v>
      </c>
      <c r="AH294">
        <v>0</v>
      </c>
      <c r="AI294">
        <v>-976</v>
      </c>
      <c r="AJ294">
        <v>0</v>
      </c>
      <c r="AK294">
        <v>0</v>
      </c>
      <c r="AL294">
        <v>0</v>
      </c>
      <c r="AM294">
        <v>0</v>
      </c>
      <c r="AN294">
        <v>0</v>
      </c>
      <c r="AO294">
        <v>0</v>
      </c>
      <c r="AP294">
        <v>0</v>
      </c>
      <c r="AQ294">
        <v>0</v>
      </c>
      <c r="AR294">
        <v>0</v>
      </c>
      <c r="AS294">
        <v>0</v>
      </c>
      <c r="AT294">
        <v>0</v>
      </c>
      <c r="AU294">
        <v>0</v>
      </c>
      <c r="AV294">
        <v>0</v>
      </c>
      <c r="AW294">
        <v>0</v>
      </c>
      <c r="AX294">
        <v>0</v>
      </c>
      <c r="AY294">
        <v>0</v>
      </c>
      <c r="AZ294">
        <v>0</v>
      </c>
      <c r="BA294">
        <v>0</v>
      </c>
      <c r="BB294">
        <v>0</v>
      </c>
      <c r="BC294">
        <v>0</v>
      </c>
      <c r="BD294">
        <v>0</v>
      </c>
      <c r="BE294">
        <v>0</v>
      </c>
      <c r="BF294">
        <v>0</v>
      </c>
      <c r="BG294">
        <v>0</v>
      </c>
      <c r="BH294">
        <v>0</v>
      </c>
      <c r="BI294">
        <v>0</v>
      </c>
      <c r="BJ294">
        <v>0</v>
      </c>
      <c r="BK294">
        <v>0</v>
      </c>
      <c r="BL294">
        <v>0</v>
      </c>
      <c r="BM294">
        <v>0</v>
      </c>
      <c r="BN294">
        <v>0</v>
      </c>
      <c r="BO294">
        <v>0</v>
      </c>
      <c r="BP294">
        <v>0</v>
      </c>
      <c r="BQ294">
        <v>0</v>
      </c>
      <c r="BR294">
        <v>0</v>
      </c>
      <c r="BS294">
        <v>0</v>
      </c>
      <c r="BT294">
        <v>0</v>
      </c>
      <c r="BU294">
        <v>0</v>
      </c>
      <c r="BV294">
        <v>0</v>
      </c>
      <c r="BW294">
        <v>0</v>
      </c>
      <c r="BX294">
        <v>0</v>
      </c>
      <c r="BY294">
        <v>0</v>
      </c>
      <c r="BZ294">
        <v>0</v>
      </c>
      <c r="CA294">
        <v>0</v>
      </c>
      <c r="CB294">
        <v>0</v>
      </c>
      <c r="CC294">
        <v>0</v>
      </c>
      <c r="CD294">
        <v>0</v>
      </c>
      <c r="CE294">
        <v>0</v>
      </c>
      <c r="CF294">
        <v>0</v>
      </c>
      <c r="CG294">
        <v>0</v>
      </c>
      <c r="CH294">
        <v>0</v>
      </c>
      <c r="CI294">
        <v>0</v>
      </c>
      <c r="CJ294">
        <v>0</v>
      </c>
      <c r="CK294">
        <v>0</v>
      </c>
      <c r="CL294">
        <v>0</v>
      </c>
      <c r="CM294">
        <v>0</v>
      </c>
      <c r="CN294">
        <v>0</v>
      </c>
      <c r="CO294">
        <v>0</v>
      </c>
      <c r="CP294">
        <v>0</v>
      </c>
      <c r="CQ294">
        <v>0</v>
      </c>
      <c r="CR294">
        <v>0</v>
      </c>
      <c r="CS294">
        <v>0</v>
      </c>
      <c r="CT294">
        <v>0</v>
      </c>
      <c r="CU294">
        <v>0</v>
      </c>
      <c r="CV294">
        <v>0</v>
      </c>
      <c r="CW294">
        <v>0</v>
      </c>
      <c r="CX294">
        <v>0</v>
      </c>
      <c r="CY294">
        <v>0</v>
      </c>
      <c r="CZ294">
        <v>0</v>
      </c>
      <c r="DA294">
        <v>0</v>
      </c>
      <c r="DB294">
        <v>0</v>
      </c>
      <c r="DC294">
        <v>97</v>
      </c>
      <c r="DD294">
        <v>0</v>
      </c>
      <c r="DE294">
        <v>-363</v>
      </c>
      <c r="DF294">
        <v>0</v>
      </c>
      <c r="DG294">
        <v>654</v>
      </c>
      <c r="DH294">
        <v>0</v>
      </c>
      <c r="DI294">
        <v>0</v>
      </c>
      <c r="DJ294">
        <v>308</v>
      </c>
      <c r="DK294">
        <v>40</v>
      </c>
      <c r="DL294">
        <v>0</v>
      </c>
      <c r="DM294">
        <v>66</v>
      </c>
      <c r="DN294">
        <v>1671</v>
      </c>
      <c r="DO294">
        <v>-50</v>
      </c>
      <c r="DP294">
        <v>2689</v>
      </c>
      <c r="DQ294">
        <v>198</v>
      </c>
      <c r="DR294">
        <v>0</v>
      </c>
      <c r="DS294">
        <v>0</v>
      </c>
      <c r="DT294">
        <v>94</v>
      </c>
      <c r="DU294">
        <v>0</v>
      </c>
      <c r="DV294">
        <v>0</v>
      </c>
      <c r="DW294">
        <v>0</v>
      </c>
      <c r="DX294">
        <v>2715</v>
      </c>
      <c r="DY294">
        <v>0</v>
      </c>
      <c r="DZ294">
        <v>0</v>
      </c>
      <c r="EA294">
        <v>0</v>
      </c>
      <c r="EB294">
        <v>0</v>
      </c>
      <c r="EC294">
        <v>0</v>
      </c>
      <c r="ED294">
        <v>0</v>
      </c>
      <c r="EE294">
        <v>0</v>
      </c>
      <c r="EF294">
        <v>0</v>
      </c>
      <c r="EG294">
        <v>0</v>
      </c>
      <c r="EH294">
        <v>0</v>
      </c>
      <c r="EI294">
        <v>0</v>
      </c>
      <c r="EJ294">
        <v>0</v>
      </c>
      <c r="EK294">
        <v>0</v>
      </c>
      <c r="EL294">
        <v>0</v>
      </c>
      <c r="EM294">
        <v>0</v>
      </c>
      <c r="EN294">
        <v>0</v>
      </c>
      <c r="EO294">
        <v>0</v>
      </c>
      <c r="EP294">
        <v>0</v>
      </c>
      <c r="EQ294">
        <v>0</v>
      </c>
      <c r="ER294">
        <v>0</v>
      </c>
      <c r="ES294">
        <v>0</v>
      </c>
      <c r="ET294">
        <v>0</v>
      </c>
      <c r="EU294">
        <v>0</v>
      </c>
      <c r="EV294">
        <v>97</v>
      </c>
      <c r="EW294">
        <v>26</v>
      </c>
      <c r="EX294">
        <v>84</v>
      </c>
      <c r="EY294">
        <v>523</v>
      </c>
      <c r="EZ294">
        <v>0</v>
      </c>
      <c r="FA294">
        <v>301</v>
      </c>
      <c r="FB294">
        <v>54</v>
      </c>
      <c r="FC294">
        <v>83</v>
      </c>
      <c r="FD294">
        <v>1128</v>
      </c>
      <c r="FE294">
        <v>13</v>
      </c>
      <c r="FF294">
        <v>184</v>
      </c>
      <c r="FG294">
        <v>0</v>
      </c>
      <c r="FH294">
        <v>2493</v>
      </c>
      <c r="FI294">
        <v>40</v>
      </c>
      <c r="FJ294">
        <v>0</v>
      </c>
      <c r="FK294">
        <v>0</v>
      </c>
      <c r="FL294">
        <v>115</v>
      </c>
      <c r="FM294">
        <v>259</v>
      </c>
      <c r="FN294">
        <v>303</v>
      </c>
      <c r="FO294">
        <v>0</v>
      </c>
      <c r="FP294">
        <v>0</v>
      </c>
      <c r="FQ294">
        <v>0</v>
      </c>
      <c r="FR294">
        <v>16</v>
      </c>
      <c r="FS294">
        <v>404</v>
      </c>
      <c r="FT294">
        <v>59</v>
      </c>
      <c r="FU294">
        <v>190</v>
      </c>
      <c r="FV294">
        <v>23</v>
      </c>
      <c r="FW294">
        <v>0</v>
      </c>
      <c r="FX294">
        <v>184</v>
      </c>
      <c r="FY294">
        <v>3</v>
      </c>
      <c r="FZ294">
        <v>0</v>
      </c>
      <c r="GA294">
        <v>136</v>
      </c>
      <c r="GB294">
        <v>36</v>
      </c>
      <c r="GC294">
        <v>0</v>
      </c>
      <c r="GD294">
        <v>1288</v>
      </c>
      <c r="GE294">
        <v>3019</v>
      </c>
      <c r="GF294">
        <v>0</v>
      </c>
      <c r="GG294">
        <v>0</v>
      </c>
      <c r="GH294">
        <v>303</v>
      </c>
      <c r="GI294">
        <v>0</v>
      </c>
      <c r="GJ294">
        <v>98</v>
      </c>
      <c r="GK294">
        <v>6476</v>
      </c>
      <c r="GL294">
        <v>81</v>
      </c>
      <c r="GM294">
        <v>1527</v>
      </c>
      <c r="GN294">
        <v>25</v>
      </c>
      <c r="GO294">
        <v>436</v>
      </c>
      <c r="GP294">
        <v>0</v>
      </c>
      <c r="GQ294">
        <v>-675</v>
      </c>
      <c r="GR294">
        <v>0</v>
      </c>
      <c r="GS294">
        <v>0</v>
      </c>
      <c r="GT294">
        <v>0</v>
      </c>
      <c r="GU294">
        <v>1394</v>
      </c>
      <c r="GV294">
        <v>10363</v>
      </c>
      <c r="GW294">
        <v>0</v>
      </c>
      <c r="GX294">
        <v>0</v>
      </c>
      <c r="GY294">
        <v>0</v>
      </c>
      <c r="GZ294">
        <v>0</v>
      </c>
      <c r="HA294">
        <v>0</v>
      </c>
      <c r="HB294">
        <v>1309</v>
      </c>
      <c r="HC294">
        <v>298</v>
      </c>
      <c r="HD294">
        <v>0</v>
      </c>
      <c r="HE294">
        <v>0</v>
      </c>
      <c r="HF294">
        <v>513</v>
      </c>
      <c r="HG294">
        <v>-14</v>
      </c>
      <c r="HH294">
        <v>0</v>
      </c>
      <c r="HI294">
        <v>0</v>
      </c>
      <c r="HJ294">
        <v>227</v>
      </c>
      <c r="HK294">
        <v>-19</v>
      </c>
      <c r="HL294">
        <v>53</v>
      </c>
      <c r="HM294">
        <v>-38</v>
      </c>
      <c r="HN294">
        <v>0</v>
      </c>
      <c r="HO294">
        <v>133</v>
      </c>
      <c r="HP294">
        <v>0</v>
      </c>
      <c r="HQ294">
        <v>0</v>
      </c>
      <c r="HR294">
        <v>0</v>
      </c>
      <c r="HS294">
        <v>632</v>
      </c>
      <c r="HT294">
        <v>0</v>
      </c>
      <c r="HU294">
        <v>-217</v>
      </c>
      <c r="HV294">
        <v>2877</v>
      </c>
      <c r="HW294">
        <v>2326</v>
      </c>
      <c r="HX294">
        <v>3016</v>
      </c>
      <c r="HY294">
        <v>0</v>
      </c>
      <c r="HZ294">
        <v>0</v>
      </c>
      <c r="IA294">
        <v>267</v>
      </c>
      <c r="IB294">
        <v>140</v>
      </c>
      <c r="IC294">
        <v>0</v>
      </c>
      <c r="ID294">
        <v>-976</v>
      </c>
      <c r="IE294">
        <v>0</v>
      </c>
      <c r="IF294">
        <v>0</v>
      </c>
      <c r="IG294">
        <v>0</v>
      </c>
      <c r="IH294">
        <v>2715</v>
      </c>
      <c r="II294">
        <v>2493</v>
      </c>
      <c r="IJ294">
        <v>6476</v>
      </c>
      <c r="IK294">
        <v>1394</v>
      </c>
      <c r="IL294">
        <v>0</v>
      </c>
      <c r="IM294">
        <v>0</v>
      </c>
      <c r="IN294">
        <v>2877</v>
      </c>
      <c r="IO294">
        <v>140</v>
      </c>
      <c r="IP294">
        <v>15119</v>
      </c>
      <c r="IQ294">
        <v>16532</v>
      </c>
      <c r="IR294">
        <v>550</v>
      </c>
      <c r="IS294">
        <v>0</v>
      </c>
      <c r="IT294">
        <v>0</v>
      </c>
      <c r="IU294">
        <v>0</v>
      </c>
      <c r="IV294">
        <v>2151</v>
      </c>
      <c r="IW294">
        <v>0</v>
      </c>
      <c r="IX294">
        <v>0</v>
      </c>
      <c r="IY294">
        <v>0</v>
      </c>
      <c r="IZ294">
        <v>0</v>
      </c>
      <c r="JA294">
        <v>-559</v>
      </c>
      <c r="JB294">
        <v>0</v>
      </c>
      <c r="JC294">
        <v>0</v>
      </c>
      <c r="JD294">
        <v>0</v>
      </c>
      <c r="JE294">
        <v>0</v>
      </c>
      <c r="JF294">
        <v>0</v>
      </c>
      <c r="JG294">
        <v>33793</v>
      </c>
      <c r="JH294">
        <v>0</v>
      </c>
      <c r="JI294">
        <v>2190</v>
      </c>
      <c r="JJ294">
        <v>0</v>
      </c>
      <c r="JK294">
        <v>0</v>
      </c>
      <c r="JL294">
        <v>0</v>
      </c>
      <c r="JM294">
        <v>-30</v>
      </c>
      <c r="JN294">
        <v>214</v>
      </c>
      <c r="JO294">
        <v>0</v>
      </c>
      <c r="JP294">
        <v>405</v>
      </c>
      <c r="JQ294">
        <v>0</v>
      </c>
      <c r="JR294">
        <v>36572</v>
      </c>
      <c r="JS294">
        <v>-338</v>
      </c>
      <c r="JT294">
        <v>0</v>
      </c>
      <c r="JU294">
        <v>0</v>
      </c>
      <c r="JV294">
        <v>0</v>
      </c>
      <c r="JW294">
        <v>-17346</v>
      </c>
      <c r="JX294">
        <v>0</v>
      </c>
      <c r="JY294">
        <v>-1512</v>
      </c>
      <c r="JZ294">
        <v>0</v>
      </c>
      <c r="KA294">
        <v>0</v>
      </c>
      <c r="KB294">
        <v>0</v>
      </c>
      <c r="KC294">
        <v>17376</v>
      </c>
      <c r="KD294">
        <v>0</v>
      </c>
      <c r="KE294">
        <v>-1499</v>
      </c>
      <c r="KF294">
        <v>15877</v>
      </c>
      <c r="KG294">
        <v>0</v>
      </c>
      <c r="KH294">
        <v>0</v>
      </c>
      <c r="KI294">
        <v>0</v>
      </c>
      <c r="KJ294">
        <v>0</v>
      </c>
      <c r="KK294">
        <v>-1633</v>
      </c>
      <c r="KL294">
        <v>-2224</v>
      </c>
      <c r="KM294">
        <v>0</v>
      </c>
      <c r="KN294">
        <v>0</v>
      </c>
      <c r="KO294">
        <v>1364</v>
      </c>
      <c r="KP294">
        <v>49</v>
      </c>
      <c r="KQ294">
        <v>0</v>
      </c>
      <c r="KR294">
        <v>9939</v>
      </c>
      <c r="KS294">
        <v>0</v>
      </c>
      <c r="KT294">
        <v>0</v>
      </c>
      <c r="KU294">
        <v>0</v>
      </c>
      <c r="KV294">
        <v>13461</v>
      </c>
      <c r="KW294">
        <v>3804</v>
      </c>
      <c r="KX294">
        <v>0</v>
      </c>
      <c r="KY294">
        <v>0</v>
      </c>
      <c r="KZ294">
        <v>0</v>
      </c>
      <c r="LA294">
        <v>11828</v>
      </c>
      <c r="LB294">
        <v>1580</v>
      </c>
      <c r="LC294">
        <v>0</v>
      </c>
      <c r="LD294">
        <v>930</v>
      </c>
      <c r="LE294">
        <v>852</v>
      </c>
      <c r="LF294">
        <v>128</v>
      </c>
      <c r="LG294">
        <v>-1452</v>
      </c>
      <c r="LH294">
        <v>1628</v>
      </c>
      <c r="LI294">
        <v>2086</v>
      </c>
      <c r="LJ294">
        <v>3936</v>
      </c>
      <c r="LK294">
        <v>3641</v>
      </c>
      <c r="LL294">
        <v>7577</v>
      </c>
      <c r="LM294">
        <v>0</v>
      </c>
      <c r="LN294">
        <v>0</v>
      </c>
      <c r="LO294">
        <v>0</v>
      </c>
      <c r="LP294">
        <v>0</v>
      </c>
      <c r="LQ294">
        <v>0</v>
      </c>
      <c r="LR294">
        <v>0</v>
      </c>
      <c r="LS294">
        <v>0</v>
      </c>
      <c r="LT294">
        <v>0</v>
      </c>
      <c r="LU294">
        <v>0</v>
      </c>
      <c r="LV294">
        <v>-976</v>
      </c>
      <c r="LW294">
        <v>0</v>
      </c>
      <c r="LX294">
        <v>0</v>
      </c>
      <c r="LY294">
        <v>0</v>
      </c>
      <c r="LZ294">
        <v>2715</v>
      </c>
      <c r="MA294">
        <v>2493</v>
      </c>
      <c r="MB294">
        <v>6476</v>
      </c>
      <c r="MC294">
        <v>1394</v>
      </c>
      <c r="MD294">
        <v>0</v>
      </c>
      <c r="ME294">
        <v>0</v>
      </c>
      <c r="MF294">
        <v>2877</v>
      </c>
      <c r="MG294">
        <v>140</v>
      </c>
      <c r="MH294">
        <v>15119</v>
      </c>
      <c r="MI294">
        <v>0</v>
      </c>
      <c r="MJ294">
        <v>0</v>
      </c>
      <c r="MK294">
        <v>0</v>
      </c>
      <c r="ML294">
        <v>0</v>
      </c>
      <c r="MM294">
        <v>0</v>
      </c>
      <c r="MN294">
        <v>0</v>
      </c>
      <c r="MO294">
        <v>0</v>
      </c>
      <c r="MP294">
        <v>0</v>
      </c>
      <c r="MQ294">
        <v>0</v>
      </c>
      <c r="MR294">
        <v>0</v>
      </c>
      <c r="MS294">
        <v>0</v>
      </c>
      <c r="MT294">
        <v>0</v>
      </c>
      <c r="MU294">
        <v>0</v>
      </c>
      <c r="MV294">
        <v>0</v>
      </c>
      <c r="MW294">
        <v>0</v>
      </c>
      <c r="MX294">
        <v>-382</v>
      </c>
      <c r="MY294">
        <v>-177</v>
      </c>
      <c r="MZ294">
        <v>0</v>
      </c>
      <c r="NA294">
        <v>-559</v>
      </c>
      <c r="NB294">
        <v>0</v>
      </c>
      <c r="NC294">
        <v>-559</v>
      </c>
      <c r="ND294">
        <v>0</v>
      </c>
      <c r="NE294">
        <v>0</v>
      </c>
      <c r="NF294">
        <v>0</v>
      </c>
      <c r="NG294">
        <v>0</v>
      </c>
      <c r="NH294">
        <v>0</v>
      </c>
      <c r="NI294">
        <v>0</v>
      </c>
      <c r="NJ294">
        <v>0</v>
      </c>
      <c r="NK294">
        <v>0</v>
      </c>
      <c r="NL294">
        <v>0</v>
      </c>
      <c r="NM294">
        <v>0</v>
      </c>
      <c r="NN294">
        <v>0</v>
      </c>
      <c r="NO294">
        <v>0</v>
      </c>
      <c r="NP294">
        <v>0</v>
      </c>
      <c r="NQ294">
        <v>0</v>
      </c>
      <c r="NR294">
        <v>0</v>
      </c>
      <c r="NS294">
        <v>0</v>
      </c>
      <c r="NT294">
        <v>0</v>
      </c>
      <c r="NU294">
        <v>0</v>
      </c>
      <c r="NV294">
        <v>0</v>
      </c>
      <c r="NW294">
        <v>0</v>
      </c>
      <c r="NX294">
        <v>0</v>
      </c>
      <c r="NY294">
        <v>0</v>
      </c>
      <c r="NZ294">
        <v>0</v>
      </c>
      <c r="OA294">
        <v>0</v>
      </c>
      <c r="OB294">
        <v>0</v>
      </c>
      <c r="OC294">
        <v>0</v>
      </c>
      <c r="OD294">
        <v>0</v>
      </c>
      <c r="OE294">
        <v>0</v>
      </c>
      <c r="OF294">
        <v>0</v>
      </c>
      <c r="OG294">
        <v>0</v>
      </c>
      <c r="OH294">
        <v>0</v>
      </c>
      <c r="OI294">
        <v>0</v>
      </c>
      <c r="OJ294">
        <v>0</v>
      </c>
      <c r="OK294">
        <v>0</v>
      </c>
      <c r="OL294">
        <v>0</v>
      </c>
      <c r="OM294">
        <v>0</v>
      </c>
      <c r="ON294">
        <v>0</v>
      </c>
    </row>
    <row r="295" spans="1:404" x14ac:dyDescent="0.25">
      <c r="A295" t="s">
        <v>955</v>
      </c>
      <c r="B295" t="s">
        <v>956</v>
      </c>
      <c r="C295" t="s">
        <v>954</v>
      </c>
      <c r="E295" t="s">
        <v>97</v>
      </c>
      <c r="F295">
        <v>17593</v>
      </c>
      <c r="G295">
        <v>29680</v>
      </c>
      <c r="H295">
        <v>6518</v>
      </c>
      <c r="I295">
        <v>29338</v>
      </c>
      <c r="J295">
        <v>4405</v>
      </c>
      <c r="K295">
        <v>10723</v>
      </c>
      <c r="L295">
        <v>98257</v>
      </c>
      <c r="M295">
        <v>0</v>
      </c>
      <c r="N295">
        <v>0</v>
      </c>
      <c r="O295">
        <v>2264</v>
      </c>
      <c r="P295">
        <v>0</v>
      </c>
      <c r="Q295">
        <v>0</v>
      </c>
      <c r="R295">
        <v>870</v>
      </c>
      <c r="S295">
        <v>0</v>
      </c>
      <c r="T295">
        <v>783</v>
      </c>
      <c r="U295">
        <v>1438</v>
      </c>
      <c r="V295">
        <v>0</v>
      </c>
      <c r="W295">
        <v>0</v>
      </c>
      <c r="X295">
        <v>289</v>
      </c>
      <c r="Y295">
        <v>1139</v>
      </c>
      <c r="Z295">
        <v>-158</v>
      </c>
      <c r="AA295">
        <v>-41</v>
      </c>
      <c r="AB295">
        <v>0</v>
      </c>
      <c r="AC295">
        <v>0</v>
      </c>
      <c r="AD295">
        <v>0</v>
      </c>
      <c r="AE295">
        <v>0</v>
      </c>
      <c r="AF295">
        <v>0</v>
      </c>
      <c r="AG295">
        <v>0</v>
      </c>
      <c r="AH295">
        <v>0</v>
      </c>
      <c r="AI295">
        <v>6584</v>
      </c>
      <c r="AJ295">
        <v>0</v>
      </c>
      <c r="AK295">
        <v>0</v>
      </c>
      <c r="AL295">
        <v>0</v>
      </c>
      <c r="AM295">
        <v>0</v>
      </c>
      <c r="AN295">
        <v>0</v>
      </c>
      <c r="AO295">
        <v>0</v>
      </c>
      <c r="AP295">
        <v>0</v>
      </c>
      <c r="AQ295">
        <v>249</v>
      </c>
      <c r="AR295">
        <v>255</v>
      </c>
      <c r="AS295">
        <v>0</v>
      </c>
      <c r="AT295">
        <v>0</v>
      </c>
      <c r="AU295">
        <v>0</v>
      </c>
      <c r="AV295">
        <v>2430</v>
      </c>
      <c r="AW295">
        <v>44956</v>
      </c>
      <c r="AX295">
        <v>178</v>
      </c>
      <c r="AY295">
        <v>9306</v>
      </c>
      <c r="AZ295">
        <v>1072</v>
      </c>
      <c r="BA295">
        <v>21499</v>
      </c>
      <c r="BB295">
        <v>110</v>
      </c>
      <c r="BC295">
        <v>1743</v>
      </c>
      <c r="BD295">
        <v>81294</v>
      </c>
      <c r="BE295">
        <v>10543</v>
      </c>
      <c r="BF295">
        <v>16686</v>
      </c>
      <c r="BG295">
        <v>0</v>
      </c>
      <c r="BH295">
        <v>3</v>
      </c>
      <c r="BI295">
        <v>0</v>
      </c>
      <c r="BJ295">
        <v>7414</v>
      </c>
      <c r="BK295">
        <v>26583</v>
      </c>
      <c r="BL295">
        <v>430</v>
      </c>
      <c r="BM295">
        <v>3611</v>
      </c>
      <c r="BN295">
        <v>579</v>
      </c>
      <c r="BO295">
        <v>0</v>
      </c>
      <c r="BP295">
        <v>0</v>
      </c>
      <c r="BQ295">
        <v>1000</v>
      </c>
      <c r="BR295">
        <v>481</v>
      </c>
      <c r="BS295">
        <v>-63</v>
      </c>
      <c r="BT295">
        <v>8958</v>
      </c>
      <c r="BU295">
        <v>640</v>
      </c>
      <c r="BV295">
        <v>15600</v>
      </c>
      <c r="BW295">
        <v>99916</v>
      </c>
      <c r="BX295">
        <v>1958</v>
      </c>
      <c r="BY295">
        <v>345</v>
      </c>
      <c r="BZ295">
        <v>119</v>
      </c>
      <c r="CA295">
        <v>134</v>
      </c>
      <c r="CB295">
        <v>209</v>
      </c>
      <c r="CC295">
        <v>240</v>
      </c>
      <c r="CD295">
        <v>86</v>
      </c>
      <c r="CE295">
        <v>200</v>
      </c>
      <c r="CF295">
        <v>121</v>
      </c>
      <c r="CG295">
        <v>1224</v>
      </c>
      <c r="CH295">
        <v>713</v>
      </c>
      <c r="CI295">
        <v>2562</v>
      </c>
      <c r="CJ295">
        <v>675</v>
      </c>
      <c r="CK295">
        <v>0</v>
      </c>
      <c r="CL295">
        <v>0</v>
      </c>
      <c r="CM295">
        <v>166</v>
      </c>
      <c r="CN295">
        <v>324</v>
      </c>
      <c r="CO295">
        <v>0</v>
      </c>
      <c r="CP295">
        <v>2395</v>
      </c>
      <c r="CQ295">
        <v>2647</v>
      </c>
      <c r="CR295">
        <v>1427</v>
      </c>
      <c r="CS295">
        <v>57</v>
      </c>
      <c r="CT295">
        <v>507</v>
      </c>
      <c r="CU295">
        <v>1239</v>
      </c>
      <c r="CV295">
        <v>20759</v>
      </c>
      <c r="CW295">
        <v>0</v>
      </c>
      <c r="CX295">
        <v>0</v>
      </c>
      <c r="CY295">
        <v>0</v>
      </c>
      <c r="CZ295">
        <v>0</v>
      </c>
      <c r="DA295">
        <v>0</v>
      </c>
      <c r="DB295">
        <v>0</v>
      </c>
      <c r="DC295">
        <v>0</v>
      </c>
      <c r="DD295">
        <v>0</v>
      </c>
      <c r="DE295">
        <v>-571</v>
      </c>
      <c r="DF295">
        <v>0</v>
      </c>
      <c r="DG295">
        <v>0</v>
      </c>
      <c r="DH295">
        <v>0</v>
      </c>
      <c r="DI295">
        <v>153</v>
      </c>
      <c r="DJ295">
        <v>958</v>
      </c>
      <c r="DK295">
        <v>571</v>
      </c>
      <c r="DL295">
        <v>0</v>
      </c>
      <c r="DM295">
        <v>136</v>
      </c>
      <c r="DN295">
        <v>229</v>
      </c>
      <c r="DO295">
        <v>179</v>
      </c>
      <c r="DP295">
        <v>2226</v>
      </c>
      <c r="DQ295">
        <v>0</v>
      </c>
      <c r="DR295">
        <v>0</v>
      </c>
      <c r="DS295">
        <v>0</v>
      </c>
      <c r="DT295">
        <v>12</v>
      </c>
      <c r="DU295">
        <v>0</v>
      </c>
      <c r="DV295">
        <v>1569</v>
      </c>
      <c r="DW295">
        <v>0</v>
      </c>
      <c r="DX295">
        <v>3236</v>
      </c>
      <c r="DY295">
        <v>85073</v>
      </c>
      <c r="DZ295">
        <v>697</v>
      </c>
      <c r="EA295">
        <v>0</v>
      </c>
      <c r="EB295">
        <v>0</v>
      </c>
      <c r="EC295">
        <v>0</v>
      </c>
      <c r="ED295">
        <v>21</v>
      </c>
      <c r="EE295">
        <v>0</v>
      </c>
      <c r="EF295">
        <v>0</v>
      </c>
      <c r="EG295">
        <v>6</v>
      </c>
      <c r="EH295">
        <v>17864</v>
      </c>
      <c r="EI295">
        <v>25475</v>
      </c>
      <c r="EJ295">
        <v>0</v>
      </c>
      <c r="EK295">
        <v>443</v>
      </c>
      <c r="EL295">
        <v>13721</v>
      </c>
      <c r="EM295">
        <v>18479</v>
      </c>
      <c r="EN295">
        <v>6519</v>
      </c>
      <c r="EO295">
        <v>281</v>
      </c>
      <c r="EP295">
        <v>0</v>
      </c>
      <c r="EQ295">
        <v>2538</v>
      </c>
      <c r="ER295">
        <v>552</v>
      </c>
      <c r="ES295">
        <v>10599</v>
      </c>
      <c r="ET295">
        <v>10524</v>
      </c>
      <c r="EU295">
        <v>369</v>
      </c>
      <c r="EV295">
        <v>0</v>
      </c>
      <c r="EW295">
        <v>12</v>
      </c>
      <c r="EX295">
        <v>532</v>
      </c>
      <c r="EY295">
        <v>468</v>
      </c>
      <c r="EZ295">
        <v>115</v>
      </c>
      <c r="FA295">
        <v>0</v>
      </c>
      <c r="FB295">
        <v>179</v>
      </c>
      <c r="FC295">
        <v>2618</v>
      </c>
      <c r="FD295">
        <v>4708</v>
      </c>
      <c r="FE295">
        <v>0</v>
      </c>
      <c r="FF295">
        <v>-103</v>
      </c>
      <c r="FG295">
        <v>3407</v>
      </c>
      <c r="FH295">
        <v>12305</v>
      </c>
      <c r="FI295">
        <v>-487</v>
      </c>
      <c r="FJ295">
        <v>145</v>
      </c>
      <c r="FK295">
        <v>0</v>
      </c>
      <c r="FL295">
        <v>359</v>
      </c>
      <c r="FM295">
        <v>1700</v>
      </c>
      <c r="FN295">
        <v>0</v>
      </c>
      <c r="FO295">
        <v>169</v>
      </c>
      <c r="FP295">
        <v>0</v>
      </c>
      <c r="FQ295">
        <v>0</v>
      </c>
      <c r="FR295">
        <v>-66</v>
      </c>
      <c r="FS295">
        <v>41</v>
      </c>
      <c r="FT295">
        <v>88</v>
      </c>
      <c r="FU295">
        <v>62</v>
      </c>
      <c r="FV295">
        <v>839</v>
      </c>
      <c r="FW295">
        <v>0</v>
      </c>
      <c r="FX295">
        <v>70</v>
      </c>
      <c r="FY295">
        <v>0</v>
      </c>
      <c r="FZ295">
        <v>5</v>
      </c>
      <c r="GA295">
        <v>0</v>
      </c>
      <c r="GB295">
        <v>0</v>
      </c>
      <c r="GC295">
        <v>0</v>
      </c>
      <c r="GD295">
        <v>602</v>
      </c>
      <c r="GE295">
        <v>4143</v>
      </c>
      <c r="GF295">
        <v>9216</v>
      </c>
      <c r="GG295">
        <v>-446</v>
      </c>
      <c r="GH295">
        <v>1404</v>
      </c>
      <c r="GI295">
        <v>0</v>
      </c>
      <c r="GJ295">
        <v>1199</v>
      </c>
      <c r="GK295">
        <v>19043</v>
      </c>
      <c r="GL295">
        <v>58</v>
      </c>
      <c r="GM295">
        <v>995</v>
      </c>
      <c r="GN295">
        <v>0</v>
      </c>
      <c r="GO295">
        <v>471</v>
      </c>
      <c r="GP295">
        <v>0</v>
      </c>
      <c r="GQ295">
        <v>2752</v>
      </c>
      <c r="GR295">
        <v>0</v>
      </c>
      <c r="GS295">
        <v>-842</v>
      </c>
      <c r="GT295">
        <v>974</v>
      </c>
      <c r="GU295">
        <v>4408</v>
      </c>
      <c r="GV295">
        <v>35756</v>
      </c>
      <c r="GW295">
        <v>0</v>
      </c>
      <c r="GX295">
        <v>0</v>
      </c>
      <c r="GY295">
        <v>0</v>
      </c>
      <c r="GZ295">
        <v>0</v>
      </c>
      <c r="HA295">
        <v>0</v>
      </c>
      <c r="HB295">
        <v>3509</v>
      </c>
      <c r="HC295">
        <v>1338</v>
      </c>
      <c r="HD295">
        <v>0</v>
      </c>
      <c r="HE295">
        <v>0</v>
      </c>
      <c r="HF295">
        <v>0</v>
      </c>
      <c r="HG295">
        <v>147</v>
      </c>
      <c r="HH295">
        <v>0</v>
      </c>
      <c r="HI295">
        <v>281</v>
      </c>
      <c r="HJ295">
        <v>410</v>
      </c>
      <c r="HK295">
        <v>598</v>
      </c>
      <c r="HL295">
        <v>114</v>
      </c>
      <c r="HM295">
        <v>-38</v>
      </c>
      <c r="HN295">
        <v>349</v>
      </c>
      <c r="HO295">
        <v>0</v>
      </c>
      <c r="HP295">
        <v>689</v>
      </c>
      <c r="HQ295">
        <v>0</v>
      </c>
      <c r="HR295">
        <v>2551</v>
      </c>
      <c r="HS295">
        <v>0</v>
      </c>
      <c r="HT295">
        <v>0</v>
      </c>
      <c r="HU295">
        <v>6521</v>
      </c>
      <c r="HV295">
        <v>16469</v>
      </c>
      <c r="HW295">
        <v>3449</v>
      </c>
      <c r="HX295">
        <v>34751</v>
      </c>
      <c r="HY295">
        <v>0</v>
      </c>
      <c r="HZ295">
        <v>3277</v>
      </c>
      <c r="IA295">
        <v>345</v>
      </c>
      <c r="IB295">
        <v>0</v>
      </c>
      <c r="IC295">
        <v>98257</v>
      </c>
      <c r="ID295">
        <v>6584</v>
      </c>
      <c r="IE295">
        <v>81294</v>
      </c>
      <c r="IF295">
        <v>99916</v>
      </c>
      <c r="IG295">
        <v>20759</v>
      </c>
      <c r="IH295">
        <v>3236</v>
      </c>
      <c r="II295">
        <v>12305</v>
      </c>
      <c r="IJ295">
        <v>19043</v>
      </c>
      <c r="IK295">
        <v>4408</v>
      </c>
      <c r="IL295">
        <v>0</v>
      </c>
      <c r="IM295">
        <v>0</v>
      </c>
      <c r="IN295">
        <v>16469</v>
      </c>
      <c r="IO295">
        <v>0</v>
      </c>
      <c r="IP295">
        <v>362271</v>
      </c>
      <c r="IQ295">
        <v>25749</v>
      </c>
      <c r="IR295">
        <v>668</v>
      </c>
      <c r="IS295">
        <v>30772</v>
      </c>
      <c r="IT295">
        <v>0</v>
      </c>
      <c r="IU295">
        <v>-1481</v>
      </c>
      <c r="IV295">
        <v>3203</v>
      </c>
      <c r="IW295">
        <v>10430</v>
      </c>
      <c r="IX295">
        <v>0</v>
      </c>
      <c r="IY295">
        <v>0</v>
      </c>
      <c r="IZ295">
        <v>73</v>
      </c>
      <c r="JA295">
        <v>433</v>
      </c>
      <c r="JB295">
        <v>-96</v>
      </c>
      <c r="JC295">
        <v>-226</v>
      </c>
      <c r="JD295">
        <v>-245</v>
      </c>
      <c r="JE295">
        <v>-140</v>
      </c>
      <c r="JF295">
        <v>0</v>
      </c>
      <c r="JG295">
        <v>431411</v>
      </c>
      <c r="JH295">
        <v>115</v>
      </c>
      <c r="JI295">
        <v>0</v>
      </c>
      <c r="JJ295">
        <v>0</v>
      </c>
      <c r="JK295">
        <v>0</v>
      </c>
      <c r="JL295">
        <v>0</v>
      </c>
      <c r="JM295">
        <v>-208</v>
      </c>
      <c r="JN295">
        <v>6522</v>
      </c>
      <c r="JO295">
        <v>0</v>
      </c>
      <c r="JP295">
        <v>22244</v>
      </c>
      <c r="JQ295">
        <v>-13721</v>
      </c>
      <c r="JR295">
        <v>446363</v>
      </c>
      <c r="JS295">
        <v>-179</v>
      </c>
      <c r="JT295">
        <v>-2008</v>
      </c>
      <c r="JU295">
        <v>25</v>
      </c>
      <c r="JV295">
        <v>0</v>
      </c>
      <c r="JW295">
        <v>-58798</v>
      </c>
      <c r="JX295">
        <v>0</v>
      </c>
      <c r="JY295">
        <v>0</v>
      </c>
      <c r="JZ295">
        <v>0</v>
      </c>
      <c r="KA295">
        <v>0</v>
      </c>
      <c r="KB295">
        <v>0</v>
      </c>
      <c r="KC295">
        <v>385403</v>
      </c>
      <c r="KD295">
        <v>-1185</v>
      </c>
      <c r="KE295">
        <v>-181663</v>
      </c>
      <c r="KF295">
        <v>202555</v>
      </c>
      <c r="KG295">
        <v>0</v>
      </c>
      <c r="KH295">
        <v>524</v>
      </c>
      <c r="KI295">
        <v>8418</v>
      </c>
      <c r="KJ295">
        <v>0</v>
      </c>
      <c r="KK295">
        <v>-2128</v>
      </c>
      <c r="KL295">
        <v>0</v>
      </c>
      <c r="KM295">
        <v>-15183</v>
      </c>
      <c r="KN295">
        <v>0</v>
      </c>
      <c r="KO295">
        <v>-57042</v>
      </c>
      <c r="KP295">
        <v>-1500</v>
      </c>
      <c r="KQ295">
        <v>0</v>
      </c>
      <c r="KR295">
        <v>117452</v>
      </c>
      <c r="KS295">
        <v>3155</v>
      </c>
      <c r="KT295">
        <v>0</v>
      </c>
      <c r="KU295">
        <v>3</v>
      </c>
      <c r="KV295">
        <v>56249</v>
      </c>
      <c r="KW295">
        <v>25000</v>
      </c>
      <c r="KX295">
        <v>3679</v>
      </c>
      <c r="KY295">
        <v>8418</v>
      </c>
      <c r="KZ295">
        <v>3</v>
      </c>
      <c r="LA295">
        <v>54121</v>
      </c>
      <c r="LB295">
        <v>25000</v>
      </c>
      <c r="LC295">
        <v>0</v>
      </c>
      <c r="LD295">
        <v>16920</v>
      </c>
      <c r="LE295">
        <v>471</v>
      </c>
      <c r="LF295">
        <v>-660</v>
      </c>
      <c r="LG295">
        <v>0</v>
      </c>
      <c r="LH295">
        <v>6053</v>
      </c>
      <c r="LI295">
        <v>-25498</v>
      </c>
      <c r="LJ295">
        <v>8743</v>
      </c>
      <c r="LK295">
        <v>13650</v>
      </c>
      <c r="LL295">
        <v>22393</v>
      </c>
      <c r="LM295">
        <v>0</v>
      </c>
      <c r="LN295">
        <v>0</v>
      </c>
      <c r="LO295">
        <v>0</v>
      </c>
      <c r="LP295">
        <v>85797</v>
      </c>
      <c r="LQ295">
        <v>85872</v>
      </c>
      <c r="LR295">
        <v>-75</v>
      </c>
      <c r="LS295">
        <v>10599</v>
      </c>
      <c r="LT295">
        <v>10524</v>
      </c>
      <c r="LU295">
        <v>98257</v>
      </c>
      <c r="LV295">
        <v>6584</v>
      </c>
      <c r="LW295">
        <v>81294</v>
      </c>
      <c r="LX295">
        <v>99916</v>
      </c>
      <c r="LY295">
        <v>20759</v>
      </c>
      <c r="LZ295">
        <v>3236</v>
      </c>
      <c r="MA295">
        <v>12305</v>
      </c>
      <c r="MB295">
        <v>19043</v>
      </c>
      <c r="MC295">
        <v>4408</v>
      </c>
      <c r="MD295">
        <v>0</v>
      </c>
      <c r="ME295">
        <v>0</v>
      </c>
      <c r="MF295">
        <v>16469</v>
      </c>
      <c r="MG295">
        <v>0</v>
      </c>
      <c r="MH295">
        <v>362271</v>
      </c>
      <c r="MI295">
        <v>0</v>
      </c>
      <c r="MJ295">
        <v>0</v>
      </c>
      <c r="MK295">
        <v>0</v>
      </c>
      <c r="ML295">
        <v>0</v>
      </c>
      <c r="MM295">
        <v>0</v>
      </c>
      <c r="MN295">
        <v>0</v>
      </c>
      <c r="MO295">
        <v>0</v>
      </c>
      <c r="MP295">
        <v>0</v>
      </c>
      <c r="MQ295">
        <v>0</v>
      </c>
      <c r="MR295">
        <v>0</v>
      </c>
      <c r="MS295">
        <v>0</v>
      </c>
      <c r="MT295">
        <v>0</v>
      </c>
      <c r="MU295">
        <v>0</v>
      </c>
      <c r="MV295">
        <v>4</v>
      </c>
      <c r="MW295">
        <v>0</v>
      </c>
      <c r="MX295">
        <v>0</v>
      </c>
      <c r="MY295">
        <v>0</v>
      </c>
      <c r="MZ295">
        <v>203</v>
      </c>
      <c r="NA295">
        <v>207</v>
      </c>
      <c r="NB295">
        <v>226</v>
      </c>
      <c r="NC295">
        <v>433</v>
      </c>
      <c r="ND295">
        <v>-89</v>
      </c>
      <c r="NE295">
        <v>0</v>
      </c>
      <c r="NF295">
        <v>0</v>
      </c>
      <c r="NG295">
        <v>0</v>
      </c>
      <c r="NH295">
        <v>0</v>
      </c>
      <c r="NI295">
        <v>0</v>
      </c>
      <c r="NJ295">
        <v>0</v>
      </c>
      <c r="NK295">
        <v>0</v>
      </c>
      <c r="NL295">
        <v>0</v>
      </c>
      <c r="NM295">
        <v>50</v>
      </c>
      <c r="NN295">
        <v>544</v>
      </c>
      <c r="NO295">
        <v>0</v>
      </c>
      <c r="NP295">
        <v>0</v>
      </c>
      <c r="NQ295">
        <v>23</v>
      </c>
      <c r="NR295">
        <v>0</v>
      </c>
      <c r="NS295">
        <v>0</v>
      </c>
      <c r="NT295">
        <v>284</v>
      </c>
      <c r="NU295">
        <v>0</v>
      </c>
      <c r="NV295">
        <v>0</v>
      </c>
      <c r="NW295">
        <v>0</v>
      </c>
      <c r="NX295">
        <v>0</v>
      </c>
      <c r="NY295">
        <v>0</v>
      </c>
      <c r="NZ295">
        <v>-341</v>
      </c>
      <c r="OA295">
        <v>245</v>
      </c>
      <c r="OB295">
        <v>-96</v>
      </c>
      <c r="OC295">
        <v>56</v>
      </c>
      <c r="OD295">
        <v>48</v>
      </c>
      <c r="OE295">
        <v>122</v>
      </c>
      <c r="OF295">
        <v>0</v>
      </c>
      <c r="OG295">
        <v>0</v>
      </c>
      <c r="OH295">
        <v>226</v>
      </c>
      <c r="OI295">
        <v>233</v>
      </c>
      <c r="OJ295">
        <v>12</v>
      </c>
      <c r="OK295">
        <v>0</v>
      </c>
      <c r="OL295">
        <v>0</v>
      </c>
      <c r="OM295">
        <v>0</v>
      </c>
      <c r="ON295">
        <v>245</v>
      </c>
    </row>
    <row r="296" spans="1:404" x14ac:dyDescent="0.25">
      <c r="A296" t="s">
        <v>958</v>
      </c>
      <c r="B296" t="s">
        <v>959</v>
      </c>
      <c r="C296" t="s">
        <v>957</v>
      </c>
      <c r="E296" t="s">
        <v>61</v>
      </c>
      <c r="F296">
        <v>0</v>
      </c>
      <c r="G296">
        <v>0</v>
      </c>
      <c r="H296">
        <v>0</v>
      </c>
      <c r="I296">
        <v>0</v>
      </c>
      <c r="J296">
        <v>0</v>
      </c>
      <c r="K296">
        <v>0</v>
      </c>
      <c r="L296">
        <v>0</v>
      </c>
      <c r="M296">
        <v>0</v>
      </c>
      <c r="N296">
        <v>0</v>
      </c>
      <c r="O296">
        <v>0</v>
      </c>
      <c r="P296">
        <v>0</v>
      </c>
      <c r="Q296">
        <v>0</v>
      </c>
      <c r="R296">
        <v>159</v>
      </c>
      <c r="S296">
        <v>0</v>
      </c>
      <c r="T296">
        <v>0</v>
      </c>
      <c r="U296">
        <v>0</v>
      </c>
      <c r="V296">
        <v>0</v>
      </c>
      <c r="W296">
        <v>0</v>
      </c>
      <c r="X296">
        <v>0</v>
      </c>
      <c r="Y296">
        <v>0</v>
      </c>
      <c r="Z296">
        <v>0</v>
      </c>
      <c r="AA296">
        <v>-17</v>
      </c>
      <c r="AB296">
        <v>0</v>
      </c>
      <c r="AC296">
        <v>0</v>
      </c>
      <c r="AD296">
        <v>0</v>
      </c>
      <c r="AE296">
        <v>0</v>
      </c>
      <c r="AF296">
        <v>0</v>
      </c>
      <c r="AG296">
        <v>0</v>
      </c>
      <c r="AH296">
        <v>0</v>
      </c>
      <c r="AI296">
        <v>142</v>
      </c>
      <c r="AJ296">
        <v>0</v>
      </c>
      <c r="AK296">
        <v>0</v>
      </c>
      <c r="AL296">
        <v>0</v>
      </c>
      <c r="AM296">
        <v>0</v>
      </c>
      <c r="AN296">
        <v>0</v>
      </c>
      <c r="AO296">
        <v>0</v>
      </c>
      <c r="AP296">
        <v>0</v>
      </c>
      <c r="AQ296">
        <v>0</v>
      </c>
      <c r="AR296">
        <v>0</v>
      </c>
      <c r="AS296">
        <v>0</v>
      </c>
      <c r="AT296">
        <v>0</v>
      </c>
      <c r="AU296">
        <v>0</v>
      </c>
      <c r="AV296">
        <v>0</v>
      </c>
      <c r="AW296">
        <v>0</v>
      </c>
      <c r="AX296">
        <v>0</v>
      </c>
      <c r="AY296">
        <v>0</v>
      </c>
      <c r="AZ296">
        <v>0</v>
      </c>
      <c r="BA296">
        <v>0</v>
      </c>
      <c r="BB296">
        <v>0</v>
      </c>
      <c r="BC296">
        <v>0</v>
      </c>
      <c r="BD296">
        <v>0</v>
      </c>
      <c r="BE296">
        <v>0</v>
      </c>
      <c r="BF296">
        <v>0</v>
      </c>
      <c r="BG296">
        <v>0</v>
      </c>
      <c r="BH296">
        <v>0</v>
      </c>
      <c r="BI296">
        <v>0</v>
      </c>
      <c r="BJ296">
        <v>0</v>
      </c>
      <c r="BK296">
        <v>0</v>
      </c>
      <c r="BL296">
        <v>0</v>
      </c>
      <c r="BM296">
        <v>0</v>
      </c>
      <c r="BN296">
        <v>0</v>
      </c>
      <c r="BO296">
        <v>0</v>
      </c>
      <c r="BP296">
        <v>0</v>
      </c>
      <c r="BQ296">
        <v>0</v>
      </c>
      <c r="BR296">
        <v>0</v>
      </c>
      <c r="BS296">
        <v>0</v>
      </c>
      <c r="BT296">
        <v>0</v>
      </c>
      <c r="BU296">
        <v>0</v>
      </c>
      <c r="BV296">
        <v>0</v>
      </c>
      <c r="BW296">
        <v>0</v>
      </c>
      <c r="BX296">
        <v>0</v>
      </c>
      <c r="BY296">
        <v>0</v>
      </c>
      <c r="BZ296">
        <v>0</v>
      </c>
      <c r="CA296">
        <v>0</v>
      </c>
      <c r="CB296">
        <v>0</v>
      </c>
      <c r="CC296">
        <v>0</v>
      </c>
      <c r="CD296">
        <v>0</v>
      </c>
      <c r="CE296">
        <v>0</v>
      </c>
      <c r="CF296">
        <v>0</v>
      </c>
      <c r="CG296">
        <v>0</v>
      </c>
      <c r="CH296">
        <v>0</v>
      </c>
      <c r="CI296">
        <v>0</v>
      </c>
      <c r="CJ296">
        <v>0</v>
      </c>
      <c r="CK296">
        <v>0</v>
      </c>
      <c r="CL296">
        <v>0</v>
      </c>
      <c r="CM296">
        <v>0</v>
      </c>
      <c r="CN296">
        <v>0</v>
      </c>
      <c r="CO296">
        <v>0</v>
      </c>
      <c r="CP296">
        <v>0</v>
      </c>
      <c r="CQ296">
        <v>0</v>
      </c>
      <c r="CR296">
        <v>0</v>
      </c>
      <c r="CS296">
        <v>0</v>
      </c>
      <c r="CT296">
        <v>0</v>
      </c>
      <c r="CU296">
        <v>0</v>
      </c>
      <c r="CV296">
        <v>0</v>
      </c>
      <c r="CW296">
        <v>0</v>
      </c>
      <c r="CX296">
        <v>0</v>
      </c>
      <c r="CY296">
        <v>0</v>
      </c>
      <c r="CZ296">
        <v>0</v>
      </c>
      <c r="DA296">
        <v>0</v>
      </c>
      <c r="DB296">
        <v>0</v>
      </c>
      <c r="DC296">
        <v>287</v>
      </c>
      <c r="DD296">
        <v>0</v>
      </c>
      <c r="DE296">
        <v>0</v>
      </c>
      <c r="DF296">
        <v>0</v>
      </c>
      <c r="DG296">
        <v>1342</v>
      </c>
      <c r="DH296">
        <v>0</v>
      </c>
      <c r="DI296">
        <v>0</v>
      </c>
      <c r="DJ296">
        <v>0</v>
      </c>
      <c r="DK296">
        <v>0</v>
      </c>
      <c r="DL296">
        <v>0</v>
      </c>
      <c r="DM296">
        <v>0</v>
      </c>
      <c r="DN296">
        <v>0</v>
      </c>
      <c r="DO296">
        <v>0</v>
      </c>
      <c r="DP296">
        <v>1342</v>
      </c>
      <c r="DQ296">
        <v>0</v>
      </c>
      <c r="DR296">
        <v>0</v>
      </c>
      <c r="DS296">
        <v>0</v>
      </c>
      <c r="DT296">
        <v>400</v>
      </c>
      <c r="DU296">
        <v>66</v>
      </c>
      <c r="DV296">
        <v>0</v>
      </c>
      <c r="DW296">
        <v>0</v>
      </c>
      <c r="DX296">
        <v>2095</v>
      </c>
      <c r="DY296">
        <v>15370</v>
      </c>
      <c r="DZ296">
        <v>118</v>
      </c>
      <c r="EA296">
        <v>871</v>
      </c>
      <c r="EB296">
        <v>115</v>
      </c>
      <c r="EC296">
        <v>0</v>
      </c>
      <c r="ED296">
        <v>733</v>
      </c>
      <c r="EE296">
        <v>0</v>
      </c>
      <c r="EF296">
        <v>0</v>
      </c>
      <c r="EG296">
        <v>-6</v>
      </c>
      <c r="EH296">
        <v>4490</v>
      </c>
      <c r="EI296">
        <v>5693</v>
      </c>
      <c r="EJ296">
        <v>0</v>
      </c>
      <c r="EK296">
        <v>148</v>
      </c>
      <c r="EL296">
        <v>1706</v>
      </c>
      <c r="EM296">
        <v>0</v>
      </c>
      <c r="EN296">
        <v>2365</v>
      </c>
      <c r="EO296">
        <v>0</v>
      </c>
      <c r="EP296">
        <v>0</v>
      </c>
      <c r="EQ296">
        <v>3158</v>
      </c>
      <c r="ER296">
        <v>-9</v>
      </c>
      <c r="ES296">
        <v>20064</v>
      </c>
      <c r="ET296">
        <v>19714</v>
      </c>
      <c r="EU296">
        <v>0</v>
      </c>
      <c r="EV296">
        <v>1</v>
      </c>
      <c r="EW296">
        <v>0</v>
      </c>
      <c r="EX296">
        <v>581</v>
      </c>
      <c r="EY296">
        <v>0</v>
      </c>
      <c r="EZ296">
        <v>0</v>
      </c>
      <c r="FA296">
        <v>0</v>
      </c>
      <c r="FB296">
        <v>296</v>
      </c>
      <c r="FC296">
        <v>-316</v>
      </c>
      <c r="FD296">
        <v>1442</v>
      </c>
      <c r="FE296">
        <v>0</v>
      </c>
      <c r="FF296">
        <v>468</v>
      </c>
      <c r="FG296">
        <v>0</v>
      </c>
      <c r="FH296">
        <v>2472</v>
      </c>
      <c r="FI296">
        <v>-138</v>
      </c>
      <c r="FJ296">
        <v>0</v>
      </c>
      <c r="FK296">
        <v>0</v>
      </c>
      <c r="FL296">
        <v>101</v>
      </c>
      <c r="FM296">
        <v>12</v>
      </c>
      <c r="FN296">
        <v>0</v>
      </c>
      <c r="FO296">
        <v>43</v>
      </c>
      <c r="FP296">
        <v>0</v>
      </c>
      <c r="FQ296">
        <v>0</v>
      </c>
      <c r="FR296">
        <v>114</v>
      </c>
      <c r="FS296">
        <v>49</v>
      </c>
      <c r="FT296">
        <v>300</v>
      </c>
      <c r="FU296">
        <v>125</v>
      </c>
      <c r="FV296">
        <v>319</v>
      </c>
      <c r="FW296">
        <v>0</v>
      </c>
      <c r="FX296">
        <v>0</v>
      </c>
      <c r="FY296">
        <v>0</v>
      </c>
      <c r="FZ296">
        <v>6</v>
      </c>
      <c r="GA296">
        <v>0</v>
      </c>
      <c r="GB296">
        <v>0</v>
      </c>
      <c r="GC296">
        <v>0</v>
      </c>
      <c r="GD296">
        <v>945</v>
      </c>
      <c r="GE296">
        <v>1996</v>
      </c>
      <c r="GF296">
        <v>0</v>
      </c>
      <c r="GG296">
        <v>0</v>
      </c>
      <c r="GH296">
        <v>0</v>
      </c>
      <c r="GI296">
        <v>0</v>
      </c>
      <c r="GJ296">
        <v>0</v>
      </c>
      <c r="GK296">
        <v>3872</v>
      </c>
      <c r="GL296">
        <v>93</v>
      </c>
      <c r="GM296">
        <v>127</v>
      </c>
      <c r="GN296">
        <v>0</v>
      </c>
      <c r="GO296">
        <v>0</v>
      </c>
      <c r="GP296">
        <v>0</v>
      </c>
      <c r="GQ296">
        <v>814</v>
      </c>
      <c r="GR296">
        <v>0</v>
      </c>
      <c r="GS296">
        <v>0</v>
      </c>
      <c r="GT296">
        <v>155</v>
      </c>
      <c r="GU296">
        <v>1189</v>
      </c>
      <c r="GV296">
        <v>7533</v>
      </c>
      <c r="GW296">
        <v>0</v>
      </c>
      <c r="GX296">
        <v>0</v>
      </c>
      <c r="GY296">
        <v>0</v>
      </c>
      <c r="GZ296">
        <v>0</v>
      </c>
      <c r="HA296">
        <v>0</v>
      </c>
      <c r="HB296">
        <v>1600</v>
      </c>
      <c r="HC296">
        <v>474</v>
      </c>
      <c r="HD296">
        <v>0</v>
      </c>
      <c r="HE296">
        <v>0</v>
      </c>
      <c r="HF296">
        <v>187</v>
      </c>
      <c r="HG296">
        <v>-2</v>
      </c>
      <c r="HH296">
        <v>0</v>
      </c>
      <c r="HI296">
        <v>0</v>
      </c>
      <c r="HJ296">
        <v>158</v>
      </c>
      <c r="HK296">
        <v>137</v>
      </c>
      <c r="HL296">
        <v>95</v>
      </c>
      <c r="HM296">
        <v>-31</v>
      </c>
      <c r="HN296">
        <v>0</v>
      </c>
      <c r="HO296">
        <v>0</v>
      </c>
      <c r="HP296">
        <v>0</v>
      </c>
      <c r="HQ296">
        <v>0</v>
      </c>
      <c r="HR296">
        <v>106</v>
      </c>
      <c r="HS296">
        <v>0</v>
      </c>
      <c r="HT296">
        <v>0</v>
      </c>
      <c r="HU296">
        <v>96</v>
      </c>
      <c r="HV296">
        <v>2820</v>
      </c>
      <c r="HW296">
        <v>9275</v>
      </c>
      <c r="HX296">
        <v>0</v>
      </c>
      <c r="HY296">
        <v>0</v>
      </c>
      <c r="HZ296">
        <v>0</v>
      </c>
      <c r="IA296">
        <v>0</v>
      </c>
      <c r="IB296">
        <v>1075</v>
      </c>
      <c r="IC296">
        <v>0</v>
      </c>
      <c r="ID296">
        <v>142</v>
      </c>
      <c r="IE296">
        <v>0</v>
      </c>
      <c r="IF296">
        <v>0</v>
      </c>
      <c r="IG296">
        <v>0</v>
      </c>
      <c r="IH296">
        <v>2095</v>
      </c>
      <c r="II296">
        <v>2472</v>
      </c>
      <c r="IJ296">
        <v>3872</v>
      </c>
      <c r="IK296">
        <v>1189</v>
      </c>
      <c r="IL296">
        <v>0</v>
      </c>
      <c r="IM296">
        <v>0</v>
      </c>
      <c r="IN296">
        <v>2820</v>
      </c>
      <c r="IO296">
        <v>1075</v>
      </c>
      <c r="IP296">
        <v>13665</v>
      </c>
      <c r="IQ296">
        <v>6797</v>
      </c>
      <c r="IR296">
        <v>0</v>
      </c>
      <c r="IS296">
        <v>5919</v>
      </c>
      <c r="IT296">
        <v>0</v>
      </c>
      <c r="IU296">
        <v>0</v>
      </c>
      <c r="IV296">
        <v>896</v>
      </c>
      <c r="IW296">
        <v>0</v>
      </c>
      <c r="IX296">
        <v>0</v>
      </c>
      <c r="IY296">
        <v>0</v>
      </c>
      <c r="IZ296">
        <v>0</v>
      </c>
      <c r="JA296">
        <v>123</v>
      </c>
      <c r="JB296">
        <v>177</v>
      </c>
      <c r="JC296">
        <v>-18</v>
      </c>
      <c r="JD296">
        <v>-54</v>
      </c>
      <c r="JE296">
        <v>0</v>
      </c>
      <c r="JF296">
        <v>0</v>
      </c>
      <c r="JG296">
        <v>27505</v>
      </c>
      <c r="JH296">
        <v>0</v>
      </c>
      <c r="JI296">
        <v>0</v>
      </c>
      <c r="JJ296">
        <v>0</v>
      </c>
      <c r="JK296">
        <v>0</v>
      </c>
      <c r="JL296">
        <v>0</v>
      </c>
      <c r="JM296">
        <v>74</v>
      </c>
      <c r="JN296">
        <v>1459</v>
      </c>
      <c r="JO296">
        <v>0</v>
      </c>
      <c r="JP296">
        <v>2384</v>
      </c>
      <c r="JQ296">
        <v>-1016</v>
      </c>
      <c r="JR296">
        <v>30406</v>
      </c>
      <c r="JS296">
        <v>-1349</v>
      </c>
      <c r="JT296">
        <v>0</v>
      </c>
      <c r="JU296">
        <v>0</v>
      </c>
      <c r="JV296">
        <v>0</v>
      </c>
      <c r="JW296">
        <v>-12706</v>
      </c>
      <c r="JX296">
        <v>0</v>
      </c>
      <c r="JY296">
        <v>0</v>
      </c>
      <c r="JZ296">
        <v>0</v>
      </c>
      <c r="KA296">
        <v>0</v>
      </c>
      <c r="KB296">
        <v>0</v>
      </c>
      <c r="KC296">
        <v>16351</v>
      </c>
      <c r="KD296">
        <v>0</v>
      </c>
      <c r="KE296">
        <v>-2730</v>
      </c>
      <c r="KF296">
        <v>13621</v>
      </c>
      <c r="KG296">
        <v>0</v>
      </c>
      <c r="KH296">
        <v>0</v>
      </c>
      <c r="KI296">
        <v>0</v>
      </c>
      <c r="KJ296">
        <v>0</v>
      </c>
      <c r="KK296">
        <v>2592</v>
      </c>
      <c r="KL296">
        <v>0</v>
      </c>
      <c r="KM296">
        <v>0</v>
      </c>
      <c r="KN296">
        <v>0</v>
      </c>
      <c r="KO296">
        <v>-3505</v>
      </c>
      <c r="KP296">
        <v>27</v>
      </c>
      <c r="KQ296">
        <v>0</v>
      </c>
      <c r="KR296">
        <v>8633</v>
      </c>
      <c r="KS296">
        <v>0</v>
      </c>
      <c r="KT296">
        <v>0</v>
      </c>
      <c r="KU296">
        <v>0</v>
      </c>
      <c r="KV296">
        <v>19430</v>
      </c>
      <c r="KW296">
        <v>2250</v>
      </c>
      <c r="KX296">
        <v>0</v>
      </c>
      <c r="KY296">
        <v>0</v>
      </c>
      <c r="KZ296">
        <v>0</v>
      </c>
      <c r="LA296">
        <v>22022</v>
      </c>
      <c r="LB296">
        <v>2250</v>
      </c>
      <c r="LC296">
        <v>0</v>
      </c>
      <c r="LD296">
        <v>2301</v>
      </c>
      <c r="LE296">
        <v>0</v>
      </c>
      <c r="LF296">
        <v>0</v>
      </c>
      <c r="LG296">
        <v>0</v>
      </c>
      <c r="LH296">
        <v>0</v>
      </c>
      <c r="LI296">
        <v>2301</v>
      </c>
      <c r="LJ296">
        <v>2315</v>
      </c>
      <c r="LK296">
        <v>3110</v>
      </c>
      <c r="LL296">
        <v>5425</v>
      </c>
      <c r="LM296">
        <v>0</v>
      </c>
      <c r="LN296">
        <v>0</v>
      </c>
      <c r="LO296">
        <v>0</v>
      </c>
      <c r="LP296">
        <v>17201</v>
      </c>
      <c r="LQ296">
        <v>17551</v>
      </c>
      <c r="LR296">
        <v>-350</v>
      </c>
      <c r="LS296">
        <v>20064</v>
      </c>
      <c r="LT296">
        <v>19714</v>
      </c>
      <c r="LU296">
        <v>0</v>
      </c>
      <c r="LV296">
        <v>142</v>
      </c>
      <c r="LW296">
        <v>0</v>
      </c>
      <c r="LX296">
        <v>0</v>
      </c>
      <c r="LY296">
        <v>0</v>
      </c>
      <c r="LZ296">
        <v>2095</v>
      </c>
      <c r="MA296">
        <v>2472</v>
      </c>
      <c r="MB296">
        <v>3872</v>
      </c>
      <c r="MC296">
        <v>1189</v>
      </c>
      <c r="MD296">
        <v>0</v>
      </c>
      <c r="ME296">
        <v>0</v>
      </c>
      <c r="MF296">
        <v>2820</v>
      </c>
      <c r="MG296">
        <v>1075</v>
      </c>
      <c r="MH296">
        <v>13665</v>
      </c>
      <c r="MI296">
        <v>0</v>
      </c>
      <c r="MJ296">
        <v>0</v>
      </c>
      <c r="MK296">
        <v>0</v>
      </c>
      <c r="ML296">
        <v>0</v>
      </c>
      <c r="MM296">
        <v>0</v>
      </c>
      <c r="MN296">
        <v>0</v>
      </c>
      <c r="MO296">
        <v>0</v>
      </c>
      <c r="MP296">
        <v>105</v>
      </c>
      <c r="MQ296">
        <v>0</v>
      </c>
      <c r="MR296">
        <v>0</v>
      </c>
      <c r="MS296">
        <v>0</v>
      </c>
      <c r="MT296">
        <v>0</v>
      </c>
      <c r="MU296">
        <v>0</v>
      </c>
      <c r="MV296">
        <v>0</v>
      </c>
      <c r="MW296">
        <v>0</v>
      </c>
      <c r="MX296">
        <v>0</v>
      </c>
      <c r="MY296">
        <v>0</v>
      </c>
      <c r="MZ296">
        <v>0</v>
      </c>
      <c r="NA296">
        <v>105</v>
      </c>
      <c r="NB296">
        <v>18</v>
      </c>
      <c r="NC296">
        <v>123</v>
      </c>
      <c r="ND296">
        <v>0</v>
      </c>
      <c r="NE296">
        <v>0</v>
      </c>
      <c r="NF296">
        <v>0</v>
      </c>
      <c r="NG296">
        <v>0</v>
      </c>
      <c r="NH296">
        <v>0</v>
      </c>
      <c r="NI296">
        <v>0</v>
      </c>
      <c r="NJ296">
        <v>0</v>
      </c>
      <c r="NK296">
        <v>0</v>
      </c>
      <c r="NL296">
        <v>0</v>
      </c>
      <c r="NM296">
        <v>0</v>
      </c>
      <c r="NN296">
        <v>0</v>
      </c>
      <c r="NO296">
        <v>0</v>
      </c>
      <c r="NP296">
        <v>0</v>
      </c>
      <c r="NQ296">
        <v>-128</v>
      </c>
      <c r="NR296">
        <v>251</v>
      </c>
      <c r="NS296">
        <v>0</v>
      </c>
      <c r="NT296">
        <v>0</v>
      </c>
      <c r="NU296">
        <v>0</v>
      </c>
      <c r="NV296">
        <v>0</v>
      </c>
      <c r="NW296">
        <v>0</v>
      </c>
      <c r="NX296">
        <v>0</v>
      </c>
      <c r="NY296">
        <v>0</v>
      </c>
      <c r="NZ296">
        <v>123</v>
      </c>
      <c r="OA296">
        <v>54</v>
      </c>
      <c r="OB296">
        <v>177</v>
      </c>
      <c r="OC296">
        <v>18</v>
      </c>
      <c r="OD296">
        <v>0</v>
      </c>
      <c r="OE296">
        <v>0</v>
      </c>
      <c r="OF296">
        <v>0</v>
      </c>
      <c r="OG296">
        <v>0</v>
      </c>
      <c r="OH296">
        <v>18</v>
      </c>
      <c r="OI296">
        <v>54</v>
      </c>
      <c r="OJ296">
        <v>0</v>
      </c>
      <c r="OK296">
        <v>0</v>
      </c>
      <c r="OL296">
        <v>0</v>
      </c>
      <c r="OM296">
        <v>0</v>
      </c>
      <c r="ON296">
        <v>54</v>
      </c>
    </row>
    <row r="297" spans="1:404" x14ac:dyDescent="0.25">
      <c r="A297" t="s">
        <v>961</v>
      </c>
      <c r="B297" t="s">
        <v>962</v>
      </c>
      <c r="C297" t="s">
        <v>960</v>
      </c>
      <c r="E297" t="s">
        <v>61</v>
      </c>
      <c r="F297">
        <v>0</v>
      </c>
      <c r="G297">
        <v>0</v>
      </c>
      <c r="H297">
        <v>0</v>
      </c>
      <c r="I297">
        <v>0</v>
      </c>
      <c r="J297">
        <v>0</v>
      </c>
      <c r="K297">
        <v>0</v>
      </c>
      <c r="L297">
        <v>0</v>
      </c>
      <c r="M297">
        <v>0</v>
      </c>
      <c r="N297">
        <v>0</v>
      </c>
      <c r="O297">
        <v>0</v>
      </c>
      <c r="P297">
        <v>0</v>
      </c>
      <c r="Q297">
        <v>0</v>
      </c>
      <c r="R297">
        <v>0</v>
      </c>
      <c r="S297">
        <v>32</v>
      </c>
      <c r="T297">
        <v>0</v>
      </c>
      <c r="U297">
        <v>0</v>
      </c>
      <c r="V297">
        <v>0</v>
      </c>
      <c r="W297">
        <v>0</v>
      </c>
      <c r="X297">
        <v>-99</v>
      </c>
      <c r="Y297">
        <v>0</v>
      </c>
      <c r="Z297">
        <v>-7</v>
      </c>
      <c r="AA297">
        <v>-152</v>
      </c>
      <c r="AB297">
        <v>0</v>
      </c>
      <c r="AC297">
        <v>157</v>
      </c>
      <c r="AD297">
        <v>0</v>
      </c>
      <c r="AE297">
        <v>0</v>
      </c>
      <c r="AF297">
        <v>0</v>
      </c>
      <c r="AG297">
        <v>0</v>
      </c>
      <c r="AH297">
        <v>0</v>
      </c>
      <c r="AI297">
        <v>-69</v>
      </c>
      <c r="AJ297">
        <v>0</v>
      </c>
      <c r="AK297">
        <v>0</v>
      </c>
      <c r="AL297">
        <v>0</v>
      </c>
      <c r="AM297">
        <v>0</v>
      </c>
      <c r="AN297">
        <v>0</v>
      </c>
      <c r="AO297">
        <v>0</v>
      </c>
      <c r="AP297">
        <v>0</v>
      </c>
      <c r="AQ297">
        <v>161</v>
      </c>
      <c r="AR297">
        <v>35</v>
      </c>
      <c r="AS297">
        <v>0</v>
      </c>
      <c r="AT297">
        <v>0</v>
      </c>
      <c r="AU297">
        <v>0</v>
      </c>
      <c r="AV297">
        <v>0</v>
      </c>
      <c r="AW297">
        <v>0</v>
      </c>
      <c r="AX297">
        <v>0</v>
      </c>
      <c r="AY297">
        <v>89</v>
      </c>
      <c r="AZ297">
        <v>0</v>
      </c>
      <c r="BA297">
        <v>0</v>
      </c>
      <c r="BB297">
        <v>0</v>
      </c>
      <c r="BC297">
        <v>0</v>
      </c>
      <c r="BD297">
        <v>89</v>
      </c>
      <c r="BE297">
        <v>0</v>
      </c>
      <c r="BF297">
        <v>0</v>
      </c>
      <c r="BG297">
        <v>0</v>
      </c>
      <c r="BH297">
        <v>463</v>
      </c>
      <c r="BI297">
        <v>0</v>
      </c>
      <c r="BJ297">
        <v>0</v>
      </c>
      <c r="BK297">
        <v>0</v>
      </c>
      <c r="BL297">
        <v>0</v>
      </c>
      <c r="BM297">
        <v>0</v>
      </c>
      <c r="BN297">
        <v>0</v>
      </c>
      <c r="BO297">
        <v>0</v>
      </c>
      <c r="BP297">
        <v>0</v>
      </c>
      <c r="BQ297">
        <v>0</v>
      </c>
      <c r="BR297">
        <v>0</v>
      </c>
      <c r="BS297">
        <v>0</v>
      </c>
      <c r="BT297">
        <v>0</v>
      </c>
      <c r="BU297">
        <v>0</v>
      </c>
      <c r="BV297">
        <v>0</v>
      </c>
      <c r="BW297">
        <v>463</v>
      </c>
      <c r="BX297">
        <v>0</v>
      </c>
      <c r="BY297">
        <v>0</v>
      </c>
      <c r="BZ297">
        <v>0</v>
      </c>
      <c r="CA297">
        <v>0</v>
      </c>
      <c r="CB297">
        <v>0</v>
      </c>
      <c r="CC297">
        <v>0</v>
      </c>
      <c r="CD297">
        <v>0</v>
      </c>
      <c r="CE297">
        <v>0</v>
      </c>
      <c r="CF297">
        <v>0</v>
      </c>
      <c r="CG297">
        <v>0</v>
      </c>
      <c r="CH297">
        <v>0</v>
      </c>
      <c r="CI297">
        <v>0</v>
      </c>
      <c r="CJ297">
        <v>0</v>
      </c>
      <c r="CK297">
        <v>0</v>
      </c>
      <c r="CL297">
        <v>0</v>
      </c>
      <c r="CM297">
        <v>0</v>
      </c>
      <c r="CN297">
        <v>0</v>
      </c>
      <c r="CO297">
        <v>0</v>
      </c>
      <c r="CP297">
        <v>0</v>
      </c>
      <c r="CQ297">
        <v>0</v>
      </c>
      <c r="CR297">
        <v>0</v>
      </c>
      <c r="CS297">
        <v>0</v>
      </c>
      <c r="CT297">
        <v>0</v>
      </c>
      <c r="CU297">
        <v>0</v>
      </c>
      <c r="CV297">
        <v>0</v>
      </c>
      <c r="CW297">
        <v>0</v>
      </c>
      <c r="CX297">
        <v>0</v>
      </c>
      <c r="CY297">
        <v>0</v>
      </c>
      <c r="CZ297">
        <v>0</v>
      </c>
      <c r="DA297">
        <v>0</v>
      </c>
      <c r="DB297">
        <v>0</v>
      </c>
      <c r="DC297">
        <v>810</v>
      </c>
      <c r="DD297">
        <v>0</v>
      </c>
      <c r="DE297">
        <v>96</v>
      </c>
      <c r="DF297">
        <v>0</v>
      </c>
      <c r="DG297">
        <v>0</v>
      </c>
      <c r="DH297">
        <v>0</v>
      </c>
      <c r="DI297">
        <v>0</v>
      </c>
      <c r="DJ297">
        <v>17</v>
      </c>
      <c r="DK297">
        <v>0</v>
      </c>
      <c r="DL297">
        <v>0</v>
      </c>
      <c r="DM297">
        <v>0</v>
      </c>
      <c r="DN297">
        <v>0</v>
      </c>
      <c r="DO297">
        <v>406</v>
      </c>
      <c r="DP297">
        <v>423</v>
      </c>
      <c r="DQ297">
        <v>153</v>
      </c>
      <c r="DR297">
        <v>0</v>
      </c>
      <c r="DS297">
        <v>-2</v>
      </c>
      <c r="DT297">
        <v>514</v>
      </c>
      <c r="DU297">
        <v>0</v>
      </c>
      <c r="DV297">
        <v>0</v>
      </c>
      <c r="DW297">
        <v>0</v>
      </c>
      <c r="DX297">
        <v>1994</v>
      </c>
      <c r="DY297">
        <v>16467</v>
      </c>
      <c r="DZ297">
        <v>182</v>
      </c>
      <c r="EA297">
        <v>348</v>
      </c>
      <c r="EB297">
        <v>260</v>
      </c>
      <c r="EC297">
        <v>99</v>
      </c>
      <c r="ED297">
        <v>85</v>
      </c>
      <c r="EE297">
        <v>0</v>
      </c>
      <c r="EF297">
        <v>0</v>
      </c>
      <c r="EG297">
        <v>0</v>
      </c>
      <c r="EH297">
        <v>2609</v>
      </c>
      <c r="EI297">
        <v>3247</v>
      </c>
      <c r="EJ297">
        <v>1053</v>
      </c>
      <c r="EK297">
        <v>338</v>
      </c>
      <c r="EL297">
        <v>3426</v>
      </c>
      <c r="EM297">
        <v>1992</v>
      </c>
      <c r="EN297">
        <v>1246</v>
      </c>
      <c r="EO297">
        <v>0</v>
      </c>
      <c r="EP297">
        <v>0</v>
      </c>
      <c r="EQ297">
        <v>0</v>
      </c>
      <c r="ER297">
        <v>152</v>
      </c>
      <c r="ES297">
        <v>29254</v>
      </c>
      <c r="ET297">
        <v>32632</v>
      </c>
      <c r="EU297">
        <v>0</v>
      </c>
      <c r="EV297">
        <v>30</v>
      </c>
      <c r="EW297">
        <v>0</v>
      </c>
      <c r="EX297">
        <v>180</v>
      </c>
      <c r="EY297">
        <v>0</v>
      </c>
      <c r="EZ297">
        <v>298</v>
      </c>
      <c r="FA297">
        <v>0</v>
      </c>
      <c r="FB297">
        <v>-248</v>
      </c>
      <c r="FC297">
        <v>-264</v>
      </c>
      <c r="FD297">
        <v>1268</v>
      </c>
      <c r="FE297">
        <v>22</v>
      </c>
      <c r="FF297">
        <v>0</v>
      </c>
      <c r="FG297">
        <v>0</v>
      </c>
      <c r="FH297">
        <v>1286</v>
      </c>
      <c r="FI297">
        <v>20</v>
      </c>
      <c r="FJ297">
        <v>0</v>
      </c>
      <c r="FK297">
        <v>8</v>
      </c>
      <c r="FL297">
        <v>140</v>
      </c>
      <c r="FM297">
        <v>282</v>
      </c>
      <c r="FN297">
        <v>68</v>
      </c>
      <c r="FO297">
        <v>91</v>
      </c>
      <c r="FP297">
        <v>0</v>
      </c>
      <c r="FQ297">
        <v>0</v>
      </c>
      <c r="FR297">
        <v>11</v>
      </c>
      <c r="FS297">
        <v>16</v>
      </c>
      <c r="FT297">
        <v>10</v>
      </c>
      <c r="FU297">
        <v>113</v>
      </c>
      <c r="FV297">
        <v>488</v>
      </c>
      <c r="FW297">
        <v>0</v>
      </c>
      <c r="FX297">
        <v>-65</v>
      </c>
      <c r="FY297">
        <v>0</v>
      </c>
      <c r="FZ297">
        <v>193</v>
      </c>
      <c r="GA297">
        <v>0</v>
      </c>
      <c r="GB297">
        <v>0</v>
      </c>
      <c r="GC297">
        <v>0</v>
      </c>
      <c r="GD297">
        <v>836</v>
      </c>
      <c r="GE297">
        <v>477</v>
      </c>
      <c r="GF297">
        <v>0</v>
      </c>
      <c r="GG297">
        <v>-150</v>
      </c>
      <c r="GH297">
        <v>1070</v>
      </c>
      <c r="GI297">
        <v>5</v>
      </c>
      <c r="GJ297">
        <v>38</v>
      </c>
      <c r="GK297">
        <v>3651</v>
      </c>
      <c r="GL297">
        <v>316</v>
      </c>
      <c r="GM297">
        <v>-406</v>
      </c>
      <c r="GN297">
        <v>0</v>
      </c>
      <c r="GO297">
        <v>406</v>
      </c>
      <c r="GP297">
        <v>110</v>
      </c>
      <c r="GQ297">
        <v>162</v>
      </c>
      <c r="GR297">
        <v>0</v>
      </c>
      <c r="GS297">
        <v>0</v>
      </c>
      <c r="GT297">
        <v>22</v>
      </c>
      <c r="GU297">
        <v>610</v>
      </c>
      <c r="GV297">
        <v>5547</v>
      </c>
      <c r="GW297">
        <v>0</v>
      </c>
      <c r="GX297">
        <v>0</v>
      </c>
      <c r="GY297">
        <v>0</v>
      </c>
      <c r="GZ297">
        <v>0</v>
      </c>
      <c r="HA297">
        <v>0</v>
      </c>
      <c r="HB297">
        <v>1852</v>
      </c>
      <c r="HC297">
        <v>612</v>
      </c>
      <c r="HD297">
        <v>0</v>
      </c>
      <c r="HE297">
        <v>0</v>
      </c>
      <c r="HF297">
        <v>462</v>
      </c>
      <c r="HG297">
        <v>-123</v>
      </c>
      <c r="HH297">
        <v>0</v>
      </c>
      <c r="HI297">
        <v>0</v>
      </c>
      <c r="HJ297">
        <v>172</v>
      </c>
      <c r="HK297">
        <v>142</v>
      </c>
      <c r="HL297">
        <v>177</v>
      </c>
      <c r="HM297">
        <v>0</v>
      </c>
      <c r="HN297">
        <v>0</v>
      </c>
      <c r="HO297">
        <v>292</v>
      </c>
      <c r="HP297">
        <v>0</v>
      </c>
      <c r="HQ297">
        <v>0</v>
      </c>
      <c r="HR297">
        <v>0</v>
      </c>
      <c r="HS297">
        <v>-53</v>
      </c>
      <c r="HT297">
        <v>0</v>
      </c>
      <c r="HU297">
        <v>0</v>
      </c>
      <c r="HV297">
        <v>3533</v>
      </c>
      <c r="HW297">
        <v>0</v>
      </c>
      <c r="HX297">
        <v>9099</v>
      </c>
      <c r="HY297">
        <v>0</v>
      </c>
      <c r="HZ297">
        <v>92</v>
      </c>
      <c r="IA297">
        <v>367</v>
      </c>
      <c r="IB297">
        <v>0</v>
      </c>
      <c r="IC297">
        <v>0</v>
      </c>
      <c r="ID297">
        <v>-69</v>
      </c>
      <c r="IE297">
        <v>89</v>
      </c>
      <c r="IF297">
        <v>463</v>
      </c>
      <c r="IG297">
        <v>0</v>
      </c>
      <c r="IH297">
        <v>1994</v>
      </c>
      <c r="II297">
        <v>1286</v>
      </c>
      <c r="IJ297">
        <v>3651</v>
      </c>
      <c r="IK297">
        <v>610</v>
      </c>
      <c r="IL297">
        <v>0</v>
      </c>
      <c r="IM297">
        <v>0</v>
      </c>
      <c r="IN297">
        <v>3533</v>
      </c>
      <c r="IO297">
        <v>0</v>
      </c>
      <c r="IP297">
        <v>11557</v>
      </c>
      <c r="IQ297">
        <v>9410</v>
      </c>
      <c r="IR297">
        <v>0</v>
      </c>
      <c r="IS297">
        <v>5331</v>
      </c>
      <c r="IT297">
        <v>0</v>
      </c>
      <c r="IU297">
        <v>-83</v>
      </c>
      <c r="IV297">
        <v>0</v>
      </c>
      <c r="IW297">
        <v>0</v>
      </c>
      <c r="IX297">
        <v>0</v>
      </c>
      <c r="IY297">
        <v>0</v>
      </c>
      <c r="IZ297">
        <v>0</v>
      </c>
      <c r="JA297">
        <v>-24264</v>
      </c>
      <c r="JB297">
        <v>0</v>
      </c>
      <c r="JC297">
        <v>0</v>
      </c>
      <c r="JD297">
        <v>0</v>
      </c>
      <c r="JE297">
        <v>215</v>
      </c>
      <c r="JF297">
        <v>0</v>
      </c>
      <c r="JG297">
        <v>2166</v>
      </c>
      <c r="JH297">
        <v>0</v>
      </c>
      <c r="JI297">
        <v>0</v>
      </c>
      <c r="JJ297">
        <v>0</v>
      </c>
      <c r="JK297">
        <v>0</v>
      </c>
      <c r="JL297">
        <v>0</v>
      </c>
      <c r="JM297">
        <v>1336</v>
      </c>
      <c r="JN297">
        <v>4126</v>
      </c>
      <c r="JO297">
        <v>0</v>
      </c>
      <c r="JP297">
        <v>12874</v>
      </c>
      <c r="JQ297">
        <v>0</v>
      </c>
      <c r="JR297">
        <v>20502</v>
      </c>
      <c r="JS297">
        <v>-1762</v>
      </c>
      <c r="JT297">
        <v>0</v>
      </c>
      <c r="JU297">
        <v>0</v>
      </c>
      <c r="JV297">
        <v>0</v>
      </c>
      <c r="JW297">
        <v>-14854</v>
      </c>
      <c r="JX297">
        <v>0</v>
      </c>
      <c r="JY297">
        <v>-4</v>
      </c>
      <c r="JZ297">
        <v>0</v>
      </c>
      <c r="KA297">
        <v>0</v>
      </c>
      <c r="KB297">
        <v>0</v>
      </c>
      <c r="KC297">
        <v>3882</v>
      </c>
      <c r="KD297">
        <v>0</v>
      </c>
      <c r="KE297">
        <v>-3184</v>
      </c>
      <c r="KF297">
        <v>698</v>
      </c>
      <c r="KG297">
        <v>0</v>
      </c>
      <c r="KH297">
        <v>0</v>
      </c>
      <c r="KI297">
        <v>0</v>
      </c>
      <c r="KJ297">
        <v>0</v>
      </c>
      <c r="KK297">
        <v>11875</v>
      </c>
      <c r="KL297">
        <v>3235</v>
      </c>
      <c r="KM297">
        <v>0</v>
      </c>
      <c r="KN297">
        <v>0</v>
      </c>
      <c r="KO297">
        <v>-4264</v>
      </c>
      <c r="KP297">
        <v>134</v>
      </c>
      <c r="KQ297">
        <v>0</v>
      </c>
      <c r="KR297">
        <v>5832</v>
      </c>
      <c r="KS297">
        <v>0</v>
      </c>
      <c r="KT297">
        <v>0</v>
      </c>
      <c r="KU297">
        <v>0</v>
      </c>
      <c r="KV297">
        <v>24392</v>
      </c>
      <c r="KW297">
        <v>11688</v>
      </c>
      <c r="KX297">
        <v>0</v>
      </c>
      <c r="KY297">
        <v>0</v>
      </c>
      <c r="KZ297">
        <v>0</v>
      </c>
      <c r="LA297">
        <v>36267</v>
      </c>
      <c r="LB297">
        <v>14923</v>
      </c>
      <c r="LC297">
        <v>0</v>
      </c>
      <c r="LD297">
        <v>1743</v>
      </c>
      <c r="LE297">
        <v>-19</v>
      </c>
      <c r="LF297">
        <v>0</v>
      </c>
      <c r="LG297">
        <v>0</v>
      </c>
      <c r="LH297">
        <v>0</v>
      </c>
      <c r="LI297">
        <v>1724</v>
      </c>
      <c r="LJ297">
        <v>2000</v>
      </c>
      <c r="LK297">
        <v>2089</v>
      </c>
      <c r="LL297">
        <v>4089</v>
      </c>
      <c r="LM297">
        <v>0</v>
      </c>
      <c r="LN297">
        <v>0</v>
      </c>
      <c r="LO297">
        <v>0</v>
      </c>
      <c r="LP297">
        <v>17441</v>
      </c>
      <c r="LQ297">
        <v>14063</v>
      </c>
      <c r="LR297">
        <v>3378</v>
      </c>
      <c r="LS297">
        <v>29254</v>
      </c>
      <c r="LT297">
        <v>32632</v>
      </c>
      <c r="LU297">
        <v>0</v>
      </c>
      <c r="LV297">
        <v>-69</v>
      </c>
      <c r="LW297">
        <v>89</v>
      </c>
      <c r="LX297">
        <v>463</v>
      </c>
      <c r="LY297">
        <v>0</v>
      </c>
      <c r="LZ297">
        <v>1994</v>
      </c>
      <c r="MA297">
        <v>1286</v>
      </c>
      <c r="MB297">
        <v>3651</v>
      </c>
      <c r="MC297">
        <v>610</v>
      </c>
      <c r="MD297">
        <v>0</v>
      </c>
      <c r="ME297">
        <v>0</v>
      </c>
      <c r="MF297">
        <v>3533</v>
      </c>
      <c r="MG297">
        <v>0</v>
      </c>
      <c r="MH297">
        <v>11557</v>
      </c>
      <c r="MI297">
        <v>0</v>
      </c>
      <c r="MJ297">
        <v>0</v>
      </c>
      <c r="MK297">
        <v>0</v>
      </c>
      <c r="ML297">
        <v>0</v>
      </c>
      <c r="MM297">
        <v>0</v>
      </c>
      <c r="MN297">
        <v>0</v>
      </c>
      <c r="MO297">
        <v>0</v>
      </c>
      <c r="MP297">
        <v>0</v>
      </c>
      <c r="MQ297">
        <v>0</v>
      </c>
      <c r="MR297">
        <v>0</v>
      </c>
      <c r="MS297">
        <v>0</v>
      </c>
      <c r="MT297">
        <v>0</v>
      </c>
      <c r="MU297">
        <v>0</v>
      </c>
      <c r="MV297">
        <v>0</v>
      </c>
      <c r="MW297">
        <v>0</v>
      </c>
      <c r="MX297">
        <v>0</v>
      </c>
      <c r="MY297">
        <v>-24264</v>
      </c>
      <c r="MZ297">
        <v>0</v>
      </c>
      <c r="NA297">
        <v>-24264</v>
      </c>
      <c r="NB297">
        <v>0</v>
      </c>
      <c r="NC297">
        <v>-24264</v>
      </c>
      <c r="ND297">
        <v>0</v>
      </c>
      <c r="NE297">
        <v>0</v>
      </c>
      <c r="NF297">
        <v>0</v>
      </c>
      <c r="NG297">
        <v>0</v>
      </c>
      <c r="NH297">
        <v>0</v>
      </c>
      <c r="NI297">
        <v>0</v>
      </c>
      <c r="NJ297">
        <v>0</v>
      </c>
      <c r="NK297">
        <v>0</v>
      </c>
      <c r="NL297">
        <v>0</v>
      </c>
      <c r="NM297">
        <v>0</v>
      </c>
      <c r="NN297">
        <v>0</v>
      </c>
      <c r="NO297">
        <v>0</v>
      </c>
      <c r="NP297">
        <v>0</v>
      </c>
      <c r="NQ297">
        <v>0</v>
      </c>
      <c r="NR297">
        <v>0</v>
      </c>
      <c r="NS297">
        <v>0</v>
      </c>
      <c r="NT297">
        <v>0</v>
      </c>
      <c r="NU297">
        <v>0</v>
      </c>
      <c r="NV297">
        <v>0</v>
      </c>
      <c r="NW297">
        <v>0</v>
      </c>
      <c r="NX297">
        <v>0</v>
      </c>
      <c r="NY297">
        <v>0</v>
      </c>
      <c r="NZ297">
        <v>0</v>
      </c>
      <c r="OA297">
        <v>0</v>
      </c>
      <c r="OB297">
        <v>0</v>
      </c>
      <c r="OC297">
        <v>0</v>
      </c>
      <c r="OD297">
        <v>0</v>
      </c>
      <c r="OE297">
        <v>0</v>
      </c>
      <c r="OF297">
        <v>0</v>
      </c>
      <c r="OG297">
        <v>0</v>
      </c>
      <c r="OH297">
        <v>0</v>
      </c>
      <c r="OI297">
        <v>0</v>
      </c>
      <c r="OJ297">
        <v>0</v>
      </c>
      <c r="OK297">
        <v>0</v>
      </c>
      <c r="OL297">
        <v>0</v>
      </c>
      <c r="OM297">
        <v>0</v>
      </c>
      <c r="ON297">
        <v>0</v>
      </c>
    </row>
    <row r="298" spans="1:404" x14ac:dyDescent="0.25">
      <c r="A298" t="s">
        <v>964</v>
      </c>
      <c r="B298" t="s">
        <v>965</v>
      </c>
      <c r="C298" t="s">
        <v>963</v>
      </c>
      <c r="E298" t="s">
        <v>61</v>
      </c>
      <c r="F298">
        <v>0</v>
      </c>
      <c r="G298">
        <v>0</v>
      </c>
      <c r="H298">
        <v>0</v>
      </c>
      <c r="I298">
        <v>0</v>
      </c>
      <c r="J298">
        <v>0</v>
      </c>
      <c r="K298">
        <v>0</v>
      </c>
      <c r="L298">
        <v>0</v>
      </c>
      <c r="M298">
        <v>0</v>
      </c>
      <c r="N298">
        <v>0</v>
      </c>
      <c r="O298">
        <v>0</v>
      </c>
      <c r="P298">
        <v>0</v>
      </c>
      <c r="Q298">
        <v>0</v>
      </c>
      <c r="R298">
        <v>17</v>
      </c>
      <c r="S298">
        <v>0</v>
      </c>
      <c r="T298">
        <v>0</v>
      </c>
      <c r="U298">
        <v>0</v>
      </c>
      <c r="V298">
        <v>0</v>
      </c>
      <c r="W298">
        <v>0</v>
      </c>
      <c r="X298">
        <v>0</v>
      </c>
      <c r="Y298">
        <v>9</v>
      </c>
      <c r="Z298">
        <v>0</v>
      </c>
      <c r="AA298">
        <v>-401</v>
      </c>
      <c r="AB298">
        <v>0</v>
      </c>
      <c r="AC298">
        <v>0</v>
      </c>
      <c r="AD298">
        <v>0</v>
      </c>
      <c r="AE298">
        <v>0</v>
      </c>
      <c r="AF298">
        <v>0</v>
      </c>
      <c r="AG298">
        <v>0</v>
      </c>
      <c r="AH298">
        <v>0</v>
      </c>
      <c r="AI298">
        <v>-375</v>
      </c>
      <c r="AJ298">
        <v>0</v>
      </c>
      <c r="AK298">
        <v>0</v>
      </c>
      <c r="AL298">
        <v>0</v>
      </c>
      <c r="AM298">
        <v>0</v>
      </c>
      <c r="AN298">
        <v>0</v>
      </c>
      <c r="AO298">
        <v>0</v>
      </c>
      <c r="AP298">
        <v>0</v>
      </c>
      <c r="AQ298">
        <v>0</v>
      </c>
      <c r="AR298">
        <v>0</v>
      </c>
      <c r="AS298">
        <v>0</v>
      </c>
      <c r="AT298">
        <v>0</v>
      </c>
      <c r="AU298">
        <v>0</v>
      </c>
      <c r="AV298">
        <v>0</v>
      </c>
      <c r="AW298">
        <v>0</v>
      </c>
      <c r="AX298">
        <v>0</v>
      </c>
      <c r="AY298">
        <v>0</v>
      </c>
      <c r="AZ298">
        <v>0</v>
      </c>
      <c r="BA298">
        <v>0</v>
      </c>
      <c r="BB298">
        <v>0</v>
      </c>
      <c r="BC298">
        <v>0</v>
      </c>
      <c r="BD298">
        <v>0</v>
      </c>
      <c r="BE298">
        <v>0</v>
      </c>
      <c r="BF298">
        <v>0</v>
      </c>
      <c r="BG298">
        <v>0</v>
      </c>
      <c r="BH298">
        <v>0</v>
      </c>
      <c r="BI298">
        <v>0</v>
      </c>
      <c r="BJ298">
        <v>0</v>
      </c>
      <c r="BK298">
        <v>0</v>
      </c>
      <c r="BL298">
        <v>0</v>
      </c>
      <c r="BM298">
        <v>0</v>
      </c>
      <c r="BN298">
        <v>0</v>
      </c>
      <c r="BO298">
        <v>0</v>
      </c>
      <c r="BP298">
        <v>0</v>
      </c>
      <c r="BQ298">
        <v>0</v>
      </c>
      <c r="BR298">
        <v>0</v>
      </c>
      <c r="BS298">
        <v>0</v>
      </c>
      <c r="BT298">
        <v>0</v>
      </c>
      <c r="BU298">
        <v>0</v>
      </c>
      <c r="BV298">
        <v>0</v>
      </c>
      <c r="BW298">
        <v>0</v>
      </c>
      <c r="BX298">
        <v>0</v>
      </c>
      <c r="BY298">
        <v>0</v>
      </c>
      <c r="BZ298">
        <v>0</v>
      </c>
      <c r="CA298">
        <v>0</v>
      </c>
      <c r="CB298">
        <v>0</v>
      </c>
      <c r="CC298">
        <v>0</v>
      </c>
      <c r="CD298">
        <v>0</v>
      </c>
      <c r="CE298">
        <v>0</v>
      </c>
      <c r="CF298">
        <v>0</v>
      </c>
      <c r="CG298">
        <v>0</v>
      </c>
      <c r="CH298">
        <v>0</v>
      </c>
      <c r="CI298">
        <v>0</v>
      </c>
      <c r="CJ298">
        <v>0</v>
      </c>
      <c r="CK298">
        <v>0</v>
      </c>
      <c r="CL298">
        <v>0</v>
      </c>
      <c r="CM298">
        <v>0</v>
      </c>
      <c r="CN298">
        <v>0</v>
      </c>
      <c r="CO298">
        <v>0</v>
      </c>
      <c r="CP298">
        <v>0</v>
      </c>
      <c r="CQ298">
        <v>0</v>
      </c>
      <c r="CR298">
        <v>0</v>
      </c>
      <c r="CS298">
        <v>0</v>
      </c>
      <c r="CT298">
        <v>0</v>
      </c>
      <c r="CU298">
        <v>0</v>
      </c>
      <c r="CV298">
        <v>0</v>
      </c>
      <c r="CW298">
        <v>0</v>
      </c>
      <c r="CX298">
        <v>0</v>
      </c>
      <c r="CY298">
        <v>0</v>
      </c>
      <c r="CZ298">
        <v>0</v>
      </c>
      <c r="DA298">
        <v>0</v>
      </c>
      <c r="DB298">
        <v>0</v>
      </c>
      <c r="DC298">
        <v>322</v>
      </c>
      <c r="DD298">
        <v>0</v>
      </c>
      <c r="DE298">
        <v>62</v>
      </c>
      <c r="DF298">
        <v>0</v>
      </c>
      <c r="DG298">
        <v>0</v>
      </c>
      <c r="DH298">
        <v>0</v>
      </c>
      <c r="DI298">
        <v>40</v>
      </c>
      <c r="DJ298">
        <v>135</v>
      </c>
      <c r="DK298">
        <v>0</v>
      </c>
      <c r="DL298">
        <v>0</v>
      </c>
      <c r="DM298">
        <v>0</v>
      </c>
      <c r="DN298">
        <v>110</v>
      </c>
      <c r="DO298">
        <v>0</v>
      </c>
      <c r="DP298">
        <v>285</v>
      </c>
      <c r="DQ298">
        <v>0</v>
      </c>
      <c r="DR298">
        <v>0</v>
      </c>
      <c r="DS298">
        <v>0</v>
      </c>
      <c r="DT298">
        <v>337</v>
      </c>
      <c r="DU298">
        <v>0</v>
      </c>
      <c r="DV298">
        <v>-36</v>
      </c>
      <c r="DW298">
        <v>0</v>
      </c>
      <c r="DX298">
        <v>970</v>
      </c>
      <c r="DY298">
        <v>0</v>
      </c>
      <c r="DZ298">
        <v>0</v>
      </c>
      <c r="EA298">
        <v>0</v>
      </c>
      <c r="EB298">
        <v>0</v>
      </c>
      <c r="EC298">
        <v>0</v>
      </c>
      <c r="ED298">
        <v>0</v>
      </c>
      <c r="EE298">
        <v>0</v>
      </c>
      <c r="EF298">
        <v>0</v>
      </c>
      <c r="EG298">
        <v>0</v>
      </c>
      <c r="EH298">
        <v>0</v>
      </c>
      <c r="EI298">
        <v>0</v>
      </c>
      <c r="EJ298">
        <v>0</v>
      </c>
      <c r="EK298">
        <v>0</v>
      </c>
      <c r="EL298">
        <v>0</v>
      </c>
      <c r="EM298">
        <v>0</v>
      </c>
      <c r="EN298">
        <v>0</v>
      </c>
      <c r="EO298">
        <v>0</v>
      </c>
      <c r="EP298">
        <v>0</v>
      </c>
      <c r="EQ298">
        <v>0</v>
      </c>
      <c r="ER298">
        <v>0</v>
      </c>
      <c r="ES298">
        <v>0</v>
      </c>
      <c r="ET298">
        <v>0</v>
      </c>
      <c r="EU298">
        <v>0</v>
      </c>
      <c r="EV298">
        <v>0</v>
      </c>
      <c r="EW298">
        <v>0</v>
      </c>
      <c r="EX298">
        <v>0</v>
      </c>
      <c r="EY298">
        <v>74</v>
      </c>
      <c r="EZ298">
        <v>212</v>
      </c>
      <c r="FA298">
        <v>0</v>
      </c>
      <c r="FB298">
        <v>85</v>
      </c>
      <c r="FC298">
        <v>728</v>
      </c>
      <c r="FD298">
        <v>1499</v>
      </c>
      <c r="FE298">
        <v>0</v>
      </c>
      <c r="FF298">
        <v>0</v>
      </c>
      <c r="FG298">
        <v>0</v>
      </c>
      <c r="FH298">
        <v>2598</v>
      </c>
      <c r="FI298">
        <v>98</v>
      </c>
      <c r="FJ298">
        <v>0</v>
      </c>
      <c r="FK298">
        <v>0</v>
      </c>
      <c r="FL298">
        <v>230</v>
      </c>
      <c r="FM298">
        <v>189</v>
      </c>
      <c r="FN298">
        <v>174</v>
      </c>
      <c r="FO298">
        <v>69</v>
      </c>
      <c r="FP298">
        <v>0</v>
      </c>
      <c r="FQ298">
        <v>0</v>
      </c>
      <c r="FR298">
        <v>12</v>
      </c>
      <c r="FS298">
        <v>53</v>
      </c>
      <c r="FT298">
        <v>422</v>
      </c>
      <c r="FU298">
        <v>54</v>
      </c>
      <c r="FV298">
        <v>76</v>
      </c>
      <c r="FW298">
        <v>96</v>
      </c>
      <c r="FX298">
        <v>0</v>
      </c>
      <c r="FY298">
        <v>0</v>
      </c>
      <c r="FZ298">
        <v>44</v>
      </c>
      <c r="GA298">
        <v>302</v>
      </c>
      <c r="GB298">
        <v>0</v>
      </c>
      <c r="GC298">
        <v>0</v>
      </c>
      <c r="GD298">
        <v>768</v>
      </c>
      <c r="GE298">
        <v>2440</v>
      </c>
      <c r="GF298">
        <v>0</v>
      </c>
      <c r="GG298">
        <v>0</v>
      </c>
      <c r="GH298">
        <v>-132</v>
      </c>
      <c r="GI298">
        <v>0</v>
      </c>
      <c r="GJ298">
        <v>0</v>
      </c>
      <c r="GK298">
        <v>4895</v>
      </c>
      <c r="GL298">
        <v>83</v>
      </c>
      <c r="GM298">
        <v>962</v>
      </c>
      <c r="GN298">
        <v>0</v>
      </c>
      <c r="GO298">
        <v>317</v>
      </c>
      <c r="GP298">
        <v>142</v>
      </c>
      <c r="GQ298">
        <v>837</v>
      </c>
      <c r="GR298">
        <v>0</v>
      </c>
      <c r="GS298">
        <v>0</v>
      </c>
      <c r="GT298">
        <v>312</v>
      </c>
      <c r="GU298">
        <v>2653</v>
      </c>
      <c r="GV298">
        <v>10146</v>
      </c>
      <c r="GW298">
        <v>0</v>
      </c>
      <c r="GX298">
        <v>0</v>
      </c>
      <c r="GY298">
        <v>0</v>
      </c>
      <c r="GZ298">
        <v>0</v>
      </c>
      <c r="HA298">
        <v>0</v>
      </c>
      <c r="HB298">
        <v>1102</v>
      </c>
      <c r="HC298">
        <v>647</v>
      </c>
      <c r="HD298">
        <v>0</v>
      </c>
      <c r="HE298">
        <v>0</v>
      </c>
      <c r="HF298">
        <v>183</v>
      </c>
      <c r="HG298">
        <v>0</v>
      </c>
      <c r="HH298">
        <v>0</v>
      </c>
      <c r="HI298">
        <v>0</v>
      </c>
      <c r="HJ298">
        <v>198</v>
      </c>
      <c r="HK298">
        <v>226</v>
      </c>
      <c r="HL298">
        <v>42</v>
      </c>
      <c r="HM298">
        <v>-43</v>
      </c>
      <c r="HN298">
        <v>0</v>
      </c>
      <c r="HO298">
        <v>0</v>
      </c>
      <c r="HP298">
        <v>0</v>
      </c>
      <c r="HQ298">
        <v>0</v>
      </c>
      <c r="HR298">
        <v>90</v>
      </c>
      <c r="HS298">
        <v>0</v>
      </c>
      <c r="HT298">
        <v>0</v>
      </c>
      <c r="HU298">
        <v>0</v>
      </c>
      <c r="HV298">
        <v>2445</v>
      </c>
      <c r="HW298">
        <v>0</v>
      </c>
      <c r="HX298">
        <v>0</v>
      </c>
      <c r="HY298">
        <v>0</v>
      </c>
      <c r="HZ298">
        <v>0</v>
      </c>
      <c r="IA298">
        <v>0</v>
      </c>
      <c r="IB298">
        <v>70</v>
      </c>
      <c r="IC298">
        <v>0</v>
      </c>
      <c r="ID298">
        <v>-375</v>
      </c>
      <c r="IE298">
        <v>0</v>
      </c>
      <c r="IF298">
        <v>0</v>
      </c>
      <c r="IG298">
        <v>0</v>
      </c>
      <c r="IH298">
        <v>970</v>
      </c>
      <c r="II298">
        <v>2598</v>
      </c>
      <c r="IJ298">
        <v>4895</v>
      </c>
      <c r="IK298">
        <v>2653</v>
      </c>
      <c r="IL298">
        <v>0</v>
      </c>
      <c r="IM298">
        <v>0</v>
      </c>
      <c r="IN298">
        <v>2445</v>
      </c>
      <c r="IO298">
        <v>70</v>
      </c>
      <c r="IP298">
        <v>13256</v>
      </c>
      <c r="IQ298">
        <v>12503</v>
      </c>
      <c r="IR298">
        <v>97</v>
      </c>
      <c r="IS298">
        <v>0</v>
      </c>
      <c r="IT298">
        <v>0</v>
      </c>
      <c r="IU298">
        <v>0</v>
      </c>
      <c r="IV298">
        <v>2320</v>
      </c>
      <c r="IW298">
        <v>0</v>
      </c>
      <c r="IX298">
        <v>0</v>
      </c>
      <c r="IY298">
        <v>0</v>
      </c>
      <c r="IZ298">
        <v>23</v>
      </c>
      <c r="JA298">
        <v>-1192</v>
      </c>
      <c r="JB298">
        <v>0</v>
      </c>
      <c r="JC298">
        <v>0</v>
      </c>
      <c r="JD298">
        <v>0</v>
      </c>
      <c r="JE298">
        <v>0</v>
      </c>
      <c r="JF298">
        <v>0</v>
      </c>
      <c r="JG298">
        <v>27007</v>
      </c>
      <c r="JH298">
        <v>0</v>
      </c>
      <c r="JI298">
        <v>1316</v>
      </c>
      <c r="JJ298">
        <v>0</v>
      </c>
      <c r="JK298">
        <v>0</v>
      </c>
      <c r="JL298">
        <v>0</v>
      </c>
      <c r="JM298">
        <v>-7</v>
      </c>
      <c r="JN298">
        <v>0</v>
      </c>
      <c r="JO298">
        <v>0</v>
      </c>
      <c r="JP298">
        <v>15</v>
      </c>
      <c r="JQ298">
        <v>0</v>
      </c>
      <c r="JR298">
        <v>28331</v>
      </c>
      <c r="JS298">
        <v>-677</v>
      </c>
      <c r="JT298">
        <v>0</v>
      </c>
      <c r="JU298">
        <v>0</v>
      </c>
      <c r="JV298">
        <v>0</v>
      </c>
      <c r="JW298">
        <v>-12594</v>
      </c>
      <c r="JX298">
        <v>0</v>
      </c>
      <c r="JY298">
        <v>-89</v>
      </c>
      <c r="JZ298">
        <v>0</v>
      </c>
      <c r="KA298">
        <v>0</v>
      </c>
      <c r="KB298">
        <v>0</v>
      </c>
      <c r="KC298">
        <v>14971</v>
      </c>
      <c r="KD298">
        <v>0</v>
      </c>
      <c r="KE298">
        <v>-2867</v>
      </c>
      <c r="KF298">
        <v>12103</v>
      </c>
      <c r="KG298">
        <v>0</v>
      </c>
      <c r="KH298">
        <v>0</v>
      </c>
      <c r="KI298">
        <v>0</v>
      </c>
      <c r="KJ298">
        <v>0</v>
      </c>
      <c r="KK298">
        <v>1210</v>
      </c>
      <c r="KL298">
        <v>0</v>
      </c>
      <c r="KM298">
        <v>0</v>
      </c>
      <c r="KN298">
        <v>0</v>
      </c>
      <c r="KO298">
        <v>-1525</v>
      </c>
      <c r="KP298">
        <v>46</v>
      </c>
      <c r="KQ298">
        <v>-8</v>
      </c>
      <c r="KR298">
        <v>9575</v>
      </c>
      <c r="KS298">
        <v>0</v>
      </c>
      <c r="KT298">
        <v>0</v>
      </c>
      <c r="KU298">
        <v>0</v>
      </c>
      <c r="KV298">
        <v>24969</v>
      </c>
      <c r="KW298">
        <v>19242</v>
      </c>
      <c r="KX298">
        <v>0</v>
      </c>
      <c r="KY298">
        <v>0</v>
      </c>
      <c r="KZ298">
        <v>0</v>
      </c>
      <c r="LA298">
        <v>26179</v>
      </c>
      <c r="LB298">
        <v>19242</v>
      </c>
      <c r="LC298">
        <v>0</v>
      </c>
      <c r="LD298">
        <v>1644</v>
      </c>
      <c r="LE298">
        <v>0</v>
      </c>
      <c r="LF298">
        <v>-4</v>
      </c>
      <c r="LG298">
        <v>-4305</v>
      </c>
      <c r="LH298">
        <v>1541</v>
      </c>
      <c r="LI298">
        <v>-1604</v>
      </c>
      <c r="LJ298">
        <v>2378</v>
      </c>
      <c r="LK298">
        <v>3058</v>
      </c>
      <c r="LL298">
        <v>5436</v>
      </c>
      <c r="LM298">
        <v>0</v>
      </c>
      <c r="LN298">
        <v>0</v>
      </c>
      <c r="LO298">
        <v>0</v>
      </c>
      <c r="LP298">
        <v>0</v>
      </c>
      <c r="LQ298">
        <v>0</v>
      </c>
      <c r="LR298">
        <v>0</v>
      </c>
      <c r="LS298">
        <v>0</v>
      </c>
      <c r="LT298">
        <v>0</v>
      </c>
      <c r="LU298">
        <v>0</v>
      </c>
      <c r="LV298">
        <v>-375</v>
      </c>
      <c r="LW298">
        <v>0</v>
      </c>
      <c r="LX298">
        <v>0</v>
      </c>
      <c r="LY298">
        <v>0</v>
      </c>
      <c r="LZ298">
        <v>970</v>
      </c>
      <c r="MA298">
        <v>2598</v>
      </c>
      <c r="MB298">
        <v>4895</v>
      </c>
      <c r="MC298">
        <v>2653</v>
      </c>
      <c r="MD298">
        <v>0</v>
      </c>
      <c r="ME298">
        <v>0</v>
      </c>
      <c r="MF298">
        <v>2445</v>
      </c>
      <c r="MG298">
        <v>70</v>
      </c>
      <c r="MH298">
        <v>13256</v>
      </c>
      <c r="MI298">
        <v>0</v>
      </c>
      <c r="MJ298">
        <v>0</v>
      </c>
      <c r="MK298">
        <v>0</v>
      </c>
      <c r="ML298">
        <v>0</v>
      </c>
      <c r="MM298">
        <v>0</v>
      </c>
      <c r="MN298">
        <v>0</v>
      </c>
      <c r="MO298">
        <v>0</v>
      </c>
      <c r="MP298">
        <v>0</v>
      </c>
      <c r="MQ298">
        <v>0</v>
      </c>
      <c r="MR298">
        <v>0</v>
      </c>
      <c r="MS298">
        <v>0</v>
      </c>
      <c r="MT298">
        <v>0</v>
      </c>
      <c r="MU298">
        <v>0</v>
      </c>
      <c r="MV298">
        <v>0</v>
      </c>
      <c r="MW298">
        <v>0</v>
      </c>
      <c r="MX298">
        <v>-345</v>
      </c>
      <c r="MY298">
        <v>-824</v>
      </c>
      <c r="MZ298">
        <v>0</v>
      </c>
      <c r="NA298">
        <v>-1192</v>
      </c>
      <c r="NB298">
        <v>0</v>
      </c>
      <c r="NC298">
        <v>-1192</v>
      </c>
      <c r="ND298">
        <v>0</v>
      </c>
      <c r="NE298">
        <v>0</v>
      </c>
      <c r="NF298">
        <v>0</v>
      </c>
      <c r="NG298">
        <v>0</v>
      </c>
      <c r="NH298">
        <v>0</v>
      </c>
      <c r="NI298">
        <v>0</v>
      </c>
      <c r="NJ298">
        <v>0</v>
      </c>
      <c r="NK298">
        <v>0</v>
      </c>
      <c r="NL298">
        <v>0</v>
      </c>
      <c r="NM298">
        <v>0</v>
      </c>
      <c r="NN298">
        <v>0</v>
      </c>
      <c r="NO298">
        <v>0</v>
      </c>
      <c r="NP298">
        <v>0</v>
      </c>
      <c r="NQ298">
        <v>0</v>
      </c>
      <c r="NR298">
        <v>0</v>
      </c>
      <c r="NS298">
        <v>0</v>
      </c>
      <c r="NT298">
        <v>0</v>
      </c>
      <c r="NU298">
        <v>0</v>
      </c>
      <c r="NV298">
        <v>0</v>
      </c>
      <c r="NW298">
        <v>0</v>
      </c>
      <c r="NX298">
        <v>0</v>
      </c>
      <c r="NY298">
        <v>0</v>
      </c>
      <c r="NZ298">
        <v>0</v>
      </c>
      <c r="OA298">
        <v>0</v>
      </c>
      <c r="OB298">
        <v>0</v>
      </c>
      <c r="OC298">
        <v>0</v>
      </c>
      <c r="OD298">
        <v>0</v>
      </c>
      <c r="OE298">
        <v>0</v>
      </c>
      <c r="OF298">
        <v>0</v>
      </c>
      <c r="OG298">
        <v>0</v>
      </c>
      <c r="OH298">
        <v>0</v>
      </c>
      <c r="OI298">
        <v>0</v>
      </c>
      <c r="OJ298">
        <v>0</v>
      </c>
      <c r="OK298">
        <v>0</v>
      </c>
      <c r="OL298">
        <v>0</v>
      </c>
      <c r="OM298">
        <v>0</v>
      </c>
      <c r="ON298">
        <v>0</v>
      </c>
    </row>
    <row r="299" spans="1:404" x14ac:dyDescent="0.25">
      <c r="A299" t="s">
        <v>967</v>
      </c>
      <c r="B299" t="s">
        <v>968</v>
      </c>
      <c r="C299" t="s">
        <v>966</v>
      </c>
      <c r="E299" t="s">
        <v>61</v>
      </c>
      <c r="F299">
        <v>0</v>
      </c>
      <c r="G299">
        <v>0</v>
      </c>
      <c r="H299">
        <v>0</v>
      </c>
      <c r="I299">
        <v>0</v>
      </c>
      <c r="J299">
        <v>0</v>
      </c>
      <c r="K299">
        <v>0</v>
      </c>
      <c r="L299">
        <v>0</v>
      </c>
      <c r="M299">
        <v>0</v>
      </c>
      <c r="N299">
        <v>0</v>
      </c>
      <c r="O299">
        <v>0</v>
      </c>
      <c r="P299">
        <v>0</v>
      </c>
      <c r="Q299">
        <v>0</v>
      </c>
      <c r="R299">
        <v>0</v>
      </c>
      <c r="S299">
        <v>316</v>
      </c>
      <c r="T299">
        <v>0</v>
      </c>
      <c r="U299">
        <v>4</v>
      </c>
      <c r="V299">
        <v>0</v>
      </c>
      <c r="W299">
        <v>0</v>
      </c>
      <c r="X299">
        <v>0</v>
      </c>
      <c r="Y299">
        <v>0</v>
      </c>
      <c r="Z299">
        <v>-126</v>
      </c>
      <c r="AA299">
        <v>-8</v>
      </c>
      <c r="AB299">
        <v>0</v>
      </c>
      <c r="AC299">
        <v>0</v>
      </c>
      <c r="AD299">
        <v>39</v>
      </c>
      <c r="AE299">
        <v>0</v>
      </c>
      <c r="AF299">
        <v>0</v>
      </c>
      <c r="AG299">
        <v>0</v>
      </c>
      <c r="AH299">
        <v>0</v>
      </c>
      <c r="AI299">
        <v>225</v>
      </c>
      <c r="AJ299">
        <v>0</v>
      </c>
      <c r="AK299">
        <v>0</v>
      </c>
      <c r="AL299">
        <v>0</v>
      </c>
      <c r="AM299">
        <v>0</v>
      </c>
      <c r="AN299">
        <v>0</v>
      </c>
      <c r="AO299">
        <v>0</v>
      </c>
      <c r="AP299">
        <v>0</v>
      </c>
      <c r="AQ299">
        <v>265</v>
      </c>
      <c r="AR299">
        <v>425</v>
      </c>
      <c r="AS299">
        <v>0</v>
      </c>
      <c r="AT299">
        <v>0</v>
      </c>
      <c r="AU299">
        <v>0</v>
      </c>
      <c r="AV299">
        <v>0</v>
      </c>
      <c r="AW299">
        <v>0</v>
      </c>
      <c r="AX299">
        <v>0</v>
      </c>
      <c r="AY299">
        <v>0</v>
      </c>
      <c r="AZ299">
        <v>0</v>
      </c>
      <c r="BA299">
        <v>0</v>
      </c>
      <c r="BB299">
        <v>0</v>
      </c>
      <c r="BC299">
        <v>0</v>
      </c>
      <c r="BD299">
        <v>0</v>
      </c>
      <c r="BE299">
        <v>0</v>
      </c>
      <c r="BF299">
        <v>0</v>
      </c>
      <c r="BG299">
        <v>0</v>
      </c>
      <c r="BH299">
        <v>0</v>
      </c>
      <c r="BI299">
        <v>0</v>
      </c>
      <c r="BJ299">
        <v>0</v>
      </c>
      <c r="BK299">
        <v>0</v>
      </c>
      <c r="BL299">
        <v>0</v>
      </c>
      <c r="BM299">
        <v>0</v>
      </c>
      <c r="BN299">
        <v>0</v>
      </c>
      <c r="BO299">
        <v>0</v>
      </c>
      <c r="BP299">
        <v>0</v>
      </c>
      <c r="BQ299">
        <v>0</v>
      </c>
      <c r="BR299">
        <v>0</v>
      </c>
      <c r="BS299">
        <v>0</v>
      </c>
      <c r="BT299">
        <v>0</v>
      </c>
      <c r="BU299">
        <v>3</v>
      </c>
      <c r="BV299">
        <v>0</v>
      </c>
      <c r="BW299">
        <v>3</v>
      </c>
      <c r="BX299">
        <v>0</v>
      </c>
      <c r="BY299">
        <v>0</v>
      </c>
      <c r="BZ299">
        <v>0</v>
      </c>
      <c r="CA299">
        <v>0</v>
      </c>
      <c r="CB299">
        <v>0</v>
      </c>
      <c r="CC299">
        <v>0</v>
      </c>
      <c r="CD299">
        <v>0</v>
      </c>
      <c r="CE299">
        <v>0</v>
      </c>
      <c r="CF299">
        <v>0</v>
      </c>
      <c r="CG299">
        <v>0</v>
      </c>
      <c r="CH299">
        <v>0</v>
      </c>
      <c r="CI299">
        <v>0</v>
      </c>
      <c r="CJ299">
        <v>0</v>
      </c>
      <c r="CK299">
        <v>0</v>
      </c>
      <c r="CL299">
        <v>0</v>
      </c>
      <c r="CM299">
        <v>0</v>
      </c>
      <c r="CN299">
        <v>0</v>
      </c>
      <c r="CO299">
        <v>0</v>
      </c>
      <c r="CP299">
        <v>0</v>
      </c>
      <c r="CQ299">
        <v>0</v>
      </c>
      <c r="CR299">
        <v>0</v>
      </c>
      <c r="CS299">
        <v>0</v>
      </c>
      <c r="CT299">
        <v>0</v>
      </c>
      <c r="CU299">
        <v>0</v>
      </c>
      <c r="CV299">
        <v>-41</v>
      </c>
      <c r="CW299">
        <v>0</v>
      </c>
      <c r="CX299">
        <v>0</v>
      </c>
      <c r="CY299">
        <v>0</v>
      </c>
      <c r="CZ299">
        <v>0</v>
      </c>
      <c r="DA299">
        <v>0</v>
      </c>
      <c r="DB299">
        <v>0</v>
      </c>
      <c r="DC299">
        <v>726</v>
      </c>
      <c r="DD299">
        <v>0</v>
      </c>
      <c r="DE299">
        <v>1370</v>
      </c>
      <c r="DF299">
        <v>0</v>
      </c>
      <c r="DG299">
        <v>0</v>
      </c>
      <c r="DH299">
        <v>0</v>
      </c>
      <c r="DI299">
        <v>0</v>
      </c>
      <c r="DJ299">
        <v>255</v>
      </c>
      <c r="DK299">
        <v>0</v>
      </c>
      <c r="DL299">
        <v>0</v>
      </c>
      <c r="DM299">
        <v>142</v>
      </c>
      <c r="DN299">
        <v>354</v>
      </c>
      <c r="DO299">
        <v>191</v>
      </c>
      <c r="DP299">
        <v>942</v>
      </c>
      <c r="DQ299">
        <v>226</v>
      </c>
      <c r="DR299">
        <v>0</v>
      </c>
      <c r="DS299">
        <v>60</v>
      </c>
      <c r="DT299">
        <v>771</v>
      </c>
      <c r="DU299">
        <v>0</v>
      </c>
      <c r="DV299">
        <v>0</v>
      </c>
      <c r="DW299">
        <v>0</v>
      </c>
      <c r="DX299">
        <v>4095</v>
      </c>
      <c r="DY299">
        <v>0</v>
      </c>
      <c r="DZ299">
        <v>0</v>
      </c>
      <c r="EA299">
        <v>0</v>
      </c>
      <c r="EB299">
        <v>0</v>
      </c>
      <c r="EC299">
        <v>0</v>
      </c>
      <c r="ED299">
        <v>0</v>
      </c>
      <c r="EE299">
        <v>0</v>
      </c>
      <c r="EF299">
        <v>0</v>
      </c>
      <c r="EG299">
        <v>0</v>
      </c>
      <c r="EH299">
        <v>0</v>
      </c>
      <c r="EI299">
        <v>0</v>
      </c>
      <c r="EJ299">
        <v>0</v>
      </c>
      <c r="EK299">
        <v>0</v>
      </c>
      <c r="EL299">
        <v>0</v>
      </c>
      <c r="EM299">
        <v>0</v>
      </c>
      <c r="EN299">
        <v>0</v>
      </c>
      <c r="EO299">
        <v>0</v>
      </c>
      <c r="EP299">
        <v>0</v>
      </c>
      <c r="EQ299">
        <v>0</v>
      </c>
      <c r="ER299">
        <v>0</v>
      </c>
      <c r="ES299">
        <v>0</v>
      </c>
      <c r="ET299">
        <v>0</v>
      </c>
      <c r="EU299">
        <v>0</v>
      </c>
      <c r="EV299">
        <v>15</v>
      </c>
      <c r="EW299">
        <v>0</v>
      </c>
      <c r="EX299">
        <v>40</v>
      </c>
      <c r="EY299">
        <v>315</v>
      </c>
      <c r="EZ299">
        <v>135</v>
      </c>
      <c r="FA299">
        <v>0</v>
      </c>
      <c r="FB299">
        <v>154</v>
      </c>
      <c r="FC299">
        <v>756</v>
      </c>
      <c r="FD299">
        <v>407</v>
      </c>
      <c r="FE299">
        <v>11</v>
      </c>
      <c r="FF299">
        <v>61</v>
      </c>
      <c r="FG299">
        <v>0</v>
      </c>
      <c r="FH299">
        <v>1894</v>
      </c>
      <c r="FI299">
        <v>-434</v>
      </c>
      <c r="FJ299">
        <v>0</v>
      </c>
      <c r="FK299">
        <v>0</v>
      </c>
      <c r="FL299">
        <v>210</v>
      </c>
      <c r="FM299">
        <v>422</v>
      </c>
      <c r="FN299">
        <v>108</v>
      </c>
      <c r="FO299">
        <v>160</v>
      </c>
      <c r="FP299">
        <v>0</v>
      </c>
      <c r="FQ299">
        <v>0</v>
      </c>
      <c r="FR299">
        <v>13</v>
      </c>
      <c r="FS299">
        <v>152</v>
      </c>
      <c r="FT299">
        <v>97</v>
      </c>
      <c r="FU299">
        <v>318</v>
      </c>
      <c r="FV299">
        <v>313</v>
      </c>
      <c r="FW299">
        <v>180</v>
      </c>
      <c r="FX299">
        <v>223</v>
      </c>
      <c r="FY299">
        <v>0</v>
      </c>
      <c r="FZ299">
        <v>19</v>
      </c>
      <c r="GA299">
        <v>0</v>
      </c>
      <c r="GB299">
        <v>0</v>
      </c>
      <c r="GC299">
        <v>0</v>
      </c>
      <c r="GD299">
        <v>980</v>
      </c>
      <c r="GE299">
        <v>1092</v>
      </c>
      <c r="GF299">
        <v>0</v>
      </c>
      <c r="GG299">
        <v>0</v>
      </c>
      <c r="GH299">
        <v>378</v>
      </c>
      <c r="GI299">
        <v>0</v>
      </c>
      <c r="GJ299">
        <v>0</v>
      </c>
      <c r="GK299">
        <v>4231</v>
      </c>
      <c r="GL299">
        <v>68</v>
      </c>
      <c r="GM299">
        <v>648</v>
      </c>
      <c r="GN299">
        <v>0</v>
      </c>
      <c r="GO299">
        <v>449</v>
      </c>
      <c r="GP299">
        <v>128</v>
      </c>
      <c r="GQ299">
        <v>2305</v>
      </c>
      <c r="GR299">
        <v>0</v>
      </c>
      <c r="GS299">
        <v>0</v>
      </c>
      <c r="GT299">
        <v>423</v>
      </c>
      <c r="GU299">
        <v>4021</v>
      </c>
      <c r="GV299">
        <v>10146</v>
      </c>
      <c r="GW299">
        <v>0</v>
      </c>
      <c r="GX299">
        <v>0</v>
      </c>
      <c r="GY299">
        <v>0</v>
      </c>
      <c r="GZ299">
        <v>0</v>
      </c>
      <c r="HA299">
        <v>0</v>
      </c>
      <c r="HB299">
        <v>1452</v>
      </c>
      <c r="HC299">
        <v>840</v>
      </c>
      <c r="HD299">
        <v>0</v>
      </c>
      <c r="HE299">
        <v>0</v>
      </c>
      <c r="HF299">
        <v>210</v>
      </c>
      <c r="HG299">
        <v>218</v>
      </c>
      <c r="HH299">
        <v>0</v>
      </c>
      <c r="HI299">
        <v>0</v>
      </c>
      <c r="HJ299">
        <v>137</v>
      </c>
      <c r="HK299">
        <v>119</v>
      </c>
      <c r="HL299">
        <v>42</v>
      </c>
      <c r="HM299">
        <v>25</v>
      </c>
      <c r="HN299">
        <v>0</v>
      </c>
      <c r="HO299">
        <v>755</v>
      </c>
      <c r="HP299">
        <v>0</v>
      </c>
      <c r="HQ299">
        <v>0</v>
      </c>
      <c r="HR299">
        <v>318</v>
      </c>
      <c r="HS299">
        <v>0</v>
      </c>
      <c r="HT299">
        <v>0</v>
      </c>
      <c r="HU299">
        <v>0</v>
      </c>
      <c r="HV299">
        <v>4116</v>
      </c>
      <c r="HW299">
        <v>0</v>
      </c>
      <c r="HX299">
        <v>0</v>
      </c>
      <c r="HY299">
        <v>0</v>
      </c>
      <c r="HZ299">
        <v>0</v>
      </c>
      <c r="IA299">
        <v>0</v>
      </c>
      <c r="IB299">
        <v>1902</v>
      </c>
      <c r="IC299">
        <v>0</v>
      </c>
      <c r="ID299">
        <v>225</v>
      </c>
      <c r="IE299">
        <v>0</v>
      </c>
      <c r="IF299">
        <v>3</v>
      </c>
      <c r="IG299">
        <v>-41</v>
      </c>
      <c r="IH299">
        <v>4095</v>
      </c>
      <c r="II299">
        <v>1894</v>
      </c>
      <c r="IJ299">
        <v>4231</v>
      </c>
      <c r="IK299">
        <v>4021</v>
      </c>
      <c r="IL299">
        <v>0</v>
      </c>
      <c r="IM299">
        <v>0</v>
      </c>
      <c r="IN299">
        <v>4116</v>
      </c>
      <c r="IO299">
        <v>1902</v>
      </c>
      <c r="IP299">
        <v>20446</v>
      </c>
      <c r="IQ299">
        <v>25420</v>
      </c>
      <c r="IR299">
        <v>113</v>
      </c>
      <c r="IS299">
        <v>0</v>
      </c>
      <c r="IT299">
        <v>0</v>
      </c>
      <c r="IU299">
        <v>0</v>
      </c>
      <c r="IV299">
        <v>0</v>
      </c>
      <c r="IW299">
        <v>0</v>
      </c>
      <c r="IX299">
        <v>0</v>
      </c>
      <c r="IY299">
        <v>0</v>
      </c>
      <c r="IZ299">
        <v>0</v>
      </c>
      <c r="JA299">
        <v>-6666</v>
      </c>
      <c r="JB299">
        <v>-317</v>
      </c>
      <c r="JC299">
        <v>-40</v>
      </c>
      <c r="JD299">
        <v>-255</v>
      </c>
      <c r="JE299">
        <v>69</v>
      </c>
      <c r="JF299">
        <v>0</v>
      </c>
      <c r="JG299">
        <v>38770</v>
      </c>
      <c r="JH299">
        <v>0</v>
      </c>
      <c r="JI299">
        <v>31</v>
      </c>
      <c r="JJ299">
        <v>0</v>
      </c>
      <c r="JK299">
        <v>0</v>
      </c>
      <c r="JL299">
        <v>0</v>
      </c>
      <c r="JM299">
        <v>40</v>
      </c>
      <c r="JN299">
        <v>2457</v>
      </c>
      <c r="JO299">
        <v>400</v>
      </c>
      <c r="JP299">
        <v>369</v>
      </c>
      <c r="JQ299">
        <v>0</v>
      </c>
      <c r="JR299">
        <v>42067</v>
      </c>
      <c r="JS299">
        <v>-932</v>
      </c>
      <c r="JT299">
        <v>0</v>
      </c>
      <c r="JU299">
        <v>0</v>
      </c>
      <c r="JV299">
        <v>0</v>
      </c>
      <c r="JW299">
        <v>-26945</v>
      </c>
      <c r="JX299">
        <v>0</v>
      </c>
      <c r="JY299">
        <v>0</v>
      </c>
      <c r="JZ299">
        <v>0</v>
      </c>
      <c r="KA299">
        <v>0</v>
      </c>
      <c r="KB299">
        <v>0</v>
      </c>
      <c r="KC299">
        <v>14190</v>
      </c>
      <c r="KD299">
        <v>0</v>
      </c>
      <c r="KE299">
        <v>-2631</v>
      </c>
      <c r="KF299">
        <v>11559</v>
      </c>
      <c r="KG299">
        <v>0</v>
      </c>
      <c r="KH299">
        <v>0</v>
      </c>
      <c r="KI299">
        <v>0</v>
      </c>
      <c r="KJ299">
        <v>0</v>
      </c>
      <c r="KK299">
        <v>-5054</v>
      </c>
      <c r="KL299">
        <v>7037</v>
      </c>
      <c r="KM299">
        <v>0</v>
      </c>
      <c r="KN299">
        <v>0</v>
      </c>
      <c r="KO299">
        <v>-4651</v>
      </c>
      <c r="KP299">
        <v>-23</v>
      </c>
      <c r="KQ299">
        <v>-12</v>
      </c>
      <c r="KR299">
        <v>6928</v>
      </c>
      <c r="KS299">
        <v>0</v>
      </c>
      <c r="KT299">
        <v>0</v>
      </c>
      <c r="KU299">
        <v>0</v>
      </c>
      <c r="KV299">
        <v>22093</v>
      </c>
      <c r="KW299">
        <v>2000</v>
      </c>
      <c r="KX299">
        <v>0</v>
      </c>
      <c r="KY299">
        <v>0</v>
      </c>
      <c r="KZ299">
        <v>0</v>
      </c>
      <c r="LA299">
        <v>17039</v>
      </c>
      <c r="LB299">
        <v>9037</v>
      </c>
      <c r="LC299">
        <v>0</v>
      </c>
      <c r="LD299">
        <v>1627</v>
      </c>
      <c r="LE299">
        <v>0</v>
      </c>
      <c r="LF299">
        <v>0</v>
      </c>
      <c r="LG299">
        <v>-1203</v>
      </c>
      <c r="LH299">
        <v>816</v>
      </c>
      <c r="LI299">
        <v>1240</v>
      </c>
      <c r="LJ299">
        <v>2183</v>
      </c>
      <c r="LK299">
        <v>2984</v>
      </c>
      <c r="LL299">
        <v>5167</v>
      </c>
      <c r="LM299">
        <v>0</v>
      </c>
      <c r="LN299">
        <v>0</v>
      </c>
      <c r="LO299">
        <v>0</v>
      </c>
      <c r="LP299">
        <v>0</v>
      </c>
      <c r="LQ299">
        <v>0</v>
      </c>
      <c r="LR299">
        <v>0</v>
      </c>
      <c r="LS299">
        <v>0</v>
      </c>
      <c r="LT299">
        <v>0</v>
      </c>
      <c r="LU299">
        <v>0</v>
      </c>
      <c r="LV299">
        <v>225</v>
      </c>
      <c r="LW299">
        <v>0</v>
      </c>
      <c r="LX299">
        <v>3</v>
      </c>
      <c r="LY299">
        <v>-41</v>
      </c>
      <c r="LZ299">
        <v>4095</v>
      </c>
      <c r="MA299">
        <v>1894</v>
      </c>
      <c r="MB299">
        <v>4231</v>
      </c>
      <c r="MC299">
        <v>4021</v>
      </c>
      <c r="MD299">
        <v>0</v>
      </c>
      <c r="ME299">
        <v>0</v>
      </c>
      <c r="MF299">
        <v>4116</v>
      </c>
      <c r="MG299">
        <v>1902</v>
      </c>
      <c r="MH299">
        <v>20446</v>
      </c>
      <c r="MI299">
        <v>0</v>
      </c>
      <c r="MJ299">
        <v>0</v>
      </c>
      <c r="MK299">
        <v>0</v>
      </c>
      <c r="ML299">
        <v>0</v>
      </c>
      <c r="MM299">
        <v>0</v>
      </c>
      <c r="MN299">
        <v>0</v>
      </c>
      <c r="MO299">
        <v>0</v>
      </c>
      <c r="MP299">
        <v>0</v>
      </c>
      <c r="MQ299">
        <v>0</v>
      </c>
      <c r="MR299">
        <v>0</v>
      </c>
      <c r="MS299">
        <v>0</v>
      </c>
      <c r="MT299">
        <v>0</v>
      </c>
      <c r="MU299">
        <v>0</v>
      </c>
      <c r="MV299">
        <v>0</v>
      </c>
      <c r="MW299">
        <v>0</v>
      </c>
      <c r="MX299">
        <v>-1024</v>
      </c>
      <c r="MY299">
        <v>-5330</v>
      </c>
      <c r="MZ299">
        <v>0</v>
      </c>
      <c r="NA299">
        <v>-6706</v>
      </c>
      <c r="NB299">
        <v>40</v>
      </c>
      <c r="NC299">
        <v>-6666</v>
      </c>
      <c r="ND299">
        <v>0</v>
      </c>
      <c r="NE299">
        <v>0</v>
      </c>
      <c r="NF299">
        <v>0</v>
      </c>
      <c r="NG299">
        <v>0</v>
      </c>
      <c r="NH299">
        <v>0</v>
      </c>
      <c r="NI299">
        <v>0</v>
      </c>
      <c r="NJ299">
        <v>-1</v>
      </c>
      <c r="NK299">
        <v>-4</v>
      </c>
      <c r="NL299">
        <v>0</v>
      </c>
      <c r="NM299">
        <v>-2</v>
      </c>
      <c r="NN299">
        <v>0</v>
      </c>
      <c r="NO299">
        <v>0</v>
      </c>
      <c r="NP299">
        <v>0</v>
      </c>
      <c r="NQ299">
        <v>0</v>
      </c>
      <c r="NR299">
        <v>0</v>
      </c>
      <c r="NS299">
        <v>0</v>
      </c>
      <c r="NT299">
        <v>0</v>
      </c>
      <c r="NU299">
        <v>-243</v>
      </c>
      <c r="NV299">
        <v>-317</v>
      </c>
      <c r="NW299">
        <v>-236</v>
      </c>
      <c r="NX299">
        <v>-108</v>
      </c>
      <c r="NY299">
        <v>-85</v>
      </c>
      <c r="NZ299">
        <v>-572</v>
      </c>
      <c r="OA299">
        <v>255</v>
      </c>
      <c r="OB299">
        <v>-317</v>
      </c>
      <c r="OC299">
        <v>40</v>
      </c>
      <c r="OD299">
        <v>0</v>
      </c>
      <c r="OE299">
        <v>0</v>
      </c>
      <c r="OF299">
        <v>0</v>
      </c>
      <c r="OG299">
        <v>0</v>
      </c>
      <c r="OH299">
        <v>40</v>
      </c>
      <c r="OI299">
        <v>255</v>
      </c>
      <c r="OJ299">
        <v>0</v>
      </c>
      <c r="OK299">
        <v>0</v>
      </c>
      <c r="OL299">
        <v>0</v>
      </c>
      <c r="OM299">
        <v>0</v>
      </c>
      <c r="ON299">
        <v>255</v>
      </c>
    </row>
    <row r="300" spans="1:404" x14ac:dyDescent="0.25">
      <c r="A300" t="s">
        <v>970</v>
      </c>
      <c r="B300" t="s">
        <v>971</v>
      </c>
      <c r="C300" t="s">
        <v>969</v>
      </c>
      <c r="E300" t="s">
        <v>125</v>
      </c>
      <c r="F300">
        <v>2146</v>
      </c>
      <c r="G300">
        <v>3301</v>
      </c>
      <c r="H300">
        <v>604</v>
      </c>
      <c r="I300">
        <v>2755</v>
      </c>
      <c r="J300">
        <v>894</v>
      </c>
      <c r="K300">
        <v>4237</v>
      </c>
      <c r="L300">
        <v>13937</v>
      </c>
      <c r="M300">
        <v>498</v>
      </c>
      <c r="N300">
        <v>122</v>
      </c>
      <c r="O300">
        <v>43</v>
      </c>
      <c r="P300">
        <v>86</v>
      </c>
      <c r="Q300">
        <v>28</v>
      </c>
      <c r="R300">
        <v>355</v>
      </c>
      <c r="S300">
        <v>373</v>
      </c>
      <c r="T300">
        <v>243</v>
      </c>
      <c r="U300">
        <v>101</v>
      </c>
      <c r="V300">
        <v>0</v>
      </c>
      <c r="W300">
        <v>0</v>
      </c>
      <c r="X300">
        <v>100</v>
      </c>
      <c r="Y300">
        <v>0</v>
      </c>
      <c r="Z300">
        <v>-2</v>
      </c>
      <c r="AA300">
        <v>-124</v>
      </c>
      <c r="AB300">
        <v>255</v>
      </c>
      <c r="AC300">
        <v>0</v>
      </c>
      <c r="AD300">
        <v>924</v>
      </c>
      <c r="AE300">
        <v>0</v>
      </c>
      <c r="AF300">
        <v>0</v>
      </c>
      <c r="AG300">
        <v>119</v>
      </c>
      <c r="AH300">
        <v>0</v>
      </c>
      <c r="AI300">
        <v>3121</v>
      </c>
      <c r="AJ300">
        <v>0</v>
      </c>
      <c r="AK300">
        <v>0</v>
      </c>
      <c r="AL300">
        <v>0</v>
      </c>
      <c r="AM300">
        <v>0</v>
      </c>
      <c r="AN300">
        <v>0</v>
      </c>
      <c r="AO300">
        <v>0</v>
      </c>
      <c r="AP300">
        <v>0</v>
      </c>
      <c r="AQ300">
        <v>44</v>
      </c>
      <c r="AR300">
        <v>36</v>
      </c>
      <c r="AS300">
        <v>0</v>
      </c>
      <c r="AT300">
        <v>0</v>
      </c>
      <c r="AU300">
        <v>0</v>
      </c>
      <c r="AV300">
        <v>385</v>
      </c>
      <c r="AW300">
        <v>2676</v>
      </c>
      <c r="AX300">
        <v>10</v>
      </c>
      <c r="AY300">
        <v>1221</v>
      </c>
      <c r="AZ300">
        <v>0</v>
      </c>
      <c r="BA300">
        <v>807</v>
      </c>
      <c r="BB300">
        <v>285</v>
      </c>
      <c r="BC300">
        <v>341</v>
      </c>
      <c r="BD300">
        <v>5725</v>
      </c>
      <c r="BE300">
        <v>670</v>
      </c>
      <c r="BF300">
        <v>3706</v>
      </c>
      <c r="BG300">
        <v>23</v>
      </c>
      <c r="BH300">
        <v>2</v>
      </c>
      <c r="BI300">
        <v>228</v>
      </c>
      <c r="BJ300">
        <v>815</v>
      </c>
      <c r="BK300">
        <v>3512</v>
      </c>
      <c r="BL300">
        <v>125</v>
      </c>
      <c r="BM300">
        <v>255</v>
      </c>
      <c r="BN300">
        <v>73</v>
      </c>
      <c r="BO300">
        <v>24</v>
      </c>
      <c r="BP300">
        <v>0</v>
      </c>
      <c r="BQ300">
        <v>52</v>
      </c>
      <c r="BR300">
        <v>84</v>
      </c>
      <c r="BS300">
        <v>269</v>
      </c>
      <c r="BT300">
        <v>1527</v>
      </c>
      <c r="BU300">
        <v>2127</v>
      </c>
      <c r="BV300">
        <v>992</v>
      </c>
      <c r="BW300">
        <v>15693</v>
      </c>
      <c r="BX300">
        <v>116</v>
      </c>
      <c r="BY300">
        <v>74</v>
      </c>
      <c r="BZ300">
        <v>1</v>
      </c>
      <c r="CA300">
        <v>13</v>
      </c>
      <c r="CB300">
        <v>103</v>
      </c>
      <c r="CC300">
        <v>0</v>
      </c>
      <c r="CD300">
        <v>17</v>
      </c>
      <c r="CE300">
        <v>12</v>
      </c>
      <c r="CF300">
        <v>5</v>
      </c>
      <c r="CG300">
        <v>52</v>
      </c>
      <c r="CH300">
        <v>70</v>
      </c>
      <c r="CI300">
        <v>120</v>
      </c>
      <c r="CJ300">
        <v>88</v>
      </c>
      <c r="CK300">
        <v>0</v>
      </c>
      <c r="CL300">
        <v>8</v>
      </c>
      <c r="CM300">
        <v>27</v>
      </c>
      <c r="CN300">
        <v>51</v>
      </c>
      <c r="CO300">
        <v>0</v>
      </c>
      <c r="CP300">
        <v>214</v>
      </c>
      <c r="CQ300">
        <v>451</v>
      </c>
      <c r="CR300">
        <v>0</v>
      </c>
      <c r="CS300">
        <v>0</v>
      </c>
      <c r="CT300">
        <v>0</v>
      </c>
      <c r="CU300">
        <v>0</v>
      </c>
      <c r="CV300">
        <v>2110</v>
      </c>
      <c r="CW300">
        <v>0</v>
      </c>
      <c r="CX300">
        <v>0</v>
      </c>
      <c r="CY300">
        <v>0</v>
      </c>
      <c r="CZ300">
        <v>0</v>
      </c>
      <c r="DA300">
        <v>0</v>
      </c>
      <c r="DB300">
        <v>0</v>
      </c>
      <c r="DC300">
        <v>7</v>
      </c>
      <c r="DD300">
        <v>0</v>
      </c>
      <c r="DE300">
        <v>0</v>
      </c>
      <c r="DF300">
        <v>0</v>
      </c>
      <c r="DG300">
        <v>0</v>
      </c>
      <c r="DH300">
        <v>0</v>
      </c>
      <c r="DI300">
        <v>0</v>
      </c>
      <c r="DJ300">
        <v>118</v>
      </c>
      <c r="DK300">
        <v>0</v>
      </c>
      <c r="DL300">
        <v>0</v>
      </c>
      <c r="DM300">
        <v>0</v>
      </c>
      <c r="DN300">
        <v>163</v>
      </c>
      <c r="DO300">
        <v>0</v>
      </c>
      <c r="DP300">
        <v>281</v>
      </c>
      <c r="DQ300">
        <v>15</v>
      </c>
      <c r="DR300">
        <v>0</v>
      </c>
      <c r="DS300">
        <v>0</v>
      </c>
      <c r="DT300">
        <v>65</v>
      </c>
      <c r="DU300">
        <v>0</v>
      </c>
      <c r="DV300">
        <v>0</v>
      </c>
      <c r="DW300">
        <v>0</v>
      </c>
      <c r="DX300">
        <v>368</v>
      </c>
      <c r="DY300">
        <v>0</v>
      </c>
      <c r="DZ300">
        <v>0</v>
      </c>
      <c r="EA300">
        <v>0</v>
      </c>
      <c r="EB300">
        <v>0</v>
      </c>
      <c r="EC300">
        <v>0</v>
      </c>
      <c r="ED300">
        <v>0</v>
      </c>
      <c r="EE300">
        <v>0</v>
      </c>
      <c r="EF300">
        <v>0</v>
      </c>
      <c r="EG300">
        <v>0</v>
      </c>
      <c r="EH300">
        <v>0</v>
      </c>
      <c r="EI300">
        <v>0</v>
      </c>
      <c r="EJ300">
        <v>0</v>
      </c>
      <c r="EK300">
        <v>0</v>
      </c>
      <c r="EL300">
        <v>0</v>
      </c>
      <c r="EM300">
        <v>0</v>
      </c>
      <c r="EN300">
        <v>0</v>
      </c>
      <c r="EO300">
        <v>0</v>
      </c>
      <c r="EP300">
        <v>0</v>
      </c>
      <c r="EQ300">
        <v>0</v>
      </c>
      <c r="ER300">
        <v>0</v>
      </c>
      <c r="ES300">
        <v>0</v>
      </c>
      <c r="ET300">
        <v>0</v>
      </c>
      <c r="EU300">
        <v>5</v>
      </c>
      <c r="EV300">
        <v>108</v>
      </c>
      <c r="EW300">
        <v>10</v>
      </c>
      <c r="EX300">
        <v>416</v>
      </c>
      <c r="EY300">
        <v>5</v>
      </c>
      <c r="EZ300">
        <v>0</v>
      </c>
      <c r="FA300">
        <v>0</v>
      </c>
      <c r="FB300">
        <v>18</v>
      </c>
      <c r="FC300">
        <v>267</v>
      </c>
      <c r="FD300">
        <v>164</v>
      </c>
      <c r="FE300">
        <v>0</v>
      </c>
      <c r="FF300">
        <v>26</v>
      </c>
      <c r="FG300">
        <v>507</v>
      </c>
      <c r="FH300">
        <v>1526</v>
      </c>
      <c r="FI300">
        <v>8</v>
      </c>
      <c r="FJ300">
        <v>527</v>
      </c>
      <c r="FK300">
        <v>8</v>
      </c>
      <c r="FL300">
        <v>8</v>
      </c>
      <c r="FM300">
        <v>30</v>
      </c>
      <c r="FN300">
        <v>8</v>
      </c>
      <c r="FO300">
        <v>51</v>
      </c>
      <c r="FP300">
        <v>0</v>
      </c>
      <c r="FQ300">
        <v>0</v>
      </c>
      <c r="FR300">
        <v>1</v>
      </c>
      <c r="FS300">
        <v>19</v>
      </c>
      <c r="FT300">
        <v>8</v>
      </c>
      <c r="FU300">
        <v>-59</v>
      </c>
      <c r="FV300">
        <v>105</v>
      </c>
      <c r="FW300">
        <v>0</v>
      </c>
      <c r="FX300">
        <v>20</v>
      </c>
      <c r="FY300">
        <v>0</v>
      </c>
      <c r="FZ300">
        <v>134</v>
      </c>
      <c r="GA300">
        <v>0</v>
      </c>
      <c r="GB300">
        <v>0</v>
      </c>
      <c r="GC300">
        <v>0</v>
      </c>
      <c r="GD300">
        <v>802</v>
      </c>
      <c r="GE300">
        <v>1056</v>
      </c>
      <c r="GF300">
        <v>2063</v>
      </c>
      <c r="GG300">
        <v>4</v>
      </c>
      <c r="GH300">
        <v>187</v>
      </c>
      <c r="GI300">
        <v>8</v>
      </c>
      <c r="GJ300">
        <v>0</v>
      </c>
      <c r="GK300">
        <v>4988</v>
      </c>
      <c r="GL300">
        <v>96</v>
      </c>
      <c r="GM300">
        <v>6</v>
      </c>
      <c r="GN300">
        <v>0</v>
      </c>
      <c r="GO300">
        <v>472</v>
      </c>
      <c r="GP300">
        <v>0</v>
      </c>
      <c r="GQ300">
        <v>0</v>
      </c>
      <c r="GR300">
        <v>0</v>
      </c>
      <c r="GS300">
        <v>-180</v>
      </c>
      <c r="GT300">
        <v>75</v>
      </c>
      <c r="GU300">
        <v>469</v>
      </c>
      <c r="GV300">
        <v>6983</v>
      </c>
      <c r="GW300">
        <v>0</v>
      </c>
      <c r="GX300">
        <v>0</v>
      </c>
      <c r="GY300">
        <v>0</v>
      </c>
      <c r="GZ300">
        <v>0</v>
      </c>
      <c r="HA300">
        <v>0</v>
      </c>
      <c r="HB300">
        <v>379</v>
      </c>
      <c r="HC300">
        <v>200</v>
      </c>
      <c r="HD300">
        <v>0</v>
      </c>
      <c r="HE300">
        <v>0</v>
      </c>
      <c r="HF300">
        <v>70</v>
      </c>
      <c r="HG300">
        <v>85</v>
      </c>
      <c r="HH300">
        <v>0</v>
      </c>
      <c r="HI300">
        <v>7</v>
      </c>
      <c r="HJ300">
        <v>157</v>
      </c>
      <c r="HK300">
        <v>57</v>
      </c>
      <c r="HL300">
        <v>38</v>
      </c>
      <c r="HM300">
        <v>25</v>
      </c>
      <c r="HN300">
        <v>11</v>
      </c>
      <c r="HO300">
        <v>0</v>
      </c>
      <c r="HP300">
        <v>88</v>
      </c>
      <c r="HQ300">
        <v>0</v>
      </c>
      <c r="HR300">
        <v>856</v>
      </c>
      <c r="HS300">
        <v>0</v>
      </c>
      <c r="HT300">
        <v>0</v>
      </c>
      <c r="HU300">
        <v>1109</v>
      </c>
      <c r="HV300">
        <v>3082</v>
      </c>
      <c r="HW300">
        <v>5156</v>
      </c>
      <c r="HX300">
        <v>76</v>
      </c>
      <c r="HY300">
        <v>0</v>
      </c>
      <c r="HZ300">
        <v>8</v>
      </c>
      <c r="IA300">
        <v>0</v>
      </c>
      <c r="IB300">
        <v>0</v>
      </c>
      <c r="IC300">
        <v>13937</v>
      </c>
      <c r="ID300">
        <v>3121</v>
      </c>
      <c r="IE300">
        <v>5725</v>
      </c>
      <c r="IF300">
        <v>15693</v>
      </c>
      <c r="IG300">
        <v>2110</v>
      </c>
      <c r="IH300">
        <v>368</v>
      </c>
      <c r="II300">
        <v>1526</v>
      </c>
      <c r="IJ300">
        <v>4988</v>
      </c>
      <c r="IK300">
        <v>469</v>
      </c>
      <c r="IL300">
        <v>0</v>
      </c>
      <c r="IM300">
        <v>0</v>
      </c>
      <c r="IN300">
        <v>3082</v>
      </c>
      <c r="IO300">
        <v>0</v>
      </c>
      <c r="IP300">
        <v>51018</v>
      </c>
      <c r="IQ300">
        <v>3652</v>
      </c>
      <c r="IR300">
        <v>0</v>
      </c>
      <c r="IS300">
        <v>0</v>
      </c>
      <c r="IT300">
        <v>0</v>
      </c>
      <c r="IU300">
        <v>0</v>
      </c>
      <c r="IV300">
        <v>798</v>
      </c>
      <c r="IW300">
        <v>0</v>
      </c>
      <c r="IX300">
        <v>0</v>
      </c>
      <c r="IY300">
        <v>0</v>
      </c>
      <c r="IZ300">
        <v>42</v>
      </c>
      <c r="JA300">
        <v>-50</v>
      </c>
      <c r="JB300">
        <v>0</v>
      </c>
      <c r="JC300">
        <v>0</v>
      </c>
      <c r="JD300">
        <v>0</v>
      </c>
      <c r="JE300">
        <v>-6</v>
      </c>
      <c r="JF300">
        <v>0</v>
      </c>
      <c r="JG300">
        <v>55454</v>
      </c>
      <c r="JH300">
        <v>48</v>
      </c>
      <c r="JI300">
        <v>46</v>
      </c>
      <c r="JJ300">
        <v>0</v>
      </c>
      <c r="JK300">
        <v>0</v>
      </c>
      <c r="JL300">
        <v>0</v>
      </c>
      <c r="JM300">
        <v>0</v>
      </c>
      <c r="JN300">
        <v>615</v>
      </c>
      <c r="JO300">
        <v>0</v>
      </c>
      <c r="JP300">
        <v>1033</v>
      </c>
      <c r="JQ300">
        <v>0</v>
      </c>
      <c r="JR300">
        <v>57196</v>
      </c>
      <c r="JS300">
        <v>-116</v>
      </c>
      <c r="JT300">
        <v>0</v>
      </c>
      <c r="JU300">
        <v>0</v>
      </c>
      <c r="JV300">
        <v>0</v>
      </c>
      <c r="JW300">
        <v>-5544</v>
      </c>
      <c r="JX300">
        <v>0</v>
      </c>
      <c r="JY300">
        <v>-18</v>
      </c>
      <c r="JZ300">
        <v>0</v>
      </c>
      <c r="KA300">
        <v>0</v>
      </c>
      <c r="KB300">
        <v>-640</v>
      </c>
      <c r="KC300">
        <v>50878</v>
      </c>
      <c r="KD300">
        <v>0</v>
      </c>
      <c r="KE300">
        <v>-16162</v>
      </c>
      <c r="KF300">
        <v>34716</v>
      </c>
      <c r="KG300">
        <v>0</v>
      </c>
      <c r="KH300">
        <v>0</v>
      </c>
      <c r="KI300">
        <v>0</v>
      </c>
      <c r="KJ300">
        <v>13</v>
      </c>
      <c r="KK300">
        <v>1973</v>
      </c>
      <c r="KL300">
        <v>1496</v>
      </c>
      <c r="KM300">
        <v>0</v>
      </c>
      <c r="KN300">
        <v>0</v>
      </c>
      <c r="KO300">
        <v>-5691</v>
      </c>
      <c r="KP300">
        <v>160</v>
      </c>
      <c r="KQ300">
        <v>0</v>
      </c>
      <c r="KR300">
        <v>29384</v>
      </c>
      <c r="KS300">
        <v>625</v>
      </c>
      <c r="KT300">
        <v>-389</v>
      </c>
      <c r="KU300">
        <v>394</v>
      </c>
      <c r="KV300">
        <v>11477</v>
      </c>
      <c r="KW300">
        <v>11509</v>
      </c>
      <c r="KX300">
        <v>625</v>
      </c>
      <c r="KY300">
        <v>-389</v>
      </c>
      <c r="KZ300">
        <v>407</v>
      </c>
      <c r="LA300">
        <v>13450</v>
      </c>
      <c r="LB300">
        <v>13005</v>
      </c>
      <c r="LC300">
        <v>0</v>
      </c>
      <c r="LD300">
        <v>2479</v>
      </c>
      <c r="LE300">
        <v>0</v>
      </c>
      <c r="LF300">
        <v>102</v>
      </c>
      <c r="LG300">
        <v>0</v>
      </c>
      <c r="LH300">
        <v>2169</v>
      </c>
      <c r="LI300">
        <v>4750</v>
      </c>
      <c r="LJ300">
        <v>888</v>
      </c>
      <c r="LK300">
        <v>532</v>
      </c>
      <c r="LL300">
        <v>1420</v>
      </c>
      <c r="LM300">
        <v>0</v>
      </c>
      <c r="LN300">
        <v>0</v>
      </c>
      <c r="LO300">
        <v>0</v>
      </c>
      <c r="LP300">
        <v>0</v>
      </c>
      <c r="LQ300">
        <v>0</v>
      </c>
      <c r="LR300">
        <v>0</v>
      </c>
      <c r="LS300">
        <v>0</v>
      </c>
      <c r="LT300">
        <v>0</v>
      </c>
      <c r="LU300">
        <v>13937</v>
      </c>
      <c r="LV300">
        <v>3121</v>
      </c>
      <c r="LW300">
        <v>5725</v>
      </c>
      <c r="LX300">
        <v>15693</v>
      </c>
      <c r="LY300">
        <v>2110</v>
      </c>
      <c r="LZ300">
        <v>368</v>
      </c>
      <c r="MA300">
        <v>1526</v>
      </c>
      <c r="MB300">
        <v>4988</v>
      </c>
      <c r="MC300">
        <v>469</v>
      </c>
      <c r="MD300">
        <v>0</v>
      </c>
      <c r="ME300">
        <v>0</v>
      </c>
      <c r="MF300">
        <v>3082</v>
      </c>
      <c r="MG300">
        <v>0</v>
      </c>
      <c r="MH300">
        <v>51018</v>
      </c>
      <c r="MI300">
        <v>0</v>
      </c>
      <c r="MJ300">
        <v>0</v>
      </c>
      <c r="MK300">
        <v>0</v>
      </c>
      <c r="ML300">
        <v>0</v>
      </c>
      <c r="MM300">
        <v>0</v>
      </c>
      <c r="MN300">
        <v>0</v>
      </c>
      <c r="MO300">
        <v>0</v>
      </c>
      <c r="MP300">
        <v>0</v>
      </c>
      <c r="MQ300">
        <v>0</v>
      </c>
      <c r="MR300">
        <v>0</v>
      </c>
      <c r="MS300">
        <v>0</v>
      </c>
      <c r="MT300">
        <v>0</v>
      </c>
      <c r="MU300">
        <v>0</v>
      </c>
      <c r="MV300">
        <v>0</v>
      </c>
      <c r="MW300">
        <v>0</v>
      </c>
      <c r="MX300">
        <v>-50</v>
      </c>
      <c r="MY300">
        <v>0</v>
      </c>
      <c r="MZ300">
        <v>0</v>
      </c>
      <c r="NA300">
        <v>-50</v>
      </c>
      <c r="NB300">
        <v>0</v>
      </c>
      <c r="NC300">
        <v>-50</v>
      </c>
      <c r="ND300">
        <v>0</v>
      </c>
      <c r="NE300">
        <v>0</v>
      </c>
      <c r="NF300">
        <v>0</v>
      </c>
      <c r="NG300">
        <v>0</v>
      </c>
      <c r="NH300">
        <v>0</v>
      </c>
      <c r="NI300">
        <v>0</v>
      </c>
      <c r="NJ300">
        <v>0</v>
      </c>
      <c r="NK300">
        <v>0</v>
      </c>
      <c r="NL300">
        <v>0</v>
      </c>
      <c r="NM300">
        <v>0</v>
      </c>
      <c r="NN300">
        <v>0</v>
      </c>
      <c r="NO300">
        <v>0</v>
      </c>
      <c r="NP300">
        <v>0</v>
      </c>
      <c r="NQ300">
        <v>0</v>
      </c>
      <c r="NR300">
        <v>0</v>
      </c>
      <c r="NS300">
        <v>0</v>
      </c>
      <c r="NT300">
        <v>0</v>
      </c>
      <c r="NU300">
        <v>0</v>
      </c>
      <c r="NV300">
        <v>0</v>
      </c>
      <c r="NW300">
        <v>0</v>
      </c>
      <c r="NX300">
        <v>0</v>
      </c>
      <c r="NY300">
        <v>0</v>
      </c>
      <c r="NZ300">
        <v>0</v>
      </c>
      <c r="OA300">
        <v>0</v>
      </c>
      <c r="OB300">
        <v>0</v>
      </c>
      <c r="OC300">
        <v>0</v>
      </c>
      <c r="OD300">
        <v>0</v>
      </c>
      <c r="OE300">
        <v>0</v>
      </c>
      <c r="OF300">
        <v>0</v>
      </c>
      <c r="OG300">
        <v>0</v>
      </c>
      <c r="OH300">
        <v>0</v>
      </c>
      <c r="OI300">
        <v>0</v>
      </c>
      <c r="OJ300">
        <v>0</v>
      </c>
      <c r="OK300">
        <v>0</v>
      </c>
      <c r="OL300">
        <v>0</v>
      </c>
      <c r="OM300">
        <v>0</v>
      </c>
      <c r="ON300">
        <v>0</v>
      </c>
    </row>
    <row r="301" spans="1:404" x14ac:dyDescent="0.25">
      <c r="A301" t="s">
        <v>973</v>
      </c>
      <c r="B301" t="s">
        <v>974</v>
      </c>
      <c r="C301" t="s">
        <v>972</v>
      </c>
      <c r="E301" t="s">
        <v>61</v>
      </c>
      <c r="F301">
        <v>0</v>
      </c>
      <c r="G301">
        <v>0</v>
      </c>
      <c r="H301">
        <v>0</v>
      </c>
      <c r="I301">
        <v>0</v>
      </c>
      <c r="J301">
        <v>0</v>
      </c>
      <c r="K301">
        <v>0</v>
      </c>
      <c r="L301">
        <v>0</v>
      </c>
      <c r="M301">
        <v>0</v>
      </c>
      <c r="N301">
        <v>0</v>
      </c>
      <c r="O301">
        <v>0</v>
      </c>
      <c r="P301">
        <v>0</v>
      </c>
      <c r="Q301">
        <v>0</v>
      </c>
      <c r="R301">
        <v>0</v>
      </c>
      <c r="S301">
        <v>0</v>
      </c>
      <c r="T301">
        <v>0</v>
      </c>
      <c r="U301">
        <v>54</v>
      </c>
      <c r="V301">
        <v>0</v>
      </c>
      <c r="W301">
        <v>0</v>
      </c>
      <c r="X301">
        <v>0</v>
      </c>
      <c r="Y301">
        <v>0</v>
      </c>
      <c r="Z301">
        <v>0</v>
      </c>
      <c r="AA301">
        <v>-587</v>
      </c>
      <c r="AB301">
        <v>0</v>
      </c>
      <c r="AC301">
        <v>0</v>
      </c>
      <c r="AD301">
        <v>47</v>
      </c>
      <c r="AE301">
        <v>0</v>
      </c>
      <c r="AF301">
        <v>0</v>
      </c>
      <c r="AG301">
        <v>0</v>
      </c>
      <c r="AH301">
        <v>0</v>
      </c>
      <c r="AI301">
        <v>-486</v>
      </c>
      <c r="AJ301">
        <v>0</v>
      </c>
      <c r="AK301">
        <v>0</v>
      </c>
      <c r="AL301">
        <v>0</v>
      </c>
      <c r="AM301">
        <v>0</v>
      </c>
      <c r="AN301">
        <v>0</v>
      </c>
      <c r="AO301">
        <v>0</v>
      </c>
      <c r="AP301">
        <v>0</v>
      </c>
      <c r="AQ301">
        <v>0</v>
      </c>
      <c r="AR301">
        <v>0</v>
      </c>
      <c r="AS301">
        <v>0</v>
      </c>
      <c r="AT301">
        <v>0</v>
      </c>
      <c r="AU301">
        <v>0</v>
      </c>
      <c r="AV301">
        <v>0</v>
      </c>
      <c r="AW301">
        <v>0</v>
      </c>
      <c r="AX301">
        <v>0</v>
      </c>
      <c r="AY301">
        <v>0</v>
      </c>
      <c r="AZ301">
        <v>0</v>
      </c>
      <c r="BA301">
        <v>0</v>
      </c>
      <c r="BB301">
        <v>0</v>
      </c>
      <c r="BC301">
        <v>0</v>
      </c>
      <c r="BD301">
        <v>0</v>
      </c>
      <c r="BE301">
        <v>0</v>
      </c>
      <c r="BF301">
        <v>0</v>
      </c>
      <c r="BG301">
        <v>0</v>
      </c>
      <c r="BH301">
        <v>0</v>
      </c>
      <c r="BI301">
        <v>0</v>
      </c>
      <c r="BJ301">
        <v>0</v>
      </c>
      <c r="BK301">
        <v>0</v>
      </c>
      <c r="BL301">
        <v>0</v>
      </c>
      <c r="BM301">
        <v>0</v>
      </c>
      <c r="BN301">
        <v>0</v>
      </c>
      <c r="BO301">
        <v>0</v>
      </c>
      <c r="BP301">
        <v>0</v>
      </c>
      <c r="BQ301">
        <v>0</v>
      </c>
      <c r="BR301">
        <v>0</v>
      </c>
      <c r="BS301">
        <v>0</v>
      </c>
      <c r="BT301">
        <v>0</v>
      </c>
      <c r="BU301">
        <v>0</v>
      </c>
      <c r="BV301">
        <v>0</v>
      </c>
      <c r="BW301">
        <v>0</v>
      </c>
      <c r="BX301">
        <v>0</v>
      </c>
      <c r="BY301">
        <v>0</v>
      </c>
      <c r="BZ301">
        <v>0</v>
      </c>
      <c r="CA301">
        <v>0</v>
      </c>
      <c r="CB301">
        <v>0</v>
      </c>
      <c r="CC301">
        <v>0</v>
      </c>
      <c r="CD301">
        <v>0</v>
      </c>
      <c r="CE301">
        <v>0</v>
      </c>
      <c r="CF301">
        <v>0</v>
      </c>
      <c r="CG301">
        <v>0</v>
      </c>
      <c r="CH301">
        <v>0</v>
      </c>
      <c r="CI301">
        <v>0</v>
      </c>
      <c r="CJ301">
        <v>0</v>
      </c>
      <c r="CK301">
        <v>0</v>
      </c>
      <c r="CL301">
        <v>0</v>
      </c>
      <c r="CM301">
        <v>0</v>
      </c>
      <c r="CN301">
        <v>0</v>
      </c>
      <c r="CO301">
        <v>0</v>
      </c>
      <c r="CP301">
        <v>0</v>
      </c>
      <c r="CQ301">
        <v>0</v>
      </c>
      <c r="CR301">
        <v>0</v>
      </c>
      <c r="CS301">
        <v>0</v>
      </c>
      <c r="CT301">
        <v>0</v>
      </c>
      <c r="CU301">
        <v>0</v>
      </c>
      <c r="CV301">
        <v>0</v>
      </c>
      <c r="CW301">
        <v>0</v>
      </c>
      <c r="CX301">
        <v>0</v>
      </c>
      <c r="CY301">
        <v>0</v>
      </c>
      <c r="CZ301">
        <v>0</v>
      </c>
      <c r="DA301">
        <v>0</v>
      </c>
      <c r="DB301">
        <v>0</v>
      </c>
      <c r="DC301">
        <v>-189</v>
      </c>
      <c r="DD301">
        <v>0</v>
      </c>
      <c r="DE301">
        <v>179</v>
      </c>
      <c r="DF301">
        <v>0</v>
      </c>
      <c r="DG301">
        <v>0</v>
      </c>
      <c r="DH301">
        <v>32</v>
      </c>
      <c r="DI301">
        <v>151</v>
      </c>
      <c r="DJ301">
        <v>0</v>
      </c>
      <c r="DK301">
        <v>-8</v>
      </c>
      <c r="DL301">
        <v>0</v>
      </c>
      <c r="DM301">
        <v>0</v>
      </c>
      <c r="DN301">
        <v>-91</v>
      </c>
      <c r="DO301">
        <v>366</v>
      </c>
      <c r="DP301">
        <v>450</v>
      </c>
      <c r="DQ301">
        <v>112</v>
      </c>
      <c r="DR301">
        <v>0</v>
      </c>
      <c r="DS301">
        <v>0</v>
      </c>
      <c r="DT301">
        <v>250</v>
      </c>
      <c r="DU301">
        <v>116</v>
      </c>
      <c r="DV301">
        <v>0</v>
      </c>
      <c r="DW301">
        <v>140</v>
      </c>
      <c r="DX301">
        <v>1058</v>
      </c>
      <c r="DY301">
        <v>0</v>
      </c>
      <c r="DZ301">
        <v>0</v>
      </c>
      <c r="EA301">
        <v>0</v>
      </c>
      <c r="EB301">
        <v>0</v>
      </c>
      <c r="EC301">
        <v>0</v>
      </c>
      <c r="ED301">
        <v>0</v>
      </c>
      <c r="EE301">
        <v>0</v>
      </c>
      <c r="EF301">
        <v>0</v>
      </c>
      <c r="EG301">
        <v>0</v>
      </c>
      <c r="EH301">
        <v>0</v>
      </c>
      <c r="EI301">
        <v>0</v>
      </c>
      <c r="EJ301">
        <v>0</v>
      </c>
      <c r="EK301">
        <v>0</v>
      </c>
      <c r="EL301">
        <v>0</v>
      </c>
      <c r="EM301">
        <v>0</v>
      </c>
      <c r="EN301">
        <v>0</v>
      </c>
      <c r="EO301">
        <v>0</v>
      </c>
      <c r="EP301">
        <v>0</v>
      </c>
      <c r="EQ301">
        <v>0</v>
      </c>
      <c r="ER301">
        <v>0</v>
      </c>
      <c r="ES301">
        <v>0</v>
      </c>
      <c r="ET301">
        <v>0</v>
      </c>
      <c r="EU301">
        <v>0</v>
      </c>
      <c r="EV301">
        <v>41</v>
      </c>
      <c r="EW301">
        <v>0</v>
      </c>
      <c r="EX301">
        <v>50</v>
      </c>
      <c r="EY301">
        <v>0</v>
      </c>
      <c r="EZ301">
        <v>537</v>
      </c>
      <c r="FA301">
        <v>0</v>
      </c>
      <c r="FB301">
        <v>5</v>
      </c>
      <c r="FC301">
        <v>212</v>
      </c>
      <c r="FD301">
        <v>172</v>
      </c>
      <c r="FE301">
        <v>0</v>
      </c>
      <c r="FF301">
        <v>79</v>
      </c>
      <c r="FG301">
        <v>0</v>
      </c>
      <c r="FH301">
        <v>1096</v>
      </c>
      <c r="FI301">
        <v>1</v>
      </c>
      <c r="FJ301">
        <v>0</v>
      </c>
      <c r="FK301">
        <v>84</v>
      </c>
      <c r="FL301">
        <v>111</v>
      </c>
      <c r="FM301">
        <v>220</v>
      </c>
      <c r="FN301">
        <v>0</v>
      </c>
      <c r="FO301">
        <v>34</v>
      </c>
      <c r="FP301">
        <v>0</v>
      </c>
      <c r="FQ301">
        <v>0</v>
      </c>
      <c r="FR301">
        <v>151</v>
      </c>
      <c r="FS301">
        <v>208</v>
      </c>
      <c r="FT301">
        <v>120</v>
      </c>
      <c r="FU301">
        <v>32</v>
      </c>
      <c r="FV301">
        <v>51</v>
      </c>
      <c r="FW301">
        <v>1</v>
      </c>
      <c r="FX301">
        <v>0</v>
      </c>
      <c r="FY301">
        <v>29</v>
      </c>
      <c r="FZ301">
        <v>0</v>
      </c>
      <c r="GA301">
        <v>104</v>
      </c>
      <c r="GB301">
        <v>0</v>
      </c>
      <c r="GC301">
        <v>0</v>
      </c>
      <c r="GD301">
        <v>525</v>
      </c>
      <c r="GE301">
        <v>800</v>
      </c>
      <c r="GF301">
        <v>0</v>
      </c>
      <c r="GG301">
        <v>44</v>
      </c>
      <c r="GH301">
        <v>416</v>
      </c>
      <c r="GI301">
        <v>0</v>
      </c>
      <c r="GJ301">
        <v>0</v>
      </c>
      <c r="GK301">
        <v>2931</v>
      </c>
      <c r="GL301">
        <v>62</v>
      </c>
      <c r="GM301">
        <v>402</v>
      </c>
      <c r="GN301">
        <v>7</v>
      </c>
      <c r="GO301">
        <v>363</v>
      </c>
      <c r="GP301">
        <v>77</v>
      </c>
      <c r="GQ301">
        <v>253</v>
      </c>
      <c r="GR301">
        <v>0</v>
      </c>
      <c r="GS301">
        <v>420</v>
      </c>
      <c r="GT301">
        <v>112</v>
      </c>
      <c r="GU301">
        <v>1696</v>
      </c>
      <c r="GV301">
        <v>5723</v>
      </c>
      <c r="GW301">
        <v>0</v>
      </c>
      <c r="GX301">
        <v>0</v>
      </c>
      <c r="GY301">
        <v>0</v>
      </c>
      <c r="GZ301">
        <v>0</v>
      </c>
      <c r="HA301">
        <v>0</v>
      </c>
      <c r="HB301">
        <v>2138</v>
      </c>
      <c r="HC301">
        <v>277</v>
      </c>
      <c r="HD301">
        <v>0</v>
      </c>
      <c r="HE301">
        <v>46</v>
      </c>
      <c r="HF301">
        <v>206</v>
      </c>
      <c r="HG301">
        <v>54</v>
      </c>
      <c r="HH301">
        <v>0</v>
      </c>
      <c r="HI301">
        <v>0</v>
      </c>
      <c r="HJ301">
        <v>197</v>
      </c>
      <c r="HK301">
        <v>172</v>
      </c>
      <c r="HL301">
        <v>434</v>
      </c>
      <c r="HM301">
        <v>-20</v>
      </c>
      <c r="HN301">
        <v>0</v>
      </c>
      <c r="HO301">
        <v>99</v>
      </c>
      <c r="HP301">
        <v>0</v>
      </c>
      <c r="HQ301">
        <v>0</v>
      </c>
      <c r="HR301">
        <v>17</v>
      </c>
      <c r="HS301">
        <v>164</v>
      </c>
      <c r="HT301">
        <v>0</v>
      </c>
      <c r="HU301">
        <v>-230</v>
      </c>
      <c r="HV301">
        <v>3554</v>
      </c>
      <c r="HW301">
        <v>2750</v>
      </c>
      <c r="HX301">
        <v>6906</v>
      </c>
      <c r="HY301">
        <v>0</v>
      </c>
      <c r="HZ301">
        <v>2607</v>
      </c>
      <c r="IA301">
        <v>11</v>
      </c>
      <c r="IB301">
        <v>-37</v>
      </c>
      <c r="IC301">
        <v>0</v>
      </c>
      <c r="ID301">
        <v>-486</v>
      </c>
      <c r="IE301">
        <v>0</v>
      </c>
      <c r="IF301">
        <v>0</v>
      </c>
      <c r="IG301">
        <v>0</v>
      </c>
      <c r="IH301">
        <v>1058</v>
      </c>
      <c r="II301">
        <v>1096</v>
      </c>
      <c r="IJ301">
        <v>2931</v>
      </c>
      <c r="IK301">
        <v>1696</v>
      </c>
      <c r="IL301">
        <v>0</v>
      </c>
      <c r="IM301">
        <v>0</v>
      </c>
      <c r="IN301">
        <v>3554</v>
      </c>
      <c r="IO301">
        <v>-37</v>
      </c>
      <c r="IP301">
        <v>9812</v>
      </c>
      <c r="IQ301">
        <v>6902</v>
      </c>
      <c r="IR301">
        <v>186</v>
      </c>
      <c r="IS301">
        <v>0</v>
      </c>
      <c r="IT301">
        <v>0</v>
      </c>
      <c r="IU301">
        <v>0</v>
      </c>
      <c r="IV301">
        <v>1074</v>
      </c>
      <c r="IW301">
        <v>0</v>
      </c>
      <c r="IX301">
        <v>0</v>
      </c>
      <c r="IY301">
        <v>0</v>
      </c>
      <c r="IZ301">
        <v>0</v>
      </c>
      <c r="JA301">
        <v>0</v>
      </c>
      <c r="JB301">
        <v>0</v>
      </c>
      <c r="JC301">
        <v>0</v>
      </c>
      <c r="JD301">
        <v>0</v>
      </c>
      <c r="JE301">
        <v>61</v>
      </c>
      <c r="JF301">
        <v>0</v>
      </c>
      <c r="JG301">
        <v>18035</v>
      </c>
      <c r="JH301">
        <v>0</v>
      </c>
      <c r="JI301">
        <v>1003</v>
      </c>
      <c r="JJ301">
        <v>0</v>
      </c>
      <c r="JK301">
        <v>0</v>
      </c>
      <c r="JL301">
        <v>0</v>
      </c>
      <c r="JM301">
        <v>17</v>
      </c>
      <c r="JN301">
        <v>209</v>
      </c>
      <c r="JO301">
        <v>0</v>
      </c>
      <c r="JP301">
        <v>59</v>
      </c>
      <c r="JQ301">
        <v>0</v>
      </c>
      <c r="JR301">
        <v>19323</v>
      </c>
      <c r="JS301">
        <v>-5</v>
      </c>
      <c r="JT301">
        <v>0</v>
      </c>
      <c r="JU301">
        <v>0</v>
      </c>
      <c r="JV301">
        <v>0</v>
      </c>
      <c r="JW301">
        <v>-7039</v>
      </c>
      <c r="JX301">
        <v>0</v>
      </c>
      <c r="JY301">
        <v>0</v>
      </c>
      <c r="JZ301">
        <v>0</v>
      </c>
      <c r="KA301">
        <v>0</v>
      </c>
      <c r="KB301">
        <v>0</v>
      </c>
      <c r="KC301">
        <v>12279</v>
      </c>
      <c r="KD301">
        <v>0</v>
      </c>
      <c r="KE301">
        <v>-2653</v>
      </c>
      <c r="KF301">
        <v>9626</v>
      </c>
      <c r="KG301">
        <v>0</v>
      </c>
      <c r="KH301">
        <v>0</v>
      </c>
      <c r="KI301">
        <v>0</v>
      </c>
      <c r="KJ301">
        <v>0</v>
      </c>
      <c r="KK301">
        <v>-1932</v>
      </c>
      <c r="KL301">
        <v>0</v>
      </c>
      <c r="KM301">
        <v>0</v>
      </c>
      <c r="KN301">
        <v>0</v>
      </c>
      <c r="KO301">
        <v>3360</v>
      </c>
      <c r="KP301">
        <v>42</v>
      </c>
      <c r="KQ301">
        <v>0</v>
      </c>
      <c r="KR301">
        <v>5611</v>
      </c>
      <c r="KS301">
        <v>0</v>
      </c>
      <c r="KT301">
        <v>0</v>
      </c>
      <c r="KU301">
        <v>0</v>
      </c>
      <c r="KV301">
        <v>19243</v>
      </c>
      <c r="KW301">
        <v>0</v>
      </c>
      <c r="KX301">
        <v>0</v>
      </c>
      <c r="KY301">
        <v>0</v>
      </c>
      <c r="KZ301">
        <v>0</v>
      </c>
      <c r="LA301">
        <v>17311</v>
      </c>
      <c r="LB301">
        <v>0</v>
      </c>
      <c r="LC301">
        <v>0</v>
      </c>
      <c r="LD301">
        <v>889</v>
      </c>
      <c r="LE301">
        <v>147</v>
      </c>
      <c r="LF301">
        <v>0</v>
      </c>
      <c r="LG301">
        <v>-1554</v>
      </c>
      <c r="LH301">
        <v>943</v>
      </c>
      <c r="LI301">
        <v>389</v>
      </c>
      <c r="LJ301">
        <v>1677</v>
      </c>
      <c r="LK301">
        <v>1586</v>
      </c>
      <c r="LL301">
        <v>3263</v>
      </c>
      <c r="LM301">
        <v>0</v>
      </c>
      <c r="LN301">
        <v>0</v>
      </c>
      <c r="LO301">
        <v>0</v>
      </c>
      <c r="LP301">
        <v>0</v>
      </c>
      <c r="LQ301">
        <v>0</v>
      </c>
      <c r="LR301">
        <v>0</v>
      </c>
      <c r="LS301">
        <v>0</v>
      </c>
      <c r="LT301">
        <v>0</v>
      </c>
      <c r="LU301">
        <v>0</v>
      </c>
      <c r="LV301">
        <v>-486</v>
      </c>
      <c r="LW301">
        <v>0</v>
      </c>
      <c r="LX301">
        <v>0</v>
      </c>
      <c r="LY301">
        <v>0</v>
      </c>
      <c r="LZ301">
        <v>1058</v>
      </c>
      <c r="MA301">
        <v>1096</v>
      </c>
      <c r="MB301">
        <v>2931</v>
      </c>
      <c r="MC301">
        <v>1696</v>
      </c>
      <c r="MD301">
        <v>0</v>
      </c>
      <c r="ME301">
        <v>0</v>
      </c>
      <c r="MF301">
        <v>3554</v>
      </c>
      <c r="MG301">
        <v>-37</v>
      </c>
      <c r="MH301">
        <v>9812</v>
      </c>
      <c r="MI301">
        <v>0</v>
      </c>
      <c r="MJ301">
        <v>0</v>
      </c>
      <c r="MK301">
        <v>0</v>
      </c>
      <c r="ML301">
        <v>0</v>
      </c>
      <c r="MM301">
        <v>0</v>
      </c>
      <c r="MN301">
        <v>0</v>
      </c>
      <c r="MO301">
        <v>0</v>
      </c>
      <c r="MP301">
        <v>0</v>
      </c>
      <c r="MQ301">
        <v>0</v>
      </c>
      <c r="MR301">
        <v>0</v>
      </c>
      <c r="MS301">
        <v>0</v>
      </c>
      <c r="MT301">
        <v>0</v>
      </c>
      <c r="MU301">
        <v>0</v>
      </c>
      <c r="MV301">
        <v>0</v>
      </c>
      <c r="MW301">
        <v>0</v>
      </c>
      <c r="MX301">
        <v>0</v>
      </c>
      <c r="MY301">
        <v>0</v>
      </c>
      <c r="MZ301">
        <v>0</v>
      </c>
      <c r="NA301">
        <v>0</v>
      </c>
      <c r="NB301">
        <v>0</v>
      </c>
      <c r="NC301">
        <v>0</v>
      </c>
      <c r="ND301">
        <v>0</v>
      </c>
      <c r="NE301">
        <v>0</v>
      </c>
      <c r="NF301">
        <v>0</v>
      </c>
      <c r="NG301">
        <v>0</v>
      </c>
      <c r="NH301">
        <v>0</v>
      </c>
      <c r="NI301">
        <v>0</v>
      </c>
      <c r="NJ301">
        <v>0</v>
      </c>
      <c r="NK301">
        <v>0</v>
      </c>
      <c r="NL301">
        <v>0</v>
      </c>
      <c r="NM301">
        <v>0</v>
      </c>
      <c r="NN301">
        <v>0</v>
      </c>
      <c r="NO301">
        <v>0</v>
      </c>
      <c r="NP301">
        <v>0</v>
      </c>
      <c r="NQ301">
        <v>0</v>
      </c>
      <c r="NR301">
        <v>0</v>
      </c>
      <c r="NS301">
        <v>0</v>
      </c>
      <c r="NT301">
        <v>0</v>
      </c>
      <c r="NU301">
        <v>0</v>
      </c>
      <c r="NV301">
        <v>0</v>
      </c>
      <c r="NW301">
        <v>0</v>
      </c>
      <c r="NX301">
        <v>0</v>
      </c>
      <c r="NY301">
        <v>0</v>
      </c>
      <c r="NZ301">
        <v>0</v>
      </c>
      <c r="OA301">
        <v>0</v>
      </c>
      <c r="OB301">
        <v>0</v>
      </c>
      <c r="OC301">
        <v>0</v>
      </c>
      <c r="OD301">
        <v>0</v>
      </c>
      <c r="OE301">
        <v>0</v>
      </c>
      <c r="OF301">
        <v>0</v>
      </c>
      <c r="OG301">
        <v>0</v>
      </c>
      <c r="OH301">
        <v>0</v>
      </c>
      <c r="OI301">
        <v>0</v>
      </c>
      <c r="OJ301">
        <v>0</v>
      </c>
      <c r="OK301">
        <v>0</v>
      </c>
      <c r="OL301">
        <v>0</v>
      </c>
      <c r="OM301">
        <v>0</v>
      </c>
      <c r="ON301">
        <v>0</v>
      </c>
    </row>
    <row r="302" spans="1:404" x14ac:dyDescent="0.25">
      <c r="A302" t="s">
        <v>976</v>
      </c>
      <c r="B302" t="s">
        <v>977</v>
      </c>
      <c r="C302" t="s">
        <v>975</v>
      </c>
      <c r="E302" t="s">
        <v>97</v>
      </c>
      <c r="F302">
        <v>19170</v>
      </c>
      <c r="G302">
        <v>118819</v>
      </c>
      <c r="H302">
        <v>40092</v>
      </c>
      <c r="I302">
        <v>16354</v>
      </c>
      <c r="J302">
        <v>6799</v>
      </c>
      <c r="K302">
        <v>14585</v>
      </c>
      <c r="L302">
        <v>215819</v>
      </c>
      <c r="M302">
        <v>-589</v>
      </c>
      <c r="N302">
        <v>0</v>
      </c>
      <c r="O302">
        <v>115</v>
      </c>
      <c r="P302">
        <v>431</v>
      </c>
      <c r="Q302">
        <v>274</v>
      </c>
      <c r="R302">
        <v>174</v>
      </c>
      <c r="S302">
        <v>-285</v>
      </c>
      <c r="T302">
        <v>393</v>
      </c>
      <c r="U302">
        <v>1399</v>
      </c>
      <c r="V302">
        <v>0</v>
      </c>
      <c r="W302">
        <v>-1262</v>
      </c>
      <c r="X302">
        <v>199</v>
      </c>
      <c r="Y302">
        <v>635</v>
      </c>
      <c r="Z302">
        <v>-423</v>
      </c>
      <c r="AA302">
        <v>-243</v>
      </c>
      <c r="AB302">
        <v>0</v>
      </c>
      <c r="AC302">
        <v>0</v>
      </c>
      <c r="AD302">
        <v>0</v>
      </c>
      <c r="AE302">
        <v>0</v>
      </c>
      <c r="AF302">
        <v>-49</v>
      </c>
      <c r="AG302">
        <v>0</v>
      </c>
      <c r="AH302">
        <v>0</v>
      </c>
      <c r="AI302">
        <v>769</v>
      </c>
      <c r="AJ302">
        <v>0</v>
      </c>
      <c r="AK302">
        <v>0</v>
      </c>
      <c r="AL302">
        <v>0</v>
      </c>
      <c r="AM302">
        <v>0</v>
      </c>
      <c r="AN302">
        <v>0</v>
      </c>
      <c r="AO302">
        <v>0</v>
      </c>
      <c r="AP302">
        <v>0</v>
      </c>
      <c r="AQ302">
        <v>1390</v>
      </c>
      <c r="AR302">
        <v>0</v>
      </c>
      <c r="AS302">
        <v>0</v>
      </c>
      <c r="AT302">
        <v>0</v>
      </c>
      <c r="AU302">
        <v>0</v>
      </c>
      <c r="AV302">
        <v>1824</v>
      </c>
      <c r="AW302">
        <v>19986</v>
      </c>
      <c r="AX302">
        <v>2928</v>
      </c>
      <c r="AY302">
        <v>2245</v>
      </c>
      <c r="AZ302">
        <v>-149</v>
      </c>
      <c r="BA302">
        <v>28110</v>
      </c>
      <c r="BB302">
        <v>0</v>
      </c>
      <c r="BC302">
        <v>1261</v>
      </c>
      <c r="BD302">
        <v>56205</v>
      </c>
      <c r="BE302">
        <v>5916</v>
      </c>
      <c r="BF302">
        <v>16245</v>
      </c>
      <c r="BG302">
        <v>177</v>
      </c>
      <c r="BH302">
        <v>467</v>
      </c>
      <c r="BI302">
        <v>187</v>
      </c>
      <c r="BJ302">
        <v>3657</v>
      </c>
      <c r="BK302">
        <v>15872</v>
      </c>
      <c r="BL302">
        <v>1723</v>
      </c>
      <c r="BM302">
        <v>3634</v>
      </c>
      <c r="BN302">
        <v>3590</v>
      </c>
      <c r="BO302">
        <v>0</v>
      </c>
      <c r="BP302">
        <v>40</v>
      </c>
      <c r="BQ302">
        <v>0</v>
      </c>
      <c r="BR302">
        <v>667</v>
      </c>
      <c r="BS302">
        <v>551</v>
      </c>
      <c r="BT302">
        <v>5945</v>
      </c>
      <c r="BU302">
        <v>564</v>
      </c>
      <c r="BV302">
        <v>7602</v>
      </c>
      <c r="BW302">
        <v>66837</v>
      </c>
      <c r="BX302">
        <v>1670</v>
      </c>
      <c r="BY302">
        <v>479</v>
      </c>
      <c r="BZ302">
        <v>455</v>
      </c>
      <c r="CA302">
        <v>190</v>
      </c>
      <c r="CB302">
        <v>243</v>
      </c>
      <c r="CC302">
        <v>0</v>
      </c>
      <c r="CD302">
        <v>255</v>
      </c>
      <c r="CE302">
        <v>568</v>
      </c>
      <c r="CF302">
        <v>417</v>
      </c>
      <c r="CG302">
        <v>568</v>
      </c>
      <c r="CH302">
        <v>621</v>
      </c>
      <c r="CI302">
        <v>1949</v>
      </c>
      <c r="CJ302">
        <v>1139</v>
      </c>
      <c r="CK302">
        <v>167</v>
      </c>
      <c r="CL302">
        <v>384</v>
      </c>
      <c r="CM302">
        <v>0</v>
      </c>
      <c r="CN302">
        <v>519</v>
      </c>
      <c r="CO302">
        <v>293</v>
      </c>
      <c r="CP302">
        <v>1123</v>
      </c>
      <c r="CQ302">
        <v>4020</v>
      </c>
      <c r="CR302">
        <v>1450</v>
      </c>
      <c r="CS302">
        <v>101</v>
      </c>
      <c r="CT302">
        <v>101</v>
      </c>
      <c r="CU302">
        <v>1834</v>
      </c>
      <c r="CV302">
        <v>24912</v>
      </c>
      <c r="CW302">
        <v>0</v>
      </c>
      <c r="CX302">
        <v>0</v>
      </c>
      <c r="CY302">
        <v>0</v>
      </c>
      <c r="CZ302">
        <v>0</v>
      </c>
      <c r="DA302">
        <v>0</v>
      </c>
      <c r="DB302">
        <v>0</v>
      </c>
      <c r="DC302">
        <v>12</v>
      </c>
      <c r="DD302">
        <v>0</v>
      </c>
      <c r="DE302">
        <v>27</v>
      </c>
      <c r="DF302">
        <v>142</v>
      </c>
      <c r="DG302">
        <v>0</v>
      </c>
      <c r="DH302">
        <v>0</v>
      </c>
      <c r="DI302">
        <v>0</v>
      </c>
      <c r="DJ302">
        <v>360</v>
      </c>
      <c r="DK302">
        <v>0</v>
      </c>
      <c r="DL302">
        <v>616</v>
      </c>
      <c r="DM302">
        <v>464</v>
      </c>
      <c r="DN302">
        <v>823</v>
      </c>
      <c r="DO302">
        <v>4987</v>
      </c>
      <c r="DP302">
        <v>7250</v>
      </c>
      <c r="DQ302">
        <v>0</v>
      </c>
      <c r="DR302">
        <v>0</v>
      </c>
      <c r="DS302">
        <v>0</v>
      </c>
      <c r="DT302">
        <v>1516</v>
      </c>
      <c r="DU302">
        <v>0</v>
      </c>
      <c r="DV302">
        <v>0</v>
      </c>
      <c r="DW302">
        <v>0</v>
      </c>
      <c r="DX302">
        <v>8947</v>
      </c>
      <c r="DY302">
        <v>5256</v>
      </c>
      <c r="DZ302">
        <v>148</v>
      </c>
      <c r="EA302">
        <v>931</v>
      </c>
      <c r="EB302">
        <v>0</v>
      </c>
      <c r="EC302">
        <v>7511</v>
      </c>
      <c r="ED302">
        <v>0</v>
      </c>
      <c r="EE302">
        <v>0</v>
      </c>
      <c r="EF302">
        <v>0</v>
      </c>
      <c r="EG302">
        <v>0</v>
      </c>
      <c r="EH302">
        <v>1461</v>
      </c>
      <c r="EI302">
        <v>2682</v>
      </c>
      <c r="EJ302">
        <v>0</v>
      </c>
      <c r="EK302">
        <v>0</v>
      </c>
      <c r="EL302">
        <v>7322</v>
      </c>
      <c r="EM302">
        <v>-1507</v>
      </c>
      <c r="EN302">
        <v>0</v>
      </c>
      <c r="EO302">
        <v>0</v>
      </c>
      <c r="EP302">
        <v>0</v>
      </c>
      <c r="EQ302">
        <v>3406</v>
      </c>
      <c r="ER302">
        <v>41</v>
      </c>
      <c r="ES302">
        <v>18801</v>
      </c>
      <c r="ET302">
        <v>19242</v>
      </c>
      <c r="EU302">
        <v>0</v>
      </c>
      <c r="EV302">
        <v>440</v>
      </c>
      <c r="EW302">
        <v>62</v>
      </c>
      <c r="EX302">
        <v>621</v>
      </c>
      <c r="EY302">
        <v>33</v>
      </c>
      <c r="EZ302">
        <v>586</v>
      </c>
      <c r="FA302">
        <v>0</v>
      </c>
      <c r="FB302">
        <v>286</v>
      </c>
      <c r="FC302">
        <v>389</v>
      </c>
      <c r="FD302">
        <v>3857</v>
      </c>
      <c r="FE302">
        <v>0</v>
      </c>
      <c r="FF302">
        <v>135</v>
      </c>
      <c r="FG302">
        <v>1528</v>
      </c>
      <c r="FH302">
        <v>7937</v>
      </c>
      <c r="FI302">
        <v>-552</v>
      </c>
      <c r="FJ302">
        <v>649</v>
      </c>
      <c r="FK302">
        <v>0</v>
      </c>
      <c r="FL302">
        <v>536</v>
      </c>
      <c r="FM302">
        <v>768</v>
      </c>
      <c r="FN302">
        <v>0</v>
      </c>
      <c r="FO302">
        <v>388</v>
      </c>
      <c r="FP302">
        <v>0</v>
      </c>
      <c r="FQ302">
        <v>212</v>
      </c>
      <c r="FR302">
        <v>-145</v>
      </c>
      <c r="FS302">
        <v>57</v>
      </c>
      <c r="FT302">
        <v>178</v>
      </c>
      <c r="FU302">
        <v>-342</v>
      </c>
      <c r="FV302">
        <v>512</v>
      </c>
      <c r="FW302">
        <v>0</v>
      </c>
      <c r="FX302">
        <v>224</v>
      </c>
      <c r="FY302">
        <v>0</v>
      </c>
      <c r="FZ302">
        <v>0</v>
      </c>
      <c r="GA302">
        <v>0</v>
      </c>
      <c r="GB302">
        <v>0</v>
      </c>
      <c r="GC302">
        <v>0</v>
      </c>
      <c r="GD302">
        <v>2890</v>
      </c>
      <c r="GE302">
        <v>2799</v>
      </c>
      <c r="GF302">
        <v>0</v>
      </c>
      <c r="GG302">
        <v>-922</v>
      </c>
      <c r="GH302">
        <v>2816</v>
      </c>
      <c r="GI302">
        <v>0</v>
      </c>
      <c r="GJ302">
        <v>0</v>
      </c>
      <c r="GK302">
        <v>10068</v>
      </c>
      <c r="GL302">
        <v>260</v>
      </c>
      <c r="GM302">
        <v>-550</v>
      </c>
      <c r="GN302">
        <v>0</v>
      </c>
      <c r="GO302">
        <v>209</v>
      </c>
      <c r="GP302">
        <v>114</v>
      </c>
      <c r="GQ302">
        <v>1326</v>
      </c>
      <c r="GR302">
        <v>0</v>
      </c>
      <c r="GS302">
        <v>1894</v>
      </c>
      <c r="GT302">
        <v>2662</v>
      </c>
      <c r="GU302">
        <v>5915</v>
      </c>
      <c r="GV302">
        <v>23920</v>
      </c>
      <c r="GW302">
        <v>0</v>
      </c>
      <c r="GX302">
        <v>0</v>
      </c>
      <c r="GY302">
        <v>0</v>
      </c>
      <c r="GZ302">
        <v>0</v>
      </c>
      <c r="HA302">
        <v>0</v>
      </c>
      <c r="HB302">
        <v>9818</v>
      </c>
      <c r="HC302">
        <v>639</v>
      </c>
      <c r="HD302">
        <v>0</v>
      </c>
      <c r="HE302">
        <v>62</v>
      </c>
      <c r="HF302">
        <v>0</v>
      </c>
      <c r="HG302">
        <v>324</v>
      </c>
      <c r="HH302">
        <v>0</v>
      </c>
      <c r="HI302">
        <v>166</v>
      </c>
      <c r="HJ302">
        <v>185</v>
      </c>
      <c r="HK302">
        <v>788</v>
      </c>
      <c r="HL302">
        <v>68</v>
      </c>
      <c r="HM302">
        <v>-210</v>
      </c>
      <c r="HN302">
        <v>0</v>
      </c>
      <c r="HO302">
        <v>0</v>
      </c>
      <c r="HP302">
        <v>820</v>
      </c>
      <c r="HQ302">
        <v>4</v>
      </c>
      <c r="HR302">
        <v>1833</v>
      </c>
      <c r="HS302">
        <v>0</v>
      </c>
      <c r="HT302">
        <v>0</v>
      </c>
      <c r="HU302">
        <v>5075</v>
      </c>
      <c r="HV302">
        <v>19572</v>
      </c>
      <c r="HW302">
        <v>200</v>
      </c>
      <c r="HX302">
        <v>19182</v>
      </c>
      <c r="HY302">
        <v>0</v>
      </c>
      <c r="HZ302">
        <v>2585</v>
      </c>
      <c r="IA302">
        <v>0</v>
      </c>
      <c r="IB302">
        <v>4948</v>
      </c>
      <c r="IC302">
        <v>215819</v>
      </c>
      <c r="ID302">
        <v>769</v>
      </c>
      <c r="IE302">
        <v>56205</v>
      </c>
      <c r="IF302">
        <v>66837</v>
      </c>
      <c r="IG302">
        <v>24912</v>
      </c>
      <c r="IH302">
        <v>8947</v>
      </c>
      <c r="II302">
        <v>7937</v>
      </c>
      <c r="IJ302">
        <v>10068</v>
      </c>
      <c r="IK302">
        <v>5915</v>
      </c>
      <c r="IL302">
        <v>0</v>
      </c>
      <c r="IM302">
        <v>0</v>
      </c>
      <c r="IN302">
        <v>19572</v>
      </c>
      <c r="IO302">
        <v>4948</v>
      </c>
      <c r="IP302">
        <v>421929</v>
      </c>
      <c r="IQ302">
        <v>78465</v>
      </c>
      <c r="IR302">
        <v>2624</v>
      </c>
      <c r="IS302">
        <v>-142</v>
      </c>
      <c r="IT302">
        <v>0</v>
      </c>
      <c r="IU302">
        <v>0</v>
      </c>
      <c r="IV302">
        <v>0</v>
      </c>
      <c r="IW302">
        <v>17568</v>
      </c>
      <c r="IX302">
        <v>18809</v>
      </c>
      <c r="IY302">
        <v>0</v>
      </c>
      <c r="IZ302">
        <v>3225</v>
      </c>
      <c r="JA302">
        <v>-1302</v>
      </c>
      <c r="JB302">
        <v>1001</v>
      </c>
      <c r="JC302">
        <v>0</v>
      </c>
      <c r="JD302">
        <v>0</v>
      </c>
      <c r="JE302">
        <v>-505</v>
      </c>
      <c r="JF302">
        <v>0</v>
      </c>
      <c r="JG302">
        <v>541672</v>
      </c>
      <c r="JH302">
        <v>132</v>
      </c>
      <c r="JI302">
        <v>839</v>
      </c>
      <c r="JJ302">
        <v>0</v>
      </c>
      <c r="JK302">
        <v>0</v>
      </c>
      <c r="JL302">
        <v>0</v>
      </c>
      <c r="JM302">
        <v>1993</v>
      </c>
      <c r="JN302">
        <v>22052</v>
      </c>
      <c r="JO302">
        <v>0</v>
      </c>
      <c r="JP302">
        <v>13386</v>
      </c>
      <c r="JQ302">
        <v>0</v>
      </c>
      <c r="JR302">
        <v>580074</v>
      </c>
      <c r="JS302">
        <v>-5135</v>
      </c>
      <c r="JT302">
        <v>0</v>
      </c>
      <c r="JU302">
        <v>1843</v>
      </c>
      <c r="JV302">
        <v>0</v>
      </c>
      <c r="JW302">
        <v>-79492</v>
      </c>
      <c r="JX302">
        <v>0</v>
      </c>
      <c r="JY302">
        <v>0</v>
      </c>
      <c r="JZ302">
        <v>200</v>
      </c>
      <c r="KA302">
        <v>0</v>
      </c>
      <c r="KB302">
        <v>0</v>
      </c>
      <c r="KC302">
        <v>497490</v>
      </c>
      <c r="KD302">
        <v>0</v>
      </c>
      <c r="KE302">
        <v>-267073</v>
      </c>
      <c r="KF302">
        <v>230417</v>
      </c>
      <c r="KG302">
        <v>0</v>
      </c>
      <c r="KH302">
        <v>1082</v>
      </c>
      <c r="KI302">
        <v>4690</v>
      </c>
      <c r="KJ302">
        <v>0</v>
      </c>
      <c r="KK302">
        <v>6007</v>
      </c>
      <c r="KL302">
        <v>0</v>
      </c>
      <c r="KM302">
        <v>0</v>
      </c>
      <c r="KN302">
        <v>0</v>
      </c>
      <c r="KO302">
        <v>-101759</v>
      </c>
      <c r="KP302">
        <v>2835</v>
      </c>
      <c r="KQ302">
        <v>0</v>
      </c>
      <c r="KR302">
        <v>116174</v>
      </c>
      <c r="KS302">
        <v>12498</v>
      </c>
      <c r="KT302">
        <v>-19844</v>
      </c>
      <c r="KU302">
        <v>339</v>
      </c>
      <c r="KV302">
        <v>232284</v>
      </c>
      <c r="KW302">
        <v>13243</v>
      </c>
      <c r="KX302">
        <v>13580</v>
      </c>
      <c r="KY302">
        <v>-15154</v>
      </c>
      <c r="KZ302">
        <v>339</v>
      </c>
      <c r="LA302">
        <v>238291</v>
      </c>
      <c r="LB302">
        <v>13243</v>
      </c>
      <c r="LC302">
        <v>0</v>
      </c>
      <c r="LD302">
        <v>32843</v>
      </c>
      <c r="LE302">
        <v>0</v>
      </c>
      <c r="LF302">
        <v>12954</v>
      </c>
      <c r="LG302">
        <v>-49393</v>
      </c>
      <c r="LH302">
        <v>29040</v>
      </c>
      <c r="LI302">
        <v>24040</v>
      </c>
      <c r="LJ302">
        <v>8835</v>
      </c>
      <c r="LK302">
        <v>17571</v>
      </c>
      <c r="LL302">
        <v>26406</v>
      </c>
      <c r="LM302">
        <v>0</v>
      </c>
      <c r="LN302">
        <v>0</v>
      </c>
      <c r="LO302">
        <v>0</v>
      </c>
      <c r="LP302">
        <v>13846</v>
      </c>
      <c r="LQ302">
        <v>13405</v>
      </c>
      <c r="LR302">
        <v>441</v>
      </c>
      <c r="LS302">
        <v>18801</v>
      </c>
      <c r="LT302">
        <v>19242</v>
      </c>
      <c r="LU302">
        <v>215819</v>
      </c>
      <c r="LV302">
        <v>769</v>
      </c>
      <c r="LW302">
        <v>56205</v>
      </c>
      <c r="LX302">
        <v>66837</v>
      </c>
      <c r="LY302">
        <v>24912</v>
      </c>
      <c r="LZ302">
        <v>8947</v>
      </c>
      <c r="MA302">
        <v>7937</v>
      </c>
      <c r="MB302">
        <v>10068</v>
      </c>
      <c r="MC302">
        <v>5915</v>
      </c>
      <c r="MD302">
        <v>0</v>
      </c>
      <c r="ME302">
        <v>0</v>
      </c>
      <c r="MF302">
        <v>19572</v>
      </c>
      <c r="MG302">
        <v>4948</v>
      </c>
      <c r="MH302">
        <v>421929</v>
      </c>
      <c r="MI302">
        <v>0</v>
      </c>
      <c r="MJ302">
        <v>0</v>
      </c>
      <c r="MK302">
        <v>0</v>
      </c>
      <c r="ML302">
        <v>0</v>
      </c>
      <c r="MM302">
        <v>0</v>
      </c>
      <c r="MN302">
        <v>0</v>
      </c>
      <c r="MO302">
        <v>0</v>
      </c>
      <c r="MP302">
        <v>0</v>
      </c>
      <c r="MQ302">
        <v>0</v>
      </c>
      <c r="MR302">
        <v>0</v>
      </c>
      <c r="MS302">
        <v>0</v>
      </c>
      <c r="MT302">
        <v>0</v>
      </c>
      <c r="MU302">
        <v>0</v>
      </c>
      <c r="MV302">
        <v>0</v>
      </c>
      <c r="MW302">
        <v>0</v>
      </c>
      <c r="MX302">
        <v>-577</v>
      </c>
      <c r="MY302">
        <v>-827</v>
      </c>
      <c r="MZ302">
        <v>102</v>
      </c>
      <c r="NA302">
        <v>-1302</v>
      </c>
      <c r="NB302">
        <v>0</v>
      </c>
      <c r="NC302">
        <v>-1302</v>
      </c>
      <c r="ND302">
        <v>0</v>
      </c>
      <c r="NE302">
        <v>0</v>
      </c>
      <c r="NF302">
        <v>0</v>
      </c>
      <c r="NG302">
        <v>0</v>
      </c>
      <c r="NH302">
        <v>0</v>
      </c>
      <c r="NI302">
        <v>0</v>
      </c>
      <c r="NJ302">
        <v>0</v>
      </c>
      <c r="NK302">
        <v>0</v>
      </c>
      <c r="NL302">
        <v>0</v>
      </c>
      <c r="NM302">
        <v>0</v>
      </c>
      <c r="NN302">
        <v>157</v>
      </c>
      <c r="NO302">
        <v>0</v>
      </c>
      <c r="NP302">
        <v>0</v>
      </c>
      <c r="NQ302">
        <v>849</v>
      </c>
      <c r="NR302">
        <v>-783</v>
      </c>
      <c r="NS302">
        <v>0</v>
      </c>
      <c r="NT302">
        <v>778</v>
      </c>
      <c r="NU302">
        <v>0</v>
      </c>
      <c r="NV302">
        <v>0</v>
      </c>
      <c r="NW302">
        <v>0</v>
      </c>
      <c r="NX302">
        <v>0</v>
      </c>
      <c r="NY302">
        <v>0</v>
      </c>
      <c r="NZ302">
        <v>1001</v>
      </c>
      <c r="OA302">
        <v>0</v>
      </c>
      <c r="OB302">
        <v>1001</v>
      </c>
      <c r="OC302">
        <v>0</v>
      </c>
      <c r="OD302">
        <v>0</v>
      </c>
      <c r="OE302">
        <v>0</v>
      </c>
      <c r="OF302">
        <v>0</v>
      </c>
      <c r="OG302">
        <v>0</v>
      </c>
      <c r="OH302">
        <v>0</v>
      </c>
      <c r="OI302">
        <v>0</v>
      </c>
      <c r="OJ302">
        <v>0</v>
      </c>
      <c r="OK302">
        <v>0</v>
      </c>
      <c r="OL302">
        <v>0</v>
      </c>
      <c r="OM302">
        <v>0</v>
      </c>
      <c r="ON302">
        <v>0</v>
      </c>
    </row>
    <row r="303" spans="1:404" x14ac:dyDescent="0.25">
      <c r="A303" t="s">
        <v>979</v>
      </c>
      <c r="B303" t="s">
        <v>980</v>
      </c>
      <c r="C303" t="s">
        <v>978</v>
      </c>
      <c r="E303" t="s">
        <v>97</v>
      </c>
      <c r="F303">
        <v>19896</v>
      </c>
      <c r="G303">
        <v>174605</v>
      </c>
      <c r="H303">
        <v>43623</v>
      </c>
      <c r="I303">
        <v>18505</v>
      </c>
      <c r="J303">
        <v>2533</v>
      </c>
      <c r="K303">
        <v>9952</v>
      </c>
      <c r="L303">
        <v>269114</v>
      </c>
      <c r="M303">
        <v>211</v>
      </c>
      <c r="N303">
        <v>0</v>
      </c>
      <c r="O303">
        <v>156</v>
      </c>
      <c r="P303">
        <v>1459</v>
      </c>
      <c r="Q303">
        <v>1</v>
      </c>
      <c r="R303">
        <v>253</v>
      </c>
      <c r="S303">
        <v>2481</v>
      </c>
      <c r="T303">
        <v>423</v>
      </c>
      <c r="U303">
        <v>3198</v>
      </c>
      <c r="V303">
        <v>0</v>
      </c>
      <c r="W303">
        <v>-723</v>
      </c>
      <c r="X303">
        <v>398</v>
      </c>
      <c r="Y303">
        <v>385</v>
      </c>
      <c r="Z303">
        <v>993</v>
      </c>
      <c r="AA303">
        <v>-26</v>
      </c>
      <c r="AB303">
        <v>0</v>
      </c>
      <c r="AC303">
        <v>0</v>
      </c>
      <c r="AD303">
        <v>0</v>
      </c>
      <c r="AE303">
        <v>0</v>
      </c>
      <c r="AF303">
        <v>0</v>
      </c>
      <c r="AG303">
        <v>0</v>
      </c>
      <c r="AH303">
        <v>0</v>
      </c>
      <c r="AI303">
        <v>9209</v>
      </c>
      <c r="AJ303">
        <v>0</v>
      </c>
      <c r="AK303">
        <v>0</v>
      </c>
      <c r="AL303">
        <v>0</v>
      </c>
      <c r="AM303">
        <v>0</v>
      </c>
      <c r="AN303">
        <v>0</v>
      </c>
      <c r="AO303">
        <v>0</v>
      </c>
      <c r="AP303">
        <v>0</v>
      </c>
      <c r="AQ303">
        <v>0</v>
      </c>
      <c r="AR303">
        <v>0</v>
      </c>
      <c r="AS303">
        <v>0</v>
      </c>
      <c r="AT303">
        <v>0</v>
      </c>
      <c r="AU303">
        <v>0</v>
      </c>
      <c r="AV303">
        <v>3568</v>
      </c>
      <c r="AW303">
        <v>182</v>
      </c>
      <c r="AX303">
        <v>74509</v>
      </c>
      <c r="AY303">
        <v>62</v>
      </c>
      <c r="AZ303">
        <v>20</v>
      </c>
      <c r="BA303">
        <v>124</v>
      </c>
      <c r="BB303">
        <v>1931</v>
      </c>
      <c r="BC303">
        <v>43</v>
      </c>
      <c r="BD303">
        <v>80439</v>
      </c>
      <c r="BE303">
        <v>10158</v>
      </c>
      <c r="BF303">
        <v>24324</v>
      </c>
      <c r="BG303">
        <v>488</v>
      </c>
      <c r="BH303">
        <v>366</v>
      </c>
      <c r="BI303">
        <v>1301</v>
      </c>
      <c r="BJ303">
        <v>12371</v>
      </c>
      <c r="BK303">
        <v>27898</v>
      </c>
      <c r="BL303">
        <v>5492</v>
      </c>
      <c r="BM303">
        <v>4899</v>
      </c>
      <c r="BN303">
        <v>2340</v>
      </c>
      <c r="BO303">
        <v>0</v>
      </c>
      <c r="BP303">
        <v>0</v>
      </c>
      <c r="BQ303">
        <v>462</v>
      </c>
      <c r="BR303">
        <v>528</v>
      </c>
      <c r="BS303">
        <v>1797</v>
      </c>
      <c r="BT303">
        <v>12361</v>
      </c>
      <c r="BU303">
        <v>3007</v>
      </c>
      <c r="BV303">
        <v>10969</v>
      </c>
      <c r="BW303">
        <v>129359</v>
      </c>
      <c r="BX303">
        <v>1387</v>
      </c>
      <c r="BY303">
        <v>829</v>
      </c>
      <c r="BZ303">
        <v>479</v>
      </c>
      <c r="CA303">
        <v>67</v>
      </c>
      <c r="CB303">
        <v>178</v>
      </c>
      <c r="CC303">
        <v>183</v>
      </c>
      <c r="CD303">
        <v>0</v>
      </c>
      <c r="CE303">
        <v>597</v>
      </c>
      <c r="CF303">
        <v>337</v>
      </c>
      <c r="CG303">
        <v>509</v>
      </c>
      <c r="CH303">
        <v>663</v>
      </c>
      <c r="CI303">
        <v>1125</v>
      </c>
      <c r="CJ303">
        <v>621</v>
      </c>
      <c r="CK303">
        <v>910</v>
      </c>
      <c r="CL303">
        <v>502</v>
      </c>
      <c r="CM303">
        <v>236</v>
      </c>
      <c r="CN303">
        <v>415</v>
      </c>
      <c r="CO303">
        <v>76</v>
      </c>
      <c r="CP303">
        <v>2885</v>
      </c>
      <c r="CQ303">
        <v>6355</v>
      </c>
      <c r="CR303">
        <v>295</v>
      </c>
      <c r="CS303">
        <v>207</v>
      </c>
      <c r="CT303">
        <v>173</v>
      </c>
      <c r="CU303">
        <v>4347</v>
      </c>
      <c r="CV303">
        <v>25512</v>
      </c>
      <c r="CW303">
        <v>0</v>
      </c>
      <c r="CX303">
        <v>0</v>
      </c>
      <c r="CY303">
        <v>136</v>
      </c>
      <c r="CZ303">
        <v>0</v>
      </c>
      <c r="DA303">
        <v>0</v>
      </c>
      <c r="DB303">
        <v>0</v>
      </c>
      <c r="DC303">
        <v>-2845</v>
      </c>
      <c r="DD303">
        <v>0</v>
      </c>
      <c r="DE303">
        <v>29</v>
      </c>
      <c r="DF303">
        <v>0</v>
      </c>
      <c r="DG303">
        <v>0</v>
      </c>
      <c r="DH303">
        <v>0</v>
      </c>
      <c r="DI303">
        <v>0</v>
      </c>
      <c r="DJ303">
        <v>269</v>
      </c>
      <c r="DK303">
        <v>0</v>
      </c>
      <c r="DL303">
        <v>56</v>
      </c>
      <c r="DM303">
        <v>0</v>
      </c>
      <c r="DN303">
        <v>3466</v>
      </c>
      <c r="DO303">
        <v>0</v>
      </c>
      <c r="DP303">
        <v>3791</v>
      </c>
      <c r="DQ303">
        <v>0</v>
      </c>
      <c r="DR303">
        <v>0</v>
      </c>
      <c r="DS303">
        <v>0</v>
      </c>
      <c r="DT303">
        <v>1362</v>
      </c>
      <c r="DU303">
        <v>-93</v>
      </c>
      <c r="DV303">
        <v>1300</v>
      </c>
      <c r="DW303">
        <v>0</v>
      </c>
      <c r="DX303">
        <v>3544</v>
      </c>
      <c r="DY303">
        <v>0</v>
      </c>
      <c r="DZ303">
        <v>0</v>
      </c>
      <c r="EA303">
        <v>0</v>
      </c>
      <c r="EB303">
        <v>0</v>
      </c>
      <c r="EC303">
        <v>0</v>
      </c>
      <c r="ED303">
        <v>0</v>
      </c>
      <c r="EE303">
        <v>-855</v>
      </c>
      <c r="EF303">
        <v>0</v>
      </c>
      <c r="EG303">
        <v>0</v>
      </c>
      <c r="EH303">
        <v>0</v>
      </c>
      <c r="EI303">
        <v>0</v>
      </c>
      <c r="EJ303">
        <v>0</v>
      </c>
      <c r="EK303">
        <v>0</v>
      </c>
      <c r="EL303">
        <v>0</v>
      </c>
      <c r="EM303">
        <v>0</v>
      </c>
      <c r="EN303">
        <v>0</v>
      </c>
      <c r="EO303">
        <v>0</v>
      </c>
      <c r="EP303">
        <v>0</v>
      </c>
      <c r="EQ303">
        <v>0</v>
      </c>
      <c r="ER303">
        <v>0</v>
      </c>
      <c r="ES303">
        <v>42046</v>
      </c>
      <c r="ET303">
        <v>41191</v>
      </c>
      <c r="EU303">
        <v>182</v>
      </c>
      <c r="EV303">
        <v>307</v>
      </c>
      <c r="EW303">
        <v>0</v>
      </c>
      <c r="EX303">
        <v>451</v>
      </c>
      <c r="EY303">
        <v>661</v>
      </c>
      <c r="EZ303">
        <v>825</v>
      </c>
      <c r="FA303">
        <v>0</v>
      </c>
      <c r="FB303">
        <v>4654</v>
      </c>
      <c r="FC303">
        <v>0</v>
      </c>
      <c r="FD303">
        <v>2155</v>
      </c>
      <c r="FE303">
        <v>0</v>
      </c>
      <c r="FF303">
        <v>0</v>
      </c>
      <c r="FG303">
        <v>4255</v>
      </c>
      <c r="FH303">
        <v>13490</v>
      </c>
      <c r="FI303">
        <v>-2477</v>
      </c>
      <c r="FJ303">
        <v>730</v>
      </c>
      <c r="FK303">
        <v>0</v>
      </c>
      <c r="FL303">
        <v>0</v>
      </c>
      <c r="FM303">
        <v>1835</v>
      </c>
      <c r="FN303">
        <v>252</v>
      </c>
      <c r="FO303">
        <v>0</v>
      </c>
      <c r="FP303">
        <v>0</v>
      </c>
      <c r="FQ303">
        <v>0</v>
      </c>
      <c r="FR303">
        <v>275</v>
      </c>
      <c r="FS303">
        <v>0</v>
      </c>
      <c r="FT303">
        <v>24</v>
      </c>
      <c r="FU303">
        <v>163</v>
      </c>
      <c r="FV303">
        <v>822</v>
      </c>
      <c r="FW303">
        <v>940</v>
      </c>
      <c r="FX303">
        <v>245</v>
      </c>
      <c r="FY303">
        <v>200</v>
      </c>
      <c r="FZ303">
        <v>0</v>
      </c>
      <c r="GA303">
        <v>0</v>
      </c>
      <c r="GB303">
        <v>0</v>
      </c>
      <c r="GC303">
        <v>0</v>
      </c>
      <c r="GD303">
        <v>5956</v>
      </c>
      <c r="GE303">
        <v>5768</v>
      </c>
      <c r="GF303">
        <v>8168</v>
      </c>
      <c r="GG303">
        <v>178</v>
      </c>
      <c r="GH303">
        <v>9076</v>
      </c>
      <c r="GI303">
        <v>31</v>
      </c>
      <c r="GJ303">
        <v>0</v>
      </c>
      <c r="GK303">
        <v>32186</v>
      </c>
      <c r="GL303">
        <v>308</v>
      </c>
      <c r="GM303">
        <v>640</v>
      </c>
      <c r="GN303">
        <v>0</v>
      </c>
      <c r="GO303">
        <v>1733</v>
      </c>
      <c r="GP303">
        <v>0</v>
      </c>
      <c r="GQ303">
        <v>904</v>
      </c>
      <c r="GR303">
        <v>0</v>
      </c>
      <c r="GS303">
        <v>0</v>
      </c>
      <c r="GT303">
        <v>1979</v>
      </c>
      <c r="GU303">
        <v>5564</v>
      </c>
      <c r="GV303">
        <v>51240</v>
      </c>
      <c r="GW303">
        <v>0</v>
      </c>
      <c r="GX303">
        <v>0</v>
      </c>
      <c r="GY303">
        <v>0</v>
      </c>
      <c r="GZ303">
        <v>0</v>
      </c>
      <c r="HA303">
        <v>0</v>
      </c>
      <c r="HB303">
        <v>3577</v>
      </c>
      <c r="HC303">
        <v>1426</v>
      </c>
      <c r="HD303">
        <v>0</v>
      </c>
      <c r="HE303">
        <v>0</v>
      </c>
      <c r="HF303">
        <v>1756</v>
      </c>
      <c r="HG303">
        <v>-13</v>
      </c>
      <c r="HH303">
        <v>0</v>
      </c>
      <c r="HI303">
        <v>449</v>
      </c>
      <c r="HJ303">
        <v>227</v>
      </c>
      <c r="HK303">
        <v>712</v>
      </c>
      <c r="HL303">
        <v>254</v>
      </c>
      <c r="HM303">
        <v>100</v>
      </c>
      <c r="HN303">
        <v>242</v>
      </c>
      <c r="HO303">
        <v>0</v>
      </c>
      <c r="HP303">
        <v>419</v>
      </c>
      <c r="HQ303">
        <v>0</v>
      </c>
      <c r="HR303">
        <v>4207</v>
      </c>
      <c r="HS303">
        <v>0</v>
      </c>
      <c r="HT303">
        <v>0</v>
      </c>
      <c r="HU303">
        <v>21435</v>
      </c>
      <c r="HV303">
        <v>34791</v>
      </c>
      <c r="HW303">
        <v>969</v>
      </c>
      <c r="HX303">
        <v>0</v>
      </c>
      <c r="HY303">
        <v>0</v>
      </c>
      <c r="HZ303">
        <v>16272</v>
      </c>
      <c r="IA303">
        <v>0</v>
      </c>
      <c r="IB303">
        <v>22376</v>
      </c>
      <c r="IC303">
        <v>269114</v>
      </c>
      <c r="ID303">
        <v>9209</v>
      </c>
      <c r="IE303">
        <v>80439</v>
      </c>
      <c r="IF303">
        <v>129359</v>
      </c>
      <c r="IG303">
        <v>25512</v>
      </c>
      <c r="IH303">
        <v>3544</v>
      </c>
      <c r="II303">
        <v>13490</v>
      </c>
      <c r="IJ303">
        <v>32186</v>
      </c>
      <c r="IK303">
        <v>5564</v>
      </c>
      <c r="IL303">
        <v>0</v>
      </c>
      <c r="IM303">
        <v>0</v>
      </c>
      <c r="IN303">
        <v>34791</v>
      </c>
      <c r="IO303">
        <v>22376</v>
      </c>
      <c r="IP303">
        <v>625584</v>
      </c>
      <c r="IQ303">
        <v>35851</v>
      </c>
      <c r="IR303">
        <v>114</v>
      </c>
      <c r="IS303">
        <v>48696</v>
      </c>
      <c r="IT303">
        <v>0</v>
      </c>
      <c r="IU303">
        <v>-7023</v>
      </c>
      <c r="IV303">
        <v>0</v>
      </c>
      <c r="IW303">
        <v>12866</v>
      </c>
      <c r="IX303">
        <v>0</v>
      </c>
      <c r="IY303">
        <v>0</v>
      </c>
      <c r="IZ303">
        <v>25</v>
      </c>
      <c r="JA303">
        <v>10</v>
      </c>
      <c r="JB303">
        <v>6640</v>
      </c>
      <c r="JC303">
        <v>0</v>
      </c>
      <c r="JD303">
        <v>0</v>
      </c>
      <c r="JE303">
        <v>1788</v>
      </c>
      <c r="JF303">
        <v>0</v>
      </c>
      <c r="JG303">
        <v>724551</v>
      </c>
      <c r="JH303">
        <v>88</v>
      </c>
      <c r="JI303">
        <v>6685</v>
      </c>
      <c r="JJ303">
        <v>0</v>
      </c>
      <c r="JK303">
        <v>0</v>
      </c>
      <c r="JL303">
        <v>0</v>
      </c>
      <c r="JM303">
        <v>0</v>
      </c>
      <c r="JN303">
        <v>7836</v>
      </c>
      <c r="JO303">
        <v>0</v>
      </c>
      <c r="JP303">
        <v>19961</v>
      </c>
      <c r="JQ303">
        <v>-16650</v>
      </c>
      <c r="JR303">
        <v>742471</v>
      </c>
      <c r="JS303">
        <v>-2709</v>
      </c>
      <c r="JT303">
        <v>0</v>
      </c>
      <c r="JU303">
        <v>53</v>
      </c>
      <c r="JV303">
        <v>0</v>
      </c>
      <c r="JW303">
        <v>-74966</v>
      </c>
      <c r="JX303">
        <v>0</v>
      </c>
      <c r="JY303">
        <v>0</v>
      </c>
      <c r="JZ303">
        <v>0</v>
      </c>
      <c r="KA303">
        <v>0</v>
      </c>
      <c r="KB303">
        <v>0</v>
      </c>
      <c r="KC303">
        <v>664849</v>
      </c>
      <c r="KD303">
        <v>0</v>
      </c>
      <c r="KE303">
        <v>-373184</v>
      </c>
      <c r="KF303">
        <v>291665</v>
      </c>
      <c r="KG303">
        <v>0</v>
      </c>
      <c r="KH303">
        <v>1175</v>
      </c>
      <c r="KI303">
        <v>0</v>
      </c>
      <c r="KJ303">
        <v>0</v>
      </c>
      <c r="KK303">
        <v>8047</v>
      </c>
      <c r="KL303">
        <v>6106</v>
      </c>
      <c r="KM303">
        <v>0</v>
      </c>
      <c r="KN303">
        <v>0</v>
      </c>
      <c r="KO303">
        <v>-173142</v>
      </c>
      <c r="KP303">
        <v>-2918</v>
      </c>
      <c r="KQ303">
        <v>0</v>
      </c>
      <c r="KR303">
        <v>111654</v>
      </c>
      <c r="KS303">
        <v>39413</v>
      </c>
      <c r="KT303">
        <v>0</v>
      </c>
      <c r="KU303">
        <v>7862</v>
      </c>
      <c r="KV303">
        <v>90558</v>
      </c>
      <c r="KW303">
        <v>59175</v>
      </c>
      <c r="KX303">
        <v>40588</v>
      </c>
      <c r="KY303">
        <v>0</v>
      </c>
      <c r="KZ303">
        <v>9480</v>
      </c>
      <c r="LA303">
        <v>145471</v>
      </c>
      <c r="LB303">
        <v>65281</v>
      </c>
      <c r="LC303">
        <v>0</v>
      </c>
      <c r="LD303">
        <v>0</v>
      </c>
      <c r="LE303">
        <v>0</v>
      </c>
      <c r="LF303">
        <v>0</v>
      </c>
      <c r="LG303">
        <v>0</v>
      </c>
      <c r="LH303">
        <v>0</v>
      </c>
      <c r="LI303">
        <v>0</v>
      </c>
      <c r="LJ303">
        <v>11268</v>
      </c>
      <c r="LK303">
        <v>19043</v>
      </c>
      <c r="LL303">
        <v>30311</v>
      </c>
      <c r="LM303">
        <v>0</v>
      </c>
      <c r="LN303">
        <v>0</v>
      </c>
      <c r="LO303">
        <v>0</v>
      </c>
      <c r="LP303">
        <v>-855</v>
      </c>
      <c r="LQ303">
        <v>0</v>
      </c>
      <c r="LR303">
        <v>-855</v>
      </c>
      <c r="LS303">
        <v>42046</v>
      </c>
      <c r="LT303">
        <v>41191</v>
      </c>
      <c r="LU303">
        <v>269114</v>
      </c>
      <c r="LV303">
        <v>9209</v>
      </c>
      <c r="LW303">
        <v>80439</v>
      </c>
      <c r="LX303">
        <v>129359</v>
      </c>
      <c r="LY303">
        <v>25512</v>
      </c>
      <c r="LZ303">
        <v>3544</v>
      </c>
      <c r="MA303">
        <v>13490</v>
      </c>
      <c r="MB303">
        <v>32186</v>
      </c>
      <c r="MC303">
        <v>5564</v>
      </c>
      <c r="MD303">
        <v>0</v>
      </c>
      <c r="ME303">
        <v>0</v>
      </c>
      <c r="MF303">
        <v>34791</v>
      </c>
      <c r="MG303">
        <v>22376</v>
      </c>
      <c r="MH303">
        <v>625584</v>
      </c>
      <c r="MI303">
        <v>0</v>
      </c>
      <c r="MJ303">
        <v>0</v>
      </c>
      <c r="MK303">
        <v>0</v>
      </c>
      <c r="ML303">
        <v>0</v>
      </c>
      <c r="MM303">
        <v>0</v>
      </c>
      <c r="MN303">
        <v>0</v>
      </c>
      <c r="MO303">
        <v>0</v>
      </c>
      <c r="MP303">
        <v>0</v>
      </c>
      <c r="MQ303">
        <v>0</v>
      </c>
      <c r="MR303">
        <v>0</v>
      </c>
      <c r="MS303">
        <v>0</v>
      </c>
      <c r="MT303">
        <v>0</v>
      </c>
      <c r="MU303">
        <v>0</v>
      </c>
      <c r="MV303">
        <v>39</v>
      </c>
      <c r="MW303">
        <v>0</v>
      </c>
      <c r="MX303">
        <v>0</v>
      </c>
      <c r="MY303">
        <v>0</v>
      </c>
      <c r="MZ303">
        <v>0</v>
      </c>
      <c r="NA303">
        <v>10</v>
      </c>
      <c r="NB303">
        <v>0</v>
      </c>
      <c r="NC303">
        <v>10</v>
      </c>
      <c r="ND303">
        <v>0</v>
      </c>
      <c r="NE303">
        <v>0</v>
      </c>
      <c r="NF303">
        <v>280</v>
      </c>
      <c r="NG303">
        <v>0</v>
      </c>
      <c r="NH303">
        <v>0</v>
      </c>
      <c r="NI303">
        <v>0</v>
      </c>
      <c r="NJ303">
        <v>0</v>
      </c>
      <c r="NK303">
        <v>0</v>
      </c>
      <c r="NL303">
        <v>0</v>
      </c>
      <c r="NM303">
        <v>-325</v>
      </c>
      <c r="NN303">
        <v>0</v>
      </c>
      <c r="NO303">
        <v>3788</v>
      </c>
      <c r="NP303">
        <v>4769</v>
      </c>
      <c r="NQ303">
        <v>0</v>
      </c>
      <c r="NR303">
        <v>-1872</v>
      </c>
      <c r="NS303">
        <v>0</v>
      </c>
      <c r="NT303">
        <v>0</v>
      </c>
      <c r="NU303">
        <v>0</v>
      </c>
      <c r="NV303">
        <v>0</v>
      </c>
      <c r="NW303">
        <v>0</v>
      </c>
      <c r="NX303">
        <v>0</v>
      </c>
      <c r="NY303">
        <v>0</v>
      </c>
      <c r="NZ303">
        <v>6640</v>
      </c>
      <c r="OA303">
        <v>0</v>
      </c>
      <c r="OB303">
        <v>6640</v>
      </c>
      <c r="OC303">
        <v>0</v>
      </c>
      <c r="OD303">
        <v>0</v>
      </c>
      <c r="OE303">
        <v>0</v>
      </c>
      <c r="OF303">
        <v>0</v>
      </c>
      <c r="OG303">
        <v>0</v>
      </c>
      <c r="OH303">
        <v>0</v>
      </c>
      <c r="OI303">
        <v>0</v>
      </c>
      <c r="OJ303">
        <v>0</v>
      </c>
      <c r="OK303">
        <v>0</v>
      </c>
      <c r="OL303">
        <v>0</v>
      </c>
      <c r="OM303">
        <v>0</v>
      </c>
      <c r="ON303">
        <v>0</v>
      </c>
    </row>
    <row r="304" spans="1:404" x14ac:dyDescent="0.25">
      <c r="A304" t="s">
        <v>982</v>
      </c>
      <c r="B304" t="s">
        <v>983</v>
      </c>
      <c r="C304" t="s">
        <v>981</v>
      </c>
      <c r="E304" t="s">
        <v>61</v>
      </c>
      <c r="F304">
        <v>0</v>
      </c>
      <c r="G304">
        <v>0</v>
      </c>
      <c r="H304">
        <v>0</v>
      </c>
      <c r="I304">
        <v>0</v>
      </c>
      <c r="J304">
        <v>0</v>
      </c>
      <c r="K304">
        <v>0</v>
      </c>
      <c r="L304">
        <v>0</v>
      </c>
      <c r="M304">
        <v>0</v>
      </c>
      <c r="N304">
        <v>-77</v>
      </c>
      <c r="O304">
        <v>0</v>
      </c>
      <c r="P304">
        <v>0</v>
      </c>
      <c r="Q304">
        <v>0</v>
      </c>
      <c r="R304">
        <v>0</v>
      </c>
      <c r="S304">
        <v>134</v>
      </c>
      <c r="T304">
        <v>0</v>
      </c>
      <c r="U304">
        <v>116</v>
      </c>
      <c r="V304">
        <v>0</v>
      </c>
      <c r="W304">
        <v>0</v>
      </c>
      <c r="X304">
        <v>0</v>
      </c>
      <c r="Y304">
        <v>0</v>
      </c>
      <c r="Z304">
        <v>0</v>
      </c>
      <c r="AA304">
        <v>-4372</v>
      </c>
      <c r="AB304">
        <v>0</v>
      </c>
      <c r="AC304">
        <v>0</v>
      </c>
      <c r="AD304">
        <v>0</v>
      </c>
      <c r="AE304">
        <v>0</v>
      </c>
      <c r="AF304">
        <v>39</v>
      </c>
      <c r="AG304">
        <v>9</v>
      </c>
      <c r="AH304">
        <v>-313</v>
      </c>
      <c r="AI304">
        <v>-4464</v>
      </c>
      <c r="AJ304">
        <v>0</v>
      </c>
      <c r="AK304">
        <v>0</v>
      </c>
      <c r="AL304">
        <v>0</v>
      </c>
      <c r="AM304">
        <v>0</v>
      </c>
      <c r="AN304">
        <v>0</v>
      </c>
      <c r="AO304">
        <v>0</v>
      </c>
      <c r="AP304">
        <v>0</v>
      </c>
      <c r="AQ304">
        <v>0</v>
      </c>
      <c r="AR304">
        <v>0</v>
      </c>
      <c r="AS304">
        <v>0</v>
      </c>
      <c r="AT304">
        <v>0</v>
      </c>
      <c r="AU304">
        <v>0</v>
      </c>
      <c r="AV304">
        <v>0</v>
      </c>
      <c r="AW304">
        <v>0</v>
      </c>
      <c r="AX304">
        <v>0</v>
      </c>
      <c r="AY304">
        <v>0</v>
      </c>
      <c r="AZ304">
        <v>0</v>
      </c>
      <c r="BA304">
        <v>0</v>
      </c>
      <c r="BB304">
        <v>0</v>
      </c>
      <c r="BC304">
        <v>0</v>
      </c>
      <c r="BD304">
        <v>0</v>
      </c>
      <c r="BE304">
        <v>0</v>
      </c>
      <c r="BF304">
        <v>0</v>
      </c>
      <c r="BG304">
        <v>0</v>
      </c>
      <c r="BH304">
        <v>0</v>
      </c>
      <c r="BI304">
        <v>0</v>
      </c>
      <c r="BJ304">
        <v>0</v>
      </c>
      <c r="BK304">
        <v>0</v>
      </c>
      <c r="BL304">
        <v>0</v>
      </c>
      <c r="BM304">
        <v>0</v>
      </c>
      <c r="BN304">
        <v>0</v>
      </c>
      <c r="BO304">
        <v>0</v>
      </c>
      <c r="BP304">
        <v>0</v>
      </c>
      <c r="BQ304">
        <v>0</v>
      </c>
      <c r="BR304">
        <v>0</v>
      </c>
      <c r="BS304">
        <v>0</v>
      </c>
      <c r="BT304">
        <v>0</v>
      </c>
      <c r="BU304">
        <v>0</v>
      </c>
      <c r="BV304">
        <v>0</v>
      </c>
      <c r="BW304">
        <v>0</v>
      </c>
      <c r="BX304">
        <v>0</v>
      </c>
      <c r="BY304">
        <v>0</v>
      </c>
      <c r="BZ304">
        <v>0</v>
      </c>
      <c r="CA304">
        <v>0</v>
      </c>
      <c r="CB304">
        <v>0</v>
      </c>
      <c r="CC304">
        <v>0</v>
      </c>
      <c r="CD304">
        <v>0</v>
      </c>
      <c r="CE304">
        <v>0</v>
      </c>
      <c r="CF304">
        <v>0</v>
      </c>
      <c r="CG304">
        <v>0</v>
      </c>
      <c r="CH304">
        <v>0</v>
      </c>
      <c r="CI304">
        <v>0</v>
      </c>
      <c r="CJ304">
        <v>0</v>
      </c>
      <c r="CK304">
        <v>0</v>
      </c>
      <c r="CL304">
        <v>0</v>
      </c>
      <c r="CM304">
        <v>0</v>
      </c>
      <c r="CN304">
        <v>0</v>
      </c>
      <c r="CO304">
        <v>0</v>
      </c>
      <c r="CP304">
        <v>0</v>
      </c>
      <c r="CQ304">
        <v>0</v>
      </c>
      <c r="CR304">
        <v>0</v>
      </c>
      <c r="CS304">
        <v>0</v>
      </c>
      <c r="CT304">
        <v>0</v>
      </c>
      <c r="CU304">
        <v>0</v>
      </c>
      <c r="CV304">
        <v>0</v>
      </c>
      <c r="CW304">
        <v>0</v>
      </c>
      <c r="CX304">
        <v>0</v>
      </c>
      <c r="CY304">
        <v>0</v>
      </c>
      <c r="CZ304">
        <v>0</v>
      </c>
      <c r="DA304">
        <v>0</v>
      </c>
      <c r="DB304">
        <v>0</v>
      </c>
      <c r="DC304">
        <v>206</v>
      </c>
      <c r="DD304">
        <v>0</v>
      </c>
      <c r="DE304">
        <v>47</v>
      </c>
      <c r="DF304">
        <v>302</v>
      </c>
      <c r="DG304">
        <v>0</v>
      </c>
      <c r="DH304">
        <v>0</v>
      </c>
      <c r="DI304">
        <v>4</v>
      </c>
      <c r="DJ304">
        <v>1736</v>
      </c>
      <c r="DK304">
        <v>0</v>
      </c>
      <c r="DL304">
        <v>0</v>
      </c>
      <c r="DM304">
        <v>0</v>
      </c>
      <c r="DN304">
        <v>0</v>
      </c>
      <c r="DO304">
        <v>0</v>
      </c>
      <c r="DP304">
        <v>1740</v>
      </c>
      <c r="DQ304">
        <v>145</v>
      </c>
      <c r="DR304">
        <v>0</v>
      </c>
      <c r="DS304">
        <v>0</v>
      </c>
      <c r="DT304">
        <v>814</v>
      </c>
      <c r="DU304">
        <v>0</v>
      </c>
      <c r="DV304">
        <v>0</v>
      </c>
      <c r="DW304">
        <v>0</v>
      </c>
      <c r="DX304">
        <v>3254</v>
      </c>
      <c r="DY304">
        <v>0</v>
      </c>
      <c r="DZ304">
        <v>0</v>
      </c>
      <c r="EA304">
        <v>0</v>
      </c>
      <c r="EB304">
        <v>0</v>
      </c>
      <c r="EC304">
        <v>0</v>
      </c>
      <c r="ED304">
        <v>0</v>
      </c>
      <c r="EE304">
        <v>0</v>
      </c>
      <c r="EF304">
        <v>0</v>
      </c>
      <c r="EG304">
        <v>0</v>
      </c>
      <c r="EH304">
        <v>0</v>
      </c>
      <c r="EI304">
        <v>0</v>
      </c>
      <c r="EJ304">
        <v>0</v>
      </c>
      <c r="EK304">
        <v>0</v>
      </c>
      <c r="EL304">
        <v>0</v>
      </c>
      <c r="EM304">
        <v>0</v>
      </c>
      <c r="EN304">
        <v>0</v>
      </c>
      <c r="EO304">
        <v>0</v>
      </c>
      <c r="EP304">
        <v>0</v>
      </c>
      <c r="EQ304">
        <v>0</v>
      </c>
      <c r="ER304">
        <v>0</v>
      </c>
      <c r="ES304">
        <v>0</v>
      </c>
      <c r="ET304">
        <v>0</v>
      </c>
      <c r="EU304">
        <v>0</v>
      </c>
      <c r="EV304">
        <v>0</v>
      </c>
      <c r="EW304">
        <v>0</v>
      </c>
      <c r="EX304">
        <v>637</v>
      </c>
      <c r="EY304">
        <v>2871</v>
      </c>
      <c r="EZ304">
        <v>203</v>
      </c>
      <c r="FA304">
        <v>187</v>
      </c>
      <c r="FB304">
        <v>102</v>
      </c>
      <c r="FC304">
        <v>651</v>
      </c>
      <c r="FD304">
        <v>2322</v>
      </c>
      <c r="FE304">
        <v>0</v>
      </c>
      <c r="FF304">
        <v>1624</v>
      </c>
      <c r="FG304">
        <v>0</v>
      </c>
      <c r="FH304">
        <v>8597</v>
      </c>
      <c r="FI304">
        <v>-319</v>
      </c>
      <c r="FJ304">
        <v>0</v>
      </c>
      <c r="FK304">
        <v>0</v>
      </c>
      <c r="FL304">
        <v>218</v>
      </c>
      <c r="FM304">
        <v>254</v>
      </c>
      <c r="FN304">
        <v>164</v>
      </c>
      <c r="FO304">
        <v>105</v>
      </c>
      <c r="FP304">
        <v>0</v>
      </c>
      <c r="FQ304">
        <v>0</v>
      </c>
      <c r="FR304">
        <v>28</v>
      </c>
      <c r="FS304">
        <v>485</v>
      </c>
      <c r="FT304">
        <v>692</v>
      </c>
      <c r="FU304">
        <v>220</v>
      </c>
      <c r="FV304">
        <v>168</v>
      </c>
      <c r="FW304">
        <v>66</v>
      </c>
      <c r="FX304">
        <v>300</v>
      </c>
      <c r="FY304">
        <v>0</v>
      </c>
      <c r="FZ304">
        <v>220</v>
      </c>
      <c r="GA304">
        <v>0</v>
      </c>
      <c r="GB304">
        <v>-14</v>
      </c>
      <c r="GC304">
        <v>-220</v>
      </c>
      <c r="GD304">
        <v>1246</v>
      </c>
      <c r="GE304">
        <v>3247</v>
      </c>
      <c r="GF304">
        <v>355</v>
      </c>
      <c r="GG304">
        <v>-1105</v>
      </c>
      <c r="GH304">
        <v>0</v>
      </c>
      <c r="GI304">
        <v>107</v>
      </c>
      <c r="GJ304">
        <v>0</v>
      </c>
      <c r="GK304">
        <v>6217</v>
      </c>
      <c r="GL304">
        <v>39</v>
      </c>
      <c r="GM304">
        <v>190</v>
      </c>
      <c r="GN304">
        <v>0</v>
      </c>
      <c r="GO304">
        <v>311</v>
      </c>
      <c r="GP304">
        <v>4</v>
      </c>
      <c r="GQ304">
        <v>897</v>
      </c>
      <c r="GR304">
        <v>0</v>
      </c>
      <c r="GS304">
        <v>-50</v>
      </c>
      <c r="GT304">
        <v>267</v>
      </c>
      <c r="GU304">
        <v>1658</v>
      </c>
      <c r="GV304">
        <v>16472</v>
      </c>
      <c r="GW304">
        <v>0</v>
      </c>
      <c r="GX304">
        <v>0</v>
      </c>
      <c r="GY304">
        <v>0</v>
      </c>
      <c r="GZ304">
        <v>0</v>
      </c>
      <c r="HA304">
        <v>0</v>
      </c>
      <c r="HB304">
        <v>4129</v>
      </c>
      <c r="HC304">
        <v>275</v>
      </c>
      <c r="HD304">
        <v>0</v>
      </c>
      <c r="HE304">
        <v>40</v>
      </c>
      <c r="HF304">
        <v>801</v>
      </c>
      <c r="HG304">
        <v>1087</v>
      </c>
      <c r="HH304">
        <v>0</v>
      </c>
      <c r="HI304">
        <v>0</v>
      </c>
      <c r="HJ304">
        <v>70</v>
      </c>
      <c r="HK304">
        <v>237</v>
      </c>
      <c r="HL304">
        <v>91</v>
      </c>
      <c r="HM304">
        <v>-83</v>
      </c>
      <c r="HN304">
        <v>0</v>
      </c>
      <c r="HO304">
        <v>392</v>
      </c>
      <c r="HP304">
        <v>0</v>
      </c>
      <c r="HQ304">
        <v>0</v>
      </c>
      <c r="HR304">
        <v>119</v>
      </c>
      <c r="HS304">
        <v>0</v>
      </c>
      <c r="HT304">
        <v>-7</v>
      </c>
      <c r="HU304">
        <v>-2462</v>
      </c>
      <c r="HV304">
        <v>4689</v>
      </c>
      <c r="HW304">
        <v>16970</v>
      </c>
      <c r="HX304">
        <v>0</v>
      </c>
      <c r="HY304">
        <v>0</v>
      </c>
      <c r="HZ304">
        <v>0</v>
      </c>
      <c r="IA304">
        <v>0</v>
      </c>
      <c r="IB304">
        <v>0</v>
      </c>
      <c r="IC304">
        <v>0</v>
      </c>
      <c r="ID304">
        <v>-4464</v>
      </c>
      <c r="IE304">
        <v>0</v>
      </c>
      <c r="IF304">
        <v>0</v>
      </c>
      <c r="IG304">
        <v>0</v>
      </c>
      <c r="IH304">
        <v>3254</v>
      </c>
      <c r="II304">
        <v>8597</v>
      </c>
      <c r="IJ304">
        <v>6217</v>
      </c>
      <c r="IK304">
        <v>1658</v>
      </c>
      <c r="IL304">
        <v>0</v>
      </c>
      <c r="IM304">
        <v>0</v>
      </c>
      <c r="IN304">
        <v>4689</v>
      </c>
      <c r="IO304">
        <v>0</v>
      </c>
      <c r="IP304">
        <v>19951</v>
      </c>
      <c r="IQ304">
        <v>24755</v>
      </c>
      <c r="IR304">
        <v>130</v>
      </c>
      <c r="IS304">
        <v>0</v>
      </c>
      <c r="IT304">
        <v>0</v>
      </c>
      <c r="IU304">
        <v>0</v>
      </c>
      <c r="IV304">
        <v>976</v>
      </c>
      <c r="IW304">
        <v>0</v>
      </c>
      <c r="IX304">
        <v>0</v>
      </c>
      <c r="IY304">
        <v>0</v>
      </c>
      <c r="IZ304">
        <v>29</v>
      </c>
      <c r="JA304">
        <v>-357</v>
      </c>
      <c r="JB304">
        <v>109</v>
      </c>
      <c r="JC304">
        <v>-1160</v>
      </c>
      <c r="JD304">
        <v>-24</v>
      </c>
      <c r="JE304">
        <v>-26</v>
      </c>
      <c r="JF304">
        <v>-8</v>
      </c>
      <c r="JG304">
        <v>44375</v>
      </c>
      <c r="JH304">
        <v>0</v>
      </c>
      <c r="JI304">
        <v>1156</v>
      </c>
      <c r="JJ304">
        <v>0</v>
      </c>
      <c r="JK304">
        <v>0</v>
      </c>
      <c r="JL304">
        <v>0</v>
      </c>
      <c r="JM304">
        <v>0</v>
      </c>
      <c r="JN304">
        <v>2411</v>
      </c>
      <c r="JO304">
        <v>2</v>
      </c>
      <c r="JP304">
        <v>875</v>
      </c>
      <c r="JQ304">
        <v>0</v>
      </c>
      <c r="JR304">
        <v>48819</v>
      </c>
      <c r="JS304">
        <v>-1201</v>
      </c>
      <c r="JT304">
        <v>0</v>
      </c>
      <c r="JU304">
        <v>0</v>
      </c>
      <c r="JV304">
        <v>0</v>
      </c>
      <c r="JW304">
        <v>-24803</v>
      </c>
      <c r="JX304">
        <v>0</v>
      </c>
      <c r="JY304">
        <v>0</v>
      </c>
      <c r="JZ304">
        <v>0</v>
      </c>
      <c r="KA304">
        <v>0</v>
      </c>
      <c r="KB304">
        <v>0</v>
      </c>
      <c r="KC304">
        <v>22815</v>
      </c>
      <c r="KD304">
        <v>0</v>
      </c>
      <c r="KE304">
        <v>-4403</v>
      </c>
      <c r="KF304">
        <v>18412</v>
      </c>
      <c r="KG304">
        <v>0</v>
      </c>
      <c r="KH304">
        <v>0</v>
      </c>
      <c r="KI304">
        <v>0</v>
      </c>
      <c r="KJ304">
        <v>0</v>
      </c>
      <c r="KK304">
        <v>-5626</v>
      </c>
      <c r="KL304">
        <v>1288</v>
      </c>
      <c r="KM304">
        <v>-50</v>
      </c>
      <c r="KN304">
        <v>0</v>
      </c>
      <c r="KO304">
        <v>2521</v>
      </c>
      <c r="KP304">
        <v>5</v>
      </c>
      <c r="KQ304">
        <v>0</v>
      </c>
      <c r="KR304">
        <v>10183</v>
      </c>
      <c r="KS304">
        <v>0</v>
      </c>
      <c r="KT304">
        <v>0</v>
      </c>
      <c r="KU304">
        <v>0</v>
      </c>
      <c r="KV304">
        <v>46515</v>
      </c>
      <c r="KW304">
        <v>4500</v>
      </c>
      <c r="KX304">
        <v>0</v>
      </c>
      <c r="KY304">
        <v>0</v>
      </c>
      <c r="KZ304">
        <v>0</v>
      </c>
      <c r="LA304">
        <v>40889</v>
      </c>
      <c r="LB304">
        <v>5788</v>
      </c>
      <c r="LC304">
        <v>0</v>
      </c>
      <c r="LD304">
        <v>7135</v>
      </c>
      <c r="LE304">
        <v>274</v>
      </c>
      <c r="LF304">
        <v>-574</v>
      </c>
      <c r="LG304">
        <v>-8460</v>
      </c>
      <c r="LH304">
        <v>1447</v>
      </c>
      <c r="LI304">
        <v>-178</v>
      </c>
      <c r="LJ304">
        <v>5733</v>
      </c>
      <c r="LK304">
        <v>4540</v>
      </c>
      <c r="LL304">
        <v>10273</v>
      </c>
      <c r="LM304">
        <v>0</v>
      </c>
      <c r="LN304">
        <v>0</v>
      </c>
      <c r="LO304">
        <v>0</v>
      </c>
      <c r="LP304">
        <v>0</v>
      </c>
      <c r="LQ304">
        <v>0</v>
      </c>
      <c r="LR304">
        <v>0</v>
      </c>
      <c r="LS304">
        <v>0</v>
      </c>
      <c r="LT304">
        <v>0</v>
      </c>
      <c r="LU304">
        <v>0</v>
      </c>
      <c r="LV304">
        <v>-4464</v>
      </c>
      <c r="LW304">
        <v>0</v>
      </c>
      <c r="LX304">
        <v>0</v>
      </c>
      <c r="LY304">
        <v>0</v>
      </c>
      <c r="LZ304">
        <v>3254</v>
      </c>
      <c r="MA304">
        <v>8597</v>
      </c>
      <c r="MB304">
        <v>6217</v>
      </c>
      <c r="MC304">
        <v>1658</v>
      </c>
      <c r="MD304">
        <v>0</v>
      </c>
      <c r="ME304">
        <v>0</v>
      </c>
      <c r="MF304">
        <v>4689</v>
      </c>
      <c r="MG304">
        <v>0</v>
      </c>
      <c r="MH304">
        <v>19951</v>
      </c>
      <c r="MI304">
        <v>0</v>
      </c>
      <c r="MJ304">
        <v>0</v>
      </c>
      <c r="MK304">
        <v>0</v>
      </c>
      <c r="ML304">
        <v>0</v>
      </c>
      <c r="MM304">
        <v>0</v>
      </c>
      <c r="MN304">
        <v>0</v>
      </c>
      <c r="MO304">
        <v>0</v>
      </c>
      <c r="MP304">
        <v>0</v>
      </c>
      <c r="MQ304">
        <v>0</v>
      </c>
      <c r="MR304">
        <v>0</v>
      </c>
      <c r="MS304">
        <v>0</v>
      </c>
      <c r="MT304">
        <v>0</v>
      </c>
      <c r="MU304">
        <v>0</v>
      </c>
      <c r="MV304">
        <v>0</v>
      </c>
      <c r="MW304">
        <v>0</v>
      </c>
      <c r="MX304">
        <v>0</v>
      </c>
      <c r="MY304">
        <v>0</v>
      </c>
      <c r="MZ304">
        <v>0</v>
      </c>
      <c r="NA304">
        <v>-1517</v>
      </c>
      <c r="NB304">
        <v>1160</v>
      </c>
      <c r="NC304">
        <v>-357</v>
      </c>
      <c r="ND304">
        <v>0</v>
      </c>
      <c r="NE304">
        <v>0</v>
      </c>
      <c r="NF304">
        <v>0</v>
      </c>
      <c r="NG304">
        <v>0</v>
      </c>
      <c r="NH304">
        <v>0</v>
      </c>
      <c r="NI304">
        <v>0</v>
      </c>
      <c r="NJ304">
        <v>0</v>
      </c>
      <c r="NK304">
        <v>0</v>
      </c>
      <c r="NL304">
        <v>0</v>
      </c>
      <c r="NM304">
        <v>0</v>
      </c>
      <c r="NN304">
        <v>0</v>
      </c>
      <c r="NO304">
        <v>85</v>
      </c>
      <c r="NP304">
        <v>0</v>
      </c>
      <c r="NQ304">
        <v>0</v>
      </c>
      <c r="NR304">
        <v>0</v>
      </c>
      <c r="NS304">
        <v>0</v>
      </c>
      <c r="NT304">
        <v>0</v>
      </c>
      <c r="NU304">
        <v>0</v>
      </c>
      <c r="NV304">
        <v>0</v>
      </c>
      <c r="NW304">
        <v>0</v>
      </c>
      <c r="NX304">
        <v>0</v>
      </c>
      <c r="NY304">
        <v>0</v>
      </c>
      <c r="NZ304">
        <v>85</v>
      </c>
      <c r="OA304">
        <v>24</v>
      </c>
      <c r="OB304">
        <v>109</v>
      </c>
      <c r="OC304">
        <v>210</v>
      </c>
      <c r="OD304">
        <v>0</v>
      </c>
      <c r="OE304">
        <v>950</v>
      </c>
      <c r="OF304">
        <v>0</v>
      </c>
      <c r="OG304">
        <v>0</v>
      </c>
      <c r="OH304">
        <v>1160</v>
      </c>
      <c r="OI304">
        <v>24</v>
      </c>
      <c r="OJ304">
        <v>0</v>
      </c>
      <c r="OK304">
        <v>0</v>
      </c>
      <c r="OL304">
        <v>0</v>
      </c>
      <c r="OM304">
        <v>0</v>
      </c>
      <c r="ON304">
        <v>24</v>
      </c>
    </row>
    <row r="305" spans="1:404" x14ac:dyDescent="0.25">
      <c r="A305" t="s">
        <v>985</v>
      </c>
      <c r="B305" t="s">
        <v>986</v>
      </c>
      <c r="C305" t="s">
        <v>984</v>
      </c>
      <c r="E305" t="s">
        <v>61</v>
      </c>
      <c r="F305">
        <v>0</v>
      </c>
      <c r="G305">
        <v>0</v>
      </c>
      <c r="H305">
        <v>0</v>
      </c>
      <c r="I305">
        <v>0</v>
      </c>
      <c r="J305">
        <v>0</v>
      </c>
      <c r="K305">
        <v>0</v>
      </c>
      <c r="L305">
        <v>0</v>
      </c>
      <c r="M305">
        <v>0</v>
      </c>
      <c r="N305">
        <v>0</v>
      </c>
      <c r="O305">
        <v>0</v>
      </c>
      <c r="P305">
        <v>0</v>
      </c>
      <c r="Q305">
        <v>0</v>
      </c>
      <c r="R305">
        <v>94</v>
      </c>
      <c r="S305">
        <v>9</v>
      </c>
      <c r="T305">
        <v>0</v>
      </c>
      <c r="U305">
        <v>1</v>
      </c>
      <c r="V305">
        <v>0</v>
      </c>
      <c r="W305">
        <v>0</v>
      </c>
      <c r="X305">
        <v>0</v>
      </c>
      <c r="Y305">
        <v>3</v>
      </c>
      <c r="Z305">
        <v>0</v>
      </c>
      <c r="AA305">
        <v>-644</v>
      </c>
      <c r="AB305">
        <v>0</v>
      </c>
      <c r="AC305">
        <v>0</v>
      </c>
      <c r="AD305">
        <v>0</v>
      </c>
      <c r="AE305">
        <v>0</v>
      </c>
      <c r="AF305">
        <v>0</v>
      </c>
      <c r="AG305">
        <v>-9</v>
      </c>
      <c r="AH305">
        <v>0</v>
      </c>
      <c r="AI305">
        <v>-546</v>
      </c>
      <c r="AJ305">
        <v>0</v>
      </c>
      <c r="AK305">
        <v>0</v>
      </c>
      <c r="AL305">
        <v>0</v>
      </c>
      <c r="AM305">
        <v>0</v>
      </c>
      <c r="AN305">
        <v>0</v>
      </c>
      <c r="AO305">
        <v>0</v>
      </c>
      <c r="AP305">
        <v>0</v>
      </c>
      <c r="AQ305">
        <v>0</v>
      </c>
      <c r="AR305">
        <v>0</v>
      </c>
      <c r="AS305">
        <v>0</v>
      </c>
      <c r="AT305">
        <v>0</v>
      </c>
      <c r="AU305">
        <v>0</v>
      </c>
      <c r="AV305">
        <v>0</v>
      </c>
      <c r="AW305">
        <v>0</v>
      </c>
      <c r="AX305">
        <v>0</v>
      </c>
      <c r="AY305">
        <v>0</v>
      </c>
      <c r="AZ305">
        <v>0</v>
      </c>
      <c r="BA305">
        <v>0</v>
      </c>
      <c r="BB305">
        <v>0</v>
      </c>
      <c r="BC305">
        <v>0</v>
      </c>
      <c r="BD305">
        <v>0</v>
      </c>
      <c r="BE305">
        <v>0</v>
      </c>
      <c r="BF305">
        <v>0</v>
      </c>
      <c r="BG305">
        <v>0</v>
      </c>
      <c r="BH305">
        <v>0</v>
      </c>
      <c r="BI305">
        <v>0</v>
      </c>
      <c r="BJ305">
        <v>0</v>
      </c>
      <c r="BK305">
        <v>0</v>
      </c>
      <c r="BL305">
        <v>0</v>
      </c>
      <c r="BM305">
        <v>0</v>
      </c>
      <c r="BN305">
        <v>0</v>
      </c>
      <c r="BO305">
        <v>0</v>
      </c>
      <c r="BP305">
        <v>0</v>
      </c>
      <c r="BQ305">
        <v>0</v>
      </c>
      <c r="BR305">
        <v>0</v>
      </c>
      <c r="BS305">
        <v>0</v>
      </c>
      <c r="BT305">
        <v>0</v>
      </c>
      <c r="BU305">
        <v>0</v>
      </c>
      <c r="BV305">
        <v>0</v>
      </c>
      <c r="BW305">
        <v>0</v>
      </c>
      <c r="BX305">
        <v>0</v>
      </c>
      <c r="BY305">
        <v>0</v>
      </c>
      <c r="BZ305">
        <v>0</v>
      </c>
      <c r="CA305">
        <v>0</v>
      </c>
      <c r="CB305">
        <v>0</v>
      </c>
      <c r="CC305">
        <v>0</v>
      </c>
      <c r="CD305">
        <v>0</v>
      </c>
      <c r="CE305">
        <v>0</v>
      </c>
      <c r="CF305">
        <v>0</v>
      </c>
      <c r="CG305">
        <v>0</v>
      </c>
      <c r="CH305">
        <v>0</v>
      </c>
      <c r="CI305">
        <v>0</v>
      </c>
      <c r="CJ305">
        <v>0</v>
      </c>
      <c r="CK305">
        <v>0</v>
      </c>
      <c r="CL305">
        <v>0</v>
      </c>
      <c r="CM305">
        <v>0</v>
      </c>
      <c r="CN305">
        <v>0</v>
      </c>
      <c r="CO305">
        <v>0</v>
      </c>
      <c r="CP305">
        <v>0</v>
      </c>
      <c r="CQ305">
        <v>0</v>
      </c>
      <c r="CR305">
        <v>0</v>
      </c>
      <c r="CS305">
        <v>0</v>
      </c>
      <c r="CT305">
        <v>0</v>
      </c>
      <c r="CU305">
        <v>0</v>
      </c>
      <c r="CV305">
        <v>0</v>
      </c>
      <c r="CW305">
        <v>0</v>
      </c>
      <c r="CX305">
        <v>0</v>
      </c>
      <c r="CY305">
        <v>0</v>
      </c>
      <c r="CZ305">
        <v>0</v>
      </c>
      <c r="DA305">
        <v>0</v>
      </c>
      <c r="DB305">
        <v>0</v>
      </c>
      <c r="DC305">
        <v>456</v>
      </c>
      <c r="DD305">
        <v>0</v>
      </c>
      <c r="DE305">
        <v>135</v>
      </c>
      <c r="DF305">
        <v>0</v>
      </c>
      <c r="DG305">
        <v>0</v>
      </c>
      <c r="DH305">
        <v>0</v>
      </c>
      <c r="DI305">
        <v>0</v>
      </c>
      <c r="DJ305">
        <v>46</v>
      </c>
      <c r="DK305">
        <v>0</v>
      </c>
      <c r="DL305">
        <v>5</v>
      </c>
      <c r="DM305">
        <v>0</v>
      </c>
      <c r="DN305">
        <v>559</v>
      </c>
      <c r="DO305">
        <v>711</v>
      </c>
      <c r="DP305">
        <v>1321</v>
      </c>
      <c r="DQ305">
        <v>288</v>
      </c>
      <c r="DR305">
        <v>0</v>
      </c>
      <c r="DS305">
        <v>0</v>
      </c>
      <c r="DT305">
        <v>355</v>
      </c>
      <c r="DU305">
        <v>0</v>
      </c>
      <c r="DV305">
        <v>0</v>
      </c>
      <c r="DW305">
        <v>140</v>
      </c>
      <c r="DX305">
        <v>2695</v>
      </c>
      <c r="DY305">
        <v>16414</v>
      </c>
      <c r="DZ305">
        <v>582</v>
      </c>
      <c r="EA305">
        <v>2409</v>
      </c>
      <c r="EB305">
        <v>162</v>
      </c>
      <c r="EC305">
        <v>0</v>
      </c>
      <c r="ED305">
        <v>217</v>
      </c>
      <c r="EE305">
        <v>0</v>
      </c>
      <c r="EF305">
        <v>0</v>
      </c>
      <c r="EG305">
        <v>0</v>
      </c>
      <c r="EH305">
        <v>3887</v>
      </c>
      <c r="EI305">
        <v>4645</v>
      </c>
      <c r="EJ305">
        <v>1160</v>
      </c>
      <c r="EK305">
        <v>387</v>
      </c>
      <c r="EL305">
        <v>0</v>
      </c>
      <c r="EM305">
        <v>1752</v>
      </c>
      <c r="EN305">
        <v>5171</v>
      </c>
      <c r="EO305">
        <v>0</v>
      </c>
      <c r="EP305">
        <v>0</v>
      </c>
      <c r="EQ305">
        <v>5015</v>
      </c>
      <c r="ER305">
        <v>-10</v>
      </c>
      <c r="ES305">
        <v>11572</v>
      </c>
      <c r="ET305">
        <v>9349</v>
      </c>
      <c r="EU305">
        <v>0</v>
      </c>
      <c r="EV305">
        <v>6</v>
      </c>
      <c r="EW305">
        <v>0</v>
      </c>
      <c r="EX305">
        <v>6</v>
      </c>
      <c r="EY305">
        <v>1</v>
      </c>
      <c r="EZ305">
        <v>-15</v>
      </c>
      <c r="FA305">
        <v>309</v>
      </c>
      <c r="FB305">
        <v>28</v>
      </c>
      <c r="FC305">
        <v>642</v>
      </c>
      <c r="FD305">
        <v>981</v>
      </c>
      <c r="FE305">
        <v>0</v>
      </c>
      <c r="FF305">
        <v>3</v>
      </c>
      <c r="FG305">
        <v>0</v>
      </c>
      <c r="FH305">
        <v>1961</v>
      </c>
      <c r="FI305">
        <v>85</v>
      </c>
      <c r="FJ305">
        <v>0</v>
      </c>
      <c r="FK305">
        <v>5</v>
      </c>
      <c r="FL305">
        <v>213</v>
      </c>
      <c r="FM305">
        <v>192</v>
      </c>
      <c r="FN305">
        <v>-24</v>
      </c>
      <c r="FO305">
        <v>129</v>
      </c>
      <c r="FP305">
        <v>0</v>
      </c>
      <c r="FQ305">
        <v>0</v>
      </c>
      <c r="FR305">
        <v>12</v>
      </c>
      <c r="FS305">
        <v>141</v>
      </c>
      <c r="FT305">
        <v>166</v>
      </c>
      <c r="FU305">
        <v>75</v>
      </c>
      <c r="FV305">
        <v>208</v>
      </c>
      <c r="FW305">
        <v>9</v>
      </c>
      <c r="FX305">
        <v>442</v>
      </c>
      <c r="FY305">
        <v>154</v>
      </c>
      <c r="FZ305">
        <v>0</v>
      </c>
      <c r="GA305">
        <v>1680</v>
      </c>
      <c r="GB305">
        <v>11</v>
      </c>
      <c r="GC305">
        <v>0</v>
      </c>
      <c r="GD305">
        <v>731</v>
      </c>
      <c r="GE305">
        <v>3530</v>
      </c>
      <c r="GF305">
        <v>0</v>
      </c>
      <c r="GG305">
        <v>0</v>
      </c>
      <c r="GH305">
        <v>0</v>
      </c>
      <c r="GI305">
        <v>0</v>
      </c>
      <c r="GJ305">
        <v>263</v>
      </c>
      <c r="GK305">
        <v>8022</v>
      </c>
      <c r="GL305">
        <v>279</v>
      </c>
      <c r="GM305">
        <v>481</v>
      </c>
      <c r="GN305">
        <v>0</v>
      </c>
      <c r="GO305">
        <v>479</v>
      </c>
      <c r="GP305">
        <v>35</v>
      </c>
      <c r="GQ305">
        <v>663</v>
      </c>
      <c r="GR305">
        <v>0</v>
      </c>
      <c r="GS305">
        <v>2892</v>
      </c>
      <c r="GT305">
        <v>772</v>
      </c>
      <c r="GU305">
        <v>5601</v>
      </c>
      <c r="GV305">
        <v>15584</v>
      </c>
      <c r="GW305">
        <v>0</v>
      </c>
      <c r="GX305">
        <v>0</v>
      </c>
      <c r="GY305">
        <v>0</v>
      </c>
      <c r="GZ305">
        <v>0</v>
      </c>
      <c r="HA305">
        <v>0</v>
      </c>
      <c r="HB305">
        <v>1648</v>
      </c>
      <c r="HC305">
        <v>693</v>
      </c>
      <c r="HD305">
        <v>0</v>
      </c>
      <c r="HE305">
        <v>22</v>
      </c>
      <c r="HF305">
        <v>232</v>
      </c>
      <c r="HG305">
        <v>232</v>
      </c>
      <c r="HH305">
        <v>0</v>
      </c>
      <c r="HI305">
        <v>0</v>
      </c>
      <c r="HJ305">
        <v>182</v>
      </c>
      <c r="HK305">
        <v>23</v>
      </c>
      <c r="HL305">
        <v>33</v>
      </c>
      <c r="HM305">
        <v>20</v>
      </c>
      <c r="HN305">
        <v>0</v>
      </c>
      <c r="HO305">
        <v>0</v>
      </c>
      <c r="HP305">
        <v>0</v>
      </c>
      <c r="HQ305">
        <v>0</v>
      </c>
      <c r="HR305">
        <v>1809</v>
      </c>
      <c r="HS305">
        <v>0</v>
      </c>
      <c r="HT305">
        <v>0</v>
      </c>
      <c r="HU305">
        <v>-1246</v>
      </c>
      <c r="HV305">
        <v>3648</v>
      </c>
      <c r="HW305">
        <v>13527</v>
      </c>
      <c r="HX305">
        <v>8891</v>
      </c>
      <c r="HY305">
        <v>0</v>
      </c>
      <c r="HZ305">
        <v>0</v>
      </c>
      <c r="IA305">
        <v>0</v>
      </c>
      <c r="IB305">
        <v>0</v>
      </c>
      <c r="IC305">
        <v>0</v>
      </c>
      <c r="ID305">
        <v>-546</v>
      </c>
      <c r="IE305">
        <v>0</v>
      </c>
      <c r="IF305">
        <v>0</v>
      </c>
      <c r="IG305">
        <v>0</v>
      </c>
      <c r="IH305">
        <v>2695</v>
      </c>
      <c r="II305">
        <v>1961</v>
      </c>
      <c r="IJ305">
        <v>8022</v>
      </c>
      <c r="IK305">
        <v>5601</v>
      </c>
      <c r="IL305">
        <v>0</v>
      </c>
      <c r="IM305">
        <v>0</v>
      </c>
      <c r="IN305">
        <v>3648</v>
      </c>
      <c r="IO305">
        <v>0</v>
      </c>
      <c r="IP305">
        <v>21381</v>
      </c>
      <c r="IQ305">
        <v>11345</v>
      </c>
      <c r="IR305">
        <v>103</v>
      </c>
      <c r="IS305">
        <v>6009</v>
      </c>
      <c r="IT305">
        <v>0</v>
      </c>
      <c r="IU305">
        <v>0</v>
      </c>
      <c r="IV305">
        <v>2916</v>
      </c>
      <c r="IW305">
        <v>0</v>
      </c>
      <c r="IX305">
        <v>0</v>
      </c>
      <c r="IY305">
        <v>0</v>
      </c>
      <c r="IZ305">
        <v>0</v>
      </c>
      <c r="JA305">
        <v>179</v>
      </c>
      <c r="JB305">
        <v>0</v>
      </c>
      <c r="JC305">
        <v>0</v>
      </c>
      <c r="JD305">
        <v>0</v>
      </c>
      <c r="JE305">
        <v>0</v>
      </c>
      <c r="JF305">
        <v>0</v>
      </c>
      <c r="JG305">
        <v>41933</v>
      </c>
      <c r="JH305">
        <v>0</v>
      </c>
      <c r="JI305">
        <v>1790</v>
      </c>
      <c r="JJ305">
        <v>0</v>
      </c>
      <c r="JK305">
        <v>0</v>
      </c>
      <c r="JL305">
        <v>0</v>
      </c>
      <c r="JM305">
        <v>-390</v>
      </c>
      <c r="JN305">
        <v>1355</v>
      </c>
      <c r="JO305">
        <v>0</v>
      </c>
      <c r="JP305">
        <v>333</v>
      </c>
      <c r="JQ305">
        <v>0</v>
      </c>
      <c r="JR305">
        <v>45021</v>
      </c>
      <c r="JS305">
        <v>-4753</v>
      </c>
      <c r="JT305">
        <v>0</v>
      </c>
      <c r="JU305">
        <v>4</v>
      </c>
      <c r="JV305">
        <v>0</v>
      </c>
      <c r="JW305">
        <v>-17490</v>
      </c>
      <c r="JX305">
        <v>0</v>
      </c>
      <c r="JY305">
        <v>0</v>
      </c>
      <c r="JZ305">
        <v>0</v>
      </c>
      <c r="KA305">
        <v>0</v>
      </c>
      <c r="KB305">
        <v>0</v>
      </c>
      <c r="KC305">
        <v>22782</v>
      </c>
      <c r="KD305">
        <v>0</v>
      </c>
      <c r="KE305">
        <v>-5414</v>
      </c>
      <c r="KF305">
        <v>17368</v>
      </c>
      <c r="KG305">
        <v>0</v>
      </c>
      <c r="KH305">
        <v>0</v>
      </c>
      <c r="KI305">
        <v>0</v>
      </c>
      <c r="KJ305">
        <v>0</v>
      </c>
      <c r="KK305">
        <v>-4134</v>
      </c>
      <c r="KL305">
        <v>0</v>
      </c>
      <c r="KM305">
        <v>-20</v>
      </c>
      <c r="KN305">
        <v>0</v>
      </c>
      <c r="KO305">
        <v>820</v>
      </c>
      <c r="KP305">
        <v>232</v>
      </c>
      <c r="KQ305">
        <v>0</v>
      </c>
      <c r="KR305">
        <v>9980</v>
      </c>
      <c r="KS305">
        <v>0</v>
      </c>
      <c r="KT305">
        <v>0</v>
      </c>
      <c r="KU305">
        <v>0</v>
      </c>
      <c r="KV305">
        <v>31157</v>
      </c>
      <c r="KW305">
        <v>1500</v>
      </c>
      <c r="KX305">
        <v>0</v>
      </c>
      <c r="KY305">
        <v>0</v>
      </c>
      <c r="KZ305">
        <v>0</v>
      </c>
      <c r="LA305">
        <v>27023</v>
      </c>
      <c r="LB305">
        <v>1500</v>
      </c>
      <c r="LC305">
        <v>0</v>
      </c>
      <c r="LD305">
        <v>606</v>
      </c>
      <c r="LE305">
        <v>1</v>
      </c>
      <c r="LF305">
        <v>1028</v>
      </c>
      <c r="LG305">
        <v>-1662</v>
      </c>
      <c r="LH305">
        <v>2220</v>
      </c>
      <c r="LI305">
        <v>2447</v>
      </c>
      <c r="LJ305">
        <v>3476</v>
      </c>
      <c r="LK305">
        <v>3759</v>
      </c>
      <c r="LL305">
        <v>7235</v>
      </c>
      <c r="LM305">
        <v>0</v>
      </c>
      <c r="LN305">
        <v>0</v>
      </c>
      <c r="LO305">
        <v>0</v>
      </c>
      <c r="LP305">
        <v>19784</v>
      </c>
      <c r="LQ305">
        <v>22007</v>
      </c>
      <c r="LR305">
        <v>-2223</v>
      </c>
      <c r="LS305">
        <v>11572</v>
      </c>
      <c r="LT305">
        <v>9349</v>
      </c>
      <c r="LU305">
        <v>0</v>
      </c>
      <c r="LV305">
        <v>-546</v>
      </c>
      <c r="LW305">
        <v>0</v>
      </c>
      <c r="LX305">
        <v>0</v>
      </c>
      <c r="LY305">
        <v>0</v>
      </c>
      <c r="LZ305">
        <v>2695</v>
      </c>
      <c r="MA305">
        <v>1961</v>
      </c>
      <c r="MB305">
        <v>8022</v>
      </c>
      <c r="MC305">
        <v>5601</v>
      </c>
      <c r="MD305">
        <v>0</v>
      </c>
      <c r="ME305">
        <v>0</v>
      </c>
      <c r="MF305">
        <v>3648</v>
      </c>
      <c r="MG305">
        <v>0</v>
      </c>
      <c r="MH305">
        <v>21381</v>
      </c>
      <c r="MI305">
        <v>0</v>
      </c>
      <c r="MJ305">
        <v>0</v>
      </c>
      <c r="MK305">
        <v>179</v>
      </c>
      <c r="ML305">
        <v>0</v>
      </c>
      <c r="MM305">
        <v>0</v>
      </c>
      <c r="MN305">
        <v>0</v>
      </c>
      <c r="MO305">
        <v>0</v>
      </c>
      <c r="MP305">
        <v>0</v>
      </c>
      <c r="MQ305">
        <v>0</v>
      </c>
      <c r="MR305">
        <v>0</v>
      </c>
      <c r="MS305">
        <v>0</v>
      </c>
      <c r="MT305">
        <v>0</v>
      </c>
      <c r="MU305">
        <v>0</v>
      </c>
      <c r="MV305">
        <v>0</v>
      </c>
      <c r="MW305">
        <v>0</v>
      </c>
      <c r="MX305">
        <v>0</v>
      </c>
      <c r="MY305">
        <v>0</v>
      </c>
      <c r="MZ305">
        <v>0</v>
      </c>
      <c r="NA305">
        <v>179</v>
      </c>
      <c r="NB305">
        <v>0</v>
      </c>
      <c r="NC305">
        <v>179</v>
      </c>
      <c r="ND305">
        <v>0</v>
      </c>
      <c r="NE305">
        <v>0</v>
      </c>
      <c r="NF305">
        <v>0</v>
      </c>
      <c r="NG305">
        <v>0</v>
      </c>
      <c r="NH305">
        <v>0</v>
      </c>
      <c r="NI305">
        <v>0</v>
      </c>
      <c r="NJ305">
        <v>0</v>
      </c>
      <c r="NK305">
        <v>0</v>
      </c>
      <c r="NL305">
        <v>0</v>
      </c>
      <c r="NM305">
        <v>0</v>
      </c>
      <c r="NN305">
        <v>0</v>
      </c>
      <c r="NO305">
        <v>0</v>
      </c>
      <c r="NP305">
        <v>0</v>
      </c>
      <c r="NQ305">
        <v>0</v>
      </c>
      <c r="NR305">
        <v>0</v>
      </c>
      <c r="NS305">
        <v>0</v>
      </c>
      <c r="NT305">
        <v>0</v>
      </c>
      <c r="NU305">
        <v>0</v>
      </c>
      <c r="NV305">
        <v>0</v>
      </c>
      <c r="NW305">
        <v>0</v>
      </c>
      <c r="NX305">
        <v>0</v>
      </c>
      <c r="NY305">
        <v>0</v>
      </c>
      <c r="NZ305">
        <v>0</v>
      </c>
      <c r="OA305">
        <v>0</v>
      </c>
      <c r="OB305">
        <v>0</v>
      </c>
      <c r="OC305">
        <v>0</v>
      </c>
      <c r="OD305">
        <v>0</v>
      </c>
      <c r="OE305">
        <v>0</v>
      </c>
      <c r="OF305">
        <v>0</v>
      </c>
      <c r="OG305">
        <v>0</v>
      </c>
      <c r="OH305">
        <v>0</v>
      </c>
      <c r="OI305">
        <v>0</v>
      </c>
      <c r="OJ305">
        <v>0</v>
      </c>
      <c r="OK305">
        <v>0</v>
      </c>
      <c r="OL305">
        <v>0</v>
      </c>
      <c r="OM305">
        <v>0</v>
      </c>
      <c r="ON305">
        <v>0</v>
      </c>
    </row>
    <row r="306" spans="1:404" x14ac:dyDescent="0.25">
      <c r="A306" t="s">
        <v>988</v>
      </c>
      <c r="B306" t="s">
        <v>989</v>
      </c>
      <c r="C306" t="s">
        <v>987</v>
      </c>
      <c r="E306" t="s">
        <v>97</v>
      </c>
      <c r="F306">
        <v>12339</v>
      </c>
      <c r="G306">
        <v>109125</v>
      </c>
      <c r="H306">
        <v>36648</v>
      </c>
      <c r="I306">
        <v>25562</v>
      </c>
      <c r="J306">
        <v>2669</v>
      </c>
      <c r="K306">
        <v>12855</v>
      </c>
      <c r="L306">
        <v>199198</v>
      </c>
      <c r="M306">
        <v>-1085</v>
      </c>
      <c r="N306">
        <v>0</v>
      </c>
      <c r="O306">
        <v>643</v>
      </c>
      <c r="P306">
        <v>1017</v>
      </c>
      <c r="Q306">
        <v>210</v>
      </c>
      <c r="R306">
        <v>422</v>
      </c>
      <c r="S306">
        <v>3119</v>
      </c>
      <c r="T306">
        <v>980</v>
      </c>
      <c r="U306">
        <v>2496</v>
      </c>
      <c r="V306">
        <v>0</v>
      </c>
      <c r="W306">
        <v>0</v>
      </c>
      <c r="X306">
        <v>618</v>
      </c>
      <c r="Y306">
        <v>704</v>
      </c>
      <c r="Z306">
        <v>-958</v>
      </c>
      <c r="AA306">
        <v>-422</v>
      </c>
      <c r="AB306">
        <v>0</v>
      </c>
      <c r="AC306">
        <v>0</v>
      </c>
      <c r="AD306">
        <v>0</v>
      </c>
      <c r="AE306">
        <v>0</v>
      </c>
      <c r="AF306">
        <v>0</v>
      </c>
      <c r="AG306">
        <v>0</v>
      </c>
      <c r="AH306">
        <v>0</v>
      </c>
      <c r="AI306">
        <v>7744</v>
      </c>
      <c r="AJ306">
        <v>0</v>
      </c>
      <c r="AK306">
        <v>0</v>
      </c>
      <c r="AL306">
        <v>0</v>
      </c>
      <c r="AM306">
        <v>0</v>
      </c>
      <c r="AN306">
        <v>0</v>
      </c>
      <c r="AO306">
        <v>0</v>
      </c>
      <c r="AP306">
        <v>0</v>
      </c>
      <c r="AQ306">
        <v>378</v>
      </c>
      <c r="AR306">
        <v>1166</v>
      </c>
      <c r="AS306">
        <v>0</v>
      </c>
      <c r="AT306">
        <v>0</v>
      </c>
      <c r="AU306">
        <v>0</v>
      </c>
      <c r="AV306">
        <v>229</v>
      </c>
      <c r="AW306">
        <v>40108</v>
      </c>
      <c r="AX306">
        <v>386</v>
      </c>
      <c r="AY306">
        <v>15627</v>
      </c>
      <c r="AZ306">
        <v>754</v>
      </c>
      <c r="BA306">
        <v>11391</v>
      </c>
      <c r="BB306">
        <v>197</v>
      </c>
      <c r="BC306">
        <v>596</v>
      </c>
      <c r="BD306">
        <v>69286</v>
      </c>
      <c r="BE306">
        <v>7707</v>
      </c>
      <c r="BF306">
        <v>21483</v>
      </c>
      <c r="BG306">
        <v>105</v>
      </c>
      <c r="BH306">
        <v>269</v>
      </c>
      <c r="BI306">
        <v>525</v>
      </c>
      <c r="BJ306">
        <v>6157</v>
      </c>
      <c r="BK306">
        <v>23118</v>
      </c>
      <c r="BL306">
        <v>3482</v>
      </c>
      <c r="BM306">
        <v>6161</v>
      </c>
      <c r="BN306">
        <v>4039</v>
      </c>
      <c r="BO306">
        <v>55</v>
      </c>
      <c r="BP306">
        <v>0</v>
      </c>
      <c r="BQ306">
        <v>457</v>
      </c>
      <c r="BR306">
        <v>2482</v>
      </c>
      <c r="BS306">
        <v>342</v>
      </c>
      <c r="BT306">
        <v>9662</v>
      </c>
      <c r="BU306">
        <v>843</v>
      </c>
      <c r="BV306">
        <v>6370</v>
      </c>
      <c r="BW306">
        <v>101721</v>
      </c>
      <c r="BX306">
        <v>1039</v>
      </c>
      <c r="BY306">
        <v>1039</v>
      </c>
      <c r="BZ306">
        <v>1039</v>
      </c>
      <c r="CA306">
        <v>63</v>
      </c>
      <c r="CB306">
        <v>279</v>
      </c>
      <c r="CC306">
        <v>61</v>
      </c>
      <c r="CD306">
        <v>61</v>
      </c>
      <c r="CE306">
        <v>710</v>
      </c>
      <c r="CF306">
        <v>553</v>
      </c>
      <c r="CG306">
        <v>709</v>
      </c>
      <c r="CH306">
        <v>552</v>
      </c>
      <c r="CI306">
        <v>1194</v>
      </c>
      <c r="CJ306">
        <v>1194</v>
      </c>
      <c r="CK306">
        <v>1015</v>
      </c>
      <c r="CL306">
        <v>1015</v>
      </c>
      <c r="CM306">
        <v>417</v>
      </c>
      <c r="CN306">
        <v>872</v>
      </c>
      <c r="CO306">
        <v>218</v>
      </c>
      <c r="CP306">
        <v>3149</v>
      </c>
      <c r="CQ306">
        <v>3000</v>
      </c>
      <c r="CR306">
        <v>2039</v>
      </c>
      <c r="CS306">
        <v>61</v>
      </c>
      <c r="CT306">
        <v>1050</v>
      </c>
      <c r="CU306">
        <v>677</v>
      </c>
      <c r="CV306">
        <v>26496</v>
      </c>
      <c r="CW306">
        <v>0</v>
      </c>
      <c r="CX306">
        <v>0</v>
      </c>
      <c r="CY306">
        <v>0</v>
      </c>
      <c r="CZ306">
        <v>0</v>
      </c>
      <c r="DA306">
        <v>0</v>
      </c>
      <c r="DB306">
        <v>0</v>
      </c>
      <c r="DC306">
        <v>537</v>
      </c>
      <c r="DD306">
        <v>0</v>
      </c>
      <c r="DE306">
        <v>45</v>
      </c>
      <c r="DF306">
        <v>464</v>
      </c>
      <c r="DG306">
        <v>0</v>
      </c>
      <c r="DH306">
        <v>0</v>
      </c>
      <c r="DI306">
        <v>87</v>
      </c>
      <c r="DJ306">
        <v>125</v>
      </c>
      <c r="DK306">
        <v>0</v>
      </c>
      <c r="DL306">
        <v>0</v>
      </c>
      <c r="DM306">
        <v>0</v>
      </c>
      <c r="DN306">
        <v>1528</v>
      </c>
      <c r="DO306">
        <v>0</v>
      </c>
      <c r="DP306">
        <v>1740</v>
      </c>
      <c r="DQ306">
        <v>699</v>
      </c>
      <c r="DR306">
        <v>0</v>
      </c>
      <c r="DS306">
        <v>0</v>
      </c>
      <c r="DT306">
        <v>2431</v>
      </c>
      <c r="DU306">
        <v>-725</v>
      </c>
      <c r="DV306">
        <v>1520</v>
      </c>
      <c r="DW306">
        <v>401</v>
      </c>
      <c r="DX306">
        <v>7112</v>
      </c>
      <c r="DY306">
        <v>0</v>
      </c>
      <c r="DZ306">
        <v>0</v>
      </c>
      <c r="EA306">
        <v>0</v>
      </c>
      <c r="EB306">
        <v>0</v>
      </c>
      <c r="EC306">
        <v>0</v>
      </c>
      <c r="ED306">
        <v>0</v>
      </c>
      <c r="EE306">
        <v>0</v>
      </c>
      <c r="EF306">
        <v>0</v>
      </c>
      <c r="EG306">
        <v>0</v>
      </c>
      <c r="EH306">
        <v>0</v>
      </c>
      <c r="EI306">
        <v>0</v>
      </c>
      <c r="EJ306">
        <v>0</v>
      </c>
      <c r="EK306">
        <v>0</v>
      </c>
      <c r="EL306">
        <v>0</v>
      </c>
      <c r="EM306">
        <v>0</v>
      </c>
      <c r="EN306">
        <v>0</v>
      </c>
      <c r="EO306">
        <v>0</v>
      </c>
      <c r="EP306">
        <v>0</v>
      </c>
      <c r="EQ306">
        <v>0</v>
      </c>
      <c r="ER306">
        <v>0</v>
      </c>
      <c r="ES306">
        <v>0</v>
      </c>
      <c r="ET306">
        <v>0</v>
      </c>
      <c r="EU306">
        <v>0</v>
      </c>
      <c r="EV306">
        <v>91</v>
      </c>
      <c r="EW306">
        <v>0</v>
      </c>
      <c r="EX306">
        <v>20</v>
      </c>
      <c r="EY306">
        <v>2054</v>
      </c>
      <c r="EZ306">
        <v>95</v>
      </c>
      <c r="FA306">
        <v>-66</v>
      </c>
      <c r="FB306">
        <v>2241</v>
      </c>
      <c r="FC306">
        <v>1515</v>
      </c>
      <c r="FD306">
        <v>2632</v>
      </c>
      <c r="FE306">
        <v>11</v>
      </c>
      <c r="FF306">
        <v>574</v>
      </c>
      <c r="FG306">
        <v>1579</v>
      </c>
      <c r="FH306">
        <v>10746</v>
      </c>
      <c r="FI306">
        <v>-1296</v>
      </c>
      <c r="FJ306">
        <v>384</v>
      </c>
      <c r="FK306">
        <v>0</v>
      </c>
      <c r="FL306">
        <v>623</v>
      </c>
      <c r="FM306">
        <v>1208</v>
      </c>
      <c r="FN306">
        <v>1669</v>
      </c>
      <c r="FO306">
        <v>0</v>
      </c>
      <c r="FP306">
        <v>0</v>
      </c>
      <c r="FQ306">
        <v>0</v>
      </c>
      <c r="FR306">
        <v>206</v>
      </c>
      <c r="FS306">
        <v>67</v>
      </c>
      <c r="FT306">
        <v>114</v>
      </c>
      <c r="FU306">
        <v>76</v>
      </c>
      <c r="FV306">
        <v>536</v>
      </c>
      <c r="FW306">
        <v>501</v>
      </c>
      <c r="FX306">
        <v>0</v>
      </c>
      <c r="FY306">
        <v>0</v>
      </c>
      <c r="FZ306">
        <v>186</v>
      </c>
      <c r="GA306">
        <v>0</v>
      </c>
      <c r="GB306">
        <v>1374</v>
      </c>
      <c r="GC306">
        <v>0</v>
      </c>
      <c r="GD306">
        <v>4307</v>
      </c>
      <c r="GE306">
        <v>7340</v>
      </c>
      <c r="GF306">
        <v>0</v>
      </c>
      <c r="GG306">
        <v>-534</v>
      </c>
      <c r="GH306">
        <v>-717</v>
      </c>
      <c r="GI306">
        <v>0</v>
      </c>
      <c r="GJ306">
        <v>0</v>
      </c>
      <c r="GK306">
        <v>16044</v>
      </c>
      <c r="GL306">
        <v>256</v>
      </c>
      <c r="GM306">
        <v>673</v>
      </c>
      <c r="GN306">
        <v>0</v>
      </c>
      <c r="GO306">
        <v>498</v>
      </c>
      <c r="GP306">
        <v>242</v>
      </c>
      <c r="GQ306">
        <v>4080</v>
      </c>
      <c r="GR306">
        <v>0</v>
      </c>
      <c r="GS306">
        <v>581</v>
      </c>
      <c r="GT306">
        <v>2456</v>
      </c>
      <c r="GU306">
        <v>8786</v>
      </c>
      <c r="GV306">
        <v>35576</v>
      </c>
      <c r="GW306">
        <v>0</v>
      </c>
      <c r="GX306">
        <v>0</v>
      </c>
      <c r="GY306">
        <v>0</v>
      </c>
      <c r="GZ306">
        <v>0</v>
      </c>
      <c r="HA306">
        <v>0</v>
      </c>
      <c r="HB306">
        <v>5867</v>
      </c>
      <c r="HC306">
        <v>1143</v>
      </c>
      <c r="HD306">
        <v>0</v>
      </c>
      <c r="HE306">
        <v>0</v>
      </c>
      <c r="HF306">
        <v>368</v>
      </c>
      <c r="HG306">
        <v>-133</v>
      </c>
      <c r="HH306">
        <v>0</v>
      </c>
      <c r="HI306">
        <v>-60</v>
      </c>
      <c r="HJ306">
        <v>359</v>
      </c>
      <c r="HK306">
        <v>707</v>
      </c>
      <c r="HL306">
        <v>0</v>
      </c>
      <c r="HM306">
        <v>0</v>
      </c>
      <c r="HN306">
        <v>0</v>
      </c>
      <c r="HO306">
        <v>0</v>
      </c>
      <c r="HP306">
        <v>551</v>
      </c>
      <c r="HQ306">
        <v>0</v>
      </c>
      <c r="HR306">
        <v>8</v>
      </c>
      <c r="HS306">
        <v>745</v>
      </c>
      <c r="HT306">
        <v>0</v>
      </c>
      <c r="HU306">
        <v>781</v>
      </c>
      <c r="HV306">
        <v>10336</v>
      </c>
      <c r="HW306">
        <v>8564</v>
      </c>
      <c r="HX306">
        <v>28172</v>
      </c>
      <c r="HY306">
        <v>0</v>
      </c>
      <c r="HZ306">
        <v>634</v>
      </c>
      <c r="IA306">
        <v>315</v>
      </c>
      <c r="IB306">
        <v>159</v>
      </c>
      <c r="IC306">
        <v>199198</v>
      </c>
      <c r="ID306">
        <v>7744</v>
      </c>
      <c r="IE306">
        <v>69286</v>
      </c>
      <c r="IF306">
        <v>101721</v>
      </c>
      <c r="IG306">
        <v>26496</v>
      </c>
      <c r="IH306">
        <v>7112</v>
      </c>
      <c r="II306">
        <v>10746</v>
      </c>
      <c r="IJ306">
        <v>16044</v>
      </c>
      <c r="IK306">
        <v>8786</v>
      </c>
      <c r="IL306">
        <v>0</v>
      </c>
      <c r="IM306">
        <v>0</v>
      </c>
      <c r="IN306">
        <v>10336</v>
      </c>
      <c r="IO306">
        <v>159</v>
      </c>
      <c r="IP306">
        <v>457629</v>
      </c>
      <c r="IQ306">
        <v>64575</v>
      </c>
      <c r="IR306">
        <v>138</v>
      </c>
      <c r="IS306">
        <v>0</v>
      </c>
      <c r="IT306">
        <v>0</v>
      </c>
      <c r="IU306">
        <v>0</v>
      </c>
      <c r="IV306">
        <v>1208</v>
      </c>
      <c r="IW306">
        <v>18828</v>
      </c>
      <c r="IX306">
        <v>15511</v>
      </c>
      <c r="IY306">
        <v>0</v>
      </c>
      <c r="IZ306">
        <v>69</v>
      </c>
      <c r="JA306">
        <v>624</v>
      </c>
      <c r="JB306">
        <v>510</v>
      </c>
      <c r="JC306">
        <v>0</v>
      </c>
      <c r="JD306">
        <v>0</v>
      </c>
      <c r="JE306">
        <v>0</v>
      </c>
      <c r="JF306">
        <v>-3544</v>
      </c>
      <c r="JG306">
        <v>555549</v>
      </c>
      <c r="JH306">
        <v>160</v>
      </c>
      <c r="JI306">
        <v>302</v>
      </c>
      <c r="JJ306">
        <v>0</v>
      </c>
      <c r="JK306">
        <v>0</v>
      </c>
      <c r="JL306">
        <v>0</v>
      </c>
      <c r="JM306">
        <v>892</v>
      </c>
      <c r="JN306">
        <v>6160</v>
      </c>
      <c r="JO306">
        <v>0</v>
      </c>
      <c r="JP306">
        <v>6655</v>
      </c>
      <c r="JQ306">
        <v>0</v>
      </c>
      <c r="JR306">
        <v>569718</v>
      </c>
      <c r="JS306">
        <v>-326</v>
      </c>
      <c r="JT306">
        <v>0</v>
      </c>
      <c r="JU306">
        <v>59</v>
      </c>
      <c r="JV306">
        <v>0</v>
      </c>
      <c r="JW306">
        <v>-71633</v>
      </c>
      <c r="JX306">
        <v>0</v>
      </c>
      <c r="JY306">
        <v>0</v>
      </c>
      <c r="JZ306">
        <v>0</v>
      </c>
      <c r="KA306">
        <v>0</v>
      </c>
      <c r="KB306">
        <v>-4482</v>
      </c>
      <c r="KC306">
        <v>493335</v>
      </c>
      <c r="KD306">
        <v>-105</v>
      </c>
      <c r="KE306">
        <v>-251615</v>
      </c>
      <c r="KF306">
        <v>241615</v>
      </c>
      <c r="KG306">
        <v>0</v>
      </c>
      <c r="KH306">
        <v>2612</v>
      </c>
      <c r="KI306">
        <v>0</v>
      </c>
      <c r="KJ306">
        <v>0</v>
      </c>
      <c r="KK306">
        <v>-17062</v>
      </c>
      <c r="KL306">
        <v>3521</v>
      </c>
      <c r="KM306">
        <v>0</v>
      </c>
      <c r="KN306">
        <v>0</v>
      </c>
      <c r="KO306">
        <v>-60946</v>
      </c>
      <c r="KP306">
        <v>1483</v>
      </c>
      <c r="KQ306">
        <v>0</v>
      </c>
      <c r="KR306">
        <v>143037</v>
      </c>
      <c r="KS306">
        <v>15676</v>
      </c>
      <c r="KT306">
        <v>0</v>
      </c>
      <c r="KU306">
        <v>392</v>
      </c>
      <c r="KV306">
        <v>97922</v>
      </c>
      <c r="KW306">
        <v>11278</v>
      </c>
      <c r="KX306">
        <v>18288</v>
      </c>
      <c r="KY306">
        <v>0</v>
      </c>
      <c r="KZ306">
        <v>392</v>
      </c>
      <c r="LA306">
        <v>80860</v>
      </c>
      <c r="LB306">
        <v>14799</v>
      </c>
      <c r="LC306">
        <v>0</v>
      </c>
      <c r="LD306">
        <v>20619</v>
      </c>
      <c r="LE306">
        <v>636</v>
      </c>
      <c r="LF306">
        <v>-1686</v>
      </c>
      <c r="LG306">
        <v>-22622</v>
      </c>
      <c r="LH306">
        <v>3708</v>
      </c>
      <c r="LI306">
        <v>-2421</v>
      </c>
      <c r="LJ306">
        <v>12020</v>
      </c>
      <c r="LK306">
        <v>13823</v>
      </c>
      <c r="LL306">
        <v>25843</v>
      </c>
      <c r="LM306">
        <v>0</v>
      </c>
      <c r="LN306">
        <v>0</v>
      </c>
      <c r="LO306">
        <v>0</v>
      </c>
      <c r="LP306">
        <v>0</v>
      </c>
      <c r="LQ306">
        <v>0</v>
      </c>
      <c r="LR306">
        <v>0</v>
      </c>
      <c r="LS306">
        <v>0</v>
      </c>
      <c r="LT306">
        <v>0</v>
      </c>
      <c r="LU306">
        <v>199198</v>
      </c>
      <c r="LV306">
        <v>7744</v>
      </c>
      <c r="LW306">
        <v>69286</v>
      </c>
      <c r="LX306">
        <v>101721</v>
      </c>
      <c r="LY306">
        <v>26496</v>
      </c>
      <c r="LZ306">
        <v>7112</v>
      </c>
      <c r="MA306">
        <v>10746</v>
      </c>
      <c r="MB306">
        <v>16044</v>
      </c>
      <c r="MC306">
        <v>8786</v>
      </c>
      <c r="MD306">
        <v>0</v>
      </c>
      <c r="ME306">
        <v>0</v>
      </c>
      <c r="MF306">
        <v>10336</v>
      </c>
      <c r="MG306">
        <v>159</v>
      </c>
      <c r="MH306">
        <v>457629</v>
      </c>
      <c r="MI306">
        <v>0</v>
      </c>
      <c r="MJ306">
        <v>0</v>
      </c>
      <c r="MK306">
        <v>0</v>
      </c>
      <c r="ML306">
        <v>0</v>
      </c>
      <c r="MM306">
        <v>0</v>
      </c>
      <c r="MN306">
        <v>0</v>
      </c>
      <c r="MO306">
        <v>0</v>
      </c>
      <c r="MP306">
        <v>0</v>
      </c>
      <c r="MQ306">
        <v>0</v>
      </c>
      <c r="MR306">
        <v>0</v>
      </c>
      <c r="MS306">
        <v>0</v>
      </c>
      <c r="MT306">
        <v>0</v>
      </c>
      <c r="MU306">
        <v>0</v>
      </c>
      <c r="MV306">
        <v>0</v>
      </c>
      <c r="MW306">
        <v>0</v>
      </c>
      <c r="MX306">
        <v>0</v>
      </c>
      <c r="MY306">
        <v>498</v>
      </c>
      <c r="MZ306">
        <v>126</v>
      </c>
      <c r="NA306">
        <v>624</v>
      </c>
      <c r="NB306">
        <v>0</v>
      </c>
      <c r="NC306">
        <v>624</v>
      </c>
      <c r="ND306">
        <v>0</v>
      </c>
      <c r="NE306">
        <v>0</v>
      </c>
      <c r="NF306">
        <v>0</v>
      </c>
      <c r="NG306">
        <v>0</v>
      </c>
      <c r="NH306">
        <v>0</v>
      </c>
      <c r="NI306">
        <v>0</v>
      </c>
      <c r="NJ306">
        <v>0</v>
      </c>
      <c r="NK306">
        <v>0</v>
      </c>
      <c r="NL306">
        <v>0</v>
      </c>
      <c r="NM306">
        <v>0</v>
      </c>
      <c r="NN306">
        <v>182</v>
      </c>
      <c r="NO306">
        <v>0</v>
      </c>
      <c r="NP306">
        <v>0</v>
      </c>
      <c r="NQ306">
        <v>6</v>
      </c>
      <c r="NR306">
        <v>172</v>
      </c>
      <c r="NS306">
        <v>0</v>
      </c>
      <c r="NT306">
        <v>168</v>
      </c>
      <c r="NU306">
        <v>0</v>
      </c>
      <c r="NV306">
        <v>0</v>
      </c>
      <c r="NW306">
        <v>0</v>
      </c>
      <c r="NX306">
        <v>0</v>
      </c>
      <c r="NY306">
        <v>0</v>
      </c>
      <c r="NZ306">
        <v>510</v>
      </c>
      <c r="OA306">
        <v>0</v>
      </c>
      <c r="OB306">
        <v>510</v>
      </c>
      <c r="OC306">
        <v>0</v>
      </c>
      <c r="OD306">
        <v>0</v>
      </c>
      <c r="OE306">
        <v>0</v>
      </c>
      <c r="OF306">
        <v>0</v>
      </c>
      <c r="OG306">
        <v>0</v>
      </c>
      <c r="OH306">
        <v>0</v>
      </c>
      <c r="OI306">
        <v>0</v>
      </c>
      <c r="OJ306">
        <v>0</v>
      </c>
      <c r="OK306">
        <v>0</v>
      </c>
      <c r="OL306">
        <v>0</v>
      </c>
      <c r="OM306">
        <v>0</v>
      </c>
      <c r="ON306">
        <v>0</v>
      </c>
    </row>
    <row r="307" spans="1:404" x14ac:dyDescent="0.25">
      <c r="A307" t="s">
        <v>991</v>
      </c>
      <c r="B307" t="s">
        <v>992</v>
      </c>
      <c r="C307" t="s">
        <v>990</v>
      </c>
      <c r="E307" t="s">
        <v>61</v>
      </c>
      <c r="F307">
        <v>0</v>
      </c>
      <c r="G307">
        <v>0</v>
      </c>
      <c r="H307">
        <v>0</v>
      </c>
      <c r="I307">
        <v>0</v>
      </c>
      <c r="J307">
        <v>0</v>
      </c>
      <c r="K307">
        <v>0</v>
      </c>
      <c r="L307">
        <v>0</v>
      </c>
      <c r="M307">
        <v>0</v>
      </c>
      <c r="N307">
        <v>0</v>
      </c>
      <c r="O307">
        <v>0</v>
      </c>
      <c r="P307">
        <v>0</v>
      </c>
      <c r="Q307">
        <v>0</v>
      </c>
      <c r="R307">
        <v>0</v>
      </c>
      <c r="S307">
        <v>0</v>
      </c>
      <c r="T307">
        <v>0</v>
      </c>
      <c r="U307">
        <v>0</v>
      </c>
      <c r="V307">
        <v>0</v>
      </c>
      <c r="W307">
        <v>0</v>
      </c>
      <c r="X307">
        <v>0</v>
      </c>
      <c r="Y307">
        <v>0</v>
      </c>
      <c r="Z307">
        <v>-117</v>
      </c>
      <c r="AA307">
        <v>0</v>
      </c>
      <c r="AB307">
        <v>2</v>
      </c>
      <c r="AC307">
        <v>0</v>
      </c>
      <c r="AD307">
        <v>0</v>
      </c>
      <c r="AE307">
        <v>0</v>
      </c>
      <c r="AF307">
        <v>0</v>
      </c>
      <c r="AG307">
        <v>6</v>
      </c>
      <c r="AH307">
        <v>0</v>
      </c>
      <c r="AI307">
        <v>-109</v>
      </c>
      <c r="AJ307">
        <v>0</v>
      </c>
      <c r="AK307">
        <v>0</v>
      </c>
      <c r="AL307">
        <v>0</v>
      </c>
      <c r="AM307">
        <v>0</v>
      </c>
      <c r="AN307">
        <v>0</v>
      </c>
      <c r="AO307">
        <v>0</v>
      </c>
      <c r="AP307">
        <v>0</v>
      </c>
      <c r="AQ307">
        <v>0</v>
      </c>
      <c r="AR307">
        <v>293</v>
      </c>
      <c r="AS307">
        <v>0</v>
      </c>
      <c r="AT307">
        <v>0</v>
      </c>
      <c r="AU307">
        <v>0</v>
      </c>
      <c r="AV307">
        <v>0</v>
      </c>
      <c r="AW307">
        <v>0</v>
      </c>
      <c r="AX307">
        <v>0</v>
      </c>
      <c r="AY307">
        <v>0</v>
      </c>
      <c r="AZ307">
        <v>0</v>
      </c>
      <c r="BA307">
        <v>0</v>
      </c>
      <c r="BB307">
        <v>0</v>
      </c>
      <c r="BC307">
        <v>0</v>
      </c>
      <c r="BD307">
        <v>0</v>
      </c>
      <c r="BE307">
        <v>0</v>
      </c>
      <c r="BF307">
        <v>0</v>
      </c>
      <c r="BG307">
        <v>0</v>
      </c>
      <c r="BH307">
        <v>0</v>
      </c>
      <c r="BI307">
        <v>0</v>
      </c>
      <c r="BJ307">
        <v>0</v>
      </c>
      <c r="BK307">
        <v>0</v>
      </c>
      <c r="BL307">
        <v>0</v>
      </c>
      <c r="BM307">
        <v>0</v>
      </c>
      <c r="BN307">
        <v>0</v>
      </c>
      <c r="BO307">
        <v>0</v>
      </c>
      <c r="BP307">
        <v>0</v>
      </c>
      <c r="BQ307">
        <v>0</v>
      </c>
      <c r="BR307">
        <v>0</v>
      </c>
      <c r="BS307">
        <v>0</v>
      </c>
      <c r="BT307">
        <v>0</v>
      </c>
      <c r="BU307">
        <v>0</v>
      </c>
      <c r="BV307">
        <v>0</v>
      </c>
      <c r="BW307">
        <v>0</v>
      </c>
      <c r="BX307">
        <v>0</v>
      </c>
      <c r="BY307">
        <v>0</v>
      </c>
      <c r="BZ307">
        <v>0</v>
      </c>
      <c r="CA307">
        <v>0</v>
      </c>
      <c r="CB307">
        <v>0</v>
      </c>
      <c r="CC307">
        <v>0</v>
      </c>
      <c r="CD307">
        <v>0</v>
      </c>
      <c r="CE307">
        <v>0</v>
      </c>
      <c r="CF307">
        <v>0</v>
      </c>
      <c r="CG307">
        <v>0</v>
      </c>
      <c r="CH307">
        <v>0</v>
      </c>
      <c r="CI307">
        <v>0</v>
      </c>
      <c r="CJ307">
        <v>0</v>
      </c>
      <c r="CK307">
        <v>0</v>
      </c>
      <c r="CL307">
        <v>0</v>
      </c>
      <c r="CM307">
        <v>0</v>
      </c>
      <c r="CN307">
        <v>0</v>
      </c>
      <c r="CO307">
        <v>0</v>
      </c>
      <c r="CP307">
        <v>0</v>
      </c>
      <c r="CQ307">
        <v>0</v>
      </c>
      <c r="CR307">
        <v>0</v>
      </c>
      <c r="CS307">
        <v>0</v>
      </c>
      <c r="CT307">
        <v>0</v>
      </c>
      <c r="CU307">
        <v>0</v>
      </c>
      <c r="CV307">
        <v>0</v>
      </c>
      <c r="CW307">
        <v>0</v>
      </c>
      <c r="CX307">
        <v>0</v>
      </c>
      <c r="CY307">
        <v>0</v>
      </c>
      <c r="CZ307">
        <v>0</v>
      </c>
      <c r="DA307">
        <v>0</v>
      </c>
      <c r="DB307">
        <v>0</v>
      </c>
      <c r="DC307">
        <v>574</v>
      </c>
      <c r="DD307">
        <v>0</v>
      </c>
      <c r="DE307">
        <v>144</v>
      </c>
      <c r="DF307">
        <v>0</v>
      </c>
      <c r="DG307">
        <v>0</v>
      </c>
      <c r="DH307">
        <v>0</v>
      </c>
      <c r="DI307">
        <v>0</v>
      </c>
      <c r="DJ307">
        <v>0</v>
      </c>
      <c r="DK307">
        <v>0</v>
      </c>
      <c r="DL307">
        <v>0</v>
      </c>
      <c r="DM307">
        <v>379</v>
      </c>
      <c r="DN307">
        <v>0</v>
      </c>
      <c r="DO307">
        <v>0</v>
      </c>
      <c r="DP307">
        <v>379</v>
      </c>
      <c r="DQ307">
        <v>-120</v>
      </c>
      <c r="DR307">
        <v>31</v>
      </c>
      <c r="DS307">
        <v>-158</v>
      </c>
      <c r="DT307">
        <v>611</v>
      </c>
      <c r="DU307">
        <v>0</v>
      </c>
      <c r="DV307">
        <v>-15</v>
      </c>
      <c r="DW307">
        <v>0</v>
      </c>
      <c r="DX307">
        <v>1446</v>
      </c>
      <c r="DY307">
        <v>12111</v>
      </c>
      <c r="DZ307">
        <v>91</v>
      </c>
      <c r="EA307">
        <v>352</v>
      </c>
      <c r="EB307">
        <v>0</v>
      </c>
      <c r="EC307">
        <v>0</v>
      </c>
      <c r="ED307">
        <v>65</v>
      </c>
      <c r="EE307">
        <v>0</v>
      </c>
      <c r="EF307">
        <v>0</v>
      </c>
      <c r="EG307">
        <v>0</v>
      </c>
      <c r="EH307">
        <v>2418</v>
      </c>
      <c r="EI307">
        <v>2181</v>
      </c>
      <c r="EJ307">
        <v>0</v>
      </c>
      <c r="EK307">
        <v>134</v>
      </c>
      <c r="EL307">
        <v>1847</v>
      </c>
      <c r="EM307">
        <v>0</v>
      </c>
      <c r="EN307">
        <v>4298</v>
      </c>
      <c r="EO307">
        <v>6</v>
      </c>
      <c r="EP307">
        <v>260</v>
      </c>
      <c r="EQ307">
        <v>1417</v>
      </c>
      <c r="ER307">
        <v>58</v>
      </c>
      <c r="ES307">
        <v>1501</v>
      </c>
      <c r="ET307">
        <v>1501</v>
      </c>
      <c r="EU307">
        <v>0</v>
      </c>
      <c r="EV307">
        <v>0</v>
      </c>
      <c r="EW307">
        <v>0</v>
      </c>
      <c r="EX307">
        <v>0</v>
      </c>
      <c r="EY307">
        <v>0</v>
      </c>
      <c r="EZ307">
        <v>0</v>
      </c>
      <c r="FA307">
        <v>0</v>
      </c>
      <c r="FB307">
        <v>91</v>
      </c>
      <c r="FC307">
        <v>1006</v>
      </c>
      <c r="FD307">
        <v>735</v>
      </c>
      <c r="FE307">
        <v>0</v>
      </c>
      <c r="FF307">
        <v>224</v>
      </c>
      <c r="FG307">
        <v>0</v>
      </c>
      <c r="FH307">
        <v>2056</v>
      </c>
      <c r="FI307">
        <v>42</v>
      </c>
      <c r="FJ307">
        <v>0</v>
      </c>
      <c r="FK307">
        <v>25</v>
      </c>
      <c r="FL307">
        <v>110</v>
      </c>
      <c r="FM307">
        <v>138</v>
      </c>
      <c r="FN307">
        <v>0</v>
      </c>
      <c r="FO307">
        <v>39</v>
      </c>
      <c r="FP307">
        <v>0</v>
      </c>
      <c r="FQ307">
        <v>0</v>
      </c>
      <c r="FR307">
        <v>3</v>
      </c>
      <c r="FS307">
        <v>60</v>
      </c>
      <c r="FT307">
        <v>144</v>
      </c>
      <c r="FU307">
        <v>187</v>
      </c>
      <c r="FV307">
        <v>0</v>
      </c>
      <c r="FW307">
        <v>2</v>
      </c>
      <c r="FX307">
        <v>60</v>
      </c>
      <c r="FY307">
        <v>0</v>
      </c>
      <c r="FZ307">
        <v>0</v>
      </c>
      <c r="GA307">
        <v>1760</v>
      </c>
      <c r="GB307">
        <v>0</v>
      </c>
      <c r="GC307">
        <v>0</v>
      </c>
      <c r="GD307">
        <v>678</v>
      </c>
      <c r="GE307">
        <v>1304</v>
      </c>
      <c r="GF307">
        <v>0</v>
      </c>
      <c r="GG307">
        <v>-50</v>
      </c>
      <c r="GH307">
        <v>2016</v>
      </c>
      <c r="GI307">
        <v>0</v>
      </c>
      <c r="GJ307">
        <v>52</v>
      </c>
      <c r="GK307">
        <v>6570</v>
      </c>
      <c r="GL307">
        <v>30</v>
      </c>
      <c r="GM307">
        <v>449</v>
      </c>
      <c r="GN307">
        <v>0</v>
      </c>
      <c r="GO307">
        <v>730</v>
      </c>
      <c r="GP307">
        <v>0</v>
      </c>
      <c r="GQ307">
        <v>481</v>
      </c>
      <c r="GR307">
        <v>0</v>
      </c>
      <c r="GS307">
        <v>0</v>
      </c>
      <c r="GT307">
        <v>2361</v>
      </c>
      <c r="GU307">
        <v>4051</v>
      </c>
      <c r="GV307">
        <v>12677</v>
      </c>
      <c r="GW307">
        <v>0</v>
      </c>
      <c r="GX307">
        <v>0</v>
      </c>
      <c r="GY307">
        <v>0</v>
      </c>
      <c r="GZ307">
        <v>0</v>
      </c>
      <c r="HA307">
        <v>0</v>
      </c>
      <c r="HB307">
        <v>1128</v>
      </c>
      <c r="HC307">
        <v>472</v>
      </c>
      <c r="HD307">
        <v>0</v>
      </c>
      <c r="HE307">
        <v>0</v>
      </c>
      <c r="HF307">
        <v>0</v>
      </c>
      <c r="HG307">
        <v>74</v>
      </c>
      <c r="HH307">
        <v>0</v>
      </c>
      <c r="HI307">
        <v>0</v>
      </c>
      <c r="HJ307">
        <v>243</v>
      </c>
      <c r="HK307">
        <v>-6</v>
      </c>
      <c r="HL307">
        <v>-91</v>
      </c>
      <c r="HM307">
        <v>-4</v>
      </c>
      <c r="HN307">
        <v>-2</v>
      </c>
      <c r="HO307">
        <v>124</v>
      </c>
      <c r="HP307">
        <v>0</v>
      </c>
      <c r="HQ307">
        <v>0</v>
      </c>
      <c r="HR307">
        <v>2</v>
      </c>
      <c r="HS307">
        <v>31</v>
      </c>
      <c r="HT307">
        <v>0</v>
      </c>
      <c r="HU307">
        <v>-6</v>
      </c>
      <c r="HV307">
        <v>1965</v>
      </c>
      <c r="HW307">
        <v>10320</v>
      </c>
      <c r="HX307">
        <v>0</v>
      </c>
      <c r="HY307">
        <v>0</v>
      </c>
      <c r="HZ307">
        <v>0</v>
      </c>
      <c r="IA307">
        <v>16</v>
      </c>
      <c r="IB307">
        <v>0</v>
      </c>
      <c r="IC307">
        <v>0</v>
      </c>
      <c r="ID307">
        <v>-109</v>
      </c>
      <c r="IE307">
        <v>0</v>
      </c>
      <c r="IF307">
        <v>0</v>
      </c>
      <c r="IG307">
        <v>0</v>
      </c>
      <c r="IH307">
        <v>1446</v>
      </c>
      <c r="II307">
        <v>2056</v>
      </c>
      <c r="IJ307">
        <v>6570</v>
      </c>
      <c r="IK307">
        <v>4051</v>
      </c>
      <c r="IL307">
        <v>0</v>
      </c>
      <c r="IM307">
        <v>0</v>
      </c>
      <c r="IN307">
        <v>1965</v>
      </c>
      <c r="IO307">
        <v>0</v>
      </c>
      <c r="IP307">
        <v>15979</v>
      </c>
      <c r="IQ307">
        <v>5221</v>
      </c>
      <c r="IR307">
        <v>4179</v>
      </c>
      <c r="IS307">
        <v>0</v>
      </c>
      <c r="IT307">
        <v>0</v>
      </c>
      <c r="IU307">
        <v>0</v>
      </c>
      <c r="IV307">
        <v>2102</v>
      </c>
      <c r="IW307">
        <v>0</v>
      </c>
      <c r="IX307">
        <v>0</v>
      </c>
      <c r="IY307">
        <v>0</v>
      </c>
      <c r="IZ307">
        <v>0</v>
      </c>
      <c r="JA307">
        <v>0</v>
      </c>
      <c r="JB307">
        <v>0</v>
      </c>
      <c r="JC307">
        <v>0</v>
      </c>
      <c r="JD307">
        <v>0</v>
      </c>
      <c r="JE307">
        <v>0</v>
      </c>
      <c r="JF307">
        <v>0</v>
      </c>
      <c r="JG307">
        <v>27481</v>
      </c>
      <c r="JH307">
        <v>0</v>
      </c>
      <c r="JI307">
        <v>933</v>
      </c>
      <c r="JJ307">
        <v>0</v>
      </c>
      <c r="JK307">
        <v>0</v>
      </c>
      <c r="JL307">
        <v>0</v>
      </c>
      <c r="JM307">
        <v>0</v>
      </c>
      <c r="JN307">
        <v>822</v>
      </c>
      <c r="JO307">
        <v>0</v>
      </c>
      <c r="JP307">
        <v>75</v>
      </c>
      <c r="JQ307">
        <v>65</v>
      </c>
      <c r="JR307">
        <v>29376</v>
      </c>
      <c r="JS307">
        <v>-439</v>
      </c>
      <c r="JT307">
        <v>0</v>
      </c>
      <c r="JU307">
        <v>0</v>
      </c>
      <c r="JV307">
        <v>0</v>
      </c>
      <c r="JW307">
        <v>-9245</v>
      </c>
      <c r="JX307">
        <v>0</v>
      </c>
      <c r="JY307">
        <v>-56</v>
      </c>
      <c r="JZ307">
        <v>0</v>
      </c>
      <c r="KA307">
        <v>0</v>
      </c>
      <c r="KB307">
        <v>0</v>
      </c>
      <c r="KC307">
        <v>19636</v>
      </c>
      <c r="KD307">
        <v>0</v>
      </c>
      <c r="KE307">
        <v>-3162</v>
      </c>
      <c r="KF307">
        <v>16474</v>
      </c>
      <c r="KG307">
        <v>0</v>
      </c>
      <c r="KH307">
        <v>0</v>
      </c>
      <c r="KI307">
        <v>0</v>
      </c>
      <c r="KJ307">
        <v>0</v>
      </c>
      <c r="KK307">
        <v>1168</v>
      </c>
      <c r="KL307">
        <v>315</v>
      </c>
      <c r="KM307">
        <v>0</v>
      </c>
      <c r="KN307">
        <v>0</v>
      </c>
      <c r="KO307">
        <v>-2402</v>
      </c>
      <c r="KP307">
        <v>-8</v>
      </c>
      <c r="KQ307">
        <v>-4156</v>
      </c>
      <c r="KR307">
        <v>7976</v>
      </c>
      <c r="KS307">
        <v>0</v>
      </c>
      <c r="KT307">
        <v>0</v>
      </c>
      <c r="KU307">
        <v>0</v>
      </c>
      <c r="KV307">
        <v>47052</v>
      </c>
      <c r="KW307">
        <v>765</v>
      </c>
      <c r="KX307">
        <v>0</v>
      </c>
      <c r="KY307">
        <v>0</v>
      </c>
      <c r="KZ307">
        <v>0</v>
      </c>
      <c r="LA307">
        <v>48220</v>
      </c>
      <c r="LB307">
        <v>1080</v>
      </c>
      <c r="LC307">
        <v>0</v>
      </c>
      <c r="LD307">
        <v>1629</v>
      </c>
      <c r="LE307">
        <v>0</v>
      </c>
      <c r="LF307">
        <v>105</v>
      </c>
      <c r="LG307">
        <v>738</v>
      </c>
      <c r="LH307">
        <v>0</v>
      </c>
      <c r="LI307">
        <v>2472</v>
      </c>
      <c r="LJ307">
        <v>1957</v>
      </c>
      <c r="LK307">
        <v>2520</v>
      </c>
      <c r="LL307">
        <v>4477</v>
      </c>
      <c r="LM307">
        <v>0</v>
      </c>
      <c r="LN307">
        <v>0</v>
      </c>
      <c r="LO307">
        <v>0</v>
      </c>
      <c r="LP307">
        <v>12619</v>
      </c>
      <c r="LQ307">
        <v>12619</v>
      </c>
      <c r="LR307">
        <v>0</v>
      </c>
      <c r="LS307">
        <v>1501</v>
      </c>
      <c r="LT307">
        <v>1501</v>
      </c>
      <c r="LU307">
        <v>0</v>
      </c>
      <c r="LV307">
        <v>-109</v>
      </c>
      <c r="LW307">
        <v>0</v>
      </c>
      <c r="LX307">
        <v>0</v>
      </c>
      <c r="LY307">
        <v>0</v>
      </c>
      <c r="LZ307">
        <v>1446</v>
      </c>
      <c r="MA307">
        <v>2056</v>
      </c>
      <c r="MB307">
        <v>6570</v>
      </c>
      <c r="MC307">
        <v>4051</v>
      </c>
      <c r="MD307">
        <v>0</v>
      </c>
      <c r="ME307">
        <v>0</v>
      </c>
      <c r="MF307">
        <v>1965</v>
      </c>
      <c r="MG307">
        <v>0</v>
      </c>
      <c r="MH307">
        <v>15979</v>
      </c>
      <c r="MI307">
        <v>0</v>
      </c>
      <c r="MJ307">
        <v>0</v>
      </c>
      <c r="MK307">
        <v>0</v>
      </c>
      <c r="ML307">
        <v>0</v>
      </c>
      <c r="MM307">
        <v>0</v>
      </c>
      <c r="MN307">
        <v>0</v>
      </c>
      <c r="MO307">
        <v>0</v>
      </c>
      <c r="MP307">
        <v>0</v>
      </c>
      <c r="MQ307">
        <v>0</v>
      </c>
      <c r="MR307">
        <v>0</v>
      </c>
      <c r="MS307">
        <v>0</v>
      </c>
      <c r="MT307">
        <v>0</v>
      </c>
      <c r="MU307">
        <v>0</v>
      </c>
      <c r="MV307">
        <v>0</v>
      </c>
      <c r="MW307">
        <v>0</v>
      </c>
      <c r="MX307">
        <v>0</v>
      </c>
      <c r="MY307">
        <v>0</v>
      </c>
      <c r="MZ307">
        <v>0</v>
      </c>
      <c r="NA307">
        <v>0</v>
      </c>
      <c r="NB307">
        <v>0</v>
      </c>
      <c r="NC307">
        <v>0</v>
      </c>
      <c r="ND307">
        <v>0</v>
      </c>
      <c r="NE307">
        <v>0</v>
      </c>
      <c r="NF307">
        <v>0</v>
      </c>
      <c r="NG307">
        <v>0</v>
      </c>
      <c r="NH307">
        <v>0</v>
      </c>
      <c r="NI307">
        <v>0</v>
      </c>
      <c r="NJ307">
        <v>0</v>
      </c>
      <c r="NK307">
        <v>0</v>
      </c>
      <c r="NL307">
        <v>0</v>
      </c>
      <c r="NM307">
        <v>0</v>
      </c>
      <c r="NN307">
        <v>0</v>
      </c>
      <c r="NO307">
        <v>0</v>
      </c>
      <c r="NP307">
        <v>0</v>
      </c>
      <c r="NQ307">
        <v>0</v>
      </c>
      <c r="NR307">
        <v>0</v>
      </c>
      <c r="NS307">
        <v>0</v>
      </c>
      <c r="NT307">
        <v>0</v>
      </c>
      <c r="NU307">
        <v>0</v>
      </c>
      <c r="NV307">
        <v>0</v>
      </c>
      <c r="NW307">
        <v>0</v>
      </c>
      <c r="NX307">
        <v>0</v>
      </c>
      <c r="NY307">
        <v>0</v>
      </c>
      <c r="NZ307">
        <v>0</v>
      </c>
      <c r="OA307">
        <v>0</v>
      </c>
      <c r="OB307">
        <v>0</v>
      </c>
      <c r="OC307">
        <v>0</v>
      </c>
      <c r="OD307">
        <v>0</v>
      </c>
      <c r="OE307">
        <v>0</v>
      </c>
      <c r="OF307">
        <v>0</v>
      </c>
      <c r="OG307">
        <v>0</v>
      </c>
      <c r="OH307">
        <v>0</v>
      </c>
      <c r="OI307">
        <v>0</v>
      </c>
      <c r="OJ307">
        <v>0</v>
      </c>
      <c r="OK307">
        <v>0</v>
      </c>
      <c r="OL307">
        <v>0</v>
      </c>
      <c r="OM307">
        <v>0</v>
      </c>
      <c r="ON307">
        <v>0</v>
      </c>
    </row>
    <row r="308" spans="1:404" x14ac:dyDescent="0.25">
      <c r="A308" t="s">
        <v>994</v>
      </c>
      <c r="B308" t="s">
        <v>995</v>
      </c>
      <c r="C308" t="s">
        <v>993</v>
      </c>
      <c r="E308" t="s">
        <v>61</v>
      </c>
      <c r="F308">
        <v>0</v>
      </c>
      <c r="G308">
        <v>0</v>
      </c>
      <c r="H308">
        <v>0</v>
      </c>
      <c r="I308">
        <v>0</v>
      </c>
      <c r="J308">
        <v>0</v>
      </c>
      <c r="K308">
        <v>0</v>
      </c>
      <c r="L308">
        <v>0</v>
      </c>
      <c r="M308">
        <v>0</v>
      </c>
      <c r="N308">
        <v>0</v>
      </c>
      <c r="O308">
        <v>0</v>
      </c>
      <c r="P308">
        <v>0</v>
      </c>
      <c r="Q308">
        <v>0</v>
      </c>
      <c r="R308">
        <v>0</v>
      </c>
      <c r="S308">
        <v>0</v>
      </c>
      <c r="T308">
        <v>0</v>
      </c>
      <c r="U308">
        <v>0</v>
      </c>
      <c r="V308">
        <v>0</v>
      </c>
      <c r="W308">
        <v>0</v>
      </c>
      <c r="X308">
        <v>0</v>
      </c>
      <c r="Y308">
        <v>5</v>
      </c>
      <c r="Z308">
        <v>-221</v>
      </c>
      <c r="AA308">
        <v>-1377</v>
      </c>
      <c r="AB308">
        <v>0</v>
      </c>
      <c r="AC308">
        <v>0</v>
      </c>
      <c r="AD308">
        <v>0</v>
      </c>
      <c r="AE308">
        <v>0</v>
      </c>
      <c r="AF308">
        <v>0</v>
      </c>
      <c r="AG308">
        <v>21</v>
      </c>
      <c r="AH308">
        <v>0</v>
      </c>
      <c r="AI308">
        <v>-1572</v>
      </c>
      <c r="AJ308">
        <v>0</v>
      </c>
      <c r="AK308">
        <v>0</v>
      </c>
      <c r="AL308">
        <v>0</v>
      </c>
      <c r="AM308">
        <v>0</v>
      </c>
      <c r="AN308">
        <v>0</v>
      </c>
      <c r="AO308">
        <v>0</v>
      </c>
      <c r="AP308">
        <v>0</v>
      </c>
      <c r="AQ308">
        <v>236</v>
      </c>
      <c r="AR308">
        <v>571</v>
      </c>
      <c r="AS308">
        <v>0</v>
      </c>
      <c r="AT308">
        <v>0</v>
      </c>
      <c r="AU308">
        <v>0</v>
      </c>
      <c r="AV308">
        <v>0</v>
      </c>
      <c r="AW308">
        <v>0</v>
      </c>
      <c r="AX308">
        <v>0</v>
      </c>
      <c r="AY308">
        <v>0</v>
      </c>
      <c r="AZ308">
        <v>0</v>
      </c>
      <c r="BA308">
        <v>0</v>
      </c>
      <c r="BB308">
        <v>0</v>
      </c>
      <c r="BC308">
        <v>54</v>
      </c>
      <c r="BD308">
        <v>54</v>
      </c>
      <c r="BE308">
        <v>0</v>
      </c>
      <c r="BF308">
        <v>0</v>
      </c>
      <c r="BG308">
        <v>0</v>
      </c>
      <c r="BH308">
        <v>0</v>
      </c>
      <c r="BI308">
        <v>0</v>
      </c>
      <c r="BJ308">
        <v>0</v>
      </c>
      <c r="BK308">
        <v>0</v>
      </c>
      <c r="BL308">
        <v>0</v>
      </c>
      <c r="BM308">
        <v>0</v>
      </c>
      <c r="BN308">
        <v>0</v>
      </c>
      <c r="BO308">
        <v>0</v>
      </c>
      <c r="BP308">
        <v>0</v>
      </c>
      <c r="BQ308">
        <v>0</v>
      </c>
      <c r="BR308">
        <v>0</v>
      </c>
      <c r="BS308">
        <v>0</v>
      </c>
      <c r="BT308">
        <v>0</v>
      </c>
      <c r="BU308">
        <v>0</v>
      </c>
      <c r="BV308">
        <v>0</v>
      </c>
      <c r="BW308">
        <v>0</v>
      </c>
      <c r="BX308">
        <v>0</v>
      </c>
      <c r="BY308">
        <v>0</v>
      </c>
      <c r="BZ308">
        <v>0</v>
      </c>
      <c r="CA308">
        <v>0</v>
      </c>
      <c r="CB308">
        <v>0</v>
      </c>
      <c r="CC308">
        <v>0</v>
      </c>
      <c r="CD308">
        <v>0</v>
      </c>
      <c r="CE308">
        <v>0</v>
      </c>
      <c r="CF308">
        <v>0</v>
      </c>
      <c r="CG308">
        <v>68</v>
      </c>
      <c r="CH308">
        <v>0</v>
      </c>
      <c r="CI308">
        <v>0</v>
      </c>
      <c r="CJ308">
        <v>0</v>
      </c>
      <c r="CK308">
        <v>0</v>
      </c>
      <c r="CL308">
        <v>0</v>
      </c>
      <c r="CM308">
        <v>0</v>
      </c>
      <c r="CN308">
        <v>0</v>
      </c>
      <c r="CO308">
        <v>0</v>
      </c>
      <c r="CP308">
        <v>0</v>
      </c>
      <c r="CQ308">
        <v>0</v>
      </c>
      <c r="CR308">
        <v>0</v>
      </c>
      <c r="CS308">
        <v>0</v>
      </c>
      <c r="CT308">
        <v>0</v>
      </c>
      <c r="CU308">
        <v>0</v>
      </c>
      <c r="CV308">
        <v>68</v>
      </c>
      <c r="CW308">
        <v>0</v>
      </c>
      <c r="CX308">
        <v>0</v>
      </c>
      <c r="CY308">
        <v>0</v>
      </c>
      <c r="CZ308">
        <v>0</v>
      </c>
      <c r="DA308">
        <v>0</v>
      </c>
      <c r="DB308">
        <v>0</v>
      </c>
      <c r="DC308">
        <v>273</v>
      </c>
      <c r="DD308">
        <v>0</v>
      </c>
      <c r="DE308">
        <v>212</v>
      </c>
      <c r="DF308">
        <v>-50</v>
      </c>
      <c r="DG308">
        <v>-144</v>
      </c>
      <c r="DH308">
        <v>467</v>
      </c>
      <c r="DI308">
        <v>0</v>
      </c>
      <c r="DJ308">
        <v>491</v>
      </c>
      <c r="DK308">
        <v>21</v>
      </c>
      <c r="DL308">
        <v>0</v>
      </c>
      <c r="DM308">
        <v>33</v>
      </c>
      <c r="DN308">
        <v>-74</v>
      </c>
      <c r="DO308">
        <v>76</v>
      </c>
      <c r="DP308">
        <v>870</v>
      </c>
      <c r="DQ308">
        <v>0</v>
      </c>
      <c r="DR308">
        <v>84</v>
      </c>
      <c r="DS308">
        <v>0</v>
      </c>
      <c r="DT308">
        <v>269</v>
      </c>
      <c r="DU308">
        <v>62</v>
      </c>
      <c r="DV308">
        <v>0</v>
      </c>
      <c r="DW308">
        <v>0</v>
      </c>
      <c r="DX308">
        <v>1720</v>
      </c>
      <c r="DY308">
        <v>0</v>
      </c>
      <c r="DZ308">
        <v>0</v>
      </c>
      <c r="EA308">
        <v>0</v>
      </c>
      <c r="EB308">
        <v>0</v>
      </c>
      <c r="EC308">
        <v>0</v>
      </c>
      <c r="ED308">
        <v>0</v>
      </c>
      <c r="EE308">
        <v>0</v>
      </c>
      <c r="EF308">
        <v>0</v>
      </c>
      <c r="EG308">
        <v>0</v>
      </c>
      <c r="EH308">
        <v>0</v>
      </c>
      <c r="EI308">
        <v>0</v>
      </c>
      <c r="EJ308">
        <v>0</v>
      </c>
      <c r="EK308">
        <v>0</v>
      </c>
      <c r="EL308">
        <v>0</v>
      </c>
      <c r="EM308">
        <v>0</v>
      </c>
      <c r="EN308">
        <v>0</v>
      </c>
      <c r="EO308">
        <v>0</v>
      </c>
      <c r="EP308">
        <v>0</v>
      </c>
      <c r="EQ308">
        <v>0</v>
      </c>
      <c r="ER308">
        <v>0</v>
      </c>
      <c r="ES308">
        <v>0</v>
      </c>
      <c r="ET308">
        <v>0</v>
      </c>
      <c r="EU308">
        <v>0</v>
      </c>
      <c r="EV308">
        <v>0</v>
      </c>
      <c r="EW308">
        <v>0</v>
      </c>
      <c r="EX308">
        <v>0</v>
      </c>
      <c r="EY308">
        <v>0</v>
      </c>
      <c r="EZ308">
        <v>0</v>
      </c>
      <c r="FA308">
        <v>0</v>
      </c>
      <c r="FB308">
        <v>433</v>
      </c>
      <c r="FC308">
        <v>287</v>
      </c>
      <c r="FD308">
        <v>358</v>
      </c>
      <c r="FE308">
        <v>26</v>
      </c>
      <c r="FF308">
        <v>25</v>
      </c>
      <c r="FG308">
        <v>0</v>
      </c>
      <c r="FH308">
        <v>1129</v>
      </c>
      <c r="FI308">
        <v>0</v>
      </c>
      <c r="FJ308">
        <v>0</v>
      </c>
      <c r="FK308">
        <v>67</v>
      </c>
      <c r="FL308">
        <v>173</v>
      </c>
      <c r="FM308">
        <v>534</v>
      </c>
      <c r="FN308">
        <v>0</v>
      </c>
      <c r="FO308">
        <v>213</v>
      </c>
      <c r="FP308">
        <v>0</v>
      </c>
      <c r="FQ308">
        <v>0</v>
      </c>
      <c r="FR308">
        <v>0</v>
      </c>
      <c r="FS308">
        <v>58</v>
      </c>
      <c r="FT308">
        <v>24</v>
      </c>
      <c r="FU308">
        <v>-137</v>
      </c>
      <c r="FV308">
        <v>0</v>
      </c>
      <c r="FW308">
        <v>0</v>
      </c>
      <c r="FX308">
        <v>387</v>
      </c>
      <c r="FY308">
        <v>0</v>
      </c>
      <c r="FZ308">
        <v>0</v>
      </c>
      <c r="GA308">
        <v>0</v>
      </c>
      <c r="GB308">
        <v>0</v>
      </c>
      <c r="GC308">
        <v>0</v>
      </c>
      <c r="GD308">
        <v>1747</v>
      </c>
      <c r="GE308">
        <v>3882</v>
      </c>
      <c r="GF308">
        <v>0</v>
      </c>
      <c r="GG308">
        <v>0</v>
      </c>
      <c r="GH308">
        <v>-78</v>
      </c>
      <c r="GI308">
        <v>5</v>
      </c>
      <c r="GJ308">
        <v>0</v>
      </c>
      <c r="GK308">
        <v>6875</v>
      </c>
      <c r="GL308">
        <v>116</v>
      </c>
      <c r="GM308">
        <v>1780</v>
      </c>
      <c r="GN308">
        <v>0</v>
      </c>
      <c r="GO308">
        <v>638</v>
      </c>
      <c r="GP308">
        <v>-13</v>
      </c>
      <c r="GQ308">
        <v>767</v>
      </c>
      <c r="GR308">
        <v>0</v>
      </c>
      <c r="GS308">
        <v>821</v>
      </c>
      <c r="GT308">
        <v>329</v>
      </c>
      <c r="GU308">
        <v>4438</v>
      </c>
      <c r="GV308">
        <v>12442</v>
      </c>
      <c r="GW308">
        <v>0</v>
      </c>
      <c r="GX308">
        <v>0</v>
      </c>
      <c r="GY308">
        <v>0</v>
      </c>
      <c r="GZ308">
        <v>0</v>
      </c>
      <c r="HA308">
        <v>0</v>
      </c>
      <c r="HB308">
        <v>3523</v>
      </c>
      <c r="HC308">
        <v>67</v>
      </c>
      <c r="HD308">
        <v>0</v>
      </c>
      <c r="HE308">
        <v>0</v>
      </c>
      <c r="HF308">
        <v>155</v>
      </c>
      <c r="HG308">
        <v>0</v>
      </c>
      <c r="HH308">
        <v>0</v>
      </c>
      <c r="HI308">
        <v>0</v>
      </c>
      <c r="HJ308">
        <v>229</v>
      </c>
      <c r="HK308">
        <v>131</v>
      </c>
      <c r="HL308">
        <v>254</v>
      </c>
      <c r="HM308">
        <v>-19</v>
      </c>
      <c r="HN308">
        <v>0</v>
      </c>
      <c r="HO308">
        <v>204</v>
      </c>
      <c r="HP308">
        <v>0</v>
      </c>
      <c r="HQ308">
        <v>0</v>
      </c>
      <c r="HR308">
        <v>1401</v>
      </c>
      <c r="HS308">
        <v>0</v>
      </c>
      <c r="HT308">
        <v>0</v>
      </c>
      <c r="HU308">
        <v>0</v>
      </c>
      <c r="HV308">
        <v>5945</v>
      </c>
      <c r="HW308">
        <v>0</v>
      </c>
      <c r="HX308">
        <v>0</v>
      </c>
      <c r="HY308">
        <v>0</v>
      </c>
      <c r="HZ308">
        <v>0</v>
      </c>
      <c r="IA308">
        <v>0</v>
      </c>
      <c r="IB308">
        <v>0</v>
      </c>
      <c r="IC308">
        <v>0</v>
      </c>
      <c r="ID308">
        <v>-1572</v>
      </c>
      <c r="IE308">
        <v>54</v>
      </c>
      <c r="IF308">
        <v>0</v>
      </c>
      <c r="IG308">
        <v>68</v>
      </c>
      <c r="IH308">
        <v>1720</v>
      </c>
      <c r="II308">
        <v>1129</v>
      </c>
      <c r="IJ308">
        <v>6875</v>
      </c>
      <c r="IK308">
        <v>4438</v>
      </c>
      <c r="IL308">
        <v>0</v>
      </c>
      <c r="IM308">
        <v>0</v>
      </c>
      <c r="IN308">
        <v>5945</v>
      </c>
      <c r="IO308">
        <v>0</v>
      </c>
      <c r="IP308">
        <v>18657</v>
      </c>
      <c r="IQ308">
        <v>19085</v>
      </c>
      <c r="IR308">
        <v>574</v>
      </c>
      <c r="IS308">
        <v>0</v>
      </c>
      <c r="IT308">
        <v>0</v>
      </c>
      <c r="IU308">
        <v>0</v>
      </c>
      <c r="IV308">
        <v>4779</v>
      </c>
      <c r="IW308">
        <v>0</v>
      </c>
      <c r="IX308">
        <v>0</v>
      </c>
      <c r="IY308">
        <v>0</v>
      </c>
      <c r="IZ308">
        <v>0</v>
      </c>
      <c r="JA308">
        <v>-232</v>
      </c>
      <c r="JB308">
        <v>0</v>
      </c>
      <c r="JC308">
        <v>0</v>
      </c>
      <c r="JD308">
        <v>0</v>
      </c>
      <c r="JE308">
        <v>0</v>
      </c>
      <c r="JF308">
        <v>0</v>
      </c>
      <c r="JG308">
        <v>42863</v>
      </c>
      <c r="JH308">
        <v>0</v>
      </c>
      <c r="JI308">
        <v>6465</v>
      </c>
      <c r="JJ308">
        <v>0</v>
      </c>
      <c r="JK308">
        <v>0</v>
      </c>
      <c r="JL308">
        <v>0</v>
      </c>
      <c r="JM308">
        <v>1499</v>
      </c>
      <c r="JN308">
        <v>325</v>
      </c>
      <c r="JO308">
        <v>0</v>
      </c>
      <c r="JP308">
        <v>175</v>
      </c>
      <c r="JQ308">
        <v>0</v>
      </c>
      <c r="JR308">
        <v>51327</v>
      </c>
      <c r="JS308">
        <v>-1866</v>
      </c>
      <c r="JT308">
        <v>0</v>
      </c>
      <c r="JU308">
        <v>0</v>
      </c>
      <c r="JV308">
        <v>0</v>
      </c>
      <c r="JW308">
        <v>-19902</v>
      </c>
      <c r="JX308">
        <v>0</v>
      </c>
      <c r="JY308">
        <v>-1415</v>
      </c>
      <c r="JZ308">
        <v>0</v>
      </c>
      <c r="KA308">
        <v>0</v>
      </c>
      <c r="KB308">
        <v>0</v>
      </c>
      <c r="KC308">
        <v>28144</v>
      </c>
      <c r="KD308">
        <v>0</v>
      </c>
      <c r="KE308">
        <v>-2517</v>
      </c>
      <c r="KF308">
        <v>25627</v>
      </c>
      <c r="KG308">
        <v>0</v>
      </c>
      <c r="KH308">
        <v>0</v>
      </c>
      <c r="KI308">
        <v>0</v>
      </c>
      <c r="KJ308">
        <v>0</v>
      </c>
      <c r="KK308">
        <v>-5731</v>
      </c>
      <c r="KL308">
        <v>0</v>
      </c>
      <c r="KM308">
        <v>0</v>
      </c>
      <c r="KN308">
        <v>0</v>
      </c>
      <c r="KO308">
        <v>-2182</v>
      </c>
      <c r="KP308">
        <v>-285</v>
      </c>
      <c r="KQ308">
        <v>0</v>
      </c>
      <c r="KR308">
        <v>16222</v>
      </c>
      <c r="KS308">
        <v>0</v>
      </c>
      <c r="KT308">
        <v>0</v>
      </c>
      <c r="KU308">
        <v>0</v>
      </c>
      <c r="KV308">
        <v>28388</v>
      </c>
      <c r="KW308">
        <v>1700</v>
      </c>
      <c r="KX308">
        <v>0</v>
      </c>
      <c r="KY308">
        <v>0</v>
      </c>
      <c r="KZ308">
        <v>0</v>
      </c>
      <c r="LA308">
        <v>22657</v>
      </c>
      <c r="LB308">
        <v>1700</v>
      </c>
      <c r="LC308">
        <v>0</v>
      </c>
      <c r="LD308">
        <v>778</v>
      </c>
      <c r="LE308">
        <v>0</v>
      </c>
      <c r="LF308">
        <v>0</v>
      </c>
      <c r="LG308">
        <v>-7907</v>
      </c>
      <c r="LH308">
        <v>6465</v>
      </c>
      <c r="LI308">
        <v>-770</v>
      </c>
      <c r="LJ308">
        <v>2950</v>
      </c>
      <c r="LK308">
        <v>3875</v>
      </c>
      <c r="LL308">
        <v>6825</v>
      </c>
      <c r="LM308">
        <v>0</v>
      </c>
      <c r="LN308">
        <v>0</v>
      </c>
      <c r="LO308">
        <v>0</v>
      </c>
      <c r="LP308">
        <v>0</v>
      </c>
      <c r="LQ308">
        <v>0</v>
      </c>
      <c r="LR308">
        <v>0</v>
      </c>
      <c r="LS308">
        <v>0</v>
      </c>
      <c r="LT308">
        <v>0</v>
      </c>
      <c r="LU308">
        <v>0</v>
      </c>
      <c r="LV308">
        <v>-1572</v>
      </c>
      <c r="LW308">
        <v>54</v>
      </c>
      <c r="LX308">
        <v>0</v>
      </c>
      <c r="LY308">
        <v>68</v>
      </c>
      <c r="LZ308">
        <v>1720</v>
      </c>
      <c r="MA308">
        <v>1129</v>
      </c>
      <c r="MB308">
        <v>6875</v>
      </c>
      <c r="MC308">
        <v>4438</v>
      </c>
      <c r="MD308">
        <v>0</v>
      </c>
      <c r="ME308">
        <v>0</v>
      </c>
      <c r="MF308">
        <v>5945</v>
      </c>
      <c r="MG308">
        <v>0</v>
      </c>
      <c r="MH308">
        <v>18657</v>
      </c>
      <c r="MI308">
        <v>0</v>
      </c>
      <c r="MJ308">
        <v>0</v>
      </c>
      <c r="MK308">
        <v>0</v>
      </c>
      <c r="ML308">
        <v>0</v>
      </c>
      <c r="MM308">
        <v>0</v>
      </c>
      <c r="MN308">
        <v>0</v>
      </c>
      <c r="MO308">
        <v>0</v>
      </c>
      <c r="MP308">
        <v>0</v>
      </c>
      <c r="MQ308">
        <v>0</v>
      </c>
      <c r="MR308">
        <v>0</v>
      </c>
      <c r="MS308">
        <v>0</v>
      </c>
      <c r="MT308">
        <v>0</v>
      </c>
      <c r="MU308">
        <v>0</v>
      </c>
      <c r="MV308">
        <v>0</v>
      </c>
      <c r="MW308">
        <v>0</v>
      </c>
      <c r="MX308">
        <v>0</v>
      </c>
      <c r="MY308">
        <v>0</v>
      </c>
      <c r="MZ308">
        <v>-232</v>
      </c>
      <c r="NA308">
        <v>-232</v>
      </c>
      <c r="NB308">
        <v>0</v>
      </c>
      <c r="NC308">
        <v>-232</v>
      </c>
      <c r="ND308">
        <v>0</v>
      </c>
      <c r="NE308">
        <v>0</v>
      </c>
      <c r="NF308">
        <v>0</v>
      </c>
      <c r="NG308">
        <v>0</v>
      </c>
      <c r="NH308">
        <v>0</v>
      </c>
      <c r="NI308">
        <v>0</v>
      </c>
      <c r="NJ308">
        <v>0</v>
      </c>
      <c r="NK308">
        <v>0</v>
      </c>
      <c r="NL308">
        <v>0</v>
      </c>
      <c r="NM308">
        <v>0</v>
      </c>
      <c r="NN308">
        <v>0</v>
      </c>
      <c r="NO308">
        <v>0</v>
      </c>
      <c r="NP308">
        <v>0</v>
      </c>
      <c r="NQ308">
        <v>0</v>
      </c>
      <c r="NR308">
        <v>0</v>
      </c>
      <c r="NS308">
        <v>0</v>
      </c>
      <c r="NT308">
        <v>0</v>
      </c>
      <c r="NU308">
        <v>0</v>
      </c>
      <c r="NV308">
        <v>0</v>
      </c>
      <c r="NW308">
        <v>0</v>
      </c>
      <c r="NX308">
        <v>0</v>
      </c>
      <c r="NY308">
        <v>0</v>
      </c>
      <c r="NZ308">
        <v>0</v>
      </c>
      <c r="OA308">
        <v>0</v>
      </c>
      <c r="OB308">
        <v>0</v>
      </c>
      <c r="OC308">
        <v>0</v>
      </c>
      <c r="OD308">
        <v>0</v>
      </c>
      <c r="OE308">
        <v>0</v>
      </c>
      <c r="OF308">
        <v>0</v>
      </c>
      <c r="OG308">
        <v>0</v>
      </c>
      <c r="OH308">
        <v>0</v>
      </c>
      <c r="OI308">
        <v>0</v>
      </c>
      <c r="OJ308">
        <v>0</v>
      </c>
      <c r="OK308">
        <v>0</v>
      </c>
      <c r="OL308">
        <v>0</v>
      </c>
      <c r="OM308">
        <v>0</v>
      </c>
      <c r="ON308">
        <v>0</v>
      </c>
    </row>
    <row r="309" spans="1:404" x14ac:dyDescent="0.25">
      <c r="A309" t="s">
        <v>997</v>
      </c>
      <c r="B309" t="s">
        <v>998</v>
      </c>
      <c r="C309" t="s">
        <v>996</v>
      </c>
      <c r="E309" t="s">
        <v>97</v>
      </c>
      <c r="F309">
        <v>38444</v>
      </c>
      <c r="G309">
        <v>130071</v>
      </c>
      <c r="H309">
        <v>42913</v>
      </c>
      <c r="I309">
        <v>51900</v>
      </c>
      <c r="J309">
        <v>5391</v>
      </c>
      <c r="K309">
        <v>24779</v>
      </c>
      <c r="L309">
        <v>293498</v>
      </c>
      <c r="M309">
        <v>251</v>
      </c>
      <c r="N309">
        <v>356</v>
      </c>
      <c r="O309">
        <v>2433</v>
      </c>
      <c r="P309">
        <v>20288</v>
      </c>
      <c r="Q309">
        <v>4225</v>
      </c>
      <c r="R309">
        <v>7354</v>
      </c>
      <c r="S309">
        <v>13351</v>
      </c>
      <c r="T309">
        <v>1743</v>
      </c>
      <c r="U309">
        <v>7277</v>
      </c>
      <c r="V309">
        <v>0</v>
      </c>
      <c r="W309">
        <v>-1104</v>
      </c>
      <c r="X309">
        <v>1153</v>
      </c>
      <c r="Y309">
        <v>1786</v>
      </c>
      <c r="Z309">
        <v>-3311</v>
      </c>
      <c r="AA309">
        <v>-315</v>
      </c>
      <c r="AB309">
        <v>0</v>
      </c>
      <c r="AC309">
        <v>0</v>
      </c>
      <c r="AD309">
        <v>0</v>
      </c>
      <c r="AE309">
        <v>0</v>
      </c>
      <c r="AF309">
        <v>0</v>
      </c>
      <c r="AG309">
        <v>0</v>
      </c>
      <c r="AH309">
        <v>0</v>
      </c>
      <c r="AI309">
        <v>55487</v>
      </c>
      <c r="AJ309">
        <v>0</v>
      </c>
      <c r="AK309">
        <v>0</v>
      </c>
      <c r="AL309">
        <v>0</v>
      </c>
      <c r="AM309">
        <v>0</v>
      </c>
      <c r="AN309">
        <v>0</v>
      </c>
      <c r="AO309">
        <v>0</v>
      </c>
      <c r="AP309">
        <v>0</v>
      </c>
      <c r="AQ309">
        <v>1062</v>
      </c>
      <c r="AR309">
        <v>4460</v>
      </c>
      <c r="AS309">
        <v>0</v>
      </c>
      <c r="AT309">
        <v>0</v>
      </c>
      <c r="AU309">
        <v>0</v>
      </c>
      <c r="AV309">
        <v>4757</v>
      </c>
      <c r="AW309">
        <v>56349</v>
      </c>
      <c r="AX309">
        <v>1370</v>
      </c>
      <c r="AY309">
        <v>20572</v>
      </c>
      <c r="AZ309">
        <v>3613</v>
      </c>
      <c r="BA309">
        <v>31485</v>
      </c>
      <c r="BB309">
        <v>0</v>
      </c>
      <c r="BC309">
        <v>5111</v>
      </c>
      <c r="BD309">
        <v>123257</v>
      </c>
      <c r="BE309">
        <v>19973</v>
      </c>
      <c r="BF309">
        <v>62827</v>
      </c>
      <c r="BG309">
        <v>1768</v>
      </c>
      <c r="BH309">
        <v>1014</v>
      </c>
      <c r="BI309">
        <v>1005</v>
      </c>
      <c r="BJ309">
        <v>4882</v>
      </c>
      <c r="BK309">
        <v>57559</v>
      </c>
      <c r="BL309">
        <v>8348</v>
      </c>
      <c r="BM309">
        <v>14681</v>
      </c>
      <c r="BN309">
        <v>6815</v>
      </c>
      <c r="BO309">
        <v>12</v>
      </c>
      <c r="BP309">
        <v>1318</v>
      </c>
      <c r="BQ309">
        <v>113</v>
      </c>
      <c r="BR309">
        <v>1590</v>
      </c>
      <c r="BS309">
        <v>3515</v>
      </c>
      <c r="BT309">
        <v>15922</v>
      </c>
      <c r="BU309">
        <v>6710</v>
      </c>
      <c r="BV309">
        <v>19303</v>
      </c>
      <c r="BW309">
        <v>227355</v>
      </c>
      <c r="BX309">
        <v>3177</v>
      </c>
      <c r="BY309">
        <v>2105</v>
      </c>
      <c r="BZ309">
        <v>443</v>
      </c>
      <c r="CA309">
        <v>30</v>
      </c>
      <c r="CB309">
        <v>218</v>
      </c>
      <c r="CC309">
        <v>266</v>
      </c>
      <c r="CD309">
        <v>33</v>
      </c>
      <c r="CE309">
        <v>985</v>
      </c>
      <c r="CF309">
        <v>140</v>
      </c>
      <c r="CG309">
        <v>159</v>
      </c>
      <c r="CH309">
        <v>555</v>
      </c>
      <c r="CI309">
        <v>4799</v>
      </c>
      <c r="CJ309">
        <v>96</v>
      </c>
      <c r="CK309">
        <v>2293</v>
      </c>
      <c r="CL309">
        <v>149</v>
      </c>
      <c r="CM309">
        <v>1140</v>
      </c>
      <c r="CN309">
        <v>274</v>
      </c>
      <c r="CO309">
        <v>0</v>
      </c>
      <c r="CP309">
        <v>1449</v>
      </c>
      <c r="CQ309">
        <v>6725</v>
      </c>
      <c r="CR309">
        <v>794</v>
      </c>
      <c r="CS309">
        <v>10</v>
      </c>
      <c r="CT309">
        <v>352</v>
      </c>
      <c r="CU309">
        <v>9451</v>
      </c>
      <c r="CV309">
        <v>57546</v>
      </c>
      <c r="CW309">
        <v>0</v>
      </c>
      <c r="CX309">
        <v>0</v>
      </c>
      <c r="CY309">
        <v>0</v>
      </c>
      <c r="CZ309">
        <v>0</v>
      </c>
      <c r="DA309">
        <v>0</v>
      </c>
      <c r="DB309">
        <v>0</v>
      </c>
      <c r="DC309">
        <v>2076</v>
      </c>
      <c r="DD309">
        <v>0</v>
      </c>
      <c r="DE309">
        <v>170</v>
      </c>
      <c r="DF309">
        <v>1173</v>
      </c>
      <c r="DG309">
        <v>0</v>
      </c>
      <c r="DH309">
        <v>0</v>
      </c>
      <c r="DI309">
        <v>0</v>
      </c>
      <c r="DJ309">
        <v>1630</v>
      </c>
      <c r="DK309">
        <v>0</v>
      </c>
      <c r="DL309">
        <v>126</v>
      </c>
      <c r="DM309">
        <v>0</v>
      </c>
      <c r="DN309">
        <v>0</v>
      </c>
      <c r="DO309">
        <v>4793</v>
      </c>
      <c r="DP309">
        <v>6549</v>
      </c>
      <c r="DQ309">
        <v>516</v>
      </c>
      <c r="DR309">
        <v>6</v>
      </c>
      <c r="DS309">
        <v>461</v>
      </c>
      <c r="DT309">
        <v>3251</v>
      </c>
      <c r="DU309">
        <v>-28</v>
      </c>
      <c r="DV309">
        <v>2047</v>
      </c>
      <c r="DW309">
        <v>0</v>
      </c>
      <c r="DX309">
        <v>16221</v>
      </c>
      <c r="DY309">
        <v>145871</v>
      </c>
      <c r="DZ309">
        <v>1310</v>
      </c>
      <c r="EA309">
        <v>6406</v>
      </c>
      <c r="EB309">
        <v>126</v>
      </c>
      <c r="EC309">
        <v>0</v>
      </c>
      <c r="ED309">
        <v>108</v>
      </c>
      <c r="EE309">
        <v>340</v>
      </c>
      <c r="EF309">
        <v>0</v>
      </c>
      <c r="EG309">
        <v>0</v>
      </c>
      <c r="EH309">
        <v>44474</v>
      </c>
      <c r="EI309">
        <v>44028</v>
      </c>
      <c r="EJ309">
        <v>11220</v>
      </c>
      <c r="EK309">
        <v>2828</v>
      </c>
      <c r="EL309">
        <v>0</v>
      </c>
      <c r="EM309">
        <v>25620</v>
      </c>
      <c r="EN309">
        <v>0</v>
      </c>
      <c r="EO309">
        <v>222</v>
      </c>
      <c r="EP309">
        <v>12889</v>
      </c>
      <c r="EQ309">
        <v>13553</v>
      </c>
      <c r="ER309">
        <v>1304</v>
      </c>
      <c r="ES309">
        <v>11953</v>
      </c>
      <c r="ET309">
        <v>9976</v>
      </c>
      <c r="EU309">
        <v>357</v>
      </c>
      <c r="EV309">
        <v>555</v>
      </c>
      <c r="EW309">
        <v>0</v>
      </c>
      <c r="EX309">
        <v>2115</v>
      </c>
      <c r="EY309">
        <v>358</v>
      </c>
      <c r="EZ309">
        <v>0</v>
      </c>
      <c r="FA309">
        <v>0</v>
      </c>
      <c r="FB309">
        <v>776</v>
      </c>
      <c r="FC309">
        <v>21960</v>
      </c>
      <c r="FD309">
        <v>8161</v>
      </c>
      <c r="FE309">
        <v>30</v>
      </c>
      <c r="FF309">
        <v>665</v>
      </c>
      <c r="FG309">
        <v>5207</v>
      </c>
      <c r="FH309">
        <v>40184</v>
      </c>
      <c r="FI309">
        <v>-98</v>
      </c>
      <c r="FJ309">
        <v>738</v>
      </c>
      <c r="FK309">
        <v>0</v>
      </c>
      <c r="FL309">
        <v>516</v>
      </c>
      <c r="FM309">
        <v>3210</v>
      </c>
      <c r="FN309">
        <v>483</v>
      </c>
      <c r="FO309">
        <v>433</v>
      </c>
      <c r="FP309">
        <v>0</v>
      </c>
      <c r="FQ309">
        <v>0</v>
      </c>
      <c r="FR309">
        <v>562</v>
      </c>
      <c r="FS309">
        <v>14</v>
      </c>
      <c r="FT309">
        <v>680</v>
      </c>
      <c r="FU309">
        <v>456</v>
      </c>
      <c r="FV309">
        <v>2073</v>
      </c>
      <c r="FW309">
        <v>2169</v>
      </c>
      <c r="FX309">
        <v>851</v>
      </c>
      <c r="FY309">
        <v>211</v>
      </c>
      <c r="FZ309">
        <v>388</v>
      </c>
      <c r="GA309">
        <v>0</v>
      </c>
      <c r="GB309">
        <v>0</v>
      </c>
      <c r="GC309">
        <v>0</v>
      </c>
      <c r="GD309">
        <v>6455</v>
      </c>
      <c r="GE309">
        <v>8526</v>
      </c>
      <c r="GF309">
        <v>11277</v>
      </c>
      <c r="GG309">
        <v>250</v>
      </c>
      <c r="GH309">
        <v>5885</v>
      </c>
      <c r="GI309">
        <v>0</v>
      </c>
      <c r="GJ309">
        <v>0</v>
      </c>
      <c r="GK309">
        <v>45079</v>
      </c>
      <c r="GL309">
        <v>364</v>
      </c>
      <c r="GM309">
        <v>499</v>
      </c>
      <c r="GN309">
        <v>555</v>
      </c>
      <c r="GO309">
        <v>1304</v>
      </c>
      <c r="GP309">
        <v>142</v>
      </c>
      <c r="GQ309">
        <v>5625</v>
      </c>
      <c r="GR309">
        <v>0</v>
      </c>
      <c r="GS309">
        <v>0</v>
      </c>
      <c r="GT309">
        <v>3829</v>
      </c>
      <c r="GU309">
        <v>12318</v>
      </c>
      <c r="GV309">
        <v>97581</v>
      </c>
      <c r="GW309">
        <v>0</v>
      </c>
      <c r="GX309">
        <v>0</v>
      </c>
      <c r="GY309">
        <v>0</v>
      </c>
      <c r="GZ309">
        <v>0</v>
      </c>
      <c r="HA309">
        <v>0</v>
      </c>
      <c r="HB309">
        <v>5665</v>
      </c>
      <c r="HC309">
        <v>-985</v>
      </c>
      <c r="HD309">
        <v>0</v>
      </c>
      <c r="HE309">
        <v>0</v>
      </c>
      <c r="HF309">
        <v>1000</v>
      </c>
      <c r="HG309">
        <v>1767</v>
      </c>
      <c r="HH309">
        <v>62</v>
      </c>
      <c r="HI309">
        <v>-246</v>
      </c>
      <c r="HJ309">
        <v>562</v>
      </c>
      <c r="HK309">
        <v>1008</v>
      </c>
      <c r="HL309">
        <v>336</v>
      </c>
      <c r="HM309">
        <v>-38</v>
      </c>
      <c r="HN309">
        <v>0</v>
      </c>
      <c r="HO309">
        <v>0</v>
      </c>
      <c r="HP309">
        <v>399</v>
      </c>
      <c r="HQ309">
        <v>0</v>
      </c>
      <c r="HR309">
        <v>9532</v>
      </c>
      <c r="HS309">
        <v>0</v>
      </c>
      <c r="HT309">
        <v>0</v>
      </c>
      <c r="HU309">
        <v>5611</v>
      </c>
      <c r="HV309">
        <v>24673</v>
      </c>
      <c r="HW309">
        <v>0</v>
      </c>
      <c r="HX309">
        <v>6331</v>
      </c>
      <c r="HY309">
        <v>0</v>
      </c>
      <c r="HZ309">
        <v>765</v>
      </c>
      <c r="IA309">
        <v>337</v>
      </c>
      <c r="IB309">
        <v>0</v>
      </c>
      <c r="IC309">
        <v>293498</v>
      </c>
      <c r="ID309">
        <v>55487</v>
      </c>
      <c r="IE309">
        <v>123257</v>
      </c>
      <c r="IF309">
        <v>227355</v>
      </c>
      <c r="IG309">
        <v>57546</v>
      </c>
      <c r="IH309">
        <v>16221</v>
      </c>
      <c r="II309">
        <v>40184</v>
      </c>
      <c r="IJ309">
        <v>45079</v>
      </c>
      <c r="IK309">
        <v>12318</v>
      </c>
      <c r="IL309">
        <v>0</v>
      </c>
      <c r="IM309">
        <v>0</v>
      </c>
      <c r="IN309">
        <v>24673</v>
      </c>
      <c r="IO309">
        <v>0</v>
      </c>
      <c r="IP309">
        <v>895618</v>
      </c>
      <c r="IQ309">
        <v>74443</v>
      </c>
      <c r="IR309">
        <v>818</v>
      </c>
      <c r="IS309">
        <v>61195</v>
      </c>
      <c r="IT309">
        <v>0</v>
      </c>
      <c r="IU309">
        <v>0</v>
      </c>
      <c r="IV309">
        <v>638</v>
      </c>
      <c r="IW309">
        <v>22572</v>
      </c>
      <c r="IX309">
        <v>0</v>
      </c>
      <c r="IY309">
        <v>0</v>
      </c>
      <c r="IZ309">
        <v>0</v>
      </c>
      <c r="JA309">
        <v>-5691</v>
      </c>
      <c r="JB309">
        <v>5881</v>
      </c>
      <c r="JC309">
        <v>0</v>
      </c>
      <c r="JD309">
        <v>0</v>
      </c>
      <c r="JE309">
        <v>0</v>
      </c>
      <c r="JF309">
        <v>0</v>
      </c>
      <c r="JG309">
        <v>1055474</v>
      </c>
      <c r="JH309">
        <v>249</v>
      </c>
      <c r="JI309">
        <v>6788</v>
      </c>
      <c r="JJ309">
        <v>0</v>
      </c>
      <c r="JK309">
        <v>0</v>
      </c>
      <c r="JL309">
        <v>0</v>
      </c>
      <c r="JM309">
        <v>-968</v>
      </c>
      <c r="JN309">
        <v>12542</v>
      </c>
      <c r="JO309">
        <v>0</v>
      </c>
      <c r="JP309">
        <v>28471</v>
      </c>
      <c r="JQ309">
        <v>-12862</v>
      </c>
      <c r="JR309">
        <v>1089694</v>
      </c>
      <c r="JS309">
        <v>-960</v>
      </c>
      <c r="JT309">
        <v>0</v>
      </c>
      <c r="JU309">
        <v>0</v>
      </c>
      <c r="JV309">
        <v>0</v>
      </c>
      <c r="JW309">
        <v>-145565</v>
      </c>
      <c r="JX309">
        <v>0</v>
      </c>
      <c r="JY309">
        <v>-4438</v>
      </c>
      <c r="JZ309">
        <v>0</v>
      </c>
      <c r="KA309">
        <v>0</v>
      </c>
      <c r="KB309">
        <v>0</v>
      </c>
      <c r="KC309">
        <v>938731</v>
      </c>
      <c r="KD309">
        <v>0</v>
      </c>
      <c r="KE309">
        <v>-491780</v>
      </c>
      <c r="KF309">
        <v>446951</v>
      </c>
      <c r="KG309">
        <v>0</v>
      </c>
      <c r="KH309">
        <v>3138</v>
      </c>
      <c r="KI309">
        <v>-2027</v>
      </c>
      <c r="KJ309">
        <v>4079</v>
      </c>
      <c r="KK309">
        <v>-15970</v>
      </c>
      <c r="KL309">
        <v>0</v>
      </c>
      <c r="KM309">
        <v>-37701</v>
      </c>
      <c r="KN309">
        <v>0</v>
      </c>
      <c r="KO309">
        <v>-112673</v>
      </c>
      <c r="KP309">
        <v>4697</v>
      </c>
      <c r="KQ309">
        <v>-115</v>
      </c>
      <c r="KR309">
        <v>235612</v>
      </c>
      <c r="KS309">
        <v>14606</v>
      </c>
      <c r="KT309">
        <v>10505</v>
      </c>
      <c r="KU309">
        <v>2051</v>
      </c>
      <c r="KV309">
        <v>335969</v>
      </c>
      <c r="KW309">
        <v>12914</v>
      </c>
      <c r="KX309">
        <v>17744</v>
      </c>
      <c r="KY309">
        <v>8478</v>
      </c>
      <c r="KZ309">
        <v>6130</v>
      </c>
      <c r="LA309">
        <v>319999</v>
      </c>
      <c r="LB309">
        <v>12914</v>
      </c>
      <c r="LC309">
        <v>0</v>
      </c>
      <c r="LD309">
        <v>57827</v>
      </c>
      <c r="LE309">
        <v>0</v>
      </c>
      <c r="LF309">
        <v>-2899</v>
      </c>
      <c r="LG309">
        <v>-27264</v>
      </c>
      <c r="LH309">
        <v>19173</v>
      </c>
      <c r="LI309">
        <v>47217</v>
      </c>
      <c r="LJ309">
        <v>17532</v>
      </c>
      <c r="LK309">
        <v>23615</v>
      </c>
      <c r="LL309">
        <v>41147</v>
      </c>
      <c r="LM309">
        <v>0</v>
      </c>
      <c r="LN309">
        <v>0</v>
      </c>
      <c r="LO309">
        <v>0</v>
      </c>
      <c r="LP309">
        <v>154161</v>
      </c>
      <c r="LQ309">
        <v>156138</v>
      </c>
      <c r="LR309">
        <v>-1977</v>
      </c>
      <c r="LS309">
        <v>11953</v>
      </c>
      <c r="LT309">
        <v>9976</v>
      </c>
      <c r="LU309">
        <v>293498</v>
      </c>
      <c r="LV309">
        <v>55487</v>
      </c>
      <c r="LW309">
        <v>123257</v>
      </c>
      <c r="LX309">
        <v>227355</v>
      </c>
      <c r="LY309">
        <v>57546</v>
      </c>
      <c r="LZ309">
        <v>16221</v>
      </c>
      <c r="MA309">
        <v>40184</v>
      </c>
      <c r="MB309">
        <v>45079</v>
      </c>
      <c r="MC309">
        <v>12318</v>
      </c>
      <c r="MD309">
        <v>0</v>
      </c>
      <c r="ME309">
        <v>0</v>
      </c>
      <c r="MF309">
        <v>24673</v>
      </c>
      <c r="MG309">
        <v>0</v>
      </c>
      <c r="MH309">
        <v>895618</v>
      </c>
      <c r="MI309">
        <v>-1</v>
      </c>
      <c r="MJ309">
        <v>0</v>
      </c>
      <c r="MK309">
        <v>0</v>
      </c>
      <c r="ML309">
        <v>0</v>
      </c>
      <c r="MM309">
        <v>0</v>
      </c>
      <c r="MN309">
        <v>0</v>
      </c>
      <c r="MO309">
        <v>0</v>
      </c>
      <c r="MP309">
        <v>0</v>
      </c>
      <c r="MQ309">
        <v>0</v>
      </c>
      <c r="MR309">
        <v>0</v>
      </c>
      <c r="MS309">
        <v>0</v>
      </c>
      <c r="MT309">
        <v>0</v>
      </c>
      <c r="MU309">
        <v>0</v>
      </c>
      <c r="MV309">
        <v>0</v>
      </c>
      <c r="MW309">
        <v>0</v>
      </c>
      <c r="MX309">
        <v>0</v>
      </c>
      <c r="MY309">
        <v>-5777</v>
      </c>
      <c r="MZ309">
        <v>1230</v>
      </c>
      <c r="NA309">
        <v>-5691</v>
      </c>
      <c r="NB309">
        <v>0</v>
      </c>
      <c r="NC309">
        <v>-5691</v>
      </c>
      <c r="ND309">
        <v>0</v>
      </c>
      <c r="NE309">
        <v>0</v>
      </c>
      <c r="NF309">
        <v>0</v>
      </c>
      <c r="NG309">
        <v>0</v>
      </c>
      <c r="NH309">
        <v>0</v>
      </c>
      <c r="NI309">
        <v>0</v>
      </c>
      <c r="NJ309">
        <v>0</v>
      </c>
      <c r="NK309">
        <v>0</v>
      </c>
      <c r="NL309">
        <v>0</v>
      </c>
      <c r="NM309">
        <v>1543</v>
      </c>
      <c r="NN309">
        <v>0</v>
      </c>
      <c r="NO309">
        <v>2666</v>
      </c>
      <c r="NP309">
        <v>0</v>
      </c>
      <c r="NQ309">
        <v>1387</v>
      </c>
      <c r="NR309">
        <v>285</v>
      </c>
      <c r="NS309">
        <v>0</v>
      </c>
      <c r="NT309">
        <v>0</v>
      </c>
      <c r="NU309">
        <v>0</v>
      </c>
      <c r="NV309">
        <v>0</v>
      </c>
      <c r="NW309">
        <v>0</v>
      </c>
      <c r="NX309">
        <v>0</v>
      </c>
      <c r="NY309">
        <v>0</v>
      </c>
      <c r="NZ309">
        <v>5881</v>
      </c>
      <c r="OA309">
        <v>0</v>
      </c>
      <c r="OB309">
        <v>5881</v>
      </c>
      <c r="OC309">
        <v>0</v>
      </c>
      <c r="OD309">
        <v>0</v>
      </c>
      <c r="OE309">
        <v>0</v>
      </c>
      <c r="OF309">
        <v>0</v>
      </c>
      <c r="OG309">
        <v>0</v>
      </c>
      <c r="OH309">
        <v>0</v>
      </c>
      <c r="OI309">
        <v>0</v>
      </c>
      <c r="OJ309">
        <v>0</v>
      </c>
      <c r="OK309">
        <v>0</v>
      </c>
      <c r="OL309">
        <v>0</v>
      </c>
      <c r="OM309">
        <v>0</v>
      </c>
      <c r="ON309">
        <v>0</v>
      </c>
    </row>
    <row r="310" spans="1:404" x14ac:dyDescent="0.25">
      <c r="A310" t="s">
        <v>1064</v>
      </c>
      <c r="B310" t="s">
        <v>1065</v>
      </c>
      <c r="C310" s="425" t="s">
        <v>1063</v>
      </c>
      <c r="E310" t="s">
        <v>1390</v>
      </c>
      <c r="F310">
        <v>0</v>
      </c>
      <c r="G310">
        <v>0</v>
      </c>
      <c r="H310">
        <v>0</v>
      </c>
      <c r="I310">
        <v>0</v>
      </c>
      <c r="J310">
        <v>0</v>
      </c>
      <c r="K310">
        <v>19431</v>
      </c>
      <c r="L310">
        <v>19431</v>
      </c>
      <c r="M310">
        <v>0</v>
      </c>
      <c r="N310">
        <v>1981</v>
      </c>
      <c r="O310">
        <v>0</v>
      </c>
      <c r="P310">
        <v>0</v>
      </c>
      <c r="Q310">
        <v>0</v>
      </c>
      <c r="R310">
        <v>0</v>
      </c>
      <c r="S310">
        <v>0</v>
      </c>
      <c r="T310">
        <v>0</v>
      </c>
      <c r="U310">
        <v>0</v>
      </c>
      <c r="V310">
        <v>0</v>
      </c>
      <c r="W310">
        <v>0</v>
      </c>
      <c r="X310">
        <v>0</v>
      </c>
      <c r="Y310">
        <v>1</v>
      </c>
      <c r="Z310">
        <v>0</v>
      </c>
      <c r="AA310">
        <v>0</v>
      </c>
      <c r="AB310">
        <v>22711</v>
      </c>
      <c r="AC310">
        <v>1455</v>
      </c>
      <c r="AD310">
        <v>5269</v>
      </c>
      <c r="AE310">
        <v>0</v>
      </c>
      <c r="AF310">
        <v>366</v>
      </c>
      <c r="AG310">
        <v>10037</v>
      </c>
      <c r="AH310">
        <v>0</v>
      </c>
      <c r="AI310">
        <v>41821</v>
      </c>
      <c r="AJ310">
        <v>0</v>
      </c>
      <c r="AK310">
        <v>0</v>
      </c>
      <c r="AL310">
        <v>0</v>
      </c>
      <c r="AM310">
        <v>0</v>
      </c>
      <c r="AN310">
        <v>0</v>
      </c>
      <c r="AO310">
        <v>0</v>
      </c>
      <c r="AP310">
        <v>0</v>
      </c>
      <c r="AQ310">
        <v>0</v>
      </c>
      <c r="AR310">
        <v>0</v>
      </c>
      <c r="AS310">
        <v>0</v>
      </c>
      <c r="AT310">
        <v>0</v>
      </c>
      <c r="AU310">
        <v>0</v>
      </c>
      <c r="AV310">
        <v>0</v>
      </c>
      <c r="AW310">
        <v>0</v>
      </c>
      <c r="AX310">
        <v>0</v>
      </c>
      <c r="AY310">
        <v>0</v>
      </c>
      <c r="AZ310">
        <v>0</v>
      </c>
      <c r="BA310">
        <v>0</v>
      </c>
      <c r="BB310">
        <v>0</v>
      </c>
      <c r="BC310">
        <v>0</v>
      </c>
      <c r="BD310">
        <v>0</v>
      </c>
      <c r="BE310">
        <v>0</v>
      </c>
      <c r="BF310">
        <v>0</v>
      </c>
      <c r="BG310">
        <v>0</v>
      </c>
      <c r="BH310">
        <v>0</v>
      </c>
      <c r="BI310">
        <v>0</v>
      </c>
      <c r="BJ310">
        <v>0</v>
      </c>
      <c r="BK310">
        <v>0</v>
      </c>
      <c r="BL310">
        <v>0</v>
      </c>
      <c r="BM310">
        <v>0</v>
      </c>
      <c r="BN310">
        <v>0</v>
      </c>
      <c r="BO310">
        <v>0</v>
      </c>
      <c r="BP310">
        <v>0</v>
      </c>
      <c r="BQ310">
        <v>0</v>
      </c>
      <c r="BR310">
        <v>0</v>
      </c>
      <c r="BS310">
        <v>0</v>
      </c>
      <c r="BT310">
        <v>0</v>
      </c>
      <c r="BU310">
        <v>0</v>
      </c>
      <c r="BV310">
        <v>0</v>
      </c>
      <c r="BW310">
        <v>0</v>
      </c>
      <c r="BX310">
        <v>0</v>
      </c>
      <c r="BY310">
        <v>0</v>
      </c>
      <c r="BZ310">
        <v>0</v>
      </c>
      <c r="CA310">
        <v>0</v>
      </c>
      <c r="CB310">
        <v>0</v>
      </c>
      <c r="CC310">
        <v>0</v>
      </c>
      <c r="CD310">
        <v>0</v>
      </c>
      <c r="CE310">
        <v>0</v>
      </c>
      <c r="CF310">
        <v>0</v>
      </c>
      <c r="CG310">
        <v>0</v>
      </c>
      <c r="CH310">
        <v>0</v>
      </c>
      <c r="CI310">
        <v>0</v>
      </c>
      <c r="CJ310">
        <v>0</v>
      </c>
      <c r="CK310">
        <v>0</v>
      </c>
      <c r="CL310">
        <v>0</v>
      </c>
      <c r="CM310">
        <v>0</v>
      </c>
      <c r="CN310">
        <v>0</v>
      </c>
      <c r="CO310">
        <v>0</v>
      </c>
      <c r="CP310">
        <v>0</v>
      </c>
      <c r="CQ310">
        <v>0</v>
      </c>
      <c r="CR310">
        <v>0</v>
      </c>
      <c r="CS310">
        <v>0</v>
      </c>
      <c r="CT310">
        <v>0</v>
      </c>
      <c r="CU310">
        <v>0</v>
      </c>
      <c r="CV310">
        <v>0</v>
      </c>
      <c r="CW310">
        <v>0</v>
      </c>
      <c r="CX310">
        <v>0</v>
      </c>
      <c r="CY310">
        <v>0</v>
      </c>
      <c r="CZ310">
        <v>0</v>
      </c>
      <c r="DA310">
        <v>0</v>
      </c>
      <c r="DB310">
        <v>0</v>
      </c>
      <c r="DC310">
        <v>795</v>
      </c>
      <c r="DD310">
        <v>0</v>
      </c>
      <c r="DE310">
        <v>0</v>
      </c>
      <c r="DF310">
        <v>0</v>
      </c>
      <c r="DG310">
        <v>0</v>
      </c>
      <c r="DH310">
        <v>0</v>
      </c>
      <c r="DI310">
        <v>0</v>
      </c>
      <c r="DJ310">
        <v>0</v>
      </c>
      <c r="DK310">
        <v>0</v>
      </c>
      <c r="DL310">
        <v>0</v>
      </c>
      <c r="DM310">
        <v>0</v>
      </c>
      <c r="DN310">
        <v>0</v>
      </c>
      <c r="DO310">
        <v>0</v>
      </c>
      <c r="DP310">
        <v>0</v>
      </c>
      <c r="DQ310">
        <v>0</v>
      </c>
      <c r="DR310">
        <v>0</v>
      </c>
      <c r="DS310">
        <v>0</v>
      </c>
      <c r="DT310">
        <v>0</v>
      </c>
      <c r="DU310">
        <v>0</v>
      </c>
      <c r="DV310">
        <v>0</v>
      </c>
      <c r="DW310">
        <v>0</v>
      </c>
      <c r="DX310">
        <v>795</v>
      </c>
      <c r="DY310">
        <v>0</v>
      </c>
      <c r="DZ310">
        <v>0</v>
      </c>
      <c r="EA310">
        <v>0</v>
      </c>
      <c r="EB310">
        <v>0</v>
      </c>
      <c r="EC310">
        <v>0</v>
      </c>
      <c r="ED310">
        <v>0</v>
      </c>
      <c r="EE310">
        <v>0</v>
      </c>
      <c r="EF310">
        <v>0</v>
      </c>
      <c r="EG310">
        <v>0</v>
      </c>
      <c r="EH310">
        <v>0</v>
      </c>
      <c r="EI310">
        <v>0</v>
      </c>
      <c r="EJ310">
        <v>0</v>
      </c>
      <c r="EK310">
        <v>0</v>
      </c>
      <c r="EL310">
        <v>0</v>
      </c>
      <c r="EM310">
        <v>0</v>
      </c>
      <c r="EN310">
        <v>0</v>
      </c>
      <c r="EO310">
        <v>0</v>
      </c>
      <c r="EP310">
        <v>0</v>
      </c>
      <c r="EQ310">
        <v>0</v>
      </c>
      <c r="ER310">
        <v>0</v>
      </c>
      <c r="ES310">
        <v>0</v>
      </c>
      <c r="ET310">
        <v>0</v>
      </c>
      <c r="EU310">
        <v>0</v>
      </c>
      <c r="EV310">
        <v>117</v>
      </c>
      <c r="EW310">
        <v>0</v>
      </c>
      <c r="EX310">
        <v>0</v>
      </c>
      <c r="EY310">
        <v>0</v>
      </c>
      <c r="EZ310">
        <v>0</v>
      </c>
      <c r="FA310">
        <v>0</v>
      </c>
      <c r="FB310">
        <v>99</v>
      </c>
      <c r="FC310">
        <v>0</v>
      </c>
      <c r="FD310">
        <v>0</v>
      </c>
      <c r="FE310">
        <v>0</v>
      </c>
      <c r="FF310">
        <v>0</v>
      </c>
      <c r="FG310">
        <v>0</v>
      </c>
      <c r="FH310">
        <v>216</v>
      </c>
      <c r="FI310">
        <v>0</v>
      </c>
      <c r="FJ310">
        <v>0</v>
      </c>
      <c r="FK310">
        <v>0</v>
      </c>
      <c r="FL310">
        <v>0</v>
      </c>
      <c r="FM310">
        <v>0</v>
      </c>
      <c r="FN310">
        <v>0</v>
      </c>
      <c r="FO310">
        <v>0</v>
      </c>
      <c r="FP310">
        <v>0</v>
      </c>
      <c r="FQ310">
        <v>0</v>
      </c>
      <c r="FR310">
        <v>0</v>
      </c>
      <c r="FS310">
        <v>0</v>
      </c>
      <c r="FT310">
        <v>0</v>
      </c>
      <c r="FU310">
        <v>0</v>
      </c>
      <c r="FV310">
        <v>0</v>
      </c>
      <c r="FW310">
        <v>0</v>
      </c>
      <c r="FX310">
        <v>0</v>
      </c>
      <c r="FY310">
        <v>0</v>
      </c>
      <c r="FZ310">
        <v>0</v>
      </c>
      <c r="GA310">
        <v>0</v>
      </c>
      <c r="GB310">
        <v>0</v>
      </c>
      <c r="GC310">
        <v>0</v>
      </c>
      <c r="GD310">
        <v>0</v>
      </c>
      <c r="GE310">
        <v>0</v>
      </c>
      <c r="GF310">
        <v>0</v>
      </c>
      <c r="GG310">
        <v>0</v>
      </c>
      <c r="GH310">
        <v>0</v>
      </c>
      <c r="GI310">
        <v>0</v>
      </c>
      <c r="GJ310">
        <v>0</v>
      </c>
      <c r="GK310">
        <v>0</v>
      </c>
      <c r="GL310">
        <v>0</v>
      </c>
      <c r="GM310">
        <v>0</v>
      </c>
      <c r="GN310">
        <v>0</v>
      </c>
      <c r="GO310">
        <v>66</v>
      </c>
      <c r="GP310">
        <v>0</v>
      </c>
      <c r="GQ310">
        <v>6094</v>
      </c>
      <c r="GR310">
        <v>0</v>
      </c>
      <c r="GS310">
        <v>16422</v>
      </c>
      <c r="GT310">
        <v>0</v>
      </c>
      <c r="GU310">
        <v>22583</v>
      </c>
      <c r="GV310">
        <v>22799</v>
      </c>
      <c r="GW310">
        <v>0</v>
      </c>
      <c r="GX310">
        <v>0</v>
      </c>
      <c r="GY310">
        <v>0</v>
      </c>
      <c r="GZ310">
        <v>0</v>
      </c>
      <c r="HA310">
        <v>0</v>
      </c>
      <c r="HB310">
        <v>13356</v>
      </c>
      <c r="HC310">
        <v>0</v>
      </c>
      <c r="HD310">
        <v>0</v>
      </c>
      <c r="HE310">
        <v>0</v>
      </c>
      <c r="HF310">
        <v>0</v>
      </c>
      <c r="HG310">
        <v>0</v>
      </c>
      <c r="HH310">
        <v>0</v>
      </c>
      <c r="HI310">
        <v>0</v>
      </c>
      <c r="HJ310">
        <v>0</v>
      </c>
      <c r="HK310">
        <v>0</v>
      </c>
      <c r="HL310">
        <v>0</v>
      </c>
      <c r="HM310">
        <v>0</v>
      </c>
      <c r="HN310">
        <v>0</v>
      </c>
      <c r="HO310">
        <v>0</v>
      </c>
      <c r="HP310">
        <v>0</v>
      </c>
      <c r="HQ310">
        <v>0</v>
      </c>
      <c r="HR310">
        <v>0</v>
      </c>
      <c r="HS310">
        <v>0</v>
      </c>
      <c r="HT310">
        <v>0</v>
      </c>
      <c r="HU310">
        <v>0</v>
      </c>
      <c r="HV310">
        <v>13356</v>
      </c>
      <c r="HW310">
        <v>0</v>
      </c>
      <c r="HX310">
        <v>0</v>
      </c>
      <c r="HY310">
        <v>0</v>
      </c>
      <c r="HZ310">
        <v>0</v>
      </c>
      <c r="IA310">
        <v>0</v>
      </c>
      <c r="IB310">
        <v>0</v>
      </c>
      <c r="IC310">
        <v>19431</v>
      </c>
      <c r="ID310">
        <v>41821</v>
      </c>
      <c r="IE310">
        <v>0</v>
      </c>
      <c r="IF310">
        <v>0</v>
      </c>
      <c r="IG310">
        <v>0</v>
      </c>
      <c r="IH310">
        <v>795</v>
      </c>
      <c r="II310">
        <v>216</v>
      </c>
      <c r="IJ310">
        <v>0</v>
      </c>
      <c r="IK310">
        <v>22583</v>
      </c>
      <c r="IL310">
        <v>0</v>
      </c>
      <c r="IM310">
        <v>0</v>
      </c>
      <c r="IN310">
        <v>13356</v>
      </c>
      <c r="IO310">
        <v>0</v>
      </c>
      <c r="IP310">
        <v>98202</v>
      </c>
      <c r="IQ310">
        <v>0</v>
      </c>
      <c r="IR310">
        <v>0</v>
      </c>
      <c r="IS310">
        <v>0</v>
      </c>
      <c r="IT310">
        <v>0</v>
      </c>
      <c r="IU310">
        <v>0</v>
      </c>
      <c r="IV310">
        <v>0</v>
      </c>
      <c r="IW310">
        <v>-54364</v>
      </c>
      <c r="IX310">
        <v>0</v>
      </c>
      <c r="IY310">
        <v>0</v>
      </c>
      <c r="IZ310">
        <v>-1184</v>
      </c>
      <c r="JA310">
        <v>-126</v>
      </c>
      <c r="JB310">
        <v>0</v>
      </c>
      <c r="JC310">
        <v>0</v>
      </c>
      <c r="JD310">
        <v>0</v>
      </c>
      <c r="JE310">
        <v>0</v>
      </c>
      <c r="JF310">
        <v>0</v>
      </c>
      <c r="JG310">
        <v>42528</v>
      </c>
      <c r="JH310">
        <v>0</v>
      </c>
      <c r="JI310">
        <v>0</v>
      </c>
      <c r="JJ310">
        <v>0</v>
      </c>
      <c r="JK310">
        <v>0</v>
      </c>
      <c r="JL310">
        <v>0</v>
      </c>
      <c r="JM310">
        <v>-290</v>
      </c>
      <c r="JN310">
        <v>1219</v>
      </c>
      <c r="JO310">
        <v>142</v>
      </c>
      <c r="JP310">
        <v>8316</v>
      </c>
      <c r="JQ310">
        <v>0</v>
      </c>
      <c r="JR310">
        <v>51915</v>
      </c>
      <c r="JS310">
        <v>-1975</v>
      </c>
      <c r="JT310">
        <v>0</v>
      </c>
      <c r="JU310">
        <v>0</v>
      </c>
      <c r="JV310">
        <v>0</v>
      </c>
      <c r="JW310">
        <v>-19816</v>
      </c>
      <c r="JX310">
        <v>0</v>
      </c>
      <c r="JY310">
        <v>0</v>
      </c>
      <c r="JZ310">
        <v>0</v>
      </c>
      <c r="KA310">
        <v>0</v>
      </c>
      <c r="KB310">
        <v>0</v>
      </c>
      <c r="KC310">
        <v>30125</v>
      </c>
      <c r="KD310">
        <v>0</v>
      </c>
      <c r="KE310">
        <v>-37589</v>
      </c>
      <c r="KF310">
        <v>-7465</v>
      </c>
      <c r="KG310">
        <v>0</v>
      </c>
      <c r="KH310">
        <v>0</v>
      </c>
      <c r="KI310">
        <v>0</v>
      </c>
      <c r="KJ310">
        <v>0</v>
      </c>
      <c r="KK310">
        <v>9867</v>
      </c>
      <c r="KL310">
        <v>-180</v>
      </c>
      <c r="KM310">
        <v>0</v>
      </c>
      <c r="KN310">
        <v>0</v>
      </c>
      <c r="KO310">
        <v>-2222</v>
      </c>
      <c r="KP310">
        <v>0</v>
      </c>
      <c r="KQ310">
        <v>0</v>
      </c>
      <c r="KR310">
        <v>0</v>
      </c>
      <c r="KS310">
        <v>0</v>
      </c>
      <c r="KT310">
        <v>0</v>
      </c>
      <c r="KU310">
        <v>0</v>
      </c>
      <c r="KV310">
        <v>72865</v>
      </c>
      <c r="KW310">
        <v>8024</v>
      </c>
      <c r="KX310">
        <v>0</v>
      </c>
      <c r="KY310">
        <v>0</v>
      </c>
      <c r="KZ310">
        <v>0</v>
      </c>
      <c r="LA310">
        <v>82732</v>
      </c>
      <c r="LB310">
        <v>7844</v>
      </c>
      <c r="LC310">
        <v>0</v>
      </c>
      <c r="LD310">
        <v>8317</v>
      </c>
      <c r="LE310">
        <v>217</v>
      </c>
      <c r="LF310">
        <v>0</v>
      </c>
      <c r="LG310">
        <v>-73540</v>
      </c>
      <c r="LH310">
        <v>86610</v>
      </c>
      <c r="LI310">
        <v>21404</v>
      </c>
      <c r="LJ310">
        <v>0</v>
      </c>
      <c r="LK310">
        <v>0</v>
      </c>
      <c r="LL310">
        <v>0</v>
      </c>
      <c r="LM310">
        <v>0</v>
      </c>
      <c r="LN310">
        <v>0</v>
      </c>
      <c r="LO310">
        <v>0</v>
      </c>
      <c r="LP310">
        <v>0</v>
      </c>
      <c r="LQ310">
        <v>0</v>
      </c>
      <c r="LR310">
        <v>0</v>
      </c>
      <c r="LS310">
        <v>0</v>
      </c>
      <c r="LT310">
        <v>0</v>
      </c>
      <c r="LU310">
        <v>19431</v>
      </c>
      <c r="LV310">
        <v>41821</v>
      </c>
      <c r="LW310">
        <v>0</v>
      </c>
      <c r="LX310">
        <v>0</v>
      </c>
      <c r="LY310">
        <v>0</v>
      </c>
      <c r="LZ310">
        <v>795</v>
      </c>
      <c r="MA310">
        <v>216</v>
      </c>
      <c r="MB310">
        <v>0</v>
      </c>
      <c r="MC310">
        <v>22583</v>
      </c>
      <c r="MD310">
        <v>0</v>
      </c>
      <c r="ME310">
        <v>0</v>
      </c>
      <c r="MF310">
        <v>13356</v>
      </c>
      <c r="MG310">
        <v>0</v>
      </c>
      <c r="MH310">
        <v>98202</v>
      </c>
      <c r="MI310">
        <v>0</v>
      </c>
      <c r="MJ310">
        <v>0</v>
      </c>
      <c r="MK310">
        <v>0</v>
      </c>
      <c r="ML310">
        <v>0</v>
      </c>
      <c r="MM310">
        <v>0</v>
      </c>
      <c r="MN310">
        <v>0</v>
      </c>
      <c r="MO310">
        <v>0</v>
      </c>
      <c r="MP310">
        <v>0</v>
      </c>
      <c r="MQ310">
        <v>0</v>
      </c>
      <c r="MR310">
        <v>0</v>
      </c>
      <c r="MS310">
        <v>0</v>
      </c>
      <c r="MT310">
        <v>0</v>
      </c>
      <c r="MU310">
        <v>0</v>
      </c>
      <c r="MV310">
        <v>0</v>
      </c>
      <c r="MW310">
        <v>0</v>
      </c>
      <c r="MX310">
        <v>0</v>
      </c>
      <c r="MY310">
        <v>-126</v>
      </c>
      <c r="MZ310">
        <v>0</v>
      </c>
      <c r="NA310">
        <v>-126</v>
      </c>
      <c r="NB310">
        <v>0</v>
      </c>
      <c r="NC310">
        <v>-126</v>
      </c>
      <c r="ND310">
        <v>0</v>
      </c>
      <c r="NE310">
        <v>0</v>
      </c>
      <c r="NF310">
        <v>0</v>
      </c>
      <c r="NG310">
        <v>0</v>
      </c>
      <c r="NH310">
        <v>0</v>
      </c>
      <c r="NI310">
        <v>0</v>
      </c>
      <c r="NJ310">
        <v>0</v>
      </c>
      <c r="NK310">
        <v>0</v>
      </c>
      <c r="NL310">
        <v>0</v>
      </c>
      <c r="NM310">
        <v>0</v>
      </c>
      <c r="NN310">
        <v>0</v>
      </c>
      <c r="NO310">
        <v>0</v>
      </c>
      <c r="NP310">
        <v>0</v>
      </c>
      <c r="NQ310">
        <v>0</v>
      </c>
      <c r="NR310">
        <v>0</v>
      </c>
      <c r="NS310">
        <v>0</v>
      </c>
      <c r="NT310">
        <v>0</v>
      </c>
      <c r="NU310">
        <v>0</v>
      </c>
      <c r="NV310">
        <v>0</v>
      </c>
      <c r="NW310">
        <v>0</v>
      </c>
      <c r="NX310">
        <v>0</v>
      </c>
      <c r="NY310">
        <v>0</v>
      </c>
      <c r="NZ310">
        <v>0</v>
      </c>
      <c r="OA310">
        <v>0</v>
      </c>
      <c r="OB310">
        <v>0</v>
      </c>
      <c r="OC310">
        <v>0</v>
      </c>
      <c r="OD310">
        <v>0</v>
      </c>
      <c r="OE310">
        <v>0</v>
      </c>
      <c r="OF310">
        <v>0</v>
      </c>
      <c r="OG310">
        <v>0</v>
      </c>
      <c r="OH310">
        <v>0</v>
      </c>
      <c r="OI310">
        <v>0</v>
      </c>
      <c r="OJ310">
        <v>0</v>
      </c>
      <c r="OK310">
        <v>0</v>
      </c>
      <c r="OL310">
        <v>0</v>
      </c>
      <c r="OM310">
        <v>0</v>
      </c>
      <c r="ON310">
        <v>0</v>
      </c>
    </row>
    <row r="311" spans="1:404" x14ac:dyDescent="0.25">
      <c r="A311" t="s">
        <v>1003</v>
      </c>
      <c r="B311" t="s">
        <v>1004</v>
      </c>
      <c r="C311" t="s">
        <v>5443</v>
      </c>
      <c r="E311" t="s">
        <v>5408</v>
      </c>
      <c r="F311">
        <v>0</v>
      </c>
      <c r="G311">
        <v>0</v>
      </c>
      <c r="H311">
        <v>0</v>
      </c>
      <c r="I311">
        <v>0</v>
      </c>
      <c r="J311">
        <v>0</v>
      </c>
      <c r="K311">
        <v>0</v>
      </c>
      <c r="L311">
        <v>0</v>
      </c>
      <c r="M311">
        <v>0</v>
      </c>
      <c r="N311">
        <v>0</v>
      </c>
      <c r="O311">
        <v>0</v>
      </c>
      <c r="P311">
        <v>0</v>
      </c>
      <c r="Q311">
        <v>0</v>
      </c>
      <c r="R311">
        <v>0</v>
      </c>
      <c r="S311">
        <v>0</v>
      </c>
      <c r="T311">
        <v>0</v>
      </c>
      <c r="U311">
        <v>0</v>
      </c>
      <c r="V311">
        <v>0</v>
      </c>
      <c r="W311">
        <v>0</v>
      </c>
      <c r="X311">
        <v>0</v>
      </c>
      <c r="Y311">
        <v>0</v>
      </c>
      <c r="Z311">
        <v>0</v>
      </c>
      <c r="AA311">
        <v>0</v>
      </c>
      <c r="AB311">
        <v>0</v>
      </c>
      <c r="AC311">
        <v>0</v>
      </c>
      <c r="AD311">
        <v>0</v>
      </c>
      <c r="AE311">
        <v>0</v>
      </c>
      <c r="AF311">
        <v>0</v>
      </c>
      <c r="AG311">
        <v>0</v>
      </c>
      <c r="AH311">
        <v>0</v>
      </c>
      <c r="AI311">
        <v>0</v>
      </c>
      <c r="AJ311">
        <v>0</v>
      </c>
      <c r="AK311">
        <v>0</v>
      </c>
      <c r="AL311">
        <v>0</v>
      </c>
      <c r="AM311">
        <v>0</v>
      </c>
      <c r="AN311">
        <v>0</v>
      </c>
      <c r="AO311">
        <v>0</v>
      </c>
      <c r="AP311">
        <v>0</v>
      </c>
      <c r="AQ311">
        <v>0</v>
      </c>
      <c r="AR311">
        <v>0</v>
      </c>
      <c r="AS311">
        <v>0</v>
      </c>
      <c r="AT311">
        <v>0</v>
      </c>
      <c r="AU311">
        <v>0</v>
      </c>
      <c r="AV311">
        <v>0</v>
      </c>
      <c r="AW311">
        <v>0</v>
      </c>
      <c r="AX311">
        <v>0</v>
      </c>
      <c r="AY311">
        <v>0</v>
      </c>
      <c r="AZ311">
        <v>0</v>
      </c>
      <c r="BA311">
        <v>0</v>
      </c>
      <c r="BB311">
        <v>0</v>
      </c>
      <c r="BC311">
        <v>0</v>
      </c>
      <c r="BD311">
        <v>0</v>
      </c>
      <c r="BE311">
        <v>0</v>
      </c>
      <c r="BF311">
        <v>0</v>
      </c>
      <c r="BG311">
        <v>0</v>
      </c>
      <c r="BH311">
        <v>0</v>
      </c>
      <c r="BI311">
        <v>0</v>
      </c>
      <c r="BJ311">
        <v>0</v>
      </c>
      <c r="BK311">
        <v>0</v>
      </c>
      <c r="BL311">
        <v>0</v>
      </c>
      <c r="BM311">
        <v>0</v>
      </c>
      <c r="BN311">
        <v>0</v>
      </c>
      <c r="BO311">
        <v>0</v>
      </c>
      <c r="BP311">
        <v>0</v>
      </c>
      <c r="BQ311">
        <v>0</v>
      </c>
      <c r="BR311">
        <v>0</v>
      </c>
      <c r="BS311">
        <v>0</v>
      </c>
      <c r="BT311">
        <v>0</v>
      </c>
      <c r="BU311">
        <v>0</v>
      </c>
      <c r="BV311">
        <v>0</v>
      </c>
      <c r="BW311">
        <v>0</v>
      </c>
      <c r="BX311">
        <v>0</v>
      </c>
      <c r="BY311">
        <v>0</v>
      </c>
      <c r="BZ311">
        <v>0</v>
      </c>
      <c r="CA311">
        <v>0</v>
      </c>
      <c r="CB311">
        <v>0</v>
      </c>
      <c r="CC311">
        <v>0</v>
      </c>
      <c r="CD311">
        <v>0</v>
      </c>
      <c r="CE311">
        <v>0</v>
      </c>
      <c r="CF311">
        <v>0</v>
      </c>
      <c r="CG311">
        <v>0</v>
      </c>
      <c r="CH311">
        <v>0</v>
      </c>
      <c r="CI311">
        <v>0</v>
      </c>
      <c r="CJ311">
        <v>0</v>
      </c>
      <c r="CK311">
        <v>0</v>
      </c>
      <c r="CL311">
        <v>0</v>
      </c>
      <c r="CM311">
        <v>0</v>
      </c>
      <c r="CN311">
        <v>0</v>
      </c>
      <c r="CO311">
        <v>0</v>
      </c>
      <c r="CP311">
        <v>0</v>
      </c>
      <c r="CQ311">
        <v>0</v>
      </c>
      <c r="CR311">
        <v>0</v>
      </c>
      <c r="CS311">
        <v>0</v>
      </c>
      <c r="CT311">
        <v>0</v>
      </c>
      <c r="CU311">
        <v>0</v>
      </c>
      <c r="CV311">
        <v>0</v>
      </c>
      <c r="CW311">
        <v>0</v>
      </c>
      <c r="CX311">
        <v>0</v>
      </c>
      <c r="CY311">
        <v>0</v>
      </c>
      <c r="CZ311">
        <v>0</v>
      </c>
      <c r="DA311">
        <v>0</v>
      </c>
      <c r="DB311">
        <v>0</v>
      </c>
      <c r="DC311">
        <v>0</v>
      </c>
      <c r="DD311">
        <v>0</v>
      </c>
      <c r="DE311">
        <v>0</v>
      </c>
      <c r="DF311">
        <v>0</v>
      </c>
      <c r="DG311">
        <v>0</v>
      </c>
      <c r="DH311">
        <v>0</v>
      </c>
      <c r="DI311">
        <v>0</v>
      </c>
      <c r="DJ311">
        <v>0</v>
      </c>
      <c r="DK311">
        <v>0</v>
      </c>
      <c r="DL311">
        <v>0</v>
      </c>
      <c r="DM311">
        <v>0</v>
      </c>
      <c r="DN311">
        <v>0</v>
      </c>
      <c r="DO311">
        <v>0</v>
      </c>
      <c r="DP311">
        <v>0</v>
      </c>
      <c r="DQ311">
        <v>0</v>
      </c>
      <c r="DR311">
        <v>0</v>
      </c>
      <c r="DS311">
        <v>0</v>
      </c>
      <c r="DT311">
        <v>0</v>
      </c>
      <c r="DU311">
        <v>0</v>
      </c>
      <c r="DV311">
        <v>0</v>
      </c>
      <c r="DW311">
        <v>0</v>
      </c>
      <c r="DX311">
        <v>0</v>
      </c>
      <c r="DY311">
        <v>0</v>
      </c>
      <c r="DZ311">
        <v>0</v>
      </c>
      <c r="EA311">
        <v>0</v>
      </c>
      <c r="EB311">
        <v>0</v>
      </c>
      <c r="EC311">
        <v>0</v>
      </c>
      <c r="ED311">
        <v>0</v>
      </c>
      <c r="EE311">
        <v>0</v>
      </c>
      <c r="EF311">
        <v>0</v>
      </c>
      <c r="EG311">
        <v>0</v>
      </c>
      <c r="EH311">
        <v>0</v>
      </c>
      <c r="EI311">
        <v>0</v>
      </c>
      <c r="EJ311">
        <v>0</v>
      </c>
      <c r="EK311">
        <v>0</v>
      </c>
      <c r="EL311">
        <v>0</v>
      </c>
      <c r="EM311">
        <v>0</v>
      </c>
      <c r="EN311">
        <v>0</v>
      </c>
      <c r="EO311">
        <v>0</v>
      </c>
      <c r="EP311">
        <v>0</v>
      </c>
      <c r="EQ311">
        <v>0</v>
      </c>
      <c r="ER311">
        <v>0</v>
      </c>
      <c r="ES311">
        <v>0</v>
      </c>
      <c r="ET311">
        <v>0</v>
      </c>
      <c r="EU311">
        <v>0</v>
      </c>
      <c r="EV311">
        <v>0</v>
      </c>
      <c r="EW311">
        <v>0</v>
      </c>
      <c r="EX311">
        <v>0</v>
      </c>
      <c r="EY311">
        <v>0</v>
      </c>
      <c r="EZ311">
        <v>0</v>
      </c>
      <c r="FA311">
        <v>0</v>
      </c>
      <c r="FB311">
        <v>0</v>
      </c>
      <c r="FC311">
        <v>0</v>
      </c>
      <c r="FD311">
        <v>0</v>
      </c>
      <c r="FE311">
        <v>0</v>
      </c>
      <c r="FF311">
        <v>0</v>
      </c>
      <c r="FG311">
        <v>0</v>
      </c>
      <c r="FH311">
        <v>0</v>
      </c>
      <c r="FI311">
        <v>0</v>
      </c>
      <c r="FJ311">
        <v>0</v>
      </c>
      <c r="FK311">
        <v>0</v>
      </c>
      <c r="FL311">
        <v>0</v>
      </c>
      <c r="FM311">
        <v>0</v>
      </c>
      <c r="FN311">
        <v>0</v>
      </c>
      <c r="FO311">
        <v>0</v>
      </c>
      <c r="FP311">
        <v>0</v>
      </c>
      <c r="FQ311">
        <v>0</v>
      </c>
      <c r="FR311">
        <v>0</v>
      </c>
      <c r="FS311">
        <v>0</v>
      </c>
      <c r="FT311">
        <v>0</v>
      </c>
      <c r="FU311">
        <v>0</v>
      </c>
      <c r="FV311">
        <v>0</v>
      </c>
      <c r="FW311">
        <v>0</v>
      </c>
      <c r="FX311">
        <v>0</v>
      </c>
      <c r="FY311">
        <v>0</v>
      </c>
      <c r="FZ311">
        <v>0</v>
      </c>
      <c r="GA311">
        <v>0</v>
      </c>
      <c r="GB311">
        <v>0</v>
      </c>
      <c r="GC311">
        <v>0</v>
      </c>
      <c r="GD311">
        <v>0</v>
      </c>
      <c r="GE311">
        <v>0</v>
      </c>
      <c r="GF311">
        <v>0</v>
      </c>
      <c r="GG311">
        <v>0</v>
      </c>
      <c r="GH311">
        <v>0</v>
      </c>
      <c r="GI311">
        <v>0</v>
      </c>
      <c r="GJ311">
        <v>0</v>
      </c>
      <c r="GK311">
        <v>0</v>
      </c>
      <c r="GL311">
        <v>0</v>
      </c>
      <c r="GM311">
        <v>0</v>
      </c>
      <c r="GN311">
        <v>0</v>
      </c>
      <c r="GO311">
        <v>0</v>
      </c>
      <c r="GP311">
        <v>0</v>
      </c>
      <c r="GQ311">
        <v>0</v>
      </c>
      <c r="GR311">
        <v>0</v>
      </c>
      <c r="GS311">
        <v>0</v>
      </c>
      <c r="GT311">
        <v>0</v>
      </c>
      <c r="GU311">
        <v>0</v>
      </c>
      <c r="GV311">
        <v>0</v>
      </c>
      <c r="GW311">
        <v>0</v>
      </c>
      <c r="GX311">
        <v>1630</v>
      </c>
      <c r="GY311">
        <v>21579</v>
      </c>
      <c r="GZ311">
        <v>93</v>
      </c>
      <c r="HA311">
        <v>23302</v>
      </c>
      <c r="HB311">
        <v>441</v>
      </c>
      <c r="HC311">
        <v>0</v>
      </c>
      <c r="HD311">
        <v>0</v>
      </c>
      <c r="HE311">
        <v>0</v>
      </c>
      <c r="HF311">
        <v>0</v>
      </c>
      <c r="HG311">
        <v>0</v>
      </c>
      <c r="HH311">
        <v>0</v>
      </c>
      <c r="HI311">
        <v>0</v>
      </c>
      <c r="HJ311">
        <v>0</v>
      </c>
      <c r="HK311">
        <v>0</v>
      </c>
      <c r="HL311">
        <v>0</v>
      </c>
      <c r="HM311">
        <v>0</v>
      </c>
      <c r="HN311">
        <v>0</v>
      </c>
      <c r="HO311">
        <v>0</v>
      </c>
      <c r="HP311">
        <v>0</v>
      </c>
      <c r="HQ311">
        <v>0</v>
      </c>
      <c r="HR311">
        <v>0</v>
      </c>
      <c r="HS311">
        <v>0</v>
      </c>
      <c r="HT311">
        <v>0</v>
      </c>
      <c r="HU311">
        <v>0</v>
      </c>
      <c r="HV311">
        <v>441</v>
      </c>
      <c r="HW311">
        <v>0</v>
      </c>
      <c r="HX311">
        <v>0</v>
      </c>
      <c r="HY311">
        <v>0</v>
      </c>
      <c r="HZ311">
        <v>0</v>
      </c>
      <c r="IA311">
        <v>0</v>
      </c>
      <c r="IB311">
        <v>0</v>
      </c>
      <c r="IC311">
        <v>0</v>
      </c>
      <c r="ID311">
        <v>0</v>
      </c>
      <c r="IE311">
        <v>0</v>
      </c>
      <c r="IF311">
        <v>0</v>
      </c>
      <c r="IG311">
        <v>0</v>
      </c>
      <c r="IH311">
        <v>0</v>
      </c>
      <c r="II311">
        <v>0</v>
      </c>
      <c r="IJ311">
        <v>0</v>
      </c>
      <c r="IK311">
        <v>0</v>
      </c>
      <c r="IL311">
        <v>0</v>
      </c>
      <c r="IM311">
        <v>23302</v>
      </c>
      <c r="IN311">
        <v>441</v>
      </c>
      <c r="IO311">
        <v>0</v>
      </c>
      <c r="IP311">
        <v>23743</v>
      </c>
      <c r="IQ311">
        <v>0</v>
      </c>
      <c r="IR311">
        <v>0</v>
      </c>
      <c r="IS311">
        <v>0</v>
      </c>
      <c r="IT311">
        <v>0</v>
      </c>
      <c r="IU311">
        <v>0</v>
      </c>
      <c r="IV311">
        <v>0</v>
      </c>
      <c r="IW311">
        <v>0</v>
      </c>
      <c r="IX311">
        <v>0</v>
      </c>
      <c r="IY311">
        <v>0</v>
      </c>
      <c r="IZ311">
        <v>0</v>
      </c>
      <c r="JA311">
        <v>0</v>
      </c>
      <c r="JB311">
        <v>0</v>
      </c>
      <c r="JC311">
        <v>0</v>
      </c>
      <c r="JD311">
        <v>0</v>
      </c>
      <c r="JE311">
        <v>125</v>
      </c>
      <c r="JF311">
        <v>0</v>
      </c>
      <c r="JG311">
        <v>23868</v>
      </c>
      <c r="JH311">
        <v>0</v>
      </c>
      <c r="JI311">
        <v>3766</v>
      </c>
      <c r="JJ311">
        <v>0</v>
      </c>
      <c r="JK311">
        <v>0</v>
      </c>
      <c r="JL311">
        <v>0</v>
      </c>
      <c r="JM311">
        <v>-6</v>
      </c>
      <c r="JN311">
        <v>147</v>
      </c>
      <c r="JO311">
        <v>0</v>
      </c>
      <c r="JP311">
        <v>246</v>
      </c>
      <c r="JQ311">
        <v>0</v>
      </c>
      <c r="JR311">
        <v>28022</v>
      </c>
      <c r="JS311">
        <v>-35</v>
      </c>
      <c r="JT311">
        <v>0</v>
      </c>
      <c r="JU311">
        <v>0</v>
      </c>
      <c r="JV311">
        <v>0</v>
      </c>
      <c r="JW311">
        <v>0</v>
      </c>
      <c r="JX311">
        <v>0</v>
      </c>
      <c r="JY311">
        <v>0</v>
      </c>
      <c r="JZ311">
        <v>0</v>
      </c>
      <c r="KA311">
        <v>0</v>
      </c>
      <c r="KB311">
        <v>0</v>
      </c>
      <c r="KC311">
        <v>27986</v>
      </c>
      <c r="KD311">
        <v>0</v>
      </c>
      <c r="KE311">
        <v>-2959</v>
      </c>
      <c r="KF311">
        <v>25027</v>
      </c>
      <c r="KG311">
        <v>0</v>
      </c>
      <c r="KH311">
        <v>0</v>
      </c>
      <c r="KI311">
        <v>0</v>
      </c>
      <c r="KJ311">
        <v>0</v>
      </c>
      <c r="KK311">
        <v>-2977</v>
      </c>
      <c r="KL311">
        <v>0</v>
      </c>
      <c r="KM311">
        <v>-1322</v>
      </c>
      <c r="KN311">
        <v>0</v>
      </c>
      <c r="KO311">
        <v>-3982</v>
      </c>
      <c r="KP311">
        <v>807</v>
      </c>
      <c r="KQ311">
        <v>0</v>
      </c>
      <c r="KR311">
        <v>17304</v>
      </c>
      <c r="KS311">
        <v>0</v>
      </c>
      <c r="KT311">
        <v>0</v>
      </c>
      <c r="KU311">
        <v>0</v>
      </c>
      <c r="KV311">
        <v>15101</v>
      </c>
      <c r="KW311">
        <v>2177</v>
      </c>
      <c r="KX311">
        <v>0</v>
      </c>
      <c r="KY311">
        <v>0</v>
      </c>
      <c r="KZ311">
        <v>0</v>
      </c>
      <c r="LA311">
        <v>12124</v>
      </c>
      <c r="LB311">
        <v>2177</v>
      </c>
      <c r="LC311">
        <v>0</v>
      </c>
      <c r="LD311">
        <v>1978</v>
      </c>
      <c r="LE311">
        <v>1855</v>
      </c>
      <c r="LF311">
        <v>0</v>
      </c>
      <c r="LG311">
        <v>0</v>
      </c>
      <c r="LH311">
        <v>0</v>
      </c>
      <c r="LI311">
        <v>3833</v>
      </c>
      <c r="LJ311">
        <v>0</v>
      </c>
      <c r="LK311">
        <v>0</v>
      </c>
      <c r="LL311">
        <v>0</v>
      </c>
      <c r="LM311">
        <v>0</v>
      </c>
      <c r="LN311">
        <v>0</v>
      </c>
      <c r="LO311">
        <v>0</v>
      </c>
      <c r="LP311">
        <v>0</v>
      </c>
      <c r="LQ311">
        <v>0</v>
      </c>
      <c r="LR311">
        <v>0</v>
      </c>
      <c r="LS311">
        <v>0</v>
      </c>
      <c r="LT311">
        <v>0</v>
      </c>
      <c r="LU311">
        <v>0</v>
      </c>
      <c r="LV311">
        <v>0</v>
      </c>
      <c r="LW311">
        <v>0</v>
      </c>
      <c r="LX311">
        <v>0</v>
      </c>
      <c r="LY311">
        <v>0</v>
      </c>
      <c r="LZ311">
        <v>0</v>
      </c>
      <c r="MA311">
        <v>0</v>
      </c>
      <c r="MB311">
        <v>0</v>
      </c>
      <c r="MC311">
        <v>0</v>
      </c>
      <c r="MD311">
        <v>0</v>
      </c>
      <c r="ME311">
        <v>23302</v>
      </c>
      <c r="MF311">
        <v>441</v>
      </c>
      <c r="MG311">
        <v>0</v>
      </c>
      <c r="MH311">
        <v>23743</v>
      </c>
      <c r="MI311">
        <v>0</v>
      </c>
      <c r="MJ311">
        <v>0</v>
      </c>
      <c r="MK311">
        <v>0</v>
      </c>
      <c r="ML311">
        <v>0</v>
      </c>
      <c r="MM311">
        <v>0</v>
      </c>
      <c r="MN311">
        <v>0</v>
      </c>
      <c r="MO311">
        <v>0</v>
      </c>
      <c r="MP311">
        <v>0</v>
      </c>
      <c r="MQ311">
        <v>0</v>
      </c>
      <c r="MR311">
        <v>0</v>
      </c>
      <c r="MS311">
        <v>0</v>
      </c>
      <c r="MT311">
        <v>0</v>
      </c>
      <c r="MU311">
        <v>0</v>
      </c>
      <c r="MV311">
        <v>0</v>
      </c>
      <c r="MW311">
        <v>0</v>
      </c>
      <c r="MX311">
        <v>0</v>
      </c>
      <c r="MY311">
        <v>0</v>
      </c>
      <c r="MZ311">
        <v>0</v>
      </c>
      <c r="NA311">
        <v>0</v>
      </c>
      <c r="NB311">
        <v>0</v>
      </c>
      <c r="NC311">
        <v>0</v>
      </c>
      <c r="ND311">
        <v>0</v>
      </c>
      <c r="NE311">
        <v>0</v>
      </c>
      <c r="NF311">
        <v>0</v>
      </c>
      <c r="NG311">
        <v>0</v>
      </c>
      <c r="NH311">
        <v>0</v>
      </c>
      <c r="NI311">
        <v>0</v>
      </c>
      <c r="NJ311">
        <v>0</v>
      </c>
      <c r="NK311">
        <v>0</v>
      </c>
      <c r="NL311">
        <v>0</v>
      </c>
      <c r="NM311">
        <v>0</v>
      </c>
      <c r="NN311">
        <v>0</v>
      </c>
      <c r="NO311">
        <v>0</v>
      </c>
      <c r="NP311">
        <v>0</v>
      </c>
      <c r="NQ311">
        <v>0</v>
      </c>
      <c r="NR311">
        <v>0</v>
      </c>
      <c r="NS311">
        <v>0</v>
      </c>
      <c r="NT311">
        <v>0</v>
      </c>
      <c r="NU311">
        <v>0</v>
      </c>
      <c r="NV311">
        <v>0</v>
      </c>
      <c r="NW311">
        <v>0</v>
      </c>
      <c r="NX311">
        <v>0</v>
      </c>
      <c r="NY311">
        <v>0</v>
      </c>
      <c r="NZ311">
        <v>0</v>
      </c>
      <c r="OA311">
        <v>0</v>
      </c>
      <c r="OB311">
        <v>0</v>
      </c>
      <c r="OC311">
        <v>0</v>
      </c>
      <c r="OD311">
        <v>0</v>
      </c>
      <c r="OE311">
        <v>0</v>
      </c>
      <c r="OF311">
        <v>0</v>
      </c>
      <c r="OG311">
        <v>0</v>
      </c>
      <c r="OH311">
        <v>0</v>
      </c>
      <c r="OI311">
        <v>0</v>
      </c>
      <c r="OJ311">
        <v>0</v>
      </c>
      <c r="OK311">
        <v>0</v>
      </c>
      <c r="OL311">
        <v>0</v>
      </c>
      <c r="OM311">
        <v>0</v>
      </c>
      <c r="ON311">
        <v>0</v>
      </c>
    </row>
    <row r="312" spans="1:404" x14ac:dyDescent="0.25">
      <c r="A312" t="s">
        <v>1000</v>
      </c>
      <c r="B312" t="s">
        <v>1001</v>
      </c>
      <c r="C312" t="s">
        <v>999</v>
      </c>
      <c r="E312" t="s">
        <v>125</v>
      </c>
      <c r="F312">
        <v>16890</v>
      </c>
      <c r="G312">
        <v>65106</v>
      </c>
      <c r="H312">
        <v>6867</v>
      </c>
      <c r="I312">
        <v>15225</v>
      </c>
      <c r="J312">
        <v>0</v>
      </c>
      <c r="K312">
        <v>21407</v>
      </c>
      <c r="L312">
        <v>125495</v>
      </c>
      <c r="M312">
        <v>1492</v>
      </c>
      <c r="N312">
        <v>64</v>
      </c>
      <c r="O312">
        <v>55</v>
      </c>
      <c r="P312">
        <v>129</v>
      </c>
      <c r="Q312">
        <v>804</v>
      </c>
      <c r="R312">
        <v>4612</v>
      </c>
      <c r="S312">
        <v>2686</v>
      </c>
      <c r="T312">
        <v>1861</v>
      </c>
      <c r="U312">
        <v>1607</v>
      </c>
      <c r="V312">
        <v>0</v>
      </c>
      <c r="W312">
        <v>0</v>
      </c>
      <c r="X312">
        <v>329</v>
      </c>
      <c r="Y312">
        <v>1314</v>
      </c>
      <c r="Z312">
        <v>-783</v>
      </c>
      <c r="AA312">
        <v>-1289</v>
      </c>
      <c r="AB312">
        <v>2565</v>
      </c>
      <c r="AC312">
        <v>0</v>
      </c>
      <c r="AD312">
        <v>4022</v>
      </c>
      <c r="AE312">
        <v>20</v>
      </c>
      <c r="AF312">
        <v>0</v>
      </c>
      <c r="AG312">
        <v>882</v>
      </c>
      <c r="AH312">
        <v>0</v>
      </c>
      <c r="AI312">
        <v>20371</v>
      </c>
      <c r="AJ312">
        <v>0</v>
      </c>
      <c r="AK312">
        <v>0</v>
      </c>
      <c r="AL312">
        <v>0</v>
      </c>
      <c r="AM312">
        <v>0</v>
      </c>
      <c r="AN312">
        <v>0</v>
      </c>
      <c r="AO312">
        <v>0</v>
      </c>
      <c r="AP312">
        <v>0</v>
      </c>
      <c r="AQ312">
        <v>70</v>
      </c>
      <c r="AR312">
        <v>972</v>
      </c>
      <c r="AS312">
        <v>0</v>
      </c>
      <c r="AT312">
        <v>0</v>
      </c>
      <c r="AU312">
        <v>0</v>
      </c>
      <c r="AV312">
        <v>978</v>
      </c>
      <c r="AW312">
        <v>34787</v>
      </c>
      <c r="AX312">
        <v>4</v>
      </c>
      <c r="AY312">
        <v>2640</v>
      </c>
      <c r="AZ312">
        <v>162</v>
      </c>
      <c r="BA312">
        <v>11594</v>
      </c>
      <c r="BB312">
        <v>755</v>
      </c>
      <c r="BC312">
        <v>697</v>
      </c>
      <c r="BD312">
        <v>51616</v>
      </c>
      <c r="BE312">
        <v>9070</v>
      </c>
      <c r="BF312">
        <v>33622</v>
      </c>
      <c r="BG312">
        <v>1122</v>
      </c>
      <c r="BH312">
        <v>585</v>
      </c>
      <c r="BI312">
        <v>440</v>
      </c>
      <c r="BJ312">
        <v>4951</v>
      </c>
      <c r="BK312">
        <v>37693</v>
      </c>
      <c r="BL312">
        <v>3779</v>
      </c>
      <c r="BM312">
        <v>6010</v>
      </c>
      <c r="BN312">
        <v>2731</v>
      </c>
      <c r="BO312">
        <v>22</v>
      </c>
      <c r="BP312">
        <v>12</v>
      </c>
      <c r="BQ312">
        <v>673</v>
      </c>
      <c r="BR312">
        <v>915</v>
      </c>
      <c r="BS312">
        <v>595</v>
      </c>
      <c r="BT312">
        <v>8311</v>
      </c>
      <c r="BU312">
        <v>-734</v>
      </c>
      <c r="BV312">
        <v>10082</v>
      </c>
      <c r="BW312">
        <v>129130</v>
      </c>
      <c r="BX312">
        <v>518</v>
      </c>
      <c r="BY312">
        <v>1004</v>
      </c>
      <c r="BZ312">
        <v>191</v>
      </c>
      <c r="CA312">
        <v>432</v>
      </c>
      <c r="CB312">
        <v>599</v>
      </c>
      <c r="CC312">
        <v>16</v>
      </c>
      <c r="CD312">
        <v>49</v>
      </c>
      <c r="CE312">
        <v>84</v>
      </c>
      <c r="CF312">
        <v>20</v>
      </c>
      <c r="CG312">
        <v>10</v>
      </c>
      <c r="CH312">
        <v>3</v>
      </c>
      <c r="CI312">
        <v>1616</v>
      </c>
      <c r="CJ312">
        <v>1537</v>
      </c>
      <c r="CK312">
        <v>0</v>
      </c>
      <c r="CL312">
        <v>0</v>
      </c>
      <c r="CM312">
        <v>303</v>
      </c>
      <c r="CN312">
        <v>-9</v>
      </c>
      <c r="CO312">
        <v>0</v>
      </c>
      <c r="CP312">
        <v>973</v>
      </c>
      <c r="CQ312">
        <v>2433</v>
      </c>
      <c r="CR312">
        <v>337</v>
      </c>
      <c r="CS312">
        <v>0</v>
      </c>
      <c r="CT312">
        <v>-60</v>
      </c>
      <c r="CU312">
        <v>281</v>
      </c>
      <c r="CV312">
        <v>16588</v>
      </c>
      <c r="CW312">
        <v>0</v>
      </c>
      <c r="CX312">
        <v>0</v>
      </c>
      <c r="CY312">
        <v>0</v>
      </c>
      <c r="CZ312">
        <v>0</v>
      </c>
      <c r="DA312">
        <v>0</v>
      </c>
      <c r="DB312">
        <v>0</v>
      </c>
      <c r="DC312">
        <v>411</v>
      </c>
      <c r="DD312">
        <v>0</v>
      </c>
      <c r="DE312">
        <v>2</v>
      </c>
      <c r="DF312">
        <v>345</v>
      </c>
      <c r="DG312">
        <v>0</v>
      </c>
      <c r="DH312">
        <v>0</v>
      </c>
      <c r="DI312">
        <v>0</v>
      </c>
      <c r="DJ312">
        <v>851</v>
      </c>
      <c r="DK312">
        <v>0</v>
      </c>
      <c r="DL312">
        <v>1445</v>
      </c>
      <c r="DM312">
        <v>0</v>
      </c>
      <c r="DN312">
        <v>0</v>
      </c>
      <c r="DO312">
        <v>1282</v>
      </c>
      <c r="DP312">
        <v>3578</v>
      </c>
      <c r="DQ312">
        <v>0</v>
      </c>
      <c r="DR312">
        <v>0</v>
      </c>
      <c r="DS312">
        <v>0</v>
      </c>
      <c r="DT312">
        <v>4</v>
      </c>
      <c r="DU312">
        <v>-86</v>
      </c>
      <c r="DV312">
        <v>1365</v>
      </c>
      <c r="DW312">
        <v>34</v>
      </c>
      <c r="DX312">
        <v>5654</v>
      </c>
      <c r="DY312">
        <v>17423</v>
      </c>
      <c r="DZ312">
        <v>141</v>
      </c>
      <c r="EA312">
        <v>330</v>
      </c>
      <c r="EB312">
        <v>0</v>
      </c>
      <c r="EC312">
        <v>130</v>
      </c>
      <c r="ED312">
        <v>43</v>
      </c>
      <c r="EE312">
        <v>0</v>
      </c>
      <c r="EF312">
        <v>0</v>
      </c>
      <c r="EG312">
        <v>0</v>
      </c>
      <c r="EH312">
        <v>757</v>
      </c>
      <c r="EI312">
        <v>9079</v>
      </c>
      <c r="EJ312">
        <v>83</v>
      </c>
      <c r="EK312">
        <v>0</v>
      </c>
      <c r="EL312">
        <v>2988</v>
      </c>
      <c r="EM312">
        <v>0</v>
      </c>
      <c r="EN312">
        <v>626</v>
      </c>
      <c r="EO312">
        <v>0</v>
      </c>
      <c r="EP312">
        <v>0</v>
      </c>
      <c r="EQ312">
        <v>4245</v>
      </c>
      <c r="ER312">
        <v>38</v>
      </c>
      <c r="ES312">
        <v>11342</v>
      </c>
      <c r="ET312">
        <v>11593</v>
      </c>
      <c r="EU312">
        <v>388</v>
      </c>
      <c r="EV312">
        <v>100</v>
      </c>
      <c r="EW312">
        <v>171</v>
      </c>
      <c r="EX312">
        <v>1301</v>
      </c>
      <c r="EY312">
        <v>444</v>
      </c>
      <c r="EZ312">
        <v>412</v>
      </c>
      <c r="FA312">
        <v>0</v>
      </c>
      <c r="FB312">
        <v>208</v>
      </c>
      <c r="FC312">
        <v>3071</v>
      </c>
      <c r="FD312">
        <v>2065</v>
      </c>
      <c r="FE312">
        <v>0</v>
      </c>
      <c r="FF312">
        <v>5</v>
      </c>
      <c r="FG312">
        <v>3337</v>
      </c>
      <c r="FH312">
        <v>11502</v>
      </c>
      <c r="FI312">
        <v>-281</v>
      </c>
      <c r="FJ312">
        <v>147</v>
      </c>
      <c r="FK312">
        <v>99</v>
      </c>
      <c r="FL312">
        <v>61</v>
      </c>
      <c r="FM312">
        <v>697</v>
      </c>
      <c r="FN312">
        <v>24</v>
      </c>
      <c r="FO312">
        <v>61</v>
      </c>
      <c r="FP312">
        <v>0</v>
      </c>
      <c r="FQ312">
        <v>0</v>
      </c>
      <c r="FR312">
        <v>749</v>
      </c>
      <c r="FS312">
        <v>19</v>
      </c>
      <c r="FT312">
        <v>81</v>
      </c>
      <c r="FU312">
        <v>206</v>
      </c>
      <c r="FV312">
        <v>0</v>
      </c>
      <c r="FW312">
        <v>16</v>
      </c>
      <c r="FX312">
        <v>226</v>
      </c>
      <c r="FY312">
        <v>0</v>
      </c>
      <c r="FZ312">
        <v>427</v>
      </c>
      <c r="GA312">
        <v>0</v>
      </c>
      <c r="GB312">
        <v>0</v>
      </c>
      <c r="GC312">
        <v>40</v>
      </c>
      <c r="GD312">
        <v>3702</v>
      </c>
      <c r="GE312">
        <v>4222</v>
      </c>
      <c r="GF312">
        <v>6653</v>
      </c>
      <c r="GG312">
        <v>0</v>
      </c>
      <c r="GH312">
        <v>8256</v>
      </c>
      <c r="GI312">
        <v>0</v>
      </c>
      <c r="GJ312">
        <v>366</v>
      </c>
      <c r="GK312">
        <v>25771</v>
      </c>
      <c r="GL312">
        <v>609</v>
      </c>
      <c r="GM312">
        <v>350</v>
      </c>
      <c r="GN312">
        <v>654</v>
      </c>
      <c r="GO312">
        <v>1406</v>
      </c>
      <c r="GP312">
        <v>82</v>
      </c>
      <c r="GQ312">
        <v>-1215</v>
      </c>
      <c r="GR312">
        <v>0</v>
      </c>
      <c r="GS312">
        <v>2696</v>
      </c>
      <c r="GT312">
        <v>61</v>
      </c>
      <c r="GU312">
        <v>4643</v>
      </c>
      <c r="GV312">
        <v>41916</v>
      </c>
      <c r="GW312">
        <v>0</v>
      </c>
      <c r="GX312">
        <v>0</v>
      </c>
      <c r="GY312">
        <v>0</v>
      </c>
      <c r="GZ312">
        <v>0</v>
      </c>
      <c r="HA312">
        <v>0</v>
      </c>
      <c r="HB312">
        <v>5925</v>
      </c>
      <c r="HC312">
        <v>629</v>
      </c>
      <c r="HD312">
        <v>0</v>
      </c>
      <c r="HE312">
        <v>0</v>
      </c>
      <c r="HF312">
        <v>1869</v>
      </c>
      <c r="HG312">
        <v>629</v>
      </c>
      <c r="HH312">
        <v>0</v>
      </c>
      <c r="HI312">
        <v>181</v>
      </c>
      <c r="HJ312">
        <v>583</v>
      </c>
      <c r="HK312">
        <v>422</v>
      </c>
      <c r="HL312">
        <v>43</v>
      </c>
      <c r="HM312">
        <v>-226</v>
      </c>
      <c r="HN312">
        <v>405</v>
      </c>
      <c r="HO312">
        <v>0</v>
      </c>
      <c r="HP312">
        <v>429</v>
      </c>
      <c r="HQ312">
        <v>0</v>
      </c>
      <c r="HR312">
        <v>1354</v>
      </c>
      <c r="HS312">
        <v>249</v>
      </c>
      <c r="HT312">
        <v>0</v>
      </c>
      <c r="HU312">
        <v>-1771</v>
      </c>
      <c r="HV312">
        <v>10720</v>
      </c>
      <c r="HW312">
        <v>16692</v>
      </c>
      <c r="HX312">
        <v>17546</v>
      </c>
      <c r="HY312">
        <v>0</v>
      </c>
      <c r="HZ312">
        <v>238</v>
      </c>
      <c r="IA312">
        <v>5464</v>
      </c>
      <c r="IB312">
        <v>17603</v>
      </c>
      <c r="IC312">
        <v>125495</v>
      </c>
      <c r="ID312">
        <v>20371</v>
      </c>
      <c r="IE312">
        <v>51616</v>
      </c>
      <c r="IF312">
        <v>129130</v>
      </c>
      <c r="IG312">
        <v>16588</v>
      </c>
      <c r="IH312">
        <v>5654</v>
      </c>
      <c r="II312">
        <v>11502</v>
      </c>
      <c r="IJ312">
        <v>25771</v>
      </c>
      <c r="IK312">
        <v>4643</v>
      </c>
      <c r="IL312">
        <v>0</v>
      </c>
      <c r="IM312">
        <v>0</v>
      </c>
      <c r="IN312">
        <v>10720</v>
      </c>
      <c r="IO312">
        <v>17603</v>
      </c>
      <c r="IP312">
        <v>419094</v>
      </c>
      <c r="IQ312">
        <v>38310</v>
      </c>
      <c r="IR312">
        <v>2867</v>
      </c>
      <c r="IS312">
        <v>6344</v>
      </c>
      <c r="IT312">
        <v>0</v>
      </c>
      <c r="IU312">
        <v>0</v>
      </c>
      <c r="IV312">
        <v>9110</v>
      </c>
      <c r="IW312">
        <v>0</v>
      </c>
      <c r="IX312">
        <v>0</v>
      </c>
      <c r="IY312">
        <v>0</v>
      </c>
      <c r="IZ312">
        <v>0</v>
      </c>
      <c r="JA312">
        <v>-28</v>
      </c>
      <c r="JB312">
        <v>47</v>
      </c>
      <c r="JC312">
        <v>0</v>
      </c>
      <c r="JD312">
        <v>0</v>
      </c>
      <c r="JE312">
        <v>12</v>
      </c>
      <c r="JF312">
        <v>0</v>
      </c>
      <c r="JG312">
        <v>475757</v>
      </c>
      <c r="JH312">
        <v>151</v>
      </c>
      <c r="JI312">
        <v>2158</v>
      </c>
      <c r="JJ312">
        <v>0</v>
      </c>
      <c r="JK312">
        <v>0</v>
      </c>
      <c r="JL312">
        <v>0</v>
      </c>
      <c r="JM312">
        <v>567</v>
      </c>
      <c r="JN312">
        <v>9340</v>
      </c>
      <c r="JO312">
        <v>0</v>
      </c>
      <c r="JP312">
        <v>22296</v>
      </c>
      <c r="JQ312">
        <v>-18</v>
      </c>
      <c r="JR312">
        <v>510251</v>
      </c>
      <c r="JS312">
        <v>-1116</v>
      </c>
      <c r="JT312">
        <v>0</v>
      </c>
      <c r="JU312">
        <v>315</v>
      </c>
      <c r="JV312">
        <v>0</v>
      </c>
      <c r="JW312">
        <v>-47245</v>
      </c>
      <c r="JX312">
        <v>0</v>
      </c>
      <c r="JY312">
        <v>-578</v>
      </c>
      <c r="JZ312">
        <v>0</v>
      </c>
      <c r="KA312">
        <v>0</v>
      </c>
      <c r="KB312">
        <v>659</v>
      </c>
      <c r="KC312">
        <v>462286</v>
      </c>
      <c r="KD312">
        <v>-318</v>
      </c>
      <c r="KE312">
        <v>-214809</v>
      </c>
      <c r="KF312">
        <v>247160</v>
      </c>
      <c r="KG312">
        <v>0</v>
      </c>
      <c r="KH312">
        <v>2196</v>
      </c>
      <c r="KI312">
        <v>0</v>
      </c>
      <c r="KJ312">
        <v>2973</v>
      </c>
      <c r="KK312">
        <v>-9189</v>
      </c>
      <c r="KL312">
        <v>-2568</v>
      </c>
      <c r="KM312">
        <v>-6253</v>
      </c>
      <c r="KN312">
        <v>0</v>
      </c>
      <c r="KO312">
        <v>-32264</v>
      </c>
      <c r="KP312">
        <v>542</v>
      </c>
      <c r="KQ312">
        <v>0</v>
      </c>
      <c r="KR312">
        <v>179782</v>
      </c>
      <c r="KS312">
        <v>5995</v>
      </c>
      <c r="KT312">
        <v>0</v>
      </c>
      <c r="KU312">
        <v>777</v>
      </c>
      <c r="KV312">
        <v>86886</v>
      </c>
      <c r="KW312">
        <v>14091</v>
      </c>
      <c r="KX312">
        <v>8191</v>
      </c>
      <c r="KY312">
        <v>0</v>
      </c>
      <c r="KZ312">
        <v>3750</v>
      </c>
      <c r="LA312">
        <v>77697</v>
      </c>
      <c r="LB312">
        <v>11522</v>
      </c>
      <c r="LC312">
        <v>0</v>
      </c>
      <c r="LD312">
        <v>44564</v>
      </c>
      <c r="LE312">
        <v>-1381</v>
      </c>
      <c r="LF312">
        <v>-2411</v>
      </c>
      <c r="LG312">
        <v>-62865</v>
      </c>
      <c r="LH312">
        <v>18847</v>
      </c>
      <c r="LI312">
        <v>-3245</v>
      </c>
      <c r="LJ312">
        <v>9283</v>
      </c>
      <c r="LK312">
        <v>7305</v>
      </c>
      <c r="LL312">
        <v>16588</v>
      </c>
      <c r="LM312">
        <v>0</v>
      </c>
      <c r="LN312">
        <v>0</v>
      </c>
      <c r="LO312">
        <v>0</v>
      </c>
      <c r="LP312">
        <v>18067</v>
      </c>
      <c r="LQ312">
        <v>17816</v>
      </c>
      <c r="LR312">
        <v>251</v>
      </c>
      <c r="LS312">
        <v>11342</v>
      </c>
      <c r="LT312">
        <v>11593</v>
      </c>
      <c r="LU312">
        <v>125495</v>
      </c>
      <c r="LV312">
        <v>20371</v>
      </c>
      <c r="LW312">
        <v>51616</v>
      </c>
      <c r="LX312">
        <v>129130</v>
      </c>
      <c r="LY312">
        <v>16588</v>
      </c>
      <c r="LZ312">
        <v>5654</v>
      </c>
      <c r="MA312">
        <v>11502</v>
      </c>
      <c r="MB312">
        <v>25771</v>
      </c>
      <c r="MC312">
        <v>4643</v>
      </c>
      <c r="MD312">
        <v>0</v>
      </c>
      <c r="ME312">
        <v>0</v>
      </c>
      <c r="MF312">
        <v>10720</v>
      </c>
      <c r="MG312">
        <v>17603</v>
      </c>
      <c r="MH312">
        <v>419094</v>
      </c>
      <c r="MI312">
        <v>0</v>
      </c>
      <c r="MJ312">
        <v>0</v>
      </c>
      <c r="MK312">
        <v>0</v>
      </c>
      <c r="ML312">
        <v>0</v>
      </c>
      <c r="MM312">
        <v>0</v>
      </c>
      <c r="MN312">
        <v>-36</v>
      </c>
      <c r="MO312">
        <v>0</v>
      </c>
      <c r="MP312">
        <v>0</v>
      </c>
      <c r="MQ312">
        <v>0</v>
      </c>
      <c r="MR312">
        <v>0</v>
      </c>
      <c r="MS312">
        <v>0</v>
      </c>
      <c r="MT312">
        <v>0</v>
      </c>
      <c r="MU312">
        <v>0</v>
      </c>
      <c r="MV312">
        <v>0</v>
      </c>
      <c r="MW312">
        <v>0</v>
      </c>
      <c r="MX312">
        <v>0</v>
      </c>
      <c r="MY312">
        <v>0</v>
      </c>
      <c r="MZ312">
        <v>0</v>
      </c>
      <c r="NA312">
        <v>-28</v>
      </c>
      <c r="NB312">
        <v>0</v>
      </c>
      <c r="NC312">
        <v>-28</v>
      </c>
      <c r="ND312">
        <v>0</v>
      </c>
      <c r="NE312">
        <v>0</v>
      </c>
      <c r="NF312">
        <v>0</v>
      </c>
      <c r="NG312">
        <v>0</v>
      </c>
      <c r="NH312">
        <v>0</v>
      </c>
      <c r="NI312">
        <v>0</v>
      </c>
      <c r="NJ312">
        <v>0</v>
      </c>
      <c r="NK312">
        <v>0</v>
      </c>
      <c r="NL312">
        <v>0</v>
      </c>
      <c r="NM312">
        <v>0</v>
      </c>
      <c r="NN312">
        <v>0</v>
      </c>
      <c r="NO312">
        <v>0</v>
      </c>
      <c r="NP312">
        <v>0</v>
      </c>
      <c r="NQ312">
        <v>0</v>
      </c>
      <c r="NR312">
        <v>0</v>
      </c>
      <c r="NS312">
        <v>0</v>
      </c>
      <c r="NT312">
        <v>172</v>
      </c>
      <c r="NU312">
        <v>0</v>
      </c>
      <c r="NV312">
        <v>0</v>
      </c>
      <c r="NW312">
        <v>0</v>
      </c>
      <c r="NX312">
        <v>0</v>
      </c>
      <c r="NY312">
        <v>0</v>
      </c>
      <c r="NZ312">
        <v>47</v>
      </c>
      <c r="OA312">
        <v>0</v>
      </c>
      <c r="OB312">
        <v>47</v>
      </c>
      <c r="OC312">
        <v>0</v>
      </c>
      <c r="OD312">
        <v>0</v>
      </c>
      <c r="OE312">
        <v>0</v>
      </c>
      <c r="OF312">
        <v>0</v>
      </c>
      <c r="OG312">
        <v>0</v>
      </c>
      <c r="OH312">
        <v>0</v>
      </c>
      <c r="OI312">
        <v>0</v>
      </c>
      <c r="OJ312">
        <v>0</v>
      </c>
      <c r="OK312">
        <v>0</v>
      </c>
      <c r="OL312">
        <v>0</v>
      </c>
      <c r="OM312">
        <v>0</v>
      </c>
      <c r="ON312">
        <v>0</v>
      </c>
    </row>
    <row r="313" spans="1:404" x14ac:dyDescent="0.25">
      <c r="A313" t="s">
        <v>1006</v>
      </c>
      <c r="B313" t="s">
        <v>1007</v>
      </c>
      <c r="C313" t="s">
        <v>1005</v>
      </c>
      <c r="E313" t="s">
        <v>125</v>
      </c>
      <c r="F313">
        <v>11484</v>
      </c>
      <c r="G313">
        <v>39867</v>
      </c>
      <c r="H313">
        <v>21510</v>
      </c>
      <c r="I313">
        <v>21397</v>
      </c>
      <c r="J313">
        <v>1455</v>
      </c>
      <c r="K313">
        <v>1208</v>
      </c>
      <c r="L313">
        <v>96921</v>
      </c>
      <c r="M313">
        <v>428</v>
      </c>
      <c r="N313">
        <v>199</v>
      </c>
      <c r="O313">
        <v>-669</v>
      </c>
      <c r="P313">
        <v>0</v>
      </c>
      <c r="Q313">
        <v>0</v>
      </c>
      <c r="R313">
        <v>785</v>
      </c>
      <c r="S313">
        <v>0</v>
      </c>
      <c r="T313">
        <v>0</v>
      </c>
      <c r="U313">
        <v>526</v>
      </c>
      <c r="V313">
        <v>0</v>
      </c>
      <c r="W313">
        <v>-287</v>
      </c>
      <c r="X313">
        <v>458</v>
      </c>
      <c r="Y313">
        <v>0</v>
      </c>
      <c r="Z313">
        <v>426</v>
      </c>
      <c r="AA313">
        <v>-28</v>
      </c>
      <c r="AB313">
        <v>1514</v>
      </c>
      <c r="AC313">
        <v>0</v>
      </c>
      <c r="AD313">
        <v>233</v>
      </c>
      <c r="AE313">
        <v>0</v>
      </c>
      <c r="AF313">
        <v>56</v>
      </c>
      <c r="AG313">
        <v>456</v>
      </c>
      <c r="AH313">
        <v>0</v>
      </c>
      <c r="AI313">
        <v>4098</v>
      </c>
      <c r="AJ313">
        <v>0</v>
      </c>
      <c r="AK313">
        <v>0</v>
      </c>
      <c r="AL313">
        <v>0</v>
      </c>
      <c r="AM313">
        <v>0</v>
      </c>
      <c r="AN313">
        <v>0</v>
      </c>
      <c r="AO313">
        <v>0</v>
      </c>
      <c r="AP313">
        <v>0</v>
      </c>
      <c r="AQ313">
        <v>591</v>
      </c>
      <c r="AR313">
        <v>276</v>
      </c>
      <c r="AS313">
        <v>0</v>
      </c>
      <c r="AT313">
        <v>0</v>
      </c>
      <c r="AU313">
        <v>0</v>
      </c>
      <c r="AV313">
        <v>2294</v>
      </c>
      <c r="AW313">
        <v>0</v>
      </c>
      <c r="AX313">
        <v>0</v>
      </c>
      <c r="AY313">
        <v>13</v>
      </c>
      <c r="AZ313">
        <v>0</v>
      </c>
      <c r="BA313">
        <v>0</v>
      </c>
      <c r="BB313">
        <v>0</v>
      </c>
      <c r="BC313">
        <v>0</v>
      </c>
      <c r="BD313">
        <v>2307</v>
      </c>
      <c r="BE313">
        <v>4394</v>
      </c>
      <c r="BF313">
        <v>15580</v>
      </c>
      <c r="BG313">
        <v>0</v>
      </c>
      <c r="BH313">
        <v>0</v>
      </c>
      <c r="BI313">
        <v>1</v>
      </c>
      <c r="BJ313">
        <v>19</v>
      </c>
      <c r="BK313">
        <v>11379</v>
      </c>
      <c r="BL313">
        <v>1232</v>
      </c>
      <c r="BM313">
        <v>3090</v>
      </c>
      <c r="BN313">
        <v>2470</v>
      </c>
      <c r="BO313">
        <v>234</v>
      </c>
      <c r="BP313">
        <v>0</v>
      </c>
      <c r="BQ313">
        <v>365</v>
      </c>
      <c r="BR313">
        <v>-5</v>
      </c>
      <c r="BS313">
        <v>0</v>
      </c>
      <c r="BT313">
        <v>3951</v>
      </c>
      <c r="BU313">
        <v>-1024</v>
      </c>
      <c r="BV313">
        <v>1151</v>
      </c>
      <c r="BW313">
        <v>42837</v>
      </c>
      <c r="BX313">
        <v>0</v>
      </c>
      <c r="BY313">
        <v>0</v>
      </c>
      <c r="BZ313">
        <v>0</v>
      </c>
      <c r="CA313">
        <v>0</v>
      </c>
      <c r="CB313">
        <v>0</v>
      </c>
      <c r="CC313">
        <v>0</v>
      </c>
      <c r="CD313">
        <v>0</v>
      </c>
      <c r="CE313">
        <v>0</v>
      </c>
      <c r="CF313">
        <v>0</v>
      </c>
      <c r="CG313">
        <v>0</v>
      </c>
      <c r="CH313">
        <v>0</v>
      </c>
      <c r="CI313">
        <v>0</v>
      </c>
      <c r="CJ313">
        <v>0</v>
      </c>
      <c r="CK313">
        <v>0</v>
      </c>
      <c r="CL313">
        <v>0</v>
      </c>
      <c r="CM313">
        <v>0</v>
      </c>
      <c r="CN313">
        <v>0</v>
      </c>
      <c r="CO313">
        <v>0</v>
      </c>
      <c r="CP313">
        <v>0</v>
      </c>
      <c r="CQ313">
        <v>0</v>
      </c>
      <c r="CR313">
        <v>0</v>
      </c>
      <c r="CS313">
        <v>0</v>
      </c>
      <c r="CT313">
        <v>0</v>
      </c>
      <c r="CU313">
        <v>6245</v>
      </c>
      <c r="CV313">
        <v>6317</v>
      </c>
      <c r="CW313">
        <v>0</v>
      </c>
      <c r="CX313">
        <v>0</v>
      </c>
      <c r="CY313">
        <v>0</v>
      </c>
      <c r="CZ313">
        <v>0</v>
      </c>
      <c r="DA313">
        <v>0</v>
      </c>
      <c r="DB313">
        <v>0</v>
      </c>
      <c r="DC313">
        <v>952</v>
      </c>
      <c r="DD313">
        <v>0</v>
      </c>
      <c r="DE313">
        <v>199</v>
      </c>
      <c r="DF313">
        <v>0</v>
      </c>
      <c r="DG313">
        <v>0</v>
      </c>
      <c r="DH313">
        <v>237</v>
      </c>
      <c r="DI313">
        <v>0</v>
      </c>
      <c r="DJ313">
        <v>96</v>
      </c>
      <c r="DK313">
        <v>-211</v>
      </c>
      <c r="DL313">
        <v>910</v>
      </c>
      <c r="DM313">
        <v>-51</v>
      </c>
      <c r="DN313">
        <v>435</v>
      </c>
      <c r="DO313">
        <v>667</v>
      </c>
      <c r="DP313">
        <v>2083</v>
      </c>
      <c r="DQ313">
        <v>0</v>
      </c>
      <c r="DR313">
        <v>0</v>
      </c>
      <c r="DS313">
        <v>0</v>
      </c>
      <c r="DT313">
        <v>2</v>
      </c>
      <c r="DU313">
        <v>-145</v>
      </c>
      <c r="DV313">
        <v>-99</v>
      </c>
      <c r="DW313">
        <v>0</v>
      </c>
      <c r="DX313">
        <v>2992</v>
      </c>
      <c r="DY313">
        <v>32581</v>
      </c>
      <c r="DZ313">
        <v>920</v>
      </c>
      <c r="EA313">
        <v>2446</v>
      </c>
      <c r="EB313">
        <v>22</v>
      </c>
      <c r="EC313">
        <v>0</v>
      </c>
      <c r="ED313">
        <v>0</v>
      </c>
      <c r="EE313">
        <v>0</v>
      </c>
      <c r="EF313">
        <v>0</v>
      </c>
      <c r="EG313">
        <v>0</v>
      </c>
      <c r="EH313">
        <v>8290</v>
      </c>
      <c r="EI313">
        <v>7194</v>
      </c>
      <c r="EJ313">
        <v>1602</v>
      </c>
      <c r="EK313">
        <v>687</v>
      </c>
      <c r="EL313">
        <v>0</v>
      </c>
      <c r="EM313">
        <v>0</v>
      </c>
      <c r="EN313">
        <v>0</v>
      </c>
      <c r="EO313">
        <v>4760</v>
      </c>
      <c r="EP313">
        <v>0</v>
      </c>
      <c r="EQ313">
        <v>0</v>
      </c>
      <c r="ER313">
        <v>-365</v>
      </c>
      <c r="ES313">
        <v>0</v>
      </c>
      <c r="ET313">
        <v>13801</v>
      </c>
      <c r="EU313">
        <v>0</v>
      </c>
      <c r="EV313">
        <v>0</v>
      </c>
      <c r="EW313">
        <v>0</v>
      </c>
      <c r="EX313">
        <v>0</v>
      </c>
      <c r="EY313">
        <v>0</v>
      </c>
      <c r="EZ313">
        <v>41</v>
      </c>
      <c r="FA313">
        <v>0</v>
      </c>
      <c r="FB313">
        <v>0</v>
      </c>
      <c r="FC313">
        <v>-27</v>
      </c>
      <c r="FD313">
        <v>1424</v>
      </c>
      <c r="FE313">
        <v>-9</v>
      </c>
      <c r="FF313">
        <v>0</v>
      </c>
      <c r="FG313">
        <v>969</v>
      </c>
      <c r="FH313">
        <v>2399</v>
      </c>
      <c r="FI313">
        <v>-815</v>
      </c>
      <c r="FJ313">
        <v>327</v>
      </c>
      <c r="FK313">
        <v>0</v>
      </c>
      <c r="FL313">
        <v>249</v>
      </c>
      <c r="FM313">
        <v>883</v>
      </c>
      <c r="FN313">
        <v>1115</v>
      </c>
      <c r="FO313">
        <v>240</v>
      </c>
      <c r="FP313">
        <v>0</v>
      </c>
      <c r="FQ313">
        <v>0</v>
      </c>
      <c r="FR313">
        <v>0</v>
      </c>
      <c r="FS313">
        <v>-4</v>
      </c>
      <c r="FT313">
        <v>0</v>
      </c>
      <c r="FU313">
        <v>-68</v>
      </c>
      <c r="FV313">
        <v>104</v>
      </c>
      <c r="FW313">
        <v>423</v>
      </c>
      <c r="FX313">
        <v>161</v>
      </c>
      <c r="FY313">
        <v>-87</v>
      </c>
      <c r="FZ313">
        <v>0</v>
      </c>
      <c r="GA313">
        <v>0</v>
      </c>
      <c r="GB313">
        <v>0</v>
      </c>
      <c r="GC313">
        <v>0</v>
      </c>
      <c r="GD313">
        <v>1114</v>
      </c>
      <c r="GE313">
        <v>3367</v>
      </c>
      <c r="GF313">
        <v>5279</v>
      </c>
      <c r="GG313">
        <v>0</v>
      </c>
      <c r="GH313">
        <v>0</v>
      </c>
      <c r="GI313">
        <v>0</v>
      </c>
      <c r="GJ313">
        <v>15</v>
      </c>
      <c r="GK313">
        <v>12303</v>
      </c>
      <c r="GL313">
        <v>158</v>
      </c>
      <c r="GM313">
        <v>372</v>
      </c>
      <c r="GN313">
        <v>0</v>
      </c>
      <c r="GO313">
        <v>220</v>
      </c>
      <c r="GP313">
        <v>9</v>
      </c>
      <c r="GQ313">
        <v>702</v>
      </c>
      <c r="GR313">
        <v>0</v>
      </c>
      <c r="GS313">
        <v>0</v>
      </c>
      <c r="GT313">
        <v>1212</v>
      </c>
      <c r="GU313">
        <v>2674</v>
      </c>
      <c r="GV313">
        <v>17376</v>
      </c>
      <c r="GW313">
        <v>0</v>
      </c>
      <c r="GX313">
        <v>0</v>
      </c>
      <c r="GY313">
        <v>0</v>
      </c>
      <c r="GZ313">
        <v>0</v>
      </c>
      <c r="HA313">
        <v>0</v>
      </c>
      <c r="HB313">
        <v>2646</v>
      </c>
      <c r="HC313">
        <v>1085</v>
      </c>
      <c r="HD313">
        <v>0</v>
      </c>
      <c r="HE313">
        <v>0</v>
      </c>
      <c r="HF313">
        <v>3709</v>
      </c>
      <c r="HG313">
        <v>0</v>
      </c>
      <c r="HH313">
        <v>0</v>
      </c>
      <c r="HI313">
        <v>2</v>
      </c>
      <c r="HJ313">
        <v>297</v>
      </c>
      <c r="HK313">
        <v>351</v>
      </c>
      <c r="HL313">
        <v>151</v>
      </c>
      <c r="HM313">
        <v>-97</v>
      </c>
      <c r="HN313">
        <v>0</v>
      </c>
      <c r="HO313">
        <v>0</v>
      </c>
      <c r="HP313">
        <v>264</v>
      </c>
      <c r="HQ313">
        <v>0</v>
      </c>
      <c r="HR313">
        <v>0</v>
      </c>
      <c r="HS313">
        <v>0</v>
      </c>
      <c r="HT313">
        <v>0</v>
      </c>
      <c r="HU313">
        <v>40853</v>
      </c>
      <c r="HV313">
        <v>49261</v>
      </c>
      <c r="HW313">
        <v>5634</v>
      </c>
      <c r="HX313">
        <v>0</v>
      </c>
      <c r="HY313">
        <v>0</v>
      </c>
      <c r="HZ313">
        <v>0</v>
      </c>
      <c r="IA313">
        <v>0</v>
      </c>
      <c r="IB313">
        <v>-5947</v>
      </c>
      <c r="IC313">
        <v>96921</v>
      </c>
      <c r="ID313">
        <v>4098</v>
      </c>
      <c r="IE313">
        <v>2307</v>
      </c>
      <c r="IF313">
        <v>42837</v>
      </c>
      <c r="IG313">
        <v>6317</v>
      </c>
      <c r="IH313">
        <v>2992</v>
      </c>
      <c r="II313">
        <v>2399</v>
      </c>
      <c r="IJ313">
        <v>12303</v>
      </c>
      <c r="IK313">
        <v>2674</v>
      </c>
      <c r="IL313">
        <v>0</v>
      </c>
      <c r="IM313">
        <v>0</v>
      </c>
      <c r="IN313">
        <v>49261</v>
      </c>
      <c r="IO313">
        <v>-5947</v>
      </c>
      <c r="IP313">
        <v>216162</v>
      </c>
      <c r="IQ313">
        <v>31752</v>
      </c>
      <c r="IR313">
        <v>3101</v>
      </c>
      <c r="IS313">
        <v>11479</v>
      </c>
      <c r="IT313">
        <v>0</v>
      </c>
      <c r="IU313">
        <v>0</v>
      </c>
      <c r="IV313">
        <v>185</v>
      </c>
      <c r="IW313">
        <v>0</v>
      </c>
      <c r="IX313">
        <v>0</v>
      </c>
      <c r="IY313">
        <v>0</v>
      </c>
      <c r="IZ313">
        <v>0</v>
      </c>
      <c r="JA313">
        <v>0</v>
      </c>
      <c r="JB313">
        <v>0</v>
      </c>
      <c r="JC313">
        <v>0</v>
      </c>
      <c r="JD313">
        <v>0</v>
      </c>
      <c r="JE313">
        <v>0</v>
      </c>
      <c r="JF313">
        <v>0</v>
      </c>
      <c r="JG313">
        <v>262679</v>
      </c>
      <c r="JH313">
        <v>196</v>
      </c>
      <c r="JI313">
        <v>0</v>
      </c>
      <c r="JJ313">
        <v>0</v>
      </c>
      <c r="JK313">
        <v>0</v>
      </c>
      <c r="JL313">
        <v>0</v>
      </c>
      <c r="JM313">
        <v>0</v>
      </c>
      <c r="JN313">
        <v>0</v>
      </c>
      <c r="JO313">
        <v>0</v>
      </c>
      <c r="JP313">
        <v>10720</v>
      </c>
      <c r="JQ313">
        <v>37</v>
      </c>
      <c r="JR313">
        <v>273631</v>
      </c>
      <c r="JS313">
        <v>0</v>
      </c>
      <c r="JT313">
        <v>0</v>
      </c>
      <c r="JU313">
        <v>0</v>
      </c>
      <c r="JV313">
        <v>0</v>
      </c>
      <c r="JW313">
        <v>-17145</v>
      </c>
      <c r="JX313">
        <v>0</v>
      </c>
      <c r="JY313">
        <v>0</v>
      </c>
      <c r="JZ313">
        <v>0</v>
      </c>
      <c r="KA313">
        <v>0</v>
      </c>
      <c r="KB313">
        <v>0</v>
      </c>
      <c r="KC313">
        <v>256487</v>
      </c>
      <c r="KD313">
        <v>-724</v>
      </c>
      <c r="KE313">
        <v>-98469</v>
      </c>
      <c r="KF313">
        <v>157293</v>
      </c>
      <c r="KG313">
        <v>0</v>
      </c>
      <c r="KH313">
        <v>-1642</v>
      </c>
      <c r="KI313">
        <v>0</v>
      </c>
      <c r="KJ313">
        <v>0</v>
      </c>
      <c r="KK313">
        <v>-5664</v>
      </c>
      <c r="KL313">
        <v>0</v>
      </c>
      <c r="KM313">
        <v>-6257</v>
      </c>
      <c r="KN313">
        <v>0</v>
      </c>
      <c r="KO313">
        <v>-35501</v>
      </c>
      <c r="KP313">
        <v>0</v>
      </c>
      <c r="KQ313">
        <v>0</v>
      </c>
      <c r="KR313">
        <v>61032</v>
      </c>
      <c r="KS313">
        <v>7543</v>
      </c>
      <c r="KT313">
        <v>-13337</v>
      </c>
      <c r="KU313">
        <v>0</v>
      </c>
      <c r="KV313">
        <v>16027</v>
      </c>
      <c r="KW313">
        <v>8123</v>
      </c>
      <c r="KX313">
        <v>5901</v>
      </c>
      <c r="KY313">
        <v>-13337</v>
      </c>
      <c r="KZ313">
        <v>0</v>
      </c>
      <c r="LA313">
        <v>10363</v>
      </c>
      <c r="LB313">
        <v>8123</v>
      </c>
      <c r="LC313">
        <v>0</v>
      </c>
      <c r="LD313">
        <v>18761</v>
      </c>
      <c r="LE313">
        <v>0</v>
      </c>
      <c r="LF313">
        <v>0</v>
      </c>
      <c r="LG313">
        <v>0</v>
      </c>
      <c r="LH313">
        <v>0</v>
      </c>
      <c r="LI313">
        <v>18761</v>
      </c>
      <c r="LJ313" t="s">
        <v>5442</v>
      </c>
      <c r="LK313" t="s">
        <v>5442</v>
      </c>
      <c r="LL313" t="s">
        <v>5442</v>
      </c>
      <c r="LM313">
        <v>0</v>
      </c>
      <c r="LN313">
        <v>0</v>
      </c>
      <c r="LO313">
        <v>0</v>
      </c>
      <c r="LP313">
        <v>35969</v>
      </c>
      <c r="LQ313">
        <v>22168</v>
      </c>
      <c r="LR313">
        <v>13801</v>
      </c>
      <c r="LS313">
        <v>0</v>
      </c>
      <c r="LT313">
        <v>13801</v>
      </c>
      <c r="LU313">
        <v>96921</v>
      </c>
      <c r="LV313">
        <v>4098</v>
      </c>
      <c r="LW313">
        <v>2307</v>
      </c>
      <c r="LX313">
        <v>42837</v>
      </c>
      <c r="LY313">
        <v>6317</v>
      </c>
      <c r="LZ313">
        <v>2992</v>
      </c>
      <c r="MA313">
        <v>2399</v>
      </c>
      <c r="MB313">
        <v>12303</v>
      </c>
      <c r="MC313">
        <v>2674</v>
      </c>
      <c r="MD313">
        <v>0</v>
      </c>
      <c r="ME313">
        <v>0</v>
      </c>
      <c r="MF313">
        <v>49261</v>
      </c>
      <c r="MG313">
        <v>-5947</v>
      </c>
      <c r="MH313">
        <v>216162</v>
      </c>
      <c r="MI313">
        <v>0</v>
      </c>
      <c r="MJ313">
        <v>0</v>
      </c>
      <c r="MK313">
        <v>0</v>
      </c>
      <c r="ML313">
        <v>0</v>
      </c>
      <c r="MM313">
        <v>0</v>
      </c>
      <c r="MN313">
        <v>0</v>
      </c>
      <c r="MO313">
        <v>0</v>
      </c>
      <c r="MP313">
        <v>0</v>
      </c>
      <c r="MQ313">
        <v>0</v>
      </c>
      <c r="MR313">
        <v>0</v>
      </c>
      <c r="MS313">
        <v>0</v>
      </c>
      <c r="MT313">
        <v>0</v>
      </c>
      <c r="MU313">
        <v>0</v>
      </c>
      <c r="MV313">
        <v>0</v>
      </c>
      <c r="MW313">
        <v>0</v>
      </c>
      <c r="MX313">
        <v>0</v>
      </c>
      <c r="MY313">
        <v>0</v>
      </c>
      <c r="MZ313">
        <v>0</v>
      </c>
      <c r="NA313">
        <v>0</v>
      </c>
      <c r="NB313">
        <v>0</v>
      </c>
      <c r="NC313">
        <v>0</v>
      </c>
      <c r="ND313">
        <v>0</v>
      </c>
      <c r="NE313">
        <v>0</v>
      </c>
      <c r="NF313">
        <v>0</v>
      </c>
      <c r="NG313">
        <v>0</v>
      </c>
      <c r="NH313">
        <v>0</v>
      </c>
      <c r="NI313">
        <v>0</v>
      </c>
      <c r="NJ313">
        <v>0</v>
      </c>
      <c r="NK313">
        <v>0</v>
      </c>
      <c r="NL313">
        <v>0</v>
      </c>
      <c r="NM313">
        <v>0</v>
      </c>
      <c r="NN313">
        <v>0</v>
      </c>
      <c r="NO313">
        <v>0</v>
      </c>
      <c r="NP313">
        <v>0</v>
      </c>
      <c r="NQ313">
        <v>0</v>
      </c>
      <c r="NR313">
        <v>0</v>
      </c>
      <c r="NS313">
        <v>0</v>
      </c>
      <c r="NT313">
        <v>0</v>
      </c>
      <c r="NU313">
        <v>0</v>
      </c>
      <c r="NV313">
        <v>0</v>
      </c>
      <c r="NW313">
        <v>0</v>
      </c>
      <c r="NX313">
        <v>0</v>
      </c>
      <c r="NY313">
        <v>0</v>
      </c>
      <c r="NZ313">
        <v>0</v>
      </c>
      <c r="OA313">
        <v>0</v>
      </c>
      <c r="OB313">
        <v>0</v>
      </c>
      <c r="OC313">
        <v>0</v>
      </c>
      <c r="OD313">
        <v>0</v>
      </c>
      <c r="OE313">
        <v>0</v>
      </c>
      <c r="OF313">
        <v>0</v>
      </c>
      <c r="OG313">
        <v>0</v>
      </c>
      <c r="OH313">
        <v>0</v>
      </c>
      <c r="OI313">
        <v>0</v>
      </c>
      <c r="OJ313">
        <v>0</v>
      </c>
      <c r="OK313">
        <v>0</v>
      </c>
      <c r="OL313">
        <v>0</v>
      </c>
      <c r="OM313">
        <v>0</v>
      </c>
      <c r="ON313">
        <v>0</v>
      </c>
    </row>
    <row r="314" spans="1:404" x14ac:dyDescent="0.25">
      <c r="A314" t="s">
        <v>1009</v>
      </c>
      <c r="B314" t="s">
        <v>1010</v>
      </c>
      <c r="C314" t="s">
        <v>1008</v>
      </c>
      <c r="E314" t="s">
        <v>97</v>
      </c>
      <c r="F314">
        <v>14958</v>
      </c>
      <c r="G314">
        <v>70249</v>
      </c>
      <c r="H314">
        <v>13856</v>
      </c>
      <c r="I314">
        <v>26668</v>
      </c>
      <c r="J314">
        <v>2007</v>
      </c>
      <c r="K314">
        <v>12701</v>
      </c>
      <c r="L314">
        <v>140439</v>
      </c>
      <c r="M314">
        <v>-711</v>
      </c>
      <c r="N314">
        <v>475</v>
      </c>
      <c r="O314">
        <v>424</v>
      </c>
      <c r="P314">
        <v>1368</v>
      </c>
      <c r="Q314">
        <v>37</v>
      </c>
      <c r="R314">
        <v>674</v>
      </c>
      <c r="S314">
        <v>864</v>
      </c>
      <c r="T314">
        <v>641</v>
      </c>
      <c r="U314">
        <v>3029</v>
      </c>
      <c r="V314">
        <v>0</v>
      </c>
      <c r="W314">
        <v>-121</v>
      </c>
      <c r="X314">
        <v>2319</v>
      </c>
      <c r="Y314">
        <v>684</v>
      </c>
      <c r="Z314">
        <v>340</v>
      </c>
      <c r="AA314">
        <v>-317</v>
      </c>
      <c r="AB314">
        <v>0</v>
      </c>
      <c r="AC314">
        <v>0</v>
      </c>
      <c r="AD314">
        <v>0</v>
      </c>
      <c r="AE314">
        <v>0</v>
      </c>
      <c r="AF314">
        <v>0</v>
      </c>
      <c r="AG314">
        <v>-139</v>
      </c>
      <c r="AH314">
        <v>0</v>
      </c>
      <c r="AI314">
        <v>9567</v>
      </c>
      <c r="AJ314">
        <v>0</v>
      </c>
      <c r="AK314">
        <v>0</v>
      </c>
      <c r="AL314">
        <v>0</v>
      </c>
      <c r="AM314">
        <v>0</v>
      </c>
      <c r="AN314">
        <v>0</v>
      </c>
      <c r="AO314">
        <v>0</v>
      </c>
      <c r="AP314">
        <v>0</v>
      </c>
      <c r="AQ314">
        <v>646</v>
      </c>
      <c r="AR314">
        <v>0</v>
      </c>
      <c r="AS314">
        <v>0</v>
      </c>
      <c r="AT314">
        <v>0</v>
      </c>
      <c r="AU314">
        <v>0</v>
      </c>
      <c r="AV314">
        <v>621</v>
      </c>
      <c r="AW314">
        <v>28553</v>
      </c>
      <c r="AX314">
        <v>862</v>
      </c>
      <c r="AY314">
        <v>11480</v>
      </c>
      <c r="AZ314">
        <v>732</v>
      </c>
      <c r="BA314">
        <v>9176</v>
      </c>
      <c r="BB314">
        <v>797</v>
      </c>
      <c r="BC314">
        <v>249</v>
      </c>
      <c r="BD314">
        <v>52470</v>
      </c>
      <c r="BE314">
        <v>5901</v>
      </c>
      <c r="BF314">
        <v>13453</v>
      </c>
      <c r="BG314">
        <v>370</v>
      </c>
      <c r="BH314">
        <v>519</v>
      </c>
      <c r="BI314">
        <v>362</v>
      </c>
      <c r="BJ314">
        <v>4825</v>
      </c>
      <c r="BK314">
        <v>21493</v>
      </c>
      <c r="BL314">
        <v>4629</v>
      </c>
      <c r="BM314">
        <v>2288</v>
      </c>
      <c r="BN314">
        <v>1888</v>
      </c>
      <c r="BO314">
        <v>0</v>
      </c>
      <c r="BP314">
        <v>0</v>
      </c>
      <c r="BQ314">
        <v>135</v>
      </c>
      <c r="BR314">
        <v>0</v>
      </c>
      <c r="BS314">
        <v>709</v>
      </c>
      <c r="BT314">
        <v>8422</v>
      </c>
      <c r="BU314">
        <v>2580</v>
      </c>
      <c r="BV314">
        <v>8562</v>
      </c>
      <c r="BW314">
        <v>76137</v>
      </c>
      <c r="BX314">
        <v>1096</v>
      </c>
      <c r="BY314">
        <v>561</v>
      </c>
      <c r="BZ314">
        <v>155</v>
      </c>
      <c r="CA314">
        <v>33</v>
      </c>
      <c r="CB314">
        <v>194</v>
      </c>
      <c r="CC314">
        <v>61</v>
      </c>
      <c r="CD314">
        <v>160</v>
      </c>
      <c r="CE314">
        <v>312</v>
      </c>
      <c r="CF314">
        <v>83</v>
      </c>
      <c r="CG314">
        <v>312</v>
      </c>
      <c r="CH314">
        <v>197</v>
      </c>
      <c r="CI314">
        <v>1221</v>
      </c>
      <c r="CJ314">
        <v>957</v>
      </c>
      <c r="CK314">
        <v>316</v>
      </c>
      <c r="CL314">
        <v>2</v>
      </c>
      <c r="CM314">
        <v>229</v>
      </c>
      <c r="CN314">
        <v>278</v>
      </c>
      <c r="CO314">
        <v>4</v>
      </c>
      <c r="CP314">
        <v>622</v>
      </c>
      <c r="CQ314">
        <v>2960</v>
      </c>
      <c r="CR314">
        <v>264</v>
      </c>
      <c r="CS314">
        <v>0</v>
      </c>
      <c r="CT314">
        <v>493</v>
      </c>
      <c r="CU314">
        <v>1149</v>
      </c>
      <c r="CV314">
        <v>13482</v>
      </c>
      <c r="CW314">
        <v>0</v>
      </c>
      <c r="CX314">
        <v>0</v>
      </c>
      <c r="CY314">
        <v>0</v>
      </c>
      <c r="CZ314">
        <v>0</v>
      </c>
      <c r="DA314">
        <v>0</v>
      </c>
      <c r="DB314">
        <v>0</v>
      </c>
      <c r="DC314">
        <v>603</v>
      </c>
      <c r="DD314">
        <v>0</v>
      </c>
      <c r="DE314">
        <v>253</v>
      </c>
      <c r="DF314">
        <v>0</v>
      </c>
      <c r="DG314">
        <v>0</v>
      </c>
      <c r="DH314">
        <v>0</v>
      </c>
      <c r="DI314">
        <v>0</v>
      </c>
      <c r="DJ314">
        <v>0</v>
      </c>
      <c r="DK314">
        <v>0</v>
      </c>
      <c r="DL314">
        <v>0</v>
      </c>
      <c r="DM314">
        <v>0</v>
      </c>
      <c r="DN314">
        <v>1345</v>
      </c>
      <c r="DO314">
        <v>1114</v>
      </c>
      <c r="DP314">
        <v>2459</v>
      </c>
      <c r="DQ314">
        <v>0</v>
      </c>
      <c r="DR314">
        <v>0</v>
      </c>
      <c r="DS314">
        <v>433</v>
      </c>
      <c r="DT314">
        <v>1198</v>
      </c>
      <c r="DU314">
        <v>1</v>
      </c>
      <c r="DV314">
        <v>610</v>
      </c>
      <c r="DW314">
        <v>0</v>
      </c>
      <c r="DX314">
        <v>5557</v>
      </c>
      <c r="DY314">
        <v>41725</v>
      </c>
      <c r="DZ314">
        <v>1167</v>
      </c>
      <c r="EA314">
        <v>1984</v>
      </c>
      <c r="EB314">
        <v>118</v>
      </c>
      <c r="EC314">
        <v>0</v>
      </c>
      <c r="ED314">
        <v>0</v>
      </c>
      <c r="EE314">
        <v>28</v>
      </c>
      <c r="EF314">
        <v>0</v>
      </c>
      <c r="EG314">
        <v>0</v>
      </c>
      <c r="EH314">
        <v>9188</v>
      </c>
      <c r="EI314">
        <v>12577</v>
      </c>
      <c r="EJ314">
        <v>113</v>
      </c>
      <c r="EK314">
        <v>1405</v>
      </c>
      <c r="EL314">
        <v>-5245</v>
      </c>
      <c r="EM314">
        <v>509</v>
      </c>
      <c r="EN314">
        <v>7295</v>
      </c>
      <c r="EO314">
        <v>67</v>
      </c>
      <c r="EP314">
        <v>0</v>
      </c>
      <c r="EQ314">
        <v>25047</v>
      </c>
      <c r="ER314">
        <v>298</v>
      </c>
      <c r="ES314">
        <v>16115</v>
      </c>
      <c r="ET314">
        <v>9884</v>
      </c>
      <c r="EU314">
        <v>0</v>
      </c>
      <c r="EV314">
        <v>0</v>
      </c>
      <c r="EW314">
        <v>0</v>
      </c>
      <c r="EX314">
        <v>0</v>
      </c>
      <c r="EY314">
        <v>1438</v>
      </c>
      <c r="EZ314">
        <v>0</v>
      </c>
      <c r="FA314">
        <v>0</v>
      </c>
      <c r="FB314">
        <v>45</v>
      </c>
      <c r="FC314">
        <v>-63</v>
      </c>
      <c r="FD314">
        <v>409</v>
      </c>
      <c r="FE314">
        <v>-11</v>
      </c>
      <c r="FF314">
        <v>0</v>
      </c>
      <c r="FG314">
        <v>3117</v>
      </c>
      <c r="FH314">
        <v>4935</v>
      </c>
      <c r="FI314">
        <v>-1733</v>
      </c>
      <c r="FJ314">
        <v>464</v>
      </c>
      <c r="FK314">
        <v>0</v>
      </c>
      <c r="FL314">
        <v>553</v>
      </c>
      <c r="FM314">
        <v>633</v>
      </c>
      <c r="FN314">
        <v>0</v>
      </c>
      <c r="FO314">
        <v>0</v>
      </c>
      <c r="FP314">
        <v>0</v>
      </c>
      <c r="FQ314">
        <v>0</v>
      </c>
      <c r="FR314">
        <v>0</v>
      </c>
      <c r="FS314">
        <v>2</v>
      </c>
      <c r="FT314">
        <v>75</v>
      </c>
      <c r="FU314">
        <v>68</v>
      </c>
      <c r="FV314">
        <v>206</v>
      </c>
      <c r="FW314">
        <v>9</v>
      </c>
      <c r="FX314">
        <v>108</v>
      </c>
      <c r="FY314">
        <v>630</v>
      </c>
      <c r="FZ314">
        <v>0</v>
      </c>
      <c r="GA314">
        <v>0</v>
      </c>
      <c r="GB314">
        <v>0</v>
      </c>
      <c r="GC314">
        <v>0</v>
      </c>
      <c r="GD314">
        <v>6258</v>
      </c>
      <c r="GE314">
        <v>2357</v>
      </c>
      <c r="GF314">
        <v>4310</v>
      </c>
      <c r="GG314">
        <v>0</v>
      </c>
      <c r="GH314">
        <v>3251</v>
      </c>
      <c r="GI314">
        <v>0</v>
      </c>
      <c r="GJ314">
        <v>0</v>
      </c>
      <c r="GK314">
        <v>17191</v>
      </c>
      <c r="GL314">
        <v>117</v>
      </c>
      <c r="GM314">
        <v>102</v>
      </c>
      <c r="GN314">
        <v>0</v>
      </c>
      <c r="GO314">
        <v>-534</v>
      </c>
      <c r="GP314">
        <v>1379</v>
      </c>
      <c r="GQ314">
        <v>-3667</v>
      </c>
      <c r="GR314">
        <v>0</v>
      </c>
      <c r="GS314">
        <v>7844</v>
      </c>
      <c r="GT314">
        <v>693</v>
      </c>
      <c r="GU314">
        <v>5934</v>
      </c>
      <c r="GV314">
        <v>28060</v>
      </c>
      <c r="GW314">
        <v>0</v>
      </c>
      <c r="GX314">
        <v>0</v>
      </c>
      <c r="GY314">
        <v>0</v>
      </c>
      <c r="GZ314">
        <v>0</v>
      </c>
      <c r="HA314">
        <v>0</v>
      </c>
      <c r="HB314">
        <v>2556</v>
      </c>
      <c r="HC314">
        <v>1118</v>
      </c>
      <c r="HD314">
        <v>0</v>
      </c>
      <c r="HE314">
        <v>0</v>
      </c>
      <c r="HF314">
        <v>-356</v>
      </c>
      <c r="HG314">
        <v>-248</v>
      </c>
      <c r="HH314">
        <v>0</v>
      </c>
      <c r="HI314">
        <v>241</v>
      </c>
      <c r="HJ314">
        <v>286</v>
      </c>
      <c r="HK314">
        <v>289</v>
      </c>
      <c r="HL314">
        <v>2416</v>
      </c>
      <c r="HM314">
        <v>-305</v>
      </c>
      <c r="HN314">
        <v>73</v>
      </c>
      <c r="HO314">
        <v>0</v>
      </c>
      <c r="HP314">
        <v>487</v>
      </c>
      <c r="HQ314">
        <v>0</v>
      </c>
      <c r="HR314">
        <v>-610</v>
      </c>
      <c r="HS314">
        <v>765</v>
      </c>
      <c r="HT314">
        <v>0</v>
      </c>
      <c r="HU314">
        <v>568</v>
      </c>
      <c r="HV314">
        <v>7280</v>
      </c>
      <c r="HW314">
        <v>31</v>
      </c>
      <c r="HX314">
        <v>0</v>
      </c>
      <c r="HY314">
        <v>0</v>
      </c>
      <c r="HZ314">
        <v>0</v>
      </c>
      <c r="IA314">
        <v>0</v>
      </c>
      <c r="IB314">
        <v>0</v>
      </c>
      <c r="IC314">
        <v>140439</v>
      </c>
      <c r="ID314">
        <v>9567</v>
      </c>
      <c r="IE314">
        <v>52470</v>
      </c>
      <c r="IF314">
        <v>76137</v>
      </c>
      <c r="IG314">
        <v>13482</v>
      </c>
      <c r="IH314">
        <v>5557</v>
      </c>
      <c r="II314">
        <v>4935</v>
      </c>
      <c r="IJ314">
        <v>17191</v>
      </c>
      <c r="IK314">
        <v>5934</v>
      </c>
      <c r="IL314">
        <v>0</v>
      </c>
      <c r="IM314">
        <v>0</v>
      </c>
      <c r="IN314">
        <v>7280</v>
      </c>
      <c r="IO314">
        <v>0</v>
      </c>
      <c r="IP314">
        <v>332992</v>
      </c>
      <c r="IQ314">
        <v>18100</v>
      </c>
      <c r="IR314">
        <v>415</v>
      </c>
      <c r="IS314">
        <v>15547</v>
      </c>
      <c r="IT314">
        <v>338</v>
      </c>
      <c r="IU314">
        <v>0</v>
      </c>
      <c r="IV314">
        <v>1487</v>
      </c>
      <c r="IW314">
        <v>8476</v>
      </c>
      <c r="IX314">
        <v>0</v>
      </c>
      <c r="IY314">
        <v>0</v>
      </c>
      <c r="IZ314">
        <v>942</v>
      </c>
      <c r="JA314">
        <v>-318</v>
      </c>
      <c r="JB314">
        <v>150</v>
      </c>
      <c r="JC314">
        <v>0</v>
      </c>
      <c r="JD314">
        <v>0</v>
      </c>
      <c r="JE314">
        <v>807</v>
      </c>
      <c r="JF314">
        <v>0</v>
      </c>
      <c r="JG314">
        <v>378936</v>
      </c>
      <c r="JH314">
        <v>91</v>
      </c>
      <c r="JI314">
        <v>878</v>
      </c>
      <c r="JJ314">
        <v>0</v>
      </c>
      <c r="JK314">
        <v>0</v>
      </c>
      <c r="JL314">
        <v>0</v>
      </c>
      <c r="JM314">
        <v>582</v>
      </c>
      <c r="JN314">
        <v>8551</v>
      </c>
      <c r="JO314">
        <v>190</v>
      </c>
      <c r="JP314">
        <v>11856</v>
      </c>
      <c r="JQ314">
        <v>-7196</v>
      </c>
      <c r="JR314">
        <v>393888</v>
      </c>
      <c r="JS314">
        <v>-7042</v>
      </c>
      <c r="JT314">
        <v>0</v>
      </c>
      <c r="JU314">
        <v>16</v>
      </c>
      <c r="JV314">
        <v>0</v>
      </c>
      <c r="JW314">
        <v>-35909</v>
      </c>
      <c r="JX314">
        <v>0</v>
      </c>
      <c r="JY314">
        <v>0</v>
      </c>
      <c r="JZ314">
        <v>0</v>
      </c>
      <c r="KA314">
        <v>0</v>
      </c>
      <c r="KB314">
        <v>-4072</v>
      </c>
      <c r="KC314">
        <v>346880</v>
      </c>
      <c r="KD314">
        <v>0</v>
      </c>
      <c r="KE314">
        <v>-180073</v>
      </c>
      <c r="KF314">
        <v>166807</v>
      </c>
      <c r="KG314">
        <v>0</v>
      </c>
      <c r="KH314">
        <v>-352</v>
      </c>
      <c r="KI314">
        <v>0</v>
      </c>
      <c r="KJ314">
        <v>259</v>
      </c>
      <c r="KK314">
        <v>-18696</v>
      </c>
      <c r="KL314">
        <v>-7166</v>
      </c>
      <c r="KM314">
        <v>0</v>
      </c>
      <c r="KN314">
        <v>0</v>
      </c>
      <c r="KO314">
        <v>6783</v>
      </c>
      <c r="KP314">
        <v>717</v>
      </c>
      <c r="KQ314">
        <v>0</v>
      </c>
      <c r="KR314">
        <v>114203</v>
      </c>
      <c r="KS314">
        <v>13035</v>
      </c>
      <c r="KT314">
        <v>0</v>
      </c>
      <c r="KU314">
        <v>1658</v>
      </c>
      <c r="KV314">
        <v>120505</v>
      </c>
      <c r="KW314">
        <v>41999</v>
      </c>
      <c r="KX314">
        <v>12683</v>
      </c>
      <c r="KY314">
        <v>0</v>
      </c>
      <c r="KZ314">
        <v>1917</v>
      </c>
      <c r="LA314">
        <v>101809</v>
      </c>
      <c r="LB314">
        <v>34833</v>
      </c>
      <c r="LC314">
        <v>0</v>
      </c>
      <c r="LD314">
        <v>27101</v>
      </c>
      <c r="LE314">
        <v>0</v>
      </c>
      <c r="LF314">
        <v>-258</v>
      </c>
      <c r="LG314">
        <v>-25396</v>
      </c>
      <c r="LH314">
        <v>3621</v>
      </c>
      <c r="LI314">
        <v>5068</v>
      </c>
      <c r="LJ314">
        <v>5489</v>
      </c>
      <c r="LK314">
        <v>7129</v>
      </c>
      <c r="LL314">
        <v>12618</v>
      </c>
      <c r="LM314">
        <v>0</v>
      </c>
      <c r="LN314">
        <v>0</v>
      </c>
      <c r="LO314">
        <v>0</v>
      </c>
      <c r="LP314">
        <v>45022</v>
      </c>
      <c r="LQ314">
        <v>51254</v>
      </c>
      <c r="LR314">
        <v>-6231</v>
      </c>
      <c r="LS314">
        <v>16115</v>
      </c>
      <c r="LT314">
        <v>9884</v>
      </c>
      <c r="LU314">
        <v>140439</v>
      </c>
      <c r="LV314">
        <v>9567</v>
      </c>
      <c r="LW314">
        <v>52470</v>
      </c>
      <c r="LX314">
        <v>76137</v>
      </c>
      <c r="LY314">
        <v>13482</v>
      </c>
      <c r="LZ314">
        <v>5557</v>
      </c>
      <c r="MA314">
        <v>4935</v>
      </c>
      <c r="MB314">
        <v>17191</v>
      </c>
      <c r="MC314">
        <v>5934</v>
      </c>
      <c r="MD314">
        <v>0</v>
      </c>
      <c r="ME314">
        <v>0</v>
      </c>
      <c r="MF314">
        <v>7280</v>
      </c>
      <c r="MG314">
        <v>0</v>
      </c>
      <c r="MH314">
        <v>332992</v>
      </c>
      <c r="MI314">
        <v>0</v>
      </c>
      <c r="MJ314">
        <v>0</v>
      </c>
      <c r="MK314">
        <v>0</v>
      </c>
      <c r="ML314">
        <v>0</v>
      </c>
      <c r="MM314">
        <v>0</v>
      </c>
      <c r="MN314">
        <v>0</v>
      </c>
      <c r="MO314">
        <v>0</v>
      </c>
      <c r="MP314">
        <v>0</v>
      </c>
      <c r="MQ314">
        <v>0</v>
      </c>
      <c r="MR314">
        <v>0</v>
      </c>
      <c r="MS314">
        <v>0</v>
      </c>
      <c r="MT314">
        <v>0</v>
      </c>
      <c r="MU314">
        <v>0</v>
      </c>
      <c r="MV314">
        <v>0</v>
      </c>
      <c r="MW314">
        <v>0</v>
      </c>
      <c r="MX314">
        <v>0</v>
      </c>
      <c r="MY314">
        <v>0</v>
      </c>
      <c r="MZ314">
        <v>0</v>
      </c>
      <c r="NA314">
        <v>-318</v>
      </c>
      <c r="NB314">
        <v>0</v>
      </c>
      <c r="NC314">
        <v>-318</v>
      </c>
      <c r="ND314">
        <v>0</v>
      </c>
      <c r="NE314">
        <v>0</v>
      </c>
      <c r="NF314">
        <v>0</v>
      </c>
      <c r="NG314">
        <v>0</v>
      </c>
      <c r="NH314">
        <v>0</v>
      </c>
      <c r="NI314">
        <v>0</v>
      </c>
      <c r="NJ314">
        <v>0</v>
      </c>
      <c r="NK314">
        <v>0</v>
      </c>
      <c r="NL314">
        <v>0</v>
      </c>
      <c r="NM314">
        <v>0</v>
      </c>
      <c r="NN314">
        <v>0</v>
      </c>
      <c r="NO314">
        <v>0</v>
      </c>
      <c r="NP314">
        <v>0</v>
      </c>
      <c r="NQ314">
        <v>0</v>
      </c>
      <c r="NR314">
        <v>0</v>
      </c>
      <c r="NS314">
        <v>0</v>
      </c>
      <c r="NT314">
        <v>0</v>
      </c>
      <c r="NU314">
        <v>0</v>
      </c>
      <c r="NV314">
        <v>0</v>
      </c>
      <c r="NW314">
        <v>0</v>
      </c>
      <c r="NX314">
        <v>0</v>
      </c>
      <c r="NY314">
        <v>0</v>
      </c>
      <c r="NZ314">
        <v>150</v>
      </c>
      <c r="OA314">
        <v>0</v>
      </c>
      <c r="OB314">
        <v>150</v>
      </c>
      <c r="OC314">
        <v>0</v>
      </c>
      <c r="OD314">
        <v>0</v>
      </c>
      <c r="OE314">
        <v>0</v>
      </c>
      <c r="OF314">
        <v>0</v>
      </c>
      <c r="OG314">
        <v>0</v>
      </c>
      <c r="OH314">
        <v>0</v>
      </c>
      <c r="OI314">
        <v>0</v>
      </c>
      <c r="OJ314">
        <v>0</v>
      </c>
      <c r="OK314">
        <v>0</v>
      </c>
      <c r="OL314">
        <v>0</v>
      </c>
      <c r="OM314">
        <v>0</v>
      </c>
      <c r="ON314">
        <v>0</v>
      </c>
    </row>
    <row r="315" spans="1:404" x14ac:dyDescent="0.25">
      <c r="A315" t="s">
        <v>1012</v>
      </c>
      <c r="B315" t="s">
        <v>1013</v>
      </c>
      <c r="C315" t="s">
        <v>1011</v>
      </c>
      <c r="E315" t="s">
        <v>1942</v>
      </c>
      <c r="F315">
        <v>28603</v>
      </c>
      <c r="G315">
        <v>124539</v>
      </c>
      <c r="H315">
        <v>31086</v>
      </c>
      <c r="I315">
        <v>46563</v>
      </c>
      <c r="J315">
        <v>5711</v>
      </c>
      <c r="K315">
        <v>30106</v>
      </c>
      <c r="L315">
        <v>266608</v>
      </c>
      <c r="M315">
        <v>3057</v>
      </c>
      <c r="N315">
        <v>-2020</v>
      </c>
      <c r="O315">
        <v>297</v>
      </c>
      <c r="P315">
        <v>1128</v>
      </c>
      <c r="Q315">
        <v>917</v>
      </c>
      <c r="R315">
        <v>3167</v>
      </c>
      <c r="S315">
        <v>5771</v>
      </c>
      <c r="T315">
        <v>943</v>
      </c>
      <c r="U315">
        <v>3534</v>
      </c>
      <c r="V315">
        <v>0</v>
      </c>
      <c r="W315">
        <v>0</v>
      </c>
      <c r="X315">
        <v>1434</v>
      </c>
      <c r="Y315">
        <v>0</v>
      </c>
      <c r="Z315">
        <v>246</v>
      </c>
      <c r="AA315">
        <v>-206</v>
      </c>
      <c r="AB315">
        <v>3656</v>
      </c>
      <c r="AC315">
        <v>204</v>
      </c>
      <c r="AD315">
        <v>4403</v>
      </c>
      <c r="AE315">
        <v>0</v>
      </c>
      <c r="AF315">
        <v>0</v>
      </c>
      <c r="AG315">
        <v>0</v>
      </c>
      <c r="AH315">
        <v>0</v>
      </c>
      <c r="AI315">
        <v>26531</v>
      </c>
      <c r="AJ315">
        <v>0</v>
      </c>
      <c r="AK315">
        <v>0</v>
      </c>
      <c r="AL315">
        <v>0</v>
      </c>
      <c r="AM315">
        <v>0</v>
      </c>
      <c r="AN315">
        <v>0</v>
      </c>
      <c r="AO315">
        <v>0</v>
      </c>
      <c r="AP315">
        <v>0</v>
      </c>
      <c r="AQ315">
        <v>670</v>
      </c>
      <c r="AR315">
        <v>639</v>
      </c>
      <c r="AS315">
        <v>0</v>
      </c>
      <c r="AT315">
        <v>0</v>
      </c>
      <c r="AU315">
        <v>0</v>
      </c>
      <c r="AV315">
        <v>4205</v>
      </c>
      <c r="AW315">
        <v>62333</v>
      </c>
      <c r="AX315">
        <v>0</v>
      </c>
      <c r="AY315">
        <v>5205</v>
      </c>
      <c r="AZ315">
        <v>915</v>
      </c>
      <c r="BA315">
        <v>27973</v>
      </c>
      <c r="BB315">
        <v>-624</v>
      </c>
      <c r="BC315">
        <v>1111</v>
      </c>
      <c r="BD315">
        <v>101118</v>
      </c>
      <c r="BE315">
        <v>16334</v>
      </c>
      <c r="BF315">
        <v>68301</v>
      </c>
      <c r="BG315">
        <v>193</v>
      </c>
      <c r="BH315">
        <v>440</v>
      </c>
      <c r="BI315">
        <v>0</v>
      </c>
      <c r="BJ315">
        <v>0</v>
      </c>
      <c r="BK315">
        <v>54716</v>
      </c>
      <c r="BL315">
        <v>14196</v>
      </c>
      <c r="BM315">
        <v>9342</v>
      </c>
      <c r="BN315">
        <v>8022</v>
      </c>
      <c r="BO315">
        <v>0</v>
      </c>
      <c r="BP315">
        <v>0</v>
      </c>
      <c r="BQ315">
        <v>0</v>
      </c>
      <c r="BR315">
        <v>216</v>
      </c>
      <c r="BS315">
        <v>2500</v>
      </c>
      <c r="BT315">
        <v>-45754</v>
      </c>
      <c r="BU315">
        <v>0</v>
      </c>
      <c r="BV315">
        <v>15608</v>
      </c>
      <c r="BW315">
        <v>144114</v>
      </c>
      <c r="BX315">
        <v>3253</v>
      </c>
      <c r="BY315">
        <v>1090</v>
      </c>
      <c r="BZ315">
        <v>181</v>
      </c>
      <c r="CA315">
        <v>596</v>
      </c>
      <c r="CB315">
        <v>0</v>
      </c>
      <c r="CC315">
        <v>165</v>
      </c>
      <c r="CD315">
        <v>260</v>
      </c>
      <c r="CE315">
        <v>171</v>
      </c>
      <c r="CF315">
        <v>157</v>
      </c>
      <c r="CG315">
        <v>64</v>
      </c>
      <c r="CH315">
        <v>64</v>
      </c>
      <c r="CI315">
        <v>2688</v>
      </c>
      <c r="CJ315">
        <v>2504</v>
      </c>
      <c r="CK315">
        <v>428</v>
      </c>
      <c r="CL315">
        <v>244</v>
      </c>
      <c r="CM315">
        <v>244</v>
      </c>
      <c r="CN315">
        <v>410</v>
      </c>
      <c r="CO315">
        <v>410</v>
      </c>
      <c r="CP315">
        <v>262</v>
      </c>
      <c r="CQ315">
        <v>7513</v>
      </c>
      <c r="CR315">
        <v>0</v>
      </c>
      <c r="CS315">
        <v>0</v>
      </c>
      <c r="CT315">
        <v>366</v>
      </c>
      <c r="CU315">
        <v>4105</v>
      </c>
      <c r="CV315">
        <v>32476</v>
      </c>
      <c r="CW315">
        <v>0</v>
      </c>
      <c r="CX315">
        <v>0</v>
      </c>
      <c r="CY315">
        <v>0</v>
      </c>
      <c r="CZ315">
        <v>0</v>
      </c>
      <c r="DA315">
        <v>0</v>
      </c>
      <c r="DB315">
        <v>0</v>
      </c>
      <c r="DC315">
        <v>0</v>
      </c>
      <c r="DD315">
        <v>0</v>
      </c>
      <c r="DE315">
        <v>0</v>
      </c>
      <c r="DF315">
        <v>0</v>
      </c>
      <c r="DG315">
        <v>0</v>
      </c>
      <c r="DH315">
        <v>0</v>
      </c>
      <c r="DI315">
        <v>0</v>
      </c>
      <c r="DJ315">
        <v>0</v>
      </c>
      <c r="DK315">
        <v>0</v>
      </c>
      <c r="DL315">
        <v>0</v>
      </c>
      <c r="DM315">
        <v>0</v>
      </c>
      <c r="DN315">
        <v>0</v>
      </c>
      <c r="DO315">
        <v>0</v>
      </c>
      <c r="DP315">
        <v>0</v>
      </c>
      <c r="DQ315">
        <v>0</v>
      </c>
      <c r="DR315">
        <v>0</v>
      </c>
      <c r="DS315">
        <v>0</v>
      </c>
      <c r="DT315">
        <v>0</v>
      </c>
      <c r="DU315">
        <v>0</v>
      </c>
      <c r="DV315">
        <v>1416</v>
      </c>
      <c r="DW315">
        <v>0</v>
      </c>
      <c r="DX315">
        <v>1416</v>
      </c>
      <c r="DY315">
        <v>0</v>
      </c>
      <c r="DZ315">
        <v>0</v>
      </c>
      <c r="EA315">
        <v>0</v>
      </c>
      <c r="EB315">
        <v>0</v>
      </c>
      <c r="EC315">
        <v>0</v>
      </c>
      <c r="ED315">
        <v>0</v>
      </c>
      <c r="EE315">
        <v>0</v>
      </c>
      <c r="EF315">
        <v>0</v>
      </c>
      <c r="EG315">
        <v>0</v>
      </c>
      <c r="EH315">
        <v>0</v>
      </c>
      <c r="EI315">
        <v>0</v>
      </c>
      <c r="EJ315">
        <v>0</v>
      </c>
      <c r="EK315">
        <v>0</v>
      </c>
      <c r="EL315">
        <v>0</v>
      </c>
      <c r="EM315">
        <v>0</v>
      </c>
      <c r="EN315">
        <v>0</v>
      </c>
      <c r="EO315">
        <v>0</v>
      </c>
      <c r="EP315">
        <v>0</v>
      </c>
      <c r="EQ315">
        <v>0</v>
      </c>
      <c r="ER315">
        <v>0</v>
      </c>
      <c r="ES315">
        <v>0</v>
      </c>
      <c r="ET315">
        <v>0</v>
      </c>
      <c r="EU315">
        <v>759</v>
      </c>
      <c r="EV315">
        <v>0</v>
      </c>
      <c r="EW315">
        <v>270</v>
      </c>
      <c r="EX315">
        <v>791</v>
      </c>
      <c r="EY315">
        <v>0</v>
      </c>
      <c r="EZ315">
        <v>0</v>
      </c>
      <c r="FA315">
        <v>0</v>
      </c>
      <c r="FB315">
        <v>0</v>
      </c>
      <c r="FC315">
        <v>0</v>
      </c>
      <c r="FD315">
        <v>1916</v>
      </c>
      <c r="FE315">
        <v>0</v>
      </c>
      <c r="FF315">
        <v>1</v>
      </c>
      <c r="FG315">
        <v>5489</v>
      </c>
      <c r="FH315">
        <v>9226</v>
      </c>
      <c r="FI315">
        <v>0</v>
      </c>
      <c r="FJ315">
        <v>1054</v>
      </c>
      <c r="FK315">
        <v>0</v>
      </c>
      <c r="FL315">
        <v>0</v>
      </c>
      <c r="FM315">
        <v>228</v>
      </c>
      <c r="FN315">
        <v>0</v>
      </c>
      <c r="FO315">
        <v>0</v>
      </c>
      <c r="FP315">
        <v>0</v>
      </c>
      <c r="FQ315">
        <v>0</v>
      </c>
      <c r="FR315">
        <v>0</v>
      </c>
      <c r="FS315">
        <v>0</v>
      </c>
      <c r="FT315">
        <v>0</v>
      </c>
      <c r="FU315">
        <v>-148</v>
      </c>
      <c r="FV315">
        <v>594</v>
      </c>
      <c r="FW315">
        <v>0</v>
      </c>
      <c r="FX315">
        <v>0</v>
      </c>
      <c r="FY315">
        <v>1475</v>
      </c>
      <c r="FZ315">
        <v>0</v>
      </c>
      <c r="GA315">
        <v>0</v>
      </c>
      <c r="GB315">
        <v>0</v>
      </c>
      <c r="GC315">
        <v>-323</v>
      </c>
      <c r="GD315">
        <v>0</v>
      </c>
      <c r="GE315">
        <v>-4855</v>
      </c>
      <c r="GF315">
        <v>22861</v>
      </c>
      <c r="GG315">
        <v>0</v>
      </c>
      <c r="GH315">
        <v>9140</v>
      </c>
      <c r="GI315">
        <v>0</v>
      </c>
      <c r="GJ315">
        <v>1306</v>
      </c>
      <c r="GK315">
        <v>31332</v>
      </c>
      <c r="GL315">
        <v>0</v>
      </c>
      <c r="GM315">
        <v>377</v>
      </c>
      <c r="GN315">
        <v>121</v>
      </c>
      <c r="GO315">
        <v>0</v>
      </c>
      <c r="GP315">
        <v>0</v>
      </c>
      <c r="GQ315">
        <v>2198</v>
      </c>
      <c r="GR315">
        <v>2002</v>
      </c>
      <c r="GS315">
        <v>711</v>
      </c>
      <c r="GT315">
        <v>155</v>
      </c>
      <c r="GU315">
        <v>5564</v>
      </c>
      <c r="GV315">
        <v>46122</v>
      </c>
      <c r="GW315">
        <v>0</v>
      </c>
      <c r="GX315">
        <v>0</v>
      </c>
      <c r="GY315">
        <v>0</v>
      </c>
      <c r="GZ315">
        <v>0</v>
      </c>
      <c r="HA315">
        <v>0</v>
      </c>
      <c r="HB315">
        <v>5066</v>
      </c>
      <c r="HC315">
        <v>0</v>
      </c>
      <c r="HD315">
        <v>0</v>
      </c>
      <c r="HE315">
        <v>0</v>
      </c>
      <c r="HF315">
        <v>0</v>
      </c>
      <c r="HG315">
        <v>0</v>
      </c>
      <c r="HH315">
        <v>0</v>
      </c>
      <c r="HI315">
        <v>120</v>
      </c>
      <c r="HJ315">
        <v>0</v>
      </c>
      <c r="HK315">
        <v>0</v>
      </c>
      <c r="HL315">
        <v>5727</v>
      </c>
      <c r="HM315">
        <v>-16</v>
      </c>
      <c r="HN315">
        <v>0</v>
      </c>
      <c r="HO315">
        <v>0</v>
      </c>
      <c r="HP315">
        <v>1192</v>
      </c>
      <c r="HQ315">
        <v>36</v>
      </c>
      <c r="HR315">
        <v>3327</v>
      </c>
      <c r="HS315">
        <v>0</v>
      </c>
      <c r="HT315">
        <v>0</v>
      </c>
      <c r="HU315">
        <v>0</v>
      </c>
      <c r="HV315">
        <v>15452</v>
      </c>
      <c r="HW315">
        <v>0</v>
      </c>
      <c r="HX315">
        <v>0</v>
      </c>
      <c r="HY315">
        <v>0</v>
      </c>
      <c r="HZ315">
        <v>0</v>
      </c>
      <c r="IA315">
        <v>0</v>
      </c>
      <c r="IB315">
        <v>0</v>
      </c>
      <c r="IC315">
        <v>266608</v>
      </c>
      <c r="ID315">
        <v>26531</v>
      </c>
      <c r="IE315">
        <v>101118</v>
      </c>
      <c r="IF315">
        <v>144114</v>
      </c>
      <c r="IG315">
        <v>32476</v>
      </c>
      <c r="IH315">
        <v>1416</v>
      </c>
      <c r="II315">
        <v>9226</v>
      </c>
      <c r="IJ315">
        <v>31332</v>
      </c>
      <c r="IK315">
        <v>5564</v>
      </c>
      <c r="IL315">
        <v>0</v>
      </c>
      <c r="IM315">
        <v>0</v>
      </c>
      <c r="IN315">
        <v>15452</v>
      </c>
      <c r="IO315">
        <v>0</v>
      </c>
      <c r="IP315">
        <v>633837</v>
      </c>
      <c r="IQ315">
        <v>0</v>
      </c>
      <c r="IR315">
        <v>0</v>
      </c>
      <c r="IS315">
        <v>0</v>
      </c>
      <c r="IT315">
        <v>0</v>
      </c>
      <c r="IU315">
        <v>0</v>
      </c>
      <c r="IV315">
        <v>0</v>
      </c>
      <c r="IW315">
        <v>0</v>
      </c>
      <c r="IX315">
        <v>0</v>
      </c>
      <c r="IY315">
        <v>0</v>
      </c>
      <c r="IZ315">
        <v>118</v>
      </c>
      <c r="JA315">
        <v>0</v>
      </c>
      <c r="JB315">
        <v>1268</v>
      </c>
      <c r="JC315">
        <v>0</v>
      </c>
      <c r="JD315">
        <v>0</v>
      </c>
      <c r="JE315">
        <v>0</v>
      </c>
      <c r="JF315">
        <v>0</v>
      </c>
      <c r="JG315">
        <v>635223</v>
      </c>
      <c r="JH315">
        <v>732</v>
      </c>
      <c r="JI315">
        <v>0</v>
      </c>
      <c r="JJ315">
        <v>0</v>
      </c>
      <c r="JK315">
        <v>0</v>
      </c>
      <c r="JL315">
        <v>0</v>
      </c>
      <c r="JM315">
        <v>0</v>
      </c>
      <c r="JN315">
        <v>6820</v>
      </c>
      <c r="JO315">
        <v>5003</v>
      </c>
      <c r="JP315">
        <v>15221</v>
      </c>
      <c r="JQ315">
        <v>0</v>
      </c>
      <c r="JR315">
        <v>662999</v>
      </c>
      <c r="JS315">
        <v>-2657</v>
      </c>
      <c r="JT315">
        <v>0</v>
      </c>
      <c r="JU315">
        <v>0</v>
      </c>
      <c r="JV315">
        <v>0</v>
      </c>
      <c r="JW315">
        <v>-9140</v>
      </c>
      <c r="JX315">
        <v>0</v>
      </c>
      <c r="JY315">
        <v>0</v>
      </c>
      <c r="JZ315">
        <v>0</v>
      </c>
      <c r="KA315">
        <v>0</v>
      </c>
      <c r="KB315">
        <v>-5374</v>
      </c>
      <c r="KC315">
        <v>645828</v>
      </c>
      <c r="KD315">
        <v>0</v>
      </c>
      <c r="KE315">
        <v>-351866</v>
      </c>
      <c r="KF315">
        <v>293962</v>
      </c>
      <c r="KG315">
        <v>0</v>
      </c>
      <c r="KH315">
        <v>2032</v>
      </c>
      <c r="KI315">
        <v>0</v>
      </c>
      <c r="KJ315">
        <v>420</v>
      </c>
      <c r="KK315">
        <v>62919</v>
      </c>
      <c r="KL315">
        <v>-2771</v>
      </c>
      <c r="KM315">
        <v>-6209</v>
      </c>
      <c r="KN315">
        <v>0</v>
      </c>
      <c r="KO315">
        <v>-61074</v>
      </c>
      <c r="KP315">
        <v>2054</v>
      </c>
      <c r="KQ315">
        <v>0</v>
      </c>
      <c r="KR315">
        <v>269934</v>
      </c>
      <c r="KS315">
        <v>24506</v>
      </c>
      <c r="KT315">
        <v>0</v>
      </c>
      <c r="KU315">
        <v>3061</v>
      </c>
      <c r="KV315">
        <v>99166</v>
      </c>
      <c r="KW315">
        <v>29873</v>
      </c>
      <c r="KX315">
        <v>26538</v>
      </c>
      <c r="KY315">
        <v>0</v>
      </c>
      <c r="KZ315">
        <v>3481</v>
      </c>
      <c r="LA315">
        <v>162085</v>
      </c>
      <c r="LB315">
        <v>27102</v>
      </c>
      <c r="LC315">
        <v>0</v>
      </c>
      <c r="LD315">
        <v>0</v>
      </c>
      <c r="LE315">
        <v>0</v>
      </c>
      <c r="LF315">
        <v>0</v>
      </c>
      <c r="LG315">
        <v>0</v>
      </c>
      <c r="LH315">
        <v>0</v>
      </c>
      <c r="LI315">
        <v>0</v>
      </c>
      <c r="LJ315">
        <v>0</v>
      </c>
      <c r="LK315">
        <v>0</v>
      </c>
      <c r="LL315">
        <v>0</v>
      </c>
      <c r="LM315">
        <v>0</v>
      </c>
      <c r="LN315">
        <v>0</v>
      </c>
      <c r="LO315">
        <v>0</v>
      </c>
      <c r="LP315">
        <v>0</v>
      </c>
      <c r="LQ315">
        <v>0</v>
      </c>
      <c r="LR315">
        <v>0</v>
      </c>
      <c r="LS315">
        <v>0</v>
      </c>
      <c r="LT315">
        <v>0</v>
      </c>
      <c r="LU315">
        <v>266608</v>
      </c>
      <c r="LV315">
        <v>26531</v>
      </c>
      <c r="LW315">
        <v>101118</v>
      </c>
      <c r="LX315">
        <v>144114</v>
      </c>
      <c r="LY315">
        <v>32476</v>
      </c>
      <c r="LZ315">
        <v>1416</v>
      </c>
      <c r="MA315">
        <v>9226</v>
      </c>
      <c r="MB315">
        <v>31332</v>
      </c>
      <c r="MC315">
        <v>5564</v>
      </c>
      <c r="MD315">
        <v>0</v>
      </c>
      <c r="ME315">
        <v>0</v>
      </c>
      <c r="MF315">
        <v>15452</v>
      </c>
      <c r="MG315">
        <v>0</v>
      </c>
      <c r="MH315">
        <v>633837</v>
      </c>
      <c r="MI315">
        <v>0</v>
      </c>
      <c r="MJ315">
        <v>0</v>
      </c>
      <c r="MK315">
        <v>0</v>
      </c>
      <c r="ML315">
        <v>0</v>
      </c>
      <c r="MM315">
        <v>0</v>
      </c>
      <c r="MN315">
        <v>0</v>
      </c>
      <c r="MO315">
        <v>0</v>
      </c>
      <c r="MP315">
        <v>0</v>
      </c>
      <c r="MQ315">
        <v>0</v>
      </c>
      <c r="MR315">
        <v>0</v>
      </c>
      <c r="MS315">
        <v>0</v>
      </c>
      <c r="MT315">
        <v>0</v>
      </c>
      <c r="MU315">
        <v>0</v>
      </c>
      <c r="MV315">
        <v>0</v>
      </c>
      <c r="MW315">
        <v>0</v>
      </c>
      <c r="MX315">
        <v>0</v>
      </c>
      <c r="MY315">
        <v>0</v>
      </c>
      <c r="MZ315">
        <v>0</v>
      </c>
      <c r="NA315">
        <v>0</v>
      </c>
      <c r="NB315">
        <v>0</v>
      </c>
      <c r="NC315">
        <v>0</v>
      </c>
      <c r="ND315">
        <v>0</v>
      </c>
      <c r="NE315">
        <v>639</v>
      </c>
      <c r="NF315">
        <v>0</v>
      </c>
      <c r="NG315">
        <v>0</v>
      </c>
      <c r="NH315">
        <v>0</v>
      </c>
      <c r="NI315">
        <v>0</v>
      </c>
      <c r="NJ315">
        <v>0</v>
      </c>
      <c r="NK315">
        <v>0</v>
      </c>
      <c r="NL315">
        <v>0</v>
      </c>
      <c r="NM315">
        <v>0</v>
      </c>
      <c r="NN315">
        <v>0</v>
      </c>
      <c r="NO315">
        <v>0</v>
      </c>
      <c r="NP315">
        <v>0</v>
      </c>
      <c r="NQ315">
        <v>0</v>
      </c>
      <c r="NR315">
        <v>0</v>
      </c>
      <c r="NS315">
        <v>0</v>
      </c>
      <c r="NT315">
        <v>0</v>
      </c>
      <c r="NU315">
        <v>0</v>
      </c>
      <c r="NV315">
        <v>0</v>
      </c>
      <c r="NW315">
        <v>0</v>
      </c>
      <c r="NX315">
        <v>0</v>
      </c>
      <c r="NY315">
        <v>0</v>
      </c>
      <c r="NZ315">
        <v>1268</v>
      </c>
      <c r="OA315">
        <v>0</v>
      </c>
      <c r="OB315">
        <v>1268</v>
      </c>
      <c r="OC315">
        <v>0</v>
      </c>
      <c r="OD315">
        <v>0</v>
      </c>
      <c r="OE315">
        <v>0</v>
      </c>
      <c r="OF315">
        <v>0</v>
      </c>
      <c r="OG315">
        <v>0</v>
      </c>
      <c r="OH315">
        <v>0</v>
      </c>
      <c r="OI315">
        <v>0</v>
      </c>
      <c r="OJ315">
        <v>0</v>
      </c>
      <c r="OK315">
        <v>0</v>
      </c>
      <c r="OL315">
        <v>0</v>
      </c>
      <c r="OM315">
        <v>0</v>
      </c>
      <c r="ON315">
        <v>0</v>
      </c>
    </row>
    <row r="316" spans="1:404" x14ac:dyDescent="0.25">
      <c r="A316" t="s">
        <v>1015</v>
      </c>
      <c r="B316" t="s">
        <v>1016</v>
      </c>
      <c r="C316" t="s">
        <v>5444</v>
      </c>
      <c r="E316" t="s">
        <v>61</v>
      </c>
      <c r="F316">
        <v>0</v>
      </c>
      <c r="G316">
        <v>0</v>
      </c>
      <c r="H316">
        <v>0</v>
      </c>
      <c r="I316">
        <v>0</v>
      </c>
      <c r="J316">
        <v>0</v>
      </c>
      <c r="K316">
        <v>0</v>
      </c>
      <c r="L316">
        <v>0</v>
      </c>
      <c r="M316">
        <v>0</v>
      </c>
      <c r="N316">
        <v>0</v>
      </c>
      <c r="O316">
        <v>0</v>
      </c>
      <c r="P316">
        <v>0</v>
      </c>
      <c r="Q316">
        <v>0</v>
      </c>
      <c r="R316">
        <v>0</v>
      </c>
      <c r="S316">
        <v>0</v>
      </c>
      <c r="T316">
        <v>0</v>
      </c>
      <c r="U316">
        <v>0</v>
      </c>
      <c r="V316">
        <v>0</v>
      </c>
      <c r="W316">
        <v>0</v>
      </c>
      <c r="X316">
        <v>0</v>
      </c>
      <c r="Y316">
        <v>0</v>
      </c>
      <c r="Z316">
        <v>0</v>
      </c>
      <c r="AA316">
        <v>-2340</v>
      </c>
      <c r="AB316">
        <v>0</v>
      </c>
      <c r="AC316">
        <v>0</v>
      </c>
      <c r="AD316">
        <v>-93</v>
      </c>
      <c r="AE316">
        <v>0</v>
      </c>
      <c r="AF316">
        <v>0</v>
      </c>
      <c r="AG316">
        <v>0</v>
      </c>
      <c r="AH316">
        <v>102</v>
      </c>
      <c r="AI316">
        <v>-2332</v>
      </c>
      <c r="AJ316">
        <v>0</v>
      </c>
      <c r="AK316">
        <v>0</v>
      </c>
      <c r="AL316">
        <v>0</v>
      </c>
      <c r="AM316">
        <v>0</v>
      </c>
      <c r="AN316">
        <v>0</v>
      </c>
      <c r="AO316">
        <v>0</v>
      </c>
      <c r="AP316">
        <v>0</v>
      </c>
      <c r="AQ316">
        <v>0</v>
      </c>
      <c r="AR316">
        <v>0</v>
      </c>
      <c r="AS316">
        <v>0</v>
      </c>
      <c r="AT316">
        <v>0</v>
      </c>
      <c r="AU316">
        <v>0</v>
      </c>
      <c r="AV316">
        <v>0</v>
      </c>
      <c r="AW316">
        <v>0</v>
      </c>
      <c r="AX316">
        <v>0</v>
      </c>
      <c r="AY316">
        <v>0</v>
      </c>
      <c r="AZ316">
        <v>0</v>
      </c>
      <c r="BA316">
        <v>0</v>
      </c>
      <c r="BB316">
        <v>0</v>
      </c>
      <c r="BC316">
        <v>0</v>
      </c>
      <c r="BD316">
        <v>0</v>
      </c>
      <c r="BE316">
        <v>0</v>
      </c>
      <c r="BF316">
        <v>0</v>
      </c>
      <c r="BG316">
        <v>0</v>
      </c>
      <c r="BH316">
        <v>0</v>
      </c>
      <c r="BI316">
        <v>0</v>
      </c>
      <c r="BJ316">
        <v>0</v>
      </c>
      <c r="BK316">
        <v>0</v>
      </c>
      <c r="BL316">
        <v>0</v>
      </c>
      <c r="BM316">
        <v>0</v>
      </c>
      <c r="BN316">
        <v>0</v>
      </c>
      <c r="BO316">
        <v>0</v>
      </c>
      <c r="BP316">
        <v>0</v>
      </c>
      <c r="BQ316">
        <v>0</v>
      </c>
      <c r="BR316">
        <v>0</v>
      </c>
      <c r="BS316">
        <v>0</v>
      </c>
      <c r="BT316">
        <v>0</v>
      </c>
      <c r="BU316">
        <v>0</v>
      </c>
      <c r="BV316">
        <v>0</v>
      </c>
      <c r="BW316">
        <v>0</v>
      </c>
      <c r="BX316">
        <v>0</v>
      </c>
      <c r="BY316">
        <v>0</v>
      </c>
      <c r="BZ316">
        <v>0</v>
      </c>
      <c r="CA316">
        <v>0</v>
      </c>
      <c r="CB316">
        <v>0</v>
      </c>
      <c r="CC316">
        <v>0</v>
      </c>
      <c r="CD316">
        <v>0</v>
      </c>
      <c r="CE316">
        <v>0</v>
      </c>
      <c r="CF316">
        <v>0</v>
      </c>
      <c r="CG316">
        <v>0</v>
      </c>
      <c r="CH316">
        <v>0</v>
      </c>
      <c r="CI316">
        <v>0</v>
      </c>
      <c r="CJ316">
        <v>0</v>
      </c>
      <c r="CK316">
        <v>0</v>
      </c>
      <c r="CL316">
        <v>0</v>
      </c>
      <c r="CM316">
        <v>0</v>
      </c>
      <c r="CN316">
        <v>0</v>
      </c>
      <c r="CO316">
        <v>0</v>
      </c>
      <c r="CP316">
        <v>0</v>
      </c>
      <c r="CQ316">
        <v>0</v>
      </c>
      <c r="CR316">
        <v>0</v>
      </c>
      <c r="CS316">
        <v>0</v>
      </c>
      <c r="CT316">
        <v>0</v>
      </c>
      <c r="CU316">
        <v>0</v>
      </c>
      <c r="CV316">
        <v>0</v>
      </c>
      <c r="CW316">
        <v>0</v>
      </c>
      <c r="CX316">
        <v>0</v>
      </c>
      <c r="CY316">
        <v>0</v>
      </c>
      <c r="CZ316">
        <v>0</v>
      </c>
      <c r="DA316">
        <v>0</v>
      </c>
      <c r="DB316">
        <v>0</v>
      </c>
      <c r="DC316">
        <v>358</v>
      </c>
      <c r="DD316">
        <v>0</v>
      </c>
      <c r="DE316">
        <v>83</v>
      </c>
      <c r="DF316">
        <v>0</v>
      </c>
      <c r="DG316">
        <v>0</v>
      </c>
      <c r="DH316">
        <v>39</v>
      </c>
      <c r="DI316">
        <v>0</v>
      </c>
      <c r="DJ316">
        <v>563</v>
      </c>
      <c r="DK316">
        <v>0</v>
      </c>
      <c r="DL316">
        <v>0</v>
      </c>
      <c r="DM316">
        <v>0</v>
      </c>
      <c r="DN316">
        <v>1996</v>
      </c>
      <c r="DO316">
        <v>828</v>
      </c>
      <c r="DP316">
        <v>3426</v>
      </c>
      <c r="DQ316">
        <v>0</v>
      </c>
      <c r="DR316">
        <v>0</v>
      </c>
      <c r="DS316">
        <v>360</v>
      </c>
      <c r="DT316">
        <v>244</v>
      </c>
      <c r="DU316">
        <v>0</v>
      </c>
      <c r="DV316">
        <v>0</v>
      </c>
      <c r="DW316">
        <v>7</v>
      </c>
      <c r="DX316">
        <v>4478</v>
      </c>
      <c r="DY316">
        <v>24541</v>
      </c>
      <c r="DZ316">
        <v>685</v>
      </c>
      <c r="EA316">
        <v>1426</v>
      </c>
      <c r="EB316">
        <v>184</v>
      </c>
      <c r="EC316">
        <v>46</v>
      </c>
      <c r="ED316">
        <v>390</v>
      </c>
      <c r="EE316">
        <v>227</v>
      </c>
      <c r="EF316">
        <v>0</v>
      </c>
      <c r="EG316">
        <v>-27</v>
      </c>
      <c r="EH316">
        <v>6366</v>
      </c>
      <c r="EI316">
        <v>4140</v>
      </c>
      <c r="EJ316">
        <v>1539</v>
      </c>
      <c r="EK316">
        <v>184</v>
      </c>
      <c r="EL316">
        <v>2809</v>
      </c>
      <c r="EM316">
        <v>1069</v>
      </c>
      <c r="EN316">
        <v>0</v>
      </c>
      <c r="EO316">
        <v>0</v>
      </c>
      <c r="EP316">
        <v>3365</v>
      </c>
      <c r="EQ316">
        <v>8209</v>
      </c>
      <c r="ER316">
        <v>117</v>
      </c>
      <c r="ES316">
        <v>3792</v>
      </c>
      <c r="ET316">
        <v>3466</v>
      </c>
      <c r="EU316">
        <v>0</v>
      </c>
      <c r="EV316">
        <v>269</v>
      </c>
      <c r="EW316">
        <v>-399</v>
      </c>
      <c r="EX316">
        <v>0</v>
      </c>
      <c r="EY316">
        <v>0</v>
      </c>
      <c r="EZ316">
        <v>0</v>
      </c>
      <c r="FA316">
        <v>0</v>
      </c>
      <c r="FB316">
        <v>4</v>
      </c>
      <c r="FC316">
        <v>178</v>
      </c>
      <c r="FD316">
        <v>2544</v>
      </c>
      <c r="FE316">
        <v>-1</v>
      </c>
      <c r="FF316">
        <v>25</v>
      </c>
      <c r="FG316">
        <v>0</v>
      </c>
      <c r="FH316">
        <v>2620</v>
      </c>
      <c r="FI316">
        <v>-790</v>
      </c>
      <c r="FJ316">
        <v>0</v>
      </c>
      <c r="FK316">
        <v>0</v>
      </c>
      <c r="FL316">
        <v>364</v>
      </c>
      <c r="FM316">
        <v>290</v>
      </c>
      <c r="FN316">
        <v>183</v>
      </c>
      <c r="FO316">
        <v>192</v>
      </c>
      <c r="FP316">
        <v>0</v>
      </c>
      <c r="FQ316">
        <v>0</v>
      </c>
      <c r="FR316">
        <v>0</v>
      </c>
      <c r="FS316">
        <v>211</v>
      </c>
      <c r="FT316">
        <v>487</v>
      </c>
      <c r="FU316">
        <v>-6</v>
      </c>
      <c r="FV316">
        <v>0</v>
      </c>
      <c r="FW316">
        <v>0</v>
      </c>
      <c r="FX316">
        <v>58</v>
      </c>
      <c r="FY316">
        <v>244</v>
      </c>
      <c r="FZ316">
        <v>16</v>
      </c>
      <c r="GA316">
        <v>0</v>
      </c>
      <c r="GB316">
        <v>-83</v>
      </c>
      <c r="GC316">
        <v>0</v>
      </c>
      <c r="GD316">
        <v>1441</v>
      </c>
      <c r="GE316">
        <v>4710</v>
      </c>
      <c r="GF316">
        <v>0</v>
      </c>
      <c r="GG316">
        <v>0</v>
      </c>
      <c r="GH316">
        <v>0</v>
      </c>
      <c r="GI316">
        <v>0</v>
      </c>
      <c r="GJ316">
        <v>651</v>
      </c>
      <c r="GK316">
        <v>7968</v>
      </c>
      <c r="GL316">
        <v>48</v>
      </c>
      <c r="GM316">
        <v>964</v>
      </c>
      <c r="GN316">
        <v>112</v>
      </c>
      <c r="GO316">
        <v>195</v>
      </c>
      <c r="GP316">
        <v>0</v>
      </c>
      <c r="GQ316">
        <v>2752</v>
      </c>
      <c r="GR316">
        <v>0</v>
      </c>
      <c r="GS316">
        <v>0</v>
      </c>
      <c r="GT316">
        <v>1094</v>
      </c>
      <c r="GU316">
        <v>5165</v>
      </c>
      <c r="GV316">
        <v>15753</v>
      </c>
      <c r="GW316">
        <v>0</v>
      </c>
      <c r="GX316">
        <v>0</v>
      </c>
      <c r="GY316">
        <v>0</v>
      </c>
      <c r="GZ316">
        <v>0</v>
      </c>
      <c r="HA316">
        <v>0</v>
      </c>
      <c r="HB316">
        <v>684</v>
      </c>
      <c r="HC316">
        <v>492</v>
      </c>
      <c r="HD316">
        <v>0</v>
      </c>
      <c r="HE316">
        <v>0</v>
      </c>
      <c r="HF316">
        <v>596</v>
      </c>
      <c r="HG316">
        <v>-251</v>
      </c>
      <c r="HH316">
        <v>0</v>
      </c>
      <c r="HI316">
        <v>0</v>
      </c>
      <c r="HJ316">
        <v>105</v>
      </c>
      <c r="HK316">
        <v>397</v>
      </c>
      <c r="HL316">
        <v>131</v>
      </c>
      <c r="HM316">
        <v>-103</v>
      </c>
      <c r="HN316">
        <v>6</v>
      </c>
      <c r="HO316">
        <v>504</v>
      </c>
      <c r="HP316">
        <v>0</v>
      </c>
      <c r="HQ316">
        <v>0</v>
      </c>
      <c r="HR316">
        <v>2502</v>
      </c>
      <c r="HS316">
        <v>0</v>
      </c>
      <c r="HT316">
        <v>0</v>
      </c>
      <c r="HU316">
        <v>0</v>
      </c>
      <c r="HV316">
        <v>5063</v>
      </c>
      <c r="HW316">
        <v>0</v>
      </c>
      <c r="HX316">
        <v>0</v>
      </c>
      <c r="HY316">
        <v>0</v>
      </c>
      <c r="HZ316">
        <v>0</v>
      </c>
      <c r="IA316">
        <v>0</v>
      </c>
      <c r="IB316">
        <v>0</v>
      </c>
      <c r="IC316">
        <v>0</v>
      </c>
      <c r="ID316">
        <v>-2332</v>
      </c>
      <c r="IE316">
        <v>0</v>
      </c>
      <c r="IF316">
        <v>0</v>
      </c>
      <c r="IG316">
        <v>0</v>
      </c>
      <c r="IH316">
        <v>4478</v>
      </c>
      <c r="II316">
        <v>2620</v>
      </c>
      <c r="IJ316">
        <v>7968</v>
      </c>
      <c r="IK316">
        <v>5165</v>
      </c>
      <c r="IL316">
        <v>0</v>
      </c>
      <c r="IM316">
        <v>0</v>
      </c>
      <c r="IN316">
        <v>5063</v>
      </c>
      <c r="IO316">
        <v>0</v>
      </c>
      <c r="IP316">
        <v>22962</v>
      </c>
      <c r="IQ316">
        <v>20129</v>
      </c>
      <c r="IR316">
        <v>123</v>
      </c>
      <c r="IS316">
        <v>8337</v>
      </c>
      <c r="IT316">
        <v>0</v>
      </c>
      <c r="IU316">
        <v>0</v>
      </c>
      <c r="IV316">
        <v>2508</v>
      </c>
      <c r="IW316">
        <v>0</v>
      </c>
      <c r="IX316">
        <v>0</v>
      </c>
      <c r="IY316">
        <v>0</v>
      </c>
      <c r="IZ316">
        <v>0</v>
      </c>
      <c r="JA316">
        <v>0</v>
      </c>
      <c r="JB316">
        <v>0</v>
      </c>
      <c r="JC316">
        <v>0</v>
      </c>
      <c r="JD316">
        <v>0</v>
      </c>
      <c r="JE316">
        <v>15</v>
      </c>
      <c r="JF316">
        <v>0</v>
      </c>
      <c r="JG316">
        <v>54074</v>
      </c>
      <c r="JH316">
        <v>130</v>
      </c>
      <c r="JI316">
        <v>4491</v>
      </c>
      <c r="JJ316">
        <v>0</v>
      </c>
      <c r="JK316">
        <v>0</v>
      </c>
      <c r="JL316">
        <v>0</v>
      </c>
      <c r="JM316">
        <v>-138</v>
      </c>
      <c r="JN316">
        <v>2624</v>
      </c>
      <c r="JO316">
        <v>0</v>
      </c>
      <c r="JP316">
        <v>131</v>
      </c>
      <c r="JQ316">
        <v>390</v>
      </c>
      <c r="JR316">
        <v>61702</v>
      </c>
      <c r="JS316">
        <v>-5974</v>
      </c>
      <c r="JT316">
        <v>0</v>
      </c>
      <c r="JU316">
        <v>-611</v>
      </c>
      <c r="JV316">
        <v>0</v>
      </c>
      <c r="JW316">
        <v>-29744</v>
      </c>
      <c r="JX316">
        <v>0</v>
      </c>
      <c r="JY316">
        <v>74</v>
      </c>
      <c r="JZ316">
        <v>0</v>
      </c>
      <c r="KA316">
        <v>0</v>
      </c>
      <c r="KB316">
        <v>0</v>
      </c>
      <c r="KC316">
        <v>25447</v>
      </c>
      <c r="KD316">
        <v>0</v>
      </c>
      <c r="KE316">
        <v>-5765</v>
      </c>
      <c r="KF316">
        <v>19682</v>
      </c>
      <c r="KG316">
        <v>0</v>
      </c>
      <c r="KH316">
        <v>0</v>
      </c>
      <c r="KI316">
        <v>0</v>
      </c>
      <c r="KJ316">
        <v>0</v>
      </c>
      <c r="KK316">
        <v>31</v>
      </c>
      <c r="KL316">
        <v>-322</v>
      </c>
      <c r="KM316">
        <v>-6</v>
      </c>
      <c r="KN316">
        <v>0</v>
      </c>
      <c r="KO316">
        <v>-6673</v>
      </c>
      <c r="KP316">
        <v>-235</v>
      </c>
      <c r="KQ316">
        <v>0</v>
      </c>
      <c r="KR316">
        <v>12028</v>
      </c>
      <c r="KS316">
        <v>0</v>
      </c>
      <c r="KT316">
        <v>0</v>
      </c>
      <c r="KU316">
        <v>0</v>
      </c>
      <c r="KV316">
        <v>33843</v>
      </c>
      <c r="KW316">
        <v>7914</v>
      </c>
      <c r="KX316">
        <v>0</v>
      </c>
      <c r="KY316">
        <v>0</v>
      </c>
      <c r="KZ316">
        <v>0</v>
      </c>
      <c r="LA316">
        <v>33874</v>
      </c>
      <c r="LB316">
        <v>7592</v>
      </c>
      <c r="LC316">
        <v>0</v>
      </c>
      <c r="LD316">
        <v>2910</v>
      </c>
      <c r="LE316">
        <v>0</v>
      </c>
      <c r="LF316">
        <v>1331</v>
      </c>
      <c r="LG316">
        <v>7662</v>
      </c>
      <c r="LH316">
        <v>7129</v>
      </c>
      <c r="LI316">
        <v>19032</v>
      </c>
      <c r="LJ316">
        <v>4670</v>
      </c>
      <c r="LK316">
        <v>4659</v>
      </c>
      <c r="LL316">
        <v>9329</v>
      </c>
      <c r="LM316">
        <v>0</v>
      </c>
      <c r="LN316">
        <v>0</v>
      </c>
      <c r="LO316">
        <v>0</v>
      </c>
      <c r="LP316">
        <v>27472</v>
      </c>
      <c r="LQ316">
        <v>27798</v>
      </c>
      <c r="LR316">
        <v>-326</v>
      </c>
      <c r="LS316">
        <v>3792</v>
      </c>
      <c r="LT316">
        <v>3466</v>
      </c>
      <c r="LU316">
        <v>0</v>
      </c>
      <c r="LV316">
        <v>-2332</v>
      </c>
      <c r="LW316">
        <v>0</v>
      </c>
      <c r="LX316">
        <v>0</v>
      </c>
      <c r="LY316">
        <v>0</v>
      </c>
      <c r="LZ316">
        <v>4478</v>
      </c>
      <c r="MA316">
        <v>2620</v>
      </c>
      <c r="MB316">
        <v>7968</v>
      </c>
      <c r="MC316">
        <v>5165</v>
      </c>
      <c r="MD316">
        <v>0</v>
      </c>
      <c r="ME316">
        <v>0</v>
      </c>
      <c r="MF316">
        <v>5063</v>
      </c>
      <c r="MG316">
        <v>0</v>
      </c>
      <c r="MH316">
        <v>22962</v>
      </c>
      <c r="MI316">
        <v>0</v>
      </c>
      <c r="MJ316">
        <v>0</v>
      </c>
      <c r="MK316">
        <v>0</v>
      </c>
      <c r="ML316">
        <v>0</v>
      </c>
      <c r="MM316">
        <v>0</v>
      </c>
      <c r="MN316">
        <v>0</v>
      </c>
      <c r="MO316">
        <v>0</v>
      </c>
      <c r="MP316">
        <v>0</v>
      </c>
      <c r="MQ316">
        <v>0</v>
      </c>
      <c r="MR316">
        <v>0</v>
      </c>
      <c r="MS316">
        <v>0</v>
      </c>
      <c r="MT316">
        <v>0</v>
      </c>
      <c r="MU316">
        <v>0</v>
      </c>
      <c r="MV316">
        <v>0</v>
      </c>
      <c r="MW316">
        <v>0</v>
      </c>
      <c r="MX316">
        <v>0</v>
      </c>
      <c r="MY316">
        <v>0</v>
      </c>
      <c r="MZ316">
        <v>0</v>
      </c>
      <c r="NA316">
        <v>0</v>
      </c>
      <c r="NB316">
        <v>0</v>
      </c>
      <c r="NC316">
        <v>0</v>
      </c>
      <c r="ND316">
        <v>0</v>
      </c>
      <c r="NE316">
        <v>0</v>
      </c>
      <c r="NF316">
        <v>0</v>
      </c>
      <c r="NG316">
        <v>0</v>
      </c>
      <c r="NH316">
        <v>0</v>
      </c>
      <c r="NI316">
        <v>0</v>
      </c>
      <c r="NJ316">
        <v>0</v>
      </c>
      <c r="NK316">
        <v>0</v>
      </c>
      <c r="NL316">
        <v>0</v>
      </c>
      <c r="NM316">
        <v>0</v>
      </c>
      <c r="NN316">
        <v>0</v>
      </c>
      <c r="NO316">
        <v>0</v>
      </c>
      <c r="NP316">
        <v>0</v>
      </c>
      <c r="NQ316">
        <v>0</v>
      </c>
      <c r="NR316">
        <v>0</v>
      </c>
      <c r="NS316">
        <v>0</v>
      </c>
      <c r="NT316">
        <v>0</v>
      </c>
      <c r="NU316">
        <v>0</v>
      </c>
      <c r="NV316">
        <v>0</v>
      </c>
      <c r="NW316">
        <v>0</v>
      </c>
      <c r="NX316">
        <v>0</v>
      </c>
      <c r="NY316">
        <v>0</v>
      </c>
      <c r="NZ316">
        <v>0</v>
      </c>
      <c r="OA316">
        <v>0</v>
      </c>
      <c r="OB316">
        <v>0</v>
      </c>
      <c r="OC316">
        <v>0</v>
      </c>
      <c r="OD316">
        <v>0</v>
      </c>
      <c r="OE316">
        <v>0</v>
      </c>
      <c r="OF316">
        <v>0</v>
      </c>
      <c r="OG316">
        <v>0</v>
      </c>
      <c r="OH316">
        <v>0</v>
      </c>
      <c r="OI316">
        <v>0</v>
      </c>
      <c r="OJ316">
        <v>0</v>
      </c>
      <c r="OK316">
        <v>0</v>
      </c>
      <c r="OL316">
        <v>0</v>
      </c>
      <c r="OM316">
        <v>0</v>
      </c>
      <c r="ON316">
        <v>0</v>
      </c>
    </row>
    <row r="317" spans="1:404" x14ac:dyDescent="0.25">
      <c r="A317" t="s">
        <v>1018</v>
      </c>
      <c r="B317" t="s">
        <v>1019</v>
      </c>
      <c r="C317" t="s">
        <v>1017</v>
      </c>
      <c r="E317" t="s">
        <v>61</v>
      </c>
      <c r="F317">
        <v>0</v>
      </c>
      <c r="G317">
        <v>0</v>
      </c>
      <c r="H317">
        <v>0</v>
      </c>
      <c r="I317">
        <v>0</v>
      </c>
      <c r="J317">
        <v>0</v>
      </c>
      <c r="K317">
        <v>0</v>
      </c>
      <c r="L317">
        <v>0</v>
      </c>
      <c r="M317">
        <v>200</v>
      </c>
      <c r="N317">
        <v>239</v>
      </c>
      <c r="O317">
        <v>0</v>
      </c>
      <c r="P317">
        <v>0</v>
      </c>
      <c r="Q317">
        <v>0</v>
      </c>
      <c r="R317">
        <v>0</v>
      </c>
      <c r="S317">
        <v>0</v>
      </c>
      <c r="T317">
        <v>0</v>
      </c>
      <c r="U317">
        <v>0</v>
      </c>
      <c r="V317">
        <v>0</v>
      </c>
      <c r="W317">
        <v>0</v>
      </c>
      <c r="X317">
        <v>0</v>
      </c>
      <c r="Y317">
        <v>0</v>
      </c>
      <c r="Z317">
        <v>0</v>
      </c>
      <c r="AA317">
        <v>0</v>
      </c>
      <c r="AB317">
        <v>0</v>
      </c>
      <c r="AC317">
        <v>0</v>
      </c>
      <c r="AD317">
        <v>0</v>
      </c>
      <c r="AE317">
        <v>0</v>
      </c>
      <c r="AF317">
        <v>0</v>
      </c>
      <c r="AG317">
        <v>0</v>
      </c>
      <c r="AH317">
        <v>0</v>
      </c>
      <c r="AI317">
        <v>439</v>
      </c>
      <c r="AJ317">
        <v>0</v>
      </c>
      <c r="AK317">
        <v>0</v>
      </c>
      <c r="AL317">
        <v>0</v>
      </c>
      <c r="AM317">
        <v>0</v>
      </c>
      <c r="AN317">
        <v>0</v>
      </c>
      <c r="AO317">
        <v>0</v>
      </c>
      <c r="AP317">
        <v>0</v>
      </c>
      <c r="AQ317">
        <v>0</v>
      </c>
      <c r="AR317">
        <v>0</v>
      </c>
      <c r="AS317">
        <v>0</v>
      </c>
      <c r="AT317">
        <v>0</v>
      </c>
      <c r="AU317">
        <v>0</v>
      </c>
      <c r="AV317">
        <v>0</v>
      </c>
      <c r="AW317">
        <v>0</v>
      </c>
      <c r="AX317">
        <v>0</v>
      </c>
      <c r="AY317">
        <v>0</v>
      </c>
      <c r="AZ317">
        <v>0</v>
      </c>
      <c r="BA317">
        <v>0</v>
      </c>
      <c r="BB317">
        <v>0</v>
      </c>
      <c r="BC317">
        <v>0</v>
      </c>
      <c r="BD317">
        <v>0</v>
      </c>
      <c r="BE317">
        <v>0</v>
      </c>
      <c r="BF317">
        <v>0</v>
      </c>
      <c r="BG317">
        <v>0</v>
      </c>
      <c r="BH317">
        <v>-32</v>
      </c>
      <c r="BI317">
        <v>0</v>
      </c>
      <c r="BJ317">
        <v>0</v>
      </c>
      <c r="BK317">
        <v>0</v>
      </c>
      <c r="BL317">
        <v>0</v>
      </c>
      <c r="BM317">
        <v>0</v>
      </c>
      <c r="BN317">
        <v>0</v>
      </c>
      <c r="BO317">
        <v>0</v>
      </c>
      <c r="BP317">
        <v>0</v>
      </c>
      <c r="BQ317">
        <v>0</v>
      </c>
      <c r="BR317">
        <v>0</v>
      </c>
      <c r="BS317">
        <v>0</v>
      </c>
      <c r="BT317">
        <v>0</v>
      </c>
      <c r="BU317">
        <v>0</v>
      </c>
      <c r="BV317">
        <v>0</v>
      </c>
      <c r="BW317">
        <v>-32</v>
      </c>
      <c r="BX317">
        <v>0</v>
      </c>
      <c r="BY317">
        <v>0</v>
      </c>
      <c r="BZ317">
        <v>0</v>
      </c>
      <c r="CA317">
        <v>0</v>
      </c>
      <c r="CB317">
        <v>0</v>
      </c>
      <c r="CC317">
        <v>0</v>
      </c>
      <c r="CD317">
        <v>0</v>
      </c>
      <c r="CE317">
        <v>0</v>
      </c>
      <c r="CF317">
        <v>0</v>
      </c>
      <c r="CG317">
        <v>0</v>
      </c>
      <c r="CH317">
        <v>0</v>
      </c>
      <c r="CI317">
        <v>0</v>
      </c>
      <c r="CJ317">
        <v>0</v>
      </c>
      <c r="CK317">
        <v>0</v>
      </c>
      <c r="CL317">
        <v>0</v>
      </c>
      <c r="CM317">
        <v>0</v>
      </c>
      <c r="CN317">
        <v>0</v>
      </c>
      <c r="CO317">
        <v>0</v>
      </c>
      <c r="CP317">
        <v>0</v>
      </c>
      <c r="CQ317">
        <v>0</v>
      </c>
      <c r="CR317">
        <v>0</v>
      </c>
      <c r="CS317">
        <v>0</v>
      </c>
      <c r="CT317">
        <v>0</v>
      </c>
      <c r="CU317">
        <v>99</v>
      </c>
      <c r="CV317">
        <v>99</v>
      </c>
      <c r="CW317">
        <v>0</v>
      </c>
      <c r="CX317">
        <v>0</v>
      </c>
      <c r="CY317">
        <v>0</v>
      </c>
      <c r="CZ317">
        <v>0</v>
      </c>
      <c r="DA317">
        <v>0</v>
      </c>
      <c r="DB317">
        <v>0</v>
      </c>
      <c r="DC317">
        <v>516</v>
      </c>
      <c r="DD317">
        <v>0</v>
      </c>
      <c r="DE317">
        <v>49</v>
      </c>
      <c r="DF317">
        <v>0</v>
      </c>
      <c r="DG317">
        <v>0</v>
      </c>
      <c r="DH317">
        <v>0</v>
      </c>
      <c r="DI317">
        <v>29</v>
      </c>
      <c r="DJ317">
        <v>162</v>
      </c>
      <c r="DK317">
        <v>0</v>
      </c>
      <c r="DL317">
        <v>296</v>
      </c>
      <c r="DM317">
        <v>0</v>
      </c>
      <c r="DN317">
        <v>1066</v>
      </c>
      <c r="DO317">
        <v>0</v>
      </c>
      <c r="DP317">
        <v>1553</v>
      </c>
      <c r="DQ317">
        <v>0</v>
      </c>
      <c r="DR317">
        <v>0</v>
      </c>
      <c r="DS317">
        <v>0</v>
      </c>
      <c r="DT317">
        <v>0</v>
      </c>
      <c r="DU317">
        <v>377</v>
      </c>
      <c r="DV317">
        <v>227</v>
      </c>
      <c r="DW317">
        <v>0</v>
      </c>
      <c r="DX317">
        <v>2722</v>
      </c>
      <c r="DY317">
        <v>29582</v>
      </c>
      <c r="DZ317">
        <v>375</v>
      </c>
      <c r="EA317">
        <v>1319</v>
      </c>
      <c r="EB317">
        <v>97</v>
      </c>
      <c r="EC317">
        <v>0</v>
      </c>
      <c r="ED317">
        <v>1159</v>
      </c>
      <c r="EE317">
        <v>145</v>
      </c>
      <c r="EF317">
        <v>0</v>
      </c>
      <c r="EG317">
        <v>0</v>
      </c>
      <c r="EH317">
        <v>5278</v>
      </c>
      <c r="EI317">
        <v>5407</v>
      </c>
      <c r="EJ317">
        <v>1380</v>
      </c>
      <c r="EK317">
        <v>276</v>
      </c>
      <c r="EL317">
        <v>7193</v>
      </c>
      <c r="EM317">
        <v>0</v>
      </c>
      <c r="EN317">
        <v>3933</v>
      </c>
      <c r="EO317">
        <v>44</v>
      </c>
      <c r="EP317">
        <v>0</v>
      </c>
      <c r="EQ317">
        <v>6902</v>
      </c>
      <c r="ER317">
        <v>50</v>
      </c>
      <c r="ES317">
        <v>13120</v>
      </c>
      <c r="ET317">
        <v>15335</v>
      </c>
      <c r="EU317">
        <v>0</v>
      </c>
      <c r="EV317">
        <v>0</v>
      </c>
      <c r="EW317">
        <v>0</v>
      </c>
      <c r="EX317">
        <v>9</v>
      </c>
      <c r="EY317">
        <v>0</v>
      </c>
      <c r="EZ317">
        <v>0</v>
      </c>
      <c r="FA317">
        <v>0</v>
      </c>
      <c r="FB317">
        <v>194</v>
      </c>
      <c r="FC317">
        <v>0</v>
      </c>
      <c r="FD317">
        <v>135</v>
      </c>
      <c r="FE317">
        <v>0</v>
      </c>
      <c r="FF317">
        <v>0</v>
      </c>
      <c r="FG317">
        <v>0</v>
      </c>
      <c r="FH317">
        <v>338</v>
      </c>
      <c r="FI317">
        <v>0</v>
      </c>
      <c r="FJ317">
        <v>0</v>
      </c>
      <c r="FK317">
        <v>0</v>
      </c>
      <c r="FL317">
        <v>511</v>
      </c>
      <c r="FM317">
        <v>1123</v>
      </c>
      <c r="FN317">
        <v>135</v>
      </c>
      <c r="FO317">
        <v>250</v>
      </c>
      <c r="FP317">
        <v>0</v>
      </c>
      <c r="FQ317">
        <v>0</v>
      </c>
      <c r="FR317">
        <v>0</v>
      </c>
      <c r="FS317">
        <v>0</v>
      </c>
      <c r="FT317">
        <v>30</v>
      </c>
      <c r="FU317">
        <v>199</v>
      </c>
      <c r="FV317">
        <v>82</v>
      </c>
      <c r="FW317">
        <v>133</v>
      </c>
      <c r="FX317">
        <v>0</v>
      </c>
      <c r="FY317">
        <v>368</v>
      </c>
      <c r="FZ317">
        <v>0</v>
      </c>
      <c r="GA317">
        <v>0</v>
      </c>
      <c r="GB317">
        <v>0</v>
      </c>
      <c r="GC317">
        <v>0</v>
      </c>
      <c r="GD317">
        <v>826</v>
      </c>
      <c r="GE317">
        <v>6776</v>
      </c>
      <c r="GF317">
        <v>0</v>
      </c>
      <c r="GG317">
        <v>-1049</v>
      </c>
      <c r="GH317">
        <v>-1412</v>
      </c>
      <c r="GI317">
        <v>0</v>
      </c>
      <c r="GJ317">
        <v>0</v>
      </c>
      <c r="GK317">
        <v>7972</v>
      </c>
      <c r="GL317">
        <v>84</v>
      </c>
      <c r="GM317">
        <v>1736</v>
      </c>
      <c r="GN317">
        <v>1763</v>
      </c>
      <c r="GO317">
        <v>2210</v>
      </c>
      <c r="GP317">
        <v>204</v>
      </c>
      <c r="GQ317">
        <v>455</v>
      </c>
      <c r="GR317">
        <v>0</v>
      </c>
      <c r="GS317">
        <v>0</v>
      </c>
      <c r="GT317">
        <v>1450</v>
      </c>
      <c r="GU317">
        <v>7902</v>
      </c>
      <c r="GV317">
        <v>16212</v>
      </c>
      <c r="GW317">
        <v>0</v>
      </c>
      <c r="GX317">
        <v>0</v>
      </c>
      <c r="GY317">
        <v>0</v>
      </c>
      <c r="GZ317">
        <v>0</v>
      </c>
      <c r="HA317">
        <v>0</v>
      </c>
      <c r="HB317">
        <v>3091</v>
      </c>
      <c r="HC317">
        <v>1259</v>
      </c>
      <c r="HD317">
        <v>0</v>
      </c>
      <c r="HE317">
        <v>0</v>
      </c>
      <c r="HF317">
        <v>353</v>
      </c>
      <c r="HG317">
        <v>338</v>
      </c>
      <c r="HH317">
        <v>0</v>
      </c>
      <c r="HI317">
        <v>0</v>
      </c>
      <c r="HJ317">
        <v>401</v>
      </c>
      <c r="HK317">
        <v>46</v>
      </c>
      <c r="HL317">
        <v>11</v>
      </c>
      <c r="HM317">
        <v>-200</v>
      </c>
      <c r="HN317">
        <v>0</v>
      </c>
      <c r="HO317">
        <v>250</v>
      </c>
      <c r="HP317">
        <v>0</v>
      </c>
      <c r="HQ317">
        <v>0</v>
      </c>
      <c r="HR317">
        <v>0</v>
      </c>
      <c r="HS317">
        <v>0</v>
      </c>
      <c r="HT317">
        <v>0</v>
      </c>
      <c r="HU317">
        <v>1</v>
      </c>
      <c r="HV317">
        <v>5550</v>
      </c>
      <c r="HW317">
        <v>1205</v>
      </c>
      <c r="HX317">
        <v>11081</v>
      </c>
      <c r="HY317">
        <v>0</v>
      </c>
      <c r="HZ317">
        <v>0</v>
      </c>
      <c r="IA317">
        <v>0</v>
      </c>
      <c r="IB317">
        <v>0</v>
      </c>
      <c r="IC317">
        <v>0</v>
      </c>
      <c r="ID317">
        <v>439</v>
      </c>
      <c r="IE317">
        <v>0</v>
      </c>
      <c r="IF317">
        <v>-32</v>
      </c>
      <c r="IG317">
        <v>99</v>
      </c>
      <c r="IH317">
        <v>2722</v>
      </c>
      <c r="II317">
        <v>338</v>
      </c>
      <c r="IJ317">
        <v>7972</v>
      </c>
      <c r="IK317">
        <v>7902</v>
      </c>
      <c r="IL317">
        <v>0</v>
      </c>
      <c r="IM317">
        <v>0</v>
      </c>
      <c r="IN317">
        <v>5550</v>
      </c>
      <c r="IO317">
        <v>0</v>
      </c>
      <c r="IP317">
        <v>24990</v>
      </c>
      <c r="IQ317">
        <v>9657</v>
      </c>
      <c r="IR317">
        <v>565</v>
      </c>
      <c r="IS317">
        <v>9232</v>
      </c>
      <c r="IT317">
        <v>0</v>
      </c>
      <c r="IU317">
        <v>0</v>
      </c>
      <c r="IV317">
        <v>6105</v>
      </c>
      <c r="IW317">
        <v>0</v>
      </c>
      <c r="IX317">
        <v>0</v>
      </c>
      <c r="IY317">
        <v>0</v>
      </c>
      <c r="IZ317">
        <v>0</v>
      </c>
      <c r="JA317">
        <v>0</v>
      </c>
      <c r="JB317">
        <v>0</v>
      </c>
      <c r="JC317">
        <v>0</v>
      </c>
      <c r="JD317">
        <v>0</v>
      </c>
      <c r="JE317">
        <v>0</v>
      </c>
      <c r="JF317">
        <v>0</v>
      </c>
      <c r="JG317">
        <v>50548</v>
      </c>
      <c r="JH317">
        <v>205</v>
      </c>
      <c r="JI317">
        <v>2121</v>
      </c>
      <c r="JJ317">
        <v>0</v>
      </c>
      <c r="JK317">
        <v>0</v>
      </c>
      <c r="JL317">
        <v>0</v>
      </c>
      <c r="JM317">
        <v>0</v>
      </c>
      <c r="JN317">
        <v>0</v>
      </c>
      <c r="JO317">
        <v>0</v>
      </c>
      <c r="JP317">
        <v>7193</v>
      </c>
      <c r="JQ317">
        <v>0</v>
      </c>
      <c r="JR317">
        <v>60068</v>
      </c>
      <c r="JS317">
        <v>-4803</v>
      </c>
      <c r="JT317">
        <v>0</v>
      </c>
      <c r="JU317">
        <v>0</v>
      </c>
      <c r="JV317">
        <v>0</v>
      </c>
      <c r="JW317">
        <v>-19647</v>
      </c>
      <c r="JX317">
        <v>0</v>
      </c>
      <c r="JY317">
        <v>0</v>
      </c>
      <c r="JZ317">
        <v>0</v>
      </c>
      <c r="KA317">
        <v>0</v>
      </c>
      <c r="KB317">
        <v>0</v>
      </c>
      <c r="KC317">
        <v>35618</v>
      </c>
      <c r="KD317">
        <v>0</v>
      </c>
      <c r="KE317">
        <v>-3319</v>
      </c>
      <c r="KF317">
        <v>32299</v>
      </c>
      <c r="KG317">
        <v>0</v>
      </c>
      <c r="KH317">
        <v>0</v>
      </c>
      <c r="KI317">
        <v>0</v>
      </c>
      <c r="KJ317">
        <v>0</v>
      </c>
      <c r="KK317">
        <v>387</v>
      </c>
      <c r="KL317">
        <v>2305</v>
      </c>
      <c r="KM317">
        <v>0</v>
      </c>
      <c r="KN317">
        <v>0</v>
      </c>
      <c r="KO317">
        <v>-9140</v>
      </c>
      <c r="KP317">
        <v>91</v>
      </c>
      <c r="KQ317">
        <v>-1585</v>
      </c>
      <c r="KR317">
        <v>16103</v>
      </c>
      <c r="KS317">
        <v>0</v>
      </c>
      <c r="KT317">
        <v>0</v>
      </c>
      <c r="KU317">
        <v>0</v>
      </c>
      <c r="KV317">
        <v>43806</v>
      </c>
      <c r="KW317">
        <v>15863</v>
      </c>
      <c r="KX317">
        <v>0</v>
      </c>
      <c r="KY317">
        <v>0</v>
      </c>
      <c r="KZ317">
        <v>0</v>
      </c>
      <c r="LA317">
        <v>44193</v>
      </c>
      <c r="LB317">
        <v>18168</v>
      </c>
      <c r="LC317">
        <v>0</v>
      </c>
      <c r="LD317">
        <v>1875</v>
      </c>
      <c r="LE317">
        <v>0</v>
      </c>
      <c r="LF317">
        <v>0</v>
      </c>
      <c r="LG317">
        <v>0</v>
      </c>
      <c r="LH317">
        <v>0</v>
      </c>
      <c r="LI317">
        <v>1875</v>
      </c>
      <c r="LJ317">
        <v>2696</v>
      </c>
      <c r="LK317">
        <v>4390</v>
      </c>
      <c r="LL317">
        <v>7086</v>
      </c>
      <c r="LM317">
        <v>0</v>
      </c>
      <c r="LN317">
        <v>0</v>
      </c>
      <c r="LO317">
        <v>0</v>
      </c>
      <c r="LP317">
        <v>32677</v>
      </c>
      <c r="LQ317">
        <v>30462</v>
      </c>
      <c r="LR317">
        <v>2215</v>
      </c>
      <c r="LS317">
        <v>13120</v>
      </c>
      <c r="LT317">
        <v>15335</v>
      </c>
      <c r="LU317">
        <v>0</v>
      </c>
      <c r="LV317">
        <v>439</v>
      </c>
      <c r="LW317">
        <v>0</v>
      </c>
      <c r="LX317">
        <v>-32</v>
      </c>
      <c r="LY317">
        <v>99</v>
      </c>
      <c r="LZ317">
        <v>2722</v>
      </c>
      <c r="MA317">
        <v>338</v>
      </c>
      <c r="MB317">
        <v>7972</v>
      </c>
      <c r="MC317">
        <v>7902</v>
      </c>
      <c r="MD317">
        <v>0</v>
      </c>
      <c r="ME317">
        <v>0</v>
      </c>
      <c r="MF317">
        <v>5550</v>
      </c>
      <c r="MG317">
        <v>0</v>
      </c>
      <c r="MH317">
        <v>24990</v>
      </c>
      <c r="MI317">
        <v>0</v>
      </c>
      <c r="MJ317">
        <v>0</v>
      </c>
      <c r="MK317">
        <v>0</v>
      </c>
      <c r="ML317">
        <v>0</v>
      </c>
      <c r="MM317">
        <v>0</v>
      </c>
      <c r="MN317">
        <v>0</v>
      </c>
      <c r="MO317">
        <v>0</v>
      </c>
      <c r="MP317">
        <v>0</v>
      </c>
      <c r="MQ317">
        <v>0</v>
      </c>
      <c r="MR317">
        <v>0</v>
      </c>
      <c r="MS317">
        <v>0</v>
      </c>
      <c r="MT317">
        <v>0</v>
      </c>
      <c r="MU317">
        <v>0</v>
      </c>
      <c r="MV317">
        <v>0</v>
      </c>
      <c r="MW317">
        <v>0</v>
      </c>
      <c r="MX317">
        <v>0</v>
      </c>
      <c r="MY317">
        <v>0</v>
      </c>
      <c r="MZ317">
        <v>0</v>
      </c>
      <c r="NA317">
        <v>0</v>
      </c>
      <c r="NB317">
        <v>0</v>
      </c>
      <c r="NC317">
        <v>0</v>
      </c>
      <c r="ND317">
        <v>0</v>
      </c>
      <c r="NE317">
        <v>0</v>
      </c>
      <c r="NF317">
        <v>0</v>
      </c>
      <c r="NG317">
        <v>0</v>
      </c>
      <c r="NH317">
        <v>0</v>
      </c>
      <c r="NI317">
        <v>0</v>
      </c>
      <c r="NJ317">
        <v>0</v>
      </c>
      <c r="NK317">
        <v>0</v>
      </c>
      <c r="NL317">
        <v>0</v>
      </c>
      <c r="NM317">
        <v>0</v>
      </c>
      <c r="NN317">
        <v>0</v>
      </c>
      <c r="NO317">
        <v>0</v>
      </c>
      <c r="NP317">
        <v>0</v>
      </c>
      <c r="NQ317">
        <v>0</v>
      </c>
      <c r="NR317">
        <v>0</v>
      </c>
      <c r="NS317">
        <v>0</v>
      </c>
      <c r="NT317">
        <v>0</v>
      </c>
      <c r="NU317">
        <v>0</v>
      </c>
      <c r="NV317">
        <v>0</v>
      </c>
      <c r="NW317">
        <v>0</v>
      </c>
      <c r="NX317">
        <v>0</v>
      </c>
      <c r="NY317">
        <v>0</v>
      </c>
      <c r="NZ317">
        <v>0</v>
      </c>
      <c r="OA317">
        <v>0</v>
      </c>
      <c r="OB317">
        <v>0</v>
      </c>
      <c r="OC317">
        <v>0</v>
      </c>
      <c r="OD317">
        <v>0</v>
      </c>
      <c r="OE317">
        <v>0</v>
      </c>
      <c r="OF317">
        <v>0</v>
      </c>
      <c r="OG317">
        <v>0</v>
      </c>
      <c r="OH317">
        <v>0</v>
      </c>
      <c r="OI317">
        <v>0</v>
      </c>
      <c r="OJ317">
        <v>0</v>
      </c>
      <c r="OK317">
        <v>0</v>
      </c>
      <c r="OL317">
        <v>0</v>
      </c>
      <c r="OM317">
        <v>0</v>
      </c>
      <c r="ON317">
        <v>0</v>
      </c>
    </row>
    <row r="318" spans="1:404" x14ac:dyDescent="0.25">
      <c r="A318" t="s">
        <v>1021</v>
      </c>
      <c r="B318" t="s">
        <v>1022</v>
      </c>
      <c r="C318" t="s">
        <v>1020</v>
      </c>
      <c r="E318" t="s">
        <v>61</v>
      </c>
      <c r="F318">
        <v>0</v>
      </c>
      <c r="G318">
        <v>0</v>
      </c>
      <c r="H318">
        <v>0</v>
      </c>
      <c r="I318">
        <v>0</v>
      </c>
      <c r="J318">
        <v>0</v>
      </c>
      <c r="K318">
        <v>0</v>
      </c>
      <c r="L318">
        <v>0</v>
      </c>
      <c r="M318">
        <v>0</v>
      </c>
      <c r="N318">
        <v>0</v>
      </c>
      <c r="O318">
        <v>0</v>
      </c>
      <c r="P318">
        <v>0</v>
      </c>
      <c r="Q318">
        <v>0</v>
      </c>
      <c r="R318">
        <v>-71</v>
      </c>
      <c r="S318">
        <v>0</v>
      </c>
      <c r="T318">
        <v>0</v>
      </c>
      <c r="U318">
        <v>0</v>
      </c>
      <c r="V318">
        <v>0</v>
      </c>
      <c r="W318">
        <v>0</v>
      </c>
      <c r="X318">
        <v>0</v>
      </c>
      <c r="Y318">
        <v>0</v>
      </c>
      <c r="Z318">
        <v>0</v>
      </c>
      <c r="AA318">
        <v>76</v>
      </c>
      <c r="AB318">
        <v>-11</v>
      </c>
      <c r="AC318">
        <v>0</v>
      </c>
      <c r="AD318">
        <v>0</v>
      </c>
      <c r="AE318">
        <v>0</v>
      </c>
      <c r="AF318">
        <v>0</v>
      </c>
      <c r="AG318">
        <v>19</v>
      </c>
      <c r="AH318">
        <v>0</v>
      </c>
      <c r="AI318">
        <v>13</v>
      </c>
      <c r="AJ318">
        <v>0</v>
      </c>
      <c r="AK318">
        <v>0</v>
      </c>
      <c r="AL318">
        <v>0</v>
      </c>
      <c r="AM318">
        <v>0</v>
      </c>
      <c r="AN318">
        <v>0</v>
      </c>
      <c r="AO318">
        <v>0</v>
      </c>
      <c r="AP318">
        <v>0</v>
      </c>
      <c r="AQ318">
        <v>0</v>
      </c>
      <c r="AR318">
        <v>0</v>
      </c>
      <c r="AS318">
        <v>0</v>
      </c>
      <c r="AT318">
        <v>0</v>
      </c>
      <c r="AU318">
        <v>0</v>
      </c>
      <c r="AV318">
        <v>0</v>
      </c>
      <c r="AW318">
        <v>0</v>
      </c>
      <c r="AX318">
        <v>0</v>
      </c>
      <c r="AY318">
        <v>0</v>
      </c>
      <c r="AZ318">
        <v>0</v>
      </c>
      <c r="BA318">
        <v>0</v>
      </c>
      <c r="BB318">
        <v>0</v>
      </c>
      <c r="BC318">
        <v>0</v>
      </c>
      <c r="BD318">
        <v>0</v>
      </c>
      <c r="BE318">
        <v>0</v>
      </c>
      <c r="BF318">
        <v>0</v>
      </c>
      <c r="BG318">
        <v>0</v>
      </c>
      <c r="BH318">
        <v>0</v>
      </c>
      <c r="BI318">
        <v>0</v>
      </c>
      <c r="BJ318">
        <v>0</v>
      </c>
      <c r="BK318">
        <v>0</v>
      </c>
      <c r="BL318">
        <v>0</v>
      </c>
      <c r="BM318">
        <v>0</v>
      </c>
      <c r="BN318">
        <v>0</v>
      </c>
      <c r="BO318">
        <v>0</v>
      </c>
      <c r="BP318">
        <v>0</v>
      </c>
      <c r="BQ318">
        <v>0</v>
      </c>
      <c r="BR318">
        <v>0</v>
      </c>
      <c r="BS318">
        <v>0</v>
      </c>
      <c r="BT318">
        <v>0</v>
      </c>
      <c r="BU318">
        <v>0</v>
      </c>
      <c r="BV318">
        <v>0</v>
      </c>
      <c r="BW318">
        <v>0</v>
      </c>
      <c r="BX318">
        <v>0</v>
      </c>
      <c r="BY318">
        <v>0</v>
      </c>
      <c r="BZ318">
        <v>0</v>
      </c>
      <c r="CA318">
        <v>0</v>
      </c>
      <c r="CB318">
        <v>0</v>
      </c>
      <c r="CC318">
        <v>0</v>
      </c>
      <c r="CD318">
        <v>0</v>
      </c>
      <c r="CE318">
        <v>0</v>
      </c>
      <c r="CF318">
        <v>0</v>
      </c>
      <c r="CG318">
        <v>0</v>
      </c>
      <c r="CH318">
        <v>0</v>
      </c>
      <c r="CI318">
        <v>0</v>
      </c>
      <c r="CJ318">
        <v>0</v>
      </c>
      <c r="CK318">
        <v>0</v>
      </c>
      <c r="CL318">
        <v>0</v>
      </c>
      <c r="CM318">
        <v>0</v>
      </c>
      <c r="CN318">
        <v>0</v>
      </c>
      <c r="CO318">
        <v>0</v>
      </c>
      <c r="CP318">
        <v>0</v>
      </c>
      <c r="CQ318">
        <v>0</v>
      </c>
      <c r="CR318">
        <v>0</v>
      </c>
      <c r="CS318">
        <v>0</v>
      </c>
      <c r="CT318">
        <v>0</v>
      </c>
      <c r="CU318">
        <v>0</v>
      </c>
      <c r="CV318">
        <v>0</v>
      </c>
      <c r="CW318">
        <v>0</v>
      </c>
      <c r="CX318">
        <v>0</v>
      </c>
      <c r="CY318">
        <v>0</v>
      </c>
      <c r="CZ318">
        <v>0</v>
      </c>
      <c r="DA318">
        <v>0</v>
      </c>
      <c r="DB318">
        <v>0</v>
      </c>
      <c r="DC318">
        <v>516</v>
      </c>
      <c r="DD318">
        <v>0</v>
      </c>
      <c r="DE318">
        <v>47</v>
      </c>
      <c r="DF318">
        <v>0</v>
      </c>
      <c r="DG318">
        <v>0</v>
      </c>
      <c r="DH318">
        <v>0</v>
      </c>
      <c r="DI318">
        <v>0</v>
      </c>
      <c r="DJ318">
        <v>0</v>
      </c>
      <c r="DK318">
        <v>0</v>
      </c>
      <c r="DL318">
        <v>0</v>
      </c>
      <c r="DM318">
        <v>0</v>
      </c>
      <c r="DN318">
        <v>0</v>
      </c>
      <c r="DO318">
        <v>0</v>
      </c>
      <c r="DP318">
        <v>0</v>
      </c>
      <c r="DQ318">
        <v>203</v>
      </c>
      <c r="DR318">
        <v>0</v>
      </c>
      <c r="DS318">
        <v>0</v>
      </c>
      <c r="DT318">
        <v>500</v>
      </c>
      <c r="DU318">
        <v>0</v>
      </c>
      <c r="DV318">
        <v>0</v>
      </c>
      <c r="DW318">
        <v>0</v>
      </c>
      <c r="DX318">
        <v>1266</v>
      </c>
      <c r="DY318">
        <v>12219</v>
      </c>
      <c r="DZ318">
        <v>102</v>
      </c>
      <c r="EA318">
        <v>184</v>
      </c>
      <c r="EB318">
        <v>8</v>
      </c>
      <c r="EC318">
        <v>217</v>
      </c>
      <c r="ED318">
        <v>90</v>
      </c>
      <c r="EE318">
        <v>0</v>
      </c>
      <c r="EF318">
        <v>0</v>
      </c>
      <c r="EG318">
        <v>0</v>
      </c>
      <c r="EH318">
        <v>3858</v>
      </c>
      <c r="EI318">
        <v>2139</v>
      </c>
      <c r="EJ318">
        <v>909</v>
      </c>
      <c r="EK318">
        <v>92</v>
      </c>
      <c r="EL318">
        <v>1652</v>
      </c>
      <c r="EM318">
        <v>1205</v>
      </c>
      <c r="EN318">
        <v>0</v>
      </c>
      <c r="EO318">
        <v>0</v>
      </c>
      <c r="EP318">
        <v>112</v>
      </c>
      <c r="EQ318">
        <v>4734</v>
      </c>
      <c r="ER318">
        <v>54</v>
      </c>
      <c r="ES318">
        <v>8430</v>
      </c>
      <c r="ET318">
        <v>6495</v>
      </c>
      <c r="EU318">
        <v>0</v>
      </c>
      <c r="EV318">
        <v>6</v>
      </c>
      <c r="EW318">
        <v>0</v>
      </c>
      <c r="EX318">
        <v>0</v>
      </c>
      <c r="EY318">
        <v>123</v>
      </c>
      <c r="EZ318">
        <v>210</v>
      </c>
      <c r="FA318">
        <v>0</v>
      </c>
      <c r="FB318">
        <v>43</v>
      </c>
      <c r="FC318">
        <v>-34</v>
      </c>
      <c r="FD318">
        <v>1400</v>
      </c>
      <c r="FE318">
        <v>-2</v>
      </c>
      <c r="FF318">
        <v>71</v>
      </c>
      <c r="FG318">
        <v>0</v>
      </c>
      <c r="FH318">
        <v>1817</v>
      </c>
      <c r="FI318">
        <v>22</v>
      </c>
      <c r="FJ318">
        <v>0</v>
      </c>
      <c r="FK318">
        <v>0</v>
      </c>
      <c r="FL318">
        <v>50</v>
      </c>
      <c r="FM318">
        <v>348</v>
      </c>
      <c r="FN318">
        <v>88</v>
      </c>
      <c r="FO318">
        <v>0</v>
      </c>
      <c r="FP318">
        <v>0</v>
      </c>
      <c r="FQ318">
        <v>0</v>
      </c>
      <c r="FR318">
        <v>14</v>
      </c>
      <c r="FS318">
        <v>1</v>
      </c>
      <c r="FT318">
        <v>58</v>
      </c>
      <c r="FU318">
        <v>5</v>
      </c>
      <c r="FV318">
        <v>103</v>
      </c>
      <c r="FW318">
        <v>220</v>
      </c>
      <c r="FX318">
        <v>0</v>
      </c>
      <c r="FY318">
        <v>64</v>
      </c>
      <c r="FZ318">
        <v>0</v>
      </c>
      <c r="GA318">
        <v>0</v>
      </c>
      <c r="GB318">
        <v>0</v>
      </c>
      <c r="GC318">
        <v>0</v>
      </c>
      <c r="GD318">
        <v>420</v>
      </c>
      <c r="GE318">
        <v>1839</v>
      </c>
      <c r="GF318">
        <v>-115</v>
      </c>
      <c r="GG318">
        <v>-112</v>
      </c>
      <c r="GH318">
        <v>216</v>
      </c>
      <c r="GI318">
        <v>0</v>
      </c>
      <c r="GJ318">
        <v>0</v>
      </c>
      <c r="GK318">
        <v>3221</v>
      </c>
      <c r="GL318">
        <v>35</v>
      </c>
      <c r="GM318">
        <v>-74</v>
      </c>
      <c r="GN318">
        <v>0</v>
      </c>
      <c r="GO318">
        <v>224</v>
      </c>
      <c r="GP318">
        <v>105</v>
      </c>
      <c r="GQ318">
        <v>361</v>
      </c>
      <c r="GR318">
        <v>0</v>
      </c>
      <c r="GS318">
        <v>0</v>
      </c>
      <c r="GT318">
        <v>-11</v>
      </c>
      <c r="GU318">
        <v>640</v>
      </c>
      <c r="GV318">
        <v>5678</v>
      </c>
      <c r="GW318">
        <v>0</v>
      </c>
      <c r="GX318">
        <v>0</v>
      </c>
      <c r="GY318">
        <v>0</v>
      </c>
      <c r="GZ318">
        <v>0</v>
      </c>
      <c r="HA318">
        <v>0</v>
      </c>
      <c r="HB318">
        <v>586</v>
      </c>
      <c r="HC318">
        <v>8</v>
      </c>
      <c r="HD318">
        <v>0</v>
      </c>
      <c r="HE318">
        <v>0</v>
      </c>
      <c r="HF318">
        <v>0</v>
      </c>
      <c r="HG318">
        <v>-110</v>
      </c>
      <c r="HH318">
        <v>0</v>
      </c>
      <c r="HI318">
        <v>0</v>
      </c>
      <c r="HJ318">
        <v>26</v>
      </c>
      <c r="HK318">
        <v>128</v>
      </c>
      <c r="HL318">
        <v>20</v>
      </c>
      <c r="HM318">
        <v>81</v>
      </c>
      <c r="HN318">
        <v>0</v>
      </c>
      <c r="HO318">
        <v>293</v>
      </c>
      <c r="HP318">
        <v>0</v>
      </c>
      <c r="HQ318">
        <v>0</v>
      </c>
      <c r="HR318">
        <v>146</v>
      </c>
      <c r="HS318">
        <v>0</v>
      </c>
      <c r="HT318">
        <v>0</v>
      </c>
      <c r="HU318">
        <v>4637</v>
      </c>
      <c r="HV318">
        <v>5815</v>
      </c>
      <c r="HW318">
        <v>945</v>
      </c>
      <c r="HX318">
        <v>0</v>
      </c>
      <c r="HY318">
        <v>0</v>
      </c>
      <c r="HZ318">
        <v>0</v>
      </c>
      <c r="IA318">
        <v>45</v>
      </c>
      <c r="IB318">
        <v>0</v>
      </c>
      <c r="IC318">
        <v>0</v>
      </c>
      <c r="ID318">
        <v>13</v>
      </c>
      <c r="IE318">
        <v>0</v>
      </c>
      <c r="IF318">
        <v>0</v>
      </c>
      <c r="IG318">
        <v>0</v>
      </c>
      <c r="IH318">
        <v>1266</v>
      </c>
      <c r="II318">
        <v>1817</v>
      </c>
      <c r="IJ318">
        <v>3221</v>
      </c>
      <c r="IK318">
        <v>640</v>
      </c>
      <c r="IL318">
        <v>0</v>
      </c>
      <c r="IM318">
        <v>0</v>
      </c>
      <c r="IN318">
        <v>5815</v>
      </c>
      <c r="IO318">
        <v>0</v>
      </c>
      <c r="IP318">
        <v>12772</v>
      </c>
      <c r="IQ318">
        <v>7174</v>
      </c>
      <c r="IR318">
        <v>4563</v>
      </c>
      <c r="IS318">
        <v>0</v>
      </c>
      <c r="IT318">
        <v>0</v>
      </c>
      <c r="IU318">
        <v>0</v>
      </c>
      <c r="IV318">
        <v>930</v>
      </c>
      <c r="IW318">
        <v>0</v>
      </c>
      <c r="IX318">
        <v>0</v>
      </c>
      <c r="IY318">
        <v>0</v>
      </c>
      <c r="IZ318">
        <v>0</v>
      </c>
      <c r="JA318">
        <v>-550</v>
      </c>
      <c r="JB318">
        <v>0</v>
      </c>
      <c r="JC318">
        <v>242</v>
      </c>
      <c r="JD318">
        <v>0</v>
      </c>
      <c r="JE318">
        <v>0</v>
      </c>
      <c r="JF318">
        <v>-898</v>
      </c>
      <c r="JG318">
        <v>24233</v>
      </c>
      <c r="JH318">
        <v>0</v>
      </c>
      <c r="JI318">
        <v>524</v>
      </c>
      <c r="JJ318">
        <v>0</v>
      </c>
      <c r="JK318">
        <v>0</v>
      </c>
      <c r="JL318">
        <v>0</v>
      </c>
      <c r="JM318">
        <v>12</v>
      </c>
      <c r="JN318">
        <v>258</v>
      </c>
      <c r="JO318">
        <v>0</v>
      </c>
      <c r="JP318">
        <v>1527</v>
      </c>
      <c r="JQ318">
        <v>-1437</v>
      </c>
      <c r="JR318">
        <v>25117</v>
      </c>
      <c r="JS318">
        <v>-227</v>
      </c>
      <c r="JT318">
        <v>0</v>
      </c>
      <c r="JU318">
        <v>0</v>
      </c>
      <c r="JV318">
        <v>0</v>
      </c>
      <c r="JW318">
        <v>-11772</v>
      </c>
      <c r="JX318">
        <v>0</v>
      </c>
      <c r="JY318">
        <v>0</v>
      </c>
      <c r="JZ318">
        <v>0</v>
      </c>
      <c r="KA318">
        <v>0</v>
      </c>
      <c r="KB318">
        <v>0</v>
      </c>
      <c r="KC318">
        <v>13118</v>
      </c>
      <c r="KD318">
        <v>0</v>
      </c>
      <c r="KE318">
        <v>-4552</v>
      </c>
      <c r="KF318">
        <v>8566</v>
      </c>
      <c r="KG318">
        <v>0</v>
      </c>
      <c r="KH318">
        <v>0</v>
      </c>
      <c r="KI318">
        <v>0</v>
      </c>
      <c r="KJ318">
        <v>0</v>
      </c>
      <c r="KK318">
        <v>5072</v>
      </c>
      <c r="KL318">
        <v>1280</v>
      </c>
      <c r="KM318">
        <v>0</v>
      </c>
      <c r="KN318">
        <v>0</v>
      </c>
      <c r="KO318">
        <v>-3950</v>
      </c>
      <c r="KP318">
        <v>-124</v>
      </c>
      <c r="KQ318">
        <v>0</v>
      </c>
      <c r="KR318">
        <v>6845</v>
      </c>
      <c r="KS318">
        <v>0</v>
      </c>
      <c r="KT318">
        <v>0</v>
      </c>
      <c r="KU318">
        <v>0</v>
      </c>
      <c r="KV318">
        <v>21518</v>
      </c>
      <c r="KW318">
        <v>13193</v>
      </c>
      <c r="KX318">
        <v>0</v>
      </c>
      <c r="KY318">
        <v>0</v>
      </c>
      <c r="KZ318">
        <v>0</v>
      </c>
      <c r="LA318">
        <v>26590</v>
      </c>
      <c r="LB318">
        <v>14473</v>
      </c>
      <c r="LC318">
        <v>0</v>
      </c>
      <c r="LD318">
        <v>1358</v>
      </c>
      <c r="LE318">
        <v>20</v>
      </c>
      <c r="LF318">
        <v>-306</v>
      </c>
      <c r="LG318">
        <v>0</v>
      </c>
      <c r="LH318">
        <v>0</v>
      </c>
      <c r="LI318">
        <v>1072</v>
      </c>
      <c r="LJ318">
        <v>1982</v>
      </c>
      <c r="LK318">
        <v>2900</v>
      </c>
      <c r="LL318">
        <v>4882</v>
      </c>
      <c r="LM318">
        <v>44</v>
      </c>
      <c r="LN318">
        <v>0</v>
      </c>
      <c r="LO318">
        <v>0</v>
      </c>
      <c r="LP318">
        <v>12820</v>
      </c>
      <c r="LQ318">
        <v>14755</v>
      </c>
      <c r="LR318">
        <v>-1935</v>
      </c>
      <c r="LS318">
        <v>8430</v>
      </c>
      <c r="LT318">
        <v>6495</v>
      </c>
      <c r="LU318">
        <v>0</v>
      </c>
      <c r="LV318">
        <v>13</v>
      </c>
      <c r="LW318">
        <v>0</v>
      </c>
      <c r="LX318">
        <v>0</v>
      </c>
      <c r="LY318">
        <v>0</v>
      </c>
      <c r="LZ318">
        <v>1266</v>
      </c>
      <c r="MA318">
        <v>1817</v>
      </c>
      <c r="MB318">
        <v>3221</v>
      </c>
      <c r="MC318">
        <v>640</v>
      </c>
      <c r="MD318">
        <v>0</v>
      </c>
      <c r="ME318">
        <v>0</v>
      </c>
      <c r="MF318">
        <v>5815</v>
      </c>
      <c r="MG318">
        <v>0</v>
      </c>
      <c r="MH318">
        <v>12772</v>
      </c>
      <c r="MI318">
        <v>0</v>
      </c>
      <c r="MJ318">
        <v>0</v>
      </c>
      <c r="MK318">
        <v>0</v>
      </c>
      <c r="ML318">
        <v>0</v>
      </c>
      <c r="MM318">
        <v>0</v>
      </c>
      <c r="MN318">
        <v>0</v>
      </c>
      <c r="MO318">
        <v>0</v>
      </c>
      <c r="MP318">
        <v>0</v>
      </c>
      <c r="MQ318">
        <v>0</v>
      </c>
      <c r="MR318">
        <v>0</v>
      </c>
      <c r="MS318">
        <v>0</v>
      </c>
      <c r="MT318">
        <v>0</v>
      </c>
      <c r="MU318">
        <v>0</v>
      </c>
      <c r="MV318">
        <v>0</v>
      </c>
      <c r="MW318">
        <v>0</v>
      </c>
      <c r="MX318">
        <v>-310</v>
      </c>
      <c r="MY318">
        <v>0</v>
      </c>
      <c r="MZ318">
        <v>2</v>
      </c>
      <c r="NA318">
        <v>-308</v>
      </c>
      <c r="NB318">
        <v>-242</v>
      </c>
      <c r="NC318">
        <v>-550</v>
      </c>
      <c r="ND318">
        <v>0</v>
      </c>
      <c r="NE318">
        <v>0</v>
      </c>
      <c r="NF318">
        <v>0</v>
      </c>
      <c r="NG318">
        <v>0</v>
      </c>
      <c r="NH318">
        <v>0</v>
      </c>
      <c r="NI318">
        <v>0</v>
      </c>
      <c r="NJ318">
        <v>0</v>
      </c>
      <c r="NK318">
        <v>0</v>
      </c>
      <c r="NL318">
        <v>0</v>
      </c>
      <c r="NM318">
        <v>0</v>
      </c>
      <c r="NN318">
        <v>0</v>
      </c>
      <c r="NO318">
        <v>0</v>
      </c>
      <c r="NP318">
        <v>0</v>
      </c>
      <c r="NQ318">
        <v>0</v>
      </c>
      <c r="NR318">
        <v>0</v>
      </c>
      <c r="NS318">
        <v>0</v>
      </c>
      <c r="NT318">
        <v>0</v>
      </c>
      <c r="NU318">
        <v>0</v>
      </c>
      <c r="NV318">
        <v>0</v>
      </c>
      <c r="NW318">
        <v>0</v>
      </c>
      <c r="NX318">
        <v>0</v>
      </c>
      <c r="NY318">
        <v>0</v>
      </c>
      <c r="NZ318">
        <v>0</v>
      </c>
      <c r="OA318">
        <v>0</v>
      </c>
      <c r="OB318">
        <v>0</v>
      </c>
      <c r="OC318">
        <v>0</v>
      </c>
      <c r="OD318">
        <v>5</v>
      </c>
      <c r="OE318">
        <v>-232</v>
      </c>
      <c r="OF318">
        <v>0</v>
      </c>
      <c r="OG318">
        <v>0</v>
      </c>
      <c r="OH318">
        <v>-242</v>
      </c>
      <c r="OI318">
        <v>0</v>
      </c>
      <c r="OJ318">
        <v>0</v>
      </c>
      <c r="OK318">
        <v>0</v>
      </c>
      <c r="OL318">
        <v>0</v>
      </c>
      <c r="OM318">
        <v>0</v>
      </c>
      <c r="ON318">
        <v>0</v>
      </c>
    </row>
    <row r="319" spans="1:404" x14ac:dyDescent="0.25">
      <c r="A319" t="s">
        <v>1024</v>
      </c>
      <c r="B319" t="s">
        <v>1025</v>
      </c>
      <c r="C319" t="s">
        <v>1023</v>
      </c>
      <c r="E319" t="s">
        <v>5418</v>
      </c>
      <c r="F319">
        <v>0</v>
      </c>
      <c r="G319">
        <v>0</v>
      </c>
      <c r="H319">
        <v>0</v>
      </c>
      <c r="I319">
        <v>0</v>
      </c>
      <c r="J319">
        <v>0</v>
      </c>
      <c r="K319">
        <v>0</v>
      </c>
      <c r="L319">
        <v>0</v>
      </c>
      <c r="M319">
        <v>0</v>
      </c>
      <c r="N319">
        <v>0</v>
      </c>
      <c r="O319">
        <v>0</v>
      </c>
      <c r="P319">
        <v>0</v>
      </c>
      <c r="Q319">
        <v>0</v>
      </c>
      <c r="R319">
        <v>0</v>
      </c>
      <c r="S319">
        <v>0</v>
      </c>
      <c r="T319">
        <v>0</v>
      </c>
      <c r="U319">
        <v>0</v>
      </c>
      <c r="V319">
        <v>0</v>
      </c>
      <c r="W319">
        <v>0</v>
      </c>
      <c r="X319">
        <v>0</v>
      </c>
      <c r="Y319">
        <v>0</v>
      </c>
      <c r="Z319">
        <v>0</v>
      </c>
      <c r="AA319">
        <v>0</v>
      </c>
      <c r="AB319">
        <v>0</v>
      </c>
      <c r="AC319">
        <v>0</v>
      </c>
      <c r="AD319">
        <v>0</v>
      </c>
      <c r="AE319">
        <v>0</v>
      </c>
      <c r="AF319">
        <v>0</v>
      </c>
      <c r="AG319">
        <v>0</v>
      </c>
      <c r="AH319">
        <v>0</v>
      </c>
      <c r="AI319">
        <v>0</v>
      </c>
      <c r="AJ319">
        <v>0</v>
      </c>
      <c r="AK319">
        <v>0</v>
      </c>
      <c r="AL319">
        <v>0</v>
      </c>
      <c r="AM319">
        <v>0</v>
      </c>
      <c r="AN319">
        <v>0</v>
      </c>
      <c r="AO319">
        <v>0</v>
      </c>
      <c r="AP319">
        <v>0</v>
      </c>
      <c r="AQ319">
        <v>0</v>
      </c>
      <c r="AR319">
        <v>0</v>
      </c>
      <c r="AS319">
        <v>0</v>
      </c>
      <c r="AT319">
        <v>0</v>
      </c>
      <c r="AU319">
        <v>0</v>
      </c>
      <c r="AV319">
        <v>0</v>
      </c>
      <c r="AW319">
        <v>0</v>
      </c>
      <c r="AX319">
        <v>0</v>
      </c>
      <c r="AY319">
        <v>0</v>
      </c>
      <c r="AZ319">
        <v>0</v>
      </c>
      <c r="BA319">
        <v>0</v>
      </c>
      <c r="BB319">
        <v>0</v>
      </c>
      <c r="BC319">
        <v>0</v>
      </c>
      <c r="BD319">
        <v>0</v>
      </c>
      <c r="BE319">
        <v>0</v>
      </c>
      <c r="BF319">
        <v>0</v>
      </c>
      <c r="BG319">
        <v>0</v>
      </c>
      <c r="BH319">
        <v>0</v>
      </c>
      <c r="BI319">
        <v>0</v>
      </c>
      <c r="BJ319">
        <v>0</v>
      </c>
      <c r="BK319">
        <v>0</v>
      </c>
      <c r="BL319">
        <v>0</v>
      </c>
      <c r="BM319">
        <v>0</v>
      </c>
      <c r="BN319">
        <v>0</v>
      </c>
      <c r="BO319">
        <v>0</v>
      </c>
      <c r="BP319">
        <v>0</v>
      </c>
      <c r="BQ319">
        <v>0</v>
      </c>
      <c r="BR319">
        <v>0</v>
      </c>
      <c r="BS319">
        <v>0</v>
      </c>
      <c r="BT319">
        <v>0</v>
      </c>
      <c r="BU319">
        <v>0</v>
      </c>
      <c r="BV319">
        <v>0</v>
      </c>
      <c r="BW319">
        <v>0</v>
      </c>
      <c r="BX319">
        <v>0</v>
      </c>
      <c r="BY319">
        <v>0</v>
      </c>
      <c r="BZ319">
        <v>0</v>
      </c>
      <c r="CA319">
        <v>0</v>
      </c>
      <c r="CB319">
        <v>0</v>
      </c>
      <c r="CC319">
        <v>0</v>
      </c>
      <c r="CD319">
        <v>0</v>
      </c>
      <c r="CE319">
        <v>0</v>
      </c>
      <c r="CF319">
        <v>0</v>
      </c>
      <c r="CG319">
        <v>0</v>
      </c>
      <c r="CH319">
        <v>0</v>
      </c>
      <c r="CI319">
        <v>0</v>
      </c>
      <c r="CJ319">
        <v>0</v>
      </c>
      <c r="CK319">
        <v>0</v>
      </c>
      <c r="CL319">
        <v>0</v>
      </c>
      <c r="CM319">
        <v>0</v>
      </c>
      <c r="CN319">
        <v>0</v>
      </c>
      <c r="CO319">
        <v>0</v>
      </c>
      <c r="CP319">
        <v>0</v>
      </c>
      <c r="CQ319">
        <v>0</v>
      </c>
      <c r="CR319">
        <v>0</v>
      </c>
      <c r="CS319">
        <v>0</v>
      </c>
      <c r="CT319">
        <v>0</v>
      </c>
      <c r="CU319">
        <v>0</v>
      </c>
      <c r="CV319">
        <v>0</v>
      </c>
      <c r="CW319">
        <v>0</v>
      </c>
      <c r="CX319">
        <v>0</v>
      </c>
      <c r="CY319">
        <v>0</v>
      </c>
      <c r="CZ319">
        <v>0</v>
      </c>
      <c r="DA319">
        <v>0</v>
      </c>
      <c r="DB319">
        <v>0</v>
      </c>
      <c r="DC319">
        <v>0</v>
      </c>
      <c r="DD319">
        <v>0</v>
      </c>
      <c r="DE319">
        <v>0</v>
      </c>
      <c r="DF319">
        <v>0</v>
      </c>
      <c r="DG319">
        <v>0</v>
      </c>
      <c r="DH319">
        <v>0</v>
      </c>
      <c r="DI319">
        <v>0</v>
      </c>
      <c r="DJ319">
        <v>0</v>
      </c>
      <c r="DK319">
        <v>0</v>
      </c>
      <c r="DL319">
        <v>0</v>
      </c>
      <c r="DM319">
        <v>0</v>
      </c>
      <c r="DN319">
        <v>0</v>
      </c>
      <c r="DO319">
        <v>0</v>
      </c>
      <c r="DP319">
        <v>0</v>
      </c>
      <c r="DQ319">
        <v>0</v>
      </c>
      <c r="DR319">
        <v>0</v>
      </c>
      <c r="DS319">
        <v>0</v>
      </c>
      <c r="DT319">
        <v>0</v>
      </c>
      <c r="DU319">
        <v>0</v>
      </c>
      <c r="DV319">
        <v>0</v>
      </c>
      <c r="DW319">
        <v>0</v>
      </c>
      <c r="DX319">
        <v>0</v>
      </c>
      <c r="DY319">
        <v>0</v>
      </c>
      <c r="DZ319">
        <v>0</v>
      </c>
      <c r="EA319">
        <v>0</v>
      </c>
      <c r="EB319">
        <v>0</v>
      </c>
      <c r="EC319">
        <v>0</v>
      </c>
      <c r="ED319">
        <v>0</v>
      </c>
      <c r="EE319">
        <v>0</v>
      </c>
      <c r="EF319">
        <v>0</v>
      </c>
      <c r="EG319">
        <v>0</v>
      </c>
      <c r="EH319">
        <v>0</v>
      </c>
      <c r="EI319">
        <v>0</v>
      </c>
      <c r="EJ319">
        <v>0</v>
      </c>
      <c r="EK319">
        <v>0</v>
      </c>
      <c r="EL319">
        <v>0</v>
      </c>
      <c r="EM319">
        <v>0</v>
      </c>
      <c r="EN319">
        <v>0</v>
      </c>
      <c r="EO319">
        <v>0</v>
      </c>
      <c r="EP319">
        <v>0</v>
      </c>
      <c r="EQ319">
        <v>0</v>
      </c>
      <c r="ER319">
        <v>0</v>
      </c>
      <c r="ES319">
        <v>0</v>
      </c>
      <c r="ET319">
        <v>0</v>
      </c>
      <c r="EU319">
        <v>0</v>
      </c>
      <c r="EV319">
        <v>0</v>
      </c>
      <c r="EW319">
        <v>0</v>
      </c>
      <c r="EX319">
        <v>0</v>
      </c>
      <c r="EY319">
        <v>0</v>
      </c>
      <c r="EZ319">
        <v>0</v>
      </c>
      <c r="FA319">
        <v>0</v>
      </c>
      <c r="FB319">
        <v>0</v>
      </c>
      <c r="FC319">
        <v>0</v>
      </c>
      <c r="FD319">
        <v>3593</v>
      </c>
      <c r="FE319">
        <v>0</v>
      </c>
      <c r="FF319">
        <v>306</v>
      </c>
      <c r="FG319">
        <v>0</v>
      </c>
      <c r="FH319">
        <v>3899</v>
      </c>
      <c r="FI319">
        <v>0</v>
      </c>
      <c r="FJ319">
        <v>0</v>
      </c>
      <c r="FK319">
        <v>0</v>
      </c>
      <c r="FL319">
        <v>0</v>
      </c>
      <c r="FM319">
        <v>0</v>
      </c>
      <c r="FN319">
        <v>0</v>
      </c>
      <c r="FO319">
        <v>0</v>
      </c>
      <c r="FP319">
        <v>0</v>
      </c>
      <c r="FQ319">
        <v>0</v>
      </c>
      <c r="FR319">
        <v>0</v>
      </c>
      <c r="FS319">
        <v>0</v>
      </c>
      <c r="FT319">
        <v>0</v>
      </c>
      <c r="FU319">
        <v>0</v>
      </c>
      <c r="FV319">
        <v>0</v>
      </c>
      <c r="FW319">
        <v>0</v>
      </c>
      <c r="FX319">
        <v>0</v>
      </c>
      <c r="FY319">
        <v>0</v>
      </c>
      <c r="FZ319">
        <v>0</v>
      </c>
      <c r="GA319">
        <v>0</v>
      </c>
      <c r="GB319">
        <v>0</v>
      </c>
      <c r="GC319">
        <v>598</v>
      </c>
      <c r="GD319">
        <v>0</v>
      </c>
      <c r="GE319">
        <v>0</v>
      </c>
      <c r="GF319">
        <v>0</v>
      </c>
      <c r="GG319">
        <v>0</v>
      </c>
      <c r="GH319">
        <v>0</v>
      </c>
      <c r="GI319">
        <v>0</v>
      </c>
      <c r="GJ319">
        <v>0</v>
      </c>
      <c r="GK319">
        <v>598</v>
      </c>
      <c r="GL319">
        <v>0</v>
      </c>
      <c r="GM319">
        <v>5822</v>
      </c>
      <c r="GN319">
        <v>0</v>
      </c>
      <c r="GO319">
        <v>1231</v>
      </c>
      <c r="GP319">
        <v>1464</v>
      </c>
      <c r="GQ319">
        <v>0</v>
      </c>
      <c r="GR319">
        <v>0</v>
      </c>
      <c r="GS319">
        <v>0</v>
      </c>
      <c r="GT319">
        <v>276</v>
      </c>
      <c r="GU319">
        <v>8793</v>
      </c>
      <c r="GV319">
        <v>13290</v>
      </c>
      <c r="GW319">
        <v>0</v>
      </c>
      <c r="GX319">
        <v>0</v>
      </c>
      <c r="GY319">
        <v>0</v>
      </c>
      <c r="GZ319">
        <v>0</v>
      </c>
      <c r="HA319">
        <v>0</v>
      </c>
      <c r="HB319">
        <v>792</v>
      </c>
      <c r="HC319">
        <v>0</v>
      </c>
      <c r="HD319">
        <v>0</v>
      </c>
      <c r="HE319">
        <v>0</v>
      </c>
      <c r="HF319">
        <v>0</v>
      </c>
      <c r="HG319">
        <v>0</v>
      </c>
      <c r="HH319">
        <v>0</v>
      </c>
      <c r="HI319">
        <v>0</v>
      </c>
      <c r="HJ319">
        <v>0</v>
      </c>
      <c r="HK319">
        <v>0</v>
      </c>
      <c r="HL319">
        <v>0</v>
      </c>
      <c r="HM319">
        <v>0</v>
      </c>
      <c r="HN319">
        <v>0</v>
      </c>
      <c r="HO319">
        <v>0</v>
      </c>
      <c r="HP319">
        <v>0</v>
      </c>
      <c r="HQ319">
        <v>0</v>
      </c>
      <c r="HR319">
        <v>0</v>
      </c>
      <c r="HS319">
        <v>0</v>
      </c>
      <c r="HT319">
        <v>0</v>
      </c>
      <c r="HU319">
        <v>-537</v>
      </c>
      <c r="HV319">
        <v>255</v>
      </c>
      <c r="HW319">
        <v>1568</v>
      </c>
      <c r="HX319">
        <v>3946</v>
      </c>
      <c r="HY319">
        <v>0</v>
      </c>
      <c r="HZ319">
        <v>0</v>
      </c>
      <c r="IA319">
        <v>0</v>
      </c>
      <c r="IB319">
        <v>0</v>
      </c>
      <c r="IC319">
        <v>0</v>
      </c>
      <c r="ID319">
        <v>0</v>
      </c>
      <c r="IE319">
        <v>0</v>
      </c>
      <c r="IF319">
        <v>0</v>
      </c>
      <c r="IG319">
        <v>0</v>
      </c>
      <c r="IH319">
        <v>0</v>
      </c>
      <c r="II319">
        <v>3899</v>
      </c>
      <c r="IJ319">
        <v>598</v>
      </c>
      <c r="IK319">
        <v>8793</v>
      </c>
      <c r="IL319">
        <v>0</v>
      </c>
      <c r="IM319">
        <v>0</v>
      </c>
      <c r="IN319">
        <v>255</v>
      </c>
      <c r="IO319">
        <v>0</v>
      </c>
      <c r="IP319">
        <v>13545</v>
      </c>
      <c r="IQ319">
        <v>0</v>
      </c>
      <c r="IR319">
        <v>0</v>
      </c>
      <c r="IS319">
        <v>0</v>
      </c>
      <c r="IT319">
        <v>0</v>
      </c>
      <c r="IU319">
        <v>0</v>
      </c>
      <c r="IV319">
        <v>0</v>
      </c>
      <c r="IW319">
        <v>0</v>
      </c>
      <c r="IX319">
        <v>0</v>
      </c>
      <c r="IY319">
        <v>0</v>
      </c>
      <c r="IZ319">
        <v>0</v>
      </c>
      <c r="JA319">
        <v>0</v>
      </c>
      <c r="JB319">
        <v>0</v>
      </c>
      <c r="JC319">
        <v>0</v>
      </c>
      <c r="JD319">
        <v>0</v>
      </c>
      <c r="JE319">
        <v>6</v>
      </c>
      <c r="JF319">
        <v>0</v>
      </c>
      <c r="JG319">
        <v>13551</v>
      </c>
      <c r="JH319">
        <v>0</v>
      </c>
      <c r="JI319">
        <v>82</v>
      </c>
      <c r="JJ319">
        <v>0</v>
      </c>
      <c r="JK319">
        <v>0</v>
      </c>
      <c r="JL319">
        <v>0</v>
      </c>
      <c r="JM319">
        <v>0</v>
      </c>
      <c r="JN319">
        <v>0</v>
      </c>
      <c r="JO319">
        <v>0</v>
      </c>
      <c r="JP319">
        <v>0</v>
      </c>
      <c r="JQ319">
        <v>0</v>
      </c>
      <c r="JR319">
        <v>13633</v>
      </c>
      <c r="JS319">
        <v>-57</v>
      </c>
      <c r="JT319">
        <v>0</v>
      </c>
      <c r="JU319">
        <v>0</v>
      </c>
      <c r="JV319">
        <v>0</v>
      </c>
      <c r="JW319">
        <v>0</v>
      </c>
      <c r="JX319">
        <v>0</v>
      </c>
      <c r="JY319">
        <v>-2141</v>
      </c>
      <c r="JZ319">
        <v>0</v>
      </c>
      <c r="KA319">
        <v>0</v>
      </c>
      <c r="KB319">
        <v>0</v>
      </c>
      <c r="KC319">
        <v>11435</v>
      </c>
      <c r="KD319">
        <v>0</v>
      </c>
      <c r="KE319">
        <v>-11910</v>
      </c>
      <c r="KF319">
        <v>-475</v>
      </c>
      <c r="KG319">
        <v>0</v>
      </c>
      <c r="KH319">
        <v>0</v>
      </c>
      <c r="KI319">
        <v>0</v>
      </c>
      <c r="KJ319">
        <v>0</v>
      </c>
      <c r="KK319">
        <v>59</v>
      </c>
      <c r="KL319">
        <v>416</v>
      </c>
      <c r="KM319">
        <v>0</v>
      </c>
      <c r="KN319">
        <v>0</v>
      </c>
      <c r="KO319">
        <v>0</v>
      </c>
      <c r="KP319">
        <v>0</v>
      </c>
      <c r="KQ319">
        <v>0</v>
      </c>
      <c r="KR319">
        <v>0</v>
      </c>
      <c r="KS319">
        <v>0</v>
      </c>
      <c r="KT319">
        <v>0</v>
      </c>
      <c r="KU319">
        <v>0</v>
      </c>
      <c r="KV319">
        <v>0</v>
      </c>
      <c r="KW319">
        <v>1091</v>
      </c>
      <c r="KX319">
        <v>0</v>
      </c>
      <c r="KY319">
        <v>0</v>
      </c>
      <c r="KZ319">
        <v>0</v>
      </c>
      <c r="LA319">
        <v>59</v>
      </c>
      <c r="LB319">
        <v>1507</v>
      </c>
      <c r="LC319">
        <v>0</v>
      </c>
      <c r="LD319">
        <v>0</v>
      </c>
      <c r="LE319">
        <v>-117</v>
      </c>
      <c r="LF319">
        <v>251</v>
      </c>
      <c r="LG319">
        <v>0</v>
      </c>
      <c r="LH319">
        <v>0</v>
      </c>
      <c r="LI319">
        <v>134</v>
      </c>
      <c r="LJ319">
        <v>0</v>
      </c>
      <c r="LK319">
        <v>0</v>
      </c>
      <c r="LL319">
        <v>0</v>
      </c>
      <c r="LM319">
        <v>0</v>
      </c>
      <c r="LN319">
        <v>0</v>
      </c>
      <c r="LO319">
        <v>0</v>
      </c>
      <c r="LP319">
        <v>0</v>
      </c>
      <c r="LQ319">
        <v>0</v>
      </c>
      <c r="LR319">
        <v>0</v>
      </c>
      <c r="LS319">
        <v>0</v>
      </c>
      <c r="LT319">
        <v>0</v>
      </c>
      <c r="LU319">
        <v>0</v>
      </c>
      <c r="LV319">
        <v>0</v>
      </c>
      <c r="LW319">
        <v>0</v>
      </c>
      <c r="LX319">
        <v>0</v>
      </c>
      <c r="LY319">
        <v>0</v>
      </c>
      <c r="LZ319">
        <v>0</v>
      </c>
      <c r="MA319">
        <v>3899</v>
      </c>
      <c r="MB319">
        <v>598</v>
      </c>
      <c r="MC319">
        <v>8793</v>
      </c>
      <c r="MD319">
        <v>0</v>
      </c>
      <c r="ME319">
        <v>0</v>
      </c>
      <c r="MF319">
        <v>255</v>
      </c>
      <c r="MG319">
        <v>0</v>
      </c>
      <c r="MH319">
        <v>13545</v>
      </c>
      <c r="MI319">
        <v>0</v>
      </c>
      <c r="MJ319">
        <v>0</v>
      </c>
      <c r="MK319">
        <v>0</v>
      </c>
      <c r="ML319">
        <v>0</v>
      </c>
      <c r="MM319">
        <v>0</v>
      </c>
      <c r="MN319">
        <v>0</v>
      </c>
      <c r="MO319">
        <v>0</v>
      </c>
      <c r="MP319">
        <v>0</v>
      </c>
      <c r="MQ319">
        <v>0</v>
      </c>
      <c r="MR319">
        <v>0</v>
      </c>
      <c r="MS319">
        <v>0</v>
      </c>
      <c r="MT319">
        <v>0</v>
      </c>
      <c r="MU319">
        <v>0</v>
      </c>
      <c r="MV319">
        <v>0</v>
      </c>
      <c r="MW319">
        <v>0</v>
      </c>
      <c r="MX319">
        <v>0</v>
      </c>
      <c r="MY319">
        <v>0</v>
      </c>
      <c r="MZ319">
        <v>0</v>
      </c>
      <c r="NA319">
        <v>0</v>
      </c>
      <c r="NB319">
        <v>0</v>
      </c>
      <c r="NC319">
        <v>0</v>
      </c>
      <c r="ND319">
        <v>0</v>
      </c>
      <c r="NE319">
        <v>0</v>
      </c>
      <c r="NF319">
        <v>0</v>
      </c>
      <c r="NG319">
        <v>0</v>
      </c>
      <c r="NH319">
        <v>0</v>
      </c>
      <c r="NI319">
        <v>0</v>
      </c>
      <c r="NJ319">
        <v>0</v>
      </c>
      <c r="NK319">
        <v>0</v>
      </c>
      <c r="NL319">
        <v>0</v>
      </c>
      <c r="NM319">
        <v>0</v>
      </c>
      <c r="NN319">
        <v>0</v>
      </c>
      <c r="NO319">
        <v>0</v>
      </c>
      <c r="NP319">
        <v>0</v>
      </c>
      <c r="NQ319">
        <v>0</v>
      </c>
      <c r="NR319">
        <v>0</v>
      </c>
      <c r="NS319">
        <v>0</v>
      </c>
      <c r="NT319">
        <v>0</v>
      </c>
      <c r="NU319">
        <v>0</v>
      </c>
      <c r="NV319">
        <v>0</v>
      </c>
      <c r="NW319">
        <v>0</v>
      </c>
      <c r="NX319">
        <v>0</v>
      </c>
      <c r="NY319">
        <v>0</v>
      </c>
      <c r="NZ319">
        <v>0</v>
      </c>
      <c r="OA319">
        <v>0</v>
      </c>
      <c r="OB319">
        <v>0</v>
      </c>
      <c r="OC319">
        <v>0</v>
      </c>
      <c r="OD319">
        <v>0</v>
      </c>
      <c r="OE319">
        <v>0</v>
      </c>
      <c r="OF319">
        <v>0</v>
      </c>
      <c r="OG319">
        <v>0</v>
      </c>
      <c r="OH319">
        <v>0</v>
      </c>
      <c r="OI319">
        <v>0</v>
      </c>
      <c r="OJ319">
        <v>0</v>
      </c>
      <c r="OK319">
        <v>0</v>
      </c>
      <c r="OL319">
        <v>0</v>
      </c>
      <c r="OM319">
        <v>0</v>
      </c>
      <c r="ON319">
        <v>0</v>
      </c>
    </row>
    <row r="320" spans="1:404" x14ac:dyDescent="0.25">
      <c r="A320" t="s">
        <v>1028</v>
      </c>
      <c r="B320" t="s">
        <v>1029</v>
      </c>
      <c r="C320" t="s">
        <v>1027</v>
      </c>
      <c r="E320" t="s">
        <v>125</v>
      </c>
      <c r="F320">
        <v>18143</v>
      </c>
      <c r="G320">
        <v>104623</v>
      </c>
      <c r="H320">
        <v>9990</v>
      </c>
      <c r="I320">
        <v>17043</v>
      </c>
      <c r="J320">
        <v>3750</v>
      </c>
      <c r="K320">
        <v>16341</v>
      </c>
      <c r="L320">
        <v>169890</v>
      </c>
      <c r="M320">
        <v>214</v>
      </c>
      <c r="N320">
        <v>1190</v>
      </c>
      <c r="O320">
        <v>210</v>
      </c>
      <c r="P320">
        <v>1216</v>
      </c>
      <c r="Q320">
        <v>430</v>
      </c>
      <c r="R320">
        <v>111</v>
      </c>
      <c r="S320">
        <v>4695</v>
      </c>
      <c r="T320">
        <v>802</v>
      </c>
      <c r="U320">
        <v>1667</v>
      </c>
      <c r="V320">
        <v>0</v>
      </c>
      <c r="W320">
        <v>128</v>
      </c>
      <c r="X320">
        <v>979</v>
      </c>
      <c r="Y320">
        <v>823</v>
      </c>
      <c r="Z320">
        <v>224</v>
      </c>
      <c r="AA320">
        <v>180</v>
      </c>
      <c r="AB320">
        <v>81</v>
      </c>
      <c r="AC320">
        <v>7</v>
      </c>
      <c r="AD320">
        <v>50</v>
      </c>
      <c r="AE320">
        <v>0</v>
      </c>
      <c r="AF320">
        <v>0</v>
      </c>
      <c r="AG320">
        <v>534</v>
      </c>
      <c r="AH320">
        <v>0</v>
      </c>
      <c r="AI320">
        <v>13541</v>
      </c>
      <c r="AJ320">
        <v>0</v>
      </c>
      <c r="AK320">
        <v>0</v>
      </c>
      <c r="AL320">
        <v>0</v>
      </c>
      <c r="AM320">
        <v>0</v>
      </c>
      <c r="AN320">
        <v>0</v>
      </c>
      <c r="AO320">
        <v>0</v>
      </c>
      <c r="AP320">
        <v>0</v>
      </c>
      <c r="AQ320">
        <v>347</v>
      </c>
      <c r="AR320">
        <v>7</v>
      </c>
      <c r="AS320">
        <v>0</v>
      </c>
      <c r="AT320">
        <v>0</v>
      </c>
      <c r="AU320">
        <v>0</v>
      </c>
      <c r="AV320">
        <v>2705</v>
      </c>
      <c r="AW320">
        <v>21643</v>
      </c>
      <c r="AX320">
        <v>1531</v>
      </c>
      <c r="AY320">
        <v>6074</v>
      </c>
      <c r="AZ320">
        <v>-759</v>
      </c>
      <c r="BA320">
        <v>7462</v>
      </c>
      <c r="BB320">
        <v>819</v>
      </c>
      <c r="BC320">
        <v>1641</v>
      </c>
      <c r="BD320">
        <v>41116</v>
      </c>
      <c r="BE320">
        <v>11091</v>
      </c>
      <c r="BF320">
        <v>26303</v>
      </c>
      <c r="BG320">
        <v>354</v>
      </c>
      <c r="BH320">
        <v>163</v>
      </c>
      <c r="BI320">
        <v>378</v>
      </c>
      <c r="BJ320">
        <v>6107</v>
      </c>
      <c r="BK320">
        <v>39778</v>
      </c>
      <c r="BL320">
        <v>6254</v>
      </c>
      <c r="BM320">
        <v>3311</v>
      </c>
      <c r="BN320">
        <v>2944</v>
      </c>
      <c r="BO320">
        <v>41</v>
      </c>
      <c r="BP320">
        <v>237</v>
      </c>
      <c r="BQ320">
        <v>748</v>
      </c>
      <c r="BR320">
        <v>88</v>
      </c>
      <c r="BS320">
        <v>754</v>
      </c>
      <c r="BT320">
        <v>9663</v>
      </c>
      <c r="BU320">
        <v>1086</v>
      </c>
      <c r="BV320">
        <v>-7050</v>
      </c>
      <c r="BW320">
        <v>108879</v>
      </c>
      <c r="BX320">
        <v>452</v>
      </c>
      <c r="BY320">
        <v>732</v>
      </c>
      <c r="BZ320">
        <v>288</v>
      </c>
      <c r="CA320">
        <v>87</v>
      </c>
      <c r="CB320">
        <v>45</v>
      </c>
      <c r="CC320">
        <v>28</v>
      </c>
      <c r="CD320">
        <v>293</v>
      </c>
      <c r="CE320">
        <v>194</v>
      </c>
      <c r="CF320">
        <v>0</v>
      </c>
      <c r="CG320">
        <v>36</v>
      </c>
      <c r="CH320">
        <v>0</v>
      </c>
      <c r="CI320">
        <v>777</v>
      </c>
      <c r="CJ320">
        <v>205</v>
      </c>
      <c r="CK320">
        <v>336</v>
      </c>
      <c r="CL320">
        <v>148</v>
      </c>
      <c r="CM320">
        <v>170</v>
      </c>
      <c r="CN320">
        <v>143</v>
      </c>
      <c r="CO320">
        <v>40</v>
      </c>
      <c r="CP320">
        <v>1254</v>
      </c>
      <c r="CQ320">
        <v>2409</v>
      </c>
      <c r="CR320">
        <v>230</v>
      </c>
      <c r="CS320">
        <v>0</v>
      </c>
      <c r="CT320">
        <v>208</v>
      </c>
      <c r="CU320">
        <v>1037</v>
      </c>
      <c r="CV320">
        <v>17655</v>
      </c>
      <c r="CW320">
        <v>0</v>
      </c>
      <c r="CX320">
        <v>0</v>
      </c>
      <c r="CY320">
        <v>0</v>
      </c>
      <c r="CZ320">
        <v>0</v>
      </c>
      <c r="DA320">
        <v>0</v>
      </c>
      <c r="DB320">
        <v>0</v>
      </c>
      <c r="DC320">
        <v>978</v>
      </c>
      <c r="DD320">
        <v>0</v>
      </c>
      <c r="DE320">
        <v>14</v>
      </c>
      <c r="DF320">
        <v>14</v>
      </c>
      <c r="DG320">
        <v>0</v>
      </c>
      <c r="DH320">
        <v>0</v>
      </c>
      <c r="DI320">
        <v>0</v>
      </c>
      <c r="DJ320">
        <v>194</v>
      </c>
      <c r="DK320">
        <v>0</v>
      </c>
      <c r="DL320">
        <v>-20</v>
      </c>
      <c r="DM320">
        <v>449</v>
      </c>
      <c r="DN320">
        <v>204</v>
      </c>
      <c r="DO320">
        <v>132</v>
      </c>
      <c r="DP320">
        <v>959</v>
      </c>
      <c r="DQ320">
        <v>396</v>
      </c>
      <c r="DR320">
        <v>0</v>
      </c>
      <c r="DS320">
        <v>0</v>
      </c>
      <c r="DT320">
        <v>1106</v>
      </c>
      <c r="DU320">
        <v>270</v>
      </c>
      <c r="DV320">
        <v>1703</v>
      </c>
      <c r="DW320">
        <v>0</v>
      </c>
      <c r="DX320">
        <v>5440</v>
      </c>
      <c r="DY320">
        <v>0</v>
      </c>
      <c r="DZ320">
        <v>0</v>
      </c>
      <c r="EA320">
        <v>0</v>
      </c>
      <c r="EB320">
        <v>0</v>
      </c>
      <c r="EC320">
        <v>0</v>
      </c>
      <c r="ED320">
        <v>0</v>
      </c>
      <c r="EE320">
        <v>0</v>
      </c>
      <c r="EF320">
        <v>0</v>
      </c>
      <c r="EG320">
        <v>0</v>
      </c>
      <c r="EH320">
        <v>0</v>
      </c>
      <c r="EI320">
        <v>0</v>
      </c>
      <c r="EJ320">
        <v>0</v>
      </c>
      <c r="EK320">
        <v>0</v>
      </c>
      <c r="EL320">
        <v>0</v>
      </c>
      <c r="EM320">
        <v>0</v>
      </c>
      <c r="EN320">
        <v>0</v>
      </c>
      <c r="EO320">
        <v>0</v>
      </c>
      <c r="EP320">
        <v>0</v>
      </c>
      <c r="EQ320">
        <v>0</v>
      </c>
      <c r="ER320">
        <v>0</v>
      </c>
      <c r="ES320">
        <v>0</v>
      </c>
      <c r="ET320">
        <v>0</v>
      </c>
      <c r="EU320">
        <v>176</v>
      </c>
      <c r="EV320">
        <v>23</v>
      </c>
      <c r="EW320">
        <v>105</v>
      </c>
      <c r="EX320">
        <v>0</v>
      </c>
      <c r="EY320">
        <v>17</v>
      </c>
      <c r="EZ320">
        <v>0</v>
      </c>
      <c r="FA320">
        <v>0</v>
      </c>
      <c r="FB320">
        <v>80</v>
      </c>
      <c r="FC320">
        <v>-179</v>
      </c>
      <c r="FD320">
        <v>3939</v>
      </c>
      <c r="FE320">
        <v>0</v>
      </c>
      <c r="FF320">
        <v>0</v>
      </c>
      <c r="FG320">
        <v>2321</v>
      </c>
      <c r="FH320">
        <v>6482</v>
      </c>
      <c r="FI320">
        <v>-75</v>
      </c>
      <c r="FJ320">
        <v>569</v>
      </c>
      <c r="FK320">
        <v>0</v>
      </c>
      <c r="FL320">
        <v>326</v>
      </c>
      <c r="FM320">
        <v>668</v>
      </c>
      <c r="FN320">
        <v>543</v>
      </c>
      <c r="FO320">
        <v>224</v>
      </c>
      <c r="FP320">
        <v>0</v>
      </c>
      <c r="FQ320">
        <v>0</v>
      </c>
      <c r="FR320">
        <v>75</v>
      </c>
      <c r="FS320">
        <v>220</v>
      </c>
      <c r="FT320">
        <v>98</v>
      </c>
      <c r="FU320">
        <v>-77</v>
      </c>
      <c r="FV320">
        <v>1024</v>
      </c>
      <c r="FW320">
        <v>0</v>
      </c>
      <c r="FX320">
        <v>280</v>
      </c>
      <c r="FY320">
        <v>10</v>
      </c>
      <c r="FZ320">
        <v>382</v>
      </c>
      <c r="GA320">
        <v>331</v>
      </c>
      <c r="GB320">
        <v>0</v>
      </c>
      <c r="GC320">
        <v>30</v>
      </c>
      <c r="GD320">
        <v>2351</v>
      </c>
      <c r="GE320">
        <v>7869</v>
      </c>
      <c r="GF320">
        <v>9360</v>
      </c>
      <c r="GG320">
        <v>0</v>
      </c>
      <c r="GH320">
        <v>3369</v>
      </c>
      <c r="GI320">
        <v>262</v>
      </c>
      <c r="GJ320">
        <v>650</v>
      </c>
      <c r="GK320">
        <v>28489</v>
      </c>
      <c r="GL320">
        <v>280</v>
      </c>
      <c r="GM320">
        <v>462</v>
      </c>
      <c r="GN320">
        <v>210</v>
      </c>
      <c r="GO320">
        <v>1182</v>
      </c>
      <c r="GP320">
        <v>-15</v>
      </c>
      <c r="GQ320">
        <v>1500</v>
      </c>
      <c r="GR320">
        <v>0</v>
      </c>
      <c r="GS320">
        <v>0</v>
      </c>
      <c r="GT320">
        <v>1184</v>
      </c>
      <c r="GU320">
        <v>4803</v>
      </c>
      <c r="GV320">
        <v>39774</v>
      </c>
      <c r="GW320">
        <v>0</v>
      </c>
      <c r="GX320">
        <v>0</v>
      </c>
      <c r="GY320">
        <v>0</v>
      </c>
      <c r="GZ320">
        <v>0</v>
      </c>
      <c r="HA320">
        <v>0</v>
      </c>
      <c r="HB320">
        <v>8577</v>
      </c>
      <c r="HC320">
        <v>1667</v>
      </c>
      <c r="HD320">
        <v>0</v>
      </c>
      <c r="HE320">
        <v>0</v>
      </c>
      <c r="HF320">
        <v>848</v>
      </c>
      <c r="HG320">
        <v>-154</v>
      </c>
      <c r="HH320">
        <v>0</v>
      </c>
      <c r="HI320">
        <v>-40</v>
      </c>
      <c r="HJ320">
        <v>327</v>
      </c>
      <c r="HK320">
        <v>148</v>
      </c>
      <c r="HL320">
        <v>0</v>
      </c>
      <c r="HM320">
        <v>-470</v>
      </c>
      <c r="HN320">
        <v>2669</v>
      </c>
      <c r="HO320">
        <v>212</v>
      </c>
      <c r="HP320">
        <v>631</v>
      </c>
      <c r="HQ320">
        <v>8</v>
      </c>
      <c r="HR320">
        <v>968</v>
      </c>
      <c r="HS320">
        <v>0</v>
      </c>
      <c r="HT320">
        <v>0</v>
      </c>
      <c r="HU320">
        <v>839</v>
      </c>
      <c r="HV320">
        <v>16230</v>
      </c>
      <c r="HW320">
        <v>0</v>
      </c>
      <c r="HX320">
        <v>17358</v>
      </c>
      <c r="HY320">
        <v>0</v>
      </c>
      <c r="HZ320">
        <v>0</v>
      </c>
      <c r="IA320">
        <v>3834</v>
      </c>
      <c r="IB320">
        <v>3042</v>
      </c>
      <c r="IC320">
        <v>169890</v>
      </c>
      <c r="ID320">
        <v>13541</v>
      </c>
      <c r="IE320">
        <v>41116</v>
      </c>
      <c r="IF320">
        <v>108879</v>
      </c>
      <c r="IG320">
        <v>17655</v>
      </c>
      <c r="IH320">
        <v>5440</v>
      </c>
      <c r="II320">
        <v>6482</v>
      </c>
      <c r="IJ320">
        <v>28489</v>
      </c>
      <c r="IK320">
        <v>4803</v>
      </c>
      <c r="IL320">
        <v>0</v>
      </c>
      <c r="IM320">
        <v>0</v>
      </c>
      <c r="IN320">
        <v>16230</v>
      </c>
      <c r="IO320">
        <v>3042</v>
      </c>
      <c r="IP320">
        <v>415567</v>
      </c>
      <c r="IQ320">
        <v>40337</v>
      </c>
      <c r="IR320">
        <v>1167</v>
      </c>
      <c r="IS320">
        <v>0</v>
      </c>
      <c r="IT320">
        <v>0</v>
      </c>
      <c r="IU320">
        <v>0</v>
      </c>
      <c r="IV320">
        <v>8274</v>
      </c>
      <c r="IW320">
        <v>0</v>
      </c>
      <c r="IX320">
        <v>0</v>
      </c>
      <c r="IY320">
        <v>0</v>
      </c>
      <c r="IZ320">
        <v>3234</v>
      </c>
      <c r="JA320">
        <v>-223</v>
      </c>
      <c r="JB320">
        <v>-3334</v>
      </c>
      <c r="JC320">
        <v>0</v>
      </c>
      <c r="JD320">
        <v>0</v>
      </c>
      <c r="JE320">
        <v>0</v>
      </c>
      <c r="JF320">
        <v>0</v>
      </c>
      <c r="JG320">
        <v>465022</v>
      </c>
      <c r="JH320">
        <v>365</v>
      </c>
      <c r="JI320">
        <v>2889</v>
      </c>
      <c r="JJ320">
        <v>25</v>
      </c>
      <c r="JK320">
        <v>0</v>
      </c>
      <c r="JL320">
        <v>0</v>
      </c>
      <c r="JM320">
        <v>56</v>
      </c>
      <c r="JN320">
        <v>1650</v>
      </c>
      <c r="JO320">
        <v>0</v>
      </c>
      <c r="JP320">
        <v>6247</v>
      </c>
      <c r="JQ320">
        <v>0</v>
      </c>
      <c r="JR320">
        <v>476254</v>
      </c>
      <c r="JS320">
        <v>-7609</v>
      </c>
      <c r="JT320">
        <v>0</v>
      </c>
      <c r="JU320">
        <v>0</v>
      </c>
      <c r="JV320">
        <v>0</v>
      </c>
      <c r="JW320">
        <v>-44980</v>
      </c>
      <c r="JX320">
        <v>0</v>
      </c>
      <c r="JY320">
        <v>-629</v>
      </c>
      <c r="JZ320">
        <v>0</v>
      </c>
      <c r="KA320">
        <v>0</v>
      </c>
      <c r="KB320">
        <v>-2771</v>
      </c>
      <c r="KC320">
        <v>420265</v>
      </c>
      <c r="KD320">
        <v>0</v>
      </c>
      <c r="KE320">
        <v>-201442</v>
      </c>
      <c r="KF320">
        <v>218823</v>
      </c>
      <c r="KG320">
        <v>0</v>
      </c>
      <c r="KH320">
        <v>1543</v>
      </c>
      <c r="KI320">
        <v>0</v>
      </c>
      <c r="KJ320">
        <v>2390</v>
      </c>
      <c r="KK320">
        <v>-18645</v>
      </c>
      <c r="KL320">
        <v>0</v>
      </c>
      <c r="KM320">
        <v>0</v>
      </c>
      <c r="KN320">
        <v>0</v>
      </c>
      <c r="KO320">
        <v>-64217</v>
      </c>
      <c r="KP320">
        <v>112</v>
      </c>
      <c r="KQ320">
        <v>62909</v>
      </c>
      <c r="KR320">
        <v>167143</v>
      </c>
      <c r="KS320">
        <v>9095</v>
      </c>
      <c r="KT320">
        <v>0</v>
      </c>
      <c r="KU320">
        <v>2292</v>
      </c>
      <c r="KV320">
        <v>178460</v>
      </c>
      <c r="KW320">
        <v>8711</v>
      </c>
      <c r="KX320">
        <v>10638</v>
      </c>
      <c r="KY320">
        <v>0</v>
      </c>
      <c r="KZ320">
        <v>4682</v>
      </c>
      <c r="LA320">
        <v>159815</v>
      </c>
      <c r="LB320">
        <v>8711</v>
      </c>
      <c r="LC320">
        <v>0</v>
      </c>
      <c r="LD320">
        <v>43169</v>
      </c>
      <c r="LE320">
        <v>84</v>
      </c>
      <c r="LF320">
        <v>4722</v>
      </c>
      <c r="LG320">
        <v>-85353</v>
      </c>
      <c r="LH320">
        <v>-27607</v>
      </c>
      <c r="LI320">
        <v>-64985</v>
      </c>
      <c r="LJ320">
        <v>5515</v>
      </c>
      <c r="LK320">
        <v>5480</v>
      </c>
      <c r="LL320">
        <v>10995</v>
      </c>
      <c r="LM320">
        <v>0</v>
      </c>
      <c r="LN320">
        <v>0</v>
      </c>
      <c r="LO320">
        <v>0</v>
      </c>
      <c r="LP320">
        <v>0</v>
      </c>
      <c r="LQ320">
        <v>0</v>
      </c>
      <c r="LR320">
        <v>0</v>
      </c>
      <c r="LS320">
        <v>0</v>
      </c>
      <c r="LT320">
        <v>0</v>
      </c>
      <c r="LU320">
        <v>169890</v>
      </c>
      <c r="LV320">
        <v>13541</v>
      </c>
      <c r="LW320">
        <v>41116</v>
      </c>
      <c r="LX320">
        <v>108879</v>
      </c>
      <c r="LY320">
        <v>17655</v>
      </c>
      <c r="LZ320">
        <v>5440</v>
      </c>
      <c r="MA320">
        <v>6482</v>
      </c>
      <c r="MB320">
        <v>28489</v>
      </c>
      <c r="MC320">
        <v>4803</v>
      </c>
      <c r="MD320">
        <v>0</v>
      </c>
      <c r="ME320">
        <v>0</v>
      </c>
      <c r="MF320">
        <v>16230</v>
      </c>
      <c r="MG320">
        <v>3042</v>
      </c>
      <c r="MH320">
        <v>415567</v>
      </c>
      <c r="MI320">
        <v>0</v>
      </c>
      <c r="MJ320">
        <v>0</v>
      </c>
      <c r="MK320">
        <v>0</v>
      </c>
      <c r="ML320">
        <v>0</v>
      </c>
      <c r="MM320">
        <v>0</v>
      </c>
      <c r="MN320">
        <v>0</v>
      </c>
      <c r="MO320">
        <v>0</v>
      </c>
      <c r="MP320">
        <v>0</v>
      </c>
      <c r="MQ320">
        <v>0</v>
      </c>
      <c r="MR320">
        <v>0</v>
      </c>
      <c r="MS320">
        <v>0</v>
      </c>
      <c r="MT320">
        <v>0</v>
      </c>
      <c r="MU320">
        <v>0</v>
      </c>
      <c r="MV320">
        <v>17</v>
      </c>
      <c r="MW320">
        <v>0</v>
      </c>
      <c r="MX320">
        <v>-374</v>
      </c>
      <c r="MY320">
        <v>0</v>
      </c>
      <c r="MZ320">
        <v>0</v>
      </c>
      <c r="NA320">
        <v>-223</v>
      </c>
      <c r="NB320">
        <v>0</v>
      </c>
      <c r="NC320">
        <v>-223</v>
      </c>
      <c r="ND320">
        <v>0</v>
      </c>
      <c r="NE320">
        <v>-33</v>
      </c>
      <c r="NF320">
        <v>-2240</v>
      </c>
      <c r="NG320">
        <v>0</v>
      </c>
      <c r="NH320">
        <v>0</v>
      </c>
      <c r="NI320">
        <v>0</v>
      </c>
      <c r="NJ320">
        <v>0</v>
      </c>
      <c r="NK320">
        <v>0</v>
      </c>
      <c r="NL320">
        <v>0</v>
      </c>
      <c r="NM320">
        <v>102</v>
      </c>
      <c r="NN320">
        <v>0</v>
      </c>
      <c r="NO320">
        <v>18</v>
      </c>
      <c r="NP320">
        <v>-64</v>
      </c>
      <c r="NQ320">
        <v>-1218</v>
      </c>
      <c r="NR320">
        <v>-539</v>
      </c>
      <c r="NS320">
        <v>0</v>
      </c>
      <c r="NT320">
        <v>248</v>
      </c>
      <c r="NU320">
        <v>0</v>
      </c>
      <c r="NV320">
        <v>-95</v>
      </c>
      <c r="NW320">
        <v>95</v>
      </c>
      <c r="NX320">
        <v>0</v>
      </c>
      <c r="NY320">
        <v>-42</v>
      </c>
      <c r="NZ320">
        <v>-3334</v>
      </c>
      <c r="OA320">
        <v>0</v>
      </c>
      <c r="OB320">
        <v>-3334</v>
      </c>
      <c r="OC320">
        <v>0</v>
      </c>
      <c r="OD320">
        <v>0</v>
      </c>
      <c r="OE320">
        <v>0</v>
      </c>
      <c r="OF320">
        <v>0</v>
      </c>
      <c r="OG320">
        <v>0</v>
      </c>
      <c r="OH320">
        <v>0</v>
      </c>
      <c r="OI320">
        <v>0</v>
      </c>
      <c r="OJ320">
        <v>0</v>
      </c>
      <c r="OK320">
        <v>0</v>
      </c>
      <c r="OL320">
        <v>0</v>
      </c>
      <c r="OM320">
        <v>0</v>
      </c>
      <c r="ON320">
        <v>0</v>
      </c>
    </row>
    <row r="321" spans="1:404" x14ac:dyDescent="0.25">
      <c r="A321" t="s">
        <v>1031</v>
      </c>
      <c r="B321" t="s">
        <v>1032</v>
      </c>
      <c r="C321" t="s">
        <v>1030</v>
      </c>
      <c r="E321" t="s">
        <v>61</v>
      </c>
      <c r="F321">
        <v>0</v>
      </c>
      <c r="G321">
        <v>0</v>
      </c>
      <c r="H321">
        <v>0</v>
      </c>
      <c r="I321">
        <v>0</v>
      </c>
      <c r="J321">
        <v>0</v>
      </c>
      <c r="K321">
        <v>0</v>
      </c>
      <c r="L321">
        <v>0</v>
      </c>
      <c r="M321">
        <v>0</v>
      </c>
      <c r="N321">
        <v>0</v>
      </c>
      <c r="O321">
        <v>0</v>
      </c>
      <c r="P321">
        <v>0</v>
      </c>
      <c r="Q321">
        <v>0</v>
      </c>
      <c r="R321">
        <v>0</v>
      </c>
      <c r="S321">
        <v>0</v>
      </c>
      <c r="T321">
        <v>0</v>
      </c>
      <c r="U321">
        <v>0</v>
      </c>
      <c r="V321">
        <v>0</v>
      </c>
      <c r="W321">
        <v>0</v>
      </c>
      <c r="X321">
        <v>0</v>
      </c>
      <c r="Y321">
        <v>0</v>
      </c>
      <c r="Z321">
        <v>0</v>
      </c>
      <c r="AA321">
        <v>-1826</v>
      </c>
      <c r="AB321">
        <v>0</v>
      </c>
      <c r="AC321">
        <v>0</v>
      </c>
      <c r="AD321">
        <v>0</v>
      </c>
      <c r="AE321">
        <v>0</v>
      </c>
      <c r="AF321">
        <v>0</v>
      </c>
      <c r="AG321">
        <v>0</v>
      </c>
      <c r="AH321">
        <v>-201</v>
      </c>
      <c r="AI321">
        <v>-2027</v>
      </c>
      <c r="AJ321">
        <v>0</v>
      </c>
      <c r="AK321">
        <v>0</v>
      </c>
      <c r="AL321">
        <v>0</v>
      </c>
      <c r="AM321">
        <v>0</v>
      </c>
      <c r="AN321">
        <v>0</v>
      </c>
      <c r="AO321">
        <v>0</v>
      </c>
      <c r="AP321">
        <v>0</v>
      </c>
      <c r="AQ321">
        <v>0</v>
      </c>
      <c r="AR321">
        <v>0</v>
      </c>
      <c r="AS321">
        <v>0</v>
      </c>
      <c r="AT321">
        <v>0</v>
      </c>
      <c r="AU321">
        <v>0</v>
      </c>
      <c r="AV321">
        <v>0</v>
      </c>
      <c r="AW321">
        <v>0</v>
      </c>
      <c r="AX321">
        <v>0</v>
      </c>
      <c r="AY321">
        <v>0</v>
      </c>
      <c r="AZ321">
        <v>0</v>
      </c>
      <c r="BA321">
        <v>0</v>
      </c>
      <c r="BB321">
        <v>0</v>
      </c>
      <c r="BC321">
        <v>0</v>
      </c>
      <c r="BD321">
        <v>0</v>
      </c>
      <c r="BE321">
        <v>0</v>
      </c>
      <c r="BF321">
        <v>0</v>
      </c>
      <c r="BG321">
        <v>0</v>
      </c>
      <c r="BH321">
        <v>0</v>
      </c>
      <c r="BI321">
        <v>0</v>
      </c>
      <c r="BJ321">
        <v>0</v>
      </c>
      <c r="BK321">
        <v>0</v>
      </c>
      <c r="BL321">
        <v>0</v>
      </c>
      <c r="BM321">
        <v>0</v>
      </c>
      <c r="BN321">
        <v>0</v>
      </c>
      <c r="BO321">
        <v>0</v>
      </c>
      <c r="BP321">
        <v>0</v>
      </c>
      <c r="BQ321">
        <v>0</v>
      </c>
      <c r="BR321">
        <v>0</v>
      </c>
      <c r="BS321">
        <v>0</v>
      </c>
      <c r="BT321">
        <v>0</v>
      </c>
      <c r="BU321">
        <v>0</v>
      </c>
      <c r="BV321">
        <v>0</v>
      </c>
      <c r="BW321">
        <v>0</v>
      </c>
      <c r="BX321">
        <v>0</v>
      </c>
      <c r="BY321">
        <v>0</v>
      </c>
      <c r="BZ321">
        <v>0</v>
      </c>
      <c r="CA321">
        <v>0</v>
      </c>
      <c r="CB321">
        <v>0</v>
      </c>
      <c r="CC321">
        <v>0</v>
      </c>
      <c r="CD321">
        <v>0</v>
      </c>
      <c r="CE321">
        <v>0</v>
      </c>
      <c r="CF321">
        <v>0</v>
      </c>
      <c r="CG321">
        <v>0</v>
      </c>
      <c r="CH321">
        <v>0</v>
      </c>
      <c r="CI321">
        <v>0</v>
      </c>
      <c r="CJ321">
        <v>0</v>
      </c>
      <c r="CK321">
        <v>0</v>
      </c>
      <c r="CL321">
        <v>0</v>
      </c>
      <c r="CM321">
        <v>0</v>
      </c>
      <c r="CN321">
        <v>0</v>
      </c>
      <c r="CO321">
        <v>0</v>
      </c>
      <c r="CP321">
        <v>0</v>
      </c>
      <c r="CQ321">
        <v>0</v>
      </c>
      <c r="CR321">
        <v>0</v>
      </c>
      <c r="CS321">
        <v>0</v>
      </c>
      <c r="CT321">
        <v>0</v>
      </c>
      <c r="CU321">
        <v>0</v>
      </c>
      <c r="CV321">
        <v>0</v>
      </c>
      <c r="CW321">
        <v>0</v>
      </c>
      <c r="CX321">
        <v>0</v>
      </c>
      <c r="CY321">
        <v>0</v>
      </c>
      <c r="CZ321">
        <v>0</v>
      </c>
      <c r="DA321">
        <v>0</v>
      </c>
      <c r="DB321">
        <v>0</v>
      </c>
      <c r="DC321">
        <v>226</v>
      </c>
      <c r="DD321">
        <v>0</v>
      </c>
      <c r="DE321">
        <v>84</v>
      </c>
      <c r="DF321">
        <v>0</v>
      </c>
      <c r="DG321">
        <v>0</v>
      </c>
      <c r="DH321">
        <v>12</v>
      </c>
      <c r="DI321">
        <v>230</v>
      </c>
      <c r="DJ321">
        <v>-253</v>
      </c>
      <c r="DK321">
        <v>-37</v>
      </c>
      <c r="DL321">
        <v>6</v>
      </c>
      <c r="DM321">
        <v>301</v>
      </c>
      <c r="DN321">
        <v>-53</v>
      </c>
      <c r="DO321">
        <v>0</v>
      </c>
      <c r="DP321">
        <v>206</v>
      </c>
      <c r="DQ321">
        <v>56</v>
      </c>
      <c r="DR321">
        <v>0</v>
      </c>
      <c r="DS321">
        <v>0</v>
      </c>
      <c r="DT321">
        <v>628</v>
      </c>
      <c r="DU321">
        <v>0</v>
      </c>
      <c r="DV321">
        <v>0</v>
      </c>
      <c r="DW321">
        <v>0</v>
      </c>
      <c r="DX321">
        <v>1200</v>
      </c>
      <c r="DY321">
        <v>0</v>
      </c>
      <c r="DZ321">
        <v>0</v>
      </c>
      <c r="EA321">
        <v>0</v>
      </c>
      <c r="EB321">
        <v>0</v>
      </c>
      <c r="EC321">
        <v>0</v>
      </c>
      <c r="ED321">
        <v>0</v>
      </c>
      <c r="EE321">
        <v>0</v>
      </c>
      <c r="EF321">
        <v>0</v>
      </c>
      <c r="EG321">
        <v>0</v>
      </c>
      <c r="EH321">
        <v>0</v>
      </c>
      <c r="EI321">
        <v>0</v>
      </c>
      <c r="EJ321">
        <v>0</v>
      </c>
      <c r="EK321">
        <v>0</v>
      </c>
      <c r="EL321">
        <v>0</v>
      </c>
      <c r="EM321">
        <v>0</v>
      </c>
      <c r="EN321">
        <v>0</v>
      </c>
      <c r="EO321">
        <v>0</v>
      </c>
      <c r="EP321">
        <v>0</v>
      </c>
      <c r="EQ321">
        <v>0</v>
      </c>
      <c r="ER321">
        <v>0</v>
      </c>
      <c r="ES321">
        <v>0</v>
      </c>
      <c r="ET321">
        <v>0</v>
      </c>
      <c r="EU321">
        <v>0</v>
      </c>
      <c r="EV321">
        <v>0</v>
      </c>
      <c r="EW321">
        <v>0</v>
      </c>
      <c r="EX321">
        <v>0</v>
      </c>
      <c r="EY321">
        <v>0</v>
      </c>
      <c r="EZ321">
        <v>0</v>
      </c>
      <c r="FA321">
        <v>0</v>
      </c>
      <c r="FB321">
        <v>246</v>
      </c>
      <c r="FC321">
        <v>-188</v>
      </c>
      <c r="FD321">
        <v>528</v>
      </c>
      <c r="FE321">
        <v>0</v>
      </c>
      <c r="FF321">
        <v>0</v>
      </c>
      <c r="FG321">
        <v>0</v>
      </c>
      <c r="FH321">
        <v>586</v>
      </c>
      <c r="FI321">
        <v>40</v>
      </c>
      <c r="FJ321">
        <v>0</v>
      </c>
      <c r="FK321">
        <v>64</v>
      </c>
      <c r="FL321">
        <v>126</v>
      </c>
      <c r="FM321">
        <v>267</v>
      </c>
      <c r="FN321">
        <v>46</v>
      </c>
      <c r="FO321">
        <v>23</v>
      </c>
      <c r="FP321">
        <v>0</v>
      </c>
      <c r="FQ321">
        <v>0</v>
      </c>
      <c r="FR321">
        <v>22</v>
      </c>
      <c r="FS321">
        <v>542</v>
      </c>
      <c r="FT321">
        <v>99</v>
      </c>
      <c r="FU321">
        <v>168</v>
      </c>
      <c r="FV321">
        <v>50</v>
      </c>
      <c r="FW321">
        <v>0</v>
      </c>
      <c r="FX321">
        <v>0</v>
      </c>
      <c r="FY321">
        <v>19</v>
      </c>
      <c r="FZ321">
        <v>0</v>
      </c>
      <c r="GA321">
        <v>0</v>
      </c>
      <c r="GB321">
        <v>-31</v>
      </c>
      <c r="GC321">
        <v>0</v>
      </c>
      <c r="GD321">
        <v>1216</v>
      </c>
      <c r="GE321">
        <v>2287</v>
      </c>
      <c r="GF321">
        <v>0</v>
      </c>
      <c r="GG321">
        <v>-171</v>
      </c>
      <c r="GH321">
        <v>0</v>
      </c>
      <c r="GI321">
        <v>0</v>
      </c>
      <c r="GJ321">
        <v>51</v>
      </c>
      <c r="GK321">
        <v>4818</v>
      </c>
      <c r="GL321">
        <v>204</v>
      </c>
      <c r="GM321">
        <v>84</v>
      </c>
      <c r="GN321">
        <v>0</v>
      </c>
      <c r="GO321">
        <v>297</v>
      </c>
      <c r="GP321">
        <v>52</v>
      </c>
      <c r="GQ321">
        <v>813</v>
      </c>
      <c r="GR321">
        <v>0</v>
      </c>
      <c r="GS321">
        <v>0</v>
      </c>
      <c r="GT321">
        <v>145</v>
      </c>
      <c r="GU321">
        <v>1595</v>
      </c>
      <c r="GV321">
        <v>6999</v>
      </c>
      <c r="GW321">
        <v>0</v>
      </c>
      <c r="GX321">
        <v>0</v>
      </c>
      <c r="GY321">
        <v>0</v>
      </c>
      <c r="GZ321">
        <v>0</v>
      </c>
      <c r="HA321">
        <v>0</v>
      </c>
      <c r="HB321">
        <v>1075</v>
      </c>
      <c r="HC321">
        <v>279</v>
      </c>
      <c r="HD321">
        <v>0</v>
      </c>
      <c r="HE321">
        <v>0</v>
      </c>
      <c r="HF321">
        <v>188</v>
      </c>
      <c r="HG321">
        <v>0</v>
      </c>
      <c r="HH321">
        <v>0</v>
      </c>
      <c r="HI321">
        <v>0</v>
      </c>
      <c r="HJ321">
        <v>287</v>
      </c>
      <c r="HK321">
        <v>99</v>
      </c>
      <c r="HL321">
        <v>127</v>
      </c>
      <c r="HM321">
        <v>23</v>
      </c>
      <c r="HN321">
        <v>0</v>
      </c>
      <c r="HO321">
        <v>0</v>
      </c>
      <c r="HP321">
        <v>0</v>
      </c>
      <c r="HQ321">
        <v>0</v>
      </c>
      <c r="HR321">
        <v>522</v>
      </c>
      <c r="HS321">
        <v>0</v>
      </c>
      <c r="HT321">
        <v>0</v>
      </c>
      <c r="HU321">
        <v>0</v>
      </c>
      <c r="HV321">
        <v>2600</v>
      </c>
      <c r="HW321">
        <v>0</v>
      </c>
      <c r="HX321">
        <v>0</v>
      </c>
      <c r="HY321">
        <v>0</v>
      </c>
      <c r="HZ321">
        <v>0</v>
      </c>
      <c r="IA321">
        <v>0</v>
      </c>
      <c r="IB321">
        <v>2387</v>
      </c>
      <c r="IC321">
        <v>0</v>
      </c>
      <c r="ID321">
        <v>-2027</v>
      </c>
      <c r="IE321">
        <v>0</v>
      </c>
      <c r="IF321">
        <v>0</v>
      </c>
      <c r="IG321">
        <v>0</v>
      </c>
      <c r="IH321">
        <v>1200</v>
      </c>
      <c r="II321">
        <v>586</v>
      </c>
      <c r="IJ321">
        <v>4818</v>
      </c>
      <c r="IK321">
        <v>1595</v>
      </c>
      <c r="IL321">
        <v>0</v>
      </c>
      <c r="IM321">
        <v>0</v>
      </c>
      <c r="IN321">
        <v>2600</v>
      </c>
      <c r="IO321">
        <v>2387</v>
      </c>
      <c r="IP321">
        <v>11159</v>
      </c>
      <c r="IQ321">
        <v>14503</v>
      </c>
      <c r="IR321">
        <v>95</v>
      </c>
      <c r="IS321">
        <v>0</v>
      </c>
      <c r="IT321">
        <v>0</v>
      </c>
      <c r="IU321">
        <v>0</v>
      </c>
      <c r="IV321">
        <v>2960</v>
      </c>
      <c r="IW321">
        <v>0</v>
      </c>
      <c r="IX321">
        <v>0</v>
      </c>
      <c r="IY321">
        <v>0</v>
      </c>
      <c r="IZ321">
        <v>0</v>
      </c>
      <c r="JA321">
        <v>0</v>
      </c>
      <c r="JB321">
        <v>0</v>
      </c>
      <c r="JC321">
        <v>0</v>
      </c>
      <c r="JD321">
        <v>0</v>
      </c>
      <c r="JE321">
        <v>0</v>
      </c>
      <c r="JF321">
        <v>3727</v>
      </c>
      <c r="JG321">
        <v>32444</v>
      </c>
      <c r="JH321">
        <v>0</v>
      </c>
      <c r="JI321">
        <v>1019</v>
      </c>
      <c r="JJ321">
        <v>0</v>
      </c>
      <c r="JK321">
        <v>0</v>
      </c>
      <c r="JL321">
        <v>0</v>
      </c>
      <c r="JM321">
        <v>0</v>
      </c>
      <c r="JN321">
        <v>486</v>
      </c>
      <c r="JO321">
        <v>0</v>
      </c>
      <c r="JP321">
        <v>366</v>
      </c>
      <c r="JQ321">
        <v>0</v>
      </c>
      <c r="JR321">
        <v>34315</v>
      </c>
      <c r="JS321">
        <v>-1050</v>
      </c>
      <c r="JT321">
        <v>0</v>
      </c>
      <c r="JU321">
        <v>0</v>
      </c>
      <c r="JV321">
        <v>0</v>
      </c>
      <c r="JW321">
        <v>-14430</v>
      </c>
      <c r="JX321">
        <v>0</v>
      </c>
      <c r="JY321">
        <v>0</v>
      </c>
      <c r="JZ321">
        <v>0</v>
      </c>
      <c r="KA321">
        <v>0</v>
      </c>
      <c r="KB321">
        <v>0</v>
      </c>
      <c r="KC321">
        <v>18835</v>
      </c>
      <c r="KD321">
        <v>0</v>
      </c>
      <c r="KE321">
        <v>-4330</v>
      </c>
      <c r="KF321">
        <v>14505</v>
      </c>
      <c r="KG321">
        <v>0</v>
      </c>
      <c r="KH321">
        <v>0</v>
      </c>
      <c r="KI321">
        <v>0</v>
      </c>
      <c r="KJ321">
        <v>0</v>
      </c>
      <c r="KK321">
        <v>-655</v>
      </c>
      <c r="KL321">
        <v>-66</v>
      </c>
      <c r="KM321">
        <v>0</v>
      </c>
      <c r="KN321">
        <v>0</v>
      </c>
      <c r="KO321">
        <v>-2478</v>
      </c>
      <c r="KP321">
        <v>30</v>
      </c>
      <c r="KQ321">
        <v>3845</v>
      </c>
      <c r="KR321">
        <v>9679</v>
      </c>
      <c r="KS321">
        <v>0</v>
      </c>
      <c r="KT321">
        <v>0</v>
      </c>
      <c r="KU321">
        <v>0</v>
      </c>
      <c r="KV321">
        <v>21494</v>
      </c>
      <c r="KW321">
        <v>2122</v>
      </c>
      <c r="KX321">
        <v>0</v>
      </c>
      <c r="KY321">
        <v>0</v>
      </c>
      <c r="KZ321">
        <v>0</v>
      </c>
      <c r="LA321">
        <v>20839</v>
      </c>
      <c r="LB321">
        <v>2056</v>
      </c>
      <c r="LC321">
        <v>0</v>
      </c>
      <c r="LD321">
        <v>3182</v>
      </c>
      <c r="LE321">
        <v>0</v>
      </c>
      <c r="LF321">
        <v>0</v>
      </c>
      <c r="LG321">
        <v>-1237</v>
      </c>
      <c r="LH321">
        <v>1201</v>
      </c>
      <c r="LI321">
        <v>3096</v>
      </c>
      <c r="LJ321">
        <v>2922</v>
      </c>
      <c r="LK321">
        <v>2936</v>
      </c>
      <c r="LL321">
        <v>5858</v>
      </c>
      <c r="LM321">
        <v>0</v>
      </c>
      <c r="LN321">
        <v>0</v>
      </c>
      <c r="LO321">
        <v>0</v>
      </c>
      <c r="LP321">
        <v>0</v>
      </c>
      <c r="LQ321">
        <v>0</v>
      </c>
      <c r="LR321">
        <v>0</v>
      </c>
      <c r="LS321">
        <v>0</v>
      </c>
      <c r="LT321">
        <v>0</v>
      </c>
      <c r="LU321">
        <v>0</v>
      </c>
      <c r="LV321">
        <v>-2027</v>
      </c>
      <c r="LW321">
        <v>0</v>
      </c>
      <c r="LX321">
        <v>0</v>
      </c>
      <c r="LY321">
        <v>0</v>
      </c>
      <c r="LZ321">
        <v>1200</v>
      </c>
      <c r="MA321">
        <v>586</v>
      </c>
      <c r="MB321">
        <v>4818</v>
      </c>
      <c r="MC321">
        <v>1595</v>
      </c>
      <c r="MD321">
        <v>0</v>
      </c>
      <c r="ME321">
        <v>0</v>
      </c>
      <c r="MF321">
        <v>2600</v>
      </c>
      <c r="MG321">
        <v>2387</v>
      </c>
      <c r="MH321">
        <v>11159</v>
      </c>
      <c r="MI321">
        <v>0</v>
      </c>
      <c r="MJ321">
        <v>0</v>
      </c>
      <c r="MK321">
        <v>0</v>
      </c>
      <c r="ML321">
        <v>0</v>
      </c>
      <c r="MM321">
        <v>0</v>
      </c>
      <c r="MN321">
        <v>0</v>
      </c>
      <c r="MO321">
        <v>0</v>
      </c>
      <c r="MP321">
        <v>0</v>
      </c>
      <c r="MQ321">
        <v>0</v>
      </c>
      <c r="MR321">
        <v>0</v>
      </c>
      <c r="MS321">
        <v>0</v>
      </c>
      <c r="MT321">
        <v>0</v>
      </c>
      <c r="MU321">
        <v>0</v>
      </c>
      <c r="MV321">
        <v>0</v>
      </c>
      <c r="MW321">
        <v>0</v>
      </c>
      <c r="MX321">
        <v>0</v>
      </c>
      <c r="MY321">
        <v>0</v>
      </c>
      <c r="MZ321">
        <v>0</v>
      </c>
      <c r="NA321">
        <v>0</v>
      </c>
      <c r="NB321">
        <v>0</v>
      </c>
      <c r="NC321">
        <v>0</v>
      </c>
      <c r="ND321">
        <v>0</v>
      </c>
      <c r="NE321">
        <v>0</v>
      </c>
      <c r="NF321">
        <v>0</v>
      </c>
      <c r="NG321">
        <v>0</v>
      </c>
      <c r="NH321">
        <v>0</v>
      </c>
      <c r="NI321">
        <v>0</v>
      </c>
      <c r="NJ321">
        <v>0</v>
      </c>
      <c r="NK321">
        <v>0</v>
      </c>
      <c r="NL321">
        <v>0</v>
      </c>
      <c r="NM321">
        <v>0</v>
      </c>
      <c r="NN321">
        <v>0</v>
      </c>
      <c r="NO321">
        <v>0</v>
      </c>
      <c r="NP321">
        <v>0</v>
      </c>
      <c r="NQ321">
        <v>0</v>
      </c>
      <c r="NR321">
        <v>0</v>
      </c>
      <c r="NS321">
        <v>0</v>
      </c>
      <c r="NT321">
        <v>0</v>
      </c>
      <c r="NU321">
        <v>0</v>
      </c>
      <c r="NV321">
        <v>0</v>
      </c>
      <c r="NW321">
        <v>0</v>
      </c>
      <c r="NX321">
        <v>0</v>
      </c>
      <c r="NY321">
        <v>0</v>
      </c>
      <c r="NZ321">
        <v>0</v>
      </c>
      <c r="OA321">
        <v>0</v>
      </c>
      <c r="OB321">
        <v>0</v>
      </c>
      <c r="OC321">
        <v>0</v>
      </c>
      <c r="OD321">
        <v>0</v>
      </c>
      <c r="OE321">
        <v>0</v>
      </c>
      <c r="OF321">
        <v>0</v>
      </c>
      <c r="OG321">
        <v>0</v>
      </c>
      <c r="OH321">
        <v>0</v>
      </c>
      <c r="OI321">
        <v>0</v>
      </c>
      <c r="OJ321">
        <v>0</v>
      </c>
      <c r="OK321">
        <v>0</v>
      </c>
      <c r="OL321">
        <v>0</v>
      </c>
      <c r="OM321">
        <v>0</v>
      </c>
      <c r="ON321">
        <v>0</v>
      </c>
    </row>
    <row r="322" spans="1:404" x14ac:dyDescent="0.25">
      <c r="A322" t="s">
        <v>1034</v>
      </c>
      <c r="B322" t="s">
        <v>1035</v>
      </c>
      <c r="C322" t="s">
        <v>1033</v>
      </c>
      <c r="E322" t="s">
        <v>61</v>
      </c>
      <c r="F322">
        <v>0</v>
      </c>
      <c r="G322">
        <v>0</v>
      </c>
      <c r="H322">
        <v>0</v>
      </c>
      <c r="I322">
        <v>0</v>
      </c>
      <c r="J322">
        <v>0</v>
      </c>
      <c r="K322">
        <v>0</v>
      </c>
      <c r="L322">
        <v>0</v>
      </c>
      <c r="M322">
        <v>0</v>
      </c>
      <c r="N322">
        <v>0</v>
      </c>
      <c r="O322">
        <v>0</v>
      </c>
      <c r="P322">
        <v>0</v>
      </c>
      <c r="Q322">
        <v>0</v>
      </c>
      <c r="R322">
        <v>0</v>
      </c>
      <c r="S322">
        <v>0</v>
      </c>
      <c r="T322">
        <v>0</v>
      </c>
      <c r="U322">
        <v>0</v>
      </c>
      <c r="V322">
        <v>0</v>
      </c>
      <c r="W322">
        <v>0</v>
      </c>
      <c r="X322">
        <v>0</v>
      </c>
      <c r="Y322">
        <v>0</v>
      </c>
      <c r="Z322">
        <v>0</v>
      </c>
      <c r="AA322">
        <v>-113</v>
      </c>
      <c r="AB322">
        <v>0</v>
      </c>
      <c r="AC322">
        <v>0</v>
      </c>
      <c r="AD322">
        <v>0</v>
      </c>
      <c r="AE322">
        <v>0</v>
      </c>
      <c r="AF322">
        <v>0</v>
      </c>
      <c r="AG322">
        <v>29</v>
      </c>
      <c r="AH322">
        <v>0</v>
      </c>
      <c r="AI322">
        <v>-84</v>
      </c>
      <c r="AJ322">
        <v>0</v>
      </c>
      <c r="AK322">
        <v>0</v>
      </c>
      <c r="AL322">
        <v>0</v>
      </c>
      <c r="AM322">
        <v>0</v>
      </c>
      <c r="AN322">
        <v>0</v>
      </c>
      <c r="AO322">
        <v>0</v>
      </c>
      <c r="AP322">
        <v>0</v>
      </c>
      <c r="AQ322">
        <v>0</v>
      </c>
      <c r="AR322">
        <v>0</v>
      </c>
      <c r="AS322">
        <v>0</v>
      </c>
      <c r="AT322">
        <v>0</v>
      </c>
      <c r="AU322">
        <v>0</v>
      </c>
      <c r="AV322">
        <v>0</v>
      </c>
      <c r="AW322">
        <v>0</v>
      </c>
      <c r="AX322">
        <v>0</v>
      </c>
      <c r="AY322">
        <v>0</v>
      </c>
      <c r="AZ322">
        <v>0</v>
      </c>
      <c r="BA322">
        <v>0</v>
      </c>
      <c r="BB322">
        <v>0</v>
      </c>
      <c r="BC322">
        <v>0</v>
      </c>
      <c r="BD322">
        <v>0</v>
      </c>
      <c r="BE322">
        <v>0</v>
      </c>
      <c r="BF322">
        <v>0</v>
      </c>
      <c r="BG322">
        <v>0</v>
      </c>
      <c r="BH322">
        <v>0</v>
      </c>
      <c r="BI322">
        <v>0</v>
      </c>
      <c r="BJ322">
        <v>0</v>
      </c>
      <c r="BK322">
        <v>0</v>
      </c>
      <c r="BL322">
        <v>0</v>
      </c>
      <c r="BM322">
        <v>0</v>
      </c>
      <c r="BN322">
        <v>0</v>
      </c>
      <c r="BO322">
        <v>0</v>
      </c>
      <c r="BP322">
        <v>0</v>
      </c>
      <c r="BQ322">
        <v>0</v>
      </c>
      <c r="BR322">
        <v>0</v>
      </c>
      <c r="BS322">
        <v>0</v>
      </c>
      <c r="BT322">
        <v>0</v>
      </c>
      <c r="BU322">
        <v>0</v>
      </c>
      <c r="BV322">
        <v>0</v>
      </c>
      <c r="BW322">
        <v>0</v>
      </c>
      <c r="BX322">
        <v>0</v>
      </c>
      <c r="BY322">
        <v>0</v>
      </c>
      <c r="BZ322">
        <v>0</v>
      </c>
      <c r="CA322">
        <v>0</v>
      </c>
      <c r="CB322">
        <v>0</v>
      </c>
      <c r="CC322">
        <v>0</v>
      </c>
      <c r="CD322">
        <v>0</v>
      </c>
      <c r="CE322">
        <v>0</v>
      </c>
      <c r="CF322">
        <v>0</v>
      </c>
      <c r="CG322">
        <v>0</v>
      </c>
      <c r="CH322">
        <v>0</v>
      </c>
      <c r="CI322">
        <v>0</v>
      </c>
      <c r="CJ322">
        <v>0</v>
      </c>
      <c r="CK322">
        <v>0</v>
      </c>
      <c r="CL322">
        <v>0</v>
      </c>
      <c r="CM322">
        <v>0</v>
      </c>
      <c r="CN322">
        <v>0</v>
      </c>
      <c r="CO322">
        <v>0</v>
      </c>
      <c r="CP322">
        <v>0</v>
      </c>
      <c r="CQ322">
        <v>0</v>
      </c>
      <c r="CR322">
        <v>0</v>
      </c>
      <c r="CS322">
        <v>0</v>
      </c>
      <c r="CT322">
        <v>0</v>
      </c>
      <c r="CU322">
        <v>0</v>
      </c>
      <c r="CV322">
        <v>0</v>
      </c>
      <c r="CW322">
        <v>0</v>
      </c>
      <c r="CX322">
        <v>0</v>
      </c>
      <c r="CY322">
        <v>0</v>
      </c>
      <c r="CZ322">
        <v>0</v>
      </c>
      <c r="DA322">
        <v>0</v>
      </c>
      <c r="DB322">
        <v>0</v>
      </c>
      <c r="DC322">
        <v>-6</v>
      </c>
      <c r="DD322">
        <v>0</v>
      </c>
      <c r="DE322">
        <v>-7</v>
      </c>
      <c r="DF322">
        <v>0</v>
      </c>
      <c r="DG322">
        <v>0</v>
      </c>
      <c r="DH322">
        <v>0</v>
      </c>
      <c r="DI322">
        <v>0</v>
      </c>
      <c r="DJ322">
        <v>366</v>
      </c>
      <c r="DK322">
        <v>-48</v>
      </c>
      <c r="DL322">
        <v>0</v>
      </c>
      <c r="DM322">
        <v>119</v>
      </c>
      <c r="DN322">
        <v>186</v>
      </c>
      <c r="DO322">
        <v>0</v>
      </c>
      <c r="DP322">
        <v>623</v>
      </c>
      <c r="DQ322">
        <v>92</v>
      </c>
      <c r="DR322">
        <v>0</v>
      </c>
      <c r="DS322">
        <v>23</v>
      </c>
      <c r="DT322">
        <v>210</v>
      </c>
      <c r="DU322">
        <v>-105</v>
      </c>
      <c r="DV322">
        <v>0</v>
      </c>
      <c r="DW322">
        <v>0</v>
      </c>
      <c r="DX322">
        <v>830</v>
      </c>
      <c r="DY322">
        <v>15265</v>
      </c>
      <c r="DZ322">
        <v>10</v>
      </c>
      <c r="EA322">
        <v>1144</v>
      </c>
      <c r="EB322">
        <v>58</v>
      </c>
      <c r="EC322">
        <v>0</v>
      </c>
      <c r="ED322">
        <v>21</v>
      </c>
      <c r="EE322">
        <v>0</v>
      </c>
      <c r="EF322">
        <v>0</v>
      </c>
      <c r="EG322">
        <v>0</v>
      </c>
      <c r="EH322">
        <v>2899</v>
      </c>
      <c r="EI322">
        <v>5249</v>
      </c>
      <c r="EJ322">
        <v>0</v>
      </c>
      <c r="EK322">
        <v>55</v>
      </c>
      <c r="EL322">
        <v>2347</v>
      </c>
      <c r="EM322">
        <v>0</v>
      </c>
      <c r="EN322">
        <v>0</v>
      </c>
      <c r="EO322">
        <v>82</v>
      </c>
      <c r="EP322">
        <v>0</v>
      </c>
      <c r="EQ322">
        <v>4214</v>
      </c>
      <c r="ER322">
        <v>15</v>
      </c>
      <c r="ES322">
        <v>23028</v>
      </c>
      <c r="ET322">
        <v>24663</v>
      </c>
      <c r="EU322">
        <v>0</v>
      </c>
      <c r="EV322">
        <v>17</v>
      </c>
      <c r="EW322">
        <v>0</v>
      </c>
      <c r="EX322">
        <v>213</v>
      </c>
      <c r="EY322">
        <v>145</v>
      </c>
      <c r="EZ322">
        <v>0</v>
      </c>
      <c r="FA322">
        <v>0</v>
      </c>
      <c r="FB322">
        <v>24</v>
      </c>
      <c r="FC322">
        <v>284</v>
      </c>
      <c r="FD322">
        <v>184</v>
      </c>
      <c r="FE322">
        <v>4</v>
      </c>
      <c r="FF322">
        <v>48</v>
      </c>
      <c r="FG322">
        <v>0</v>
      </c>
      <c r="FH322">
        <v>919</v>
      </c>
      <c r="FI322">
        <v>-170</v>
      </c>
      <c r="FJ322">
        <v>0</v>
      </c>
      <c r="FK322">
        <v>0</v>
      </c>
      <c r="FL322">
        <v>224</v>
      </c>
      <c r="FM322">
        <v>100</v>
      </c>
      <c r="FN322">
        <v>82</v>
      </c>
      <c r="FO322">
        <v>54</v>
      </c>
      <c r="FP322">
        <v>0</v>
      </c>
      <c r="FQ322">
        <v>0</v>
      </c>
      <c r="FR322">
        <v>0</v>
      </c>
      <c r="FS322">
        <v>132</v>
      </c>
      <c r="FT322">
        <v>31</v>
      </c>
      <c r="FU322">
        <v>-20</v>
      </c>
      <c r="FV322">
        <v>0</v>
      </c>
      <c r="FW322">
        <v>162</v>
      </c>
      <c r="FX322">
        <v>33</v>
      </c>
      <c r="FY322">
        <v>0</v>
      </c>
      <c r="FZ322">
        <v>0</v>
      </c>
      <c r="GA322">
        <v>2624</v>
      </c>
      <c r="GB322">
        <v>0</v>
      </c>
      <c r="GC322">
        <v>0</v>
      </c>
      <c r="GD322">
        <v>482</v>
      </c>
      <c r="GE322">
        <v>1475</v>
      </c>
      <c r="GF322">
        <v>0</v>
      </c>
      <c r="GG322">
        <v>0</v>
      </c>
      <c r="GH322">
        <v>1351</v>
      </c>
      <c r="GI322">
        <v>54</v>
      </c>
      <c r="GJ322">
        <v>0</v>
      </c>
      <c r="GK322">
        <v>6615</v>
      </c>
      <c r="GL322">
        <v>-32</v>
      </c>
      <c r="GM322">
        <v>-258</v>
      </c>
      <c r="GN322">
        <v>0</v>
      </c>
      <c r="GO322">
        <v>57</v>
      </c>
      <c r="GP322">
        <v>0</v>
      </c>
      <c r="GQ322">
        <v>244</v>
      </c>
      <c r="GR322">
        <v>0</v>
      </c>
      <c r="GS322">
        <v>0</v>
      </c>
      <c r="GT322">
        <v>54</v>
      </c>
      <c r="GU322">
        <v>65</v>
      </c>
      <c r="GV322">
        <v>7599</v>
      </c>
      <c r="GW322">
        <v>0</v>
      </c>
      <c r="GX322">
        <v>0</v>
      </c>
      <c r="GY322">
        <v>0</v>
      </c>
      <c r="GZ322">
        <v>0</v>
      </c>
      <c r="HA322">
        <v>0</v>
      </c>
      <c r="HB322">
        <v>419</v>
      </c>
      <c r="HC322">
        <v>141</v>
      </c>
      <c r="HD322">
        <v>0</v>
      </c>
      <c r="HE322">
        <v>0</v>
      </c>
      <c r="HF322">
        <v>558</v>
      </c>
      <c r="HG322">
        <v>15</v>
      </c>
      <c r="HH322">
        <v>0</v>
      </c>
      <c r="HI322">
        <v>0</v>
      </c>
      <c r="HJ322">
        <v>45</v>
      </c>
      <c r="HK322">
        <v>-37</v>
      </c>
      <c r="HL322">
        <v>42</v>
      </c>
      <c r="HM322">
        <v>-57</v>
      </c>
      <c r="HN322">
        <v>0</v>
      </c>
      <c r="HO322">
        <v>0</v>
      </c>
      <c r="HP322">
        <v>0</v>
      </c>
      <c r="HQ322">
        <v>0</v>
      </c>
      <c r="HR322">
        <v>46</v>
      </c>
      <c r="HS322">
        <v>0</v>
      </c>
      <c r="HT322">
        <v>0</v>
      </c>
      <c r="HU322">
        <v>-6</v>
      </c>
      <c r="HV322">
        <v>1166</v>
      </c>
      <c r="HW322">
        <v>6</v>
      </c>
      <c r="HX322">
        <v>0</v>
      </c>
      <c r="HY322">
        <v>0</v>
      </c>
      <c r="HZ322">
        <v>0</v>
      </c>
      <c r="IA322">
        <v>0</v>
      </c>
      <c r="IB322">
        <v>0</v>
      </c>
      <c r="IC322">
        <v>0</v>
      </c>
      <c r="ID322">
        <v>-84</v>
      </c>
      <c r="IE322">
        <v>0</v>
      </c>
      <c r="IF322">
        <v>0</v>
      </c>
      <c r="IG322">
        <v>0</v>
      </c>
      <c r="IH322">
        <v>830</v>
      </c>
      <c r="II322">
        <v>919</v>
      </c>
      <c r="IJ322">
        <v>6615</v>
      </c>
      <c r="IK322">
        <v>65</v>
      </c>
      <c r="IL322">
        <v>0</v>
      </c>
      <c r="IM322">
        <v>0</v>
      </c>
      <c r="IN322">
        <v>1166</v>
      </c>
      <c r="IO322">
        <v>0</v>
      </c>
      <c r="IP322">
        <v>9512</v>
      </c>
      <c r="IQ322">
        <v>5466</v>
      </c>
      <c r="IR322">
        <v>0</v>
      </c>
      <c r="IS322">
        <v>5910</v>
      </c>
      <c r="IT322">
        <v>0</v>
      </c>
      <c r="IU322">
        <v>0</v>
      </c>
      <c r="IV322">
        <v>935</v>
      </c>
      <c r="IW322">
        <v>0</v>
      </c>
      <c r="IX322">
        <v>0</v>
      </c>
      <c r="IY322">
        <v>0</v>
      </c>
      <c r="IZ322">
        <v>0</v>
      </c>
      <c r="JA322">
        <v>0</v>
      </c>
      <c r="JB322">
        <v>0</v>
      </c>
      <c r="JC322">
        <v>0</v>
      </c>
      <c r="JD322">
        <v>0</v>
      </c>
      <c r="JE322">
        <v>0</v>
      </c>
      <c r="JF322">
        <v>0</v>
      </c>
      <c r="JG322">
        <v>21823</v>
      </c>
      <c r="JH322">
        <v>0</v>
      </c>
      <c r="JI322">
        <v>867</v>
      </c>
      <c r="JJ322">
        <v>0</v>
      </c>
      <c r="JK322">
        <v>0</v>
      </c>
      <c r="JL322">
        <v>0</v>
      </c>
      <c r="JM322">
        <v>935</v>
      </c>
      <c r="JN322">
        <v>0</v>
      </c>
      <c r="JO322">
        <v>0</v>
      </c>
      <c r="JP322">
        <v>2347</v>
      </c>
      <c r="JQ322">
        <v>0</v>
      </c>
      <c r="JR322">
        <v>25971</v>
      </c>
      <c r="JS322">
        <v>-198</v>
      </c>
      <c r="JT322">
        <v>0</v>
      </c>
      <c r="JU322">
        <v>0</v>
      </c>
      <c r="JV322">
        <v>0</v>
      </c>
      <c r="JW322">
        <v>-11566</v>
      </c>
      <c r="JX322">
        <v>0</v>
      </c>
      <c r="JY322">
        <v>0</v>
      </c>
      <c r="JZ322">
        <v>0</v>
      </c>
      <c r="KA322">
        <v>0</v>
      </c>
      <c r="KB322">
        <v>0</v>
      </c>
      <c r="KC322">
        <v>14207</v>
      </c>
      <c r="KD322">
        <v>0</v>
      </c>
      <c r="KE322">
        <v>-1646</v>
      </c>
      <c r="KF322">
        <v>12561</v>
      </c>
      <c r="KG322">
        <v>0</v>
      </c>
      <c r="KH322">
        <v>0</v>
      </c>
      <c r="KI322">
        <v>0</v>
      </c>
      <c r="KJ322">
        <v>0</v>
      </c>
      <c r="KK322">
        <v>-1258</v>
      </c>
      <c r="KL322">
        <v>0</v>
      </c>
      <c r="KM322">
        <v>-277</v>
      </c>
      <c r="KN322">
        <v>0</v>
      </c>
      <c r="KO322">
        <v>-3247</v>
      </c>
      <c r="KP322">
        <v>-12</v>
      </c>
      <c r="KQ322">
        <v>59</v>
      </c>
      <c r="KR322">
        <v>6480</v>
      </c>
      <c r="KS322">
        <v>0</v>
      </c>
      <c r="KT322">
        <v>0</v>
      </c>
      <c r="KU322">
        <v>0</v>
      </c>
      <c r="KV322">
        <v>3228</v>
      </c>
      <c r="KW322">
        <v>2078</v>
      </c>
      <c r="KX322">
        <v>0</v>
      </c>
      <c r="KY322">
        <v>0</v>
      </c>
      <c r="KZ322">
        <v>0</v>
      </c>
      <c r="LA322">
        <v>1970</v>
      </c>
      <c r="LB322">
        <v>2078</v>
      </c>
      <c r="LC322">
        <v>0</v>
      </c>
      <c r="LD322">
        <v>1068</v>
      </c>
      <c r="LE322">
        <v>-103</v>
      </c>
      <c r="LF322">
        <v>0</v>
      </c>
      <c r="LG322">
        <v>0</v>
      </c>
      <c r="LH322">
        <v>0</v>
      </c>
      <c r="LI322">
        <v>965</v>
      </c>
      <c r="LJ322" t="s">
        <v>5442</v>
      </c>
      <c r="LK322" t="s">
        <v>5442</v>
      </c>
      <c r="LL322" t="s">
        <v>5442</v>
      </c>
      <c r="LM322">
        <v>0</v>
      </c>
      <c r="LN322">
        <v>0</v>
      </c>
      <c r="LO322">
        <v>0</v>
      </c>
      <c r="LP322">
        <v>16498</v>
      </c>
      <c r="LQ322">
        <v>14862</v>
      </c>
      <c r="LR322">
        <v>1635</v>
      </c>
      <c r="LS322">
        <v>23028</v>
      </c>
      <c r="LT322">
        <v>24663</v>
      </c>
      <c r="LU322">
        <v>0</v>
      </c>
      <c r="LV322">
        <v>-84</v>
      </c>
      <c r="LW322">
        <v>0</v>
      </c>
      <c r="LX322">
        <v>0</v>
      </c>
      <c r="LY322">
        <v>0</v>
      </c>
      <c r="LZ322">
        <v>830</v>
      </c>
      <c r="MA322">
        <v>919</v>
      </c>
      <c r="MB322">
        <v>6615</v>
      </c>
      <c r="MC322">
        <v>65</v>
      </c>
      <c r="MD322">
        <v>0</v>
      </c>
      <c r="ME322">
        <v>0</v>
      </c>
      <c r="MF322">
        <v>1166</v>
      </c>
      <c r="MG322">
        <v>0</v>
      </c>
      <c r="MH322">
        <v>9512</v>
      </c>
      <c r="MI322">
        <v>0</v>
      </c>
      <c r="MJ322">
        <v>0</v>
      </c>
      <c r="MK322">
        <v>0</v>
      </c>
      <c r="ML322">
        <v>0</v>
      </c>
      <c r="MM322">
        <v>0</v>
      </c>
      <c r="MN322">
        <v>0</v>
      </c>
      <c r="MO322">
        <v>0</v>
      </c>
      <c r="MP322">
        <v>0</v>
      </c>
      <c r="MQ322">
        <v>0</v>
      </c>
      <c r="MR322">
        <v>0</v>
      </c>
      <c r="MS322">
        <v>0</v>
      </c>
      <c r="MT322">
        <v>0</v>
      </c>
      <c r="MU322">
        <v>0</v>
      </c>
      <c r="MV322">
        <v>0</v>
      </c>
      <c r="MW322">
        <v>0</v>
      </c>
      <c r="MX322">
        <v>0</v>
      </c>
      <c r="MY322">
        <v>0</v>
      </c>
      <c r="MZ322">
        <v>0</v>
      </c>
      <c r="NA322">
        <v>0</v>
      </c>
      <c r="NB322">
        <v>0</v>
      </c>
      <c r="NC322">
        <v>0</v>
      </c>
      <c r="ND322">
        <v>0</v>
      </c>
      <c r="NE322">
        <v>0</v>
      </c>
      <c r="NF322">
        <v>0</v>
      </c>
      <c r="NG322">
        <v>0</v>
      </c>
      <c r="NH322">
        <v>0</v>
      </c>
      <c r="NI322">
        <v>0</v>
      </c>
      <c r="NJ322">
        <v>0</v>
      </c>
      <c r="NK322">
        <v>0</v>
      </c>
      <c r="NL322">
        <v>0</v>
      </c>
      <c r="NM322">
        <v>0</v>
      </c>
      <c r="NN322">
        <v>0</v>
      </c>
      <c r="NO322">
        <v>0</v>
      </c>
      <c r="NP322">
        <v>0</v>
      </c>
      <c r="NQ322">
        <v>0</v>
      </c>
      <c r="NR322">
        <v>0</v>
      </c>
      <c r="NS322">
        <v>0</v>
      </c>
      <c r="NT322">
        <v>0</v>
      </c>
      <c r="NU322">
        <v>0</v>
      </c>
      <c r="NV322">
        <v>0</v>
      </c>
      <c r="NW322">
        <v>0</v>
      </c>
      <c r="NX322">
        <v>0</v>
      </c>
      <c r="NY322">
        <v>0</v>
      </c>
      <c r="NZ322">
        <v>0</v>
      </c>
      <c r="OA322">
        <v>0</v>
      </c>
      <c r="OB322">
        <v>0</v>
      </c>
      <c r="OC322">
        <v>0</v>
      </c>
      <c r="OD322">
        <v>0</v>
      </c>
      <c r="OE322">
        <v>0</v>
      </c>
      <c r="OF322">
        <v>0</v>
      </c>
      <c r="OG322">
        <v>0</v>
      </c>
      <c r="OH322">
        <v>0</v>
      </c>
      <c r="OI322">
        <v>0</v>
      </c>
      <c r="OJ322">
        <v>0</v>
      </c>
      <c r="OK322">
        <v>0</v>
      </c>
      <c r="OL322">
        <v>0</v>
      </c>
      <c r="OM322">
        <v>0</v>
      </c>
      <c r="ON322">
        <v>0</v>
      </c>
    </row>
    <row r="323" spans="1:404" x14ac:dyDescent="0.25">
      <c r="A323" t="s">
        <v>1037</v>
      </c>
      <c r="B323" t="s">
        <v>1038</v>
      </c>
      <c r="C323" t="s">
        <v>1036</v>
      </c>
      <c r="E323" t="s">
        <v>61</v>
      </c>
      <c r="F323">
        <v>0</v>
      </c>
      <c r="G323">
        <v>0</v>
      </c>
      <c r="H323">
        <v>0</v>
      </c>
      <c r="I323">
        <v>0</v>
      </c>
      <c r="J323">
        <v>0</v>
      </c>
      <c r="K323">
        <v>0</v>
      </c>
      <c r="L323">
        <v>0</v>
      </c>
      <c r="M323">
        <v>0</v>
      </c>
      <c r="N323">
        <v>0</v>
      </c>
      <c r="O323">
        <v>0</v>
      </c>
      <c r="P323">
        <v>0</v>
      </c>
      <c r="Q323">
        <v>0</v>
      </c>
      <c r="R323">
        <v>33</v>
      </c>
      <c r="S323">
        <v>0</v>
      </c>
      <c r="T323">
        <v>0</v>
      </c>
      <c r="U323">
        <v>302</v>
      </c>
      <c r="V323">
        <v>0</v>
      </c>
      <c r="W323">
        <v>0</v>
      </c>
      <c r="X323">
        <v>0</v>
      </c>
      <c r="Y323">
        <v>0</v>
      </c>
      <c r="Z323">
        <v>0</v>
      </c>
      <c r="AA323">
        <v>-725</v>
      </c>
      <c r="AB323">
        <v>0</v>
      </c>
      <c r="AC323">
        <v>0</v>
      </c>
      <c r="AD323">
        <v>0</v>
      </c>
      <c r="AE323">
        <v>0</v>
      </c>
      <c r="AF323">
        <v>0</v>
      </c>
      <c r="AG323">
        <v>35</v>
      </c>
      <c r="AH323">
        <v>0</v>
      </c>
      <c r="AI323">
        <v>-355</v>
      </c>
      <c r="AJ323">
        <v>0</v>
      </c>
      <c r="AK323">
        <v>0</v>
      </c>
      <c r="AL323">
        <v>0</v>
      </c>
      <c r="AM323">
        <v>0</v>
      </c>
      <c r="AN323">
        <v>0</v>
      </c>
      <c r="AO323">
        <v>0</v>
      </c>
      <c r="AP323">
        <v>0</v>
      </c>
      <c r="AQ323">
        <v>0</v>
      </c>
      <c r="AR323">
        <v>0</v>
      </c>
      <c r="AS323">
        <v>0</v>
      </c>
      <c r="AT323">
        <v>0</v>
      </c>
      <c r="AU323">
        <v>0</v>
      </c>
      <c r="AV323">
        <v>0</v>
      </c>
      <c r="AW323">
        <v>0</v>
      </c>
      <c r="AX323">
        <v>0</v>
      </c>
      <c r="AY323">
        <v>0</v>
      </c>
      <c r="AZ323">
        <v>0</v>
      </c>
      <c r="BA323">
        <v>0</v>
      </c>
      <c r="BB323">
        <v>0</v>
      </c>
      <c r="BC323">
        <v>0</v>
      </c>
      <c r="BD323">
        <v>0</v>
      </c>
      <c r="BE323">
        <v>0</v>
      </c>
      <c r="BF323">
        <v>0</v>
      </c>
      <c r="BG323">
        <v>0</v>
      </c>
      <c r="BH323">
        <v>0</v>
      </c>
      <c r="BI323">
        <v>0</v>
      </c>
      <c r="BJ323">
        <v>0</v>
      </c>
      <c r="BK323">
        <v>0</v>
      </c>
      <c r="BL323">
        <v>0</v>
      </c>
      <c r="BM323">
        <v>0</v>
      </c>
      <c r="BN323">
        <v>0</v>
      </c>
      <c r="BO323">
        <v>0</v>
      </c>
      <c r="BP323">
        <v>0</v>
      </c>
      <c r="BQ323">
        <v>0</v>
      </c>
      <c r="BR323">
        <v>0</v>
      </c>
      <c r="BS323">
        <v>0</v>
      </c>
      <c r="BT323">
        <v>0</v>
      </c>
      <c r="BU323">
        <v>0</v>
      </c>
      <c r="BV323">
        <v>0</v>
      </c>
      <c r="BW323">
        <v>0</v>
      </c>
      <c r="BX323">
        <v>0</v>
      </c>
      <c r="BY323">
        <v>0</v>
      </c>
      <c r="BZ323">
        <v>0</v>
      </c>
      <c r="CA323">
        <v>0</v>
      </c>
      <c r="CB323">
        <v>0</v>
      </c>
      <c r="CC323">
        <v>0</v>
      </c>
      <c r="CD323">
        <v>0</v>
      </c>
      <c r="CE323">
        <v>0</v>
      </c>
      <c r="CF323">
        <v>0</v>
      </c>
      <c r="CG323">
        <v>0</v>
      </c>
      <c r="CH323">
        <v>0</v>
      </c>
      <c r="CI323">
        <v>0</v>
      </c>
      <c r="CJ323">
        <v>0</v>
      </c>
      <c r="CK323">
        <v>0</v>
      </c>
      <c r="CL323">
        <v>0</v>
      </c>
      <c r="CM323">
        <v>0</v>
      </c>
      <c r="CN323">
        <v>0</v>
      </c>
      <c r="CO323">
        <v>0</v>
      </c>
      <c r="CP323">
        <v>0</v>
      </c>
      <c r="CQ323">
        <v>0</v>
      </c>
      <c r="CR323">
        <v>0</v>
      </c>
      <c r="CS323">
        <v>0</v>
      </c>
      <c r="CT323">
        <v>0</v>
      </c>
      <c r="CU323">
        <v>0</v>
      </c>
      <c r="CV323">
        <v>0</v>
      </c>
      <c r="CW323">
        <v>0</v>
      </c>
      <c r="CX323">
        <v>0</v>
      </c>
      <c r="CY323">
        <v>0</v>
      </c>
      <c r="CZ323">
        <v>0</v>
      </c>
      <c r="DA323">
        <v>0</v>
      </c>
      <c r="DB323">
        <v>0</v>
      </c>
      <c r="DC323">
        <v>252</v>
      </c>
      <c r="DD323">
        <v>-7</v>
      </c>
      <c r="DE323">
        <v>72</v>
      </c>
      <c r="DF323">
        <v>-881</v>
      </c>
      <c r="DG323">
        <v>0</v>
      </c>
      <c r="DH323">
        <v>0</v>
      </c>
      <c r="DI323">
        <v>0</v>
      </c>
      <c r="DJ323">
        <v>21</v>
      </c>
      <c r="DK323">
        <v>0</v>
      </c>
      <c r="DL323">
        <v>0</v>
      </c>
      <c r="DM323">
        <v>0</v>
      </c>
      <c r="DN323">
        <v>301</v>
      </c>
      <c r="DO323">
        <v>284</v>
      </c>
      <c r="DP323">
        <v>606</v>
      </c>
      <c r="DQ323">
        <v>0</v>
      </c>
      <c r="DR323">
        <v>0</v>
      </c>
      <c r="DS323">
        <v>0</v>
      </c>
      <c r="DT323">
        <v>190</v>
      </c>
      <c r="DU323">
        <v>3</v>
      </c>
      <c r="DV323">
        <v>0</v>
      </c>
      <c r="DW323">
        <v>0</v>
      </c>
      <c r="DX323">
        <v>235</v>
      </c>
      <c r="DY323">
        <v>24514</v>
      </c>
      <c r="DZ323">
        <v>289</v>
      </c>
      <c r="EA323">
        <v>807</v>
      </c>
      <c r="EB323">
        <v>0</v>
      </c>
      <c r="EC323">
        <v>0</v>
      </c>
      <c r="ED323">
        <v>174</v>
      </c>
      <c r="EE323">
        <v>0</v>
      </c>
      <c r="EF323">
        <v>0</v>
      </c>
      <c r="EG323">
        <v>0</v>
      </c>
      <c r="EH323">
        <v>9472</v>
      </c>
      <c r="EI323">
        <v>4120</v>
      </c>
      <c r="EJ323">
        <v>1599</v>
      </c>
      <c r="EK323">
        <v>110</v>
      </c>
      <c r="EL323">
        <v>2432</v>
      </c>
      <c r="EM323">
        <v>3221</v>
      </c>
      <c r="EN323">
        <v>0</v>
      </c>
      <c r="EO323">
        <v>35</v>
      </c>
      <c r="EP323">
        <v>0</v>
      </c>
      <c r="EQ323">
        <v>6498</v>
      </c>
      <c r="ER323">
        <v>337</v>
      </c>
      <c r="ES323">
        <v>19329</v>
      </c>
      <c r="ET323">
        <v>17289</v>
      </c>
      <c r="EU323">
        <v>0</v>
      </c>
      <c r="EV323">
        <v>27</v>
      </c>
      <c r="EW323">
        <v>9</v>
      </c>
      <c r="EX323">
        <v>-23</v>
      </c>
      <c r="EY323">
        <v>887</v>
      </c>
      <c r="EZ323">
        <v>0</v>
      </c>
      <c r="FA323">
        <v>0</v>
      </c>
      <c r="FB323">
        <v>7</v>
      </c>
      <c r="FC323">
        <v>1253</v>
      </c>
      <c r="FD323">
        <v>544</v>
      </c>
      <c r="FE323">
        <v>0</v>
      </c>
      <c r="FF323">
        <v>0</v>
      </c>
      <c r="FG323">
        <v>0</v>
      </c>
      <c r="FH323">
        <v>2704</v>
      </c>
      <c r="FI323">
        <v>117</v>
      </c>
      <c r="FJ323">
        <v>0</v>
      </c>
      <c r="FK323">
        <v>21</v>
      </c>
      <c r="FL323">
        <v>222</v>
      </c>
      <c r="FM323">
        <v>112</v>
      </c>
      <c r="FN323">
        <v>0</v>
      </c>
      <c r="FO323">
        <v>71</v>
      </c>
      <c r="FP323">
        <v>0</v>
      </c>
      <c r="FQ323">
        <v>0</v>
      </c>
      <c r="FR323">
        <v>0</v>
      </c>
      <c r="FS323">
        <v>42</v>
      </c>
      <c r="FT323">
        <v>44</v>
      </c>
      <c r="FU323">
        <v>66</v>
      </c>
      <c r="FV323">
        <v>304</v>
      </c>
      <c r="FW323">
        <v>0</v>
      </c>
      <c r="FX323">
        <v>270</v>
      </c>
      <c r="FY323">
        <v>20</v>
      </c>
      <c r="FZ323">
        <v>790</v>
      </c>
      <c r="GA323">
        <v>0</v>
      </c>
      <c r="GB323">
        <v>0</v>
      </c>
      <c r="GC323">
        <v>0</v>
      </c>
      <c r="GD323">
        <v>1560</v>
      </c>
      <c r="GE323">
        <v>1047</v>
      </c>
      <c r="GF323">
        <v>0</v>
      </c>
      <c r="GG323">
        <v>-57</v>
      </c>
      <c r="GH323">
        <v>1263</v>
      </c>
      <c r="GI323">
        <v>0</v>
      </c>
      <c r="GJ323">
        <v>71</v>
      </c>
      <c r="GK323">
        <v>5963</v>
      </c>
      <c r="GL323">
        <v>190</v>
      </c>
      <c r="GM323">
        <v>283</v>
      </c>
      <c r="GN323">
        <v>54</v>
      </c>
      <c r="GO323">
        <v>254</v>
      </c>
      <c r="GP323">
        <v>0</v>
      </c>
      <c r="GQ323">
        <v>1206</v>
      </c>
      <c r="GR323">
        <v>0</v>
      </c>
      <c r="GS323">
        <v>0</v>
      </c>
      <c r="GT323">
        <v>0</v>
      </c>
      <c r="GU323">
        <v>1987</v>
      </c>
      <c r="GV323">
        <v>10654</v>
      </c>
      <c r="GW323">
        <v>0</v>
      </c>
      <c r="GX323">
        <v>0</v>
      </c>
      <c r="GY323">
        <v>0</v>
      </c>
      <c r="GZ323">
        <v>0</v>
      </c>
      <c r="HA323">
        <v>0</v>
      </c>
      <c r="HB323">
        <v>6474</v>
      </c>
      <c r="HC323">
        <v>36</v>
      </c>
      <c r="HD323">
        <v>0</v>
      </c>
      <c r="HE323">
        <v>0</v>
      </c>
      <c r="HF323">
        <v>349</v>
      </c>
      <c r="HG323">
        <v>-19</v>
      </c>
      <c r="HH323">
        <v>0</v>
      </c>
      <c r="HI323">
        <v>0</v>
      </c>
      <c r="HJ323">
        <v>260</v>
      </c>
      <c r="HK323">
        <v>42</v>
      </c>
      <c r="HL323">
        <v>40</v>
      </c>
      <c r="HM323">
        <v>0</v>
      </c>
      <c r="HN323">
        <v>0</v>
      </c>
      <c r="HO323">
        <v>68</v>
      </c>
      <c r="HP323">
        <v>0</v>
      </c>
      <c r="HQ323">
        <v>0</v>
      </c>
      <c r="HR323">
        <v>334</v>
      </c>
      <c r="HS323">
        <v>0</v>
      </c>
      <c r="HT323">
        <v>0</v>
      </c>
      <c r="HU323">
        <v>405</v>
      </c>
      <c r="HV323">
        <v>7989</v>
      </c>
      <c r="HW323">
        <v>0</v>
      </c>
      <c r="HX323">
        <v>6905</v>
      </c>
      <c r="HY323">
        <v>0</v>
      </c>
      <c r="HZ323">
        <v>0</v>
      </c>
      <c r="IA323">
        <v>0</v>
      </c>
      <c r="IB323">
        <v>0</v>
      </c>
      <c r="IC323">
        <v>0</v>
      </c>
      <c r="ID323">
        <v>-355</v>
      </c>
      <c r="IE323">
        <v>0</v>
      </c>
      <c r="IF323">
        <v>0</v>
      </c>
      <c r="IG323">
        <v>0</v>
      </c>
      <c r="IH323">
        <v>235</v>
      </c>
      <c r="II323">
        <v>2704</v>
      </c>
      <c r="IJ323">
        <v>5963</v>
      </c>
      <c r="IK323">
        <v>1987</v>
      </c>
      <c r="IL323">
        <v>0</v>
      </c>
      <c r="IM323">
        <v>0</v>
      </c>
      <c r="IN323">
        <v>7989</v>
      </c>
      <c r="IO323">
        <v>0</v>
      </c>
      <c r="IP323">
        <v>18523</v>
      </c>
      <c r="IQ323">
        <v>9371</v>
      </c>
      <c r="IR323">
        <v>0</v>
      </c>
      <c r="IS323">
        <v>8130</v>
      </c>
      <c r="IT323">
        <v>0</v>
      </c>
      <c r="IU323">
        <v>0</v>
      </c>
      <c r="IV323">
        <v>1849</v>
      </c>
      <c r="IW323">
        <v>0</v>
      </c>
      <c r="IX323">
        <v>0</v>
      </c>
      <c r="IY323">
        <v>0</v>
      </c>
      <c r="IZ323">
        <v>0</v>
      </c>
      <c r="JA323">
        <v>-244</v>
      </c>
      <c r="JB323">
        <v>0</v>
      </c>
      <c r="JC323">
        <v>-156</v>
      </c>
      <c r="JD323">
        <v>0</v>
      </c>
      <c r="JE323">
        <v>0</v>
      </c>
      <c r="JF323">
        <v>0</v>
      </c>
      <c r="JG323">
        <v>37473</v>
      </c>
      <c r="JH323">
        <v>0</v>
      </c>
      <c r="JI323">
        <v>1300</v>
      </c>
      <c r="JJ323">
        <v>0</v>
      </c>
      <c r="JK323">
        <v>0</v>
      </c>
      <c r="JL323">
        <v>0</v>
      </c>
      <c r="JM323">
        <v>0</v>
      </c>
      <c r="JN323">
        <v>136</v>
      </c>
      <c r="JO323">
        <v>0</v>
      </c>
      <c r="JP323">
        <v>2433</v>
      </c>
      <c r="JQ323">
        <v>-2286</v>
      </c>
      <c r="JR323">
        <v>39056</v>
      </c>
      <c r="JS323">
        <v>-586</v>
      </c>
      <c r="JT323">
        <v>0</v>
      </c>
      <c r="JU323">
        <v>0</v>
      </c>
      <c r="JV323">
        <v>0</v>
      </c>
      <c r="JW323">
        <v>-17383</v>
      </c>
      <c r="JX323">
        <v>0</v>
      </c>
      <c r="JY323">
        <v>0</v>
      </c>
      <c r="JZ323">
        <v>0</v>
      </c>
      <c r="KA323">
        <v>0</v>
      </c>
      <c r="KB323">
        <v>0</v>
      </c>
      <c r="KC323">
        <v>21087</v>
      </c>
      <c r="KD323">
        <v>0</v>
      </c>
      <c r="KE323">
        <v>-6896</v>
      </c>
      <c r="KF323">
        <v>14191</v>
      </c>
      <c r="KG323">
        <v>0</v>
      </c>
      <c r="KH323">
        <v>0</v>
      </c>
      <c r="KI323">
        <v>0</v>
      </c>
      <c r="KJ323">
        <v>0</v>
      </c>
      <c r="KK323">
        <v>-3777</v>
      </c>
      <c r="KL323">
        <v>0</v>
      </c>
      <c r="KM323">
        <v>0</v>
      </c>
      <c r="KN323">
        <v>0</v>
      </c>
      <c r="KO323">
        <v>4128</v>
      </c>
      <c r="KP323">
        <v>51</v>
      </c>
      <c r="KQ323">
        <v>0</v>
      </c>
      <c r="KR323">
        <v>9962</v>
      </c>
      <c r="KS323">
        <v>0</v>
      </c>
      <c r="KT323">
        <v>0</v>
      </c>
      <c r="KU323">
        <v>0</v>
      </c>
      <c r="KV323">
        <v>27225</v>
      </c>
      <c r="KW323">
        <v>2010</v>
      </c>
      <c r="KX323">
        <v>0</v>
      </c>
      <c r="KY323">
        <v>0</v>
      </c>
      <c r="KZ323">
        <v>0</v>
      </c>
      <c r="LA323">
        <v>23448</v>
      </c>
      <c r="LB323">
        <v>2010</v>
      </c>
      <c r="LC323">
        <v>0</v>
      </c>
      <c r="LD323">
        <v>4952</v>
      </c>
      <c r="LE323">
        <v>0</v>
      </c>
      <c r="LF323">
        <v>228</v>
      </c>
      <c r="LG323">
        <v>0</v>
      </c>
      <c r="LH323">
        <v>730</v>
      </c>
      <c r="LI323">
        <v>5910</v>
      </c>
      <c r="LJ323">
        <v>3057</v>
      </c>
      <c r="LK323">
        <v>4002</v>
      </c>
      <c r="LL323">
        <v>7059</v>
      </c>
      <c r="LM323">
        <v>0</v>
      </c>
      <c r="LN323">
        <v>0</v>
      </c>
      <c r="LO323">
        <v>0</v>
      </c>
      <c r="LP323">
        <v>25784</v>
      </c>
      <c r="LQ323">
        <v>27824</v>
      </c>
      <c r="LR323">
        <v>-2040</v>
      </c>
      <c r="LS323">
        <v>19329</v>
      </c>
      <c r="LT323">
        <v>17289</v>
      </c>
      <c r="LU323">
        <v>0</v>
      </c>
      <c r="LV323">
        <v>-355</v>
      </c>
      <c r="LW323">
        <v>0</v>
      </c>
      <c r="LX323">
        <v>0</v>
      </c>
      <c r="LY323">
        <v>0</v>
      </c>
      <c r="LZ323">
        <v>235</v>
      </c>
      <c r="MA323">
        <v>2704</v>
      </c>
      <c r="MB323">
        <v>5963</v>
      </c>
      <c r="MC323">
        <v>1987</v>
      </c>
      <c r="MD323">
        <v>0</v>
      </c>
      <c r="ME323">
        <v>0</v>
      </c>
      <c r="MF323">
        <v>7989</v>
      </c>
      <c r="MG323">
        <v>0</v>
      </c>
      <c r="MH323">
        <v>18523</v>
      </c>
      <c r="MI323">
        <v>0</v>
      </c>
      <c r="MJ323">
        <v>0</v>
      </c>
      <c r="MK323">
        <v>0</v>
      </c>
      <c r="ML323">
        <v>0</v>
      </c>
      <c r="MM323">
        <v>0</v>
      </c>
      <c r="MN323">
        <v>0</v>
      </c>
      <c r="MO323">
        <v>0</v>
      </c>
      <c r="MP323">
        <v>0</v>
      </c>
      <c r="MQ323">
        <v>0</v>
      </c>
      <c r="MR323">
        <v>0</v>
      </c>
      <c r="MS323">
        <v>0</v>
      </c>
      <c r="MT323">
        <v>0</v>
      </c>
      <c r="MU323">
        <v>0</v>
      </c>
      <c r="MV323">
        <v>0</v>
      </c>
      <c r="MW323">
        <v>0</v>
      </c>
      <c r="MX323">
        <v>-470</v>
      </c>
      <c r="MY323">
        <v>0</v>
      </c>
      <c r="MZ323">
        <v>70</v>
      </c>
      <c r="NA323">
        <v>-400</v>
      </c>
      <c r="NB323">
        <v>156</v>
      </c>
      <c r="NC323">
        <v>-244</v>
      </c>
      <c r="ND323">
        <v>0</v>
      </c>
      <c r="NE323">
        <v>0</v>
      </c>
      <c r="NF323">
        <v>0</v>
      </c>
      <c r="NG323">
        <v>0</v>
      </c>
      <c r="NH323">
        <v>0</v>
      </c>
      <c r="NI323">
        <v>0</v>
      </c>
      <c r="NJ323">
        <v>0</v>
      </c>
      <c r="NK323">
        <v>0</v>
      </c>
      <c r="NL323">
        <v>0</v>
      </c>
      <c r="NM323">
        <v>0</v>
      </c>
      <c r="NN323">
        <v>0</v>
      </c>
      <c r="NO323">
        <v>0</v>
      </c>
      <c r="NP323">
        <v>0</v>
      </c>
      <c r="NQ323">
        <v>0</v>
      </c>
      <c r="NR323">
        <v>0</v>
      </c>
      <c r="NS323">
        <v>0</v>
      </c>
      <c r="NT323">
        <v>0</v>
      </c>
      <c r="NU323">
        <v>0</v>
      </c>
      <c r="NV323">
        <v>0</v>
      </c>
      <c r="NW323">
        <v>0</v>
      </c>
      <c r="NX323">
        <v>0</v>
      </c>
      <c r="NY323">
        <v>0</v>
      </c>
      <c r="NZ323">
        <v>0</v>
      </c>
      <c r="OA323">
        <v>0</v>
      </c>
      <c r="OB323">
        <v>0</v>
      </c>
      <c r="OC323">
        <v>156</v>
      </c>
      <c r="OD323">
        <v>0</v>
      </c>
      <c r="OE323">
        <v>0</v>
      </c>
      <c r="OF323">
        <v>0</v>
      </c>
      <c r="OG323">
        <v>0</v>
      </c>
      <c r="OH323">
        <v>156</v>
      </c>
      <c r="OI323">
        <v>0</v>
      </c>
      <c r="OJ323">
        <v>0</v>
      </c>
      <c r="OK323">
        <v>0</v>
      </c>
      <c r="OL323">
        <v>0</v>
      </c>
      <c r="OM323">
        <v>0</v>
      </c>
      <c r="ON323">
        <v>0</v>
      </c>
    </row>
    <row r="324" spans="1:404" x14ac:dyDescent="0.25">
      <c r="A324" t="s">
        <v>1040</v>
      </c>
      <c r="B324" t="s">
        <v>1041</v>
      </c>
      <c r="C324" t="s">
        <v>1039</v>
      </c>
      <c r="E324" t="s">
        <v>61</v>
      </c>
      <c r="F324">
        <v>0</v>
      </c>
      <c r="G324">
        <v>0</v>
      </c>
      <c r="H324">
        <v>0</v>
      </c>
      <c r="I324">
        <v>0</v>
      </c>
      <c r="J324">
        <v>0</v>
      </c>
      <c r="K324">
        <v>0</v>
      </c>
      <c r="L324">
        <v>0</v>
      </c>
      <c r="M324">
        <v>0</v>
      </c>
      <c r="N324">
        <v>-833</v>
      </c>
      <c r="O324">
        <v>0</v>
      </c>
      <c r="P324">
        <v>0</v>
      </c>
      <c r="Q324">
        <v>0</v>
      </c>
      <c r="R324">
        <v>0</v>
      </c>
      <c r="S324">
        <v>0</v>
      </c>
      <c r="T324">
        <v>0</v>
      </c>
      <c r="U324">
        <v>62</v>
      </c>
      <c r="V324">
        <v>0</v>
      </c>
      <c r="W324">
        <v>0</v>
      </c>
      <c r="X324">
        <v>0</v>
      </c>
      <c r="Y324">
        <v>0</v>
      </c>
      <c r="Z324">
        <v>0</v>
      </c>
      <c r="AA324">
        <v>-3010</v>
      </c>
      <c r="AB324">
        <v>0</v>
      </c>
      <c r="AC324">
        <v>0</v>
      </c>
      <c r="AD324">
        <v>0</v>
      </c>
      <c r="AE324">
        <v>0</v>
      </c>
      <c r="AF324">
        <v>0</v>
      </c>
      <c r="AG324">
        <v>0</v>
      </c>
      <c r="AH324">
        <v>0</v>
      </c>
      <c r="AI324">
        <v>-3781</v>
      </c>
      <c r="AJ324">
        <v>0</v>
      </c>
      <c r="AK324">
        <v>0</v>
      </c>
      <c r="AL324">
        <v>0</v>
      </c>
      <c r="AM324">
        <v>0</v>
      </c>
      <c r="AN324">
        <v>0</v>
      </c>
      <c r="AO324">
        <v>0</v>
      </c>
      <c r="AP324">
        <v>0</v>
      </c>
      <c r="AQ324">
        <v>0</v>
      </c>
      <c r="AR324">
        <v>0</v>
      </c>
      <c r="AS324">
        <v>0</v>
      </c>
      <c r="AT324">
        <v>0</v>
      </c>
      <c r="AU324">
        <v>0</v>
      </c>
      <c r="AV324">
        <v>0</v>
      </c>
      <c r="AW324">
        <v>0</v>
      </c>
      <c r="AX324">
        <v>0</v>
      </c>
      <c r="AY324">
        <v>0</v>
      </c>
      <c r="AZ324">
        <v>0</v>
      </c>
      <c r="BA324">
        <v>0</v>
      </c>
      <c r="BB324">
        <v>0</v>
      </c>
      <c r="BC324">
        <v>0</v>
      </c>
      <c r="BD324">
        <v>0</v>
      </c>
      <c r="BE324">
        <v>0</v>
      </c>
      <c r="BF324">
        <v>0</v>
      </c>
      <c r="BG324">
        <v>0</v>
      </c>
      <c r="BH324">
        <v>0</v>
      </c>
      <c r="BI324">
        <v>0</v>
      </c>
      <c r="BJ324">
        <v>0</v>
      </c>
      <c r="BK324">
        <v>0</v>
      </c>
      <c r="BL324">
        <v>0</v>
      </c>
      <c r="BM324">
        <v>0</v>
      </c>
      <c r="BN324">
        <v>0</v>
      </c>
      <c r="BO324">
        <v>0</v>
      </c>
      <c r="BP324">
        <v>0</v>
      </c>
      <c r="BQ324">
        <v>0</v>
      </c>
      <c r="BR324">
        <v>0</v>
      </c>
      <c r="BS324">
        <v>0</v>
      </c>
      <c r="BT324">
        <v>0</v>
      </c>
      <c r="BU324">
        <v>0</v>
      </c>
      <c r="BV324">
        <v>0</v>
      </c>
      <c r="BW324">
        <v>0</v>
      </c>
      <c r="BX324">
        <v>0</v>
      </c>
      <c r="BY324">
        <v>0</v>
      </c>
      <c r="BZ324">
        <v>0</v>
      </c>
      <c r="CA324">
        <v>0</v>
      </c>
      <c r="CB324">
        <v>0</v>
      </c>
      <c r="CC324">
        <v>0</v>
      </c>
      <c r="CD324">
        <v>0</v>
      </c>
      <c r="CE324">
        <v>0</v>
      </c>
      <c r="CF324">
        <v>0</v>
      </c>
      <c r="CG324">
        <v>0</v>
      </c>
      <c r="CH324">
        <v>0</v>
      </c>
      <c r="CI324">
        <v>0</v>
      </c>
      <c r="CJ324">
        <v>0</v>
      </c>
      <c r="CK324">
        <v>0</v>
      </c>
      <c r="CL324">
        <v>0</v>
      </c>
      <c r="CM324">
        <v>0</v>
      </c>
      <c r="CN324">
        <v>0</v>
      </c>
      <c r="CO324">
        <v>0</v>
      </c>
      <c r="CP324">
        <v>0</v>
      </c>
      <c r="CQ324">
        <v>0</v>
      </c>
      <c r="CR324">
        <v>0</v>
      </c>
      <c r="CS324">
        <v>0</v>
      </c>
      <c r="CT324">
        <v>0</v>
      </c>
      <c r="CU324">
        <v>0</v>
      </c>
      <c r="CV324">
        <v>353</v>
      </c>
      <c r="CW324">
        <v>0</v>
      </c>
      <c r="CX324">
        <v>0</v>
      </c>
      <c r="CY324">
        <v>0</v>
      </c>
      <c r="CZ324">
        <v>0</v>
      </c>
      <c r="DA324">
        <v>0</v>
      </c>
      <c r="DB324">
        <v>0</v>
      </c>
      <c r="DC324">
        <v>1265</v>
      </c>
      <c r="DD324">
        <v>81</v>
      </c>
      <c r="DE324">
        <v>0</v>
      </c>
      <c r="DF324">
        <v>0</v>
      </c>
      <c r="DG324">
        <v>0</v>
      </c>
      <c r="DH324">
        <v>0</v>
      </c>
      <c r="DI324">
        <v>276</v>
      </c>
      <c r="DJ324">
        <v>0</v>
      </c>
      <c r="DK324">
        <v>0</v>
      </c>
      <c r="DL324">
        <v>0</v>
      </c>
      <c r="DM324">
        <v>399</v>
      </c>
      <c r="DN324">
        <v>0</v>
      </c>
      <c r="DO324">
        <v>0</v>
      </c>
      <c r="DP324">
        <v>675</v>
      </c>
      <c r="DQ324">
        <v>0</v>
      </c>
      <c r="DR324">
        <v>0</v>
      </c>
      <c r="DS324">
        <v>0</v>
      </c>
      <c r="DT324">
        <v>946</v>
      </c>
      <c r="DU324">
        <v>0</v>
      </c>
      <c r="DV324">
        <v>0</v>
      </c>
      <c r="DW324">
        <v>0</v>
      </c>
      <c r="DX324">
        <v>2967</v>
      </c>
      <c r="DY324">
        <v>0</v>
      </c>
      <c r="DZ324">
        <v>0</v>
      </c>
      <c r="EA324">
        <v>0</v>
      </c>
      <c r="EB324">
        <v>0</v>
      </c>
      <c r="EC324">
        <v>0</v>
      </c>
      <c r="ED324">
        <v>0</v>
      </c>
      <c r="EE324">
        <v>0</v>
      </c>
      <c r="EF324">
        <v>0</v>
      </c>
      <c r="EG324">
        <v>0</v>
      </c>
      <c r="EH324">
        <v>0</v>
      </c>
      <c r="EI324">
        <v>0</v>
      </c>
      <c r="EJ324">
        <v>0</v>
      </c>
      <c r="EK324">
        <v>0</v>
      </c>
      <c r="EL324">
        <v>0</v>
      </c>
      <c r="EM324">
        <v>0</v>
      </c>
      <c r="EN324">
        <v>0</v>
      </c>
      <c r="EO324">
        <v>0</v>
      </c>
      <c r="EP324">
        <v>0</v>
      </c>
      <c r="EQ324">
        <v>0</v>
      </c>
      <c r="ER324">
        <v>0</v>
      </c>
      <c r="ES324">
        <v>0</v>
      </c>
      <c r="ET324">
        <v>0</v>
      </c>
      <c r="EU324">
        <v>0</v>
      </c>
      <c r="EV324">
        <v>0</v>
      </c>
      <c r="EW324">
        <v>0</v>
      </c>
      <c r="EX324">
        <v>78</v>
      </c>
      <c r="EY324">
        <v>340</v>
      </c>
      <c r="EZ324">
        <v>337</v>
      </c>
      <c r="FA324">
        <v>0</v>
      </c>
      <c r="FB324">
        <v>224</v>
      </c>
      <c r="FC324">
        <v>-638</v>
      </c>
      <c r="FD324">
        <v>1023</v>
      </c>
      <c r="FE324">
        <v>0</v>
      </c>
      <c r="FF324">
        <v>-20</v>
      </c>
      <c r="FG324">
        <v>0</v>
      </c>
      <c r="FH324">
        <v>1344</v>
      </c>
      <c r="FI324">
        <v>220</v>
      </c>
      <c r="FJ324">
        <v>0</v>
      </c>
      <c r="FK324">
        <v>0</v>
      </c>
      <c r="FL324">
        <v>403</v>
      </c>
      <c r="FM324">
        <v>0</v>
      </c>
      <c r="FN324">
        <v>0</v>
      </c>
      <c r="FO324">
        <v>323</v>
      </c>
      <c r="FP324">
        <v>0</v>
      </c>
      <c r="FQ324">
        <v>0</v>
      </c>
      <c r="FR324">
        <v>0</v>
      </c>
      <c r="FS324">
        <v>21</v>
      </c>
      <c r="FT324">
        <v>37</v>
      </c>
      <c r="FU324">
        <v>203</v>
      </c>
      <c r="FV324">
        <v>0</v>
      </c>
      <c r="FW324">
        <v>77</v>
      </c>
      <c r="FX324">
        <v>0</v>
      </c>
      <c r="FY324">
        <v>145</v>
      </c>
      <c r="FZ324">
        <v>0</v>
      </c>
      <c r="GA324">
        <v>0</v>
      </c>
      <c r="GB324">
        <v>2</v>
      </c>
      <c r="GC324">
        <v>0</v>
      </c>
      <c r="GD324">
        <v>1200</v>
      </c>
      <c r="GE324">
        <v>1659</v>
      </c>
      <c r="GF324">
        <v>0</v>
      </c>
      <c r="GG324">
        <v>0</v>
      </c>
      <c r="GH324">
        <v>1906</v>
      </c>
      <c r="GI324">
        <v>0</v>
      </c>
      <c r="GJ324">
        <v>0</v>
      </c>
      <c r="GK324">
        <v>6196</v>
      </c>
      <c r="GL324">
        <v>350</v>
      </c>
      <c r="GM324">
        <v>855</v>
      </c>
      <c r="GN324">
        <v>1</v>
      </c>
      <c r="GO324">
        <v>481</v>
      </c>
      <c r="GP324">
        <v>0</v>
      </c>
      <c r="GQ324">
        <v>997</v>
      </c>
      <c r="GR324">
        <v>0</v>
      </c>
      <c r="GS324">
        <v>0</v>
      </c>
      <c r="GT324">
        <v>8</v>
      </c>
      <c r="GU324">
        <v>2692</v>
      </c>
      <c r="GV324">
        <v>10232</v>
      </c>
      <c r="GW324">
        <v>0</v>
      </c>
      <c r="GX324">
        <v>0</v>
      </c>
      <c r="GY324">
        <v>0</v>
      </c>
      <c r="GZ324">
        <v>0</v>
      </c>
      <c r="HA324">
        <v>0</v>
      </c>
      <c r="HB324">
        <v>11408</v>
      </c>
      <c r="HC324">
        <v>600</v>
      </c>
      <c r="HD324">
        <v>0</v>
      </c>
      <c r="HE324">
        <v>-12</v>
      </c>
      <c r="HF324">
        <v>245</v>
      </c>
      <c r="HG324">
        <v>-46</v>
      </c>
      <c r="HH324">
        <v>0</v>
      </c>
      <c r="HI324">
        <v>0</v>
      </c>
      <c r="HJ324">
        <v>235</v>
      </c>
      <c r="HK324">
        <v>490</v>
      </c>
      <c r="HL324">
        <v>31</v>
      </c>
      <c r="HM324">
        <v>21</v>
      </c>
      <c r="HN324">
        <v>0</v>
      </c>
      <c r="HO324">
        <v>0</v>
      </c>
      <c r="HP324">
        <v>0</v>
      </c>
      <c r="HQ324">
        <v>0</v>
      </c>
      <c r="HR324">
        <v>279</v>
      </c>
      <c r="HS324">
        <v>0</v>
      </c>
      <c r="HT324">
        <v>16</v>
      </c>
      <c r="HU324">
        <v>-9182</v>
      </c>
      <c r="HV324">
        <v>4085</v>
      </c>
      <c r="HW324">
        <v>6637</v>
      </c>
      <c r="HX324">
        <v>12651</v>
      </c>
      <c r="HY324">
        <v>0</v>
      </c>
      <c r="HZ324">
        <v>0</v>
      </c>
      <c r="IA324">
        <v>73</v>
      </c>
      <c r="IB324">
        <v>45</v>
      </c>
      <c r="IC324">
        <v>0</v>
      </c>
      <c r="ID324">
        <v>-3781</v>
      </c>
      <c r="IE324">
        <v>0</v>
      </c>
      <c r="IF324">
        <v>0</v>
      </c>
      <c r="IG324">
        <v>353</v>
      </c>
      <c r="IH324">
        <v>2967</v>
      </c>
      <c r="II324">
        <v>1344</v>
      </c>
      <c r="IJ324">
        <v>6196</v>
      </c>
      <c r="IK324">
        <v>2692</v>
      </c>
      <c r="IL324">
        <v>0</v>
      </c>
      <c r="IM324">
        <v>0</v>
      </c>
      <c r="IN324">
        <v>4085</v>
      </c>
      <c r="IO324">
        <v>45</v>
      </c>
      <c r="IP324">
        <v>13901</v>
      </c>
      <c r="IQ324">
        <v>12347</v>
      </c>
      <c r="IR324">
        <v>0</v>
      </c>
      <c r="IS324">
        <v>0</v>
      </c>
      <c r="IT324">
        <v>0</v>
      </c>
      <c r="IU324">
        <v>0</v>
      </c>
      <c r="IV324">
        <v>1813</v>
      </c>
      <c r="IW324">
        <v>0</v>
      </c>
      <c r="IX324">
        <v>0</v>
      </c>
      <c r="IY324">
        <v>0</v>
      </c>
      <c r="IZ324">
        <v>0</v>
      </c>
      <c r="JA324">
        <v>278</v>
      </c>
      <c r="JB324">
        <v>0</v>
      </c>
      <c r="JC324">
        <v>0</v>
      </c>
      <c r="JD324">
        <v>0</v>
      </c>
      <c r="JE324">
        <v>-131</v>
      </c>
      <c r="JF324">
        <v>0</v>
      </c>
      <c r="JG324">
        <v>28208</v>
      </c>
      <c r="JH324">
        <v>0</v>
      </c>
      <c r="JI324">
        <v>1215</v>
      </c>
      <c r="JJ324">
        <v>0</v>
      </c>
      <c r="JK324">
        <v>0</v>
      </c>
      <c r="JL324">
        <v>0</v>
      </c>
      <c r="JM324">
        <v>0</v>
      </c>
      <c r="JN324">
        <v>975</v>
      </c>
      <c r="JO324">
        <v>0</v>
      </c>
      <c r="JP324">
        <v>567</v>
      </c>
      <c r="JQ324">
        <v>0</v>
      </c>
      <c r="JR324">
        <v>30965</v>
      </c>
      <c r="JS324">
        <v>-36</v>
      </c>
      <c r="JT324">
        <v>0</v>
      </c>
      <c r="JU324">
        <v>0</v>
      </c>
      <c r="JV324">
        <v>0</v>
      </c>
      <c r="JW324">
        <v>-12818</v>
      </c>
      <c r="JX324">
        <v>0</v>
      </c>
      <c r="JY324">
        <v>-66</v>
      </c>
      <c r="JZ324">
        <v>0</v>
      </c>
      <c r="KA324">
        <v>0</v>
      </c>
      <c r="KB324">
        <v>0</v>
      </c>
      <c r="KC324">
        <v>18045</v>
      </c>
      <c r="KD324">
        <v>0</v>
      </c>
      <c r="KE324">
        <v>-1691</v>
      </c>
      <c r="KF324">
        <v>16354</v>
      </c>
      <c r="KG324">
        <v>0</v>
      </c>
      <c r="KH324">
        <v>0</v>
      </c>
      <c r="KI324">
        <v>0</v>
      </c>
      <c r="KJ324">
        <v>0</v>
      </c>
      <c r="KK324">
        <v>-4805</v>
      </c>
      <c r="KL324">
        <v>495</v>
      </c>
      <c r="KM324">
        <v>0</v>
      </c>
      <c r="KN324">
        <v>0</v>
      </c>
      <c r="KO324">
        <v>-466</v>
      </c>
      <c r="KP324">
        <v>199</v>
      </c>
      <c r="KQ324">
        <v>-2</v>
      </c>
      <c r="KR324">
        <v>11098</v>
      </c>
      <c r="KS324">
        <v>0</v>
      </c>
      <c r="KT324">
        <v>0</v>
      </c>
      <c r="KU324">
        <v>0</v>
      </c>
      <c r="KV324">
        <v>11814</v>
      </c>
      <c r="KW324">
        <v>12477</v>
      </c>
      <c r="KX324">
        <v>0</v>
      </c>
      <c r="KY324">
        <v>0</v>
      </c>
      <c r="KZ324">
        <v>0</v>
      </c>
      <c r="LA324">
        <v>7009</v>
      </c>
      <c r="LB324">
        <v>12972</v>
      </c>
      <c r="LC324">
        <v>0</v>
      </c>
      <c r="LD324">
        <v>2965</v>
      </c>
      <c r="LE324">
        <v>2282</v>
      </c>
      <c r="LF324">
        <v>0</v>
      </c>
      <c r="LG324">
        <v>0</v>
      </c>
      <c r="LH324">
        <v>5767</v>
      </c>
      <c r="LI324">
        <v>11014</v>
      </c>
      <c r="LJ324">
        <v>2466</v>
      </c>
      <c r="LK324">
        <v>3371</v>
      </c>
      <c r="LL324">
        <v>5837</v>
      </c>
      <c r="LM324">
        <v>91</v>
      </c>
      <c r="LN324">
        <v>0</v>
      </c>
      <c r="LO324">
        <v>0</v>
      </c>
      <c r="LP324">
        <v>0</v>
      </c>
      <c r="LQ324">
        <v>0</v>
      </c>
      <c r="LR324">
        <v>0</v>
      </c>
      <c r="LS324">
        <v>0</v>
      </c>
      <c r="LT324">
        <v>0</v>
      </c>
      <c r="LU324">
        <v>0</v>
      </c>
      <c r="LV324">
        <v>-3781</v>
      </c>
      <c r="LW324">
        <v>0</v>
      </c>
      <c r="LX324">
        <v>0</v>
      </c>
      <c r="LY324">
        <v>353</v>
      </c>
      <c r="LZ324">
        <v>2967</v>
      </c>
      <c r="MA324">
        <v>1344</v>
      </c>
      <c r="MB324">
        <v>6196</v>
      </c>
      <c r="MC324">
        <v>2692</v>
      </c>
      <c r="MD324">
        <v>0</v>
      </c>
      <c r="ME324">
        <v>0</v>
      </c>
      <c r="MF324">
        <v>4085</v>
      </c>
      <c r="MG324">
        <v>45</v>
      </c>
      <c r="MH324">
        <v>13901</v>
      </c>
      <c r="MI324">
        <v>0</v>
      </c>
      <c r="MJ324">
        <v>0</v>
      </c>
      <c r="MK324">
        <v>0</v>
      </c>
      <c r="ML324">
        <v>0</v>
      </c>
      <c r="MM324">
        <v>0</v>
      </c>
      <c r="MN324">
        <v>0</v>
      </c>
      <c r="MO324">
        <v>0</v>
      </c>
      <c r="MP324">
        <v>0</v>
      </c>
      <c r="MQ324">
        <v>0</v>
      </c>
      <c r="MR324">
        <v>0</v>
      </c>
      <c r="MS324">
        <v>0</v>
      </c>
      <c r="MT324">
        <v>0</v>
      </c>
      <c r="MU324">
        <v>0</v>
      </c>
      <c r="MV324">
        <v>0</v>
      </c>
      <c r="MW324">
        <v>0</v>
      </c>
      <c r="MX324">
        <v>-27</v>
      </c>
      <c r="MY324">
        <v>204</v>
      </c>
      <c r="MZ324">
        <v>101</v>
      </c>
      <c r="NA324">
        <v>278</v>
      </c>
      <c r="NB324">
        <v>0</v>
      </c>
      <c r="NC324">
        <v>278</v>
      </c>
      <c r="ND324">
        <v>0</v>
      </c>
      <c r="NE324">
        <v>0</v>
      </c>
      <c r="NF324">
        <v>0</v>
      </c>
      <c r="NG324">
        <v>0</v>
      </c>
      <c r="NH324">
        <v>0</v>
      </c>
      <c r="NI324">
        <v>0</v>
      </c>
      <c r="NJ324">
        <v>0</v>
      </c>
      <c r="NK324">
        <v>0</v>
      </c>
      <c r="NL324">
        <v>0</v>
      </c>
      <c r="NM324">
        <v>0</v>
      </c>
      <c r="NN324">
        <v>0</v>
      </c>
      <c r="NO324">
        <v>0</v>
      </c>
      <c r="NP324">
        <v>0</v>
      </c>
      <c r="NQ324">
        <v>0</v>
      </c>
      <c r="NR324">
        <v>0</v>
      </c>
      <c r="NS324">
        <v>0</v>
      </c>
      <c r="NT324">
        <v>0</v>
      </c>
      <c r="NU324">
        <v>0</v>
      </c>
      <c r="NV324">
        <v>0</v>
      </c>
      <c r="NW324">
        <v>0</v>
      </c>
      <c r="NX324">
        <v>0</v>
      </c>
      <c r="NY324">
        <v>0</v>
      </c>
      <c r="NZ324">
        <v>0</v>
      </c>
      <c r="OA324">
        <v>0</v>
      </c>
      <c r="OB324">
        <v>0</v>
      </c>
      <c r="OC324">
        <v>0</v>
      </c>
      <c r="OD324">
        <v>0</v>
      </c>
      <c r="OE324">
        <v>0</v>
      </c>
      <c r="OF324">
        <v>0</v>
      </c>
      <c r="OG324">
        <v>0</v>
      </c>
      <c r="OH324">
        <v>0</v>
      </c>
      <c r="OI324">
        <v>0</v>
      </c>
      <c r="OJ324">
        <v>0</v>
      </c>
      <c r="OK324">
        <v>0</v>
      </c>
      <c r="OL324">
        <v>0</v>
      </c>
      <c r="OM324">
        <v>0</v>
      </c>
      <c r="ON324">
        <v>0</v>
      </c>
    </row>
    <row r="325" spans="1:404" x14ac:dyDescent="0.25">
      <c r="A325" t="s">
        <v>1043</v>
      </c>
      <c r="B325" t="s">
        <v>1044</v>
      </c>
      <c r="C325" t="s">
        <v>1042</v>
      </c>
      <c r="E325" t="s">
        <v>61</v>
      </c>
      <c r="F325">
        <v>0</v>
      </c>
      <c r="G325">
        <v>0</v>
      </c>
      <c r="H325">
        <v>0</v>
      </c>
      <c r="I325">
        <v>0</v>
      </c>
      <c r="J325">
        <v>0</v>
      </c>
      <c r="K325">
        <v>0</v>
      </c>
      <c r="L325">
        <v>0</v>
      </c>
      <c r="M325">
        <v>0</v>
      </c>
      <c r="N325">
        <v>0</v>
      </c>
      <c r="O325">
        <v>0</v>
      </c>
      <c r="P325">
        <v>0</v>
      </c>
      <c r="Q325">
        <v>0</v>
      </c>
      <c r="R325">
        <v>0</v>
      </c>
      <c r="S325">
        <v>0</v>
      </c>
      <c r="T325">
        <v>0</v>
      </c>
      <c r="U325">
        <v>31</v>
      </c>
      <c r="V325">
        <v>0</v>
      </c>
      <c r="W325">
        <v>0</v>
      </c>
      <c r="X325">
        <v>0</v>
      </c>
      <c r="Y325">
        <v>0</v>
      </c>
      <c r="Z325">
        <v>0</v>
      </c>
      <c r="AA325">
        <v>-94</v>
      </c>
      <c r="AB325">
        <v>0</v>
      </c>
      <c r="AC325">
        <v>0</v>
      </c>
      <c r="AD325">
        <v>0</v>
      </c>
      <c r="AE325">
        <v>0</v>
      </c>
      <c r="AF325">
        <v>0</v>
      </c>
      <c r="AG325">
        <v>0</v>
      </c>
      <c r="AH325">
        <v>0</v>
      </c>
      <c r="AI325">
        <v>-63</v>
      </c>
      <c r="AJ325">
        <v>0</v>
      </c>
      <c r="AK325">
        <v>0</v>
      </c>
      <c r="AL325">
        <v>0</v>
      </c>
      <c r="AM325">
        <v>0</v>
      </c>
      <c r="AN325">
        <v>0</v>
      </c>
      <c r="AO325">
        <v>0</v>
      </c>
      <c r="AP325">
        <v>0</v>
      </c>
      <c r="AQ325">
        <v>0</v>
      </c>
      <c r="AR325">
        <v>0</v>
      </c>
      <c r="AS325">
        <v>0</v>
      </c>
      <c r="AT325">
        <v>0</v>
      </c>
      <c r="AU325">
        <v>0</v>
      </c>
      <c r="AV325">
        <v>0</v>
      </c>
      <c r="AW325">
        <v>0</v>
      </c>
      <c r="AX325">
        <v>0</v>
      </c>
      <c r="AY325">
        <v>0</v>
      </c>
      <c r="AZ325">
        <v>0</v>
      </c>
      <c r="BA325">
        <v>0</v>
      </c>
      <c r="BB325">
        <v>0</v>
      </c>
      <c r="BC325">
        <v>0</v>
      </c>
      <c r="BD325">
        <v>0</v>
      </c>
      <c r="BE325">
        <v>0</v>
      </c>
      <c r="BF325">
        <v>0</v>
      </c>
      <c r="BG325">
        <v>0</v>
      </c>
      <c r="BH325">
        <v>0</v>
      </c>
      <c r="BI325">
        <v>0</v>
      </c>
      <c r="BJ325">
        <v>0</v>
      </c>
      <c r="BK325">
        <v>0</v>
      </c>
      <c r="BL325">
        <v>0</v>
      </c>
      <c r="BM325">
        <v>0</v>
      </c>
      <c r="BN325">
        <v>0</v>
      </c>
      <c r="BO325">
        <v>0</v>
      </c>
      <c r="BP325">
        <v>0</v>
      </c>
      <c r="BQ325">
        <v>0</v>
      </c>
      <c r="BR325">
        <v>0</v>
      </c>
      <c r="BS325">
        <v>0</v>
      </c>
      <c r="BT325">
        <v>0</v>
      </c>
      <c r="BU325">
        <v>0</v>
      </c>
      <c r="BV325">
        <v>0</v>
      </c>
      <c r="BW325">
        <v>0</v>
      </c>
      <c r="BX325">
        <v>0</v>
      </c>
      <c r="BY325">
        <v>0</v>
      </c>
      <c r="BZ325">
        <v>0</v>
      </c>
      <c r="CA325">
        <v>0</v>
      </c>
      <c r="CB325">
        <v>0</v>
      </c>
      <c r="CC325">
        <v>0</v>
      </c>
      <c r="CD325">
        <v>0</v>
      </c>
      <c r="CE325">
        <v>0</v>
      </c>
      <c r="CF325">
        <v>0</v>
      </c>
      <c r="CG325">
        <v>0</v>
      </c>
      <c r="CH325">
        <v>0</v>
      </c>
      <c r="CI325">
        <v>0</v>
      </c>
      <c r="CJ325">
        <v>0</v>
      </c>
      <c r="CK325">
        <v>0</v>
      </c>
      <c r="CL325">
        <v>0</v>
      </c>
      <c r="CM325">
        <v>0</v>
      </c>
      <c r="CN325">
        <v>0</v>
      </c>
      <c r="CO325">
        <v>0</v>
      </c>
      <c r="CP325">
        <v>0</v>
      </c>
      <c r="CQ325">
        <v>0</v>
      </c>
      <c r="CR325">
        <v>0</v>
      </c>
      <c r="CS325">
        <v>0</v>
      </c>
      <c r="CT325">
        <v>0</v>
      </c>
      <c r="CU325">
        <v>0</v>
      </c>
      <c r="CV325">
        <v>1343</v>
      </c>
      <c r="CW325">
        <v>0</v>
      </c>
      <c r="CX325">
        <v>0</v>
      </c>
      <c r="CY325">
        <v>0</v>
      </c>
      <c r="CZ325">
        <v>0</v>
      </c>
      <c r="DA325">
        <v>0</v>
      </c>
      <c r="DB325">
        <v>0</v>
      </c>
      <c r="DC325">
        <v>326</v>
      </c>
      <c r="DD325">
        <v>0</v>
      </c>
      <c r="DE325">
        <v>0</v>
      </c>
      <c r="DF325">
        <v>0</v>
      </c>
      <c r="DG325">
        <v>0</v>
      </c>
      <c r="DH325">
        <v>0</v>
      </c>
      <c r="DI325">
        <v>-97</v>
      </c>
      <c r="DJ325">
        <v>0</v>
      </c>
      <c r="DK325">
        <v>0</v>
      </c>
      <c r="DL325">
        <v>0</v>
      </c>
      <c r="DM325">
        <v>0</v>
      </c>
      <c r="DN325">
        <v>249</v>
      </c>
      <c r="DO325">
        <v>24</v>
      </c>
      <c r="DP325">
        <v>176</v>
      </c>
      <c r="DQ325">
        <v>179</v>
      </c>
      <c r="DR325">
        <v>0</v>
      </c>
      <c r="DS325">
        <v>0</v>
      </c>
      <c r="DT325">
        <v>871</v>
      </c>
      <c r="DU325">
        <v>0</v>
      </c>
      <c r="DV325">
        <v>20</v>
      </c>
      <c r="DW325">
        <v>120</v>
      </c>
      <c r="DX325">
        <v>1692</v>
      </c>
      <c r="DY325">
        <v>0</v>
      </c>
      <c r="DZ325">
        <v>0</v>
      </c>
      <c r="EA325">
        <v>0</v>
      </c>
      <c r="EB325">
        <v>0</v>
      </c>
      <c r="EC325">
        <v>0</v>
      </c>
      <c r="ED325">
        <v>0</v>
      </c>
      <c r="EE325">
        <v>0</v>
      </c>
      <c r="EF325">
        <v>0</v>
      </c>
      <c r="EG325">
        <v>0</v>
      </c>
      <c r="EH325">
        <v>0</v>
      </c>
      <c r="EI325">
        <v>0</v>
      </c>
      <c r="EJ325">
        <v>0</v>
      </c>
      <c r="EK325">
        <v>0</v>
      </c>
      <c r="EL325">
        <v>0</v>
      </c>
      <c r="EM325">
        <v>0</v>
      </c>
      <c r="EN325">
        <v>0</v>
      </c>
      <c r="EO325">
        <v>0</v>
      </c>
      <c r="EP325">
        <v>0</v>
      </c>
      <c r="EQ325">
        <v>0</v>
      </c>
      <c r="ER325">
        <v>0</v>
      </c>
      <c r="ES325">
        <v>0</v>
      </c>
      <c r="ET325">
        <v>0</v>
      </c>
      <c r="EU325">
        <v>0</v>
      </c>
      <c r="EV325">
        <v>0</v>
      </c>
      <c r="EW325">
        <v>0</v>
      </c>
      <c r="EX325">
        <v>0</v>
      </c>
      <c r="EY325">
        <v>0</v>
      </c>
      <c r="EZ325">
        <v>0</v>
      </c>
      <c r="FA325">
        <v>0</v>
      </c>
      <c r="FB325">
        <v>0</v>
      </c>
      <c r="FC325">
        <v>1054</v>
      </c>
      <c r="FD325">
        <v>131</v>
      </c>
      <c r="FE325">
        <v>0</v>
      </c>
      <c r="FF325">
        <v>8</v>
      </c>
      <c r="FG325">
        <v>0</v>
      </c>
      <c r="FH325">
        <v>1193</v>
      </c>
      <c r="FI325">
        <v>0</v>
      </c>
      <c r="FJ325">
        <v>0</v>
      </c>
      <c r="FK325">
        <v>0</v>
      </c>
      <c r="FL325">
        <v>173</v>
      </c>
      <c r="FM325">
        <v>348</v>
      </c>
      <c r="FN325">
        <v>0</v>
      </c>
      <c r="FO325">
        <v>0</v>
      </c>
      <c r="FP325">
        <v>0</v>
      </c>
      <c r="FQ325">
        <v>0</v>
      </c>
      <c r="FR325">
        <v>2</v>
      </c>
      <c r="FS325">
        <v>23</v>
      </c>
      <c r="FT325">
        <v>25</v>
      </c>
      <c r="FU325">
        <v>-41</v>
      </c>
      <c r="FV325">
        <v>0</v>
      </c>
      <c r="FW325">
        <v>0</v>
      </c>
      <c r="FX325">
        <v>0</v>
      </c>
      <c r="FY325">
        <v>0</v>
      </c>
      <c r="FZ325">
        <v>0</v>
      </c>
      <c r="GA325">
        <v>192</v>
      </c>
      <c r="GB325">
        <v>0</v>
      </c>
      <c r="GC325">
        <v>0</v>
      </c>
      <c r="GD325">
        <v>369</v>
      </c>
      <c r="GE325">
        <v>2791</v>
      </c>
      <c r="GF325">
        <v>0</v>
      </c>
      <c r="GG325">
        <v>-327</v>
      </c>
      <c r="GH325">
        <v>-917</v>
      </c>
      <c r="GI325">
        <v>0</v>
      </c>
      <c r="GJ325">
        <v>0</v>
      </c>
      <c r="GK325">
        <v>2638</v>
      </c>
      <c r="GL325">
        <v>-277</v>
      </c>
      <c r="GM325">
        <v>-224</v>
      </c>
      <c r="GN325">
        <v>0</v>
      </c>
      <c r="GO325">
        <v>527</v>
      </c>
      <c r="GP325">
        <v>0</v>
      </c>
      <c r="GQ325">
        <v>614</v>
      </c>
      <c r="GR325">
        <v>0</v>
      </c>
      <c r="GS325">
        <v>0</v>
      </c>
      <c r="GT325">
        <v>-2</v>
      </c>
      <c r="GU325">
        <v>638</v>
      </c>
      <c r="GV325">
        <v>4469</v>
      </c>
      <c r="GW325">
        <v>0</v>
      </c>
      <c r="GX325">
        <v>0</v>
      </c>
      <c r="GY325">
        <v>0</v>
      </c>
      <c r="GZ325">
        <v>0</v>
      </c>
      <c r="HA325">
        <v>0</v>
      </c>
      <c r="HB325">
        <v>775</v>
      </c>
      <c r="HC325">
        <v>302</v>
      </c>
      <c r="HD325">
        <v>0</v>
      </c>
      <c r="HE325">
        <v>0</v>
      </c>
      <c r="HF325">
        <v>246</v>
      </c>
      <c r="HG325">
        <v>-56</v>
      </c>
      <c r="HH325">
        <v>0</v>
      </c>
      <c r="HI325">
        <v>0</v>
      </c>
      <c r="HJ325">
        <v>8</v>
      </c>
      <c r="HK325">
        <v>41</v>
      </c>
      <c r="HL325">
        <v>63</v>
      </c>
      <c r="HM325">
        <v>-249</v>
      </c>
      <c r="HN325">
        <v>0</v>
      </c>
      <c r="HO325">
        <v>111</v>
      </c>
      <c r="HP325">
        <v>0</v>
      </c>
      <c r="HQ325">
        <v>0</v>
      </c>
      <c r="HR325">
        <v>1497</v>
      </c>
      <c r="HS325">
        <v>0</v>
      </c>
      <c r="HT325">
        <v>0</v>
      </c>
      <c r="HU325">
        <v>4778</v>
      </c>
      <c r="HV325">
        <v>7516</v>
      </c>
      <c r="HW325">
        <v>0</v>
      </c>
      <c r="HX325">
        <v>0</v>
      </c>
      <c r="HY325">
        <v>0</v>
      </c>
      <c r="HZ325">
        <v>0</v>
      </c>
      <c r="IA325">
        <v>0</v>
      </c>
      <c r="IB325">
        <v>0</v>
      </c>
      <c r="IC325">
        <v>0</v>
      </c>
      <c r="ID325">
        <v>-63</v>
      </c>
      <c r="IE325">
        <v>0</v>
      </c>
      <c r="IF325">
        <v>0</v>
      </c>
      <c r="IG325">
        <v>1343</v>
      </c>
      <c r="IH325">
        <v>1692</v>
      </c>
      <c r="II325">
        <v>1193</v>
      </c>
      <c r="IJ325">
        <v>2638</v>
      </c>
      <c r="IK325">
        <v>638</v>
      </c>
      <c r="IL325">
        <v>0</v>
      </c>
      <c r="IM325">
        <v>0</v>
      </c>
      <c r="IN325">
        <v>7516</v>
      </c>
      <c r="IO325">
        <v>0</v>
      </c>
      <c r="IP325">
        <v>14957</v>
      </c>
      <c r="IQ325">
        <v>17106</v>
      </c>
      <c r="IR325">
        <v>213</v>
      </c>
      <c r="IS325">
        <v>0</v>
      </c>
      <c r="IT325">
        <v>0</v>
      </c>
      <c r="IU325">
        <v>0</v>
      </c>
      <c r="IV325">
        <v>4189</v>
      </c>
      <c r="IW325">
        <v>0</v>
      </c>
      <c r="IX325">
        <v>0</v>
      </c>
      <c r="IY325">
        <v>0</v>
      </c>
      <c r="IZ325">
        <v>0</v>
      </c>
      <c r="JA325">
        <v>-422</v>
      </c>
      <c r="JB325">
        <v>0</v>
      </c>
      <c r="JC325">
        <v>0</v>
      </c>
      <c r="JD325">
        <v>0</v>
      </c>
      <c r="JE325">
        <v>-123</v>
      </c>
      <c r="JF325">
        <v>0</v>
      </c>
      <c r="JG325">
        <v>35920</v>
      </c>
      <c r="JH325">
        <v>0</v>
      </c>
      <c r="JI325">
        <v>3368</v>
      </c>
      <c r="JJ325">
        <v>0</v>
      </c>
      <c r="JK325">
        <v>0</v>
      </c>
      <c r="JL325">
        <v>0</v>
      </c>
      <c r="JM325">
        <v>0</v>
      </c>
      <c r="JN325">
        <v>0</v>
      </c>
      <c r="JO325">
        <v>0</v>
      </c>
      <c r="JP325">
        <v>31</v>
      </c>
      <c r="JQ325">
        <v>0</v>
      </c>
      <c r="JR325">
        <v>39319</v>
      </c>
      <c r="JS325">
        <v>-1660</v>
      </c>
      <c r="JT325">
        <v>0</v>
      </c>
      <c r="JU325">
        <v>0</v>
      </c>
      <c r="JV325">
        <v>0</v>
      </c>
      <c r="JW325">
        <v>-17793</v>
      </c>
      <c r="JX325">
        <v>0</v>
      </c>
      <c r="JY325">
        <v>-503</v>
      </c>
      <c r="JZ325">
        <v>0</v>
      </c>
      <c r="KA325">
        <v>0</v>
      </c>
      <c r="KB325">
        <v>0</v>
      </c>
      <c r="KC325">
        <v>19363</v>
      </c>
      <c r="KD325">
        <v>0</v>
      </c>
      <c r="KE325">
        <v>-7251</v>
      </c>
      <c r="KF325">
        <v>12112</v>
      </c>
      <c r="KG325">
        <v>0</v>
      </c>
      <c r="KH325">
        <v>0</v>
      </c>
      <c r="KI325">
        <v>0</v>
      </c>
      <c r="KJ325">
        <v>0</v>
      </c>
      <c r="KK325">
        <v>8881</v>
      </c>
      <c r="KL325">
        <v>0</v>
      </c>
      <c r="KM325">
        <v>0</v>
      </c>
      <c r="KN325">
        <v>0</v>
      </c>
      <c r="KO325">
        <v>-4410</v>
      </c>
      <c r="KP325">
        <v>-151</v>
      </c>
      <c r="KQ325">
        <v>815</v>
      </c>
      <c r="KR325">
        <v>12233</v>
      </c>
      <c r="KS325">
        <v>0</v>
      </c>
      <c r="KT325">
        <v>0</v>
      </c>
      <c r="KU325">
        <v>0</v>
      </c>
      <c r="KV325">
        <v>22027</v>
      </c>
      <c r="KW325">
        <v>1400</v>
      </c>
      <c r="KX325">
        <v>0</v>
      </c>
      <c r="KY325">
        <v>0</v>
      </c>
      <c r="KZ325">
        <v>0</v>
      </c>
      <c r="LA325">
        <v>30908</v>
      </c>
      <c r="LB325">
        <v>1400</v>
      </c>
      <c r="LC325">
        <v>0</v>
      </c>
      <c r="LD325">
        <v>1608</v>
      </c>
      <c r="LE325">
        <v>95</v>
      </c>
      <c r="LF325">
        <v>0</v>
      </c>
      <c r="LG325">
        <v>-1808</v>
      </c>
      <c r="LH325">
        <v>1646</v>
      </c>
      <c r="LI325">
        <v>1541</v>
      </c>
      <c r="LJ325">
        <v>3463</v>
      </c>
      <c r="LK325">
        <v>3718</v>
      </c>
      <c r="LL325">
        <v>7181</v>
      </c>
      <c r="LM325">
        <v>0</v>
      </c>
      <c r="LN325">
        <v>0</v>
      </c>
      <c r="LO325">
        <v>0</v>
      </c>
      <c r="LP325">
        <v>0</v>
      </c>
      <c r="LQ325">
        <v>0</v>
      </c>
      <c r="LR325">
        <v>0</v>
      </c>
      <c r="LS325">
        <v>0</v>
      </c>
      <c r="LT325">
        <v>0</v>
      </c>
      <c r="LU325">
        <v>0</v>
      </c>
      <c r="LV325">
        <v>-63</v>
      </c>
      <c r="LW325">
        <v>0</v>
      </c>
      <c r="LX325">
        <v>0</v>
      </c>
      <c r="LY325">
        <v>1343</v>
      </c>
      <c r="LZ325">
        <v>1692</v>
      </c>
      <c r="MA325">
        <v>1193</v>
      </c>
      <c r="MB325">
        <v>2638</v>
      </c>
      <c r="MC325">
        <v>638</v>
      </c>
      <c r="MD325">
        <v>0</v>
      </c>
      <c r="ME325">
        <v>0</v>
      </c>
      <c r="MF325">
        <v>7516</v>
      </c>
      <c r="MG325">
        <v>0</v>
      </c>
      <c r="MH325">
        <v>14957</v>
      </c>
      <c r="MI325">
        <v>0</v>
      </c>
      <c r="MJ325">
        <v>0</v>
      </c>
      <c r="MK325">
        <v>0</v>
      </c>
      <c r="ML325">
        <v>0</v>
      </c>
      <c r="MM325">
        <v>0</v>
      </c>
      <c r="MN325">
        <v>0</v>
      </c>
      <c r="MO325">
        <v>0</v>
      </c>
      <c r="MP325">
        <v>0</v>
      </c>
      <c r="MQ325">
        <v>0</v>
      </c>
      <c r="MR325">
        <v>0</v>
      </c>
      <c r="MS325">
        <v>0</v>
      </c>
      <c r="MT325">
        <v>0</v>
      </c>
      <c r="MU325">
        <v>0</v>
      </c>
      <c r="MV325">
        <v>0</v>
      </c>
      <c r="MW325">
        <v>0</v>
      </c>
      <c r="MX325">
        <v>0</v>
      </c>
      <c r="MY325">
        <v>-422</v>
      </c>
      <c r="MZ325">
        <v>0</v>
      </c>
      <c r="NA325">
        <v>-422</v>
      </c>
      <c r="NB325">
        <v>0</v>
      </c>
      <c r="NC325">
        <v>-422</v>
      </c>
      <c r="ND325">
        <v>0</v>
      </c>
      <c r="NE325">
        <v>0</v>
      </c>
      <c r="NF325">
        <v>0</v>
      </c>
      <c r="NG325">
        <v>0</v>
      </c>
      <c r="NH325">
        <v>0</v>
      </c>
      <c r="NI325">
        <v>0</v>
      </c>
      <c r="NJ325">
        <v>0</v>
      </c>
      <c r="NK325">
        <v>0</v>
      </c>
      <c r="NL325">
        <v>0</v>
      </c>
      <c r="NM325">
        <v>0</v>
      </c>
      <c r="NN325">
        <v>0</v>
      </c>
      <c r="NO325">
        <v>0</v>
      </c>
      <c r="NP325">
        <v>0</v>
      </c>
      <c r="NQ325">
        <v>0</v>
      </c>
      <c r="NR325">
        <v>0</v>
      </c>
      <c r="NS325">
        <v>0</v>
      </c>
      <c r="NT325">
        <v>0</v>
      </c>
      <c r="NU325">
        <v>0</v>
      </c>
      <c r="NV325">
        <v>0</v>
      </c>
      <c r="NW325">
        <v>0</v>
      </c>
      <c r="NX325">
        <v>0</v>
      </c>
      <c r="NY325">
        <v>0</v>
      </c>
      <c r="NZ325">
        <v>0</v>
      </c>
      <c r="OA325">
        <v>0</v>
      </c>
      <c r="OB325">
        <v>0</v>
      </c>
      <c r="OC325">
        <v>0</v>
      </c>
      <c r="OD325">
        <v>0</v>
      </c>
      <c r="OE325">
        <v>0</v>
      </c>
      <c r="OF325">
        <v>0</v>
      </c>
      <c r="OG325">
        <v>0</v>
      </c>
      <c r="OH325">
        <v>0</v>
      </c>
      <c r="OI325">
        <v>0</v>
      </c>
      <c r="OJ325">
        <v>0</v>
      </c>
      <c r="OK325">
        <v>0</v>
      </c>
      <c r="OL325">
        <v>0</v>
      </c>
      <c r="OM325">
        <v>0</v>
      </c>
      <c r="ON325">
        <v>0</v>
      </c>
    </row>
    <row r="326" spans="1:404" x14ac:dyDescent="0.25">
      <c r="A326" t="s">
        <v>1046</v>
      </c>
      <c r="B326" t="s">
        <v>1047</v>
      </c>
      <c r="C326" t="s">
        <v>1045</v>
      </c>
      <c r="E326" t="s">
        <v>61</v>
      </c>
      <c r="F326">
        <v>0</v>
      </c>
      <c r="G326">
        <v>0</v>
      </c>
      <c r="H326">
        <v>0</v>
      </c>
      <c r="I326">
        <v>0</v>
      </c>
      <c r="J326">
        <v>0</v>
      </c>
      <c r="K326">
        <v>0</v>
      </c>
      <c r="L326">
        <v>0</v>
      </c>
      <c r="M326">
        <v>0</v>
      </c>
      <c r="N326">
        <v>0</v>
      </c>
      <c r="O326">
        <v>0</v>
      </c>
      <c r="P326">
        <v>0</v>
      </c>
      <c r="Q326">
        <v>0</v>
      </c>
      <c r="R326">
        <v>0</v>
      </c>
      <c r="S326">
        <v>0</v>
      </c>
      <c r="T326">
        <v>0</v>
      </c>
      <c r="U326">
        <v>0</v>
      </c>
      <c r="V326">
        <v>0</v>
      </c>
      <c r="W326">
        <v>0</v>
      </c>
      <c r="X326">
        <v>0</v>
      </c>
      <c r="Y326">
        <v>4</v>
      </c>
      <c r="Z326">
        <v>0</v>
      </c>
      <c r="AA326">
        <v>-358</v>
      </c>
      <c r="AB326">
        <v>0</v>
      </c>
      <c r="AC326">
        <v>0</v>
      </c>
      <c r="AD326">
        <v>0</v>
      </c>
      <c r="AE326">
        <v>0</v>
      </c>
      <c r="AF326">
        <v>0</v>
      </c>
      <c r="AG326">
        <v>0</v>
      </c>
      <c r="AH326">
        <v>0</v>
      </c>
      <c r="AI326">
        <v>-354</v>
      </c>
      <c r="AJ326">
        <v>0</v>
      </c>
      <c r="AK326">
        <v>0</v>
      </c>
      <c r="AL326">
        <v>0</v>
      </c>
      <c r="AM326">
        <v>0</v>
      </c>
      <c r="AN326">
        <v>0</v>
      </c>
      <c r="AO326">
        <v>0</v>
      </c>
      <c r="AP326">
        <v>0</v>
      </c>
      <c r="AQ326">
        <v>0</v>
      </c>
      <c r="AR326">
        <v>0</v>
      </c>
      <c r="AS326">
        <v>0</v>
      </c>
      <c r="AT326">
        <v>0</v>
      </c>
      <c r="AU326">
        <v>0</v>
      </c>
      <c r="AV326">
        <v>0</v>
      </c>
      <c r="AW326">
        <v>0</v>
      </c>
      <c r="AX326">
        <v>0</v>
      </c>
      <c r="AY326">
        <v>0</v>
      </c>
      <c r="AZ326">
        <v>0</v>
      </c>
      <c r="BA326">
        <v>0</v>
      </c>
      <c r="BB326">
        <v>0</v>
      </c>
      <c r="BC326">
        <v>0</v>
      </c>
      <c r="BD326">
        <v>0</v>
      </c>
      <c r="BE326">
        <v>0</v>
      </c>
      <c r="BF326">
        <v>0</v>
      </c>
      <c r="BG326">
        <v>0</v>
      </c>
      <c r="BH326">
        <v>0</v>
      </c>
      <c r="BI326">
        <v>0</v>
      </c>
      <c r="BJ326">
        <v>0</v>
      </c>
      <c r="BK326">
        <v>0</v>
      </c>
      <c r="BL326">
        <v>0</v>
      </c>
      <c r="BM326">
        <v>0</v>
      </c>
      <c r="BN326">
        <v>0</v>
      </c>
      <c r="BO326">
        <v>0</v>
      </c>
      <c r="BP326">
        <v>0</v>
      </c>
      <c r="BQ326">
        <v>0</v>
      </c>
      <c r="BR326">
        <v>0</v>
      </c>
      <c r="BS326">
        <v>0</v>
      </c>
      <c r="BT326">
        <v>0</v>
      </c>
      <c r="BU326">
        <v>0</v>
      </c>
      <c r="BV326">
        <v>0</v>
      </c>
      <c r="BW326">
        <v>0</v>
      </c>
      <c r="BX326">
        <v>0</v>
      </c>
      <c r="BY326">
        <v>0</v>
      </c>
      <c r="BZ326">
        <v>0</v>
      </c>
      <c r="CA326">
        <v>0</v>
      </c>
      <c r="CB326">
        <v>0</v>
      </c>
      <c r="CC326">
        <v>0</v>
      </c>
      <c r="CD326">
        <v>0</v>
      </c>
      <c r="CE326">
        <v>0</v>
      </c>
      <c r="CF326">
        <v>0</v>
      </c>
      <c r="CG326">
        <v>0</v>
      </c>
      <c r="CH326">
        <v>0</v>
      </c>
      <c r="CI326">
        <v>0</v>
      </c>
      <c r="CJ326">
        <v>0</v>
      </c>
      <c r="CK326">
        <v>0</v>
      </c>
      <c r="CL326">
        <v>0</v>
      </c>
      <c r="CM326">
        <v>0</v>
      </c>
      <c r="CN326">
        <v>0</v>
      </c>
      <c r="CO326">
        <v>0</v>
      </c>
      <c r="CP326">
        <v>0</v>
      </c>
      <c r="CQ326">
        <v>0</v>
      </c>
      <c r="CR326">
        <v>0</v>
      </c>
      <c r="CS326">
        <v>0</v>
      </c>
      <c r="CT326">
        <v>0</v>
      </c>
      <c r="CU326">
        <v>0</v>
      </c>
      <c r="CV326">
        <v>0</v>
      </c>
      <c r="CW326">
        <v>0</v>
      </c>
      <c r="CX326">
        <v>0</v>
      </c>
      <c r="CY326">
        <v>0</v>
      </c>
      <c r="CZ326">
        <v>0</v>
      </c>
      <c r="DA326">
        <v>0</v>
      </c>
      <c r="DB326">
        <v>0</v>
      </c>
      <c r="DC326">
        <v>417</v>
      </c>
      <c r="DD326">
        <v>100</v>
      </c>
      <c r="DE326">
        <v>0</v>
      </c>
      <c r="DF326">
        <v>349</v>
      </c>
      <c r="DG326">
        <v>0</v>
      </c>
      <c r="DH326">
        <v>379</v>
      </c>
      <c r="DI326">
        <v>0</v>
      </c>
      <c r="DJ326">
        <v>98</v>
      </c>
      <c r="DK326">
        <v>0</v>
      </c>
      <c r="DL326">
        <v>0</v>
      </c>
      <c r="DM326">
        <v>0</v>
      </c>
      <c r="DN326">
        <v>143</v>
      </c>
      <c r="DO326">
        <v>0</v>
      </c>
      <c r="DP326">
        <v>620</v>
      </c>
      <c r="DQ326">
        <v>0</v>
      </c>
      <c r="DR326">
        <v>0</v>
      </c>
      <c r="DS326">
        <v>0</v>
      </c>
      <c r="DT326">
        <v>1535</v>
      </c>
      <c r="DU326">
        <v>-190</v>
      </c>
      <c r="DV326">
        <v>0</v>
      </c>
      <c r="DW326">
        <v>0</v>
      </c>
      <c r="DX326">
        <v>2831</v>
      </c>
      <c r="DY326">
        <v>0</v>
      </c>
      <c r="DZ326">
        <v>0</v>
      </c>
      <c r="EA326">
        <v>0</v>
      </c>
      <c r="EB326">
        <v>0</v>
      </c>
      <c r="EC326">
        <v>0</v>
      </c>
      <c r="ED326">
        <v>0</v>
      </c>
      <c r="EE326">
        <v>0</v>
      </c>
      <c r="EF326">
        <v>0</v>
      </c>
      <c r="EG326">
        <v>0</v>
      </c>
      <c r="EH326">
        <v>0</v>
      </c>
      <c r="EI326">
        <v>0</v>
      </c>
      <c r="EJ326">
        <v>0</v>
      </c>
      <c r="EK326">
        <v>0</v>
      </c>
      <c r="EL326">
        <v>0</v>
      </c>
      <c r="EM326">
        <v>0</v>
      </c>
      <c r="EN326">
        <v>0</v>
      </c>
      <c r="EO326">
        <v>0</v>
      </c>
      <c r="EP326">
        <v>0</v>
      </c>
      <c r="EQ326">
        <v>0</v>
      </c>
      <c r="ER326">
        <v>0</v>
      </c>
      <c r="ES326">
        <v>0</v>
      </c>
      <c r="ET326">
        <v>0</v>
      </c>
      <c r="EU326">
        <v>0</v>
      </c>
      <c r="EV326">
        <v>32</v>
      </c>
      <c r="EW326">
        <v>0</v>
      </c>
      <c r="EX326">
        <v>0</v>
      </c>
      <c r="EY326">
        <v>659</v>
      </c>
      <c r="EZ326">
        <v>0</v>
      </c>
      <c r="FA326">
        <v>0</v>
      </c>
      <c r="FB326">
        <v>173</v>
      </c>
      <c r="FC326">
        <v>31</v>
      </c>
      <c r="FD326">
        <v>365</v>
      </c>
      <c r="FE326">
        <v>0</v>
      </c>
      <c r="FF326">
        <v>0</v>
      </c>
      <c r="FG326">
        <v>0</v>
      </c>
      <c r="FH326">
        <v>1260</v>
      </c>
      <c r="FI326">
        <v>-14</v>
      </c>
      <c r="FJ326">
        <v>0</v>
      </c>
      <c r="FK326">
        <v>0</v>
      </c>
      <c r="FL326">
        <v>491</v>
      </c>
      <c r="FM326">
        <v>0</v>
      </c>
      <c r="FN326">
        <v>0</v>
      </c>
      <c r="FO326">
        <v>0</v>
      </c>
      <c r="FP326">
        <v>0</v>
      </c>
      <c r="FQ326">
        <v>0</v>
      </c>
      <c r="FR326">
        <v>0</v>
      </c>
      <c r="FS326">
        <v>231</v>
      </c>
      <c r="FT326">
        <v>253</v>
      </c>
      <c r="FU326">
        <v>-97</v>
      </c>
      <c r="FV326">
        <v>285</v>
      </c>
      <c r="FW326">
        <v>0</v>
      </c>
      <c r="FX326">
        <v>93</v>
      </c>
      <c r="FY326">
        <v>0</v>
      </c>
      <c r="FZ326">
        <v>71</v>
      </c>
      <c r="GA326">
        <v>0</v>
      </c>
      <c r="GB326">
        <v>0</v>
      </c>
      <c r="GC326">
        <v>0</v>
      </c>
      <c r="GD326">
        <v>1071</v>
      </c>
      <c r="GE326">
        <v>2033</v>
      </c>
      <c r="GF326">
        <v>0</v>
      </c>
      <c r="GG326">
        <v>0</v>
      </c>
      <c r="GH326">
        <v>1388</v>
      </c>
      <c r="GI326">
        <v>0</v>
      </c>
      <c r="GJ326">
        <v>0</v>
      </c>
      <c r="GK326">
        <v>5805</v>
      </c>
      <c r="GL326">
        <v>-182</v>
      </c>
      <c r="GM326">
        <v>996</v>
      </c>
      <c r="GN326">
        <v>105</v>
      </c>
      <c r="GO326">
        <v>661</v>
      </c>
      <c r="GP326">
        <v>0</v>
      </c>
      <c r="GQ326">
        <v>547</v>
      </c>
      <c r="GR326">
        <v>0</v>
      </c>
      <c r="GS326">
        <v>0</v>
      </c>
      <c r="GT326">
        <v>0</v>
      </c>
      <c r="GU326">
        <v>2127</v>
      </c>
      <c r="GV326">
        <v>9192</v>
      </c>
      <c r="GW326">
        <v>0</v>
      </c>
      <c r="GX326">
        <v>0</v>
      </c>
      <c r="GY326">
        <v>0</v>
      </c>
      <c r="GZ326">
        <v>0</v>
      </c>
      <c r="HA326">
        <v>0</v>
      </c>
      <c r="HB326">
        <v>913</v>
      </c>
      <c r="HC326">
        <v>530</v>
      </c>
      <c r="HD326">
        <v>0</v>
      </c>
      <c r="HE326">
        <v>0</v>
      </c>
      <c r="HF326">
        <v>-184</v>
      </c>
      <c r="HG326">
        <v>132</v>
      </c>
      <c r="HH326">
        <v>0</v>
      </c>
      <c r="HI326">
        <v>0</v>
      </c>
      <c r="HJ326">
        <v>158</v>
      </c>
      <c r="HK326">
        <v>76</v>
      </c>
      <c r="HL326">
        <v>21</v>
      </c>
      <c r="HM326">
        <v>-307</v>
      </c>
      <c r="HN326">
        <v>0</v>
      </c>
      <c r="HO326">
        <v>697</v>
      </c>
      <c r="HP326">
        <v>0</v>
      </c>
      <c r="HQ326">
        <v>0</v>
      </c>
      <c r="HR326">
        <v>714</v>
      </c>
      <c r="HS326">
        <v>0</v>
      </c>
      <c r="HT326">
        <v>0</v>
      </c>
      <c r="HU326">
        <v>7269</v>
      </c>
      <c r="HV326">
        <v>10019</v>
      </c>
      <c r="HW326">
        <v>4737</v>
      </c>
      <c r="HX326">
        <v>0</v>
      </c>
      <c r="HY326">
        <v>0</v>
      </c>
      <c r="HZ326">
        <v>0</v>
      </c>
      <c r="IA326">
        <v>0</v>
      </c>
      <c r="IB326">
        <v>0</v>
      </c>
      <c r="IC326">
        <v>0</v>
      </c>
      <c r="ID326">
        <v>-354</v>
      </c>
      <c r="IE326">
        <v>0</v>
      </c>
      <c r="IF326">
        <v>0</v>
      </c>
      <c r="IG326">
        <v>0</v>
      </c>
      <c r="IH326">
        <v>2831</v>
      </c>
      <c r="II326">
        <v>1260</v>
      </c>
      <c r="IJ326">
        <v>5805</v>
      </c>
      <c r="IK326">
        <v>2127</v>
      </c>
      <c r="IL326">
        <v>0</v>
      </c>
      <c r="IM326">
        <v>0</v>
      </c>
      <c r="IN326">
        <v>10019</v>
      </c>
      <c r="IO326">
        <v>0</v>
      </c>
      <c r="IP326">
        <v>21688</v>
      </c>
      <c r="IQ326">
        <v>18414</v>
      </c>
      <c r="IR326">
        <v>212</v>
      </c>
      <c r="IS326">
        <v>0</v>
      </c>
      <c r="IT326">
        <v>0</v>
      </c>
      <c r="IU326">
        <v>0</v>
      </c>
      <c r="IV326">
        <v>5879</v>
      </c>
      <c r="IW326">
        <v>0</v>
      </c>
      <c r="IX326">
        <v>0</v>
      </c>
      <c r="IY326">
        <v>0</v>
      </c>
      <c r="IZ326">
        <v>0</v>
      </c>
      <c r="JA326">
        <v>-975</v>
      </c>
      <c r="JB326">
        <v>1418</v>
      </c>
      <c r="JC326">
        <v>0</v>
      </c>
      <c r="JD326">
        <v>-1418</v>
      </c>
      <c r="JE326">
        <v>0</v>
      </c>
      <c r="JF326">
        <v>0</v>
      </c>
      <c r="JG326">
        <v>45218</v>
      </c>
      <c r="JH326">
        <v>0</v>
      </c>
      <c r="JI326">
        <v>0</v>
      </c>
      <c r="JJ326">
        <v>0</v>
      </c>
      <c r="JK326">
        <v>0</v>
      </c>
      <c r="JL326">
        <v>0</v>
      </c>
      <c r="JM326">
        <v>517</v>
      </c>
      <c r="JN326">
        <v>0</v>
      </c>
      <c r="JO326">
        <v>0</v>
      </c>
      <c r="JP326">
        <v>0</v>
      </c>
      <c r="JQ326">
        <v>0</v>
      </c>
      <c r="JR326">
        <v>45735</v>
      </c>
      <c r="JS326">
        <v>-1999</v>
      </c>
      <c r="JT326">
        <v>0</v>
      </c>
      <c r="JU326">
        <v>0</v>
      </c>
      <c r="JV326">
        <v>0</v>
      </c>
      <c r="JW326">
        <v>-18832</v>
      </c>
      <c r="JX326">
        <v>0</v>
      </c>
      <c r="JY326">
        <v>-228</v>
      </c>
      <c r="JZ326">
        <v>0</v>
      </c>
      <c r="KA326">
        <v>0</v>
      </c>
      <c r="KB326">
        <v>0</v>
      </c>
      <c r="KC326">
        <v>24676</v>
      </c>
      <c r="KD326">
        <v>0</v>
      </c>
      <c r="KE326">
        <v>-3915</v>
      </c>
      <c r="KF326">
        <v>20761</v>
      </c>
      <c r="KG326">
        <v>0</v>
      </c>
      <c r="KH326">
        <v>0</v>
      </c>
      <c r="KI326">
        <v>0</v>
      </c>
      <c r="KJ326">
        <v>0</v>
      </c>
      <c r="KK326">
        <v>3497</v>
      </c>
      <c r="KL326">
        <v>0</v>
      </c>
      <c r="KM326">
        <v>0</v>
      </c>
      <c r="KN326">
        <v>0</v>
      </c>
      <c r="KO326">
        <v>-3295</v>
      </c>
      <c r="KP326">
        <v>0</v>
      </c>
      <c r="KQ326">
        <v>0</v>
      </c>
      <c r="KR326">
        <v>13645</v>
      </c>
      <c r="KS326">
        <v>0</v>
      </c>
      <c r="KT326">
        <v>0</v>
      </c>
      <c r="KU326">
        <v>0</v>
      </c>
      <c r="KV326">
        <v>69162</v>
      </c>
      <c r="KW326">
        <v>59546</v>
      </c>
      <c r="KX326">
        <v>0</v>
      </c>
      <c r="KY326">
        <v>0</v>
      </c>
      <c r="KZ326">
        <v>0</v>
      </c>
      <c r="LA326">
        <v>72659</v>
      </c>
      <c r="LB326">
        <v>59546</v>
      </c>
      <c r="LC326">
        <v>0</v>
      </c>
      <c r="LD326">
        <v>844</v>
      </c>
      <c r="LE326">
        <v>0</v>
      </c>
      <c r="LF326">
        <v>111</v>
      </c>
      <c r="LG326">
        <v>-1518</v>
      </c>
      <c r="LH326">
        <v>1981</v>
      </c>
      <c r="LI326">
        <v>1418</v>
      </c>
      <c r="LJ326">
        <v>2700</v>
      </c>
      <c r="LK326">
        <v>3796</v>
      </c>
      <c r="LL326">
        <v>6496</v>
      </c>
      <c r="LM326">
        <v>0</v>
      </c>
      <c r="LN326">
        <v>0</v>
      </c>
      <c r="LO326">
        <v>0</v>
      </c>
      <c r="LP326">
        <v>0</v>
      </c>
      <c r="LQ326">
        <v>0</v>
      </c>
      <c r="LR326">
        <v>0</v>
      </c>
      <c r="LS326">
        <v>0</v>
      </c>
      <c r="LT326">
        <v>0</v>
      </c>
      <c r="LU326">
        <v>0</v>
      </c>
      <c r="LV326">
        <v>-354</v>
      </c>
      <c r="LW326">
        <v>0</v>
      </c>
      <c r="LX326">
        <v>0</v>
      </c>
      <c r="LY326">
        <v>0</v>
      </c>
      <c r="LZ326">
        <v>2831</v>
      </c>
      <c r="MA326">
        <v>1260</v>
      </c>
      <c r="MB326">
        <v>5805</v>
      </c>
      <c r="MC326">
        <v>2127</v>
      </c>
      <c r="MD326">
        <v>0</v>
      </c>
      <c r="ME326">
        <v>0</v>
      </c>
      <c r="MF326">
        <v>10019</v>
      </c>
      <c r="MG326">
        <v>0</v>
      </c>
      <c r="MH326">
        <v>21688</v>
      </c>
      <c r="MI326">
        <v>0</v>
      </c>
      <c r="MJ326">
        <v>0</v>
      </c>
      <c r="MK326">
        <v>0</v>
      </c>
      <c r="ML326">
        <v>0</v>
      </c>
      <c r="MM326">
        <v>0</v>
      </c>
      <c r="MN326">
        <v>0</v>
      </c>
      <c r="MO326">
        <v>0</v>
      </c>
      <c r="MP326">
        <v>0</v>
      </c>
      <c r="MQ326">
        <v>0</v>
      </c>
      <c r="MR326">
        <v>0</v>
      </c>
      <c r="MS326">
        <v>0</v>
      </c>
      <c r="MT326">
        <v>0</v>
      </c>
      <c r="MU326">
        <v>0</v>
      </c>
      <c r="MV326">
        <v>0</v>
      </c>
      <c r="MW326">
        <v>0</v>
      </c>
      <c r="MX326">
        <v>-975</v>
      </c>
      <c r="MY326">
        <v>0</v>
      </c>
      <c r="MZ326">
        <v>0</v>
      </c>
      <c r="NA326">
        <v>-975</v>
      </c>
      <c r="NB326">
        <v>0</v>
      </c>
      <c r="NC326">
        <v>-975</v>
      </c>
      <c r="ND326">
        <v>0</v>
      </c>
      <c r="NE326">
        <v>0</v>
      </c>
      <c r="NF326">
        <v>0</v>
      </c>
      <c r="NG326">
        <v>0</v>
      </c>
      <c r="NH326">
        <v>0</v>
      </c>
      <c r="NI326">
        <v>0</v>
      </c>
      <c r="NJ326">
        <v>0</v>
      </c>
      <c r="NK326">
        <v>0</v>
      </c>
      <c r="NL326">
        <v>0</v>
      </c>
      <c r="NM326">
        <v>0</v>
      </c>
      <c r="NN326">
        <v>0</v>
      </c>
      <c r="NO326">
        <v>0</v>
      </c>
      <c r="NP326">
        <v>0</v>
      </c>
      <c r="NQ326">
        <v>0</v>
      </c>
      <c r="NR326">
        <v>0</v>
      </c>
      <c r="NS326">
        <v>0</v>
      </c>
      <c r="NT326">
        <v>0</v>
      </c>
      <c r="NU326">
        <v>0</v>
      </c>
      <c r="NV326">
        <v>0</v>
      </c>
      <c r="NW326">
        <v>0</v>
      </c>
      <c r="NX326">
        <v>0</v>
      </c>
      <c r="NY326">
        <v>0</v>
      </c>
      <c r="NZ326">
        <v>0</v>
      </c>
      <c r="OA326">
        <v>1418</v>
      </c>
      <c r="OB326">
        <v>1418</v>
      </c>
      <c r="OC326">
        <v>0</v>
      </c>
      <c r="OD326">
        <v>0</v>
      </c>
      <c r="OE326">
        <v>0</v>
      </c>
      <c r="OF326">
        <v>0</v>
      </c>
      <c r="OG326">
        <v>0</v>
      </c>
      <c r="OH326">
        <v>0</v>
      </c>
      <c r="OI326">
        <v>844</v>
      </c>
      <c r="OJ326">
        <v>0</v>
      </c>
      <c r="OK326">
        <v>111</v>
      </c>
      <c r="OL326">
        <v>-1518</v>
      </c>
      <c r="OM326">
        <v>1981</v>
      </c>
      <c r="ON326">
        <v>1418</v>
      </c>
    </row>
    <row r="327" spans="1:404" x14ac:dyDescent="0.25">
      <c r="A327" t="s">
        <v>1049</v>
      </c>
      <c r="B327" t="s">
        <v>1050</v>
      </c>
      <c r="C327" t="s">
        <v>1048</v>
      </c>
      <c r="E327" t="s">
        <v>61</v>
      </c>
      <c r="F327">
        <v>0</v>
      </c>
      <c r="G327">
        <v>0</v>
      </c>
      <c r="H327">
        <v>0</v>
      </c>
      <c r="I327">
        <v>0</v>
      </c>
      <c r="J327">
        <v>0</v>
      </c>
      <c r="K327">
        <v>0</v>
      </c>
      <c r="L327">
        <v>0</v>
      </c>
      <c r="M327">
        <v>0</v>
      </c>
      <c r="N327">
        <v>0</v>
      </c>
      <c r="O327">
        <v>0</v>
      </c>
      <c r="P327">
        <v>0</v>
      </c>
      <c r="Q327">
        <v>0</v>
      </c>
      <c r="R327">
        <v>0</v>
      </c>
      <c r="S327">
        <v>0</v>
      </c>
      <c r="T327">
        <v>0</v>
      </c>
      <c r="U327">
        <v>0</v>
      </c>
      <c r="V327">
        <v>0</v>
      </c>
      <c r="W327">
        <v>0</v>
      </c>
      <c r="X327">
        <v>0</v>
      </c>
      <c r="Y327">
        <v>0</v>
      </c>
      <c r="Z327">
        <v>0</v>
      </c>
      <c r="AA327">
        <v>44</v>
      </c>
      <c r="AB327">
        <v>0</v>
      </c>
      <c r="AC327">
        <v>0</v>
      </c>
      <c r="AD327">
        <v>20</v>
      </c>
      <c r="AE327">
        <v>0</v>
      </c>
      <c r="AF327">
        <v>0</v>
      </c>
      <c r="AG327">
        <v>0</v>
      </c>
      <c r="AH327">
        <v>0</v>
      </c>
      <c r="AI327">
        <v>64</v>
      </c>
      <c r="AJ327">
        <v>0</v>
      </c>
      <c r="AK327">
        <v>0</v>
      </c>
      <c r="AL327">
        <v>0</v>
      </c>
      <c r="AM327">
        <v>0</v>
      </c>
      <c r="AN327">
        <v>0</v>
      </c>
      <c r="AO327">
        <v>0</v>
      </c>
      <c r="AP327">
        <v>0</v>
      </c>
      <c r="AQ327">
        <v>0</v>
      </c>
      <c r="AR327">
        <v>0</v>
      </c>
      <c r="AS327">
        <v>0</v>
      </c>
      <c r="AT327">
        <v>0</v>
      </c>
      <c r="AU327">
        <v>0</v>
      </c>
      <c r="AV327">
        <v>0</v>
      </c>
      <c r="AW327">
        <v>0</v>
      </c>
      <c r="AX327">
        <v>0</v>
      </c>
      <c r="AY327">
        <v>0</v>
      </c>
      <c r="AZ327">
        <v>0</v>
      </c>
      <c r="BA327">
        <v>0</v>
      </c>
      <c r="BB327">
        <v>0</v>
      </c>
      <c r="BC327">
        <v>0</v>
      </c>
      <c r="BD327">
        <v>0</v>
      </c>
      <c r="BE327">
        <v>0</v>
      </c>
      <c r="BF327">
        <v>0</v>
      </c>
      <c r="BG327">
        <v>0</v>
      </c>
      <c r="BH327">
        <v>0</v>
      </c>
      <c r="BI327">
        <v>0</v>
      </c>
      <c r="BJ327">
        <v>0</v>
      </c>
      <c r="BK327">
        <v>0</v>
      </c>
      <c r="BL327">
        <v>0</v>
      </c>
      <c r="BM327">
        <v>0</v>
      </c>
      <c r="BN327">
        <v>0</v>
      </c>
      <c r="BO327">
        <v>0</v>
      </c>
      <c r="BP327">
        <v>0</v>
      </c>
      <c r="BQ327">
        <v>0</v>
      </c>
      <c r="BR327">
        <v>0</v>
      </c>
      <c r="BS327">
        <v>0</v>
      </c>
      <c r="BT327">
        <v>0</v>
      </c>
      <c r="BU327">
        <v>0</v>
      </c>
      <c r="BV327">
        <v>0</v>
      </c>
      <c r="BW327">
        <v>0</v>
      </c>
      <c r="BX327">
        <v>0</v>
      </c>
      <c r="BY327">
        <v>0</v>
      </c>
      <c r="BZ327">
        <v>0</v>
      </c>
      <c r="CA327">
        <v>0</v>
      </c>
      <c r="CB327">
        <v>0</v>
      </c>
      <c r="CC327">
        <v>0</v>
      </c>
      <c r="CD327">
        <v>0</v>
      </c>
      <c r="CE327">
        <v>0</v>
      </c>
      <c r="CF327">
        <v>0</v>
      </c>
      <c r="CG327">
        <v>0</v>
      </c>
      <c r="CH327">
        <v>0</v>
      </c>
      <c r="CI327">
        <v>0</v>
      </c>
      <c r="CJ327">
        <v>0</v>
      </c>
      <c r="CK327">
        <v>0</v>
      </c>
      <c r="CL327">
        <v>0</v>
      </c>
      <c r="CM327">
        <v>0</v>
      </c>
      <c r="CN327">
        <v>0</v>
      </c>
      <c r="CO327">
        <v>0</v>
      </c>
      <c r="CP327">
        <v>0</v>
      </c>
      <c r="CQ327">
        <v>0</v>
      </c>
      <c r="CR327">
        <v>0</v>
      </c>
      <c r="CS327">
        <v>0</v>
      </c>
      <c r="CT327">
        <v>0</v>
      </c>
      <c r="CU327">
        <v>0</v>
      </c>
      <c r="CV327">
        <v>0</v>
      </c>
      <c r="CW327">
        <v>0</v>
      </c>
      <c r="CX327">
        <v>0</v>
      </c>
      <c r="CY327">
        <v>0</v>
      </c>
      <c r="CZ327">
        <v>0</v>
      </c>
      <c r="DA327">
        <v>0</v>
      </c>
      <c r="DB327">
        <v>0</v>
      </c>
      <c r="DC327">
        <v>188</v>
      </c>
      <c r="DD327">
        <v>0</v>
      </c>
      <c r="DE327">
        <v>101</v>
      </c>
      <c r="DF327">
        <v>0</v>
      </c>
      <c r="DG327">
        <v>0</v>
      </c>
      <c r="DH327">
        <v>25</v>
      </c>
      <c r="DI327">
        <v>0</v>
      </c>
      <c r="DJ327">
        <v>373</v>
      </c>
      <c r="DK327">
        <v>22</v>
      </c>
      <c r="DL327">
        <v>0</v>
      </c>
      <c r="DM327">
        <v>115</v>
      </c>
      <c r="DN327">
        <v>174</v>
      </c>
      <c r="DO327">
        <v>61</v>
      </c>
      <c r="DP327">
        <v>770</v>
      </c>
      <c r="DQ327">
        <v>0</v>
      </c>
      <c r="DR327">
        <v>0</v>
      </c>
      <c r="DS327">
        <v>0</v>
      </c>
      <c r="DT327">
        <v>128</v>
      </c>
      <c r="DU327">
        <v>0</v>
      </c>
      <c r="DV327">
        <v>0</v>
      </c>
      <c r="DW327">
        <v>0</v>
      </c>
      <c r="DX327">
        <v>1187</v>
      </c>
      <c r="DY327">
        <v>0</v>
      </c>
      <c r="DZ327">
        <v>0</v>
      </c>
      <c r="EA327">
        <v>0</v>
      </c>
      <c r="EB327">
        <v>0</v>
      </c>
      <c r="EC327">
        <v>0</v>
      </c>
      <c r="ED327">
        <v>0</v>
      </c>
      <c r="EE327">
        <v>0</v>
      </c>
      <c r="EF327">
        <v>0</v>
      </c>
      <c r="EG327">
        <v>0</v>
      </c>
      <c r="EH327">
        <v>0</v>
      </c>
      <c r="EI327">
        <v>0</v>
      </c>
      <c r="EJ327">
        <v>0</v>
      </c>
      <c r="EK327">
        <v>0</v>
      </c>
      <c r="EL327">
        <v>0</v>
      </c>
      <c r="EM327">
        <v>0</v>
      </c>
      <c r="EN327">
        <v>0</v>
      </c>
      <c r="EO327">
        <v>0</v>
      </c>
      <c r="EP327">
        <v>0</v>
      </c>
      <c r="EQ327">
        <v>0</v>
      </c>
      <c r="ER327">
        <v>0</v>
      </c>
      <c r="ES327">
        <v>0</v>
      </c>
      <c r="ET327">
        <v>0</v>
      </c>
      <c r="EU327">
        <v>0</v>
      </c>
      <c r="EV327">
        <v>36</v>
      </c>
      <c r="EW327">
        <v>0</v>
      </c>
      <c r="EX327">
        <v>86</v>
      </c>
      <c r="EY327">
        <v>127</v>
      </c>
      <c r="EZ327">
        <v>28</v>
      </c>
      <c r="FA327">
        <v>0</v>
      </c>
      <c r="FB327">
        <v>124</v>
      </c>
      <c r="FC327">
        <v>1245</v>
      </c>
      <c r="FD327">
        <v>1686</v>
      </c>
      <c r="FE327">
        <v>0</v>
      </c>
      <c r="FF327">
        <v>0</v>
      </c>
      <c r="FG327">
        <v>0</v>
      </c>
      <c r="FH327">
        <v>3332</v>
      </c>
      <c r="FI327">
        <v>0</v>
      </c>
      <c r="FJ327">
        <v>0</v>
      </c>
      <c r="FK327">
        <v>0</v>
      </c>
      <c r="FL327">
        <v>171</v>
      </c>
      <c r="FM327">
        <v>83</v>
      </c>
      <c r="FN327">
        <v>155</v>
      </c>
      <c r="FO327">
        <v>0</v>
      </c>
      <c r="FP327">
        <v>0</v>
      </c>
      <c r="FQ327">
        <v>0</v>
      </c>
      <c r="FR327">
        <v>145</v>
      </c>
      <c r="FS327">
        <v>13</v>
      </c>
      <c r="FT327">
        <v>632</v>
      </c>
      <c r="FU327">
        <v>380</v>
      </c>
      <c r="FV327">
        <v>179</v>
      </c>
      <c r="FW327">
        <v>0</v>
      </c>
      <c r="FX327">
        <v>37</v>
      </c>
      <c r="FY327">
        <v>0</v>
      </c>
      <c r="FZ327">
        <v>0</v>
      </c>
      <c r="GA327">
        <v>0</v>
      </c>
      <c r="GB327">
        <v>0</v>
      </c>
      <c r="GC327">
        <v>0</v>
      </c>
      <c r="GD327">
        <v>1336</v>
      </c>
      <c r="GE327">
        <v>1004</v>
      </c>
      <c r="GF327">
        <v>0</v>
      </c>
      <c r="GG327">
        <v>-58</v>
      </c>
      <c r="GH327">
        <v>483</v>
      </c>
      <c r="GI327">
        <v>0</v>
      </c>
      <c r="GJ327">
        <v>0</v>
      </c>
      <c r="GK327">
        <v>4560</v>
      </c>
      <c r="GL327">
        <v>103</v>
      </c>
      <c r="GM327">
        <v>-36</v>
      </c>
      <c r="GN327">
        <v>36</v>
      </c>
      <c r="GO327">
        <v>411</v>
      </c>
      <c r="GP327">
        <v>0</v>
      </c>
      <c r="GQ327">
        <v>68</v>
      </c>
      <c r="GR327">
        <v>0</v>
      </c>
      <c r="GS327">
        <v>264</v>
      </c>
      <c r="GT327">
        <v>652</v>
      </c>
      <c r="GU327">
        <v>1498</v>
      </c>
      <c r="GV327">
        <v>9390</v>
      </c>
      <c r="GW327">
        <v>0</v>
      </c>
      <c r="GX327">
        <v>0</v>
      </c>
      <c r="GY327">
        <v>0</v>
      </c>
      <c r="GZ327">
        <v>0</v>
      </c>
      <c r="HA327">
        <v>0</v>
      </c>
      <c r="HB327">
        <v>2849</v>
      </c>
      <c r="HC327">
        <v>761</v>
      </c>
      <c r="HD327">
        <v>0</v>
      </c>
      <c r="HE327">
        <v>0</v>
      </c>
      <c r="HF327">
        <v>217</v>
      </c>
      <c r="HG327">
        <v>128</v>
      </c>
      <c r="HH327">
        <v>0</v>
      </c>
      <c r="HI327">
        <v>0</v>
      </c>
      <c r="HJ327">
        <v>227</v>
      </c>
      <c r="HK327">
        <v>139</v>
      </c>
      <c r="HL327">
        <v>2</v>
      </c>
      <c r="HM327">
        <v>72</v>
      </c>
      <c r="HN327">
        <v>0</v>
      </c>
      <c r="HO327">
        <v>54</v>
      </c>
      <c r="HP327">
        <v>0</v>
      </c>
      <c r="HQ327">
        <v>0</v>
      </c>
      <c r="HR327">
        <v>238</v>
      </c>
      <c r="HS327">
        <v>0</v>
      </c>
      <c r="HT327">
        <v>0</v>
      </c>
      <c r="HU327">
        <v>-791</v>
      </c>
      <c r="HV327">
        <v>3896</v>
      </c>
      <c r="HW327">
        <v>2054</v>
      </c>
      <c r="HX327">
        <v>6453</v>
      </c>
      <c r="HY327">
        <v>0</v>
      </c>
      <c r="HZ327">
        <v>1593</v>
      </c>
      <c r="IA327">
        <v>43</v>
      </c>
      <c r="IB327">
        <v>162</v>
      </c>
      <c r="IC327">
        <v>0</v>
      </c>
      <c r="ID327">
        <v>64</v>
      </c>
      <c r="IE327">
        <v>0</v>
      </c>
      <c r="IF327">
        <v>0</v>
      </c>
      <c r="IG327">
        <v>0</v>
      </c>
      <c r="IH327">
        <v>1187</v>
      </c>
      <c r="II327">
        <v>3332</v>
      </c>
      <c r="IJ327">
        <v>4560</v>
      </c>
      <c r="IK327">
        <v>1498</v>
      </c>
      <c r="IL327">
        <v>0</v>
      </c>
      <c r="IM327">
        <v>0</v>
      </c>
      <c r="IN327">
        <v>3896</v>
      </c>
      <c r="IO327">
        <v>162</v>
      </c>
      <c r="IP327">
        <v>14699</v>
      </c>
      <c r="IQ327">
        <v>14345</v>
      </c>
      <c r="IR327">
        <v>47</v>
      </c>
      <c r="IS327">
        <v>0</v>
      </c>
      <c r="IT327">
        <v>0</v>
      </c>
      <c r="IU327">
        <v>0</v>
      </c>
      <c r="IV327">
        <v>478</v>
      </c>
      <c r="IW327">
        <v>0</v>
      </c>
      <c r="IX327">
        <v>0</v>
      </c>
      <c r="IY327">
        <v>0</v>
      </c>
      <c r="IZ327">
        <v>0</v>
      </c>
      <c r="JA327">
        <v>-152</v>
      </c>
      <c r="JB327">
        <v>0</v>
      </c>
      <c r="JC327">
        <v>0</v>
      </c>
      <c r="JD327">
        <v>0</v>
      </c>
      <c r="JE327">
        <v>12</v>
      </c>
      <c r="JF327">
        <v>0</v>
      </c>
      <c r="JG327">
        <v>29429</v>
      </c>
      <c r="JH327">
        <v>0</v>
      </c>
      <c r="JI327">
        <v>2541</v>
      </c>
      <c r="JJ327">
        <v>0</v>
      </c>
      <c r="JK327">
        <v>0</v>
      </c>
      <c r="JL327">
        <v>0</v>
      </c>
      <c r="JM327">
        <v>0</v>
      </c>
      <c r="JN327">
        <v>298</v>
      </c>
      <c r="JO327">
        <v>0</v>
      </c>
      <c r="JP327">
        <v>0</v>
      </c>
      <c r="JQ327">
        <v>0</v>
      </c>
      <c r="JR327">
        <v>32268</v>
      </c>
      <c r="JS327">
        <v>-91</v>
      </c>
      <c r="JT327">
        <v>0</v>
      </c>
      <c r="JU327">
        <v>0</v>
      </c>
      <c r="JV327">
        <v>0</v>
      </c>
      <c r="JW327">
        <v>-14304</v>
      </c>
      <c r="JX327">
        <v>0</v>
      </c>
      <c r="JY327">
        <v>0</v>
      </c>
      <c r="JZ327">
        <v>0</v>
      </c>
      <c r="KA327">
        <v>0</v>
      </c>
      <c r="KB327">
        <v>0</v>
      </c>
      <c r="KC327">
        <v>17873</v>
      </c>
      <c r="KD327">
        <v>0</v>
      </c>
      <c r="KE327">
        <v>-1543</v>
      </c>
      <c r="KF327">
        <v>16330</v>
      </c>
      <c r="KG327">
        <v>0</v>
      </c>
      <c r="KH327">
        <v>0</v>
      </c>
      <c r="KI327">
        <v>0</v>
      </c>
      <c r="KJ327">
        <v>0</v>
      </c>
      <c r="KK327">
        <v>-2728</v>
      </c>
      <c r="KL327">
        <v>0</v>
      </c>
      <c r="KM327">
        <v>0</v>
      </c>
      <c r="KN327">
        <v>0</v>
      </c>
      <c r="KO327">
        <v>0</v>
      </c>
      <c r="KP327">
        <v>-66</v>
      </c>
      <c r="KQ327">
        <v>0</v>
      </c>
      <c r="KR327">
        <v>8563</v>
      </c>
      <c r="KS327">
        <v>0</v>
      </c>
      <c r="KT327">
        <v>0</v>
      </c>
      <c r="KU327">
        <v>0</v>
      </c>
      <c r="KV327">
        <v>23008</v>
      </c>
      <c r="KW327">
        <v>4141</v>
      </c>
      <c r="KX327">
        <v>0</v>
      </c>
      <c r="KY327">
        <v>0</v>
      </c>
      <c r="KZ327">
        <v>0</v>
      </c>
      <c r="LA327">
        <v>20280</v>
      </c>
      <c r="LB327">
        <v>4141</v>
      </c>
      <c r="LC327">
        <v>0</v>
      </c>
      <c r="LD327">
        <v>0</v>
      </c>
      <c r="LE327">
        <v>0</v>
      </c>
      <c r="LF327">
        <v>0</v>
      </c>
      <c r="LG327">
        <v>0</v>
      </c>
      <c r="LH327">
        <v>0</v>
      </c>
      <c r="LI327">
        <v>0</v>
      </c>
      <c r="LJ327">
        <v>2407</v>
      </c>
      <c r="LK327">
        <v>3247</v>
      </c>
      <c r="LL327">
        <v>5654</v>
      </c>
      <c r="LM327">
        <v>0</v>
      </c>
      <c r="LN327">
        <v>0</v>
      </c>
      <c r="LO327">
        <v>0</v>
      </c>
      <c r="LP327">
        <v>0</v>
      </c>
      <c r="LQ327">
        <v>0</v>
      </c>
      <c r="LR327">
        <v>0</v>
      </c>
      <c r="LS327">
        <v>0</v>
      </c>
      <c r="LT327">
        <v>0</v>
      </c>
      <c r="LU327">
        <v>0</v>
      </c>
      <c r="LV327">
        <v>64</v>
      </c>
      <c r="LW327">
        <v>0</v>
      </c>
      <c r="LX327">
        <v>0</v>
      </c>
      <c r="LY327">
        <v>0</v>
      </c>
      <c r="LZ327">
        <v>1187</v>
      </c>
      <c r="MA327">
        <v>3332</v>
      </c>
      <c r="MB327">
        <v>4560</v>
      </c>
      <c r="MC327">
        <v>1498</v>
      </c>
      <c r="MD327">
        <v>0</v>
      </c>
      <c r="ME327">
        <v>0</v>
      </c>
      <c r="MF327">
        <v>3896</v>
      </c>
      <c r="MG327">
        <v>162</v>
      </c>
      <c r="MH327">
        <v>14699</v>
      </c>
      <c r="MI327">
        <v>0</v>
      </c>
      <c r="MJ327">
        <v>0</v>
      </c>
      <c r="MK327">
        <v>0</v>
      </c>
      <c r="ML327">
        <v>0</v>
      </c>
      <c r="MM327">
        <v>0</v>
      </c>
      <c r="MN327">
        <v>0</v>
      </c>
      <c r="MO327">
        <v>0</v>
      </c>
      <c r="MP327">
        <v>0</v>
      </c>
      <c r="MQ327">
        <v>0</v>
      </c>
      <c r="MR327">
        <v>0</v>
      </c>
      <c r="MS327">
        <v>0</v>
      </c>
      <c r="MT327">
        <v>0</v>
      </c>
      <c r="MU327">
        <v>0</v>
      </c>
      <c r="MV327">
        <v>0</v>
      </c>
      <c r="MW327">
        <v>0</v>
      </c>
      <c r="MX327">
        <v>0</v>
      </c>
      <c r="MY327">
        <v>-152</v>
      </c>
      <c r="MZ327">
        <v>0</v>
      </c>
      <c r="NA327">
        <v>-152</v>
      </c>
      <c r="NB327">
        <v>0</v>
      </c>
      <c r="NC327">
        <v>-152</v>
      </c>
      <c r="ND327">
        <v>0</v>
      </c>
      <c r="NE327">
        <v>0</v>
      </c>
      <c r="NF327">
        <v>0</v>
      </c>
      <c r="NG327">
        <v>0</v>
      </c>
      <c r="NH327">
        <v>0</v>
      </c>
      <c r="NI327">
        <v>0</v>
      </c>
      <c r="NJ327">
        <v>0</v>
      </c>
      <c r="NK327">
        <v>0</v>
      </c>
      <c r="NL327">
        <v>0</v>
      </c>
      <c r="NM327">
        <v>0</v>
      </c>
      <c r="NN327">
        <v>0</v>
      </c>
      <c r="NO327">
        <v>0</v>
      </c>
      <c r="NP327">
        <v>0</v>
      </c>
      <c r="NQ327">
        <v>0</v>
      </c>
      <c r="NR327">
        <v>0</v>
      </c>
      <c r="NS327">
        <v>0</v>
      </c>
      <c r="NT327">
        <v>0</v>
      </c>
      <c r="NU327">
        <v>0</v>
      </c>
      <c r="NV327">
        <v>0</v>
      </c>
      <c r="NW327">
        <v>0</v>
      </c>
      <c r="NX327">
        <v>0</v>
      </c>
      <c r="NY327">
        <v>0</v>
      </c>
      <c r="NZ327">
        <v>0</v>
      </c>
      <c r="OA327">
        <v>0</v>
      </c>
      <c r="OB327">
        <v>0</v>
      </c>
      <c r="OC327">
        <v>0</v>
      </c>
      <c r="OD327">
        <v>0</v>
      </c>
      <c r="OE327">
        <v>0</v>
      </c>
      <c r="OF327">
        <v>0</v>
      </c>
      <c r="OG327">
        <v>0</v>
      </c>
      <c r="OH327">
        <v>0</v>
      </c>
      <c r="OI327">
        <v>0</v>
      </c>
      <c r="OJ327">
        <v>0</v>
      </c>
      <c r="OK327">
        <v>0</v>
      </c>
      <c r="OL327">
        <v>0</v>
      </c>
      <c r="OM327">
        <v>0</v>
      </c>
      <c r="ON327">
        <v>0</v>
      </c>
    </row>
    <row r="328" spans="1:404" x14ac:dyDescent="0.25">
      <c r="A328" t="s">
        <v>1052</v>
      </c>
      <c r="B328" t="s">
        <v>1053</v>
      </c>
      <c r="C328" t="s">
        <v>1051</v>
      </c>
      <c r="E328" t="s">
        <v>61</v>
      </c>
      <c r="F328">
        <v>0</v>
      </c>
      <c r="G328">
        <v>0</v>
      </c>
      <c r="H328">
        <v>0</v>
      </c>
      <c r="I328">
        <v>0</v>
      </c>
      <c r="J328">
        <v>0</v>
      </c>
      <c r="K328">
        <v>0</v>
      </c>
      <c r="L328">
        <v>0</v>
      </c>
      <c r="M328">
        <v>0</v>
      </c>
      <c r="N328">
        <v>0</v>
      </c>
      <c r="O328">
        <v>0</v>
      </c>
      <c r="P328">
        <v>0</v>
      </c>
      <c r="Q328">
        <v>0</v>
      </c>
      <c r="R328">
        <v>0</v>
      </c>
      <c r="S328">
        <v>244</v>
      </c>
      <c r="T328">
        <v>0</v>
      </c>
      <c r="U328">
        <v>0</v>
      </c>
      <c r="V328">
        <v>0</v>
      </c>
      <c r="W328">
        <v>0</v>
      </c>
      <c r="X328">
        <v>0</v>
      </c>
      <c r="Y328">
        <v>0</v>
      </c>
      <c r="Z328">
        <v>0</v>
      </c>
      <c r="AA328">
        <v>-300</v>
      </c>
      <c r="AB328">
        <v>0</v>
      </c>
      <c r="AC328">
        <v>0</v>
      </c>
      <c r="AD328">
        <v>0</v>
      </c>
      <c r="AE328">
        <v>0</v>
      </c>
      <c r="AF328">
        <v>0</v>
      </c>
      <c r="AG328">
        <v>154</v>
      </c>
      <c r="AH328">
        <v>0</v>
      </c>
      <c r="AI328">
        <v>98</v>
      </c>
      <c r="AJ328">
        <v>0</v>
      </c>
      <c r="AK328">
        <v>0</v>
      </c>
      <c r="AL328">
        <v>0</v>
      </c>
      <c r="AM328">
        <v>0</v>
      </c>
      <c r="AN328">
        <v>0</v>
      </c>
      <c r="AO328">
        <v>0</v>
      </c>
      <c r="AP328">
        <v>0</v>
      </c>
      <c r="AQ328">
        <v>0</v>
      </c>
      <c r="AR328">
        <v>0</v>
      </c>
      <c r="AS328">
        <v>0</v>
      </c>
      <c r="AT328">
        <v>0</v>
      </c>
      <c r="AU328">
        <v>0</v>
      </c>
      <c r="AV328">
        <v>0</v>
      </c>
      <c r="AW328">
        <v>0</v>
      </c>
      <c r="AX328">
        <v>0</v>
      </c>
      <c r="AY328">
        <v>0</v>
      </c>
      <c r="AZ328">
        <v>0</v>
      </c>
      <c r="BA328">
        <v>0</v>
      </c>
      <c r="BB328">
        <v>0</v>
      </c>
      <c r="BC328">
        <v>0</v>
      </c>
      <c r="BD328">
        <v>0</v>
      </c>
      <c r="BE328">
        <v>0</v>
      </c>
      <c r="BF328">
        <v>0</v>
      </c>
      <c r="BG328">
        <v>0</v>
      </c>
      <c r="BH328">
        <v>0</v>
      </c>
      <c r="BI328">
        <v>0</v>
      </c>
      <c r="BJ328">
        <v>0</v>
      </c>
      <c r="BK328">
        <v>0</v>
      </c>
      <c r="BL328">
        <v>0</v>
      </c>
      <c r="BM328">
        <v>0</v>
      </c>
      <c r="BN328">
        <v>0</v>
      </c>
      <c r="BO328">
        <v>0</v>
      </c>
      <c r="BP328">
        <v>0</v>
      </c>
      <c r="BQ328">
        <v>0</v>
      </c>
      <c r="BR328">
        <v>0</v>
      </c>
      <c r="BS328">
        <v>0</v>
      </c>
      <c r="BT328">
        <v>0</v>
      </c>
      <c r="BU328">
        <v>0</v>
      </c>
      <c r="BV328">
        <v>0</v>
      </c>
      <c r="BW328">
        <v>0</v>
      </c>
      <c r="BX328">
        <v>0</v>
      </c>
      <c r="BY328">
        <v>0</v>
      </c>
      <c r="BZ328">
        <v>0</v>
      </c>
      <c r="CA328">
        <v>0</v>
      </c>
      <c r="CB328">
        <v>0</v>
      </c>
      <c r="CC328">
        <v>0</v>
      </c>
      <c r="CD328">
        <v>0</v>
      </c>
      <c r="CE328">
        <v>0</v>
      </c>
      <c r="CF328">
        <v>0</v>
      </c>
      <c r="CG328">
        <v>0</v>
      </c>
      <c r="CH328">
        <v>0</v>
      </c>
      <c r="CI328">
        <v>0</v>
      </c>
      <c r="CJ328">
        <v>0</v>
      </c>
      <c r="CK328">
        <v>0</v>
      </c>
      <c r="CL328">
        <v>0</v>
      </c>
      <c r="CM328">
        <v>0</v>
      </c>
      <c r="CN328">
        <v>0</v>
      </c>
      <c r="CO328">
        <v>0</v>
      </c>
      <c r="CP328">
        <v>0</v>
      </c>
      <c r="CQ328">
        <v>0</v>
      </c>
      <c r="CR328">
        <v>0</v>
      </c>
      <c r="CS328">
        <v>0</v>
      </c>
      <c r="CT328">
        <v>0</v>
      </c>
      <c r="CU328">
        <v>0</v>
      </c>
      <c r="CV328">
        <v>0</v>
      </c>
      <c r="CW328">
        <v>0</v>
      </c>
      <c r="CX328">
        <v>0</v>
      </c>
      <c r="CY328">
        <v>0</v>
      </c>
      <c r="CZ328">
        <v>0</v>
      </c>
      <c r="DA328">
        <v>0</v>
      </c>
      <c r="DB328">
        <v>0</v>
      </c>
      <c r="DC328">
        <v>329</v>
      </c>
      <c r="DD328">
        <v>0</v>
      </c>
      <c r="DE328">
        <v>0</v>
      </c>
      <c r="DF328">
        <v>0</v>
      </c>
      <c r="DG328">
        <v>0</v>
      </c>
      <c r="DH328">
        <v>0</v>
      </c>
      <c r="DI328">
        <v>0</v>
      </c>
      <c r="DJ328">
        <v>0</v>
      </c>
      <c r="DK328">
        <v>0</v>
      </c>
      <c r="DL328">
        <v>35</v>
      </c>
      <c r="DM328">
        <v>2288</v>
      </c>
      <c r="DN328">
        <v>0</v>
      </c>
      <c r="DO328">
        <v>0</v>
      </c>
      <c r="DP328">
        <v>2323</v>
      </c>
      <c r="DQ328">
        <v>0</v>
      </c>
      <c r="DR328">
        <v>0</v>
      </c>
      <c r="DS328">
        <v>0</v>
      </c>
      <c r="DT328">
        <v>-19</v>
      </c>
      <c r="DU328">
        <v>3</v>
      </c>
      <c r="DV328">
        <v>78</v>
      </c>
      <c r="DW328">
        <v>0</v>
      </c>
      <c r="DX328">
        <v>2714</v>
      </c>
      <c r="DY328">
        <v>0</v>
      </c>
      <c r="DZ328">
        <v>0</v>
      </c>
      <c r="EA328">
        <v>0</v>
      </c>
      <c r="EB328">
        <v>0</v>
      </c>
      <c r="EC328">
        <v>0</v>
      </c>
      <c r="ED328">
        <v>0</v>
      </c>
      <c r="EE328">
        <v>0</v>
      </c>
      <c r="EF328">
        <v>0</v>
      </c>
      <c r="EG328">
        <v>0</v>
      </c>
      <c r="EH328">
        <v>0</v>
      </c>
      <c r="EI328">
        <v>0</v>
      </c>
      <c r="EJ328">
        <v>0</v>
      </c>
      <c r="EK328">
        <v>0</v>
      </c>
      <c r="EL328">
        <v>0</v>
      </c>
      <c r="EM328">
        <v>0</v>
      </c>
      <c r="EN328">
        <v>0</v>
      </c>
      <c r="EO328">
        <v>0</v>
      </c>
      <c r="EP328">
        <v>0</v>
      </c>
      <c r="EQ328">
        <v>0</v>
      </c>
      <c r="ER328">
        <v>0</v>
      </c>
      <c r="ES328">
        <v>0</v>
      </c>
      <c r="ET328">
        <v>0</v>
      </c>
      <c r="EU328">
        <v>0</v>
      </c>
      <c r="EV328">
        <v>119</v>
      </c>
      <c r="EW328">
        <v>0</v>
      </c>
      <c r="EX328">
        <v>84</v>
      </c>
      <c r="EY328">
        <v>895</v>
      </c>
      <c r="EZ328">
        <v>663</v>
      </c>
      <c r="FA328">
        <v>0</v>
      </c>
      <c r="FB328">
        <v>493</v>
      </c>
      <c r="FC328">
        <v>1223</v>
      </c>
      <c r="FD328">
        <v>1905</v>
      </c>
      <c r="FE328">
        <v>0</v>
      </c>
      <c r="FF328">
        <v>184</v>
      </c>
      <c r="FG328">
        <v>0</v>
      </c>
      <c r="FH328">
        <v>5566</v>
      </c>
      <c r="FI328">
        <v>19</v>
      </c>
      <c r="FJ328">
        <v>0</v>
      </c>
      <c r="FK328">
        <v>0</v>
      </c>
      <c r="FL328">
        <v>329</v>
      </c>
      <c r="FM328">
        <v>466</v>
      </c>
      <c r="FN328">
        <v>145</v>
      </c>
      <c r="FO328">
        <v>0</v>
      </c>
      <c r="FP328">
        <v>0</v>
      </c>
      <c r="FQ328">
        <v>0</v>
      </c>
      <c r="FR328">
        <v>13</v>
      </c>
      <c r="FS328">
        <v>146</v>
      </c>
      <c r="FT328">
        <v>88</v>
      </c>
      <c r="FU328">
        <v>183</v>
      </c>
      <c r="FV328">
        <v>0</v>
      </c>
      <c r="FW328">
        <v>683</v>
      </c>
      <c r="FX328">
        <v>162</v>
      </c>
      <c r="FY328">
        <v>0</v>
      </c>
      <c r="FZ328">
        <v>88</v>
      </c>
      <c r="GA328">
        <v>0</v>
      </c>
      <c r="GB328">
        <v>0</v>
      </c>
      <c r="GC328">
        <v>0</v>
      </c>
      <c r="GD328">
        <v>1009</v>
      </c>
      <c r="GE328">
        <v>7290</v>
      </c>
      <c r="GF328">
        <v>101</v>
      </c>
      <c r="GG328">
        <v>0</v>
      </c>
      <c r="GH328">
        <v>0</v>
      </c>
      <c r="GI328">
        <v>0</v>
      </c>
      <c r="GJ328">
        <v>179</v>
      </c>
      <c r="GK328">
        <v>10901</v>
      </c>
      <c r="GL328">
        <v>622</v>
      </c>
      <c r="GM328">
        <v>1677</v>
      </c>
      <c r="GN328">
        <v>0</v>
      </c>
      <c r="GO328">
        <v>273</v>
      </c>
      <c r="GP328">
        <v>2423</v>
      </c>
      <c r="GQ328">
        <v>1271</v>
      </c>
      <c r="GR328">
        <v>420</v>
      </c>
      <c r="GS328">
        <v>717</v>
      </c>
      <c r="GT328">
        <v>339</v>
      </c>
      <c r="GU328">
        <v>7742</v>
      </c>
      <c r="GV328">
        <v>24209</v>
      </c>
      <c r="GW328">
        <v>0</v>
      </c>
      <c r="GX328">
        <v>0</v>
      </c>
      <c r="GY328">
        <v>0</v>
      </c>
      <c r="GZ328">
        <v>0</v>
      </c>
      <c r="HA328">
        <v>0</v>
      </c>
      <c r="HB328">
        <v>2138</v>
      </c>
      <c r="HC328">
        <v>702</v>
      </c>
      <c r="HD328">
        <v>0</v>
      </c>
      <c r="HE328">
        <v>0</v>
      </c>
      <c r="HF328">
        <v>961</v>
      </c>
      <c r="HG328">
        <v>412</v>
      </c>
      <c r="HH328">
        <v>0</v>
      </c>
      <c r="HI328">
        <v>0</v>
      </c>
      <c r="HJ328">
        <v>207</v>
      </c>
      <c r="HK328">
        <v>267</v>
      </c>
      <c r="HL328">
        <v>145</v>
      </c>
      <c r="HM328">
        <v>-237</v>
      </c>
      <c r="HN328">
        <v>0</v>
      </c>
      <c r="HO328">
        <v>0</v>
      </c>
      <c r="HP328">
        <v>0</v>
      </c>
      <c r="HQ328">
        <v>0</v>
      </c>
      <c r="HR328">
        <v>251</v>
      </c>
      <c r="HS328">
        <v>0</v>
      </c>
      <c r="HT328">
        <v>0</v>
      </c>
      <c r="HU328">
        <v>0</v>
      </c>
      <c r="HV328">
        <v>4846</v>
      </c>
      <c r="HW328">
        <v>0</v>
      </c>
      <c r="HX328">
        <v>0</v>
      </c>
      <c r="HY328">
        <v>0</v>
      </c>
      <c r="HZ328">
        <v>0</v>
      </c>
      <c r="IA328">
        <v>0</v>
      </c>
      <c r="IB328">
        <v>6248</v>
      </c>
      <c r="IC328">
        <v>0</v>
      </c>
      <c r="ID328">
        <v>98</v>
      </c>
      <c r="IE328">
        <v>0</v>
      </c>
      <c r="IF328">
        <v>0</v>
      </c>
      <c r="IG328">
        <v>0</v>
      </c>
      <c r="IH328">
        <v>2714</v>
      </c>
      <c r="II328">
        <v>5566</v>
      </c>
      <c r="IJ328">
        <v>10901</v>
      </c>
      <c r="IK328">
        <v>7742</v>
      </c>
      <c r="IL328">
        <v>0</v>
      </c>
      <c r="IM328">
        <v>0</v>
      </c>
      <c r="IN328">
        <v>4846</v>
      </c>
      <c r="IO328">
        <v>6248</v>
      </c>
      <c r="IP328">
        <v>38115</v>
      </c>
      <c r="IQ328">
        <v>26472</v>
      </c>
      <c r="IR328">
        <v>0</v>
      </c>
      <c r="IS328">
        <v>0</v>
      </c>
      <c r="IT328">
        <v>0</v>
      </c>
      <c r="IU328">
        <v>0</v>
      </c>
      <c r="IV328">
        <v>6125</v>
      </c>
      <c r="IW328">
        <v>0</v>
      </c>
      <c r="IX328">
        <v>0</v>
      </c>
      <c r="IY328">
        <v>0</v>
      </c>
      <c r="IZ328">
        <v>0</v>
      </c>
      <c r="JA328">
        <v>119</v>
      </c>
      <c r="JB328">
        <v>0</v>
      </c>
      <c r="JC328">
        <v>0</v>
      </c>
      <c r="JD328">
        <v>0</v>
      </c>
      <c r="JE328">
        <v>-45</v>
      </c>
      <c r="JF328">
        <v>0</v>
      </c>
      <c r="JG328">
        <v>70786</v>
      </c>
      <c r="JH328">
        <v>0</v>
      </c>
      <c r="JI328">
        <v>0</v>
      </c>
      <c r="JJ328">
        <v>0</v>
      </c>
      <c r="JK328">
        <v>0</v>
      </c>
      <c r="JL328">
        <v>0</v>
      </c>
      <c r="JM328">
        <v>103</v>
      </c>
      <c r="JN328">
        <v>1007</v>
      </c>
      <c r="JO328">
        <v>0</v>
      </c>
      <c r="JP328">
        <v>850</v>
      </c>
      <c r="JQ328">
        <v>0</v>
      </c>
      <c r="JR328">
        <v>72746</v>
      </c>
      <c r="JS328">
        <v>-8916</v>
      </c>
      <c r="JT328">
        <v>0</v>
      </c>
      <c r="JU328">
        <v>0</v>
      </c>
      <c r="JV328">
        <v>0</v>
      </c>
      <c r="JW328">
        <v>-26767</v>
      </c>
      <c r="JX328">
        <v>0</v>
      </c>
      <c r="JY328">
        <v>-660</v>
      </c>
      <c r="JZ328">
        <v>0</v>
      </c>
      <c r="KA328">
        <v>0</v>
      </c>
      <c r="KB328">
        <v>0</v>
      </c>
      <c r="KC328">
        <v>36403</v>
      </c>
      <c r="KD328">
        <v>0</v>
      </c>
      <c r="KE328">
        <v>-2974</v>
      </c>
      <c r="KF328">
        <v>33429</v>
      </c>
      <c r="KG328">
        <v>0</v>
      </c>
      <c r="KH328">
        <v>0</v>
      </c>
      <c r="KI328">
        <v>0</v>
      </c>
      <c r="KJ328">
        <v>0</v>
      </c>
      <c r="KK328">
        <v>-6623</v>
      </c>
      <c r="KL328">
        <v>2406</v>
      </c>
      <c r="KM328">
        <v>0</v>
      </c>
      <c r="KN328">
        <v>0</v>
      </c>
      <c r="KO328">
        <v>-5825</v>
      </c>
      <c r="KP328">
        <v>-170</v>
      </c>
      <c r="KQ328">
        <v>0</v>
      </c>
      <c r="KR328">
        <v>16956</v>
      </c>
      <c r="KS328">
        <v>0</v>
      </c>
      <c r="KT328">
        <v>0</v>
      </c>
      <c r="KU328">
        <v>0</v>
      </c>
      <c r="KV328">
        <v>38229</v>
      </c>
      <c r="KW328">
        <v>4150</v>
      </c>
      <c r="KX328">
        <v>0</v>
      </c>
      <c r="KY328">
        <v>0</v>
      </c>
      <c r="KZ328">
        <v>0</v>
      </c>
      <c r="LA328">
        <v>31606</v>
      </c>
      <c r="LB328">
        <v>6556</v>
      </c>
      <c r="LC328">
        <v>0</v>
      </c>
      <c r="LD328">
        <v>2221</v>
      </c>
      <c r="LE328">
        <v>-811</v>
      </c>
      <c r="LF328">
        <v>0</v>
      </c>
      <c r="LG328">
        <v>0</v>
      </c>
      <c r="LH328">
        <v>13290</v>
      </c>
      <c r="LI328">
        <v>14700</v>
      </c>
      <c r="LJ328">
        <v>4641</v>
      </c>
      <c r="LK328">
        <v>5807</v>
      </c>
      <c r="LL328">
        <v>10448</v>
      </c>
      <c r="LM328">
        <v>0</v>
      </c>
      <c r="LN328">
        <v>0</v>
      </c>
      <c r="LO328">
        <v>0</v>
      </c>
      <c r="LP328">
        <v>0</v>
      </c>
      <c r="LQ328">
        <v>0</v>
      </c>
      <c r="LR328">
        <v>0</v>
      </c>
      <c r="LS328">
        <v>0</v>
      </c>
      <c r="LT328">
        <v>0</v>
      </c>
      <c r="LU328">
        <v>0</v>
      </c>
      <c r="LV328">
        <v>98</v>
      </c>
      <c r="LW328">
        <v>0</v>
      </c>
      <c r="LX328">
        <v>0</v>
      </c>
      <c r="LY328">
        <v>0</v>
      </c>
      <c r="LZ328">
        <v>2714</v>
      </c>
      <c r="MA328">
        <v>5566</v>
      </c>
      <c r="MB328">
        <v>10901</v>
      </c>
      <c r="MC328">
        <v>7742</v>
      </c>
      <c r="MD328">
        <v>0</v>
      </c>
      <c r="ME328">
        <v>0</v>
      </c>
      <c r="MF328">
        <v>4846</v>
      </c>
      <c r="MG328">
        <v>6248</v>
      </c>
      <c r="MH328">
        <v>38115</v>
      </c>
      <c r="MI328">
        <v>0</v>
      </c>
      <c r="MJ328">
        <v>0</v>
      </c>
      <c r="MK328">
        <v>0</v>
      </c>
      <c r="ML328">
        <v>0</v>
      </c>
      <c r="MM328">
        <v>0</v>
      </c>
      <c r="MN328">
        <v>0</v>
      </c>
      <c r="MO328">
        <v>0</v>
      </c>
      <c r="MP328">
        <v>0</v>
      </c>
      <c r="MQ328">
        <v>0</v>
      </c>
      <c r="MR328">
        <v>0</v>
      </c>
      <c r="MS328">
        <v>0</v>
      </c>
      <c r="MT328">
        <v>0</v>
      </c>
      <c r="MU328">
        <v>0</v>
      </c>
      <c r="MV328">
        <v>0</v>
      </c>
      <c r="MW328">
        <v>0</v>
      </c>
      <c r="MX328">
        <v>0</v>
      </c>
      <c r="MY328">
        <v>0</v>
      </c>
      <c r="MZ328">
        <v>0</v>
      </c>
      <c r="NA328">
        <v>119</v>
      </c>
      <c r="NB328">
        <v>0</v>
      </c>
      <c r="NC328">
        <v>119</v>
      </c>
      <c r="ND328">
        <v>0</v>
      </c>
      <c r="NE328">
        <v>0</v>
      </c>
      <c r="NF328">
        <v>0</v>
      </c>
      <c r="NG328">
        <v>0</v>
      </c>
      <c r="NH328">
        <v>0</v>
      </c>
      <c r="NI328">
        <v>0</v>
      </c>
      <c r="NJ328">
        <v>0</v>
      </c>
      <c r="NK328">
        <v>0</v>
      </c>
      <c r="NL328">
        <v>0</v>
      </c>
      <c r="NM328">
        <v>0</v>
      </c>
      <c r="NN328">
        <v>0</v>
      </c>
      <c r="NO328">
        <v>0</v>
      </c>
      <c r="NP328">
        <v>0</v>
      </c>
      <c r="NQ328">
        <v>0</v>
      </c>
      <c r="NR328">
        <v>0</v>
      </c>
      <c r="NS328">
        <v>0</v>
      </c>
      <c r="NT328">
        <v>0</v>
      </c>
      <c r="NU328">
        <v>0</v>
      </c>
      <c r="NV328">
        <v>0</v>
      </c>
      <c r="NW328">
        <v>0</v>
      </c>
      <c r="NX328">
        <v>0</v>
      </c>
      <c r="NY328">
        <v>0</v>
      </c>
      <c r="NZ328">
        <v>0</v>
      </c>
      <c r="OA328">
        <v>0</v>
      </c>
      <c r="OB328">
        <v>0</v>
      </c>
      <c r="OC328">
        <v>0</v>
      </c>
      <c r="OD328">
        <v>0</v>
      </c>
      <c r="OE328">
        <v>0</v>
      </c>
      <c r="OF328">
        <v>0</v>
      </c>
      <c r="OG328">
        <v>0</v>
      </c>
      <c r="OH328">
        <v>0</v>
      </c>
      <c r="OI328">
        <v>0</v>
      </c>
      <c r="OJ328">
        <v>0</v>
      </c>
      <c r="OK328">
        <v>0</v>
      </c>
      <c r="OL328">
        <v>0</v>
      </c>
      <c r="OM328">
        <v>0</v>
      </c>
      <c r="ON328">
        <v>0</v>
      </c>
    </row>
    <row r="329" spans="1:404" x14ac:dyDescent="0.25">
      <c r="A329" t="s">
        <v>1055</v>
      </c>
      <c r="B329" t="s">
        <v>1056</v>
      </c>
      <c r="C329" t="s">
        <v>1054</v>
      </c>
      <c r="E329" t="s">
        <v>61</v>
      </c>
      <c r="F329">
        <v>0</v>
      </c>
      <c r="G329">
        <v>0</v>
      </c>
      <c r="H329">
        <v>0</v>
      </c>
      <c r="I329">
        <v>0</v>
      </c>
      <c r="J329">
        <v>0</v>
      </c>
      <c r="K329">
        <v>0</v>
      </c>
      <c r="L329">
        <v>0</v>
      </c>
      <c r="M329">
        <v>0</v>
      </c>
      <c r="N329">
        <v>0</v>
      </c>
      <c r="O329">
        <v>0</v>
      </c>
      <c r="P329">
        <v>0</v>
      </c>
      <c r="Q329">
        <v>0</v>
      </c>
      <c r="R329">
        <v>0</v>
      </c>
      <c r="S329">
        <v>0</v>
      </c>
      <c r="T329">
        <v>0</v>
      </c>
      <c r="U329">
        <v>89</v>
      </c>
      <c r="V329">
        <v>0</v>
      </c>
      <c r="W329">
        <v>0</v>
      </c>
      <c r="X329">
        <v>0</v>
      </c>
      <c r="Y329">
        <v>0</v>
      </c>
      <c r="Z329">
        <v>1</v>
      </c>
      <c r="AA329">
        <v>71</v>
      </c>
      <c r="AB329">
        <v>0</v>
      </c>
      <c r="AC329">
        <v>0</v>
      </c>
      <c r="AD329">
        <v>0</v>
      </c>
      <c r="AE329">
        <v>0</v>
      </c>
      <c r="AF329">
        <v>0</v>
      </c>
      <c r="AG329">
        <v>0</v>
      </c>
      <c r="AH329">
        <v>0</v>
      </c>
      <c r="AI329">
        <v>161</v>
      </c>
      <c r="AJ329">
        <v>0</v>
      </c>
      <c r="AK329">
        <v>0</v>
      </c>
      <c r="AL329">
        <v>0</v>
      </c>
      <c r="AM329">
        <v>0</v>
      </c>
      <c r="AN329">
        <v>0</v>
      </c>
      <c r="AO329">
        <v>0</v>
      </c>
      <c r="AP329">
        <v>0</v>
      </c>
      <c r="AQ329">
        <v>5</v>
      </c>
      <c r="AR329">
        <v>0</v>
      </c>
      <c r="AS329">
        <v>0</v>
      </c>
      <c r="AT329">
        <v>0</v>
      </c>
      <c r="AU329">
        <v>0</v>
      </c>
      <c r="AV329">
        <v>0</v>
      </c>
      <c r="AW329">
        <v>0</v>
      </c>
      <c r="AX329">
        <v>0</v>
      </c>
      <c r="AY329">
        <v>0</v>
      </c>
      <c r="AZ329">
        <v>0</v>
      </c>
      <c r="BA329">
        <v>0</v>
      </c>
      <c r="BB329">
        <v>0</v>
      </c>
      <c r="BC329">
        <v>0</v>
      </c>
      <c r="BD329">
        <v>0</v>
      </c>
      <c r="BE329">
        <v>0</v>
      </c>
      <c r="BF329">
        <v>0</v>
      </c>
      <c r="BG329">
        <v>0</v>
      </c>
      <c r="BH329">
        <v>0</v>
      </c>
      <c r="BI329">
        <v>0</v>
      </c>
      <c r="BJ329">
        <v>0</v>
      </c>
      <c r="BK329">
        <v>0</v>
      </c>
      <c r="BL329">
        <v>0</v>
      </c>
      <c r="BM329">
        <v>0</v>
      </c>
      <c r="BN329">
        <v>0</v>
      </c>
      <c r="BO329">
        <v>0</v>
      </c>
      <c r="BP329">
        <v>0</v>
      </c>
      <c r="BQ329">
        <v>0</v>
      </c>
      <c r="BR329">
        <v>0</v>
      </c>
      <c r="BS329">
        <v>0</v>
      </c>
      <c r="BT329">
        <v>0</v>
      </c>
      <c r="BU329">
        <v>0</v>
      </c>
      <c r="BV329">
        <v>0</v>
      </c>
      <c r="BW329">
        <v>0</v>
      </c>
      <c r="BX329">
        <v>0</v>
      </c>
      <c r="BY329">
        <v>0</v>
      </c>
      <c r="BZ329">
        <v>0</v>
      </c>
      <c r="CA329">
        <v>0</v>
      </c>
      <c r="CB329">
        <v>0</v>
      </c>
      <c r="CC329">
        <v>0</v>
      </c>
      <c r="CD329">
        <v>0</v>
      </c>
      <c r="CE329">
        <v>0</v>
      </c>
      <c r="CF329">
        <v>0</v>
      </c>
      <c r="CG329">
        <v>0</v>
      </c>
      <c r="CH329">
        <v>0</v>
      </c>
      <c r="CI329">
        <v>0</v>
      </c>
      <c r="CJ329">
        <v>0</v>
      </c>
      <c r="CK329">
        <v>0</v>
      </c>
      <c r="CL329">
        <v>0</v>
      </c>
      <c r="CM329">
        <v>0</v>
      </c>
      <c r="CN329">
        <v>0</v>
      </c>
      <c r="CO329">
        <v>0</v>
      </c>
      <c r="CP329">
        <v>0</v>
      </c>
      <c r="CQ329">
        <v>0</v>
      </c>
      <c r="CR329">
        <v>0</v>
      </c>
      <c r="CS329">
        <v>0</v>
      </c>
      <c r="CT329">
        <v>0</v>
      </c>
      <c r="CU329">
        <v>10</v>
      </c>
      <c r="CV329">
        <v>0</v>
      </c>
      <c r="CW329">
        <v>0</v>
      </c>
      <c r="CX329">
        <v>0</v>
      </c>
      <c r="CY329">
        <v>0</v>
      </c>
      <c r="CZ329">
        <v>0</v>
      </c>
      <c r="DA329">
        <v>0</v>
      </c>
      <c r="DB329">
        <v>0</v>
      </c>
      <c r="DC329">
        <v>104</v>
      </c>
      <c r="DD329">
        <v>0</v>
      </c>
      <c r="DE329">
        <v>0</v>
      </c>
      <c r="DF329">
        <v>0</v>
      </c>
      <c r="DG329">
        <v>0</v>
      </c>
      <c r="DH329">
        <v>0</v>
      </c>
      <c r="DI329">
        <v>12</v>
      </c>
      <c r="DJ329">
        <v>17</v>
      </c>
      <c r="DK329">
        <v>0</v>
      </c>
      <c r="DL329">
        <v>0</v>
      </c>
      <c r="DM329">
        <v>0</v>
      </c>
      <c r="DN329">
        <v>313</v>
      </c>
      <c r="DO329">
        <v>0</v>
      </c>
      <c r="DP329">
        <v>342</v>
      </c>
      <c r="DQ329">
        <v>121</v>
      </c>
      <c r="DR329">
        <v>0</v>
      </c>
      <c r="DS329">
        <v>0</v>
      </c>
      <c r="DT329">
        <v>500</v>
      </c>
      <c r="DU329">
        <v>0</v>
      </c>
      <c r="DV329">
        <v>0</v>
      </c>
      <c r="DW329">
        <v>0</v>
      </c>
      <c r="DX329">
        <v>1067</v>
      </c>
      <c r="DY329">
        <v>0</v>
      </c>
      <c r="DZ329">
        <v>0</v>
      </c>
      <c r="EA329">
        <v>0</v>
      </c>
      <c r="EB329">
        <v>0</v>
      </c>
      <c r="EC329">
        <v>0</v>
      </c>
      <c r="ED329">
        <v>0</v>
      </c>
      <c r="EE329">
        <v>0</v>
      </c>
      <c r="EF329">
        <v>0</v>
      </c>
      <c r="EG329">
        <v>0</v>
      </c>
      <c r="EH329">
        <v>0</v>
      </c>
      <c r="EI329">
        <v>0</v>
      </c>
      <c r="EJ329">
        <v>0</v>
      </c>
      <c r="EK329">
        <v>0</v>
      </c>
      <c r="EL329">
        <v>0</v>
      </c>
      <c r="EM329">
        <v>0</v>
      </c>
      <c r="EN329">
        <v>0</v>
      </c>
      <c r="EO329">
        <v>0</v>
      </c>
      <c r="EP329">
        <v>0</v>
      </c>
      <c r="EQ329">
        <v>0</v>
      </c>
      <c r="ER329">
        <v>0</v>
      </c>
      <c r="ES329">
        <v>0</v>
      </c>
      <c r="ET329">
        <v>0</v>
      </c>
      <c r="EU329">
        <v>0</v>
      </c>
      <c r="EV329">
        <v>0</v>
      </c>
      <c r="EW329">
        <v>0</v>
      </c>
      <c r="EX329">
        <v>0</v>
      </c>
      <c r="EY329">
        <v>0</v>
      </c>
      <c r="EZ329">
        <v>0</v>
      </c>
      <c r="FA329">
        <v>0</v>
      </c>
      <c r="FB329">
        <v>0</v>
      </c>
      <c r="FC329">
        <v>1035</v>
      </c>
      <c r="FD329">
        <v>620</v>
      </c>
      <c r="FE329">
        <v>0</v>
      </c>
      <c r="FF329">
        <v>23</v>
      </c>
      <c r="FG329">
        <v>0</v>
      </c>
      <c r="FH329">
        <v>1678</v>
      </c>
      <c r="FI329">
        <v>-47</v>
      </c>
      <c r="FJ329">
        <v>0</v>
      </c>
      <c r="FK329">
        <v>0</v>
      </c>
      <c r="FL329">
        <v>170</v>
      </c>
      <c r="FM329">
        <v>104</v>
      </c>
      <c r="FN329">
        <v>34</v>
      </c>
      <c r="FO329">
        <v>54</v>
      </c>
      <c r="FP329">
        <v>0</v>
      </c>
      <c r="FQ329">
        <v>0</v>
      </c>
      <c r="FR329">
        <v>11</v>
      </c>
      <c r="FS329">
        <v>0</v>
      </c>
      <c r="FT329">
        <v>35</v>
      </c>
      <c r="FU329">
        <v>-16</v>
      </c>
      <c r="FV329">
        <v>0</v>
      </c>
      <c r="FW329">
        <v>0</v>
      </c>
      <c r="FX329">
        <v>93</v>
      </c>
      <c r="FY329">
        <v>12</v>
      </c>
      <c r="FZ329">
        <v>36</v>
      </c>
      <c r="GA329">
        <v>0</v>
      </c>
      <c r="GB329">
        <v>0</v>
      </c>
      <c r="GC329">
        <v>0</v>
      </c>
      <c r="GD329">
        <v>355</v>
      </c>
      <c r="GE329">
        <v>1768</v>
      </c>
      <c r="GF329">
        <v>0</v>
      </c>
      <c r="GG329">
        <v>0</v>
      </c>
      <c r="GH329">
        <v>-403</v>
      </c>
      <c r="GI329">
        <v>0</v>
      </c>
      <c r="GJ329">
        <v>0</v>
      </c>
      <c r="GK329">
        <v>2206</v>
      </c>
      <c r="GL329">
        <v>79</v>
      </c>
      <c r="GM329">
        <v>557</v>
      </c>
      <c r="GN329">
        <v>57</v>
      </c>
      <c r="GO329">
        <v>525</v>
      </c>
      <c r="GP329">
        <v>12</v>
      </c>
      <c r="GQ329">
        <v>4650</v>
      </c>
      <c r="GR329">
        <v>0</v>
      </c>
      <c r="GS329">
        <v>-1396</v>
      </c>
      <c r="GT329">
        <v>0</v>
      </c>
      <c r="GU329">
        <v>4484</v>
      </c>
      <c r="GV329">
        <v>8368</v>
      </c>
      <c r="GW329">
        <v>0</v>
      </c>
      <c r="GX329">
        <v>0</v>
      </c>
      <c r="GY329">
        <v>0</v>
      </c>
      <c r="GZ329">
        <v>0</v>
      </c>
      <c r="HA329">
        <v>0</v>
      </c>
      <c r="HB329">
        <v>1250</v>
      </c>
      <c r="HC329">
        <v>554</v>
      </c>
      <c r="HD329">
        <v>0</v>
      </c>
      <c r="HE329">
        <v>0</v>
      </c>
      <c r="HF329">
        <v>458</v>
      </c>
      <c r="HG329">
        <v>149</v>
      </c>
      <c r="HH329">
        <v>0</v>
      </c>
      <c r="HI329">
        <v>0</v>
      </c>
      <c r="HJ329">
        <v>142</v>
      </c>
      <c r="HK329">
        <v>55</v>
      </c>
      <c r="HL329">
        <v>45</v>
      </c>
      <c r="HM329">
        <v>3</v>
      </c>
      <c r="HN329">
        <v>0</v>
      </c>
      <c r="HO329">
        <v>-8</v>
      </c>
      <c r="HP329">
        <v>0</v>
      </c>
      <c r="HQ329">
        <v>0</v>
      </c>
      <c r="HR329">
        <v>193</v>
      </c>
      <c r="HS329">
        <v>0</v>
      </c>
      <c r="HT329">
        <v>0</v>
      </c>
      <c r="HU329">
        <v>987</v>
      </c>
      <c r="HV329">
        <v>3828</v>
      </c>
      <c r="HW329">
        <v>5595</v>
      </c>
      <c r="HX329">
        <v>0</v>
      </c>
      <c r="HY329">
        <v>0</v>
      </c>
      <c r="HZ329">
        <v>0</v>
      </c>
      <c r="IA329">
        <v>0</v>
      </c>
      <c r="IB329">
        <v>55</v>
      </c>
      <c r="IC329">
        <v>0</v>
      </c>
      <c r="ID329">
        <v>161</v>
      </c>
      <c r="IE329">
        <v>0</v>
      </c>
      <c r="IF329">
        <v>0</v>
      </c>
      <c r="IG329">
        <v>0</v>
      </c>
      <c r="IH329">
        <v>1067</v>
      </c>
      <c r="II329">
        <v>1678</v>
      </c>
      <c r="IJ329">
        <v>2206</v>
      </c>
      <c r="IK329">
        <v>4484</v>
      </c>
      <c r="IL329">
        <v>0</v>
      </c>
      <c r="IM329">
        <v>0</v>
      </c>
      <c r="IN329">
        <v>3828</v>
      </c>
      <c r="IO329">
        <v>55</v>
      </c>
      <c r="IP329">
        <v>13479</v>
      </c>
      <c r="IQ329">
        <v>14490</v>
      </c>
      <c r="IR329">
        <v>0</v>
      </c>
      <c r="IS329">
        <v>0</v>
      </c>
      <c r="IT329">
        <v>0</v>
      </c>
      <c r="IU329">
        <v>0</v>
      </c>
      <c r="IV329">
        <v>2340</v>
      </c>
      <c r="IW329">
        <v>0</v>
      </c>
      <c r="IX329">
        <v>0</v>
      </c>
      <c r="IY329">
        <v>0</v>
      </c>
      <c r="IZ329">
        <v>0</v>
      </c>
      <c r="JA329">
        <v>0</v>
      </c>
      <c r="JB329">
        <v>0</v>
      </c>
      <c r="JC329">
        <v>0</v>
      </c>
      <c r="JD329">
        <v>0</v>
      </c>
      <c r="JE329">
        <v>0</v>
      </c>
      <c r="JF329">
        <v>0</v>
      </c>
      <c r="JG329">
        <v>30309</v>
      </c>
      <c r="JH329">
        <v>0</v>
      </c>
      <c r="JI329">
        <v>0</v>
      </c>
      <c r="JJ329">
        <v>0</v>
      </c>
      <c r="JK329">
        <v>0</v>
      </c>
      <c r="JL329">
        <v>0</v>
      </c>
      <c r="JM329">
        <v>0</v>
      </c>
      <c r="JN329">
        <v>210</v>
      </c>
      <c r="JO329">
        <v>0</v>
      </c>
      <c r="JP329">
        <v>89</v>
      </c>
      <c r="JQ329">
        <v>0</v>
      </c>
      <c r="JR329">
        <v>30608</v>
      </c>
      <c r="JS329">
        <v>-21</v>
      </c>
      <c r="JT329">
        <v>0</v>
      </c>
      <c r="JU329">
        <v>0</v>
      </c>
      <c r="JV329">
        <v>0</v>
      </c>
      <c r="JW329">
        <v>-14593</v>
      </c>
      <c r="JX329">
        <v>0</v>
      </c>
      <c r="JY329">
        <v>0</v>
      </c>
      <c r="JZ329">
        <v>0</v>
      </c>
      <c r="KA329">
        <v>0</v>
      </c>
      <c r="KB329">
        <v>0</v>
      </c>
      <c r="KC329">
        <v>15994</v>
      </c>
      <c r="KD329">
        <v>0</v>
      </c>
      <c r="KE329">
        <v>-1131</v>
      </c>
      <c r="KF329">
        <v>14863</v>
      </c>
      <c r="KG329">
        <v>0</v>
      </c>
      <c r="KH329">
        <v>0</v>
      </c>
      <c r="KI329">
        <v>0</v>
      </c>
      <c r="KJ329">
        <v>0</v>
      </c>
      <c r="KK329">
        <v>-3523</v>
      </c>
      <c r="KL329">
        <v>1101</v>
      </c>
      <c r="KM329">
        <v>-95</v>
      </c>
      <c r="KN329">
        <v>0</v>
      </c>
      <c r="KO329">
        <v>-2689</v>
      </c>
      <c r="KP329">
        <v>34</v>
      </c>
      <c r="KQ329">
        <v>1021</v>
      </c>
      <c r="KR329">
        <v>7186</v>
      </c>
      <c r="KS329">
        <v>0</v>
      </c>
      <c r="KT329">
        <v>0</v>
      </c>
      <c r="KU329">
        <v>0</v>
      </c>
      <c r="KV329">
        <v>11776</v>
      </c>
      <c r="KW329">
        <v>8194</v>
      </c>
      <c r="KX329">
        <v>0</v>
      </c>
      <c r="KY329">
        <v>0</v>
      </c>
      <c r="KZ329">
        <v>0</v>
      </c>
      <c r="LA329">
        <v>8253</v>
      </c>
      <c r="LB329">
        <v>9295</v>
      </c>
      <c r="LC329">
        <v>-19</v>
      </c>
      <c r="LD329">
        <v>0</v>
      </c>
      <c r="LE329">
        <v>0</v>
      </c>
      <c r="LF329">
        <v>0</v>
      </c>
      <c r="LG329">
        <v>0</v>
      </c>
      <c r="LH329">
        <v>0</v>
      </c>
      <c r="LI329">
        <v>0</v>
      </c>
      <c r="LJ329">
        <v>3253</v>
      </c>
      <c r="LK329">
        <v>2383</v>
      </c>
      <c r="LL329">
        <v>5636</v>
      </c>
      <c r="LM329">
        <v>0</v>
      </c>
      <c r="LN329">
        <v>0</v>
      </c>
      <c r="LO329">
        <v>0</v>
      </c>
      <c r="LP329">
        <v>0</v>
      </c>
      <c r="LQ329">
        <v>0</v>
      </c>
      <c r="LR329">
        <v>0</v>
      </c>
      <c r="LS329">
        <v>0</v>
      </c>
      <c r="LT329">
        <v>0</v>
      </c>
      <c r="LU329">
        <v>0</v>
      </c>
      <c r="LV329">
        <v>161</v>
      </c>
      <c r="LW329">
        <v>0</v>
      </c>
      <c r="LX329">
        <v>0</v>
      </c>
      <c r="LY329">
        <v>0</v>
      </c>
      <c r="LZ329">
        <v>1067</v>
      </c>
      <c r="MA329">
        <v>1678</v>
      </c>
      <c r="MB329">
        <v>2206</v>
      </c>
      <c r="MC329">
        <v>4484</v>
      </c>
      <c r="MD329">
        <v>0</v>
      </c>
      <c r="ME329">
        <v>0</v>
      </c>
      <c r="MF329">
        <v>3828</v>
      </c>
      <c r="MG329">
        <v>55</v>
      </c>
      <c r="MH329">
        <v>13479</v>
      </c>
      <c r="MI329">
        <v>0</v>
      </c>
      <c r="MJ329">
        <v>0</v>
      </c>
      <c r="MK329">
        <v>0</v>
      </c>
      <c r="ML329">
        <v>0</v>
      </c>
      <c r="MM329">
        <v>0</v>
      </c>
      <c r="MN329">
        <v>0</v>
      </c>
      <c r="MO329">
        <v>0</v>
      </c>
      <c r="MP329">
        <v>0</v>
      </c>
      <c r="MQ329">
        <v>0</v>
      </c>
      <c r="MR329">
        <v>0</v>
      </c>
      <c r="MS329">
        <v>0</v>
      </c>
      <c r="MT329">
        <v>0</v>
      </c>
      <c r="MU329">
        <v>0</v>
      </c>
      <c r="MV329">
        <v>0</v>
      </c>
      <c r="MW329">
        <v>0</v>
      </c>
      <c r="MX329">
        <v>0</v>
      </c>
      <c r="MY329">
        <v>0</v>
      </c>
      <c r="MZ329">
        <v>0</v>
      </c>
      <c r="NA329">
        <v>0</v>
      </c>
      <c r="NB329">
        <v>0</v>
      </c>
      <c r="NC329">
        <v>0</v>
      </c>
      <c r="ND329">
        <v>0</v>
      </c>
      <c r="NE329">
        <v>0</v>
      </c>
      <c r="NF329">
        <v>0</v>
      </c>
      <c r="NG329">
        <v>0</v>
      </c>
      <c r="NH329">
        <v>0</v>
      </c>
      <c r="NI329">
        <v>0</v>
      </c>
      <c r="NJ329">
        <v>0</v>
      </c>
      <c r="NK329">
        <v>0</v>
      </c>
      <c r="NL329">
        <v>0</v>
      </c>
      <c r="NM329">
        <v>0</v>
      </c>
      <c r="NN329">
        <v>0</v>
      </c>
      <c r="NO329">
        <v>0</v>
      </c>
      <c r="NP329">
        <v>0</v>
      </c>
      <c r="NQ329">
        <v>0</v>
      </c>
      <c r="NR329">
        <v>0</v>
      </c>
      <c r="NS329">
        <v>0</v>
      </c>
      <c r="NT329">
        <v>0</v>
      </c>
      <c r="NU329">
        <v>0</v>
      </c>
      <c r="NV329">
        <v>0</v>
      </c>
      <c r="NW329">
        <v>0</v>
      </c>
      <c r="NX329">
        <v>0</v>
      </c>
      <c r="NY329">
        <v>0</v>
      </c>
      <c r="NZ329">
        <v>0</v>
      </c>
      <c r="OA329">
        <v>0</v>
      </c>
      <c r="OB329">
        <v>0</v>
      </c>
      <c r="OC329">
        <v>0</v>
      </c>
      <c r="OD329">
        <v>0</v>
      </c>
      <c r="OE329">
        <v>0</v>
      </c>
      <c r="OF329">
        <v>0</v>
      </c>
      <c r="OG329">
        <v>0</v>
      </c>
      <c r="OH329">
        <v>0</v>
      </c>
      <c r="OI329">
        <v>0</v>
      </c>
      <c r="OJ329">
        <v>0</v>
      </c>
      <c r="OK329">
        <v>0</v>
      </c>
      <c r="OL329">
        <v>0</v>
      </c>
      <c r="OM329">
        <v>0</v>
      </c>
      <c r="ON329">
        <v>0</v>
      </c>
    </row>
    <row r="330" spans="1:404" x14ac:dyDescent="0.25">
      <c r="A330" t="s">
        <v>1058</v>
      </c>
      <c r="B330" t="s">
        <v>1059</v>
      </c>
      <c r="C330" t="s">
        <v>1057</v>
      </c>
      <c r="E330" t="s">
        <v>97</v>
      </c>
      <c r="F330">
        <v>7838</v>
      </c>
      <c r="G330">
        <v>53306</v>
      </c>
      <c r="H330">
        <v>34259</v>
      </c>
      <c r="I330">
        <v>12031</v>
      </c>
      <c r="J330">
        <v>919</v>
      </c>
      <c r="K330">
        <v>14288</v>
      </c>
      <c r="L330">
        <v>122641</v>
      </c>
      <c r="M330">
        <v>22</v>
      </c>
      <c r="N330">
        <v>168</v>
      </c>
      <c r="O330">
        <v>0</v>
      </c>
      <c r="P330">
        <v>189</v>
      </c>
      <c r="Q330">
        <v>77</v>
      </c>
      <c r="R330">
        <v>-63</v>
      </c>
      <c r="S330">
        <v>210</v>
      </c>
      <c r="T330">
        <v>508</v>
      </c>
      <c r="U330">
        <v>5732</v>
      </c>
      <c r="V330">
        <v>0</v>
      </c>
      <c r="W330">
        <v>26</v>
      </c>
      <c r="X330">
        <v>369</v>
      </c>
      <c r="Y330">
        <v>-127</v>
      </c>
      <c r="Z330">
        <v>41</v>
      </c>
      <c r="AA330">
        <v>189</v>
      </c>
      <c r="AB330">
        <v>0</v>
      </c>
      <c r="AC330">
        <v>0</v>
      </c>
      <c r="AD330">
        <v>0</v>
      </c>
      <c r="AE330">
        <v>0</v>
      </c>
      <c r="AF330">
        <v>0</v>
      </c>
      <c r="AG330">
        <v>0</v>
      </c>
      <c r="AH330">
        <v>0</v>
      </c>
      <c r="AI330">
        <v>7341</v>
      </c>
      <c r="AJ330">
        <v>0</v>
      </c>
      <c r="AK330">
        <v>0</v>
      </c>
      <c r="AL330">
        <v>0</v>
      </c>
      <c r="AM330">
        <v>0</v>
      </c>
      <c r="AN330">
        <v>0</v>
      </c>
      <c r="AO330">
        <v>0</v>
      </c>
      <c r="AP330">
        <v>824</v>
      </c>
      <c r="AQ330">
        <v>31</v>
      </c>
      <c r="AR330">
        <v>101</v>
      </c>
      <c r="AS330">
        <v>0</v>
      </c>
      <c r="AT330">
        <v>0</v>
      </c>
      <c r="AU330">
        <v>0</v>
      </c>
      <c r="AV330">
        <v>2968</v>
      </c>
      <c r="AW330">
        <v>23442</v>
      </c>
      <c r="AX330">
        <v>507</v>
      </c>
      <c r="AY330">
        <v>5466</v>
      </c>
      <c r="AZ330">
        <v>682</v>
      </c>
      <c r="BA330">
        <v>5127</v>
      </c>
      <c r="BB330">
        <v>0</v>
      </c>
      <c r="BC330">
        <v>871</v>
      </c>
      <c r="BD330">
        <v>39063</v>
      </c>
      <c r="BE330">
        <v>653</v>
      </c>
      <c r="BF330">
        <v>14175</v>
      </c>
      <c r="BG330">
        <v>155</v>
      </c>
      <c r="BH330">
        <v>243</v>
      </c>
      <c r="BI330">
        <v>159</v>
      </c>
      <c r="BJ330">
        <v>6919</v>
      </c>
      <c r="BK330">
        <v>16736</v>
      </c>
      <c r="BL330">
        <v>2658</v>
      </c>
      <c r="BM330">
        <v>1626</v>
      </c>
      <c r="BN330">
        <v>1965</v>
      </c>
      <c r="BO330">
        <v>101</v>
      </c>
      <c r="BP330">
        <v>0</v>
      </c>
      <c r="BQ330">
        <v>456</v>
      </c>
      <c r="BR330">
        <v>449</v>
      </c>
      <c r="BS330">
        <v>-362</v>
      </c>
      <c r="BT330">
        <v>5698</v>
      </c>
      <c r="BU330">
        <v>783</v>
      </c>
      <c r="BV330">
        <v>4829</v>
      </c>
      <c r="BW330">
        <v>57908</v>
      </c>
      <c r="BX330">
        <v>1461</v>
      </c>
      <c r="BY330">
        <v>11</v>
      </c>
      <c r="BZ330">
        <v>139</v>
      </c>
      <c r="CA330">
        <v>16</v>
      </c>
      <c r="CB330">
        <v>170</v>
      </c>
      <c r="CC330">
        <v>15</v>
      </c>
      <c r="CD330">
        <v>4</v>
      </c>
      <c r="CE330">
        <v>243</v>
      </c>
      <c r="CF330">
        <v>8</v>
      </c>
      <c r="CG330">
        <v>2503</v>
      </c>
      <c r="CH330">
        <v>857</v>
      </c>
      <c r="CI330">
        <v>1589</v>
      </c>
      <c r="CJ330">
        <v>1481</v>
      </c>
      <c r="CK330">
        <v>5</v>
      </c>
      <c r="CL330">
        <v>50</v>
      </c>
      <c r="CM330">
        <v>229</v>
      </c>
      <c r="CN330">
        <v>315</v>
      </c>
      <c r="CO330">
        <v>170</v>
      </c>
      <c r="CP330">
        <v>905</v>
      </c>
      <c r="CQ330">
        <v>2580</v>
      </c>
      <c r="CR330">
        <v>1180</v>
      </c>
      <c r="CS330">
        <v>167</v>
      </c>
      <c r="CT330">
        <v>47</v>
      </c>
      <c r="CU330">
        <v>1003</v>
      </c>
      <c r="CV330">
        <v>18399</v>
      </c>
      <c r="CW330">
        <v>49</v>
      </c>
      <c r="CX330">
        <v>0</v>
      </c>
      <c r="CY330">
        <v>111</v>
      </c>
      <c r="CZ330">
        <v>0</v>
      </c>
      <c r="DA330">
        <v>0</v>
      </c>
      <c r="DB330">
        <v>300</v>
      </c>
      <c r="DC330">
        <v>66</v>
      </c>
      <c r="DD330">
        <v>4</v>
      </c>
      <c r="DE330">
        <v>35</v>
      </c>
      <c r="DF330">
        <v>0</v>
      </c>
      <c r="DG330">
        <v>0</v>
      </c>
      <c r="DH330">
        <v>0</v>
      </c>
      <c r="DI330">
        <v>0</v>
      </c>
      <c r="DJ330">
        <v>0</v>
      </c>
      <c r="DK330">
        <v>0</v>
      </c>
      <c r="DL330">
        <v>0</v>
      </c>
      <c r="DM330">
        <v>174</v>
      </c>
      <c r="DN330">
        <v>0</v>
      </c>
      <c r="DO330">
        <v>0</v>
      </c>
      <c r="DP330">
        <v>174</v>
      </c>
      <c r="DQ330">
        <v>38</v>
      </c>
      <c r="DR330">
        <v>0</v>
      </c>
      <c r="DS330">
        <v>48</v>
      </c>
      <c r="DT330">
        <v>272</v>
      </c>
      <c r="DU330">
        <v>-286</v>
      </c>
      <c r="DV330">
        <v>0</v>
      </c>
      <c r="DW330">
        <v>0</v>
      </c>
      <c r="DX330">
        <v>351</v>
      </c>
      <c r="DY330">
        <v>61450</v>
      </c>
      <c r="DZ330">
        <v>1562</v>
      </c>
      <c r="EA330">
        <v>1678</v>
      </c>
      <c r="EB330">
        <v>1144</v>
      </c>
      <c r="EC330">
        <v>0</v>
      </c>
      <c r="ED330">
        <v>66</v>
      </c>
      <c r="EE330">
        <v>0</v>
      </c>
      <c r="EF330">
        <v>0</v>
      </c>
      <c r="EG330">
        <v>0</v>
      </c>
      <c r="EH330">
        <v>13703</v>
      </c>
      <c r="EI330">
        <v>16984</v>
      </c>
      <c r="EJ330">
        <v>0</v>
      </c>
      <c r="EK330">
        <v>3516</v>
      </c>
      <c r="EL330">
        <v>10561</v>
      </c>
      <c r="EM330">
        <v>0</v>
      </c>
      <c r="EN330">
        <v>15</v>
      </c>
      <c r="EO330">
        <v>50</v>
      </c>
      <c r="EP330">
        <v>112</v>
      </c>
      <c r="EQ330">
        <v>19079</v>
      </c>
      <c r="ER330">
        <v>186</v>
      </c>
      <c r="ES330">
        <v>21596</v>
      </c>
      <c r="ET330">
        <v>23290</v>
      </c>
      <c r="EU330">
        <v>74</v>
      </c>
      <c r="EV330">
        <v>367</v>
      </c>
      <c r="EW330">
        <v>99</v>
      </c>
      <c r="EX330">
        <v>668</v>
      </c>
      <c r="EY330">
        <v>463</v>
      </c>
      <c r="EZ330">
        <v>874</v>
      </c>
      <c r="FA330">
        <v>33</v>
      </c>
      <c r="FB330">
        <v>496</v>
      </c>
      <c r="FC330">
        <v>4744</v>
      </c>
      <c r="FD330">
        <v>1401</v>
      </c>
      <c r="FE330">
        <v>20</v>
      </c>
      <c r="FF330">
        <v>224</v>
      </c>
      <c r="FG330">
        <v>1943</v>
      </c>
      <c r="FH330">
        <v>11406</v>
      </c>
      <c r="FI330">
        <v>-934</v>
      </c>
      <c r="FJ330">
        <v>65</v>
      </c>
      <c r="FK330">
        <v>42</v>
      </c>
      <c r="FL330">
        <v>253</v>
      </c>
      <c r="FM330">
        <v>148</v>
      </c>
      <c r="FN330">
        <v>202</v>
      </c>
      <c r="FO330">
        <v>31</v>
      </c>
      <c r="FP330">
        <v>27</v>
      </c>
      <c r="FQ330">
        <v>57</v>
      </c>
      <c r="FR330">
        <v>14</v>
      </c>
      <c r="FS330">
        <v>0</v>
      </c>
      <c r="FT330">
        <v>58</v>
      </c>
      <c r="FU330">
        <v>-82</v>
      </c>
      <c r="FV330">
        <v>240</v>
      </c>
      <c r="FW330">
        <v>84</v>
      </c>
      <c r="FX330">
        <v>-37</v>
      </c>
      <c r="FY330">
        <v>31</v>
      </c>
      <c r="FZ330">
        <v>0</v>
      </c>
      <c r="GA330">
        <v>0</v>
      </c>
      <c r="GB330">
        <v>273</v>
      </c>
      <c r="GC330">
        <v>98</v>
      </c>
      <c r="GD330">
        <v>2447</v>
      </c>
      <c r="GE330">
        <v>3822</v>
      </c>
      <c r="GF330">
        <v>9405</v>
      </c>
      <c r="GG330">
        <v>-383</v>
      </c>
      <c r="GH330">
        <v>615</v>
      </c>
      <c r="GI330">
        <v>37</v>
      </c>
      <c r="GJ330">
        <v>191</v>
      </c>
      <c r="GK330">
        <v>16704</v>
      </c>
      <c r="GL330">
        <v>660</v>
      </c>
      <c r="GM330">
        <v>77</v>
      </c>
      <c r="GN330">
        <v>6</v>
      </c>
      <c r="GO330">
        <v>378</v>
      </c>
      <c r="GP330">
        <v>136</v>
      </c>
      <c r="GQ330">
        <v>225</v>
      </c>
      <c r="GR330">
        <v>100</v>
      </c>
      <c r="GS330">
        <v>943</v>
      </c>
      <c r="GT330">
        <v>78</v>
      </c>
      <c r="GU330">
        <v>2603</v>
      </c>
      <c r="GV330">
        <v>30713</v>
      </c>
      <c r="GW330">
        <v>0</v>
      </c>
      <c r="GX330">
        <v>0</v>
      </c>
      <c r="GY330">
        <v>0</v>
      </c>
      <c r="GZ330">
        <v>0</v>
      </c>
      <c r="HA330">
        <v>0</v>
      </c>
      <c r="HB330">
        <v>4465</v>
      </c>
      <c r="HC330">
        <v>810</v>
      </c>
      <c r="HD330">
        <v>0</v>
      </c>
      <c r="HE330">
        <v>46</v>
      </c>
      <c r="HF330">
        <v>248</v>
      </c>
      <c r="HG330">
        <v>786</v>
      </c>
      <c r="HH330">
        <v>0</v>
      </c>
      <c r="HI330">
        <v>159</v>
      </c>
      <c r="HJ330">
        <v>81</v>
      </c>
      <c r="HK330">
        <v>420</v>
      </c>
      <c r="HL330">
        <v>820</v>
      </c>
      <c r="HM330">
        <v>-70</v>
      </c>
      <c r="HN330">
        <v>514</v>
      </c>
      <c r="HO330">
        <v>162</v>
      </c>
      <c r="HP330">
        <v>379</v>
      </c>
      <c r="HQ330">
        <v>0</v>
      </c>
      <c r="HR330">
        <v>2658</v>
      </c>
      <c r="HS330">
        <v>0</v>
      </c>
      <c r="HT330">
        <v>35</v>
      </c>
      <c r="HU330">
        <v>0</v>
      </c>
      <c r="HV330">
        <v>11513</v>
      </c>
      <c r="HW330">
        <v>0</v>
      </c>
      <c r="HX330">
        <v>1148</v>
      </c>
      <c r="HY330">
        <v>0</v>
      </c>
      <c r="HZ330">
        <v>2701</v>
      </c>
      <c r="IA330">
        <v>13719</v>
      </c>
      <c r="IB330">
        <v>-819</v>
      </c>
      <c r="IC330">
        <v>122641</v>
      </c>
      <c r="ID330">
        <v>7341</v>
      </c>
      <c r="IE330">
        <v>39063</v>
      </c>
      <c r="IF330">
        <v>57908</v>
      </c>
      <c r="IG330">
        <v>18399</v>
      </c>
      <c r="IH330">
        <v>351</v>
      </c>
      <c r="II330">
        <v>11406</v>
      </c>
      <c r="IJ330">
        <v>16704</v>
      </c>
      <c r="IK330">
        <v>2603</v>
      </c>
      <c r="IL330">
        <v>0</v>
      </c>
      <c r="IM330">
        <v>0</v>
      </c>
      <c r="IN330">
        <v>11513</v>
      </c>
      <c r="IO330">
        <v>-819</v>
      </c>
      <c r="IP330">
        <v>287110</v>
      </c>
      <c r="IQ330">
        <v>21924</v>
      </c>
      <c r="IR330">
        <v>0</v>
      </c>
      <c r="IS330">
        <v>23503</v>
      </c>
      <c r="IT330">
        <v>0</v>
      </c>
      <c r="IU330">
        <v>0</v>
      </c>
      <c r="IV330">
        <v>0</v>
      </c>
      <c r="IW330">
        <v>7923</v>
      </c>
      <c r="IX330">
        <v>0</v>
      </c>
      <c r="IY330">
        <v>0</v>
      </c>
      <c r="IZ330">
        <v>0</v>
      </c>
      <c r="JA330">
        <v>-387</v>
      </c>
      <c r="JB330">
        <v>1771</v>
      </c>
      <c r="JC330">
        <v>0</v>
      </c>
      <c r="JD330">
        <v>0</v>
      </c>
      <c r="JE330">
        <v>927</v>
      </c>
      <c r="JF330">
        <v>0</v>
      </c>
      <c r="JG330">
        <v>342771</v>
      </c>
      <c r="JH330">
        <v>136</v>
      </c>
      <c r="JI330">
        <v>2291</v>
      </c>
      <c r="JJ330">
        <v>0</v>
      </c>
      <c r="JK330">
        <v>0</v>
      </c>
      <c r="JL330">
        <v>0</v>
      </c>
      <c r="JM330">
        <v>44</v>
      </c>
      <c r="JN330">
        <v>6352</v>
      </c>
      <c r="JO330">
        <v>0</v>
      </c>
      <c r="JP330">
        <v>22210</v>
      </c>
      <c r="JQ330">
        <v>-10495</v>
      </c>
      <c r="JR330">
        <v>363309</v>
      </c>
      <c r="JS330">
        <v>-2703</v>
      </c>
      <c r="JT330">
        <v>0</v>
      </c>
      <c r="JU330">
        <v>89</v>
      </c>
      <c r="JV330">
        <v>0</v>
      </c>
      <c r="JW330">
        <v>-48735</v>
      </c>
      <c r="JX330">
        <v>0</v>
      </c>
      <c r="JY330">
        <v>0</v>
      </c>
      <c r="JZ330">
        <v>0</v>
      </c>
      <c r="KA330">
        <v>0</v>
      </c>
      <c r="KB330">
        <v>0</v>
      </c>
      <c r="KC330">
        <v>311960</v>
      </c>
      <c r="KD330">
        <v>0</v>
      </c>
      <c r="KE330">
        <v>-181372</v>
      </c>
      <c r="KF330">
        <v>130588</v>
      </c>
      <c r="KG330">
        <v>0</v>
      </c>
      <c r="KH330">
        <v>2913</v>
      </c>
      <c r="KI330">
        <v>0</v>
      </c>
      <c r="KJ330">
        <v>-4</v>
      </c>
      <c r="KK330">
        <v>-19</v>
      </c>
      <c r="KL330">
        <v>1462</v>
      </c>
      <c r="KM330">
        <v>-14988</v>
      </c>
      <c r="KN330">
        <v>0</v>
      </c>
      <c r="KO330">
        <v>-42921</v>
      </c>
      <c r="KP330">
        <v>-200</v>
      </c>
      <c r="KQ330">
        <v>0</v>
      </c>
      <c r="KR330">
        <v>65545</v>
      </c>
      <c r="KS330">
        <v>-183</v>
      </c>
      <c r="KT330">
        <v>0</v>
      </c>
      <c r="KU330">
        <v>64</v>
      </c>
      <c r="KV330">
        <v>58088</v>
      </c>
      <c r="KW330">
        <v>6260</v>
      </c>
      <c r="KX330">
        <v>2730</v>
      </c>
      <c r="KY330">
        <v>0</v>
      </c>
      <c r="KZ330">
        <v>60</v>
      </c>
      <c r="LA330">
        <v>58069</v>
      </c>
      <c r="LB330">
        <v>7722</v>
      </c>
      <c r="LC330">
        <v>0</v>
      </c>
      <c r="LD330">
        <v>28590</v>
      </c>
      <c r="LE330">
        <v>8962</v>
      </c>
      <c r="LF330">
        <v>-13168</v>
      </c>
      <c r="LG330">
        <v>-22236</v>
      </c>
      <c r="LH330">
        <v>2199</v>
      </c>
      <c r="LI330">
        <v>4347</v>
      </c>
      <c r="LJ330">
        <v>6863</v>
      </c>
      <c r="LK330">
        <v>8359</v>
      </c>
      <c r="LL330">
        <v>15222</v>
      </c>
      <c r="LM330">
        <v>0</v>
      </c>
      <c r="LN330">
        <v>0</v>
      </c>
      <c r="LO330">
        <v>0</v>
      </c>
      <c r="LP330">
        <v>65900</v>
      </c>
      <c r="LQ330">
        <v>64206</v>
      </c>
      <c r="LR330">
        <v>1694</v>
      </c>
      <c r="LS330">
        <v>21596</v>
      </c>
      <c r="LT330">
        <v>23290</v>
      </c>
      <c r="LU330">
        <v>122641</v>
      </c>
      <c r="LV330">
        <v>7341</v>
      </c>
      <c r="LW330">
        <v>39063</v>
      </c>
      <c r="LX330">
        <v>57908</v>
      </c>
      <c r="LY330">
        <v>18399</v>
      </c>
      <c r="LZ330">
        <v>351</v>
      </c>
      <c r="MA330">
        <v>11406</v>
      </c>
      <c r="MB330">
        <v>16704</v>
      </c>
      <c r="MC330">
        <v>2603</v>
      </c>
      <c r="MD330">
        <v>0</v>
      </c>
      <c r="ME330">
        <v>0</v>
      </c>
      <c r="MF330">
        <v>11513</v>
      </c>
      <c r="MG330">
        <v>-819</v>
      </c>
      <c r="MH330">
        <v>287110</v>
      </c>
      <c r="MI330">
        <v>0</v>
      </c>
      <c r="MJ330">
        <v>0</v>
      </c>
      <c r="MK330">
        <v>0</v>
      </c>
      <c r="ML330">
        <v>0</v>
      </c>
      <c r="MM330">
        <v>0</v>
      </c>
      <c r="MN330">
        <v>0</v>
      </c>
      <c r="MO330">
        <v>0</v>
      </c>
      <c r="MP330">
        <v>0</v>
      </c>
      <c r="MQ330">
        <v>0</v>
      </c>
      <c r="MR330">
        <v>0</v>
      </c>
      <c r="MS330">
        <v>0</v>
      </c>
      <c r="MT330">
        <v>0</v>
      </c>
      <c r="MU330">
        <v>0</v>
      </c>
      <c r="MV330">
        <v>-341</v>
      </c>
      <c r="MW330">
        <v>0</v>
      </c>
      <c r="MX330">
        <v>0</v>
      </c>
      <c r="MY330">
        <v>0</v>
      </c>
      <c r="MZ330">
        <v>-46</v>
      </c>
      <c r="NA330">
        <v>-387</v>
      </c>
      <c r="NB330">
        <v>0</v>
      </c>
      <c r="NC330">
        <v>-387</v>
      </c>
      <c r="ND330">
        <v>0</v>
      </c>
      <c r="NE330">
        <v>0</v>
      </c>
      <c r="NF330">
        <v>0</v>
      </c>
      <c r="NG330">
        <v>0</v>
      </c>
      <c r="NH330">
        <v>0</v>
      </c>
      <c r="NI330">
        <v>0</v>
      </c>
      <c r="NJ330">
        <v>0</v>
      </c>
      <c r="NK330">
        <v>0</v>
      </c>
      <c r="NL330">
        <v>0</v>
      </c>
      <c r="NM330">
        <v>0</v>
      </c>
      <c r="NN330">
        <v>0</v>
      </c>
      <c r="NO330">
        <v>0</v>
      </c>
      <c r="NP330">
        <v>0</v>
      </c>
      <c r="NQ330">
        <v>0</v>
      </c>
      <c r="NR330">
        <v>0</v>
      </c>
      <c r="NS330">
        <v>0</v>
      </c>
      <c r="NT330">
        <v>1771</v>
      </c>
      <c r="NU330">
        <v>0</v>
      </c>
      <c r="NV330">
        <v>0</v>
      </c>
      <c r="NW330">
        <v>0</v>
      </c>
      <c r="NX330">
        <v>0</v>
      </c>
      <c r="NY330">
        <v>0</v>
      </c>
      <c r="NZ330">
        <v>1771</v>
      </c>
      <c r="OA330">
        <v>0</v>
      </c>
      <c r="OB330">
        <v>1771</v>
      </c>
      <c r="OC330">
        <v>0</v>
      </c>
      <c r="OD330">
        <v>0</v>
      </c>
      <c r="OE330">
        <v>0</v>
      </c>
      <c r="OF330">
        <v>0</v>
      </c>
      <c r="OG330">
        <v>0</v>
      </c>
      <c r="OH330">
        <v>0</v>
      </c>
      <c r="OI330">
        <v>0</v>
      </c>
      <c r="OJ330">
        <v>0</v>
      </c>
      <c r="OK330">
        <v>0</v>
      </c>
      <c r="OL330">
        <v>0</v>
      </c>
      <c r="OM330">
        <v>0</v>
      </c>
      <c r="ON330">
        <v>0</v>
      </c>
    </row>
    <row r="331" spans="1:404" x14ac:dyDescent="0.25">
      <c r="A331" t="s">
        <v>1061</v>
      </c>
      <c r="B331" t="s">
        <v>1062</v>
      </c>
      <c r="C331" t="s">
        <v>5445</v>
      </c>
      <c r="E331" t="s">
        <v>5408</v>
      </c>
      <c r="F331">
        <v>0</v>
      </c>
      <c r="G331">
        <v>0</v>
      </c>
      <c r="H331">
        <v>0</v>
      </c>
      <c r="I331">
        <v>0</v>
      </c>
      <c r="J331">
        <v>0</v>
      </c>
      <c r="K331">
        <v>0</v>
      </c>
      <c r="L331">
        <v>0</v>
      </c>
      <c r="M331">
        <v>0</v>
      </c>
      <c r="N331">
        <v>0</v>
      </c>
      <c r="O331">
        <v>0</v>
      </c>
      <c r="P331">
        <v>0</v>
      </c>
      <c r="Q331">
        <v>0</v>
      </c>
      <c r="R331">
        <v>0</v>
      </c>
      <c r="S331">
        <v>0</v>
      </c>
      <c r="T331">
        <v>0</v>
      </c>
      <c r="U331">
        <v>0</v>
      </c>
      <c r="V331">
        <v>0</v>
      </c>
      <c r="W331">
        <v>0</v>
      </c>
      <c r="X331">
        <v>0</v>
      </c>
      <c r="Y331">
        <v>0</v>
      </c>
      <c r="Z331">
        <v>0</v>
      </c>
      <c r="AA331">
        <v>0</v>
      </c>
      <c r="AB331">
        <v>0</v>
      </c>
      <c r="AC331">
        <v>0</v>
      </c>
      <c r="AD331">
        <v>0</v>
      </c>
      <c r="AE331">
        <v>0</v>
      </c>
      <c r="AF331">
        <v>0</v>
      </c>
      <c r="AG331">
        <v>0</v>
      </c>
      <c r="AH331">
        <v>0</v>
      </c>
      <c r="AI331">
        <v>0</v>
      </c>
      <c r="AJ331">
        <v>0</v>
      </c>
      <c r="AK331">
        <v>0</v>
      </c>
      <c r="AL331">
        <v>0</v>
      </c>
      <c r="AM331">
        <v>0</v>
      </c>
      <c r="AN331">
        <v>0</v>
      </c>
      <c r="AO331">
        <v>0</v>
      </c>
      <c r="AP331">
        <v>0</v>
      </c>
      <c r="AQ331">
        <v>0</v>
      </c>
      <c r="AR331">
        <v>0</v>
      </c>
      <c r="AS331">
        <v>0</v>
      </c>
      <c r="AT331">
        <v>0</v>
      </c>
      <c r="AU331">
        <v>0</v>
      </c>
      <c r="AV331">
        <v>0</v>
      </c>
      <c r="AW331">
        <v>0</v>
      </c>
      <c r="AX331">
        <v>0</v>
      </c>
      <c r="AY331">
        <v>0</v>
      </c>
      <c r="AZ331">
        <v>0</v>
      </c>
      <c r="BA331">
        <v>0</v>
      </c>
      <c r="BB331">
        <v>0</v>
      </c>
      <c r="BC331">
        <v>0</v>
      </c>
      <c r="BD331">
        <v>0</v>
      </c>
      <c r="BE331">
        <v>0</v>
      </c>
      <c r="BF331">
        <v>0</v>
      </c>
      <c r="BG331">
        <v>0</v>
      </c>
      <c r="BH331">
        <v>0</v>
      </c>
      <c r="BI331">
        <v>0</v>
      </c>
      <c r="BJ331">
        <v>0</v>
      </c>
      <c r="BK331">
        <v>0</v>
      </c>
      <c r="BL331">
        <v>0</v>
      </c>
      <c r="BM331">
        <v>0</v>
      </c>
      <c r="BN331">
        <v>0</v>
      </c>
      <c r="BO331">
        <v>0</v>
      </c>
      <c r="BP331">
        <v>0</v>
      </c>
      <c r="BQ331">
        <v>0</v>
      </c>
      <c r="BR331">
        <v>0</v>
      </c>
      <c r="BS331">
        <v>0</v>
      </c>
      <c r="BT331">
        <v>0</v>
      </c>
      <c r="BU331">
        <v>0</v>
      </c>
      <c r="BV331">
        <v>0</v>
      </c>
      <c r="BW331">
        <v>0</v>
      </c>
      <c r="BX331">
        <v>0</v>
      </c>
      <c r="BY331">
        <v>0</v>
      </c>
      <c r="BZ331">
        <v>0</v>
      </c>
      <c r="CA331">
        <v>0</v>
      </c>
      <c r="CB331">
        <v>0</v>
      </c>
      <c r="CC331">
        <v>0</v>
      </c>
      <c r="CD331">
        <v>0</v>
      </c>
      <c r="CE331">
        <v>0</v>
      </c>
      <c r="CF331">
        <v>0</v>
      </c>
      <c r="CG331">
        <v>0</v>
      </c>
      <c r="CH331">
        <v>0</v>
      </c>
      <c r="CI331">
        <v>0</v>
      </c>
      <c r="CJ331">
        <v>0</v>
      </c>
      <c r="CK331">
        <v>0</v>
      </c>
      <c r="CL331">
        <v>0</v>
      </c>
      <c r="CM331">
        <v>0</v>
      </c>
      <c r="CN331">
        <v>0</v>
      </c>
      <c r="CO331">
        <v>0</v>
      </c>
      <c r="CP331">
        <v>0</v>
      </c>
      <c r="CQ331">
        <v>0</v>
      </c>
      <c r="CR331">
        <v>0</v>
      </c>
      <c r="CS331">
        <v>0</v>
      </c>
      <c r="CT331">
        <v>0</v>
      </c>
      <c r="CU331">
        <v>0</v>
      </c>
      <c r="CV331">
        <v>0</v>
      </c>
      <c r="CW331">
        <v>0</v>
      </c>
      <c r="CX331">
        <v>0</v>
      </c>
      <c r="CY331">
        <v>0</v>
      </c>
      <c r="CZ331">
        <v>0</v>
      </c>
      <c r="DA331">
        <v>0</v>
      </c>
      <c r="DB331">
        <v>0</v>
      </c>
      <c r="DC331">
        <v>0</v>
      </c>
      <c r="DD331">
        <v>0</v>
      </c>
      <c r="DE331">
        <v>0</v>
      </c>
      <c r="DF331">
        <v>0</v>
      </c>
      <c r="DG331">
        <v>0</v>
      </c>
      <c r="DH331">
        <v>0</v>
      </c>
      <c r="DI331">
        <v>0</v>
      </c>
      <c r="DJ331">
        <v>0</v>
      </c>
      <c r="DK331">
        <v>0</v>
      </c>
      <c r="DL331">
        <v>0</v>
      </c>
      <c r="DM331">
        <v>0</v>
      </c>
      <c r="DN331">
        <v>0</v>
      </c>
      <c r="DO331">
        <v>0</v>
      </c>
      <c r="DP331">
        <v>0</v>
      </c>
      <c r="DQ331">
        <v>0</v>
      </c>
      <c r="DR331">
        <v>0</v>
      </c>
      <c r="DS331">
        <v>0</v>
      </c>
      <c r="DT331">
        <v>0</v>
      </c>
      <c r="DU331">
        <v>0</v>
      </c>
      <c r="DV331">
        <v>0</v>
      </c>
      <c r="DW331">
        <v>0</v>
      </c>
      <c r="DX331">
        <v>0</v>
      </c>
      <c r="DY331">
        <v>0</v>
      </c>
      <c r="DZ331">
        <v>0</v>
      </c>
      <c r="EA331">
        <v>0</v>
      </c>
      <c r="EB331">
        <v>0</v>
      </c>
      <c r="EC331">
        <v>0</v>
      </c>
      <c r="ED331">
        <v>0</v>
      </c>
      <c r="EE331">
        <v>0</v>
      </c>
      <c r="EF331">
        <v>0</v>
      </c>
      <c r="EG331">
        <v>0</v>
      </c>
      <c r="EH331">
        <v>0</v>
      </c>
      <c r="EI331">
        <v>0</v>
      </c>
      <c r="EJ331">
        <v>0</v>
      </c>
      <c r="EK331">
        <v>0</v>
      </c>
      <c r="EL331">
        <v>0</v>
      </c>
      <c r="EM331">
        <v>0</v>
      </c>
      <c r="EN331">
        <v>0</v>
      </c>
      <c r="EO331">
        <v>0</v>
      </c>
      <c r="EP331">
        <v>0</v>
      </c>
      <c r="EQ331">
        <v>0</v>
      </c>
      <c r="ER331">
        <v>0</v>
      </c>
      <c r="ES331">
        <v>0</v>
      </c>
      <c r="ET331">
        <v>0</v>
      </c>
      <c r="EU331">
        <v>0</v>
      </c>
      <c r="EV331">
        <v>0</v>
      </c>
      <c r="EW331">
        <v>0</v>
      </c>
      <c r="EX331">
        <v>0</v>
      </c>
      <c r="EY331">
        <v>0</v>
      </c>
      <c r="EZ331">
        <v>0</v>
      </c>
      <c r="FA331">
        <v>0</v>
      </c>
      <c r="FB331">
        <v>0</v>
      </c>
      <c r="FC331">
        <v>0</v>
      </c>
      <c r="FD331">
        <v>0</v>
      </c>
      <c r="FE331">
        <v>0</v>
      </c>
      <c r="FF331">
        <v>0</v>
      </c>
      <c r="FG331">
        <v>0</v>
      </c>
      <c r="FH331">
        <v>0</v>
      </c>
      <c r="FI331">
        <v>0</v>
      </c>
      <c r="FJ331">
        <v>0</v>
      </c>
      <c r="FK331">
        <v>0</v>
      </c>
      <c r="FL331">
        <v>0</v>
      </c>
      <c r="FM331">
        <v>0</v>
      </c>
      <c r="FN331">
        <v>0</v>
      </c>
      <c r="FO331">
        <v>0</v>
      </c>
      <c r="FP331">
        <v>0</v>
      </c>
      <c r="FQ331">
        <v>0</v>
      </c>
      <c r="FR331">
        <v>0</v>
      </c>
      <c r="FS331">
        <v>0</v>
      </c>
      <c r="FT331">
        <v>0</v>
      </c>
      <c r="FU331">
        <v>0</v>
      </c>
      <c r="FV331">
        <v>0</v>
      </c>
      <c r="FW331">
        <v>0</v>
      </c>
      <c r="FX331">
        <v>0</v>
      </c>
      <c r="FY331">
        <v>0</v>
      </c>
      <c r="FZ331">
        <v>0</v>
      </c>
      <c r="GA331">
        <v>0</v>
      </c>
      <c r="GB331">
        <v>0</v>
      </c>
      <c r="GC331">
        <v>0</v>
      </c>
      <c r="GD331">
        <v>0</v>
      </c>
      <c r="GE331">
        <v>0</v>
      </c>
      <c r="GF331">
        <v>0</v>
      </c>
      <c r="GG331">
        <v>0</v>
      </c>
      <c r="GH331">
        <v>0</v>
      </c>
      <c r="GI331">
        <v>0</v>
      </c>
      <c r="GJ331">
        <v>0</v>
      </c>
      <c r="GK331">
        <v>0</v>
      </c>
      <c r="GL331">
        <v>0</v>
      </c>
      <c r="GM331">
        <v>0</v>
      </c>
      <c r="GN331">
        <v>0</v>
      </c>
      <c r="GO331">
        <v>0</v>
      </c>
      <c r="GP331">
        <v>0</v>
      </c>
      <c r="GQ331">
        <v>0</v>
      </c>
      <c r="GR331">
        <v>0</v>
      </c>
      <c r="GS331">
        <v>0</v>
      </c>
      <c r="GT331">
        <v>0</v>
      </c>
      <c r="GU331">
        <v>0</v>
      </c>
      <c r="GV331">
        <v>0</v>
      </c>
      <c r="GW331">
        <v>0</v>
      </c>
      <c r="GX331">
        <v>5601</v>
      </c>
      <c r="GY331">
        <v>45314</v>
      </c>
      <c r="GZ331">
        <v>4</v>
      </c>
      <c r="HA331">
        <v>50919</v>
      </c>
      <c r="HB331">
        <v>585</v>
      </c>
      <c r="HC331">
        <v>0</v>
      </c>
      <c r="HD331">
        <v>0</v>
      </c>
      <c r="HE331">
        <v>0</v>
      </c>
      <c r="HF331">
        <v>0</v>
      </c>
      <c r="HG331">
        <v>0</v>
      </c>
      <c r="HH331">
        <v>0</v>
      </c>
      <c r="HI331">
        <v>0</v>
      </c>
      <c r="HJ331">
        <v>0</v>
      </c>
      <c r="HK331">
        <v>0</v>
      </c>
      <c r="HL331">
        <v>0</v>
      </c>
      <c r="HM331">
        <v>0</v>
      </c>
      <c r="HN331">
        <v>0</v>
      </c>
      <c r="HO331">
        <v>0</v>
      </c>
      <c r="HP331">
        <v>0</v>
      </c>
      <c r="HQ331">
        <v>0</v>
      </c>
      <c r="HR331">
        <v>965</v>
      </c>
      <c r="HS331">
        <v>0</v>
      </c>
      <c r="HT331">
        <v>0</v>
      </c>
      <c r="HU331">
        <v>0</v>
      </c>
      <c r="HV331">
        <v>1550</v>
      </c>
      <c r="HW331">
        <v>0</v>
      </c>
      <c r="HX331">
        <v>0</v>
      </c>
      <c r="HY331">
        <v>0</v>
      </c>
      <c r="HZ331">
        <v>0</v>
      </c>
      <c r="IA331">
        <v>0</v>
      </c>
      <c r="IB331">
        <v>0</v>
      </c>
      <c r="IC331">
        <v>0</v>
      </c>
      <c r="ID331">
        <v>0</v>
      </c>
      <c r="IE331">
        <v>0</v>
      </c>
      <c r="IF331">
        <v>0</v>
      </c>
      <c r="IG331">
        <v>0</v>
      </c>
      <c r="IH331">
        <v>0</v>
      </c>
      <c r="II331">
        <v>0</v>
      </c>
      <c r="IJ331">
        <v>0</v>
      </c>
      <c r="IK331">
        <v>0</v>
      </c>
      <c r="IL331">
        <v>0</v>
      </c>
      <c r="IM331">
        <v>50919</v>
      </c>
      <c r="IN331">
        <v>1550</v>
      </c>
      <c r="IO331">
        <v>0</v>
      </c>
      <c r="IP331">
        <v>52469</v>
      </c>
      <c r="IQ331">
        <v>0</v>
      </c>
      <c r="IR331">
        <v>0</v>
      </c>
      <c r="IS331">
        <v>0</v>
      </c>
      <c r="IT331">
        <v>0</v>
      </c>
      <c r="IU331">
        <v>0</v>
      </c>
      <c r="IV331">
        <v>0</v>
      </c>
      <c r="IW331">
        <v>0</v>
      </c>
      <c r="IX331">
        <v>0</v>
      </c>
      <c r="IY331">
        <v>0</v>
      </c>
      <c r="IZ331">
        <v>0</v>
      </c>
      <c r="JA331">
        <v>0</v>
      </c>
      <c r="JB331">
        <v>0</v>
      </c>
      <c r="JC331">
        <v>0</v>
      </c>
      <c r="JD331">
        <v>0</v>
      </c>
      <c r="JE331">
        <v>0</v>
      </c>
      <c r="JF331">
        <v>0</v>
      </c>
      <c r="JG331">
        <v>52469</v>
      </c>
      <c r="JH331">
        <v>0</v>
      </c>
      <c r="JI331">
        <v>4139</v>
      </c>
      <c r="JJ331">
        <v>0</v>
      </c>
      <c r="JK331">
        <v>0</v>
      </c>
      <c r="JL331">
        <v>0</v>
      </c>
      <c r="JM331">
        <v>0</v>
      </c>
      <c r="JN331">
        <v>386</v>
      </c>
      <c r="JO331">
        <v>0</v>
      </c>
      <c r="JP331">
        <v>936</v>
      </c>
      <c r="JQ331">
        <v>0</v>
      </c>
      <c r="JR331">
        <v>57930</v>
      </c>
      <c r="JS331">
        <v>-7</v>
      </c>
      <c r="JT331">
        <v>0</v>
      </c>
      <c r="JU331">
        <v>-16</v>
      </c>
      <c r="JV331">
        <v>0</v>
      </c>
      <c r="JW331">
        <v>0</v>
      </c>
      <c r="JX331">
        <v>0</v>
      </c>
      <c r="JY331">
        <v>0</v>
      </c>
      <c r="JZ331">
        <v>0</v>
      </c>
      <c r="KA331">
        <v>0</v>
      </c>
      <c r="KB331">
        <v>0</v>
      </c>
      <c r="KC331">
        <v>57907</v>
      </c>
      <c r="KD331">
        <v>0</v>
      </c>
      <c r="KE331">
        <v>-881</v>
      </c>
      <c r="KF331">
        <v>57026</v>
      </c>
      <c r="KG331">
        <v>0</v>
      </c>
      <c r="KH331">
        <v>0</v>
      </c>
      <c r="KI331">
        <v>0</v>
      </c>
      <c r="KJ331">
        <v>0</v>
      </c>
      <c r="KK331">
        <v>-826</v>
      </c>
      <c r="KL331">
        <v>1244</v>
      </c>
      <c r="KM331">
        <v>-8458</v>
      </c>
      <c r="KN331">
        <v>0</v>
      </c>
      <c r="KO331">
        <v>-15612</v>
      </c>
      <c r="KP331">
        <v>-4184</v>
      </c>
      <c r="KQ331">
        <v>0</v>
      </c>
      <c r="KR331">
        <v>27144</v>
      </c>
      <c r="KS331">
        <v>0</v>
      </c>
      <c r="KT331">
        <v>0</v>
      </c>
      <c r="KU331">
        <v>0</v>
      </c>
      <c r="KV331">
        <v>13696</v>
      </c>
      <c r="KW331">
        <v>5000</v>
      </c>
      <c r="KX331">
        <v>0</v>
      </c>
      <c r="KY331">
        <v>0</v>
      </c>
      <c r="KZ331">
        <v>0</v>
      </c>
      <c r="LA331">
        <v>12870</v>
      </c>
      <c r="LB331">
        <v>6244</v>
      </c>
      <c r="LC331">
        <v>0</v>
      </c>
      <c r="LD331">
        <v>-3773</v>
      </c>
      <c r="LE331">
        <v>0</v>
      </c>
      <c r="LF331">
        <v>853</v>
      </c>
      <c r="LG331">
        <v>0</v>
      </c>
      <c r="LH331">
        <v>0</v>
      </c>
      <c r="LI331">
        <v>-2920</v>
      </c>
      <c r="LJ331">
        <v>0</v>
      </c>
      <c r="LK331">
        <v>0</v>
      </c>
      <c r="LL331">
        <v>0</v>
      </c>
      <c r="LM331">
        <v>0</v>
      </c>
      <c r="LN331">
        <v>0</v>
      </c>
      <c r="LO331">
        <v>0</v>
      </c>
      <c r="LP331">
        <v>0</v>
      </c>
      <c r="LQ331">
        <v>0</v>
      </c>
      <c r="LR331">
        <v>0</v>
      </c>
      <c r="LS331">
        <v>0</v>
      </c>
      <c r="LT331">
        <v>0</v>
      </c>
      <c r="LU331">
        <v>0</v>
      </c>
      <c r="LV331">
        <v>0</v>
      </c>
      <c r="LW331">
        <v>0</v>
      </c>
      <c r="LX331">
        <v>0</v>
      </c>
      <c r="LY331">
        <v>0</v>
      </c>
      <c r="LZ331">
        <v>0</v>
      </c>
      <c r="MA331">
        <v>0</v>
      </c>
      <c r="MB331">
        <v>0</v>
      </c>
      <c r="MC331">
        <v>0</v>
      </c>
      <c r="MD331">
        <v>0</v>
      </c>
      <c r="ME331">
        <v>50919</v>
      </c>
      <c r="MF331">
        <v>1550</v>
      </c>
      <c r="MG331">
        <v>0</v>
      </c>
      <c r="MH331">
        <v>52469</v>
      </c>
      <c r="MI331">
        <v>0</v>
      </c>
      <c r="MJ331">
        <v>0</v>
      </c>
      <c r="MK331">
        <v>0</v>
      </c>
      <c r="ML331">
        <v>0</v>
      </c>
      <c r="MM331">
        <v>0</v>
      </c>
      <c r="MN331">
        <v>0</v>
      </c>
      <c r="MO331">
        <v>0</v>
      </c>
      <c r="MP331">
        <v>0</v>
      </c>
      <c r="MQ331">
        <v>0</v>
      </c>
      <c r="MR331">
        <v>0</v>
      </c>
      <c r="MS331">
        <v>0</v>
      </c>
      <c r="MT331">
        <v>0</v>
      </c>
      <c r="MU331">
        <v>0</v>
      </c>
      <c r="MV331">
        <v>0</v>
      </c>
      <c r="MW331">
        <v>0</v>
      </c>
      <c r="MX331">
        <v>0</v>
      </c>
      <c r="MY331">
        <v>0</v>
      </c>
      <c r="MZ331">
        <v>0</v>
      </c>
      <c r="NA331">
        <v>0</v>
      </c>
      <c r="NB331">
        <v>0</v>
      </c>
      <c r="NC331">
        <v>0</v>
      </c>
      <c r="ND331">
        <v>0</v>
      </c>
      <c r="NE331">
        <v>0</v>
      </c>
      <c r="NF331">
        <v>0</v>
      </c>
      <c r="NG331">
        <v>0</v>
      </c>
      <c r="NH331">
        <v>0</v>
      </c>
      <c r="NI331">
        <v>0</v>
      </c>
      <c r="NJ331">
        <v>0</v>
      </c>
      <c r="NK331">
        <v>0</v>
      </c>
      <c r="NL331">
        <v>0</v>
      </c>
      <c r="NM331">
        <v>0</v>
      </c>
      <c r="NN331">
        <v>0</v>
      </c>
      <c r="NO331">
        <v>0</v>
      </c>
      <c r="NP331">
        <v>0</v>
      </c>
      <c r="NQ331">
        <v>0</v>
      </c>
      <c r="NR331">
        <v>0</v>
      </c>
      <c r="NS331">
        <v>0</v>
      </c>
      <c r="NT331">
        <v>0</v>
      </c>
      <c r="NU331">
        <v>0</v>
      </c>
      <c r="NV331">
        <v>0</v>
      </c>
      <c r="NW331">
        <v>0</v>
      </c>
      <c r="NX331">
        <v>0</v>
      </c>
      <c r="NY331">
        <v>0</v>
      </c>
      <c r="NZ331">
        <v>0</v>
      </c>
      <c r="OA331">
        <v>0</v>
      </c>
      <c r="OB331">
        <v>0</v>
      </c>
      <c r="OC331">
        <v>0</v>
      </c>
      <c r="OD331">
        <v>0</v>
      </c>
      <c r="OE331">
        <v>0</v>
      </c>
      <c r="OF331">
        <v>0</v>
      </c>
      <c r="OG331">
        <v>0</v>
      </c>
      <c r="OH331">
        <v>0</v>
      </c>
      <c r="OI331">
        <v>0</v>
      </c>
      <c r="OJ331">
        <v>0</v>
      </c>
      <c r="OK331">
        <v>0</v>
      </c>
      <c r="OL331">
        <v>0</v>
      </c>
      <c r="OM331">
        <v>0</v>
      </c>
      <c r="ON331">
        <v>0</v>
      </c>
    </row>
    <row r="332" spans="1:404" x14ac:dyDescent="0.25">
      <c r="A332" t="s">
        <v>1067</v>
      </c>
      <c r="B332" t="s">
        <v>1068</v>
      </c>
      <c r="C332" t="s">
        <v>1066</v>
      </c>
      <c r="E332" t="s">
        <v>71</v>
      </c>
      <c r="F332">
        <v>0</v>
      </c>
      <c r="G332">
        <v>0</v>
      </c>
      <c r="H332">
        <v>0</v>
      </c>
      <c r="I332">
        <v>0</v>
      </c>
      <c r="J332">
        <v>0</v>
      </c>
      <c r="K332">
        <v>0</v>
      </c>
      <c r="L332">
        <v>0</v>
      </c>
      <c r="M332">
        <v>0</v>
      </c>
      <c r="N332">
        <v>0</v>
      </c>
      <c r="O332">
        <v>0</v>
      </c>
      <c r="P332">
        <v>0</v>
      </c>
      <c r="Q332">
        <v>0</v>
      </c>
      <c r="R332">
        <v>0</v>
      </c>
      <c r="S332">
        <v>0</v>
      </c>
      <c r="T332">
        <v>0</v>
      </c>
      <c r="U332">
        <v>0</v>
      </c>
      <c r="V332">
        <v>0</v>
      </c>
      <c r="W332">
        <v>0</v>
      </c>
      <c r="X332">
        <v>0</v>
      </c>
      <c r="Y332">
        <v>0</v>
      </c>
      <c r="Z332">
        <v>0</v>
      </c>
      <c r="AA332">
        <v>0</v>
      </c>
      <c r="AB332">
        <v>0</v>
      </c>
      <c r="AC332">
        <v>0</v>
      </c>
      <c r="AD332">
        <v>0</v>
      </c>
      <c r="AE332">
        <v>0</v>
      </c>
      <c r="AF332">
        <v>0</v>
      </c>
      <c r="AG332">
        <v>0</v>
      </c>
      <c r="AH332">
        <v>0</v>
      </c>
      <c r="AI332">
        <v>0</v>
      </c>
      <c r="AJ332">
        <v>0</v>
      </c>
      <c r="AK332">
        <v>0</v>
      </c>
      <c r="AL332">
        <v>0</v>
      </c>
      <c r="AM332">
        <v>0</v>
      </c>
      <c r="AN332">
        <v>0</v>
      </c>
      <c r="AO332">
        <v>0</v>
      </c>
      <c r="AP332">
        <v>0</v>
      </c>
      <c r="AQ332">
        <v>0</v>
      </c>
      <c r="AR332">
        <v>0</v>
      </c>
      <c r="AS332">
        <v>0</v>
      </c>
      <c r="AT332">
        <v>0</v>
      </c>
      <c r="AU332">
        <v>0</v>
      </c>
      <c r="AV332">
        <v>0</v>
      </c>
      <c r="AW332">
        <v>0</v>
      </c>
      <c r="AX332">
        <v>0</v>
      </c>
      <c r="AY332">
        <v>0</v>
      </c>
      <c r="AZ332">
        <v>0</v>
      </c>
      <c r="BA332">
        <v>0</v>
      </c>
      <c r="BB332">
        <v>0</v>
      </c>
      <c r="BC332">
        <v>0</v>
      </c>
      <c r="BD332">
        <v>0</v>
      </c>
      <c r="BE332">
        <v>0</v>
      </c>
      <c r="BF332">
        <v>0</v>
      </c>
      <c r="BG332">
        <v>0</v>
      </c>
      <c r="BH332">
        <v>0</v>
      </c>
      <c r="BI332">
        <v>0</v>
      </c>
      <c r="BJ332">
        <v>0</v>
      </c>
      <c r="BK332">
        <v>0</v>
      </c>
      <c r="BL332">
        <v>0</v>
      </c>
      <c r="BM332">
        <v>0</v>
      </c>
      <c r="BN332">
        <v>0</v>
      </c>
      <c r="BO332">
        <v>0</v>
      </c>
      <c r="BP332">
        <v>0</v>
      </c>
      <c r="BQ332">
        <v>0</v>
      </c>
      <c r="BR332">
        <v>0</v>
      </c>
      <c r="BS332">
        <v>0</v>
      </c>
      <c r="BT332">
        <v>0</v>
      </c>
      <c r="BU332">
        <v>0</v>
      </c>
      <c r="BV332">
        <v>0</v>
      </c>
      <c r="BW332">
        <v>0</v>
      </c>
      <c r="BX332">
        <v>0</v>
      </c>
      <c r="BY332">
        <v>0</v>
      </c>
      <c r="BZ332">
        <v>0</v>
      </c>
      <c r="CA332">
        <v>0</v>
      </c>
      <c r="CB332">
        <v>0</v>
      </c>
      <c r="CC332">
        <v>0</v>
      </c>
      <c r="CD332">
        <v>0</v>
      </c>
      <c r="CE332">
        <v>0</v>
      </c>
      <c r="CF332">
        <v>0</v>
      </c>
      <c r="CG332">
        <v>0</v>
      </c>
      <c r="CH332">
        <v>0</v>
      </c>
      <c r="CI332">
        <v>0</v>
      </c>
      <c r="CJ332">
        <v>0</v>
      </c>
      <c r="CK332">
        <v>0</v>
      </c>
      <c r="CL332">
        <v>0</v>
      </c>
      <c r="CM332">
        <v>0</v>
      </c>
      <c r="CN332">
        <v>0</v>
      </c>
      <c r="CO332">
        <v>0</v>
      </c>
      <c r="CP332">
        <v>0</v>
      </c>
      <c r="CQ332">
        <v>0</v>
      </c>
      <c r="CR332">
        <v>0</v>
      </c>
      <c r="CS332">
        <v>0</v>
      </c>
      <c r="CT332">
        <v>0</v>
      </c>
      <c r="CU332">
        <v>0</v>
      </c>
      <c r="CV332">
        <v>0</v>
      </c>
      <c r="CW332">
        <v>0</v>
      </c>
      <c r="CX332">
        <v>0</v>
      </c>
      <c r="CY332">
        <v>0</v>
      </c>
      <c r="CZ332">
        <v>0</v>
      </c>
      <c r="DA332">
        <v>0</v>
      </c>
      <c r="DB332">
        <v>0</v>
      </c>
      <c r="DC332">
        <v>0</v>
      </c>
      <c r="DD332">
        <v>0</v>
      </c>
      <c r="DE332">
        <v>0</v>
      </c>
      <c r="DF332">
        <v>0</v>
      </c>
      <c r="DG332">
        <v>0</v>
      </c>
      <c r="DH332">
        <v>0</v>
      </c>
      <c r="DI332">
        <v>0</v>
      </c>
      <c r="DJ332">
        <v>0</v>
      </c>
      <c r="DK332">
        <v>0</v>
      </c>
      <c r="DL332">
        <v>0</v>
      </c>
      <c r="DM332">
        <v>0</v>
      </c>
      <c r="DN332">
        <v>0</v>
      </c>
      <c r="DO332">
        <v>0</v>
      </c>
      <c r="DP332">
        <v>0</v>
      </c>
      <c r="DQ332">
        <v>0</v>
      </c>
      <c r="DR332">
        <v>0</v>
      </c>
      <c r="DS332">
        <v>0</v>
      </c>
      <c r="DT332">
        <v>0</v>
      </c>
      <c r="DU332">
        <v>0</v>
      </c>
      <c r="DV332">
        <v>0</v>
      </c>
      <c r="DW332">
        <v>0</v>
      </c>
      <c r="DX332">
        <v>0</v>
      </c>
      <c r="DY332">
        <v>0</v>
      </c>
      <c r="DZ332">
        <v>0</v>
      </c>
      <c r="EA332">
        <v>0</v>
      </c>
      <c r="EB332">
        <v>0</v>
      </c>
      <c r="EC332">
        <v>0</v>
      </c>
      <c r="ED332">
        <v>0</v>
      </c>
      <c r="EE332">
        <v>0</v>
      </c>
      <c r="EF332">
        <v>0</v>
      </c>
      <c r="EG332">
        <v>0</v>
      </c>
      <c r="EH332">
        <v>0</v>
      </c>
      <c r="EI332">
        <v>0</v>
      </c>
      <c r="EJ332">
        <v>0</v>
      </c>
      <c r="EK332">
        <v>0</v>
      </c>
      <c r="EL332">
        <v>0</v>
      </c>
      <c r="EM332">
        <v>0</v>
      </c>
      <c r="EN332">
        <v>0</v>
      </c>
      <c r="EO332">
        <v>0</v>
      </c>
      <c r="EP332">
        <v>0</v>
      </c>
      <c r="EQ332">
        <v>0</v>
      </c>
      <c r="ER332">
        <v>0</v>
      </c>
      <c r="ES332">
        <v>0</v>
      </c>
      <c r="ET332">
        <v>0</v>
      </c>
      <c r="EU332">
        <v>0</v>
      </c>
      <c r="EV332">
        <v>0</v>
      </c>
      <c r="EW332">
        <v>0</v>
      </c>
      <c r="EX332">
        <v>0</v>
      </c>
      <c r="EY332">
        <v>0</v>
      </c>
      <c r="EZ332">
        <v>0</v>
      </c>
      <c r="FA332">
        <v>0</v>
      </c>
      <c r="FB332">
        <v>0</v>
      </c>
      <c r="FC332">
        <v>0</v>
      </c>
      <c r="FD332">
        <v>0</v>
      </c>
      <c r="FE332">
        <v>0</v>
      </c>
      <c r="FF332">
        <v>0</v>
      </c>
      <c r="FG332">
        <v>0</v>
      </c>
      <c r="FH332">
        <v>0</v>
      </c>
      <c r="FI332">
        <v>0</v>
      </c>
      <c r="FJ332">
        <v>0</v>
      </c>
      <c r="FK332">
        <v>0</v>
      </c>
      <c r="FL332">
        <v>0</v>
      </c>
      <c r="FM332">
        <v>0</v>
      </c>
      <c r="FN332">
        <v>0</v>
      </c>
      <c r="FO332">
        <v>0</v>
      </c>
      <c r="FP332">
        <v>0</v>
      </c>
      <c r="FQ332">
        <v>0</v>
      </c>
      <c r="FR332">
        <v>0</v>
      </c>
      <c r="FS332">
        <v>0</v>
      </c>
      <c r="FT332">
        <v>0</v>
      </c>
      <c r="FU332">
        <v>0</v>
      </c>
      <c r="FV332">
        <v>0</v>
      </c>
      <c r="FW332">
        <v>0</v>
      </c>
      <c r="FX332">
        <v>0</v>
      </c>
      <c r="FY332">
        <v>0</v>
      </c>
      <c r="FZ332">
        <v>0</v>
      </c>
      <c r="GA332">
        <v>0</v>
      </c>
      <c r="GB332">
        <v>0</v>
      </c>
      <c r="GC332">
        <v>0</v>
      </c>
      <c r="GD332">
        <v>0</v>
      </c>
      <c r="GE332">
        <v>0</v>
      </c>
      <c r="GF332">
        <v>0</v>
      </c>
      <c r="GG332">
        <v>0</v>
      </c>
      <c r="GH332">
        <v>0</v>
      </c>
      <c r="GI332">
        <v>0</v>
      </c>
      <c r="GJ332">
        <v>0</v>
      </c>
      <c r="GK332">
        <v>0</v>
      </c>
      <c r="GL332">
        <v>0</v>
      </c>
      <c r="GM332">
        <v>0</v>
      </c>
      <c r="GN332">
        <v>0</v>
      </c>
      <c r="GO332">
        <v>0</v>
      </c>
      <c r="GP332">
        <v>0</v>
      </c>
      <c r="GQ332">
        <v>0</v>
      </c>
      <c r="GR332">
        <v>0</v>
      </c>
      <c r="GS332">
        <v>0</v>
      </c>
      <c r="GT332">
        <v>0</v>
      </c>
      <c r="GU332">
        <v>0</v>
      </c>
      <c r="GV332">
        <v>0</v>
      </c>
      <c r="GW332">
        <v>313102</v>
      </c>
      <c r="GX332">
        <v>0</v>
      </c>
      <c r="GY332">
        <v>0</v>
      </c>
      <c r="GZ332">
        <v>0</v>
      </c>
      <c r="HA332">
        <v>0</v>
      </c>
      <c r="HB332">
        <v>0</v>
      </c>
      <c r="HC332">
        <v>0</v>
      </c>
      <c r="HD332">
        <v>0</v>
      </c>
      <c r="HE332">
        <v>0</v>
      </c>
      <c r="HF332">
        <v>0</v>
      </c>
      <c r="HG332">
        <v>0</v>
      </c>
      <c r="HH332">
        <v>0</v>
      </c>
      <c r="HI332">
        <v>0</v>
      </c>
      <c r="HJ332">
        <v>0</v>
      </c>
      <c r="HK332">
        <v>0</v>
      </c>
      <c r="HL332">
        <v>0</v>
      </c>
      <c r="HM332">
        <v>0</v>
      </c>
      <c r="HN332">
        <v>0</v>
      </c>
      <c r="HO332">
        <v>0</v>
      </c>
      <c r="HP332">
        <v>0</v>
      </c>
      <c r="HQ332">
        <v>0</v>
      </c>
      <c r="HR332">
        <v>0</v>
      </c>
      <c r="HS332">
        <v>0</v>
      </c>
      <c r="HT332">
        <v>0</v>
      </c>
      <c r="HU332">
        <v>0</v>
      </c>
      <c r="HV332">
        <v>0</v>
      </c>
      <c r="HW332">
        <v>0</v>
      </c>
      <c r="HX332">
        <v>0</v>
      </c>
      <c r="HY332">
        <v>0</v>
      </c>
      <c r="HZ332">
        <v>0</v>
      </c>
      <c r="IA332">
        <v>0</v>
      </c>
      <c r="IB332">
        <v>0</v>
      </c>
      <c r="IC332">
        <v>0</v>
      </c>
      <c r="ID332">
        <v>0</v>
      </c>
      <c r="IE332">
        <v>0</v>
      </c>
      <c r="IF332">
        <v>0</v>
      </c>
      <c r="IG332">
        <v>0</v>
      </c>
      <c r="IH332">
        <v>0</v>
      </c>
      <c r="II332">
        <v>0</v>
      </c>
      <c r="IJ332">
        <v>0</v>
      </c>
      <c r="IK332">
        <v>0</v>
      </c>
      <c r="IL332">
        <v>313102</v>
      </c>
      <c r="IM332">
        <v>0</v>
      </c>
      <c r="IN332">
        <v>0</v>
      </c>
      <c r="IO332">
        <v>0</v>
      </c>
      <c r="IP332">
        <v>313102</v>
      </c>
      <c r="IQ332">
        <v>0</v>
      </c>
      <c r="IR332">
        <v>0</v>
      </c>
      <c r="IS332">
        <v>0</v>
      </c>
      <c r="IT332">
        <v>0</v>
      </c>
      <c r="IU332">
        <v>0</v>
      </c>
      <c r="IV332">
        <v>0</v>
      </c>
      <c r="IW332">
        <v>0</v>
      </c>
      <c r="IX332">
        <v>0</v>
      </c>
      <c r="IY332">
        <v>0</v>
      </c>
      <c r="IZ332">
        <v>0</v>
      </c>
      <c r="JA332">
        <v>0</v>
      </c>
      <c r="JB332">
        <v>0</v>
      </c>
      <c r="JC332">
        <v>0</v>
      </c>
      <c r="JD332">
        <v>0</v>
      </c>
      <c r="JE332">
        <v>-610</v>
      </c>
      <c r="JF332">
        <v>0</v>
      </c>
      <c r="JG332">
        <v>312492</v>
      </c>
      <c r="JH332">
        <v>0</v>
      </c>
      <c r="JI332">
        <v>1379</v>
      </c>
      <c r="JJ332">
        <v>0</v>
      </c>
      <c r="JK332">
        <v>0</v>
      </c>
      <c r="JL332">
        <v>0</v>
      </c>
      <c r="JM332">
        <v>0</v>
      </c>
      <c r="JN332">
        <v>967</v>
      </c>
      <c r="JO332">
        <v>0</v>
      </c>
      <c r="JP332">
        <v>1563</v>
      </c>
      <c r="JQ332">
        <v>0</v>
      </c>
      <c r="JR332">
        <v>316401</v>
      </c>
      <c r="JS332">
        <v>-107</v>
      </c>
      <c r="JT332">
        <v>0</v>
      </c>
      <c r="JU332">
        <v>-10</v>
      </c>
      <c r="JV332">
        <v>0</v>
      </c>
      <c r="JW332">
        <v>-137</v>
      </c>
      <c r="JX332">
        <v>0</v>
      </c>
      <c r="JY332">
        <v>0</v>
      </c>
      <c r="JZ332">
        <v>0</v>
      </c>
      <c r="KA332">
        <v>0</v>
      </c>
      <c r="KB332">
        <v>0</v>
      </c>
      <c r="KC332">
        <v>316147</v>
      </c>
      <c r="KD332">
        <v>0</v>
      </c>
      <c r="KE332">
        <v>-25838</v>
      </c>
      <c r="KF332">
        <v>290309</v>
      </c>
      <c r="KG332">
        <v>0</v>
      </c>
      <c r="KH332">
        <v>0</v>
      </c>
      <c r="KI332">
        <v>0</v>
      </c>
      <c r="KJ332">
        <v>0</v>
      </c>
      <c r="KK332">
        <v>8684</v>
      </c>
      <c r="KL332">
        <v>-5328</v>
      </c>
      <c r="KM332">
        <v>0</v>
      </c>
      <c r="KN332">
        <v>-216224</v>
      </c>
      <c r="KO332">
        <v>0</v>
      </c>
      <c r="KP332">
        <v>330</v>
      </c>
      <c r="KQ332">
        <v>0</v>
      </c>
      <c r="KR332">
        <v>76019</v>
      </c>
      <c r="KS332">
        <v>0</v>
      </c>
      <c r="KT332">
        <v>0</v>
      </c>
      <c r="KU332">
        <v>0</v>
      </c>
      <c r="KV332">
        <v>22113</v>
      </c>
      <c r="KW332">
        <v>42246</v>
      </c>
      <c r="KX332">
        <v>0</v>
      </c>
      <c r="KY332">
        <v>0</v>
      </c>
      <c r="KZ332">
        <v>0</v>
      </c>
      <c r="LA332">
        <v>30797</v>
      </c>
      <c r="LB332">
        <v>36918</v>
      </c>
      <c r="LC332">
        <v>0</v>
      </c>
      <c r="LD332">
        <v>7679</v>
      </c>
      <c r="LE332">
        <v>0</v>
      </c>
      <c r="LF332">
        <v>-1661</v>
      </c>
      <c r="LG332">
        <v>0</v>
      </c>
      <c r="LH332">
        <v>0</v>
      </c>
      <c r="LI332">
        <v>6018</v>
      </c>
      <c r="LJ332">
        <v>0</v>
      </c>
      <c r="LK332">
        <v>0</v>
      </c>
      <c r="LL332">
        <v>0</v>
      </c>
      <c r="LM332">
        <v>0</v>
      </c>
      <c r="LN332">
        <v>0</v>
      </c>
      <c r="LO332">
        <v>0</v>
      </c>
      <c r="LP332">
        <v>0</v>
      </c>
      <c r="LQ332">
        <v>0</v>
      </c>
      <c r="LR332">
        <v>0</v>
      </c>
      <c r="LS332">
        <v>0</v>
      </c>
      <c r="LT332">
        <v>0</v>
      </c>
      <c r="LU332">
        <v>0</v>
      </c>
      <c r="LV332">
        <v>0</v>
      </c>
      <c r="LW332">
        <v>0</v>
      </c>
      <c r="LX332">
        <v>0</v>
      </c>
      <c r="LY332">
        <v>0</v>
      </c>
      <c r="LZ332">
        <v>0</v>
      </c>
      <c r="MA332">
        <v>0</v>
      </c>
      <c r="MB332">
        <v>0</v>
      </c>
      <c r="MC332">
        <v>0</v>
      </c>
      <c r="MD332">
        <v>313102</v>
      </c>
      <c r="ME332">
        <v>0</v>
      </c>
      <c r="MF332">
        <v>0</v>
      </c>
      <c r="MG332">
        <v>0</v>
      </c>
      <c r="MH332">
        <v>313102</v>
      </c>
      <c r="MI332">
        <v>0</v>
      </c>
      <c r="MJ332">
        <v>0</v>
      </c>
      <c r="MK332">
        <v>0</v>
      </c>
      <c r="ML332">
        <v>0</v>
      </c>
      <c r="MM332">
        <v>0</v>
      </c>
      <c r="MN332">
        <v>0</v>
      </c>
      <c r="MO332">
        <v>0</v>
      </c>
      <c r="MP332">
        <v>0</v>
      </c>
      <c r="MQ332">
        <v>0</v>
      </c>
      <c r="MR332">
        <v>0</v>
      </c>
      <c r="MS332">
        <v>0</v>
      </c>
      <c r="MT332">
        <v>0</v>
      </c>
      <c r="MU332">
        <v>0</v>
      </c>
      <c r="MV332">
        <v>0</v>
      </c>
      <c r="MW332">
        <v>0</v>
      </c>
      <c r="MX332">
        <v>0</v>
      </c>
      <c r="MY332">
        <v>0</v>
      </c>
      <c r="MZ332">
        <v>0</v>
      </c>
      <c r="NA332">
        <v>0</v>
      </c>
      <c r="NB332">
        <v>0</v>
      </c>
      <c r="NC332">
        <v>0</v>
      </c>
      <c r="ND332">
        <v>0</v>
      </c>
      <c r="NE332">
        <v>0</v>
      </c>
      <c r="NF332">
        <v>0</v>
      </c>
      <c r="NG332">
        <v>0</v>
      </c>
      <c r="NH332">
        <v>0</v>
      </c>
      <c r="NI332">
        <v>0</v>
      </c>
      <c r="NJ332">
        <v>0</v>
      </c>
      <c r="NK332">
        <v>0</v>
      </c>
      <c r="NL332">
        <v>0</v>
      </c>
      <c r="NM332">
        <v>0</v>
      </c>
      <c r="NN332">
        <v>0</v>
      </c>
      <c r="NO332">
        <v>0</v>
      </c>
      <c r="NP332">
        <v>0</v>
      </c>
      <c r="NQ332">
        <v>0</v>
      </c>
      <c r="NR332">
        <v>0</v>
      </c>
      <c r="NS332">
        <v>0</v>
      </c>
      <c r="NT332">
        <v>0</v>
      </c>
      <c r="NU332">
        <v>0</v>
      </c>
      <c r="NV332">
        <v>0</v>
      </c>
      <c r="NW332">
        <v>0</v>
      </c>
      <c r="NX332">
        <v>0</v>
      </c>
      <c r="NY332">
        <v>0</v>
      </c>
      <c r="NZ332">
        <v>0</v>
      </c>
      <c r="OA332">
        <v>0</v>
      </c>
      <c r="OB332">
        <v>0</v>
      </c>
      <c r="OC332">
        <v>0</v>
      </c>
      <c r="OD332">
        <v>0</v>
      </c>
      <c r="OE332">
        <v>0</v>
      </c>
      <c r="OF332">
        <v>0</v>
      </c>
      <c r="OG332">
        <v>0</v>
      </c>
      <c r="OH332">
        <v>0</v>
      </c>
      <c r="OI332">
        <v>0</v>
      </c>
      <c r="OJ332">
        <v>0</v>
      </c>
      <c r="OK332">
        <v>0</v>
      </c>
      <c r="OL332">
        <v>0</v>
      </c>
      <c r="OM332">
        <v>0</v>
      </c>
      <c r="ON332">
        <v>0</v>
      </c>
    </row>
    <row r="333" spans="1:404" x14ac:dyDescent="0.25">
      <c r="A333" t="s">
        <v>1070</v>
      </c>
      <c r="B333" t="s">
        <v>1071</v>
      </c>
      <c r="C333" t="s">
        <v>1069</v>
      </c>
      <c r="E333" t="s">
        <v>125</v>
      </c>
      <c r="F333">
        <v>18707</v>
      </c>
      <c r="G333">
        <v>74473</v>
      </c>
      <c r="H333">
        <v>53965</v>
      </c>
      <c r="I333">
        <v>14611</v>
      </c>
      <c r="J333">
        <v>3483</v>
      </c>
      <c r="K333">
        <v>15841</v>
      </c>
      <c r="L333">
        <v>181080</v>
      </c>
      <c r="M333">
        <v>639</v>
      </c>
      <c r="N333">
        <v>2572</v>
      </c>
      <c r="O333">
        <v>116</v>
      </c>
      <c r="P333">
        <v>0</v>
      </c>
      <c r="Q333">
        <v>78</v>
      </c>
      <c r="R333">
        <v>1633</v>
      </c>
      <c r="S333">
        <v>0</v>
      </c>
      <c r="T333">
        <v>523</v>
      </c>
      <c r="U333">
        <v>5556</v>
      </c>
      <c r="V333">
        <v>0</v>
      </c>
      <c r="W333">
        <v>-227</v>
      </c>
      <c r="X333">
        <v>229</v>
      </c>
      <c r="Y333">
        <v>0</v>
      </c>
      <c r="Z333">
        <v>-1497</v>
      </c>
      <c r="AA333">
        <v>-1468</v>
      </c>
      <c r="AB333">
        <v>1565</v>
      </c>
      <c r="AC333">
        <v>0</v>
      </c>
      <c r="AD333">
        <v>100</v>
      </c>
      <c r="AE333">
        <v>0</v>
      </c>
      <c r="AF333">
        <v>0</v>
      </c>
      <c r="AG333">
        <v>0</v>
      </c>
      <c r="AH333">
        <v>-2667</v>
      </c>
      <c r="AI333">
        <v>7152</v>
      </c>
      <c r="AJ333">
        <v>0</v>
      </c>
      <c r="AK333">
        <v>0</v>
      </c>
      <c r="AL333">
        <v>0</v>
      </c>
      <c r="AM333">
        <v>0</v>
      </c>
      <c r="AN333">
        <v>0</v>
      </c>
      <c r="AO333">
        <v>0</v>
      </c>
      <c r="AP333">
        <v>0</v>
      </c>
      <c r="AQ333">
        <v>1249</v>
      </c>
      <c r="AR333">
        <v>2452</v>
      </c>
      <c r="AS333">
        <v>0</v>
      </c>
      <c r="AT333">
        <v>0</v>
      </c>
      <c r="AU333">
        <v>0</v>
      </c>
      <c r="AV333">
        <v>1905</v>
      </c>
      <c r="AW333">
        <v>37263</v>
      </c>
      <c r="AX333">
        <v>82</v>
      </c>
      <c r="AY333">
        <v>4244</v>
      </c>
      <c r="AZ333">
        <v>1500</v>
      </c>
      <c r="BA333">
        <v>20687</v>
      </c>
      <c r="BB333">
        <v>43</v>
      </c>
      <c r="BC333">
        <v>358</v>
      </c>
      <c r="BD333">
        <v>66082</v>
      </c>
      <c r="BE333">
        <v>5964</v>
      </c>
      <c r="BF333">
        <v>14476</v>
      </c>
      <c r="BG333">
        <v>172</v>
      </c>
      <c r="BH333">
        <v>180</v>
      </c>
      <c r="BI333">
        <v>965</v>
      </c>
      <c r="BJ333">
        <v>10279</v>
      </c>
      <c r="BK333">
        <v>20527</v>
      </c>
      <c r="BL333">
        <v>3166</v>
      </c>
      <c r="BM333">
        <v>6613</v>
      </c>
      <c r="BN333">
        <v>2042</v>
      </c>
      <c r="BO333">
        <v>1290</v>
      </c>
      <c r="BP333">
        <v>85</v>
      </c>
      <c r="BQ333">
        <v>0</v>
      </c>
      <c r="BR333">
        <v>596</v>
      </c>
      <c r="BS333">
        <v>1349</v>
      </c>
      <c r="BT333">
        <v>12277</v>
      </c>
      <c r="BU333">
        <v>1336</v>
      </c>
      <c r="BV333">
        <v>14805</v>
      </c>
      <c r="BW333">
        <v>102138</v>
      </c>
      <c r="BX333">
        <v>1782</v>
      </c>
      <c r="BY333">
        <v>682</v>
      </c>
      <c r="BZ333">
        <v>411</v>
      </c>
      <c r="CA333">
        <v>95</v>
      </c>
      <c r="CB333">
        <v>254</v>
      </c>
      <c r="CC333">
        <v>332</v>
      </c>
      <c r="CD333">
        <v>109</v>
      </c>
      <c r="CE333">
        <v>231</v>
      </c>
      <c r="CF333">
        <v>359</v>
      </c>
      <c r="CG333">
        <v>107</v>
      </c>
      <c r="CH333">
        <v>74</v>
      </c>
      <c r="CI333">
        <v>2304</v>
      </c>
      <c r="CJ333">
        <v>729</v>
      </c>
      <c r="CK333">
        <v>703</v>
      </c>
      <c r="CL333">
        <v>507</v>
      </c>
      <c r="CM333">
        <v>127</v>
      </c>
      <c r="CN333">
        <v>777</v>
      </c>
      <c r="CO333">
        <v>67</v>
      </c>
      <c r="CP333">
        <v>2627</v>
      </c>
      <c r="CQ333">
        <v>3805</v>
      </c>
      <c r="CR333">
        <v>552</v>
      </c>
      <c r="CS333">
        <v>134</v>
      </c>
      <c r="CT333">
        <v>734</v>
      </c>
      <c r="CU333">
        <v>506</v>
      </c>
      <c r="CV333">
        <v>23943</v>
      </c>
      <c r="CW333">
        <v>86</v>
      </c>
      <c r="CX333">
        <v>0</v>
      </c>
      <c r="CY333">
        <v>183</v>
      </c>
      <c r="CZ333">
        <v>0</v>
      </c>
      <c r="DA333">
        <v>0</v>
      </c>
      <c r="DB333">
        <v>0</v>
      </c>
      <c r="DC333">
        <v>0</v>
      </c>
      <c r="DD333">
        <v>0</v>
      </c>
      <c r="DE333">
        <v>80</v>
      </c>
      <c r="DF333">
        <v>391</v>
      </c>
      <c r="DG333">
        <v>0</v>
      </c>
      <c r="DH333">
        <v>0</v>
      </c>
      <c r="DI333">
        <v>0</v>
      </c>
      <c r="DJ333">
        <v>105</v>
      </c>
      <c r="DK333">
        <v>0</v>
      </c>
      <c r="DL333">
        <v>0</v>
      </c>
      <c r="DM333">
        <v>41</v>
      </c>
      <c r="DN333">
        <v>2017</v>
      </c>
      <c r="DO333">
        <v>0</v>
      </c>
      <c r="DP333">
        <v>2163</v>
      </c>
      <c r="DQ333">
        <v>321</v>
      </c>
      <c r="DR333">
        <v>0</v>
      </c>
      <c r="DS333">
        <v>332</v>
      </c>
      <c r="DT333">
        <v>1630</v>
      </c>
      <c r="DU333">
        <v>92</v>
      </c>
      <c r="DV333">
        <v>4811</v>
      </c>
      <c r="DW333">
        <v>0</v>
      </c>
      <c r="DX333">
        <v>9820</v>
      </c>
      <c r="DY333">
        <v>71035</v>
      </c>
      <c r="DZ333">
        <v>1236</v>
      </c>
      <c r="EA333">
        <v>8176</v>
      </c>
      <c r="EB333">
        <v>999</v>
      </c>
      <c r="EC333">
        <v>0</v>
      </c>
      <c r="ED333">
        <v>0</v>
      </c>
      <c r="EE333">
        <v>0</v>
      </c>
      <c r="EF333">
        <v>0</v>
      </c>
      <c r="EG333">
        <v>0</v>
      </c>
      <c r="EH333">
        <v>15649</v>
      </c>
      <c r="EI333">
        <v>17036</v>
      </c>
      <c r="EJ333">
        <v>15150</v>
      </c>
      <c r="EK333">
        <v>725</v>
      </c>
      <c r="EL333">
        <v>4779</v>
      </c>
      <c r="EM333">
        <v>19517</v>
      </c>
      <c r="EN333">
        <v>3191</v>
      </c>
      <c r="EO333">
        <v>87</v>
      </c>
      <c r="EP333">
        <v>3702</v>
      </c>
      <c r="EQ333">
        <v>0</v>
      </c>
      <c r="ER333">
        <v>690</v>
      </c>
      <c r="ES333">
        <v>2000</v>
      </c>
      <c r="ET333">
        <v>2920</v>
      </c>
      <c r="EU333">
        <v>85</v>
      </c>
      <c r="EV333">
        <v>393</v>
      </c>
      <c r="EW333">
        <v>490</v>
      </c>
      <c r="EX333">
        <v>2312</v>
      </c>
      <c r="EY333">
        <v>3481</v>
      </c>
      <c r="EZ333">
        <v>94</v>
      </c>
      <c r="FA333">
        <v>0</v>
      </c>
      <c r="FB333">
        <v>18</v>
      </c>
      <c r="FC333">
        <v>300</v>
      </c>
      <c r="FD333">
        <v>2471</v>
      </c>
      <c r="FE333">
        <v>119</v>
      </c>
      <c r="FF333">
        <v>3</v>
      </c>
      <c r="FG333">
        <v>3159</v>
      </c>
      <c r="FH333">
        <v>12925</v>
      </c>
      <c r="FI333">
        <v>-353</v>
      </c>
      <c r="FJ333">
        <v>259</v>
      </c>
      <c r="FK333">
        <v>0</v>
      </c>
      <c r="FL333">
        <v>270</v>
      </c>
      <c r="FM333">
        <v>1457</v>
      </c>
      <c r="FN333">
        <v>0</v>
      </c>
      <c r="FO333">
        <v>75</v>
      </c>
      <c r="FP333">
        <v>-464</v>
      </c>
      <c r="FQ333">
        <v>0</v>
      </c>
      <c r="FR333">
        <v>98</v>
      </c>
      <c r="FS333">
        <v>76</v>
      </c>
      <c r="FT333">
        <v>136</v>
      </c>
      <c r="FU333">
        <v>-51</v>
      </c>
      <c r="FV333">
        <v>370</v>
      </c>
      <c r="FW333">
        <v>647</v>
      </c>
      <c r="FX333">
        <v>864</v>
      </c>
      <c r="FY333">
        <v>163</v>
      </c>
      <c r="FZ333">
        <v>0</v>
      </c>
      <c r="GA333">
        <v>0</v>
      </c>
      <c r="GB333">
        <v>0</v>
      </c>
      <c r="GC333">
        <v>34</v>
      </c>
      <c r="GD333">
        <v>2505</v>
      </c>
      <c r="GE333">
        <v>3938</v>
      </c>
      <c r="GF333">
        <v>7695</v>
      </c>
      <c r="GG333">
        <v>38</v>
      </c>
      <c r="GH333">
        <v>1975</v>
      </c>
      <c r="GI333">
        <v>0</v>
      </c>
      <c r="GJ333">
        <v>0</v>
      </c>
      <c r="GK333">
        <v>19732</v>
      </c>
      <c r="GL333">
        <v>224</v>
      </c>
      <c r="GM333">
        <v>1678</v>
      </c>
      <c r="GN333">
        <v>0</v>
      </c>
      <c r="GO333">
        <v>427</v>
      </c>
      <c r="GP333">
        <v>163</v>
      </c>
      <c r="GQ333">
        <v>724</v>
      </c>
      <c r="GR333">
        <v>0</v>
      </c>
      <c r="GS333">
        <v>7993</v>
      </c>
      <c r="GT333">
        <v>3810</v>
      </c>
      <c r="GU333">
        <v>15019</v>
      </c>
      <c r="GV333">
        <v>47676</v>
      </c>
      <c r="GW333">
        <v>0</v>
      </c>
      <c r="GX333">
        <v>0</v>
      </c>
      <c r="GY333">
        <v>0</v>
      </c>
      <c r="GZ333">
        <v>0</v>
      </c>
      <c r="HA333">
        <v>0</v>
      </c>
      <c r="HB333">
        <v>118</v>
      </c>
      <c r="HC333">
        <v>942</v>
      </c>
      <c r="HD333">
        <v>0</v>
      </c>
      <c r="HE333">
        <v>207</v>
      </c>
      <c r="HF333">
        <v>698</v>
      </c>
      <c r="HG333">
        <v>-198</v>
      </c>
      <c r="HH333">
        <v>0</v>
      </c>
      <c r="HI333">
        <v>-99</v>
      </c>
      <c r="HJ333">
        <v>384</v>
      </c>
      <c r="HK333">
        <v>161</v>
      </c>
      <c r="HL333">
        <v>154</v>
      </c>
      <c r="HM333">
        <v>-60</v>
      </c>
      <c r="HN333">
        <v>200</v>
      </c>
      <c r="HO333">
        <v>788</v>
      </c>
      <c r="HP333">
        <v>775</v>
      </c>
      <c r="HQ333">
        <v>0</v>
      </c>
      <c r="HR333">
        <v>1937</v>
      </c>
      <c r="HS333">
        <v>0</v>
      </c>
      <c r="HT333">
        <v>0</v>
      </c>
      <c r="HU333">
        <v>-1040</v>
      </c>
      <c r="HV333">
        <v>4967</v>
      </c>
      <c r="HW333">
        <v>43292</v>
      </c>
      <c r="HX333">
        <v>45204</v>
      </c>
      <c r="HY333">
        <v>0</v>
      </c>
      <c r="HZ333">
        <v>11934</v>
      </c>
      <c r="IA333">
        <v>289</v>
      </c>
      <c r="IB333">
        <v>0</v>
      </c>
      <c r="IC333">
        <v>181080</v>
      </c>
      <c r="ID333">
        <v>7152</v>
      </c>
      <c r="IE333">
        <v>66082</v>
      </c>
      <c r="IF333">
        <v>102138</v>
      </c>
      <c r="IG333">
        <v>23943</v>
      </c>
      <c r="IH333">
        <v>9820</v>
      </c>
      <c r="II333">
        <v>12925</v>
      </c>
      <c r="IJ333">
        <v>19732</v>
      </c>
      <c r="IK333">
        <v>15019</v>
      </c>
      <c r="IL333">
        <v>0</v>
      </c>
      <c r="IM333">
        <v>0</v>
      </c>
      <c r="IN333">
        <v>4967</v>
      </c>
      <c r="IO333">
        <v>0</v>
      </c>
      <c r="IP333">
        <v>442858</v>
      </c>
      <c r="IQ333">
        <v>38664</v>
      </c>
      <c r="IR333">
        <v>174</v>
      </c>
      <c r="IS333">
        <v>24158</v>
      </c>
      <c r="IT333">
        <v>0</v>
      </c>
      <c r="IU333">
        <v>0</v>
      </c>
      <c r="IV333">
        <v>0</v>
      </c>
      <c r="IW333">
        <v>0</v>
      </c>
      <c r="IX333">
        <v>0</v>
      </c>
      <c r="IY333">
        <v>0</v>
      </c>
      <c r="IZ333">
        <v>0</v>
      </c>
      <c r="JA333">
        <v>-6249</v>
      </c>
      <c r="JB333">
        <v>0</v>
      </c>
      <c r="JC333">
        <v>0</v>
      </c>
      <c r="JD333">
        <v>0</v>
      </c>
      <c r="JE333">
        <v>678</v>
      </c>
      <c r="JF333">
        <v>0</v>
      </c>
      <c r="JG333">
        <v>500283</v>
      </c>
      <c r="JH333">
        <v>53</v>
      </c>
      <c r="JI333">
        <v>596</v>
      </c>
      <c r="JJ333">
        <v>0</v>
      </c>
      <c r="JK333">
        <v>0</v>
      </c>
      <c r="JL333">
        <v>0</v>
      </c>
      <c r="JM333">
        <v>257</v>
      </c>
      <c r="JN333">
        <v>7259</v>
      </c>
      <c r="JO333">
        <v>0</v>
      </c>
      <c r="JP333">
        <v>2770</v>
      </c>
      <c r="JQ333">
        <v>0</v>
      </c>
      <c r="JR333">
        <v>511218</v>
      </c>
      <c r="JS333">
        <v>-1112</v>
      </c>
      <c r="JT333">
        <v>0</v>
      </c>
      <c r="JU333">
        <v>38</v>
      </c>
      <c r="JV333">
        <v>0</v>
      </c>
      <c r="JW333">
        <v>-64805</v>
      </c>
      <c r="JX333">
        <v>0</v>
      </c>
      <c r="JY333">
        <v>-100</v>
      </c>
      <c r="JZ333">
        <v>2</v>
      </c>
      <c r="KA333">
        <v>0</v>
      </c>
      <c r="KB333">
        <v>-2158</v>
      </c>
      <c r="KC333">
        <v>443083</v>
      </c>
      <c r="KD333">
        <v>0</v>
      </c>
      <c r="KE333">
        <v>-239027</v>
      </c>
      <c r="KF333">
        <v>204056</v>
      </c>
      <c r="KG333">
        <v>0</v>
      </c>
      <c r="KH333">
        <v>1531</v>
      </c>
      <c r="KI333">
        <v>0</v>
      </c>
      <c r="KJ333">
        <v>-207</v>
      </c>
      <c r="KK333">
        <v>-33978</v>
      </c>
      <c r="KL333">
        <v>0</v>
      </c>
      <c r="KM333">
        <v>-11024</v>
      </c>
      <c r="KN333">
        <v>0</v>
      </c>
      <c r="KO333">
        <v>-32811</v>
      </c>
      <c r="KP333">
        <v>2204</v>
      </c>
      <c r="KQ333">
        <v>0</v>
      </c>
      <c r="KR333">
        <v>105881</v>
      </c>
      <c r="KS333">
        <v>4171</v>
      </c>
      <c r="KT333">
        <v>0</v>
      </c>
      <c r="KU333">
        <v>1629</v>
      </c>
      <c r="KV333">
        <v>128748</v>
      </c>
      <c r="KW333">
        <v>10066</v>
      </c>
      <c r="KX333">
        <v>5702</v>
      </c>
      <c r="KY333">
        <v>0</v>
      </c>
      <c r="KZ333">
        <v>1422</v>
      </c>
      <c r="LA333">
        <v>94770</v>
      </c>
      <c r="LB333">
        <v>10066</v>
      </c>
      <c r="LC333">
        <v>0</v>
      </c>
      <c r="LD333">
        <v>29821</v>
      </c>
      <c r="LE333">
        <v>0</v>
      </c>
      <c r="LF333">
        <v>-1044</v>
      </c>
      <c r="LG333">
        <v>-42867</v>
      </c>
      <c r="LH333">
        <v>15433</v>
      </c>
      <c r="LI333">
        <v>-1040</v>
      </c>
      <c r="LJ333">
        <v>6303</v>
      </c>
      <c r="LK333">
        <v>10282</v>
      </c>
      <c r="LL333">
        <v>16585</v>
      </c>
      <c r="LM333">
        <v>0</v>
      </c>
      <c r="LN333">
        <v>0</v>
      </c>
      <c r="LO333">
        <v>176</v>
      </c>
      <c r="LP333">
        <v>81446</v>
      </c>
      <c r="LQ333">
        <v>80526</v>
      </c>
      <c r="LR333">
        <v>920</v>
      </c>
      <c r="LS333">
        <v>2000</v>
      </c>
      <c r="LT333">
        <v>2920</v>
      </c>
      <c r="LU333">
        <v>181080</v>
      </c>
      <c r="LV333">
        <v>7152</v>
      </c>
      <c r="LW333">
        <v>66082</v>
      </c>
      <c r="LX333">
        <v>102138</v>
      </c>
      <c r="LY333">
        <v>23943</v>
      </c>
      <c r="LZ333">
        <v>9820</v>
      </c>
      <c r="MA333">
        <v>12925</v>
      </c>
      <c r="MB333">
        <v>19732</v>
      </c>
      <c r="MC333">
        <v>15019</v>
      </c>
      <c r="MD333">
        <v>0</v>
      </c>
      <c r="ME333">
        <v>0</v>
      </c>
      <c r="MF333">
        <v>4967</v>
      </c>
      <c r="MG333">
        <v>0</v>
      </c>
      <c r="MH333">
        <v>442858</v>
      </c>
      <c r="MI333">
        <v>0</v>
      </c>
      <c r="MJ333">
        <v>0</v>
      </c>
      <c r="MK333">
        <v>0</v>
      </c>
      <c r="ML333">
        <v>0</v>
      </c>
      <c r="MM333">
        <v>0</v>
      </c>
      <c r="MN333">
        <v>0</v>
      </c>
      <c r="MO333">
        <v>0</v>
      </c>
      <c r="MP333">
        <v>0</v>
      </c>
      <c r="MQ333">
        <v>0</v>
      </c>
      <c r="MR333">
        <v>0</v>
      </c>
      <c r="MS333">
        <v>0</v>
      </c>
      <c r="MT333">
        <v>0</v>
      </c>
      <c r="MU333">
        <v>0</v>
      </c>
      <c r="MV333">
        <v>0</v>
      </c>
      <c r="MW333">
        <v>0</v>
      </c>
      <c r="MX333">
        <v>0</v>
      </c>
      <c r="MY333">
        <v>-6249</v>
      </c>
      <c r="MZ333">
        <v>0</v>
      </c>
      <c r="NA333">
        <v>-6249</v>
      </c>
      <c r="NB333">
        <v>0</v>
      </c>
      <c r="NC333">
        <v>-6249</v>
      </c>
      <c r="ND333">
        <v>0</v>
      </c>
      <c r="NE333">
        <v>0</v>
      </c>
      <c r="NF333">
        <v>0</v>
      </c>
      <c r="NG333">
        <v>0</v>
      </c>
      <c r="NH333">
        <v>0</v>
      </c>
      <c r="NI333">
        <v>0</v>
      </c>
      <c r="NJ333">
        <v>0</v>
      </c>
      <c r="NK333">
        <v>0</v>
      </c>
      <c r="NL333">
        <v>0</v>
      </c>
      <c r="NM333">
        <v>0</v>
      </c>
      <c r="NN333">
        <v>0</v>
      </c>
      <c r="NO333">
        <v>0</v>
      </c>
      <c r="NP333">
        <v>0</v>
      </c>
      <c r="NQ333">
        <v>0</v>
      </c>
      <c r="NR333">
        <v>0</v>
      </c>
      <c r="NS333">
        <v>0</v>
      </c>
      <c r="NT333">
        <v>0</v>
      </c>
      <c r="NU333">
        <v>0</v>
      </c>
      <c r="NV333">
        <v>0</v>
      </c>
      <c r="NW333">
        <v>0</v>
      </c>
      <c r="NX333">
        <v>0</v>
      </c>
      <c r="NY333">
        <v>0</v>
      </c>
      <c r="NZ333">
        <v>0</v>
      </c>
      <c r="OA333">
        <v>0</v>
      </c>
      <c r="OB333">
        <v>0</v>
      </c>
      <c r="OC333">
        <v>0</v>
      </c>
      <c r="OD333">
        <v>0</v>
      </c>
      <c r="OE333">
        <v>0</v>
      </c>
      <c r="OF333">
        <v>0</v>
      </c>
      <c r="OG333">
        <v>0</v>
      </c>
      <c r="OH333">
        <v>0</v>
      </c>
      <c r="OI333">
        <v>0</v>
      </c>
      <c r="OJ333">
        <v>0</v>
      </c>
      <c r="OK333">
        <v>0</v>
      </c>
      <c r="OL333">
        <v>0</v>
      </c>
      <c r="OM333">
        <v>0</v>
      </c>
      <c r="ON333">
        <v>0</v>
      </c>
    </row>
    <row r="334" spans="1:404" x14ac:dyDescent="0.25">
      <c r="A334" t="s">
        <v>1073</v>
      </c>
      <c r="B334" t="s">
        <v>1074</v>
      </c>
      <c r="C334" t="s">
        <v>1072</v>
      </c>
      <c r="E334" t="s">
        <v>125</v>
      </c>
      <c r="F334">
        <v>10478</v>
      </c>
      <c r="G334">
        <v>30134</v>
      </c>
      <c r="H334">
        <v>1784</v>
      </c>
      <c r="I334">
        <v>8557</v>
      </c>
      <c r="J334">
        <v>1183</v>
      </c>
      <c r="K334">
        <v>11008</v>
      </c>
      <c r="L334">
        <v>63144</v>
      </c>
      <c r="M334">
        <v>855</v>
      </c>
      <c r="N334">
        <v>425</v>
      </c>
      <c r="O334">
        <v>208</v>
      </c>
      <c r="P334">
        <v>1757</v>
      </c>
      <c r="Q334">
        <v>41</v>
      </c>
      <c r="R334">
        <v>772</v>
      </c>
      <c r="S334">
        <v>3236</v>
      </c>
      <c r="T334">
        <v>128</v>
      </c>
      <c r="U334">
        <v>774</v>
      </c>
      <c r="V334">
        <v>0</v>
      </c>
      <c r="W334">
        <v>0</v>
      </c>
      <c r="X334">
        <v>144</v>
      </c>
      <c r="Y334">
        <v>589</v>
      </c>
      <c r="Z334">
        <v>-3602</v>
      </c>
      <c r="AA334">
        <v>-2208</v>
      </c>
      <c r="AB334">
        <v>3125</v>
      </c>
      <c r="AC334">
        <v>83</v>
      </c>
      <c r="AD334">
        <v>0</v>
      </c>
      <c r="AE334">
        <v>0</v>
      </c>
      <c r="AF334">
        <v>0</v>
      </c>
      <c r="AG334">
        <v>286</v>
      </c>
      <c r="AH334">
        <v>0</v>
      </c>
      <c r="AI334">
        <v>6613</v>
      </c>
      <c r="AJ334">
        <v>0</v>
      </c>
      <c r="AK334">
        <v>0</v>
      </c>
      <c r="AL334">
        <v>0</v>
      </c>
      <c r="AM334">
        <v>0</v>
      </c>
      <c r="AN334">
        <v>0</v>
      </c>
      <c r="AO334">
        <v>0</v>
      </c>
      <c r="AP334">
        <v>0</v>
      </c>
      <c r="AQ334">
        <v>307</v>
      </c>
      <c r="AR334">
        <v>5021</v>
      </c>
      <c r="AS334">
        <v>0</v>
      </c>
      <c r="AT334">
        <v>0</v>
      </c>
      <c r="AU334">
        <v>0</v>
      </c>
      <c r="AV334">
        <v>803</v>
      </c>
      <c r="AW334">
        <v>17166</v>
      </c>
      <c r="AX334">
        <v>224</v>
      </c>
      <c r="AY334">
        <v>4186</v>
      </c>
      <c r="AZ334">
        <v>1904</v>
      </c>
      <c r="BA334">
        <v>11938</v>
      </c>
      <c r="BB334">
        <v>1279</v>
      </c>
      <c r="BC334">
        <v>1050</v>
      </c>
      <c r="BD334">
        <v>38550</v>
      </c>
      <c r="BE334">
        <v>3224</v>
      </c>
      <c r="BF334">
        <v>11392</v>
      </c>
      <c r="BG334">
        <v>66</v>
      </c>
      <c r="BH334">
        <v>167</v>
      </c>
      <c r="BI334">
        <v>74</v>
      </c>
      <c r="BJ334">
        <v>3229</v>
      </c>
      <c r="BK334">
        <v>13168</v>
      </c>
      <c r="BL334">
        <v>948</v>
      </c>
      <c r="BM334">
        <v>3147</v>
      </c>
      <c r="BN334">
        <v>1041</v>
      </c>
      <c r="BO334">
        <v>11</v>
      </c>
      <c r="BP334">
        <v>364</v>
      </c>
      <c r="BQ334">
        <v>375</v>
      </c>
      <c r="BR334">
        <v>0</v>
      </c>
      <c r="BS334">
        <v>1581</v>
      </c>
      <c r="BT334">
        <v>8129</v>
      </c>
      <c r="BU334">
        <v>218</v>
      </c>
      <c r="BV334">
        <v>294</v>
      </c>
      <c r="BW334">
        <v>50613</v>
      </c>
      <c r="BX334">
        <v>640</v>
      </c>
      <c r="BY334">
        <v>913</v>
      </c>
      <c r="BZ334">
        <v>51</v>
      </c>
      <c r="CA334">
        <v>135</v>
      </c>
      <c r="CB334">
        <v>540</v>
      </c>
      <c r="CC334">
        <v>66</v>
      </c>
      <c r="CD334">
        <v>38</v>
      </c>
      <c r="CE334">
        <v>66</v>
      </c>
      <c r="CF334">
        <v>83</v>
      </c>
      <c r="CG334">
        <v>30</v>
      </c>
      <c r="CH334">
        <v>151</v>
      </c>
      <c r="CI334">
        <v>1021</v>
      </c>
      <c r="CJ334">
        <v>1610</v>
      </c>
      <c r="CK334">
        <v>41</v>
      </c>
      <c r="CL334">
        <v>65</v>
      </c>
      <c r="CM334">
        <v>173</v>
      </c>
      <c r="CN334">
        <v>103</v>
      </c>
      <c r="CO334">
        <v>31</v>
      </c>
      <c r="CP334">
        <v>672</v>
      </c>
      <c r="CQ334">
        <v>2537</v>
      </c>
      <c r="CR334">
        <v>318</v>
      </c>
      <c r="CS334">
        <v>290</v>
      </c>
      <c r="CT334">
        <v>61</v>
      </c>
      <c r="CU334">
        <v>600</v>
      </c>
      <c r="CV334">
        <v>14363</v>
      </c>
      <c r="CW334">
        <v>140</v>
      </c>
      <c r="CX334">
        <v>0</v>
      </c>
      <c r="CY334">
        <v>19</v>
      </c>
      <c r="CZ334">
        <v>0</v>
      </c>
      <c r="DA334">
        <v>0</v>
      </c>
      <c r="DB334">
        <v>0</v>
      </c>
      <c r="DC334">
        <v>993</v>
      </c>
      <c r="DD334">
        <v>0</v>
      </c>
      <c r="DE334">
        <v>0</v>
      </c>
      <c r="DF334">
        <v>0</v>
      </c>
      <c r="DG334">
        <v>0</v>
      </c>
      <c r="DH334">
        <v>0</v>
      </c>
      <c r="DI334">
        <v>0</v>
      </c>
      <c r="DJ334">
        <v>152</v>
      </c>
      <c r="DK334">
        <v>0</v>
      </c>
      <c r="DL334">
        <v>0</v>
      </c>
      <c r="DM334">
        <v>0</v>
      </c>
      <c r="DN334">
        <v>737</v>
      </c>
      <c r="DO334">
        <v>1023</v>
      </c>
      <c r="DP334">
        <v>1912</v>
      </c>
      <c r="DQ334">
        <v>0</v>
      </c>
      <c r="DR334">
        <v>0</v>
      </c>
      <c r="DS334">
        <v>577</v>
      </c>
      <c r="DT334">
        <v>1950</v>
      </c>
      <c r="DU334">
        <v>0</v>
      </c>
      <c r="DV334">
        <v>2307</v>
      </c>
      <c r="DW334">
        <v>0</v>
      </c>
      <c r="DX334">
        <v>7739</v>
      </c>
      <c r="DY334">
        <v>26457</v>
      </c>
      <c r="DZ334">
        <v>1494</v>
      </c>
      <c r="EA334">
        <v>379</v>
      </c>
      <c r="EB334">
        <v>766</v>
      </c>
      <c r="EC334">
        <v>0</v>
      </c>
      <c r="ED334">
        <v>88</v>
      </c>
      <c r="EE334">
        <v>0</v>
      </c>
      <c r="EF334">
        <v>0</v>
      </c>
      <c r="EG334">
        <v>0</v>
      </c>
      <c r="EH334">
        <v>6370</v>
      </c>
      <c r="EI334">
        <v>8181</v>
      </c>
      <c r="EJ334">
        <v>122</v>
      </c>
      <c r="EK334">
        <v>677</v>
      </c>
      <c r="EL334">
        <v>3391</v>
      </c>
      <c r="EM334">
        <v>6208</v>
      </c>
      <c r="EN334">
        <v>3823</v>
      </c>
      <c r="EO334">
        <v>25</v>
      </c>
      <c r="EP334">
        <v>0</v>
      </c>
      <c r="EQ334">
        <v>0</v>
      </c>
      <c r="ER334">
        <v>199</v>
      </c>
      <c r="ES334">
        <v>36774</v>
      </c>
      <c r="ET334">
        <v>36962</v>
      </c>
      <c r="EU334">
        <v>0</v>
      </c>
      <c r="EV334">
        <v>152</v>
      </c>
      <c r="EW334">
        <v>0</v>
      </c>
      <c r="EX334">
        <v>1709</v>
      </c>
      <c r="EY334">
        <v>84</v>
      </c>
      <c r="EZ334">
        <v>16</v>
      </c>
      <c r="FA334">
        <v>997</v>
      </c>
      <c r="FB334">
        <v>82</v>
      </c>
      <c r="FC334">
        <v>-111</v>
      </c>
      <c r="FD334">
        <v>3321</v>
      </c>
      <c r="FE334">
        <v>9</v>
      </c>
      <c r="FF334">
        <v>1307</v>
      </c>
      <c r="FG334">
        <v>2983</v>
      </c>
      <c r="FH334">
        <v>10549</v>
      </c>
      <c r="FI334">
        <v>-1204</v>
      </c>
      <c r="FJ334">
        <v>296</v>
      </c>
      <c r="FK334">
        <v>0</v>
      </c>
      <c r="FL334">
        <v>385</v>
      </c>
      <c r="FM334">
        <v>612</v>
      </c>
      <c r="FN334">
        <v>402</v>
      </c>
      <c r="FO334">
        <v>64</v>
      </c>
      <c r="FP334">
        <v>0</v>
      </c>
      <c r="FQ334">
        <v>0</v>
      </c>
      <c r="FR334">
        <v>0</v>
      </c>
      <c r="FS334">
        <v>536</v>
      </c>
      <c r="FT334">
        <v>178</v>
      </c>
      <c r="FU334">
        <v>413</v>
      </c>
      <c r="FV334">
        <v>940</v>
      </c>
      <c r="FW334">
        <v>0</v>
      </c>
      <c r="FX334">
        <v>741</v>
      </c>
      <c r="FY334">
        <v>528</v>
      </c>
      <c r="FZ334">
        <v>4</v>
      </c>
      <c r="GA334">
        <v>0</v>
      </c>
      <c r="GB334">
        <v>23</v>
      </c>
      <c r="GC334">
        <v>0</v>
      </c>
      <c r="GD334">
        <v>1736</v>
      </c>
      <c r="GE334">
        <v>5327</v>
      </c>
      <c r="GF334">
        <v>6105</v>
      </c>
      <c r="GG334">
        <v>0</v>
      </c>
      <c r="GH334">
        <v>0</v>
      </c>
      <c r="GI334">
        <v>96</v>
      </c>
      <c r="GJ334">
        <v>477</v>
      </c>
      <c r="GK334">
        <v>17659</v>
      </c>
      <c r="GL334">
        <v>250</v>
      </c>
      <c r="GM334">
        <v>550</v>
      </c>
      <c r="GN334">
        <v>73</v>
      </c>
      <c r="GO334">
        <v>499</v>
      </c>
      <c r="GP334">
        <v>0</v>
      </c>
      <c r="GQ334">
        <v>1931</v>
      </c>
      <c r="GR334">
        <v>0</v>
      </c>
      <c r="GS334">
        <v>1646</v>
      </c>
      <c r="GT334">
        <v>0</v>
      </c>
      <c r="GU334">
        <v>4949</v>
      </c>
      <c r="GV334">
        <v>33157</v>
      </c>
      <c r="GW334">
        <v>0</v>
      </c>
      <c r="GX334">
        <v>0</v>
      </c>
      <c r="GY334">
        <v>0</v>
      </c>
      <c r="GZ334">
        <v>0</v>
      </c>
      <c r="HA334">
        <v>0</v>
      </c>
      <c r="HB334">
        <v>4436</v>
      </c>
      <c r="HC334">
        <v>1242</v>
      </c>
      <c r="HD334">
        <v>0</v>
      </c>
      <c r="HE334">
        <v>0</v>
      </c>
      <c r="HF334">
        <v>0</v>
      </c>
      <c r="HG334">
        <v>-48</v>
      </c>
      <c r="HH334">
        <v>0</v>
      </c>
      <c r="HI334">
        <v>118</v>
      </c>
      <c r="HJ334">
        <v>371</v>
      </c>
      <c r="HK334">
        <v>163</v>
      </c>
      <c r="HL334">
        <v>243</v>
      </c>
      <c r="HM334">
        <v>-90</v>
      </c>
      <c r="HN334">
        <v>193</v>
      </c>
      <c r="HO334">
        <v>715</v>
      </c>
      <c r="HP334">
        <v>0</v>
      </c>
      <c r="HQ334">
        <v>0</v>
      </c>
      <c r="HR334">
        <v>-2060</v>
      </c>
      <c r="HS334">
        <v>0</v>
      </c>
      <c r="HT334">
        <v>0</v>
      </c>
      <c r="HU334">
        <v>1263</v>
      </c>
      <c r="HV334">
        <v>6546</v>
      </c>
      <c r="HW334">
        <v>6621</v>
      </c>
      <c r="HX334">
        <v>21009</v>
      </c>
      <c r="HY334">
        <v>0</v>
      </c>
      <c r="HZ334">
        <v>553</v>
      </c>
      <c r="IA334">
        <v>840</v>
      </c>
      <c r="IB334">
        <v>0</v>
      </c>
      <c r="IC334">
        <v>63144</v>
      </c>
      <c r="ID334">
        <v>6613</v>
      </c>
      <c r="IE334">
        <v>38550</v>
      </c>
      <c r="IF334">
        <v>50613</v>
      </c>
      <c r="IG334">
        <v>14363</v>
      </c>
      <c r="IH334">
        <v>7739</v>
      </c>
      <c r="II334">
        <v>10549</v>
      </c>
      <c r="IJ334">
        <v>17659</v>
      </c>
      <c r="IK334">
        <v>4949</v>
      </c>
      <c r="IL334">
        <v>0</v>
      </c>
      <c r="IM334">
        <v>0</v>
      </c>
      <c r="IN334">
        <v>6546</v>
      </c>
      <c r="IO334">
        <v>0</v>
      </c>
      <c r="IP334">
        <v>220725</v>
      </c>
      <c r="IQ334">
        <v>37850</v>
      </c>
      <c r="IR334">
        <v>0</v>
      </c>
      <c r="IS334">
        <v>15107</v>
      </c>
      <c r="IT334">
        <v>0</v>
      </c>
      <c r="IU334">
        <v>0</v>
      </c>
      <c r="IV334">
        <v>443</v>
      </c>
      <c r="IW334">
        <v>0</v>
      </c>
      <c r="IX334">
        <v>0</v>
      </c>
      <c r="IY334">
        <v>0</v>
      </c>
      <c r="IZ334">
        <v>425</v>
      </c>
      <c r="JA334">
        <v>-1302</v>
      </c>
      <c r="JB334">
        <v>1315</v>
      </c>
      <c r="JC334">
        <v>-1255</v>
      </c>
      <c r="JD334">
        <v>-22</v>
      </c>
      <c r="JE334">
        <v>-294</v>
      </c>
      <c r="JF334">
        <v>0</v>
      </c>
      <c r="JG334">
        <v>272992</v>
      </c>
      <c r="JH334">
        <v>209</v>
      </c>
      <c r="JI334">
        <v>484</v>
      </c>
      <c r="JJ334">
        <v>0</v>
      </c>
      <c r="JK334">
        <v>0</v>
      </c>
      <c r="JL334">
        <v>0</v>
      </c>
      <c r="JM334">
        <v>-49</v>
      </c>
      <c r="JN334">
        <v>10466</v>
      </c>
      <c r="JO334">
        <v>162</v>
      </c>
      <c r="JP334">
        <v>12492</v>
      </c>
      <c r="JQ334">
        <v>-3068</v>
      </c>
      <c r="JR334">
        <v>293688</v>
      </c>
      <c r="JS334">
        <v>-7103</v>
      </c>
      <c r="JT334">
        <v>0</v>
      </c>
      <c r="JU334">
        <v>4800</v>
      </c>
      <c r="JV334">
        <v>0</v>
      </c>
      <c r="JW334">
        <v>-56502</v>
      </c>
      <c r="JX334">
        <v>0</v>
      </c>
      <c r="JY334">
        <v>0</v>
      </c>
      <c r="JZ334">
        <v>0</v>
      </c>
      <c r="KA334">
        <v>0</v>
      </c>
      <c r="KB334">
        <v>0</v>
      </c>
      <c r="KC334">
        <v>234883</v>
      </c>
      <c r="KD334">
        <v>0</v>
      </c>
      <c r="KE334">
        <v>-103390</v>
      </c>
      <c r="KF334">
        <v>131493</v>
      </c>
      <c r="KG334">
        <v>0</v>
      </c>
      <c r="KH334">
        <v>0</v>
      </c>
      <c r="KI334">
        <v>3920</v>
      </c>
      <c r="KJ334">
        <v>-35</v>
      </c>
      <c r="KK334">
        <v>-4183</v>
      </c>
      <c r="KL334">
        <v>0</v>
      </c>
      <c r="KM334">
        <v>-6055</v>
      </c>
      <c r="KN334">
        <v>0</v>
      </c>
      <c r="KO334">
        <v>-26123</v>
      </c>
      <c r="KP334">
        <v>29</v>
      </c>
      <c r="KQ334">
        <v>5287</v>
      </c>
      <c r="KR334">
        <v>88079</v>
      </c>
      <c r="KS334">
        <v>3607</v>
      </c>
      <c r="KT334">
        <v>4481</v>
      </c>
      <c r="KU334">
        <v>2795</v>
      </c>
      <c r="KV334">
        <v>69272</v>
      </c>
      <c r="KW334">
        <v>11000</v>
      </c>
      <c r="KX334">
        <v>3607</v>
      </c>
      <c r="KY334">
        <v>8401</v>
      </c>
      <c r="KZ334">
        <v>2760</v>
      </c>
      <c r="LA334">
        <v>65089</v>
      </c>
      <c r="LB334">
        <v>11000</v>
      </c>
      <c r="LC334">
        <v>0</v>
      </c>
      <c r="LD334">
        <v>16543</v>
      </c>
      <c r="LE334">
        <v>13093</v>
      </c>
      <c r="LF334">
        <v>-2832</v>
      </c>
      <c r="LG334">
        <v>-8467</v>
      </c>
      <c r="LH334">
        <v>0</v>
      </c>
      <c r="LI334">
        <v>17766</v>
      </c>
      <c r="LJ334">
        <v>5176</v>
      </c>
      <c r="LK334">
        <v>6673</v>
      </c>
      <c r="LL334">
        <v>11849</v>
      </c>
      <c r="LM334">
        <v>0</v>
      </c>
      <c r="LN334">
        <v>0</v>
      </c>
      <c r="LO334">
        <v>0</v>
      </c>
      <c r="LP334">
        <v>29184</v>
      </c>
      <c r="LQ334">
        <v>28996</v>
      </c>
      <c r="LR334">
        <v>188</v>
      </c>
      <c r="LS334">
        <v>36774</v>
      </c>
      <c r="LT334">
        <v>36962</v>
      </c>
      <c r="LU334">
        <v>63144</v>
      </c>
      <c r="LV334">
        <v>6613</v>
      </c>
      <c r="LW334">
        <v>38550</v>
      </c>
      <c r="LX334">
        <v>50613</v>
      </c>
      <c r="LY334">
        <v>14363</v>
      </c>
      <c r="LZ334">
        <v>7739</v>
      </c>
      <c r="MA334">
        <v>10549</v>
      </c>
      <c r="MB334">
        <v>17659</v>
      </c>
      <c r="MC334">
        <v>4949</v>
      </c>
      <c r="MD334">
        <v>0</v>
      </c>
      <c r="ME334">
        <v>0</v>
      </c>
      <c r="MF334">
        <v>6546</v>
      </c>
      <c r="MG334">
        <v>0</v>
      </c>
      <c r="MH334">
        <v>220725</v>
      </c>
      <c r="MI334">
        <v>0</v>
      </c>
      <c r="MJ334">
        <v>0</v>
      </c>
      <c r="MK334">
        <v>0</v>
      </c>
      <c r="ML334">
        <v>0</v>
      </c>
      <c r="MM334">
        <v>0</v>
      </c>
      <c r="MN334">
        <v>0</v>
      </c>
      <c r="MO334">
        <v>0</v>
      </c>
      <c r="MP334">
        <v>0</v>
      </c>
      <c r="MQ334">
        <v>0</v>
      </c>
      <c r="MR334">
        <v>0</v>
      </c>
      <c r="MS334">
        <v>0</v>
      </c>
      <c r="MT334">
        <v>0</v>
      </c>
      <c r="MU334">
        <v>0</v>
      </c>
      <c r="MV334">
        <v>-45</v>
      </c>
      <c r="MW334">
        <v>-59</v>
      </c>
      <c r="MX334">
        <v>-19</v>
      </c>
      <c r="MY334">
        <v>-2434</v>
      </c>
      <c r="MZ334">
        <v>0</v>
      </c>
      <c r="NA334">
        <v>-2557</v>
      </c>
      <c r="NB334">
        <v>1255</v>
      </c>
      <c r="NC334">
        <v>-1302</v>
      </c>
      <c r="ND334">
        <v>0</v>
      </c>
      <c r="NE334">
        <v>0</v>
      </c>
      <c r="NF334">
        <v>0</v>
      </c>
      <c r="NG334">
        <v>0</v>
      </c>
      <c r="NH334">
        <v>0</v>
      </c>
      <c r="NI334">
        <v>0</v>
      </c>
      <c r="NJ334">
        <v>0</v>
      </c>
      <c r="NK334">
        <v>0</v>
      </c>
      <c r="NL334">
        <v>0</v>
      </c>
      <c r="NM334">
        <v>0</v>
      </c>
      <c r="NN334">
        <v>0</v>
      </c>
      <c r="NO334">
        <v>0</v>
      </c>
      <c r="NP334">
        <v>1293</v>
      </c>
      <c r="NQ334">
        <v>0</v>
      </c>
      <c r="NR334">
        <v>0</v>
      </c>
      <c r="NS334">
        <v>0</v>
      </c>
      <c r="NT334">
        <v>0</v>
      </c>
      <c r="NU334">
        <v>0</v>
      </c>
      <c r="NV334">
        <v>0</v>
      </c>
      <c r="NW334">
        <v>0</v>
      </c>
      <c r="NX334">
        <v>0</v>
      </c>
      <c r="NY334">
        <v>0</v>
      </c>
      <c r="NZ334">
        <v>1293</v>
      </c>
      <c r="OA334">
        <v>22</v>
      </c>
      <c r="OB334">
        <v>1315</v>
      </c>
      <c r="OC334">
        <v>261</v>
      </c>
      <c r="OD334">
        <v>1878</v>
      </c>
      <c r="OE334">
        <v>-1055</v>
      </c>
      <c r="OF334">
        <v>0</v>
      </c>
      <c r="OG334">
        <v>171</v>
      </c>
      <c r="OH334">
        <v>1255</v>
      </c>
      <c r="OI334">
        <v>22</v>
      </c>
      <c r="OJ334">
        <v>0</v>
      </c>
      <c r="OK334">
        <v>0</v>
      </c>
      <c r="OL334">
        <v>0</v>
      </c>
      <c r="OM334">
        <v>0</v>
      </c>
      <c r="ON334">
        <v>22</v>
      </c>
    </row>
    <row r="335" spans="1:404" x14ac:dyDescent="0.25">
      <c r="A335" t="s">
        <v>1076</v>
      </c>
      <c r="B335" t="s">
        <v>1077</v>
      </c>
      <c r="C335" t="s">
        <v>1075</v>
      </c>
      <c r="E335" t="s">
        <v>1940</v>
      </c>
      <c r="F335">
        <v>23567</v>
      </c>
      <c r="G335">
        <v>119766</v>
      </c>
      <c r="H335">
        <v>20146</v>
      </c>
      <c r="I335">
        <v>45872</v>
      </c>
      <c r="J335">
        <v>3402</v>
      </c>
      <c r="K335">
        <v>19424</v>
      </c>
      <c r="L335">
        <v>232177</v>
      </c>
      <c r="M335">
        <v>-138</v>
      </c>
      <c r="N335">
        <v>663</v>
      </c>
      <c r="O335">
        <v>0</v>
      </c>
      <c r="P335">
        <v>182</v>
      </c>
      <c r="Q335">
        <v>0</v>
      </c>
      <c r="R335">
        <v>1935</v>
      </c>
      <c r="S335">
        <v>5675</v>
      </c>
      <c r="T335">
        <v>127</v>
      </c>
      <c r="U335">
        <v>1856</v>
      </c>
      <c r="V335">
        <v>0</v>
      </c>
      <c r="W335">
        <v>0</v>
      </c>
      <c r="X335">
        <v>340</v>
      </c>
      <c r="Y335">
        <v>-1185</v>
      </c>
      <c r="Z335">
        <v>-15360</v>
      </c>
      <c r="AA335">
        <v>344</v>
      </c>
      <c r="AB335">
        <v>10727</v>
      </c>
      <c r="AC335">
        <v>0</v>
      </c>
      <c r="AD335">
        <v>0</v>
      </c>
      <c r="AE335">
        <v>0</v>
      </c>
      <c r="AF335">
        <v>0</v>
      </c>
      <c r="AG335">
        <v>0</v>
      </c>
      <c r="AH335">
        <v>0</v>
      </c>
      <c r="AI335">
        <v>5166</v>
      </c>
      <c r="AJ335">
        <v>0</v>
      </c>
      <c r="AK335">
        <v>0</v>
      </c>
      <c r="AL335">
        <v>0</v>
      </c>
      <c r="AM335">
        <v>0</v>
      </c>
      <c r="AN335">
        <v>0</v>
      </c>
      <c r="AO335">
        <v>0</v>
      </c>
      <c r="AP335">
        <v>0</v>
      </c>
      <c r="AQ335">
        <v>0</v>
      </c>
      <c r="AR335">
        <v>0</v>
      </c>
      <c r="AS335">
        <v>0</v>
      </c>
      <c r="AT335">
        <v>0</v>
      </c>
      <c r="AU335">
        <v>0</v>
      </c>
      <c r="AV335">
        <v>6552</v>
      </c>
      <c r="AW335">
        <v>44456</v>
      </c>
      <c r="AX335">
        <v>3428</v>
      </c>
      <c r="AY335">
        <v>9129</v>
      </c>
      <c r="AZ335">
        <v>2278</v>
      </c>
      <c r="BA335">
        <v>27048</v>
      </c>
      <c r="BB335">
        <v>5508</v>
      </c>
      <c r="BC335">
        <v>-26</v>
      </c>
      <c r="BD335">
        <v>98373</v>
      </c>
      <c r="BE335">
        <v>9008</v>
      </c>
      <c r="BF335">
        <v>19124</v>
      </c>
      <c r="BG335">
        <v>39</v>
      </c>
      <c r="BH335">
        <v>268</v>
      </c>
      <c r="BI335">
        <v>632</v>
      </c>
      <c r="BJ335">
        <v>2998</v>
      </c>
      <c r="BK335">
        <v>27785</v>
      </c>
      <c r="BL335">
        <v>503</v>
      </c>
      <c r="BM335">
        <v>3709</v>
      </c>
      <c r="BN335">
        <v>696</v>
      </c>
      <c r="BO335">
        <v>541</v>
      </c>
      <c r="BP335">
        <v>1951</v>
      </c>
      <c r="BQ335">
        <v>614</v>
      </c>
      <c r="BR335">
        <v>1336</v>
      </c>
      <c r="BS335">
        <v>240</v>
      </c>
      <c r="BT335">
        <v>18320</v>
      </c>
      <c r="BU335">
        <v>1921</v>
      </c>
      <c r="BV335">
        <v>10255</v>
      </c>
      <c r="BW335">
        <v>99940</v>
      </c>
      <c r="BX335">
        <v>6664</v>
      </c>
      <c r="BY335">
        <v>1520</v>
      </c>
      <c r="BZ335">
        <v>195</v>
      </c>
      <c r="CA335">
        <v>312</v>
      </c>
      <c r="CB335">
        <v>397</v>
      </c>
      <c r="CC335">
        <v>1</v>
      </c>
      <c r="CD335">
        <v>2105</v>
      </c>
      <c r="CE335">
        <v>346</v>
      </c>
      <c r="CF335">
        <v>3450</v>
      </c>
      <c r="CG335">
        <v>0</v>
      </c>
      <c r="CH335">
        <v>0</v>
      </c>
      <c r="CI335">
        <v>1960</v>
      </c>
      <c r="CJ335">
        <v>1960</v>
      </c>
      <c r="CK335">
        <v>224</v>
      </c>
      <c r="CL335">
        <v>0</v>
      </c>
      <c r="CM335">
        <v>214</v>
      </c>
      <c r="CN335">
        <v>107</v>
      </c>
      <c r="CO335">
        <v>0</v>
      </c>
      <c r="CP335">
        <v>1267</v>
      </c>
      <c r="CQ335">
        <v>4684</v>
      </c>
      <c r="CR335">
        <v>1561</v>
      </c>
      <c r="CS335">
        <v>0</v>
      </c>
      <c r="CT335">
        <v>1731</v>
      </c>
      <c r="CU335">
        <v>0</v>
      </c>
      <c r="CV335">
        <v>28698</v>
      </c>
      <c r="CW335">
        <v>0</v>
      </c>
      <c r="CX335">
        <v>0</v>
      </c>
      <c r="CY335">
        <v>0</v>
      </c>
      <c r="CZ335">
        <v>0</v>
      </c>
      <c r="DA335">
        <v>0</v>
      </c>
      <c r="DB335">
        <v>0</v>
      </c>
      <c r="DC335">
        <v>-1</v>
      </c>
      <c r="DD335">
        <v>0</v>
      </c>
      <c r="DE335">
        <v>1034</v>
      </c>
      <c r="DF335">
        <v>94</v>
      </c>
      <c r="DG335">
        <v>0</v>
      </c>
      <c r="DH335">
        <v>1438</v>
      </c>
      <c r="DI335">
        <v>0</v>
      </c>
      <c r="DJ335">
        <v>7459</v>
      </c>
      <c r="DK335">
        <v>0</v>
      </c>
      <c r="DL335">
        <v>8571</v>
      </c>
      <c r="DM335">
        <v>9300</v>
      </c>
      <c r="DN335">
        <v>0</v>
      </c>
      <c r="DO335">
        <v>0</v>
      </c>
      <c r="DP335">
        <v>26768</v>
      </c>
      <c r="DQ335">
        <v>0</v>
      </c>
      <c r="DR335">
        <v>0</v>
      </c>
      <c r="DS335">
        <v>0</v>
      </c>
      <c r="DT335">
        <v>4054</v>
      </c>
      <c r="DU335">
        <v>107</v>
      </c>
      <c r="DV335">
        <v>1607</v>
      </c>
      <c r="DW335">
        <v>0</v>
      </c>
      <c r="DX335">
        <v>33663</v>
      </c>
      <c r="DY335">
        <v>199522</v>
      </c>
      <c r="DZ335">
        <v>14104</v>
      </c>
      <c r="EA335">
        <v>56702</v>
      </c>
      <c r="EB335">
        <v>2992</v>
      </c>
      <c r="EC335">
        <v>43046</v>
      </c>
      <c r="ED335">
        <v>2116</v>
      </c>
      <c r="EE335">
        <v>5103</v>
      </c>
      <c r="EF335">
        <v>0</v>
      </c>
      <c r="EG335">
        <v>10</v>
      </c>
      <c r="EH335">
        <v>43914</v>
      </c>
      <c r="EI335">
        <v>109443</v>
      </c>
      <c r="EJ335">
        <v>31099</v>
      </c>
      <c r="EK335">
        <v>11137</v>
      </c>
      <c r="EL335">
        <v>24595</v>
      </c>
      <c r="EM335">
        <v>51546</v>
      </c>
      <c r="EN335">
        <v>14602</v>
      </c>
      <c r="EO335">
        <v>264</v>
      </c>
      <c r="EP335">
        <v>-6150</v>
      </c>
      <c r="EQ335">
        <v>43302</v>
      </c>
      <c r="ER335">
        <v>2059</v>
      </c>
      <c r="ES335">
        <v>28346</v>
      </c>
      <c r="ET335">
        <v>26130</v>
      </c>
      <c r="EU335">
        <v>178</v>
      </c>
      <c r="EV335">
        <v>444</v>
      </c>
      <c r="EW335">
        <v>0</v>
      </c>
      <c r="EX335">
        <v>262</v>
      </c>
      <c r="EY335">
        <v>-104</v>
      </c>
      <c r="EZ335">
        <v>240</v>
      </c>
      <c r="FA335">
        <v>0</v>
      </c>
      <c r="FB335">
        <v>432</v>
      </c>
      <c r="FC335">
        <v>1964</v>
      </c>
      <c r="FD335">
        <v>5828</v>
      </c>
      <c r="FE335">
        <v>0</v>
      </c>
      <c r="FF335">
        <v>0</v>
      </c>
      <c r="FG335">
        <v>6841</v>
      </c>
      <c r="FH335">
        <v>16085</v>
      </c>
      <c r="FI335">
        <v>-1244</v>
      </c>
      <c r="FJ335">
        <v>939</v>
      </c>
      <c r="FK335">
        <v>0</v>
      </c>
      <c r="FL335">
        <v>885</v>
      </c>
      <c r="FM335">
        <v>2848</v>
      </c>
      <c r="FN335">
        <v>952</v>
      </c>
      <c r="FO335">
        <v>0</v>
      </c>
      <c r="FP335">
        <v>0</v>
      </c>
      <c r="FQ335">
        <v>0</v>
      </c>
      <c r="FR335">
        <v>-94</v>
      </c>
      <c r="FS335">
        <v>48</v>
      </c>
      <c r="FT335">
        <v>163</v>
      </c>
      <c r="FU335">
        <v>679</v>
      </c>
      <c r="FV335">
        <v>1758</v>
      </c>
      <c r="FW335">
        <v>221</v>
      </c>
      <c r="FX335">
        <v>1156</v>
      </c>
      <c r="FY335">
        <v>403</v>
      </c>
      <c r="FZ335">
        <v>0</v>
      </c>
      <c r="GA335">
        <v>0</v>
      </c>
      <c r="GB335">
        <v>0</v>
      </c>
      <c r="GC335">
        <v>0</v>
      </c>
      <c r="GD335">
        <v>8549</v>
      </c>
      <c r="GE335">
        <v>8317</v>
      </c>
      <c r="GF335">
        <v>16958</v>
      </c>
      <c r="GG335">
        <v>-65</v>
      </c>
      <c r="GH335">
        <v>0</v>
      </c>
      <c r="GI335">
        <v>0</v>
      </c>
      <c r="GJ335">
        <v>0</v>
      </c>
      <c r="GK335">
        <v>42473</v>
      </c>
      <c r="GL335">
        <v>728</v>
      </c>
      <c r="GM335">
        <v>1656</v>
      </c>
      <c r="GN335">
        <v>0</v>
      </c>
      <c r="GO335">
        <v>124</v>
      </c>
      <c r="GP335">
        <v>3</v>
      </c>
      <c r="GQ335">
        <v>2654</v>
      </c>
      <c r="GR335">
        <v>0</v>
      </c>
      <c r="GS335">
        <v>-408</v>
      </c>
      <c r="GT335">
        <v>3096</v>
      </c>
      <c r="GU335">
        <v>7853</v>
      </c>
      <c r="GV335">
        <v>66411</v>
      </c>
      <c r="GW335">
        <v>0</v>
      </c>
      <c r="GX335">
        <v>0</v>
      </c>
      <c r="GY335">
        <v>0</v>
      </c>
      <c r="GZ335">
        <v>0</v>
      </c>
      <c r="HA335">
        <v>0</v>
      </c>
      <c r="HB335">
        <v>11366</v>
      </c>
      <c r="HC335">
        <v>2198</v>
      </c>
      <c r="HD335">
        <v>0</v>
      </c>
      <c r="HE335">
        <v>809</v>
      </c>
      <c r="HF335">
        <v>4054</v>
      </c>
      <c r="HG335">
        <v>573</v>
      </c>
      <c r="HH335">
        <v>795</v>
      </c>
      <c r="HI335">
        <v>-27</v>
      </c>
      <c r="HJ335">
        <v>503</v>
      </c>
      <c r="HK335">
        <v>396</v>
      </c>
      <c r="HL335">
        <v>277</v>
      </c>
      <c r="HM335">
        <v>-531</v>
      </c>
      <c r="HN335">
        <v>1552</v>
      </c>
      <c r="HO335">
        <v>0</v>
      </c>
      <c r="HP335">
        <v>-238</v>
      </c>
      <c r="HQ335">
        <v>0</v>
      </c>
      <c r="HR335">
        <v>11116</v>
      </c>
      <c r="HS335">
        <v>0</v>
      </c>
      <c r="HT335">
        <v>0</v>
      </c>
      <c r="HU335">
        <v>62199</v>
      </c>
      <c r="HV335">
        <v>95042</v>
      </c>
      <c r="HW335">
        <v>0</v>
      </c>
      <c r="HX335">
        <v>0</v>
      </c>
      <c r="HY335">
        <v>0</v>
      </c>
      <c r="HZ335">
        <v>0</v>
      </c>
      <c r="IA335">
        <v>0</v>
      </c>
      <c r="IB335">
        <v>0</v>
      </c>
      <c r="IC335">
        <v>232177</v>
      </c>
      <c r="ID335">
        <v>5166</v>
      </c>
      <c r="IE335">
        <v>98373</v>
      </c>
      <c r="IF335">
        <v>99940</v>
      </c>
      <c r="IG335">
        <v>28698</v>
      </c>
      <c r="IH335">
        <v>33663</v>
      </c>
      <c r="II335">
        <v>16085</v>
      </c>
      <c r="IJ335">
        <v>42473</v>
      </c>
      <c r="IK335">
        <v>7853</v>
      </c>
      <c r="IL335">
        <v>0</v>
      </c>
      <c r="IM335">
        <v>0</v>
      </c>
      <c r="IN335">
        <v>95042</v>
      </c>
      <c r="IO335">
        <v>0</v>
      </c>
      <c r="IP335">
        <v>659470</v>
      </c>
      <c r="IQ335">
        <v>54995</v>
      </c>
      <c r="IR335">
        <v>20670</v>
      </c>
      <c r="IS335">
        <v>62005</v>
      </c>
      <c r="IT335">
        <v>0</v>
      </c>
      <c r="IU335">
        <v>530</v>
      </c>
      <c r="IV335">
        <v>0</v>
      </c>
      <c r="IW335">
        <v>0</v>
      </c>
      <c r="IX335">
        <v>0</v>
      </c>
      <c r="IY335">
        <v>1527</v>
      </c>
      <c r="IZ335">
        <v>254</v>
      </c>
      <c r="JA335">
        <v>-9384</v>
      </c>
      <c r="JB335">
        <v>1313</v>
      </c>
      <c r="JC335">
        <v>0</v>
      </c>
      <c r="JD335">
        <v>0</v>
      </c>
      <c r="JE335">
        <v>0</v>
      </c>
      <c r="JF335">
        <v>0</v>
      </c>
      <c r="JG335">
        <v>791380</v>
      </c>
      <c r="JH335">
        <v>248</v>
      </c>
      <c r="JI335">
        <v>1719</v>
      </c>
      <c r="JJ335">
        <v>0</v>
      </c>
      <c r="JK335">
        <v>0</v>
      </c>
      <c r="JL335">
        <v>0</v>
      </c>
      <c r="JM335">
        <v>-258</v>
      </c>
      <c r="JN335">
        <v>9106</v>
      </c>
      <c r="JO335">
        <v>0</v>
      </c>
      <c r="JP335">
        <v>15120</v>
      </c>
      <c r="JQ335">
        <v>0</v>
      </c>
      <c r="JR335">
        <v>817315</v>
      </c>
      <c r="JS335">
        <v>-220</v>
      </c>
      <c r="JT335">
        <v>0</v>
      </c>
      <c r="JU335">
        <v>241</v>
      </c>
      <c r="JV335">
        <v>0</v>
      </c>
      <c r="JW335">
        <v>-144167</v>
      </c>
      <c r="JX335">
        <v>0</v>
      </c>
      <c r="JY335">
        <v>-700</v>
      </c>
      <c r="JZ335">
        <v>0</v>
      </c>
      <c r="KA335">
        <v>0</v>
      </c>
      <c r="KB335">
        <v>0</v>
      </c>
      <c r="KC335">
        <v>672469</v>
      </c>
      <c r="KD335">
        <v>0</v>
      </c>
      <c r="KE335">
        <v>-326415</v>
      </c>
      <c r="KF335">
        <v>346054</v>
      </c>
      <c r="KG335">
        <v>0</v>
      </c>
      <c r="KH335">
        <v>437</v>
      </c>
      <c r="KI335">
        <v>0</v>
      </c>
      <c r="KJ335">
        <v>0</v>
      </c>
      <c r="KK335">
        <v>2572</v>
      </c>
      <c r="KL335">
        <v>0</v>
      </c>
      <c r="KM335">
        <v>-36649</v>
      </c>
      <c r="KN335">
        <v>0</v>
      </c>
      <c r="KO335">
        <v>-142322</v>
      </c>
      <c r="KP335">
        <v>0</v>
      </c>
      <c r="KQ335">
        <v>0</v>
      </c>
      <c r="KR335">
        <v>123024</v>
      </c>
      <c r="KS335">
        <v>15604</v>
      </c>
      <c r="KT335">
        <v>-21651</v>
      </c>
      <c r="KU335">
        <v>0</v>
      </c>
      <c r="KV335">
        <v>208140</v>
      </c>
      <c r="KW335">
        <v>21002</v>
      </c>
      <c r="KX335">
        <v>16041</v>
      </c>
      <c r="KY335">
        <v>-21651</v>
      </c>
      <c r="KZ335">
        <v>0</v>
      </c>
      <c r="LA335">
        <v>210712</v>
      </c>
      <c r="LB335">
        <v>21002</v>
      </c>
      <c r="LC335">
        <v>0</v>
      </c>
      <c r="LD335">
        <v>0</v>
      </c>
      <c r="LE335">
        <v>0</v>
      </c>
      <c r="LF335">
        <v>0</v>
      </c>
      <c r="LG335">
        <v>0</v>
      </c>
      <c r="LH335">
        <v>0</v>
      </c>
      <c r="LI335">
        <v>0</v>
      </c>
      <c r="LJ335">
        <v>7936</v>
      </c>
      <c r="LK335">
        <v>12736</v>
      </c>
      <c r="LL335">
        <v>20672</v>
      </c>
      <c r="LM335">
        <v>0</v>
      </c>
      <c r="LN335">
        <v>0</v>
      </c>
      <c r="LO335">
        <v>0</v>
      </c>
      <c r="LP335">
        <v>323595</v>
      </c>
      <c r="LQ335">
        <v>325811</v>
      </c>
      <c r="LR335">
        <v>-2216</v>
      </c>
      <c r="LS335">
        <v>28346</v>
      </c>
      <c r="LT335">
        <v>26130</v>
      </c>
      <c r="LU335">
        <v>232177</v>
      </c>
      <c r="LV335">
        <v>5166</v>
      </c>
      <c r="LW335">
        <v>98373</v>
      </c>
      <c r="LX335">
        <v>99940</v>
      </c>
      <c r="LY335">
        <v>28698</v>
      </c>
      <c r="LZ335">
        <v>33663</v>
      </c>
      <c r="MA335">
        <v>16085</v>
      </c>
      <c r="MB335">
        <v>42473</v>
      </c>
      <c r="MC335">
        <v>7853</v>
      </c>
      <c r="MD335">
        <v>0</v>
      </c>
      <c r="ME335">
        <v>0</v>
      </c>
      <c r="MF335">
        <v>95042</v>
      </c>
      <c r="MG335">
        <v>0</v>
      </c>
      <c r="MH335">
        <v>659470</v>
      </c>
      <c r="MI335">
        <v>0</v>
      </c>
      <c r="MJ335">
        <v>0</v>
      </c>
      <c r="MK335">
        <v>0</v>
      </c>
      <c r="ML335">
        <v>0</v>
      </c>
      <c r="MM335">
        <v>0</v>
      </c>
      <c r="MN335">
        <v>0</v>
      </c>
      <c r="MO335">
        <v>0</v>
      </c>
      <c r="MP335">
        <v>0</v>
      </c>
      <c r="MQ335">
        <v>0</v>
      </c>
      <c r="MR335">
        <v>0</v>
      </c>
      <c r="MS335">
        <v>0</v>
      </c>
      <c r="MT335">
        <v>0</v>
      </c>
      <c r="MU335">
        <v>0</v>
      </c>
      <c r="MV335">
        <v>0</v>
      </c>
      <c r="MW335">
        <v>0</v>
      </c>
      <c r="MX335">
        <v>0</v>
      </c>
      <c r="MY335">
        <v>-9384</v>
      </c>
      <c r="MZ335">
        <v>0</v>
      </c>
      <c r="NA335">
        <v>-9384</v>
      </c>
      <c r="NB335">
        <v>0</v>
      </c>
      <c r="NC335">
        <v>-9384</v>
      </c>
      <c r="ND335">
        <v>0</v>
      </c>
      <c r="NE335">
        <v>0</v>
      </c>
      <c r="NF335">
        <v>0</v>
      </c>
      <c r="NG335">
        <v>0</v>
      </c>
      <c r="NH335">
        <v>0</v>
      </c>
      <c r="NI335">
        <v>0</v>
      </c>
      <c r="NJ335">
        <v>0</v>
      </c>
      <c r="NK335">
        <v>0</v>
      </c>
      <c r="NL335">
        <v>0</v>
      </c>
      <c r="NM335">
        <v>0</v>
      </c>
      <c r="NN335">
        <v>1069</v>
      </c>
      <c r="NO335">
        <v>0</v>
      </c>
      <c r="NP335">
        <v>155</v>
      </c>
      <c r="NQ335">
        <v>0</v>
      </c>
      <c r="NR335">
        <v>89</v>
      </c>
      <c r="NS335">
        <v>0</v>
      </c>
      <c r="NT335">
        <v>0</v>
      </c>
      <c r="NU335">
        <v>0</v>
      </c>
      <c r="NV335">
        <v>0</v>
      </c>
      <c r="NW335">
        <v>0</v>
      </c>
      <c r="NX335">
        <v>0</v>
      </c>
      <c r="NY335">
        <v>0</v>
      </c>
      <c r="NZ335">
        <v>1313</v>
      </c>
      <c r="OA335">
        <v>0</v>
      </c>
      <c r="OB335">
        <v>1313</v>
      </c>
      <c r="OC335">
        <v>0</v>
      </c>
      <c r="OD335">
        <v>0</v>
      </c>
      <c r="OE335">
        <v>0</v>
      </c>
      <c r="OF335">
        <v>0</v>
      </c>
      <c r="OG335">
        <v>0</v>
      </c>
      <c r="OH335">
        <v>0</v>
      </c>
      <c r="OI335">
        <v>0</v>
      </c>
      <c r="OJ335">
        <v>0</v>
      </c>
      <c r="OK335">
        <v>0</v>
      </c>
      <c r="OL335">
        <v>0</v>
      </c>
      <c r="OM335">
        <v>0</v>
      </c>
      <c r="ON335">
        <v>0</v>
      </c>
    </row>
    <row r="336" spans="1:404" x14ac:dyDescent="0.25">
      <c r="A336" t="s">
        <v>1079</v>
      </c>
      <c r="B336" t="s">
        <v>1080</v>
      </c>
      <c r="C336" t="s">
        <v>1078</v>
      </c>
      <c r="E336" t="s">
        <v>61</v>
      </c>
      <c r="F336">
        <v>0</v>
      </c>
      <c r="G336">
        <v>0</v>
      </c>
      <c r="H336">
        <v>0</v>
      </c>
      <c r="I336">
        <v>0</v>
      </c>
      <c r="J336">
        <v>0</v>
      </c>
      <c r="K336">
        <v>0</v>
      </c>
      <c r="L336">
        <v>0</v>
      </c>
      <c r="M336">
        <v>0</v>
      </c>
      <c r="N336">
        <v>0</v>
      </c>
      <c r="O336">
        <v>0</v>
      </c>
      <c r="P336">
        <v>0</v>
      </c>
      <c r="Q336">
        <v>0</v>
      </c>
      <c r="R336">
        <v>0</v>
      </c>
      <c r="S336">
        <v>0</v>
      </c>
      <c r="T336">
        <v>0</v>
      </c>
      <c r="U336">
        <v>0</v>
      </c>
      <c r="V336">
        <v>0</v>
      </c>
      <c r="W336">
        <v>0</v>
      </c>
      <c r="X336">
        <v>0</v>
      </c>
      <c r="Y336">
        <v>0</v>
      </c>
      <c r="Z336">
        <v>-1287</v>
      </c>
      <c r="AA336">
        <v>1352</v>
      </c>
      <c r="AB336">
        <v>0</v>
      </c>
      <c r="AC336">
        <v>0</v>
      </c>
      <c r="AD336">
        <v>177</v>
      </c>
      <c r="AE336">
        <v>0</v>
      </c>
      <c r="AF336">
        <v>0</v>
      </c>
      <c r="AG336">
        <v>25</v>
      </c>
      <c r="AH336">
        <v>0</v>
      </c>
      <c r="AI336">
        <v>267</v>
      </c>
      <c r="AJ336">
        <v>0</v>
      </c>
      <c r="AK336">
        <v>0</v>
      </c>
      <c r="AL336">
        <v>0</v>
      </c>
      <c r="AM336">
        <v>0</v>
      </c>
      <c r="AN336">
        <v>0</v>
      </c>
      <c r="AO336">
        <v>0</v>
      </c>
      <c r="AP336">
        <v>0</v>
      </c>
      <c r="AQ336">
        <v>341</v>
      </c>
      <c r="AR336">
        <v>1131</v>
      </c>
      <c r="AS336">
        <v>0</v>
      </c>
      <c r="AT336">
        <v>0</v>
      </c>
      <c r="AU336">
        <v>0</v>
      </c>
      <c r="AV336">
        <v>0</v>
      </c>
      <c r="AW336">
        <v>0</v>
      </c>
      <c r="AX336">
        <v>0</v>
      </c>
      <c r="AY336">
        <v>557</v>
      </c>
      <c r="AZ336">
        <v>0</v>
      </c>
      <c r="BA336">
        <v>0</v>
      </c>
      <c r="BB336">
        <v>0</v>
      </c>
      <c r="BC336">
        <v>0</v>
      </c>
      <c r="BD336">
        <v>557</v>
      </c>
      <c r="BE336">
        <v>0</v>
      </c>
      <c r="BF336">
        <v>0</v>
      </c>
      <c r="BG336">
        <v>0</v>
      </c>
      <c r="BH336">
        <v>646</v>
      </c>
      <c r="BI336">
        <v>0</v>
      </c>
      <c r="BJ336">
        <v>0</v>
      </c>
      <c r="BK336">
        <v>0</v>
      </c>
      <c r="BL336">
        <v>0</v>
      </c>
      <c r="BM336">
        <v>0</v>
      </c>
      <c r="BN336">
        <v>0</v>
      </c>
      <c r="BO336">
        <v>0</v>
      </c>
      <c r="BP336">
        <v>0</v>
      </c>
      <c r="BQ336">
        <v>0</v>
      </c>
      <c r="BR336">
        <v>0</v>
      </c>
      <c r="BS336">
        <v>0</v>
      </c>
      <c r="BT336">
        <v>0</v>
      </c>
      <c r="BU336">
        <v>0</v>
      </c>
      <c r="BV336">
        <v>0</v>
      </c>
      <c r="BW336">
        <v>646</v>
      </c>
      <c r="BX336">
        <v>0</v>
      </c>
      <c r="BY336">
        <v>0</v>
      </c>
      <c r="BZ336">
        <v>0</v>
      </c>
      <c r="CA336">
        <v>0</v>
      </c>
      <c r="CB336">
        <v>0</v>
      </c>
      <c r="CC336">
        <v>0</v>
      </c>
      <c r="CD336">
        <v>0</v>
      </c>
      <c r="CE336">
        <v>0</v>
      </c>
      <c r="CF336">
        <v>0</v>
      </c>
      <c r="CG336">
        <v>0</v>
      </c>
      <c r="CH336">
        <v>0</v>
      </c>
      <c r="CI336">
        <v>0</v>
      </c>
      <c r="CJ336">
        <v>0</v>
      </c>
      <c r="CK336">
        <v>0</v>
      </c>
      <c r="CL336">
        <v>0</v>
      </c>
      <c r="CM336">
        <v>0</v>
      </c>
      <c r="CN336">
        <v>0</v>
      </c>
      <c r="CO336">
        <v>0</v>
      </c>
      <c r="CP336">
        <v>0</v>
      </c>
      <c r="CQ336">
        <v>0</v>
      </c>
      <c r="CR336">
        <v>0</v>
      </c>
      <c r="CS336">
        <v>0</v>
      </c>
      <c r="CT336">
        <v>0</v>
      </c>
      <c r="CU336">
        <v>0</v>
      </c>
      <c r="CV336">
        <v>0</v>
      </c>
      <c r="CW336">
        <v>0</v>
      </c>
      <c r="CX336">
        <v>0</v>
      </c>
      <c r="CY336">
        <v>0</v>
      </c>
      <c r="CZ336">
        <v>0</v>
      </c>
      <c r="DA336">
        <v>0</v>
      </c>
      <c r="DB336">
        <v>0</v>
      </c>
      <c r="DC336">
        <v>0</v>
      </c>
      <c r="DD336">
        <v>0</v>
      </c>
      <c r="DE336">
        <v>0</v>
      </c>
      <c r="DF336">
        <v>0</v>
      </c>
      <c r="DG336">
        <v>0</v>
      </c>
      <c r="DH336">
        <v>0</v>
      </c>
      <c r="DI336">
        <v>0</v>
      </c>
      <c r="DJ336">
        <v>959</v>
      </c>
      <c r="DK336">
        <v>0</v>
      </c>
      <c r="DL336">
        <v>35</v>
      </c>
      <c r="DM336">
        <v>0</v>
      </c>
      <c r="DN336">
        <v>0</v>
      </c>
      <c r="DO336">
        <v>2675</v>
      </c>
      <c r="DP336">
        <v>3669</v>
      </c>
      <c r="DQ336">
        <v>773</v>
      </c>
      <c r="DR336">
        <v>0</v>
      </c>
      <c r="DS336">
        <v>0</v>
      </c>
      <c r="DT336">
        <v>892</v>
      </c>
      <c r="DU336">
        <v>0</v>
      </c>
      <c r="DV336">
        <v>0</v>
      </c>
      <c r="DW336">
        <v>0</v>
      </c>
      <c r="DX336">
        <v>5334</v>
      </c>
      <c r="DY336">
        <v>0</v>
      </c>
      <c r="DZ336">
        <v>0</v>
      </c>
      <c r="EA336">
        <v>0</v>
      </c>
      <c r="EB336">
        <v>0</v>
      </c>
      <c r="EC336">
        <v>0</v>
      </c>
      <c r="ED336">
        <v>0</v>
      </c>
      <c r="EE336">
        <v>0</v>
      </c>
      <c r="EF336">
        <v>0</v>
      </c>
      <c r="EG336">
        <v>0</v>
      </c>
      <c r="EH336">
        <v>0</v>
      </c>
      <c r="EI336">
        <v>0</v>
      </c>
      <c r="EJ336">
        <v>0</v>
      </c>
      <c r="EK336">
        <v>0</v>
      </c>
      <c r="EL336">
        <v>0</v>
      </c>
      <c r="EM336">
        <v>0</v>
      </c>
      <c r="EN336">
        <v>0</v>
      </c>
      <c r="EO336">
        <v>0</v>
      </c>
      <c r="EP336">
        <v>0</v>
      </c>
      <c r="EQ336">
        <v>0</v>
      </c>
      <c r="ER336">
        <v>0</v>
      </c>
      <c r="ES336">
        <v>0</v>
      </c>
      <c r="ET336">
        <v>0</v>
      </c>
      <c r="EU336">
        <v>0</v>
      </c>
      <c r="EV336">
        <v>32</v>
      </c>
      <c r="EW336">
        <v>0</v>
      </c>
      <c r="EX336">
        <v>0</v>
      </c>
      <c r="EY336">
        <v>0</v>
      </c>
      <c r="EZ336">
        <v>-6</v>
      </c>
      <c r="FA336">
        <v>0</v>
      </c>
      <c r="FB336">
        <v>391</v>
      </c>
      <c r="FC336">
        <v>309</v>
      </c>
      <c r="FD336">
        <v>1767</v>
      </c>
      <c r="FE336">
        <v>4</v>
      </c>
      <c r="FF336">
        <v>0</v>
      </c>
      <c r="FG336">
        <v>0</v>
      </c>
      <c r="FH336">
        <v>2497</v>
      </c>
      <c r="FI336">
        <v>-352</v>
      </c>
      <c r="FJ336">
        <v>0</v>
      </c>
      <c r="FK336">
        <v>0</v>
      </c>
      <c r="FL336">
        <v>243</v>
      </c>
      <c r="FM336">
        <v>360</v>
      </c>
      <c r="FN336">
        <v>0</v>
      </c>
      <c r="FO336">
        <v>252</v>
      </c>
      <c r="FP336">
        <v>0</v>
      </c>
      <c r="FQ336">
        <v>0</v>
      </c>
      <c r="FR336">
        <v>246</v>
      </c>
      <c r="FS336">
        <v>10</v>
      </c>
      <c r="FT336">
        <v>246</v>
      </c>
      <c r="FU336">
        <v>148</v>
      </c>
      <c r="FV336">
        <v>129</v>
      </c>
      <c r="FW336">
        <v>0</v>
      </c>
      <c r="FX336">
        <v>142</v>
      </c>
      <c r="FY336">
        <v>0</v>
      </c>
      <c r="FZ336">
        <v>6</v>
      </c>
      <c r="GA336">
        <v>0</v>
      </c>
      <c r="GB336">
        <v>0</v>
      </c>
      <c r="GC336">
        <v>0</v>
      </c>
      <c r="GD336">
        <v>913</v>
      </c>
      <c r="GE336">
        <v>3835</v>
      </c>
      <c r="GF336">
        <v>0</v>
      </c>
      <c r="GG336">
        <v>0</v>
      </c>
      <c r="GH336">
        <v>-953</v>
      </c>
      <c r="GI336">
        <v>0</v>
      </c>
      <c r="GJ336">
        <v>0</v>
      </c>
      <c r="GK336">
        <v>5225</v>
      </c>
      <c r="GL336">
        <v>177</v>
      </c>
      <c r="GM336">
        <v>722</v>
      </c>
      <c r="GN336">
        <v>0</v>
      </c>
      <c r="GO336">
        <v>775</v>
      </c>
      <c r="GP336">
        <v>132</v>
      </c>
      <c r="GQ336">
        <v>-277</v>
      </c>
      <c r="GR336">
        <v>0</v>
      </c>
      <c r="GS336">
        <v>1031</v>
      </c>
      <c r="GT336">
        <v>0</v>
      </c>
      <c r="GU336">
        <v>2560</v>
      </c>
      <c r="GV336">
        <v>10282</v>
      </c>
      <c r="GW336">
        <v>0</v>
      </c>
      <c r="GX336">
        <v>0</v>
      </c>
      <c r="GY336">
        <v>0</v>
      </c>
      <c r="GZ336">
        <v>0</v>
      </c>
      <c r="HA336">
        <v>0</v>
      </c>
      <c r="HB336">
        <v>3290</v>
      </c>
      <c r="HC336">
        <v>96</v>
      </c>
      <c r="HD336">
        <v>0</v>
      </c>
      <c r="HE336">
        <v>0</v>
      </c>
      <c r="HF336">
        <v>15</v>
      </c>
      <c r="HG336">
        <v>-150</v>
      </c>
      <c r="HH336">
        <v>0</v>
      </c>
      <c r="HI336">
        <v>0</v>
      </c>
      <c r="HJ336">
        <v>423</v>
      </c>
      <c r="HK336">
        <v>50</v>
      </c>
      <c r="HL336">
        <v>34</v>
      </c>
      <c r="HM336">
        <v>-76</v>
      </c>
      <c r="HN336">
        <v>0</v>
      </c>
      <c r="HO336">
        <v>236</v>
      </c>
      <c r="HP336">
        <v>0</v>
      </c>
      <c r="HQ336">
        <v>0</v>
      </c>
      <c r="HR336">
        <v>1271</v>
      </c>
      <c r="HS336">
        <v>0</v>
      </c>
      <c r="HT336">
        <v>0</v>
      </c>
      <c r="HU336">
        <v>530</v>
      </c>
      <c r="HV336">
        <v>5719</v>
      </c>
      <c r="HW336">
        <v>2157</v>
      </c>
      <c r="HX336">
        <v>2919</v>
      </c>
      <c r="HY336">
        <v>0</v>
      </c>
      <c r="HZ336">
        <v>0</v>
      </c>
      <c r="IA336">
        <v>0</v>
      </c>
      <c r="IB336">
        <v>0</v>
      </c>
      <c r="IC336">
        <v>0</v>
      </c>
      <c r="ID336">
        <v>267</v>
      </c>
      <c r="IE336">
        <v>557</v>
      </c>
      <c r="IF336">
        <v>646</v>
      </c>
      <c r="IG336">
        <v>0</v>
      </c>
      <c r="IH336">
        <v>5334</v>
      </c>
      <c r="II336">
        <v>2497</v>
      </c>
      <c r="IJ336">
        <v>5225</v>
      </c>
      <c r="IK336">
        <v>2560</v>
      </c>
      <c r="IL336">
        <v>0</v>
      </c>
      <c r="IM336">
        <v>0</v>
      </c>
      <c r="IN336">
        <v>5719</v>
      </c>
      <c r="IO336">
        <v>0</v>
      </c>
      <c r="IP336">
        <v>22805</v>
      </c>
      <c r="IQ336">
        <v>20112</v>
      </c>
      <c r="IR336">
        <v>732</v>
      </c>
      <c r="IS336">
        <v>0</v>
      </c>
      <c r="IT336">
        <v>0</v>
      </c>
      <c r="IU336">
        <v>0</v>
      </c>
      <c r="IV336">
        <v>0</v>
      </c>
      <c r="IW336">
        <v>0</v>
      </c>
      <c r="IX336">
        <v>0</v>
      </c>
      <c r="IY336">
        <v>0</v>
      </c>
      <c r="IZ336">
        <v>0</v>
      </c>
      <c r="JA336">
        <v>-50981</v>
      </c>
      <c r="JB336">
        <v>0</v>
      </c>
      <c r="JC336">
        <v>0</v>
      </c>
      <c r="JD336">
        <v>0</v>
      </c>
      <c r="JE336">
        <v>0</v>
      </c>
      <c r="JF336">
        <v>0</v>
      </c>
      <c r="JG336">
        <v>-7332</v>
      </c>
      <c r="JH336">
        <v>0</v>
      </c>
      <c r="JI336">
        <v>1206</v>
      </c>
      <c r="JJ336">
        <v>0</v>
      </c>
      <c r="JK336">
        <v>0</v>
      </c>
      <c r="JL336">
        <v>0</v>
      </c>
      <c r="JM336">
        <v>832</v>
      </c>
      <c r="JN336">
        <v>12327</v>
      </c>
      <c r="JO336">
        <v>0</v>
      </c>
      <c r="JP336">
        <v>23787</v>
      </c>
      <c r="JQ336">
        <v>0</v>
      </c>
      <c r="JR336">
        <v>30820</v>
      </c>
      <c r="JS336">
        <v>-1742</v>
      </c>
      <c r="JT336">
        <v>0</v>
      </c>
      <c r="JU336">
        <v>0</v>
      </c>
      <c r="JV336">
        <v>0</v>
      </c>
      <c r="JW336">
        <v>-21125</v>
      </c>
      <c r="JX336">
        <v>0</v>
      </c>
      <c r="JY336">
        <v>-643</v>
      </c>
      <c r="JZ336">
        <v>0</v>
      </c>
      <c r="KA336">
        <v>0</v>
      </c>
      <c r="KB336">
        <v>0</v>
      </c>
      <c r="KC336">
        <v>7310</v>
      </c>
      <c r="KD336">
        <v>0</v>
      </c>
      <c r="KE336">
        <v>-9948</v>
      </c>
      <c r="KF336">
        <v>-2638</v>
      </c>
      <c r="KG336">
        <v>0</v>
      </c>
      <c r="KH336">
        <v>0</v>
      </c>
      <c r="KI336">
        <v>0</v>
      </c>
      <c r="KJ336">
        <v>0</v>
      </c>
      <c r="KK336">
        <v>3009</v>
      </c>
      <c r="KL336">
        <v>650</v>
      </c>
      <c r="KM336">
        <v>0</v>
      </c>
      <c r="KN336">
        <v>0</v>
      </c>
      <c r="KO336">
        <v>9577</v>
      </c>
      <c r="KP336">
        <v>185</v>
      </c>
      <c r="KQ336">
        <v>0</v>
      </c>
      <c r="KR336">
        <v>8000</v>
      </c>
      <c r="KS336">
        <v>0</v>
      </c>
      <c r="KT336">
        <v>0</v>
      </c>
      <c r="KU336">
        <v>0</v>
      </c>
      <c r="KV336">
        <v>60926</v>
      </c>
      <c r="KW336">
        <v>1352</v>
      </c>
      <c r="KX336">
        <v>0</v>
      </c>
      <c r="KY336">
        <v>0</v>
      </c>
      <c r="KZ336">
        <v>0</v>
      </c>
      <c r="LA336">
        <v>63935</v>
      </c>
      <c r="LB336">
        <v>2002</v>
      </c>
      <c r="LC336">
        <v>0</v>
      </c>
      <c r="LD336">
        <v>3395</v>
      </c>
      <c r="LE336">
        <v>0</v>
      </c>
      <c r="LF336">
        <v>-390</v>
      </c>
      <c r="LG336">
        <v>-2586</v>
      </c>
      <c r="LH336">
        <v>983</v>
      </c>
      <c r="LI336">
        <v>1402</v>
      </c>
      <c r="LJ336">
        <v>2330</v>
      </c>
      <c r="LK336">
        <v>3414</v>
      </c>
      <c r="LL336">
        <v>5744</v>
      </c>
      <c r="LM336">
        <v>0</v>
      </c>
      <c r="LN336">
        <v>0</v>
      </c>
      <c r="LO336">
        <v>0</v>
      </c>
      <c r="LP336">
        <v>0</v>
      </c>
      <c r="LQ336">
        <v>0</v>
      </c>
      <c r="LR336">
        <v>0</v>
      </c>
      <c r="LS336">
        <v>0</v>
      </c>
      <c r="LT336">
        <v>0</v>
      </c>
      <c r="LU336">
        <v>0</v>
      </c>
      <c r="LV336">
        <v>267</v>
      </c>
      <c r="LW336">
        <v>557</v>
      </c>
      <c r="LX336">
        <v>646</v>
      </c>
      <c r="LY336">
        <v>0</v>
      </c>
      <c r="LZ336">
        <v>5334</v>
      </c>
      <c r="MA336">
        <v>2497</v>
      </c>
      <c r="MB336">
        <v>5225</v>
      </c>
      <c r="MC336">
        <v>2560</v>
      </c>
      <c r="MD336">
        <v>0</v>
      </c>
      <c r="ME336">
        <v>0</v>
      </c>
      <c r="MF336">
        <v>5719</v>
      </c>
      <c r="MG336">
        <v>0</v>
      </c>
      <c r="MH336">
        <v>22805</v>
      </c>
      <c r="MI336">
        <v>0</v>
      </c>
      <c r="MJ336">
        <v>0</v>
      </c>
      <c r="MK336">
        <v>0</v>
      </c>
      <c r="ML336">
        <v>0</v>
      </c>
      <c r="MM336">
        <v>0</v>
      </c>
      <c r="MN336">
        <v>0</v>
      </c>
      <c r="MO336">
        <v>0</v>
      </c>
      <c r="MP336">
        <v>0</v>
      </c>
      <c r="MQ336">
        <v>0</v>
      </c>
      <c r="MR336">
        <v>0</v>
      </c>
      <c r="MS336">
        <v>0</v>
      </c>
      <c r="MT336">
        <v>0</v>
      </c>
      <c r="MU336">
        <v>0</v>
      </c>
      <c r="MV336">
        <v>0</v>
      </c>
      <c r="MW336">
        <v>0</v>
      </c>
      <c r="MX336">
        <v>0</v>
      </c>
      <c r="MY336">
        <v>-50981</v>
      </c>
      <c r="MZ336">
        <v>0</v>
      </c>
      <c r="NA336">
        <v>-50981</v>
      </c>
      <c r="NB336">
        <v>0</v>
      </c>
      <c r="NC336">
        <v>-50981</v>
      </c>
      <c r="ND336">
        <v>0</v>
      </c>
      <c r="NE336">
        <v>0</v>
      </c>
      <c r="NF336">
        <v>0</v>
      </c>
      <c r="NG336">
        <v>0</v>
      </c>
      <c r="NH336">
        <v>0</v>
      </c>
      <c r="NI336">
        <v>0</v>
      </c>
      <c r="NJ336">
        <v>0</v>
      </c>
      <c r="NK336">
        <v>0</v>
      </c>
      <c r="NL336">
        <v>0</v>
      </c>
      <c r="NM336">
        <v>0</v>
      </c>
      <c r="NN336">
        <v>0</v>
      </c>
      <c r="NO336">
        <v>0</v>
      </c>
      <c r="NP336">
        <v>0</v>
      </c>
      <c r="NQ336">
        <v>0</v>
      </c>
      <c r="NR336">
        <v>0</v>
      </c>
      <c r="NS336">
        <v>0</v>
      </c>
      <c r="NT336">
        <v>0</v>
      </c>
      <c r="NU336">
        <v>0</v>
      </c>
      <c r="NV336">
        <v>0</v>
      </c>
      <c r="NW336">
        <v>0</v>
      </c>
      <c r="NX336">
        <v>0</v>
      </c>
      <c r="NY336">
        <v>0</v>
      </c>
      <c r="NZ336">
        <v>0</v>
      </c>
      <c r="OA336">
        <v>0</v>
      </c>
      <c r="OB336">
        <v>0</v>
      </c>
      <c r="OC336">
        <v>0</v>
      </c>
      <c r="OD336">
        <v>0</v>
      </c>
      <c r="OE336">
        <v>0</v>
      </c>
      <c r="OF336">
        <v>0</v>
      </c>
      <c r="OG336">
        <v>0</v>
      </c>
      <c r="OH336">
        <v>0</v>
      </c>
      <c r="OI336">
        <v>0</v>
      </c>
      <c r="OJ336">
        <v>0</v>
      </c>
      <c r="OK336">
        <v>0</v>
      </c>
      <c r="OL336">
        <v>0</v>
      </c>
      <c r="OM336">
        <v>0</v>
      </c>
      <c r="ON336">
        <v>0</v>
      </c>
    </row>
    <row r="337" spans="1:404" x14ac:dyDescent="0.25">
      <c r="A337" t="s">
        <v>1082</v>
      </c>
      <c r="B337" t="s">
        <v>1083</v>
      </c>
      <c r="C337" t="s">
        <v>1081</v>
      </c>
      <c r="E337" t="s">
        <v>61</v>
      </c>
      <c r="F337">
        <v>0</v>
      </c>
      <c r="G337">
        <v>0</v>
      </c>
      <c r="H337">
        <v>0</v>
      </c>
      <c r="I337">
        <v>0</v>
      </c>
      <c r="J337">
        <v>0</v>
      </c>
      <c r="K337">
        <v>0</v>
      </c>
      <c r="L337">
        <v>0</v>
      </c>
      <c r="M337">
        <v>0</v>
      </c>
      <c r="N337">
        <v>0</v>
      </c>
      <c r="O337">
        <v>0</v>
      </c>
      <c r="P337">
        <v>0</v>
      </c>
      <c r="Q337">
        <v>0</v>
      </c>
      <c r="R337">
        <v>0</v>
      </c>
      <c r="S337">
        <v>75</v>
      </c>
      <c r="T337">
        <v>0</v>
      </c>
      <c r="U337">
        <v>0</v>
      </c>
      <c r="V337">
        <v>0</v>
      </c>
      <c r="W337">
        <v>0</v>
      </c>
      <c r="X337">
        <v>0</v>
      </c>
      <c r="Y337">
        <v>0</v>
      </c>
      <c r="Z337">
        <v>626</v>
      </c>
      <c r="AA337">
        <v>-1143</v>
      </c>
      <c r="AB337">
        <v>0</v>
      </c>
      <c r="AC337">
        <v>55</v>
      </c>
      <c r="AD337">
        <v>0</v>
      </c>
      <c r="AE337">
        <v>0</v>
      </c>
      <c r="AF337">
        <v>0</v>
      </c>
      <c r="AG337">
        <v>0</v>
      </c>
      <c r="AH337">
        <v>0</v>
      </c>
      <c r="AI337">
        <v>-387</v>
      </c>
      <c r="AJ337">
        <v>0</v>
      </c>
      <c r="AK337">
        <v>0</v>
      </c>
      <c r="AL337">
        <v>0</v>
      </c>
      <c r="AM337">
        <v>0</v>
      </c>
      <c r="AN337">
        <v>0</v>
      </c>
      <c r="AO337">
        <v>0</v>
      </c>
      <c r="AP337">
        <v>0</v>
      </c>
      <c r="AQ337">
        <v>290</v>
      </c>
      <c r="AR337">
        <v>742</v>
      </c>
      <c r="AS337">
        <v>0</v>
      </c>
      <c r="AT337">
        <v>0</v>
      </c>
      <c r="AU337">
        <v>0</v>
      </c>
      <c r="AV337">
        <v>0</v>
      </c>
      <c r="AW337">
        <v>0</v>
      </c>
      <c r="AX337">
        <v>0</v>
      </c>
      <c r="AY337">
        <v>0</v>
      </c>
      <c r="AZ337">
        <v>0</v>
      </c>
      <c r="BA337">
        <v>0</v>
      </c>
      <c r="BB337">
        <v>0</v>
      </c>
      <c r="BC337">
        <v>0</v>
      </c>
      <c r="BD337">
        <v>0</v>
      </c>
      <c r="BE337">
        <v>0</v>
      </c>
      <c r="BF337">
        <v>0</v>
      </c>
      <c r="BG337">
        <v>0</v>
      </c>
      <c r="BH337">
        <v>0</v>
      </c>
      <c r="BI337">
        <v>0</v>
      </c>
      <c r="BJ337">
        <v>0</v>
      </c>
      <c r="BK337">
        <v>0</v>
      </c>
      <c r="BL337">
        <v>0</v>
      </c>
      <c r="BM337">
        <v>0</v>
      </c>
      <c r="BN337">
        <v>0</v>
      </c>
      <c r="BO337">
        <v>0</v>
      </c>
      <c r="BP337">
        <v>0</v>
      </c>
      <c r="BQ337">
        <v>0</v>
      </c>
      <c r="BR337">
        <v>0</v>
      </c>
      <c r="BS337">
        <v>0</v>
      </c>
      <c r="BT337">
        <v>0</v>
      </c>
      <c r="BU337">
        <v>0</v>
      </c>
      <c r="BV337">
        <v>0</v>
      </c>
      <c r="BW337">
        <v>0</v>
      </c>
      <c r="BX337">
        <v>0</v>
      </c>
      <c r="BY337">
        <v>0</v>
      </c>
      <c r="BZ337">
        <v>0</v>
      </c>
      <c r="CA337">
        <v>0</v>
      </c>
      <c r="CB337">
        <v>0</v>
      </c>
      <c r="CC337">
        <v>0</v>
      </c>
      <c r="CD337">
        <v>0</v>
      </c>
      <c r="CE337">
        <v>0</v>
      </c>
      <c r="CF337">
        <v>0</v>
      </c>
      <c r="CG337">
        <v>0</v>
      </c>
      <c r="CH337">
        <v>0</v>
      </c>
      <c r="CI337">
        <v>0</v>
      </c>
      <c r="CJ337">
        <v>0</v>
      </c>
      <c r="CK337">
        <v>0</v>
      </c>
      <c r="CL337">
        <v>0</v>
      </c>
      <c r="CM337">
        <v>0</v>
      </c>
      <c r="CN337">
        <v>0</v>
      </c>
      <c r="CO337">
        <v>0</v>
      </c>
      <c r="CP337">
        <v>0</v>
      </c>
      <c r="CQ337">
        <v>0</v>
      </c>
      <c r="CR337">
        <v>0</v>
      </c>
      <c r="CS337">
        <v>0</v>
      </c>
      <c r="CT337">
        <v>0</v>
      </c>
      <c r="CU337">
        <v>-3</v>
      </c>
      <c r="CV337">
        <v>207</v>
      </c>
      <c r="CW337">
        <v>0</v>
      </c>
      <c r="CX337">
        <v>0</v>
      </c>
      <c r="CY337">
        <v>0</v>
      </c>
      <c r="CZ337">
        <v>0</v>
      </c>
      <c r="DA337">
        <v>0</v>
      </c>
      <c r="DB337">
        <v>0</v>
      </c>
      <c r="DC337">
        <v>246</v>
      </c>
      <c r="DD337">
        <v>0</v>
      </c>
      <c r="DE337">
        <v>89</v>
      </c>
      <c r="DF337">
        <v>0</v>
      </c>
      <c r="DG337">
        <v>0</v>
      </c>
      <c r="DH337">
        <v>0</v>
      </c>
      <c r="DI337">
        <v>0</v>
      </c>
      <c r="DJ337">
        <v>0</v>
      </c>
      <c r="DK337">
        <v>0</v>
      </c>
      <c r="DL337">
        <v>-137</v>
      </c>
      <c r="DM337">
        <v>712</v>
      </c>
      <c r="DN337">
        <v>0</v>
      </c>
      <c r="DO337">
        <v>0</v>
      </c>
      <c r="DP337">
        <v>575</v>
      </c>
      <c r="DQ337">
        <v>0</v>
      </c>
      <c r="DR337">
        <v>0</v>
      </c>
      <c r="DS337">
        <v>0</v>
      </c>
      <c r="DT337">
        <v>763</v>
      </c>
      <c r="DU337">
        <v>0</v>
      </c>
      <c r="DV337">
        <v>0</v>
      </c>
      <c r="DW337">
        <v>0</v>
      </c>
      <c r="DX337">
        <v>1673</v>
      </c>
      <c r="DY337">
        <v>27425</v>
      </c>
      <c r="DZ337">
        <v>1118</v>
      </c>
      <c r="EA337">
        <v>708</v>
      </c>
      <c r="EB337">
        <v>20</v>
      </c>
      <c r="EC337">
        <v>0</v>
      </c>
      <c r="ED337">
        <v>5</v>
      </c>
      <c r="EE337">
        <v>0</v>
      </c>
      <c r="EF337">
        <v>12860</v>
      </c>
      <c r="EG337">
        <v>0</v>
      </c>
      <c r="EH337">
        <v>5298</v>
      </c>
      <c r="EI337">
        <v>6384</v>
      </c>
      <c r="EJ337">
        <v>0</v>
      </c>
      <c r="EK337">
        <v>554</v>
      </c>
      <c r="EL337">
        <v>4772</v>
      </c>
      <c r="EM337">
        <v>10000</v>
      </c>
      <c r="EN337">
        <v>411</v>
      </c>
      <c r="EO337">
        <v>43</v>
      </c>
      <c r="EP337">
        <v>0</v>
      </c>
      <c r="EQ337">
        <v>16100</v>
      </c>
      <c r="ER337">
        <v>123</v>
      </c>
      <c r="ES337">
        <v>3694</v>
      </c>
      <c r="ET337">
        <v>2145</v>
      </c>
      <c r="EU337">
        <v>0</v>
      </c>
      <c r="EV337">
        <v>39</v>
      </c>
      <c r="EW337">
        <v>825</v>
      </c>
      <c r="EX337">
        <v>757</v>
      </c>
      <c r="EY337">
        <v>269</v>
      </c>
      <c r="EZ337">
        <v>39</v>
      </c>
      <c r="FA337">
        <v>0</v>
      </c>
      <c r="FB337">
        <v>-248</v>
      </c>
      <c r="FC337">
        <v>-189</v>
      </c>
      <c r="FD337">
        <v>2027</v>
      </c>
      <c r="FE337">
        <v>-5</v>
      </c>
      <c r="FF337">
        <v>0</v>
      </c>
      <c r="FG337">
        <v>0</v>
      </c>
      <c r="FH337">
        <v>3514</v>
      </c>
      <c r="FI337">
        <v>33</v>
      </c>
      <c r="FJ337">
        <v>0</v>
      </c>
      <c r="FK337">
        <v>0</v>
      </c>
      <c r="FL337">
        <v>527</v>
      </c>
      <c r="FM337">
        <v>594</v>
      </c>
      <c r="FN337">
        <v>0</v>
      </c>
      <c r="FO337">
        <v>0</v>
      </c>
      <c r="FP337">
        <v>0</v>
      </c>
      <c r="FQ337">
        <v>0</v>
      </c>
      <c r="FR337">
        <v>48</v>
      </c>
      <c r="FS337">
        <v>286</v>
      </c>
      <c r="FT337">
        <v>48</v>
      </c>
      <c r="FU337">
        <v>344</v>
      </c>
      <c r="FV337">
        <v>258</v>
      </c>
      <c r="FW337">
        <v>0</v>
      </c>
      <c r="FX337">
        <v>219</v>
      </c>
      <c r="FY337">
        <v>0</v>
      </c>
      <c r="FZ337">
        <v>4</v>
      </c>
      <c r="GA337">
        <v>0</v>
      </c>
      <c r="GB337">
        <v>0</v>
      </c>
      <c r="GC337">
        <v>0</v>
      </c>
      <c r="GD337">
        <v>1246</v>
      </c>
      <c r="GE337">
        <v>1168</v>
      </c>
      <c r="GF337">
        <v>0</v>
      </c>
      <c r="GG337">
        <v>0</v>
      </c>
      <c r="GH337">
        <v>810</v>
      </c>
      <c r="GI337">
        <v>0</v>
      </c>
      <c r="GJ337">
        <v>0</v>
      </c>
      <c r="GK337">
        <v>5585</v>
      </c>
      <c r="GL337">
        <v>320</v>
      </c>
      <c r="GM337">
        <v>1608</v>
      </c>
      <c r="GN337">
        <v>1568</v>
      </c>
      <c r="GO337">
        <v>0</v>
      </c>
      <c r="GP337">
        <v>0</v>
      </c>
      <c r="GQ337">
        <v>269</v>
      </c>
      <c r="GR337">
        <v>0</v>
      </c>
      <c r="GS337">
        <v>0</v>
      </c>
      <c r="GT337">
        <v>410</v>
      </c>
      <c r="GU337">
        <v>4175</v>
      </c>
      <c r="GV337">
        <v>13274</v>
      </c>
      <c r="GW337">
        <v>0</v>
      </c>
      <c r="GX337">
        <v>0</v>
      </c>
      <c r="GY337">
        <v>0</v>
      </c>
      <c r="GZ337">
        <v>0</v>
      </c>
      <c r="HA337">
        <v>0</v>
      </c>
      <c r="HB337">
        <v>2918</v>
      </c>
      <c r="HC337">
        <v>567</v>
      </c>
      <c r="HD337">
        <v>0</v>
      </c>
      <c r="HE337">
        <v>7</v>
      </c>
      <c r="HF337">
        <v>0</v>
      </c>
      <c r="HG337">
        <v>153</v>
      </c>
      <c r="HH337">
        <v>0</v>
      </c>
      <c r="HI337">
        <v>0</v>
      </c>
      <c r="HJ337">
        <v>244</v>
      </c>
      <c r="HK337">
        <v>253</v>
      </c>
      <c r="HL337">
        <v>2</v>
      </c>
      <c r="HM337">
        <v>18</v>
      </c>
      <c r="HN337">
        <v>0</v>
      </c>
      <c r="HO337">
        <v>359</v>
      </c>
      <c r="HP337">
        <v>0</v>
      </c>
      <c r="HQ337">
        <v>0</v>
      </c>
      <c r="HR337">
        <v>-4777</v>
      </c>
      <c r="HS337">
        <v>0</v>
      </c>
      <c r="HT337">
        <v>0</v>
      </c>
      <c r="HU337">
        <v>1024</v>
      </c>
      <c r="HV337">
        <v>768</v>
      </c>
      <c r="HW337">
        <v>9684</v>
      </c>
      <c r="HX337">
        <v>0</v>
      </c>
      <c r="HY337">
        <v>0</v>
      </c>
      <c r="HZ337">
        <v>0</v>
      </c>
      <c r="IA337">
        <v>0</v>
      </c>
      <c r="IB337">
        <v>0</v>
      </c>
      <c r="IC337">
        <v>0</v>
      </c>
      <c r="ID337">
        <v>-387</v>
      </c>
      <c r="IE337">
        <v>0</v>
      </c>
      <c r="IF337">
        <v>0</v>
      </c>
      <c r="IG337">
        <v>207</v>
      </c>
      <c r="IH337">
        <v>1673</v>
      </c>
      <c r="II337">
        <v>3514</v>
      </c>
      <c r="IJ337">
        <v>5585</v>
      </c>
      <c r="IK337">
        <v>4175</v>
      </c>
      <c r="IL337">
        <v>0</v>
      </c>
      <c r="IM337">
        <v>0</v>
      </c>
      <c r="IN337">
        <v>768</v>
      </c>
      <c r="IO337">
        <v>0</v>
      </c>
      <c r="IP337">
        <v>15535</v>
      </c>
      <c r="IQ337">
        <v>13684</v>
      </c>
      <c r="IR337">
        <v>0</v>
      </c>
      <c r="IS337">
        <v>8071</v>
      </c>
      <c r="IT337">
        <v>0</v>
      </c>
      <c r="IU337">
        <v>0</v>
      </c>
      <c r="IV337">
        <v>3036</v>
      </c>
      <c r="IW337">
        <v>0</v>
      </c>
      <c r="IX337">
        <v>0</v>
      </c>
      <c r="IY337">
        <v>0</v>
      </c>
      <c r="IZ337">
        <v>0</v>
      </c>
      <c r="JA337">
        <v>632</v>
      </c>
      <c r="JB337">
        <v>0</v>
      </c>
      <c r="JC337">
        <v>0</v>
      </c>
      <c r="JD337">
        <v>0</v>
      </c>
      <c r="JE337">
        <v>0</v>
      </c>
      <c r="JF337">
        <v>0</v>
      </c>
      <c r="JG337">
        <v>40958</v>
      </c>
      <c r="JH337">
        <v>0</v>
      </c>
      <c r="JI337">
        <v>0</v>
      </c>
      <c r="JJ337">
        <v>0</v>
      </c>
      <c r="JK337">
        <v>0</v>
      </c>
      <c r="JL337">
        <v>0</v>
      </c>
      <c r="JM337">
        <v>-106</v>
      </c>
      <c r="JN337">
        <v>1707</v>
      </c>
      <c r="JO337">
        <v>0</v>
      </c>
      <c r="JP337">
        <v>155</v>
      </c>
      <c r="JQ337">
        <v>0</v>
      </c>
      <c r="JR337">
        <v>42714</v>
      </c>
      <c r="JS337">
        <v>-16</v>
      </c>
      <c r="JT337">
        <v>0</v>
      </c>
      <c r="JU337">
        <v>0</v>
      </c>
      <c r="JV337">
        <v>0</v>
      </c>
      <c r="JW337">
        <v>-21554</v>
      </c>
      <c r="JX337">
        <v>0</v>
      </c>
      <c r="JY337">
        <v>0</v>
      </c>
      <c r="JZ337">
        <v>0</v>
      </c>
      <c r="KA337">
        <v>0</v>
      </c>
      <c r="KB337">
        <v>0</v>
      </c>
      <c r="KC337">
        <v>21144</v>
      </c>
      <c r="KD337">
        <v>0</v>
      </c>
      <c r="KE337">
        <v>-2147</v>
      </c>
      <c r="KF337">
        <v>18997</v>
      </c>
      <c r="KG337">
        <v>0</v>
      </c>
      <c r="KH337">
        <v>0</v>
      </c>
      <c r="KI337">
        <v>0</v>
      </c>
      <c r="KJ337">
        <v>0</v>
      </c>
      <c r="KK337">
        <v>-8064</v>
      </c>
      <c r="KL337">
        <v>728</v>
      </c>
      <c r="KM337">
        <v>0</v>
      </c>
      <c r="KN337">
        <v>0</v>
      </c>
      <c r="KO337">
        <v>-2336</v>
      </c>
      <c r="KP337">
        <v>-891</v>
      </c>
      <c r="KQ337">
        <v>7945</v>
      </c>
      <c r="KR337">
        <v>14459</v>
      </c>
      <c r="KS337">
        <v>0</v>
      </c>
      <c r="KT337">
        <v>0</v>
      </c>
      <c r="KU337">
        <v>0</v>
      </c>
      <c r="KV337">
        <v>19863</v>
      </c>
      <c r="KW337">
        <v>3305</v>
      </c>
      <c r="KX337">
        <v>0</v>
      </c>
      <c r="KY337">
        <v>0</v>
      </c>
      <c r="KZ337">
        <v>0</v>
      </c>
      <c r="LA337">
        <v>11799</v>
      </c>
      <c r="LB337">
        <v>4033</v>
      </c>
      <c r="LC337">
        <v>0</v>
      </c>
      <c r="LD337">
        <v>4898</v>
      </c>
      <c r="LE337">
        <v>2738</v>
      </c>
      <c r="LF337">
        <v>232</v>
      </c>
      <c r="LG337">
        <v>-2871</v>
      </c>
      <c r="LH337">
        <v>0</v>
      </c>
      <c r="LI337">
        <v>4997</v>
      </c>
      <c r="LJ337">
        <v>2379</v>
      </c>
      <c r="LK337">
        <v>5108</v>
      </c>
      <c r="LL337">
        <v>7487</v>
      </c>
      <c r="LM337">
        <v>0</v>
      </c>
      <c r="LN337">
        <v>0</v>
      </c>
      <c r="LO337">
        <v>0</v>
      </c>
      <c r="LP337">
        <v>42136</v>
      </c>
      <c r="LQ337">
        <v>43685</v>
      </c>
      <c r="LR337">
        <v>-1549</v>
      </c>
      <c r="LS337">
        <v>3694</v>
      </c>
      <c r="LT337">
        <v>2145</v>
      </c>
      <c r="LU337">
        <v>0</v>
      </c>
      <c r="LV337">
        <v>-387</v>
      </c>
      <c r="LW337">
        <v>0</v>
      </c>
      <c r="LX337">
        <v>0</v>
      </c>
      <c r="LY337">
        <v>207</v>
      </c>
      <c r="LZ337">
        <v>1673</v>
      </c>
      <c r="MA337">
        <v>3514</v>
      </c>
      <c r="MB337">
        <v>5585</v>
      </c>
      <c r="MC337">
        <v>4175</v>
      </c>
      <c r="MD337">
        <v>0</v>
      </c>
      <c r="ME337">
        <v>0</v>
      </c>
      <c r="MF337">
        <v>768</v>
      </c>
      <c r="MG337">
        <v>0</v>
      </c>
      <c r="MH337">
        <v>15535</v>
      </c>
      <c r="MI337">
        <v>0</v>
      </c>
      <c r="MJ337">
        <v>0</v>
      </c>
      <c r="MK337">
        <v>0</v>
      </c>
      <c r="ML337">
        <v>0</v>
      </c>
      <c r="MM337">
        <v>0</v>
      </c>
      <c r="MN337">
        <v>0</v>
      </c>
      <c r="MO337">
        <v>0</v>
      </c>
      <c r="MP337">
        <v>0</v>
      </c>
      <c r="MQ337">
        <v>0</v>
      </c>
      <c r="MR337">
        <v>0</v>
      </c>
      <c r="MS337">
        <v>0</v>
      </c>
      <c r="MT337">
        <v>0</v>
      </c>
      <c r="MU337">
        <v>0</v>
      </c>
      <c r="MV337">
        <v>0</v>
      </c>
      <c r="MW337">
        <v>0</v>
      </c>
      <c r="MX337">
        <v>0</v>
      </c>
      <c r="MY337">
        <v>451</v>
      </c>
      <c r="MZ337">
        <v>181</v>
      </c>
      <c r="NA337">
        <v>632</v>
      </c>
      <c r="NB337">
        <v>0</v>
      </c>
      <c r="NC337">
        <v>632</v>
      </c>
      <c r="ND337">
        <v>0</v>
      </c>
      <c r="NE337">
        <v>0</v>
      </c>
      <c r="NF337">
        <v>0</v>
      </c>
      <c r="NG337">
        <v>0</v>
      </c>
      <c r="NH337">
        <v>0</v>
      </c>
      <c r="NI337">
        <v>0</v>
      </c>
      <c r="NJ337">
        <v>0</v>
      </c>
      <c r="NK337">
        <v>0</v>
      </c>
      <c r="NL337">
        <v>0</v>
      </c>
      <c r="NM337">
        <v>0</v>
      </c>
      <c r="NN337">
        <v>0</v>
      </c>
      <c r="NO337">
        <v>0</v>
      </c>
      <c r="NP337">
        <v>0</v>
      </c>
      <c r="NQ337">
        <v>0</v>
      </c>
      <c r="NR337">
        <v>0</v>
      </c>
      <c r="NS337">
        <v>0</v>
      </c>
      <c r="NT337">
        <v>0</v>
      </c>
      <c r="NU337">
        <v>0</v>
      </c>
      <c r="NV337">
        <v>0</v>
      </c>
      <c r="NW337">
        <v>0</v>
      </c>
      <c r="NX337">
        <v>0</v>
      </c>
      <c r="NY337">
        <v>0</v>
      </c>
      <c r="NZ337">
        <v>0</v>
      </c>
      <c r="OA337">
        <v>0</v>
      </c>
      <c r="OB337">
        <v>0</v>
      </c>
      <c r="OC337">
        <v>0</v>
      </c>
      <c r="OD337">
        <v>0</v>
      </c>
      <c r="OE337">
        <v>0</v>
      </c>
      <c r="OF337">
        <v>0</v>
      </c>
      <c r="OG337">
        <v>0</v>
      </c>
      <c r="OH337">
        <v>0</v>
      </c>
      <c r="OI337">
        <v>0</v>
      </c>
      <c r="OJ337">
        <v>0</v>
      </c>
      <c r="OK337">
        <v>0</v>
      </c>
      <c r="OL337">
        <v>0</v>
      </c>
      <c r="OM337">
        <v>0</v>
      </c>
      <c r="ON337">
        <v>0</v>
      </c>
    </row>
    <row r="338" spans="1:404" x14ac:dyDescent="0.25">
      <c r="A338" t="s">
        <v>1085</v>
      </c>
      <c r="B338" t="s">
        <v>1086</v>
      </c>
      <c r="C338" t="s">
        <v>1084</v>
      </c>
      <c r="E338" t="s">
        <v>97</v>
      </c>
      <c r="F338">
        <v>7614</v>
      </c>
      <c r="G338">
        <v>76023</v>
      </c>
      <c r="H338">
        <v>36630</v>
      </c>
      <c r="I338">
        <v>11589</v>
      </c>
      <c r="J338">
        <v>818</v>
      </c>
      <c r="K338">
        <v>15591</v>
      </c>
      <c r="L338">
        <v>148265</v>
      </c>
      <c r="M338">
        <v>117</v>
      </c>
      <c r="N338">
        <v>265</v>
      </c>
      <c r="O338">
        <v>2</v>
      </c>
      <c r="P338">
        <v>-140</v>
      </c>
      <c r="Q338">
        <v>-18</v>
      </c>
      <c r="R338">
        <v>253</v>
      </c>
      <c r="S338">
        <v>895</v>
      </c>
      <c r="T338">
        <v>331</v>
      </c>
      <c r="U338">
        <v>1222</v>
      </c>
      <c r="V338">
        <v>0</v>
      </c>
      <c r="W338">
        <v>0</v>
      </c>
      <c r="X338">
        <v>110</v>
      </c>
      <c r="Y338">
        <v>369</v>
      </c>
      <c r="Z338">
        <v>359</v>
      </c>
      <c r="AA338">
        <v>-233</v>
      </c>
      <c r="AB338">
        <v>0</v>
      </c>
      <c r="AC338">
        <v>0</v>
      </c>
      <c r="AD338">
        <v>0</v>
      </c>
      <c r="AE338">
        <v>0</v>
      </c>
      <c r="AF338">
        <v>0</v>
      </c>
      <c r="AG338">
        <v>0</v>
      </c>
      <c r="AH338">
        <v>0</v>
      </c>
      <c r="AI338">
        <v>3532</v>
      </c>
      <c r="AJ338">
        <v>0</v>
      </c>
      <c r="AK338">
        <v>0</v>
      </c>
      <c r="AL338">
        <v>0</v>
      </c>
      <c r="AM338">
        <v>0</v>
      </c>
      <c r="AN338">
        <v>0</v>
      </c>
      <c r="AO338">
        <v>161</v>
      </c>
      <c r="AP338">
        <v>570</v>
      </c>
      <c r="AQ338">
        <v>130</v>
      </c>
      <c r="AR338">
        <v>78</v>
      </c>
      <c r="AS338">
        <v>0</v>
      </c>
      <c r="AT338">
        <v>0</v>
      </c>
      <c r="AU338">
        <v>0</v>
      </c>
      <c r="AV338">
        <v>2891</v>
      </c>
      <c r="AW338">
        <v>30138</v>
      </c>
      <c r="AX338">
        <v>0</v>
      </c>
      <c r="AY338">
        <v>7481</v>
      </c>
      <c r="AZ338">
        <v>348</v>
      </c>
      <c r="BA338">
        <v>11546</v>
      </c>
      <c r="BB338">
        <v>224</v>
      </c>
      <c r="BC338">
        <v>525</v>
      </c>
      <c r="BD338">
        <v>53153</v>
      </c>
      <c r="BE338">
        <v>5470</v>
      </c>
      <c r="BF338">
        <v>9658</v>
      </c>
      <c r="BG338">
        <v>478</v>
      </c>
      <c r="BH338">
        <v>344</v>
      </c>
      <c r="BI338">
        <v>711</v>
      </c>
      <c r="BJ338">
        <v>6139</v>
      </c>
      <c r="BK338">
        <v>22612</v>
      </c>
      <c r="BL338">
        <v>1160</v>
      </c>
      <c r="BM338">
        <v>2356</v>
      </c>
      <c r="BN338">
        <v>833</v>
      </c>
      <c r="BO338">
        <v>0</v>
      </c>
      <c r="BP338">
        <v>212</v>
      </c>
      <c r="BQ338">
        <v>0</v>
      </c>
      <c r="BR338">
        <v>67</v>
      </c>
      <c r="BS338">
        <v>938</v>
      </c>
      <c r="BT338">
        <v>3623</v>
      </c>
      <c r="BU338">
        <v>26</v>
      </c>
      <c r="BV338">
        <v>3459</v>
      </c>
      <c r="BW338">
        <v>62921</v>
      </c>
      <c r="BX338">
        <v>593</v>
      </c>
      <c r="BY338">
        <v>1069</v>
      </c>
      <c r="BZ338">
        <v>200</v>
      </c>
      <c r="CA338">
        <v>9</v>
      </c>
      <c r="CB338">
        <v>231</v>
      </c>
      <c r="CC338">
        <v>1</v>
      </c>
      <c r="CD338">
        <v>310</v>
      </c>
      <c r="CE338">
        <v>955</v>
      </c>
      <c r="CF338">
        <v>368</v>
      </c>
      <c r="CG338">
        <v>1141</v>
      </c>
      <c r="CH338">
        <v>29</v>
      </c>
      <c r="CI338">
        <v>653</v>
      </c>
      <c r="CJ338">
        <v>493</v>
      </c>
      <c r="CK338">
        <v>1247</v>
      </c>
      <c r="CL338">
        <v>618</v>
      </c>
      <c r="CM338">
        <v>264</v>
      </c>
      <c r="CN338">
        <v>612</v>
      </c>
      <c r="CO338">
        <v>0</v>
      </c>
      <c r="CP338">
        <v>1579</v>
      </c>
      <c r="CQ338">
        <v>2759</v>
      </c>
      <c r="CR338">
        <v>307</v>
      </c>
      <c r="CS338">
        <v>40</v>
      </c>
      <c r="CT338">
        <v>465</v>
      </c>
      <c r="CU338">
        <v>1205</v>
      </c>
      <c r="CV338">
        <v>20346</v>
      </c>
      <c r="CW338">
        <v>0</v>
      </c>
      <c r="CX338">
        <v>0</v>
      </c>
      <c r="CY338">
        <v>0</v>
      </c>
      <c r="CZ338">
        <v>0</v>
      </c>
      <c r="DA338">
        <v>0</v>
      </c>
      <c r="DB338">
        <v>0</v>
      </c>
      <c r="DC338">
        <v>520</v>
      </c>
      <c r="DD338">
        <v>0</v>
      </c>
      <c r="DE338">
        <v>0</v>
      </c>
      <c r="DF338">
        <v>-329</v>
      </c>
      <c r="DG338">
        <v>0</v>
      </c>
      <c r="DH338">
        <v>0</v>
      </c>
      <c r="DI338">
        <v>0</v>
      </c>
      <c r="DJ338">
        <v>74</v>
      </c>
      <c r="DK338">
        <v>0</v>
      </c>
      <c r="DL338">
        <v>0</v>
      </c>
      <c r="DM338">
        <v>0</v>
      </c>
      <c r="DN338">
        <v>288</v>
      </c>
      <c r="DO338">
        <v>641</v>
      </c>
      <c r="DP338">
        <v>1003</v>
      </c>
      <c r="DQ338">
        <v>477</v>
      </c>
      <c r="DR338">
        <v>0</v>
      </c>
      <c r="DS338">
        <v>0</v>
      </c>
      <c r="DT338">
        <v>654</v>
      </c>
      <c r="DU338">
        <v>0</v>
      </c>
      <c r="DV338">
        <v>4828</v>
      </c>
      <c r="DW338">
        <v>0</v>
      </c>
      <c r="DX338">
        <v>7154</v>
      </c>
      <c r="DY338">
        <v>0</v>
      </c>
      <c r="DZ338">
        <v>0</v>
      </c>
      <c r="EA338">
        <v>0</v>
      </c>
      <c r="EB338">
        <v>0</v>
      </c>
      <c r="EC338">
        <v>0</v>
      </c>
      <c r="ED338">
        <v>0</v>
      </c>
      <c r="EE338">
        <v>0</v>
      </c>
      <c r="EF338">
        <v>0</v>
      </c>
      <c r="EG338">
        <v>0</v>
      </c>
      <c r="EH338">
        <v>0</v>
      </c>
      <c r="EI338">
        <v>0</v>
      </c>
      <c r="EJ338">
        <v>0</v>
      </c>
      <c r="EK338">
        <v>0</v>
      </c>
      <c r="EL338">
        <v>0</v>
      </c>
      <c r="EM338">
        <v>0</v>
      </c>
      <c r="EN338">
        <v>0</v>
      </c>
      <c r="EO338">
        <v>0</v>
      </c>
      <c r="EP338">
        <v>0</v>
      </c>
      <c r="EQ338">
        <v>0</v>
      </c>
      <c r="ER338">
        <v>0</v>
      </c>
      <c r="ES338">
        <v>0</v>
      </c>
      <c r="ET338">
        <v>0</v>
      </c>
      <c r="EU338">
        <v>142</v>
      </c>
      <c r="EV338">
        <v>353</v>
      </c>
      <c r="EW338">
        <v>0</v>
      </c>
      <c r="EX338">
        <v>0</v>
      </c>
      <c r="EY338">
        <v>214</v>
      </c>
      <c r="EZ338">
        <v>0</v>
      </c>
      <c r="FA338">
        <v>0</v>
      </c>
      <c r="FB338">
        <v>25</v>
      </c>
      <c r="FC338">
        <v>1146</v>
      </c>
      <c r="FD338">
        <v>2083</v>
      </c>
      <c r="FE338">
        <v>55</v>
      </c>
      <c r="FF338">
        <v>1</v>
      </c>
      <c r="FG338">
        <v>2101</v>
      </c>
      <c r="FH338">
        <v>6120</v>
      </c>
      <c r="FI338">
        <v>-837</v>
      </c>
      <c r="FJ338">
        <v>427</v>
      </c>
      <c r="FK338">
        <v>9</v>
      </c>
      <c r="FL338">
        <v>127</v>
      </c>
      <c r="FM338">
        <v>552</v>
      </c>
      <c r="FN338">
        <v>174</v>
      </c>
      <c r="FO338">
        <v>143</v>
      </c>
      <c r="FP338">
        <v>0</v>
      </c>
      <c r="FQ338">
        <v>0</v>
      </c>
      <c r="FR338">
        <v>144</v>
      </c>
      <c r="FS338">
        <v>17</v>
      </c>
      <c r="FT338">
        <v>115</v>
      </c>
      <c r="FU338">
        <v>47</v>
      </c>
      <c r="FV338">
        <v>618</v>
      </c>
      <c r="FW338">
        <v>37</v>
      </c>
      <c r="FX338">
        <v>279</v>
      </c>
      <c r="FY338">
        <v>104</v>
      </c>
      <c r="FZ338">
        <v>0</v>
      </c>
      <c r="GA338">
        <v>0</v>
      </c>
      <c r="GB338">
        <v>0</v>
      </c>
      <c r="GC338">
        <v>0</v>
      </c>
      <c r="GD338">
        <v>1589</v>
      </c>
      <c r="GE338">
        <v>2300</v>
      </c>
      <c r="GF338">
        <v>0</v>
      </c>
      <c r="GG338">
        <v>-22</v>
      </c>
      <c r="GH338">
        <v>3056</v>
      </c>
      <c r="GI338">
        <v>0</v>
      </c>
      <c r="GJ338">
        <v>92</v>
      </c>
      <c r="GK338">
        <v>8970</v>
      </c>
      <c r="GL338">
        <v>278</v>
      </c>
      <c r="GM338">
        <v>571</v>
      </c>
      <c r="GN338">
        <v>0</v>
      </c>
      <c r="GO338">
        <v>573</v>
      </c>
      <c r="GP338">
        <v>0</v>
      </c>
      <c r="GQ338">
        <v>5710</v>
      </c>
      <c r="GR338">
        <v>15</v>
      </c>
      <c r="GS338">
        <v>-160</v>
      </c>
      <c r="GT338">
        <v>0</v>
      </c>
      <c r="GU338">
        <v>6987</v>
      </c>
      <c r="GV338">
        <v>22077</v>
      </c>
      <c r="GW338">
        <v>0</v>
      </c>
      <c r="GX338">
        <v>0</v>
      </c>
      <c r="GY338">
        <v>0</v>
      </c>
      <c r="GZ338">
        <v>0</v>
      </c>
      <c r="HA338">
        <v>0</v>
      </c>
      <c r="HB338">
        <v>2579</v>
      </c>
      <c r="HC338">
        <v>355</v>
      </c>
      <c r="HD338">
        <v>0</v>
      </c>
      <c r="HE338">
        <v>0</v>
      </c>
      <c r="HF338">
        <v>465</v>
      </c>
      <c r="HG338">
        <v>763</v>
      </c>
      <c r="HH338">
        <v>0</v>
      </c>
      <c r="HI338">
        <v>-71</v>
      </c>
      <c r="HJ338">
        <v>189</v>
      </c>
      <c r="HK338">
        <v>340</v>
      </c>
      <c r="HL338">
        <v>260</v>
      </c>
      <c r="HM338">
        <v>-107</v>
      </c>
      <c r="HN338">
        <v>143</v>
      </c>
      <c r="HO338">
        <v>38</v>
      </c>
      <c r="HP338">
        <v>329</v>
      </c>
      <c r="HQ338">
        <v>0</v>
      </c>
      <c r="HR338">
        <v>639</v>
      </c>
      <c r="HS338">
        <v>16</v>
      </c>
      <c r="HT338">
        <v>0</v>
      </c>
      <c r="HU338">
        <v>613</v>
      </c>
      <c r="HV338">
        <v>6551</v>
      </c>
      <c r="HW338">
        <v>6554</v>
      </c>
      <c r="HX338">
        <v>24640</v>
      </c>
      <c r="HY338">
        <v>0</v>
      </c>
      <c r="HZ338">
        <v>198</v>
      </c>
      <c r="IA338">
        <v>463</v>
      </c>
      <c r="IB338">
        <v>0</v>
      </c>
      <c r="IC338">
        <v>148265</v>
      </c>
      <c r="ID338">
        <v>3532</v>
      </c>
      <c r="IE338">
        <v>53153</v>
      </c>
      <c r="IF338">
        <v>62921</v>
      </c>
      <c r="IG338">
        <v>20346</v>
      </c>
      <c r="IH338">
        <v>7154</v>
      </c>
      <c r="II338">
        <v>6120</v>
      </c>
      <c r="IJ338">
        <v>8970</v>
      </c>
      <c r="IK338">
        <v>6987</v>
      </c>
      <c r="IL338">
        <v>0</v>
      </c>
      <c r="IM338">
        <v>0</v>
      </c>
      <c r="IN338">
        <v>6551</v>
      </c>
      <c r="IO338">
        <v>0</v>
      </c>
      <c r="IP338">
        <v>323999</v>
      </c>
      <c r="IQ338">
        <v>48317</v>
      </c>
      <c r="IR338">
        <v>0</v>
      </c>
      <c r="IS338">
        <v>0</v>
      </c>
      <c r="IT338">
        <v>0</v>
      </c>
      <c r="IU338">
        <v>0</v>
      </c>
      <c r="IV338">
        <v>329</v>
      </c>
      <c r="IW338">
        <v>12302</v>
      </c>
      <c r="IX338">
        <v>8749</v>
      </c>
      <c r="IY338">
        <v>0</v>
      </c>
      <c r="IZ338">
        <v>341</v>
      </c>
      <c r="JA338">
        <v>1461</v>
      </c>
      <c r="JB338">
        <v>-108</v>
      </c>
      <c r="JC338">
        <v>-244</v>
      </c>
      <c r="JD338">
        <v>-901</v>
      </c>
      <c r="JE338">
        <v>444</v>
      </c>
      <c r="JF338">
        <v>0</v>
      </c>
      <c r="JG338">
        <v>394689</v>
      </c>
      <c r="JH338">
        <v>101</v>
      </c>
      <c r="JI338">
        <v>421</v>
      </c>
      <c r="JJ338">
        <v>0</v>
      </c>
      <c r="JK338">
        <v>0</v>
      </c>
      <c r="JL338">
        <v>0</v>
      </c>
      <c r="JM338">
        <v>436</v>
      </c>
      <c r="JN338">
        <v>2549</v>
      </c>
      <c r="JO338">
        <v>0</v>
      </c>
      <c r="JP338">
        <v>5216</v>
      </c>
      <c r="JQ338">
        <v>0</v>
      </c>
      <c r="JR338">
        <v>403412</v>
      </c>
      <c r="JS338">
        <v>-1635</v>
      </c>
      <c r="JT338">
        <v>0</v>
      </c>
      <c r="JU338">
        <v>61</v>
      </c>
      <c r="JV338">
        <v>0</v>
      </c>
      <c r="JW338">
        <v>-50631</v>
      </c>
      <c r="JX338">
        <v>0</v>
      </c>
      <c r="JY338">
        <v>0</v>
      </c>
      <c r="JZ338">
        <v>0</v>
      </c>
      <c r="KA338">
        <v>0</v>
      </c>
      <c r="KB338">
        <v>-555</v>
      </c>
      <c r="KC338">
        <v>350652</v>
      </c>
      <c r="KD338">
        <v>0</v>
      </c>
      <c r="KE338">
        <v>-193811</v>
      </c>
      <c r="KF338">
        <v>156841</v>
      </c>
      <c r="KG338">
        <v>0</v>
      </c>
      <c r="KH338">
        <v>1884</v>
      </c>
      <c r="KI338">
        <v>0</v>
      </c>
      <c r="KJ338">
        <v>1066</v>
      </c>
      <c r="KK338">
        <v>-7688</v>
      </c>
      <c r="KL338">
        <v>4410</v>
      </c>
      <c r="KM338">
        <v>0</v>
      </c>
      <c r="KN338">
        <v>0</v>
      </c>
      <c r="KO338">
        <v>-58101</v>
      </c>
      <c r="KP338">
        <v>325</v>
      </c>
      <c r="KQ338">
        <v>0</v>
      </c>
      <c r="KR338">
        <v>82551</v>
      </c>
      <c r="KS338">
        <v>11656</v>
      </c>
      <c r="KT338">
        <v>0</v>
      </c>
      <c r="KU338">
        <v>1166</v>
      </c>
      <c r="KV338">
        <v>65920</v>
      </c>
      <c r="KW338">
        <v>18006</v>
      </c>
      <c r="KX338">
        <v>13540</v>
      </c>
      <c r="KY338">
        <v>0</v>
      </c>
      <c r="KZ338">
        <v>2232</v>
      </c>
      <c r="LA338">
        <v>58232</v>
      </c>
      <c r="LB338">
        <v>22416</v>
      </c>
      <c r="LC338">
        <v>0</v>
      </c>
      <c r="LD338">
        <v>14214</v>
      </c>
      <c r="LE338">
        <v>21</v>
      </c>
      <c r="LF338">
        <v>7194</v>
      </c>
      <c r="LG338">
        <v>-10738</v>
      </c>
      <c r="LH338">
        <v>3831</v>
      </c>
      <c r="LI338">
        <v>12695</v>
      </c>
      <c r="LJ338">
        <v>6252</v>
      </c>
      <c r="LK338">
        <v>8839</v>
      </c>
      <c r="LL338">
        <v>15091</v>
      </c>
      <c r="LM338">
        <v>0</v>
      </c>
      <c r="LN338">
        <v>0</v>
      </c>
      <c r="LO338">
        <v>0</v>
      </c>
      <c r="LP338">
        <v>0</v>
      </c>
      <c r="LQ338">
        <v>0</v>
      </c>
      <c r="LR338">
        <v>0</v>
      </c>
      <c r="LS338">
        <v>0</v>
      </c>
      <c r="LT338">
        <v>0</v>
      </c>
      <c r="LU338">
        <v>148265</v>
      </c>
      <c r="LV338">
        <v>3532</v>
      </c>
      <c r="LW338">
        <v>53153</v>
      </c>
      <c r="LX338">
        <v>62921</v>
      </c>
      <c r="LY338">
        <v>20346</v>
      </c>
      <c r="LZ338">
        <v>7154</v>
      </c>
      <c r="MA338">
        <v>6120</v>
      </c>
      <c r="MB338">
        <v>8970</v>
      </c>
      <c r="MC338">
        <v>6987</v>
      </c>
      <c r="MD338">
        <v>0</v>
      </c>
      <c r="ME338">
        <v>0</v>
      </c>
      <c r="MF338">
        <v>6551</v>
      </c>
      <c r="MG338">
        <v>0</v>
      </c>
      <c r="MH338">
        <v>323999</v>
      </c>
      <c r="MI338">
        <v>0</v>
      </c>
      <c r="MJ338">
        <v>0</v>
      </c>
      <c r="MK338">
        <v>0</v>
      </c>
      <c r="ML338">
        <v>0</v>
      </c>
      <c r="MM338">
        <v>0</v>
      </c>
      <c r="MN338">
        <v>0</v>
      </c>
      <c r="MO338">
        <v>0</v>
      </c>
      <c r="MP338">
        <v>0</v>
      </c>
      <c r="MQ338">
        <v>0</v>
      </c>
      <c r="MR338">
        <v>0</v>
      </c>
      <c r="MS338">
        <v>0</v>
      </c>
      <c r="MT338">
        <v>0</v>
      </c>
      <c r="MU338">
        <v>0</v>
      </c>
      <c r="MV338">
        <v>0</v>
      </c>
      <c r="MW338">
        <v>0</v>
      </c>
      <c r="MX338">
        <v>0</v>
      </c>
      <c r="MY338">
        <v>934</v>
      </c>
      <c r="MZ338">
        <v>283</v>
      </c>
      <c r="NA338">
        <v>1217</v>
      </c>
      <c r="NB338">
        <v>244</v>
      </c>
      <c r="NC338">
        <v>1461</v>
      </c>
      <c r="ND338">
        <v>0</v>
      </c>
      <c r="NE338">
        <v>0</v>
      </c>
      <c r="NF338">
        <v>0</v>
      </c>
      <c r="NG338">
        <v>0</v>
      </c>
      <c r="NH338">
        <v>0</v>
      </c>
      <c r="NI338">
        <v>0</v>
      </c>
      <c r="NJ338">
        <v>0</v>
      </c>
      <c r="NK338">
        <v>0</v>
      </c>
      <c r="NL338">
        <v>0</v>
      </c>
      <c r="NM338">
        <v>0</v>
      </c>
      <c r="NN338">
        <v>-117</v>
      </c>
      <c r="NO338">
        <v>0</v>
      </c>
      <c r="NP338">
        <v>-107</v>
      </c>
      <c r="NQ338">
        <v>0</v>
      </c>
      <c r="NR338">
        <v>-825</v>
      </c>
      <c r="NS338">
        <v>0</v>
      </c>
      <c r="NT338">
        <v>205</v>
      </c>
      <c r="NU338">
        <v>0</v>
      </c>
      <c r="NV338">
        <v>0</v>
      </c>
      <c r="NW338">
        <v>0</v>
      </c>
      <c r="NX338">
        <v>0</v>
      </c>
      <c r="NY338">
        <v>0</v>
      </c>
      <c r="NZ338">
        <v>-1009</v>
      </c>
      <c r="OA338">
        <v>901</v>
      </c>
      <c r="OB338">
        <v>-108</v>
      </c>
      <c r="OC338">
        <v>244</v>
      </c>
      <c r="OD338">
        <v>0</v>
      </c>
      <c r="OE338">
        <v>0</v>
      </c>
      <c r="OF338">
        <v>0</v>
      </c>
      <c r="OG338">
        <v>0</v>
      </c>
      <c r="OH338">
        <v>244</v>
      </c>
      <c r="OI338">
        <v>901</v>
      </c>
      <c r="OJ338">
        <v>0</v>
      </c>
      <c r="OK338">
        <v>0</v>
      </c>
      <c r="OL338">
        <v>0</v>
      </c>
      <c r="OM338">
        <v>0</v>
      </c>
      <c r="ON338">
        <v>901</v>
      </c>
    </row>
    <row r="339" spans="1:404" x14ac:dyDescent="0.25">
      <c r="A339" t="s">
        <v>1088</v>
      </c>
      <c r="B339" t="s">
        <v>1089</v>
      </c>
      <c r="C339" t="s">
        <v>1087</v>
      </c>
      <c r="E339" t="s">
        <v>61</v>
      </c>
    </row>
    <row r="340" spans="1:404" x14ac:dyDescent="0.25">
      <c r="A340" t="s">
        <v>1091</v>
      </c>
      <c r="B340" t="s">
        <v>1092</v>
      </c>
      <c r="C340" t="s">
        <v>1090</v>
      </c>
      <c r="E340" t="s">
        <v>1942</v>
      </c>
      <c r="F340">
        <v>53569</v>
      </c>
      <c r="G340">
        <v>140262</v>
      </c>
      <c r="H340">
        <v>54375</v>
      </c>
      <c r="I340">
        <v>75025</v>
      </c>
      <c r="J340">
        <v>5411</v>
      </c>
      <c r="K340">
        <v>36656</v>
      </c>
      <c r="L340">
        <v>365298</v>
      </c>
      <c r="M340">
        <v>2720</v>
      </c>
      <c r="N340">
        <v>-886</v>
      </c>
      <c r="O340">
        <v>0</v>
      </c>
      <c r="P340">
        <v>0</v>
      </c>
      <c r="Q340">
        <v>8</v>
      </c>
      <c r="R340">
        <v>1932</v>
      </c>
      <c r="S340">
        <v>12743</v>
      </c>
      <c r="T340">
        <v>3925</v>
      </c>
      <c r="U340">
        <v>2642</v>
      </c>
      <c r="V340">
        <v>0</v>
      </c>
      <c r="W340">
        <v>-67</v>
      </c>
      <c r="X340">
        <v>1653</v>
      </c>
      <c r="Y340">
        <v>2</v>
      </c>
      <c r="Z340">
        <v>343</v>
      </c>
      <c r="AA340">
        <v>126</v>
      </c>
      <c r="AB340">
        <v>7315</v>
      </c>
      <c r="AC340">
        <v>0</v>
      </c>
      <c r="AD340">
        <v>2359</v>
      </c>
      <c r="AE340">
        <v>0</v>
      </c>
      <c r="AF340">
        <v>-6</v>
      </c>
      <c r="AG340">
        <v>494</v>
      </c>
      <c r="AH340">
        <v>0</v>
      </c>
      <c r="AI340">
        <v>35303</v>
      </c>
      <c r="AJ340">
        <v>0</v>
      </c>
      <c r="AK340">
        <v>0</v>
      </c>
      <c r="AL340">
        <v>0</v>
      </c>
      <c r="AM340">
        <v>0</v>
      </c>
      <c r="AN340">
        <v>0</v>
      </c>
      <c r="AO340">
        <v>0</v>
      </c>
      <c r="AP340">
        <v>0</v>
      </c>
      <c r="AQ340">
        <v>0</v>
      </c>
      <c r="AR340">
        <v>920</v>
      </c>
      <c r="AS340">
        <v>0</v>
      </c>
      <c r="AT340">
        <v>0</v>
      </c>
      <c r="AU340">
        <v>0</v>
      </c>
      <c r="AV340">
        <v>1523</v>
      </c>
      <c r="AW340">
        <v>85559</v>
      </c>
      <c r="AX340">
        <v>1018</v>
      </c>
      <c r="AY340">
        <v>32850</v>
      </c>
      <c r="AZ340">
        <v>1054</v>
      </c>
      <c r="BA340">
        <v>21935</v>
      </c>
      <c r="BB340">
        <v>1615</v>
      </c>
      <c r="BC340">
        <v>25</v>
      </c>
      <c r="BD340">
        <v>145579</v>
      </c>
      <c r="BE340">
        <v>18414</v>
      </c>
      <c r="BF340">
        <v>85731</v>
      </c>
      <c r="BG340">
        <v>-2</v>
      </c>
      <c r="BH340">
        <v>491</v>
      </c>
      <c r="BI340">
        <v>437</v>
      </c>
      <c r="BJ340">
        <v>9188</v>
      </c>
      <c r="BK340">
        <v>68214</v>
      </c>
      <c r="BL340">
        <v>8186</v>
      </c>
      <c r="BM340">
        <v>12414</v>
      </c>
      <c r="BN340">
        <v>922</v>
      </c>
      <c r="BO340">
        <v>7</v>
      </c>
      <c r="BP340">
        <v>0</v>
      </c>
      <c r="BQ340">
        <v>0</v>
      </c>
      <c r="BR340">
        <v>248</v>
      </c>
      <c r="BS340">
        <v>-2707</v>
      </c>
      <c r="BT340">
        <v>26084</v>
      </c>
      <c r="BU340">
        <v>2038</v>
      </c>
      <c r="BV340">
        <v>41338</v>
      </c>
      <c r="BW340">
        <v>271003</v>
      </c>
      <c r="BX340">
        <v>3816</v>
      </c>
      <c r="BY340">
        <v>2549</v>
      </c>
      <c r="BZ340">
        <v>69</v>
      </c>
      <c r="CA340">
        <v>206</v>
      </c>
      <c r="CB340">
        <v>650</v>
      </c>
      <c r="CC340">
        <v>69</v>
      </c>
      <c r="CD340">
        <v>69</v>
      </c>
      <c r="CE340">
        <v>280</v>
      </c>
      <c r="CF340">
        <v>289</v>
      </c>
      <c r="CG340">
        <v>2382</v>
      </c>
      <c r="CH340">
        <v>2002</v>
      </c>
      <c r="CI340">
        <v>2098</v>
      </c>
      <c r="CJ340">
        <v>2098</v>
      </c>
      <c r="CK340">
        <v>254</v>
      </c>
      <c r="CL340">
        <v>254</v>
      </c>
      <c r="CM340">
        <v>536</v>
      </c>
      <c r="CN340">
        <v>617</v>
      </c>
      <c r="CO340">
        <v>69</v>
      </c>
      <c r="CP340">
        <v>3850</v>
      </c>
      <c r="CQ340">
        <v>9050</v>
      </c>
      <c r="CR340">
        <v>498</v>
      </c>
      <c r="CS340">
        <v>69</v>
      </c>
      <c r="CT340">
        <v>683</v>
      </c>
      <c r="CU340">
        <v>5035</v>
      </c>
      <c r="CV340">
        <v>37630</v>
      </c>
      <c r="CW340">
        <v>0</v>
      </c>
      <c r="CX340">
        <v>0</v>
      </c>
      <c r="CY340">
        <v>0</v>
      </c>
      <c r="CZ340">
        <v>0</v>
      </c>
      <c r="DA340">
        <v>0</v>
      </c>
      <c r="DB340">
        <v>0</v>
      </c>
      <c r="DC340">
        <v>0</v>
      </c>
      <c r="DD340">
        <v>0</v>
      </c>
      <c r="DE340">
        <v>0</v>
      </c>
      <c r="DF340">
        <v>0</v>
      </c>
      <c r="DG340">
        <v>0</v>
      </c>
      <c r="DH340">
        <v>0</v>
      </c>
      <c r="DI340">
        <v>0</v>
      </c>
      <c r="DJ340">
        <v>0</v>
      </c>
      <c r="DK340">
        <v>0</v>
      </c>
      <c r="DL340">
        <v>0</v>
      </c>
      <c r="DM340">
        <v>0</v>
      </c>
      <c r="DN340">
        <v>0</v>
      </c>
      <c r="DO340">
        <v>0</v>
      </c>
      <c r="DP340">
        <v>0</v>
      </c>
      <c r="DQ340">
        <v>0</v>
      </c>
      <c r="DR340">
        <v>0</v>
      </c>
      <c r="DS340">
        <v>0</v>
      </c>
      <c r="DT340">
        <v>0</v>
      </c>
      <c r="DU340">
        <v>0</v>
      </c>
      <c r="DV340">
        <v>0</v>
      </c>
      <c r="DW340">
        <v>0</v>
      </c>
      <c r="DX340">
        <v>0</v>
      </c>
      <c r="DY340">
        <v>0</v>
      </c>
      <c r="DZ340">
        <v>0</v>
      </c>
      <c r="EA340">
        <v>0</v>
      </c>
      <c r="EB340">
        <v>0</v>
      </c>
      <c r="EC340">
        <v>0</v>
      </c>
      <c r="ED340">
        <v>0</v>
      </c>
      <c r="EE340">
        <v>0</v>
      </c>
      <c r="EF340">
        <v>0</v>
      </c>
      <c r="EG340">
        <v>0</v>
      </c>
      <c r="EH340">
        <v>0</v>
      </c>
      <c r="EI340">
        <v>0</v>
      </c>
      <c r="EJ340">
        <v>0</v>
      </c>
      <c r="EK340">
        <v>0</v>
      </c>
      <c r="EL340">
        <v>0</v>
      </c>
      <c r="EM340">
        <v>0</v>
      </c>
      <c r="EN340">
        <v>0</v>
      </c>
      <c r="EO340">
        <v>0</v>
      </c>
      <c r="EP340">
        <v>0</v>
      </c>
      <c r="EQ340">
        <v>0</v>
      </c>
      <c r="ER340">
        <v>0</v>
      </c>
      <c r="ES340">
        <v>0</v>
      </c>
      <c r="ET340">
        <v>0</v>
      </c>
      <c r="EU340">
        <v>791</v>
      </c>
      <c r="EV340">
        <v>1</v>
      </c>
      <c r="EW340">
        <v>0</v>
      </c>
      <c r="EX340">
        <v>20</v>
      </c>
      <c r="EY340">
        <v>0</v>
      </c>
      <c r="EZ340">
        <v>0</v>
      </c>
      <c r="FA340">
        <v>0</v>
      </c>
      <c r="FB340">
        <v>13</v>
      </c>
      <c r="FC340">
        <v>0</v>
      </c>
      <c r="FD340">
        <v>2474</v>
      </c>
      <c r="FE340">
        <v>0</v>
      </c>
      <c r="FF340">
        <v>367</v>
      </c>
      <c r="FG340">
        <v>6134</v>
      </c>
      <c r="FH340">
        <v>9800</v>
      </c>
      <c r="FI340">
        <v>0</v>
      </c>
      <c r="FJ340">
        <v>957</v>
      </c>
      <c r="FK340">
        <v>0</v>
      </c>
      <c r="FL340">
        <v>0</v>
      </c>
      <c r="FM340">
        <v>0</v>
      </c>
      <c r="FN340">
        <v>0</v>
      </c>
      <c r="FO340">
        <v>0</v>
      </c>
      <c r="FP340">
        <v>0</v>
      </c>
      <c r="FQ340">
        <v>0</v>
      </c>
      <c r="FR340">
        <v>0</v>
      </c>
      <c r="FS340">
        <v>0</v>
      </c>
      <c r="FT340">
        <v>175</v>
      </c>
      <c r="FU340">
        <v>106</v>
      </c>
      <c r="FV340">
        <v>0</v>
      </c>
      <c r="FW340">
        <v>3331</v>
      </c>
      <c r="FX340">
        <v>0</v>
      </c>
      <c r="FY340">
        <v>311</v>
      </c>
      <c r="FZ340">
        <v>-12</v>
      </c>
      <c r="GA340">
        <v>0</v>
      </c>
      <c r="GB340">
        <v>0</v>
      </c>
      <c r="GC340">
        <v>-676</v>
      </c>
      <c r="GD340">
        <v>0</v>
      </c>
      <c r="GE340">
        <v>5368</v>
      </c>
      <c r="GF340">
        <v>20034</v>
      </c>
      <c r="GG340">
        <v>245</v>
      </c>
      <c r="GH340">
        <v>8201</v>
      </c>
      <c r="GI340">
        <v>81</v>
      </c>
      <c r="GJ340">
        <v>-64</v>
      </c>
      <c r="GK340">
        <v>38057</v>
      </c>
      <c r="GL340">
        <v>0</v>
      </c>
      <c r="GM340">
        <v>466</v>
      </c>
      <c r="GN340">
        <v>-94</v>
      </c>
      <c r="GO340">
        <v>102</v>
      </c>
      <c r="GP340">
        <v>-309</v>
      </c>
      <c r="GQ340">
        <v>-2754</v>
      </c>
      <c r="GR340">
        <v>0</v>
      </c>
      <c r="GS340">
        <v>1224</v>
      </c>
      <c r="GT340">
        <v>0</v>
      </c>
      <c r="GU340">
        <v>-1365</v>
      </c>
      <c r="GV340">
        <v>46492</v>
      </c>
      <c r="GW340">
        <v>0</v>
      </c>
      <c r="GX340">
        <v>0</v>
      </c>
      <c r="GY340">
        <v>0</v>
      </c>
      <c r="GZ340">
        <v>0</v>
      </c>
      <c r="HA340">
        <v>0</v>
      </c>
      <c r="HB340">
        <v>6982</v>
      </c>
      <c r="HC340">
        <v>0</v>
      </c>
      <c r="HD340">
        <v>0</v>
      </c>
      <c r="HE340">
        <v>0</v>
      </c>
      <c r="HF340">
        <v>0</v>
      </c>
      <c r="HG340">
        <v>0</v>
      </c>
      <c r="HH340">
        <v>0</v>
      </c>
      <c r="HI340">
        <v>-1441</v>
      </c>
      <c r="HJ340">
        <v>0</v>
      </c>
      <c r="HK340">
        <v>193</v>
      </c>
      <c r="HL340">
        <v>220</v>
      </c>
      <c r="HM340">
        <v>85</v>
      </c>
      <c r="HN340">
        <v>0</v>
      </c>
      <c r="HO340">
        <v>171</v>
      </c>
      <c r="HP340">
        <v>1442</v>
      </c>
      <c r="HQ340">
        <v>0</v>
      </c>
      <c r="HR340">
        <v>0</v>
      </c>
      <c r="HS340">
        <v>0</v>
      </c>
      <c r="HT340">
        <v>0</v>
      </c>
      <c r="HU340">
        <v>0</v>
      </c>
      <c r="HV340">
        <v>7652</v>
      </c>
      <c r="HW340">
        <v>0</v>
      </c>
      <c r="HX340">
        <v>0</v>
      </c>
      <c r="HY340">
        <v>0</v>
      </c>
      <c r="HZ340">
        <v>0</v>
      </c>
      <c r="IA340">
        <v>0</v>
      </c>
      <c r="IB340">
        <v>0</v>
      </c>
      <c r="IC340">
        <v>365298</v>
      </c>
      <c r="ID340">
        <v>35303</v>
      </c>
      <c r="IE340">
        <v>145579</v>
      </c>
      <c r="IF340">
        <v>271003</v>
      </c>
      <c r="IG340">
        <v>37630</v>
      </c>
      <c r="IH340">
        <v>0</v>
      </c>
      <c r="II340">
        <v>9800</v>
      </c>
      <c r="IJ340">
        <v>38057</v>
      </c>
      <c r="IK340">
        <v>-1365</v>
      </c>
      <c r="IL340">
        <v>0</v>
      </c>
      <c r="IM340">
        <v>0</v>
      </c>
      <c r="IN340">
        <v>7652</v>
      </c>
      <c r="IO340">
        <v>0</v>
      </c>
      <c r="IP340">
        <v>908957</v>
      </c>
      <c r="IQ340">
        <v>0</v>
      </c>
      <c r="IR340">
        <v>0</v>
      </c>
      <c r="IS340">
        <v>0</v>
      </c>
      <c r="IT340">
        <v>0</v>
      </c>
      <c r="IU340">
        <v>0</v>
      </c>
      <c r="IV340">
        <v>0</v>
      </c>
      <c r="IW340">
        <v>0</v>
      </c>
      <c r="IX340">
        <v>0</v>
      </c>
      <c r="IY340">
        <v>0</v>
      </c>
      <c r="IZ340">
        <v>0</v>
      </c>
      <c r="JA340">
        <v>0</v>
      </c>
      <c r="JB340">
        <v>-1161</v>
      </c>
      <c r="JC340">
        <v>0</v>
      </c>
      <c r="JD340">
        <v>0</v>
      </c>
      <c r="JE340">
        <v>0</v>
      </c>
      <c r="JF340">
        <v>0</v>
      </c>
      <c r="JG340">
        <v>907796</v>
      </c>
      <c r="JH340">
        <v>350</v>
      </c>
      <c r="JI340">
        <v>0</v>
      </c>
      <c r="JJ340">
        <v>0</v>
      </c>
      <c r="JK340">
        <v>0</v>
      </c>
      <c r="JL340">
        <v>0</v>
      </c>
      <c r="JM340">
        <v>-5013</v>
      </c>
      <c r="JN340">
        <v>18426</v>
      </c>
      <c r="JO340">
        <v>0</v>
      </c>
      <c r="JP340">
        <v>22645</v>
      </c>
      <c r="JQ340">
        <v>0</v>
      </c>
      <c r="JR340">
        <v>944204</v>
      </c>
      <c r="JS340">
        <v>-8660</v>
      </c>
      <c r="JT340">
        <v>0</v>
      </c>
      <c r="JU340">
        <v>0</v>
      </c>
      <c r="JV340">
        <v>0</v>
      </c>
      <c r="JW340">
        <v>-6234</v>
      </c>
      <c r="JX340">
        <v>0</v>
      </c>
      <c r="JY340">
        <v>0</v>
      </c>
      <c r="JZ340">
        <v>0</v>
      </c>
      <c r="KA340">
        <v>0</v>
      </c>
      <c r="KB340">
        <v>-6626</v>
      </c>
      <c r="KC340">
        <v>922684</v>
      </c>
      <c r="KD340">
        <v>-600</v>
      </c>
      <c r="KE340">
        <v>-501386</v>
      </c>
      <c r="KF340">
        <v>420698</v>
      </c>
      <c r="KG340">
        <v>0</v>
      </c>
      <c r="KH340">
        <v>1545</v>
      </c>
      <c r="KI340">
        <v>0</v>
      </c>
      <c r="KJ340">
        <v>2485</v>
      </c>
      <c r="KK340">
        <v>116691</v>
      </c>
      <c r="KL340">
        <v>-25</v>
      </c>
      <c r="KM340">
        <v>-10925</v>
      </c>
      <c r="KN340">
        <v>0</v>
      </c>
      <c r="KO340">
        <v>-113787</v>
      </c>
      <c r="KP340">
        <v>1081</v>
      </c>
      <c r="KQ340">
        <v>0</v>
      </c>
      <c r="KR340">
        <v>388150</v>
      </c>
      <c r="KS340">
        <v>27262</v>
      </c>
      <c r="KT340">
        <v>0</v>
      </c>
      <c r="KU340">
        <v>0</v>
      </c>
      <c r="KV340">
        <v>180586</v>
      </c>
      <c r="KW340">
        <v>47340</v>
      </c>
      <c r="KX340">
        <v>28807</v>
      </c>
      <c r="KY340">
        <v>0</v>
      </c>
      <c r="KZ340">
        <v>2485</v>
      </c>
      <c r="LA340">
        <v>297277</v>
      </c>
      <c r="LB340">
        <v>47315</v>
      </c>
      <c r="LC340">
        <v>0</v>
      </c>
      <c r="LD340">
        <v>48398</v>
      </c>
      <c r="LE340">
        <v>0</v>
      </c>
      <c r="LF340">
        <v>14044</v>
      </c>
      <c r="LG340">
        <v>-78612</v>
      </c>
      <c r="LH340">
        <v>-16882</v>
      </c>
      <c r="LI340">
        <v>-33052</v>
      </c>
      <c r="LJ340">
        <v>0</v>
      </c>
      <c r="LK340">
        <v>0</v>
      </c>
      <c r="LL340">
        <v>0</v>
      </c>
      <c r="LM340">
        <v>0</v>
      </c>
      <c r="LN340">
        <v>0</v>
      </c>
      <c r="LO340">
        <v>0</v>
      </c>
      <c r="LP340">
        <v>0</v>
      </c>
      <c r="LQ340">
        <v>0</v>
      </c>
      <c r="LR340">
        <v>0</v>
      </c>
      <c r="LS340">
        <v>0</v>
      </c>
      <c r="LT340">
        <v>0</v>
      </c>
      <c r="LU340">
        <v>365298</v>
      </c>
      <c r="LV340">
        <v>35303</v>
      </c>
      <c r="LW340">
        <v>145579</v>
      </c>
      <c r="LX340">
        <v>271003</v>
      </c>
      <c r="LY340">
        <v>37630</v>
      </c>
      <c r="LZ340">
        <v>0</v>
      </c>
      <c r="MA340">
        <v>9800</v>
      </c>
      <c r="MB340">
        <v>38057</v>
      </c>
      <c r="MC340">
        <v>-1365</v>
      </c>
      <c r="MD340">
        <v>0</v>
      </c>
      <c r="ME340">
        <v>0</v>
      </c>
      <c r="MF340">
        <v>7652</v>
      </c>
      <c r="MG340">
        <v>0</v>
      </c>
      <c r="MH340">
        <v>908957</v>
      </c>
      <c r="MI340">
        <v>0</v>
      </c>
      <c r="MJ340">
        <v>0</v>
      </c>
      <c r="MK340">
        <v>0</v>
      </c>
      <c r="ML340">
        <v>0</v>
      </c>
      <c r="MM340">
        <v>0</v>
      </c>
      <c r="MN340">
        <v>0</v>
      </c>
      <c r="MO340">
        <v>0</v>
      </c>
      <c r="MP340">
        <v>0</v>
      </c>
      <c r="MQ340">
        <v>0</v>
      </c>
      <c r="MR340">
        <v>0</v>
      </c>
      <c r="MS340">
        <v>0</v>
      </c>
      <c r="MT340">
        <v>0</v>
      </c>
      <c r="MU340">
        <v>0</v>
      </c>
      <c r="MV340">
        <v>0</v>
      </c>
      <c r="MW340">
        <v>0</v>
      </c>
      <c r="MX340">
        <v>0</v>
      </c>
      <c r="MY340">
        <v>0</v>
      </c>
      <c r="MZ340">
        <v>0</v>
      </c>
      <c r="NA340">
        <v>0</v>
      </c>
      <c r="NB340">
        <v>0</v>
      </c>
      <c r="NC340">
        <v>0</v>
      </c>
      <c r="ND340">
        <v>0</v>
      </c>
      <c r="NE340">
        <v>0</v>
      </c>
      <c r="NF340">
        <v>0</v>
      </c>
      <c r="NG340">
        <v>0</v>
      </c>
      <c r="NH340">
        <v>0</v>
      </c>
      <c r="NI340">
        <v>0</v>
      </c>
      <c r="NJ340">
        <v>0</v>
      </c>
      <c r="NK340">
        <v>0</v>
      </c>
      <c r="NL340">
        <v>0</v>
      </c>
      <c r="NM340">
        <v>0</v>
      </c>
      <c r="NN340">
        <v>0</v>
      </c>
      <c r="NO340">
        <v>0</v>
      </c>
      <c r="NP340">
        <v>0</v>
      </c>
      <c r="NQ340">
        <v>-1161</v>
      </c>
      <c r="NR340">
        <v>0</v>
      </c>
      <c r="NS340">
        <v>0</v>
      </c>
      <c r="NT340">
        <v>0</v>
      </c>
      <c r="NU340">
        <v>0</v>
      </c>
      <c r="NV340">
        <v>0</v>
      </c>
      <c r="NW340">
        <v>0</v>
      </c>
      <c r="NX340">
        <v>0</v>
      </c>
      <c r="NY340">
        <v>0</v>
      </c>
      <c r="NZ340">
        <v>-1161</v>
      </c>
      <c r="OA340">
        <v>0</v>
      </c>
      <c r="OB340">
        <v>-1161</v>
      </c>
      <c r="OC340">
        <v>0</v>
      </c>
      <c r="OD340">
        <v>0</v>
      </c>
      <c r="OE340">
        <v>0</v>
      </c>
      <c r="OF340">
        <v>0</v>
      </c>
      <c r="OG340">
        <v>0</v>
      </c>
      <c r="OH340">
        <v>0</v>
      </c>
      <c r="OI340">
        <v>0</v>
      </c>
      <c r="OJ340">
        <v>0</v>
      </c>
      <c r="OK340">
        <v>0</v>
      </c>
      <c r="OL340">
        <v>0</v>
      </c>
      <c r="OM340">
        <v>0</v>
      </c>
      <c r="ON340">
        <v>0</v>
      </c>
    </row>
    <row r="341" spans="1:404" x14ac:dyDescent="0.25">
      <c r="A341" t="s">
        <v>1094</v>
      </c>
      <c r="B341" t="s">
        <v>1095</v>
      </c>
      <c r="C341" t="s">
        <v>5446</v>
      </c>
      <c r="E341" t="s">
        <v>5408</v>
      </c>
      <c r="F341">
        <v>0</v>
      </c>
      <c r="G341">
        <v>0</v>
      </c>
      <c r="H341">
        <v>0</v>
      </c>
      <c r="I341">
        <v>0</v>
      </c>
      <c r="J341">
        <v>0</v>
      </c>
      <c r="K341">
        <v>0</v>
      </c>
      <c r="L341">
        <v>0</v>
      </c>
      <c r="M341">
        <v>0</v>
      </c>
      <c r="N341">
        <v>0</v>
      </c>
      <c r="O341">
        <v>0</v>
      </c>
      <c r="P341">
        <v>0</v>
      </c>
      <c r="Q341">
        <v>0</v>
      </c>
      <c r="R341">
        <v>0</v>
      </c>
      <c r="S341">
        <v>0</v>
      </c>
      <c r="T341">
        <v>0</v>
      </c>
      <c r="U341">
        <v>0</v>
      </c>
      <c r="V341">
        <v>0</v>
      </c>
      <c r="W341">
        <v>0</v>
      </c>
      <c r="X341">
        <v>0</v>
      </c>
      <c r="Y341">
        <v>0</v>
      </c>
      <c r="Z341">
        <v>0</v>
      </c>
      <c r="AA341">
        <v>0</v>
      </c>
      <c r="AB341">
        <v>0</v>
      </c>
      <c r="AC341">
        <v>0</v>
      </c>
      <c r="AD341">
        <v>0</v>
      </c>
      <c r="AE341">
        <v>0</v>
      </c>
      <c r="AF341">
        <v>0</v>
      </c>
      <c r="AG341">
        <v>0</v>
      </c>
      <c r="AH341">
        <v>0</v>
      </c>
      <c r="AI341">
        <v>0</v>
      </c>
      <c r="AJ341">
        <v>0</v>
      </c>
      <c r="AK341">
        <v>0</v>
      </c>
      <c r="AL341">
        <v>0</v>
      </c>
      <c r="AM341">
        <v>0</v>
      </c>
      <c r="AN341">
        <v>0</v>
      </c>
      <c r="AO341">
        <v>0</v>
      </c>
      <c r="AP341">
        <v>0</v>
      </c>
      <c r="AQ341">
        <v>0</v>
      </c>
      <c r="AR341">
        <v>0</v>
      </c>
      <c r="AS341">
        <v>0</v>
      </c>
      <c r="AT341">
        <v>0</v>
      </c>
      <c r="AU341">
        <v>0</v>
      </c>
      <c r="AV341">
        <v>0</v>
      </c>
      <c r="AW341">
        <v>0</v>
      </c>
      <c r="AX341">
        <v>0</v>
      </c>
      <c r="AY341">
        <v>0</v>
      </c>
      <c r="AZ341">
        <v>0</v>
      </c>
      <c r="BA341">
        <v>0</v>
      </c>
      <c r="BB341">
        <v>0</v>
      </c>
      <c r="BC341">
        <v>0</v>
      </c>
      <c r="BD341">
        <v>0</v>
      </c>
      <c r="BE341">
        <v>0</v>
      </c>
      <c r="BF341">
        <v>0</v>
      </c>
      <c r="BG341">
        <v>0</v>
      </c>
      <c r="BH341">
        <v>0</v>
      </c>
      <c r="BI341">
        <v>0</v>
      </c>
      <c r="BJ341">
        <v>0</v>
      </c>
      <c r="BK341">
        <v>0</v>
      </c>
      <c r="BL341">
        <v>0</v>
      </c>
      <c r="BM341">
        <v>0</v>
      </c>
      <c r="BN341">
        <v>0</v>
      </c>
      <c r="BO341">
        <v>0</v>
      </c>
      <c r="BP341">
        <v>0</v>
      </c>
      <c r="BQ341">
        <v>0</v>
      </c>
      <c r="BR341">
        <v>0</v>
      </c>
      <c r="BS341">
        <v>0</v>
      </c>
      <c r="BT341">
        <v>0</v>
      </c>
      <c r="BU341">
        <v>0</v>
      </c>
      <c r="BV341">
        <v>0</v>
      </c>
      <c r="BW341">
        <v>0</v>
      </c>
      <c r="BX341">
        <v>0</v>
      </c>
      <c r="BY341">
        <v>0</v>
      </c>
      <c r="BZ341">
        <v>0</v>
      </c>
      <c r="CA341">
        <v>0</v>
      </c>
      <c r="CB341">
        <v>0</v>
      </c>
      <c r="CC341">
        <v>0</v>
      </c>
      <c r="CD341">
        <v>0</v>
      </c>
      <c r="CE341">
        <v>0</v>
      </c>
      <c r="CF341">
        <v>0</v>
      </c>
      <c r="CG341">
        <v>0</v>
      </c>
      <c r="CH341">
        <v>0</v>
      </c>
      <c r="CI341">
        <v>0</v>
      </c>
      <c r="CJ341">
        <v>0</v>
      </c>
      <c r="CK341">
        <v>0</v>
      </c>
      <c r="CL341">
        <v>0</v>
      </c>
      <c r="CM341">
        <v>0</v>
      </c>
      <c r="CN341">
        <v>0</v>
      </c>
      <c r="CO341">
        <v>0</v>
      </c>
      <c r="CP341">
        <v>0</v>
      </c>
      <c r="CQ341">
        <v>0</v>
      </c>
      <c r="CR341">
        <v>0</v>
      </c>
      <c r="CS341">
        <v>0</v>
      </c>
      <c r="CT341">
        <v>0</v>
      </c>
      <c r="CU341">
        <v>0</v>
      </c>
      <c r="CV341">
        <v>0</v>
      </c>
      <c r="CW341">
        <v>0</v>
      </c>
      <c r="CX341">
        <v>0</v>
      </c>
      <c r="CY341">
        <v>0</v>
      </c>
      <c r="CZ341">
        <v>0</v>
      </c>
      <c r="DA341">
        <v>0</v>
      </c>
      <c r="DB341">
        <v>0</v>
      </c>
      <c r="DC341">
        <v>0</v>
      </c>
      <c r="DD341">
        <v>0</v>
      </c>
      <c r="DE341">
        <v>0</v>
      </c>
      <c r="DF341">
        <v>0</v>
      </c>
      <c r="DG341">
        <v>0</v>
      </c>
      <c r="DH341">
        <v>0</v>
      </c>
      <c r="DI341">
        <v>0</v>
      </c>
      <c r="DJ341">
        <v>0</v>
      </c>
      <c r="DK341">
        <v>0</v>
      </c>
      <c r="DL341">
        <v>0</v>
      </c>
      <c r="DM341">
        <v>0</v>
      </c>
      <c r="DN341">
        <v>0</v>
      </c>
      <c r="DO341">
        <v>0</v>
      </c>
      <c r="DP341">
        <v>0</v>
      </c>
      <c r="DQ341">
        <v>0</v>
      </c>
      <c r="DR341">
        <v>0</v>
      </c>
      <c r="DS341">
        <v>0</v>
      </c>
      <c r="DT341">
        <v>0</v>
      </c>
      <c r="DU341">
        <v>0</v>
      </c>
      <c r="DV341">
        <v>0</v>
      </c>
      <c r="DW341">
        <v>0</v>
      </c>
      <c r="DX341">
        <v>0</v>
      </c>
      <c r="DY341">
        <v>0</v>
      </c>
      <c r="DZ341">
        <v>0</v>
      </c>
      <c r="EA341">
        <v>0</v>
      </c>
      <c r="EB341">
        <v>0</v>
      </c>
      <c r="EC341">
        <v>0</v>
      </c>
      <c r="ED341">
        <v>0</v>
      </c>
      <c r="EE341">
        <v>0</v>
      </c>
      <c r="EF341">
        <v>0</v>
      </c>
      <c r="EG341">
        <v>0</v>
      </c>
      <c r="EH341">
        <v>0</v>
      </c>
      <c r="EI341">
        <v>0</v>
      </c>
      <c r="EJ341">
        <v>0</v>
      </c>
      <c r="EK341">
        <v>0</v>
      </c>
      <c r="EL341">
        <v>0</v>
      </c>
      <c r="EM341">
        <v>0</v>
      </c>
      <c r="EN341">
        <v>0</v>
      </c>
      <c r="EO341">
        <v>0</v>
      </c>
      <c r="EP341">
        <v>0</v>
      </c>
      <c r="EQ341">
        <v>0</v>
      </c>
      <c r="ER341">
        <v>0</v>
      </c>
      <c r="ES341">
        <v>0</v>
      </c>
      <c r="ET341">
        <v>0</v>
      </c>
      <c r="EU341">
        <v>0</v>
      </c>
      <c r="EV341">
        <v>0</v>
      </c>
      <c r="EW341">
        <v>0</v>
      </c>
      <c r="EX341">
        <v>0</v>
      </c>
      <c r="EY341">
        <v>0</v>
      </c>
      <c r="EZ341">
        <v>0</v>
      </c>
      <c r="FA341">
        <v>0</v>
      </c>
      <c r="FB341">
        <v>0</v>
      </c>
      <c r="FC341">
        <v>0</v>
      </c>
      <c r="FD341">
        <v>0</v>
      </c>
      <c r="FE341">
        <v>0</v>
      </c>
      <c r="FF341">
        <v>0</v>
      </c>
      <c r="FG341">
        <v>0</v>
      </c>
      <c r="FH341">
        <v>0</v>
      </c>
      <c r="FI341">
        <v>0</v>
      </c>
      <c r="FJ341">
        <v>0</v>
      </c>
      <c r="FK341">
        <v>0</v>
      </c>
      <c r="FL341">
        <v>0</v>
      </c>
      <c r="FM341">
        <v>0</v>
      </c>
      <c r="FN341">
        <v>0</v>
      </c>
      <c r="FO341">
        <v>0</v>
      </c>
      <c r="FP341">
        <v>0</v>
      </c>
      <c r="FQ341">
        <v>0</v>
      </c>
      <c r="FR341">
        <v>0</v>
      </c>
      <c r="FS341">
        <v>0</v>
      </c>
      <c r="FT341">
        <v>0</v>
      </c>
      <c r="FU341">
        <v>0</v>
      </c>
      <c r="FV341">
        <v>0</v>
      </c>
      <c r="FW341">
        <v>0</v>
      </c>
      <c r="FX341">
        <v>0</v>
      </c>
      <c r="FY341">
        <v>0</v>
      </c>
      <c r="FZ341">
        <v>0</v>
      </c>
      <c r="GA341">
        <v>0</v>
      </c>
      <c r="GB341">
        <v>0</v>
      </c>
      <c r="GC341">
        <v>0</v>
      </c>
      <c r="GD341">
        <v>0</v>
      </c>
      <c r="GE341">
        <v>0</v>
      </c>
      <c r="GF341">
        <v>0</v>
      </c>
      <c r="GG341">
        <v>0</v>
      </c>
      <c r="GH341">
        <v>0</v>
      </c>
      <c r="GI341">
        <v>0</v>
      </c>
      <c r="GJ341">
        <v>0</v>
      </c>
      <c r="GK341">
        <v>0</v>
      </c>
      <c r="GL341">
        <v>0</v>
      </c>
      <c r="GM341">
        <v>0</v>
      </c>
      <c r="GN341">
        <v>0</v>
      </c>
      <c r="GO341">
        <v>0</v>
      </c>
      <c r="GP341">
        <v>0</v>
      </c>
      <c r="GQ341">
        <v>0</v>
      </c>
      <c r="GR341">
        <v>0</v>
      </c>
      <c r="GS341">
        <v>0</v>
      </c>
      <c r="GT341">
        <v>0</v>
      </c>
      <c r="GU341">
        <v>0</v>
      </c>
      <c r="GV341">
        <v>0</v>
      </c>
      <c r="GW341">
        <v>0</v>
      </c>
      <c r="GX341">
        <v>7421</v>
      </c>
      <c r="GY341">
        <v>24998</v>
      </c>
      <c r="GZ341">
        <v>69</v>
      </c>
      <c r="HA341">
        <v>32488</v>
      </c>
      <c r="HB341">
        <v>194</v>
      </c>
      <c r="HC341">
        <v>0</v>
      </c>
      <c r="HD341">
        <v>0</v>
      </c>
      <c r="HE341">
        <v>0</v>
      </c>
      <c r="HF341">
        <v>0</v>
      </c>
      <c r="HG341">
        <v>0</v>
      </c>
      <c r="HH341">
        <v>0</v>
      </c>
      <c r="HI341">
        <v>0</v>
      </c>
      <c r="HJ341">
        <v>0</v>
      </c>
      <c r="HK341">
        <v>0</v>
      </c>
      <c r="HL341">
        <v>0</v>
      </c>
      <c r="HM341">
        <v>0</v>
      </c>
      <c r="HN341">
        <v>0</v>
      </c>
      <c r="HO341">
        <v>0</v>
      </c>
      <c r="HP341">
        <v>0</v>
      </c>
      <c r="HQ341">
        <v>0</v>
      </c>
      <c r="HR341">
        <v>0</v>
      </c>
      <c r="HS341">
        <v>0</v>
      </c>
      <c r="HT341">
        <v>0</v>
      </c>
      <c r="HU341">
        <v>4439</v>
      </c>
      <c r="HV341">
        <v>4633</v>
      </c>
      <c r="HW341">
        <v>0</v>
      </c>
      <c r="HX341">
        <v>0</v>
      </c>
      <c r="HY341">
        <v>0</v>
      </c>
      <c r="HZ341">
        <v>0</v>
      </c>
      <c r="IA341">
        <v>0</v>
      </c>
      <c r="IB341">
        <v>0</v>
      </c>
      <c r="IC341">
        <v>0</v>
      </c>
      <c r="ID341">
        <v>0</v>
      </c>
      <c r="IE341">
        <v>0</v>
      </c>
      <c r="IF341">
        <v>0</v>
      </c>
      <c r="IG341">
        <v>0</v>
      </c>
      <c r="IH341">
        <v>0</v>
      </c>
      <c r="II341">
        <v>0</v>
      </c>
      <c r="IJ341">
        <v>0</v>
      </c>
      <c r="IK341">
        <v>0</v>
      </c>
      <c r="IL341">
        <v>0</v>
      </c>
      <c r="IM341">
        <v>32488</v>
      </c>
      <c r="IN341">
        <v>4633</v>
      </c>
      <c r="IO341">
        <v>0</v>
      </c>
      <c r="IP341">
        <v>37121</v>
      </c>
      <c r="IQ341">
        <v>0</v>
      </c>
      <c r="IR341">
        <v>0</v>
      </c>
      <c r="IS341">
        <v>0</v>
      </c>
      <c r="IT341">
        <v>0</v>
      </c>
      <c r="IU341">
        <v>0</v>
      </c>
      <c r="IV341">
        <v>0</v>
      </c>
      <c r="IW341">
        <v>0</v>
      </c>
      <c r="IX341">
        <v>0</v>
      </c>
      <c r="IY341">
        <v>0</v>
      </c>
      <c r="IZ341">
        <v>0</v>
      </c>
      <c r="JA341">
        <v>0</v>
      </c>
      <c r="JB341">
        <v>0</v>
      </c>
      <c r="JC341">
        <v>0</v>
      </c>
      <c r="JD341">
        <v>0</v>
      </c>
      <c r="JE341">
        <v>0</v>
      </c>
      <c r="JF341">
        <v>0</v>
      </c>
      <c r="JG341">
        <v>37121</v>
      </c>
      <c r="JH341">
        <v>0</v>
      </c>
      <c r="JI341">
        <v>441</v>
      </c>
      <c r="JJ341">
        <v>0</v>
      </c>
      <c r="JK341">
        <v>0</v>
      </c>
      <c r="JL341">
        <v>0</v>
      </c>
      <c r="JM341">
        <v>0</v>
      </c>
      <c r="JN341">
        <v>1238</v>
      </c>
      <c r="JO341">
        <v>37</v>
      </c>
      <c r="JP341">
        <v>2166</v>
      </c>
      <c r="JQ341">
        <v>0</v>
      </c>
      <c r="JR341">
        <v>41003</v>
      </c>
      <c r="JS341">
        <v>-12</v>
      </c>
      <c r="JT341">
        <v>2294</v>
      </c>
      <c r="JU341">
        <v>0</v>
      </c>
      <c r="JV341">
        <v>0</v>
      </c>
      <c r="JW341">
        <v>0</v>
      </c>
      <c r="JX341">
        <v>0</v>
      </c>
      <c r="JY341">
        <v>0</v>
      </c>
      <c r="JZ341">
        <v>0</v>
      </c>
      <c r="KA341">
        <v>0</v>
      </c>
      <c r="KB341">
        <v>0</v>
      </c>
      <c r="KC341">
        <v>43285</v>
      </c>
      <c r="KD341">
        <v>0</v>
      </c>
      <c r="KE341">
        <v>-1321</v>
      </c>
      <c r="KF341">
        <v>41964</v>
      </c>
      <c r="KG341">
        <v>0</v>
      </c>
      <c r="KH341">
        <v>0</v>
      </c>
      <c r="KI341">
        <v>0</v>
      </c>
      <c r="KJ341">
        <v>0</v>
      </c>
      <c r="KK341">
        <v>780</v>
      </c>
      <c r="KL341">
        <v>0</v>
      </c>
      <c r="KM341">
        <v>-4777</v>
      </c>
      <c r="KN341">
        <v>0</v>
      </c>
      <c r="KO341">
        <v>-9800</v>
      </c>
      <c r="KP341">
        <v>67</v>
      </c>
      <c r="KQ341">
        <v>0</v>
      </c>
      <c r="KR341">
        <v>27473</v>
      </c>
      <c r="KS341">
        <v>0</v>
      </c>
      <c r="KT341">
        <v>0</v>
      </c>
      <c r="KU341">
        <v>0</v>
      </c>
      <c r="KV341">
        <v>15331</v>
      </c>
      <c r="KW341">
        <v>1906</v>
      </c>
      <c r="KX341">
        <v>0</v>
      </c>
      <c r="KY341">
        <v>0</v>
      </c>
      <c r="KZ341">
        <v>0</v>
      </c>
      <c r="LA341">
        <v>16111</v>
      </c>
      <c r="LB341">
        <v>1906</v>
      </c>
      <c r="LC341">
        <v>0</v>
      </c>
      <c r="LD341">
        <v>3767</v>
      </c>
      <c r="LE341">
        <v>429</v>
      </c>
      <c r="LF341">
        <v>0</v>
      </c>
      <c r="LG341">
        <v>0</v>
      </c>
      <c r="LH341">
        <v>0</v>
      </c>
      <c r="LI341">
        <v>4196</v>
      </c>
      <c r="LJ341">
        <v>0</v>
      </c>
      <c r="LK341">
        <v>0</v>
      </c>
      <c r="LL341">
        <v>0</v>
      </c>
      <c r="LM341">
        <v>0</v>
      </c>
      <c r="LN341">
        <v>0</v>
      </c>
      <c r="LO341">
        <v>0</v>
      </c>
      <c r="LP341">
        <v>0</v>
      </c>
      <c r="LQ341">
        <v>0</v>
      </c>
      <c r="LR341">
        <v>0</v>
      </c>
      <c r="LS341">
        <v>0</v>
      </c>
      <c r="LT341">
        <v>0</v>
      </c>
      <c r="LU341">
        <v>0</v>
      </c>
      <c r="LV341">
        <v>0</v>
      </c>
      <c r="LW341">
        <v>0</v>
      </c>
      <c r="LX341">
        <v>0</v>
      </c>
      <c r="LY341">
        <v>0</v>
      </c>
      <c r="LZ341">
        <v>0</v>
      </c>
      <c r="MA341">
        <v>0</v>
      </c>
      <c r="MB341">
        <v>0</v>
      </c>
      <c r="MC341">
        <v>0</v>
      </c>
      <c r="MD341">
        <v>0</v>
      </c>
      <c r="ME341">
        <v>32488</v>
      </c>
      <c r="MF341">
        <v>4633</v>
      </c>
      <c r="MG341">
        <v>0</v>
      </c>
      <c r="MH341">
        <v>37121</v>
      </c>
      <c r="MI341">
        <v>0</v>
      </c>
      <c r="MJ341">
        <v>0</v>
      </c>
      <c r="MK341">
        <v>0</v>
      </c>
      <c r="ML341">
        <v>0</v>
      </c>
      <c r="MM341">
        <v>0</v>
      </c>
      <c r="MN341">
        <v>0</v>
      </c>
      <c r="MO341">
        <v>0</v>
      </c>
      <c r="MP341">
        <v>0</v>
      </c>
      <c r="MQ341">
        <v>0</v>
      </c>
      <c r="MR341">
        <v>0</v>
      </c>
      <c r="MS341">
        <v>0</v>
      </c>
      <c r="MT341">
        <v>0</v>
      </c>
      <c r="MU341">
        <v>0</v>
      </c>
      <c r="MV341">
        <v>0</v>
      </c>
      <c r="MW341">
        <v>0</v>
      </c>
      <c r="MX341">
        <v>0</v>
      </c>
      <c r="MY341">
        <v>0</v>
      </c>
      <c r="MZ341">
        <v>0</v>
      </c>
      <c r="NA341">
        <v>0</v>
      </c>
      <c r="NB341">
        <v>0</v>
      </c>
      <c r="NC341">
        <v>0</v>
      </c>
      <c r="ND341">
        <v>0</v>
      </c>
      <c r="NE341">
        <v>0</v>
      </c>
      <c r="NF341">
        <v>0</v>
      </c>
      <c r="NG341">
        <v>0</v>
      </c>
      <c r="NH341">
        <v>0</v>
      </c>
      <c r="NI341">
        <v>0</v>
      </c>
      <c r="NJ341">
        <v>0</v>
      </c>
      <c r="NK341">
        <v>0</v>
      </c>
      <c r="NL341">
        <v>0</v>
      </c>
      <c r="NM341">
        <v>0</v>
      </c>
      <c r="NN341">
        <v>0</v>
      </c>
      <c r="NO341">
        <v>0</v>
      </c>
      <c r="NP341">
        <v>0</v>
      </c>
      <c r="NQ341">
        <v>0</v>
      </c>
      <c r="NR341">
        <v>0</v>
      </c>
      <c r="NS341">
        <v>0</v>
      </c>
      <c r="NT341">
        <v>0</v>
      </c>
      <c r="NU341">
        <v>0</v>
      </c>
      <c r="NV341">
        <v>0</v>
      </c>
      <c r="NW341">
        <v>0</v>
      </c>
      <c r="NX341">
        <v>0</v>
      </c>
      <c r="NY341">
        <v>0</v>
      </c>
      <c r="NZ341">
        <v>0</v>
      </c>
      <c r="OA341">
        <v>0</v>
      </c>
      <c r="OB341">
        <v>0</v>
      </c>
      <c r="OC341">
        <v>0</v>
      </c>
      <c r="OD341">
        <v>0</v>
      </c>
      <c r="OE341">
        <v>0</v>
      </c>
      <c r="OF341">
        <v>0</v>
      </c>
      <c r="OG341">
        <v>0</v>
      </c>
      <c r="OH341">
        <v>0</v>
      </c>
      <c r="OI341">
        <v>0</v>
      </c>
      <c r="OJ341">
        <v>0</v>
      </c>
      <c r="OK341">
        <v>0</v>
      </c>
      <c r="OL341">
        <v>0</v>
      </c>
      <c r="OM341">
        <v>0</v>
      </c>
      <c r="ON341">
        <v>0</v>
      </c>
    </row>
    <row r="342" spans="1:404" x14ac:dyDescent="0.25">
      <c r="A342" t="s">
        <v>1097</v>
      </c>
      <c r="B342" t="s">
        <v>1098</v>
      </c>
      <c r="C342" t="s">
        <v>1096</v>
      </c>
      <c r="E342" t="s">
        <v>61</v>
      </c>
      <c r="F342">
        <v>0</v>
      </c>
      <c r="G342">
        <v>0</v>
      </c>
      <c r="H342">
        <v>0</v>
      </c>
      <c r="I342">
        <v>0</v>
      </c>
      <c r="J342">
        <v>0</v>
      </c>
      <c r="K342">
        <v>0</v>
      </c>
      <c r="L342">
        <v>0</v>
      </c>
      <c r="M342">
        <v>-11</v>
      </c>
      <c r="N342">
        <v>0</v>
      </c>
      <c r="O342">
        <v>0</v>
      </c>
      <c r="P342">
        <v>0</v>
      </c>
      <c r="Q342">
        <v>0</v>
      </c>
      <c r="R342">
        <v>0</v>
      </c>
      <c r="S342">
        <v>0</v>
      </c>
      <c r="T342">
        <v>0</v>
      </c>
      <c r="U342">
        <v>0</v>
      </c>
      <c r="V342">
        <v>0</v>
      </c>
      <c r="W342">
        <v>0</v>
      </c>
      <c r="X342">
        <v>0</v>
      </c>
      <c r="Y342">
        <v>0</v>
      </c>
      <c r="Z342">
        <v>0</v>
      </c>
      <c r="AA342">
        <v>-37</v>
      </c>
      <c r="AB342">
        <v>0</v>
      </c>
      <c r="AC342">
        <v>0</v>
      </c>
      <c r="AD342">
        <v>0</v>
      </c>
      <c r="AE342">
        <v>0</v>
      </c>
      <c r="AF342">
        <v>0</v>
      </c>
      <c r="AG342">
        <v>20</v>
      </c>
      <c r="AH342">
        <v>0</v>
      </c>
      <c r="AI342">
        <v>-28</v>
      </c>
      <c r="AJ342">
        <v>0</v>
      </c>
      <c r="AK342">
        <v>0</v>
      </c>
      <c r="AL342">
        <v>0</v>
      </c>
      <c r="AM342">
        <v>0</v>
      </c>
      <c r="AN342">
        <v>0</v>
      </c>
      <c r="AO342">
        <v>0</v>
      </c>
      <c r="AP342">
        <v>0</v>
      </c>
      <c r="AQ342">
        <v>0</v>
      </c>
      <c r="AR342">
        <v>0</v>
      </c>
      <c r="AS342">
        <v>0</v>
      </c>
      <c r="AT342">
        <v>0</v>
      </c>
      <c r="AU342">
        <v>0</v>
      </c>
      <c r="AV342">
        <v>0</v>
      </c>
      <c r="AW342">
        <v>0</v>
      </c>
      <c r="AX342">
        <v>0</v>
      </c>
      <c r="AY342">
        <v>0</v>
      </c>
      <c r="AZ342">
        <v>0</v>
      </c>
      <c r="BA342">
        <v>0</v>
      </c>
      <c r="BB342">
        <v>0</v>
      </c>
      <c r="BC342">
        <v>0</v>
      </c>
      <c r="BD342">
        <v>0</v>
      </c>
      <c r="BE342">
        <v>0</v>
      </c>
      <c r="BF342">
        <v>0</v>
      </c>
      <c r="BG342">
        <v>0</v>
      </c>
      <c r="BH342">
        <v>0</v>
      </c>
      <c r="BI342">
        <v>0</v>
      </c>
      <c r="BJ342">
        <v>0</v>
      </c>
      <c r="BK342">
        <v>0</v>
      </c>
      <c r="BL342">
        <v>0</v>
      </c>
      <c r="BM342">
        <v>0</v>
      </c>
      <c r="BN342">
        <v>0</v>
      </c>
      <c r="BO342">
        <v>0</v>
      </c>
      <c r="BP342">
        <v>0</v>
      </c>
      <c r="BQ342">
        <v>0</v>
      </c>
      <c r="BR342">
        <v>0</v>
      </c>
      <c r="BS342">
        <v>0</v>
      </c>
      <c r="BT342">
        <v>0</v>
      </c>
      <c r="BU342">
        <v>0</v>
      </c>
      <c r="BV342">
        <v>0</v>
      </c>
      <c r="BW342">
        <v>0</v>
      </c>
      <c r="BX342">
        <v>0</v>
      </c>
      <c r="BY342">
        <v>0</v>
      </c>
      <c r="BZ342">
        <v>0</v>
      </c>
      <c r="CA342">
        <v>0</v>
      </c>
      <c r="CB342">
        <v>0</v>
      </c>
      <c r="CC342">
        <v>0</v>
      </c>
      <c r="CD342">
        <v>0</v>
      </c>
      <c r="CE342">
        <v>0</v>
      </c>
      <c r="CF342">
        <v>0</v>
      </c>
      <c r="CG342">
        <v>0</v>
      </c>
      <c r="CH342">
        <v>0</v>
      </c>
      <c r="CI342">
        <v>0</v>
      </c>
      <c r="CJ342">
        <v>0</v>
      </c>
      <c r="CK342">
        <v>0</v>
      </c>
      <c r="CL342">
        <v>0</v>
      </c>
      <c r="CM342">
        <v>0</v>
      </c>
      <c r="CN342">
        <v>0</v>
      </c>
      <c r="CO342">
        <v>0</v>
      </c>
      <c r="CP342">
        <v>0</v>
      </c>
      <c r="CQ342">
        <v>0</v>
      </c>
      <c r="CR342">
        <v>0</v>
      </c>
      <c r="CS342">
        <v>0</v>
      </c>
      <c r="CT342">
        <v>0</v>
      </c>
      <c r="CU342">
        <v>0</v>
      </c>
      <c r="CV342">
        <v>0</v>
      </c>
      <c r="CW342">
        <v>0</v>
      </c>
      <c r="CX342">
        <v>0</v>
      </c>
      <c r="CY342">
        <v>0</v>
      </c>
      <c r="CZ342">
        <v>0</v>
      </c>
      <c r="DA342">
        <v>0</v>
      </c>
      <c r="DB342">
        <v>0</v>
      </c>
      <c r="DC342">
        <v>109</v>
      </c>
      <c r="DD342">
        <v>0</v>
      </c>
      <c r="DE342">
        <v>35</v>
      </c>
      <c r="DF342">
        <v>0</v>
      </c>
      <c r="DG342">
        <v>0</v>
      </c>
      <c r="DH342">
        <v>0</v>
      </c>
      <c r="DI342">
        <v>0</v>
      </c>
      <c r="DJ342">
        <v>14</v>
      </c>
      <c r="DK342">
        <v>0</v>
      </c>
      <c r="DL342">
        <v>0</v>
      </c>
      <c r="DM342">
        <v>0</v>
      </c>
      <c r="DN342">
        <v>258</v>
      </c>
      <c r="DO342">
        <v>-4</v>
      </c>
      <c r="DP342">
        <v>268</v>
      </c>
      <c r="DQ342">
        <v>0</v>
      </c>
      <c r="DR342">
        <v>0</v>
      </c>
      <c r="DS342">
        <v>0</v>
      </c>
      <c r="DT342">
        <v>599</v>
      </c>
      <c r="DU342">
        <v>0</v>
      </c>
      <c r="DV342">
        <v>0</v>
      </c>
      <c r="DW342">
        <v>0</v>
      </c>
      <c r="DX342">
        <v>1011</v>
      </c>
      <c r="DY342">
        <v>0</v>
      </c>
      <c r="DZ342">
        <v>0</v>
      </c>
      <c r="EA342">
        <v>0</v>
      </c>
      <c r="EB342">
        <v>0</v>
      </c>
      <c r="EC342">
        <v>0</v>
      </c>
      <c r="ED342">
        <v>0</v>
      </c>
      <c r="EE342">
        <v>0</v>
      </c>
      <c r="EF342">
        <v>0</v>
      </c>
      <c r="EG342">
        <v>0</v>
      </c>
      <c r="EH342">
        <v>0</v>
      </c>
      <c r="EI342">
        <v>0</v>
      </c>
      <c r="EJ342">
        <v>0</v>
      </c>
      <c r="EK342">
        <v>0</v>
      </c>
      <c r="EL342">
        <v>0</v>
      </c>
      <c r="EM342">
        <v>0</v>
      </c>
      <c r="EN342">
        <v>0</v>
      </c>
      <c r="EO342">
        <v>0</v>
      </c>
      <c r="EP342">
        <v>0</v>
      </c>
      <c r="EQ342">
        <v>0</v>
      </c>
      <c r="ER342">
        <v>0</v>
      </c>
      <c r="ES342">
        <v>0</v>
      </c>
      <c r="ET342">
        <v>0</v>
      </c>
      <c r="EU342">
        <v>0</v>
      </c>
      <c r="EV342">
        <v>23</v>
      </c>
      <c r="EW342">
        <v>0</v>
      </c>
      <c r="EX342">
        <v>32</v>
      </c>
      <c r="EY342">
        <v>0</v>
      </c>
      <c r="EZ342">
        <v>0</v>
      </c>
      <c r="FA342">
        <v>0</v>
      </c>
      <c r="FB342">
        <v>89</v>
      </c>
      <c r="FC342">
        <v>264</v>
      </c>
      <c r="FD342">
        <v>676</v>
      </c>
      <c r="FE342">
        <v>0</v>
      </c>
      <c r="FF342">
        <v>69</v>
      </c>
      <c r="FG342">
        <v>0</v>
      </c>
      <c r="FH342">
        <v>1153</v>
      </c>
      <c r="FI342">
        <v>267</v>
      </c>
      <c r="FJ342">
        <v>0</v>
      </c>
      <c r="FK342">
        <v>12</v>
      </c>
      <c r="FL342">
        <v>92</v>
      </c>
      <c r="FM342">
        <v>153</v>
      </c>
      <c r="FN342">
        <v>0</v>
      </c>
      <c r="FO342">
        <v>44</v>
      </c>
      <c r="FP342">
        <v>0</v>
      </c>
      <c r="FQ342">
        <v>0</v>
      </c>
      <c r="FR342">
        <v>84</v>
      </c>
      <c r="FS342">
        <v>314</v>
      </c>
      <c r="FT342">
        <v>60</v>
      </c>
      <c r="FU342">
        <v>18</v>
      </c>
      <c r="FV342">
        <v>0</v>
      </c>
      <c r="FW342">
        <v>170</v>
      </c>
      <c r="FX342">
        <v>147</v>
      </c>
      <c r="FY342">
        <v>0</v>
      </c>
      <c r="FZ342">
        <v>32</v>
      </c>
      <c r="GA342">
        <v>0</v>
      </c>
      <c r="GB342">
        <v>0</v>
      </c>
      <c r="GC342">
        <v>0</v>
      </c>
      <c r="GD342">
        <v>599</v>
      </c>
      <c r="GE342">
        <v>1025</v>
      </c>
      <c r="GF342">
        <v>0</v>
      </c>
      <c r="GG342">
        <v>-272</v>
      </c>
      <c r="GH342">
        <v>1021</v>
      </c>
      <c r="GI342">
        <v>0</v>
      </c>
      <c r="GJ342">
        <v>0</v>
      </c>
      <c r="GK342">
        <v>3766</v>
      </c>
      <c r="GL342">
        <v>105</v>
      </c>
      <c r="GM342">
        <v>313</v>
      </c>
      <c r="GN342">
        <v>43</v>
      </c>
      <c r="GO342">
        <v>127</v>
      </c>
      <c r="GP342">
        <v>13</v>
      </c>
      <c r="GQ342">
        <v>183</v>
      </c>
      <c r="GR342">
        <v>0</v>
      </c>
      <c r="GS342">
        <v>0</v>
      </c>
      <c r="GT342">
        <v>97</v>
      </c>
      <c r="GU342">
        <v>881</v>
      </c>
      <c r="GV342">
        <v>5800</v>
      </c>
      <c r="GW342">
        <v>0</v>
      </c>
      <c r="GX342">
        <v>0</v>
      </c>
      <c r="GY342">
        <v>0</v>
      </c>
      <c r="GZ342">
        <v>0</v>
      </c>
      <c r="HA342">
        <v>0</v>
      </c>
      <c r="HB342">
        <v>1668</v>
      </c>
      <c r="HC342">
        <v>346</v>
      </c>
      <c r="HD342">
        <v>0</v>
      </c>
      <c r="HE342">
        <v>0</v>
      </c>
      <c r="HF342">
        <v>0</v>
      </c>
      <c r="HG342">
        <v>0</v>
      </c>
      <c r="HH342">
        <v>0</v>
      </c>
      <c r="HI342">
        <v>0</v>
      </c>
      <c r="HJ342">
        <v>231</v>
      </c>
      <c r="HK342">
        <v>0</v>
      </c>
      <c r="HL342">
        <v>41</v>
      </c>
      <c r="HM342">
        <v>-16</v>
      </c>
      <c r="HN342">
        <v>0</v>
      </c>
      <c r="HO342">
        <v>0</v>
      </c>
      <c r="HP342">
        <v>0</v>
      </c>
      <c r="HQ342">
        <v>0</v>
      </c>
      <c r="HR342">
        <v>1202</v>
      </c>
      <c r="HS342">
        <v>0</v>
      </c>
      <c r="HT342">
        <v>0</v>
      </c>
      <c r="HU342">
        <v>106</v>
      </c>
      <c r="HV342">
        <v>3578</v>
      </c>
      <c r="HW342">
        <v>2490</v>
      </c>
      <c r="HX342">
        <v>3440</v>
      </c>
      <c r="HY342">
        <v>0</v>
      </c>
      <c r="HZ342">
        <v>0</v>
      </c>
      <c r="IA342">
        <v>0</v>
      </c>
      <c r="IB342">
        <v>0</v>
      </c>
      <c r="IC342">
        <v>0</v>
      </c>
      <c r="ID342">
        <v>-28</v>
      </c>
      <c r="IE342">
        <v>0</v>
      </c>
      <c r="IF342">
        <v>0</v>
      </c>
      <c r="IG342">
        <v>0</v>
      </c>
      <c r="IH342">
        <v>1011</v>
      </c>
      <c r="II342">
        <v>1153</v>
      </c>
      <c r="IJ342">
        <v>3766</v>
      </c>
      <c r="IK342">
        <v>881</v>
      </c>
      <c r="IL342">
        <v>0</v>
      </c>
      <c r="IM342">
        <v>0</v>
      </c>
      <c r="IN342">
        <v>3578</v>
      </c>
      <c r="IO342">
        <v>0</v>
      </c>
      <c r="IP342">
        <v>10361</v>
      </c>
      <c r="IQ342">
        <v>10632</v>
      </c>
      <c r="IR342">
        <v>0</v>
      </c>
      <c r="IS342">
        <v>0</v>
      </c>
      <c r="IT342">
        <v>0</v>
      </c>
      <c r="IU342">
        <v>0</v>
      </c>
      <c r="IV342">
        <v>1386</v>
      </c>
      <c r="IW342">
        <v>0</v>
      </c>
      <c r="IX342">
        <v>0</v>
      </c>
      <c r="IY342">
        <v>0</v>
      </c>
      <c r="IZ342">
        <v>0</v>
      </c>
      <c r="JA342">
        <v>0</v>
      </c>
      <c r="JB342">
        <v>0</v>
      </c>
      <c r="JC342">
        <v>0</v>
      </c>
      <c r="JD342">
        <v>0</v>
      </c>
      <c r="JE342">
        <v>-2</v>
      </c>
      <c r="JF342">
        <v>0</v>
      </c>
      <c r="JG342">
        <v>22377</v>
      </c>
      <c r="JH342">
        <v>0</v>
      </c>
      <c r="JI342">
        <v>0</v>
      </c>
      <c r="JJ342">
        <v>0</v>
      </c>
      <c r="JK342">
        <v>0</v>
      </c>
      <c r="JL342">
        <v>0</v>
      </c>
      <c r="JM342">
        <v>0</v>
      </c>
      <c r="JN342">
        <v>86</v>
      </c>
      <c r="JO342">
        <v>0</v>
      </c>
      <c r="JP342">
        <v>103</v>
      </c>
      <c r="JQ342">
        <v>0</v>
      </c>
      <c r="JR342">
        <v>22566</v>
      </c>
      <c r="JS342">
        <v>-2478</v>
      </c>
      <c r="JT342">
        <v>0</v>
      </c>
      <c r="JU342">
        <v>1963</v>
      </c>
      <c r="JV342">
        <v>0</v>
      </c>
      <c r="JW342">
        <v>-10510</v>
      </c>
      <c r="JX342">
        <v>0</v>
      </c>
      <c r="JY342">
        <v>0</v>
      </c>
      <c r="JZ342">
        <v>0</v>
      </c>
      <c r="KA342">
        <v>0</v>
      </c>
      <c r="KB342">
        <v>0</v>
      </c>
      <c r="KC342">
        <v>11541</v>
      </c>
      <c r="KD342">
        <v>0</v>
      </c>
      <c r="KE342">
        <v>-820</v>
      </c>
      <c r="KF342">
        <v>10721</v>
      </c>
      <c r="KG342">
        <v>0</v>
      </c>
      <c r="KH342">
        <v>0</v>
      </c>
      <c r="KI342">
        <v>0</v>
      </c>
      <c r="KJ342">
        <v>0</v>
      </c>
      <c r="KK342">
        <v>-746</v>
      </c>
      <c r="KL342">
        <v>887</v>
      </c>
      <c r="KM342">
        <v>0</v>
      </c>
      <c r="KN342">
        <v>0</v>
      </c>
      <c r="KO342">
        <v>-3801</v>
      </c>
      <c r="KP342">
        <v>2943</v>
      </c>
      <c r="KQ342">
        <v>0</v>
      </c>
      <c r="KR342">
        <v>7065</v>
      </c>
      <c r="KS342">
        <v>0</v>
      </c>
      <c r="KT342">
        <v>0</v>
      </c>
      <c r="KU342">
        <v>0</v>
      </c>
      <c r="KV342">
        <v>9680</v>
      </c>
      <c r="KW342">
        <v>4087</v>
      </c>
      <c r="KX342">
        <v>0</v>
      </c>
      <c r="KY342">
        <v>0</v>
      </c>
      <c r="KZ342">
        <v>0</v>
      </c>
      <c r="LA342">
        <v>8934</v>
      </c>
      <c r="LB342">
        <v>4974</v>
      </c>
      <c r="LC342">
        <v>-1285</v>
      </c>
      <c r="LD342">
        <v>1484</v>
      </c>
      <c r="LE342">
        <v>0</v>
      </c>
      <c r="LF342">
        <v>0</v>
      </c>
      <c r="LG342">
        <v>-1774</v>
      </c>
      <c r="LH342">
        <v>1273</v>
      </c>
      <c r="LI342">
        <v>1703</v>
      </c>
      <c r="LJ342">
        <v>2246</v>
      </c>
      <c r="LK342">
        <v>2409</v>
      </c>
      <c r="LL342">
        <v>4655</v>
      </c>
      <c r="LM342">
        <v>0</v>
      </c>
      <c r="LN342">
        <v>0</v>
      </c>
      <c r="LO342">
        <v>0</v>
      </c>
      <c r="LP342">
        <v>0</v>
      </c>
      <c r="LQ342">
        <v>0</v>
      </c>
      <c r="LR342">
        <v>0</v>
      </c>
      <c r="LS342">
        <v>0</v>
      </c>
      <c r="LT342">
        <v>0</v>
      </c>
      <c r="LU342">
        <v>0</v>
      </c>
      <c r="LV342">
        <v>-28</v>
      </c>
      <c r="LW342">
        <v>0</v>
      </c>
      <c r="LX342">
        <v>0</v>
      </c>
      <c r="LY342">
        <v>0</v>
      </c>
      <c r="LZ342">
        <v>1011</v>
      </c>
      <c r="MA342">
        <v>1153</v>
      </c>
      <c r="MB342">
        <v>3766</v>
      </c>
      <c r="MC342">
        <v>881</v>
      </c>
      <c r="MD342">
        <v>0</v>
      </c>
      <c r="ME342">
        <v>0</v>
      </c>
      <c r="MF342">
        <v>3578</v>
      </c>
      <c r="MG342">
        <v>0</v>
      </c>
      <c r="MH342">
        <v>10361</v>
      </c>
      <c r="MI342">
        <v>0</v>
      </c>
      <c r="MJ342">
        <v>0</v>
      </c>
      <c r="MK342">
        <v>0</v>
      </c>
      <c r="ML342">
        <v>0</v>
      </c>
      <c r="MM342">
        <v>0</v>
      </c>
      <c r="MN342">
        <v>0</v>
      </c>
      <c r="MO342">
        <v>0</v>
      </c>
      <c r="MP342">
        <v>0</v>
      </c>
      <c r="MQ342">
        <v>0</v>
      </c>
      <c r="MR342">
        <v>0</v>
      </c>
      <c r="MS342">
        <v>0</v>
      </c>
      <c r="MT342">
        <v>0</v>
      </c>
      <c r="MU342">
        <v>0</v>
      </c>
      <c r="MV342">
        <v>0</v>
      </c>
      <c r="MW342">
        <v>0</v>
      </c>
      <c r="MX342">
        <v>0</v>
      </c>
      <c r="MY342">
        <v>0</v>
      </c>
      <c r="MZ342">
        <v>0</v>
      </c>
      <c r="NA342">
        <v>0</v>
      </c>
      <c r="NB342">
        <v>0</v>
      </c>
      <c r="NC342">
        <v>0</v>
      </c>
      <c r="ND342">
        <v>0</v>
      </c>
      <c r="NE342">
        <v>0</v>
      </c>
      <c r="NF342">
        <v>0</v>
      </c>
      <c r="NG342">
        <v>0</v>
      </c>
      <c r="NH342">
        <v>0</v>
      </c>
      <c r="NI342">
        <v>0</v>
      </c>
      <c r="NJ342">
        <v>0</v>
      </c>
      <c r="NK342">
        <v>0</v>
      </c>
      <c r="NL342">
        <v>0</v>
      </c>
      <c r="NM342">
        <v>0</v>
      </c>
      <c r="NN342">
        <v>0</v>
      </c>
      <c r="NO342">
        <v>0</v>
      </c>
      <c r="NP342">
        <v>0</v>
      </c>
      <c r="NQ342">
        <v>0</v>
      </c>
      <c r="NR342">
        <v>0</v>
      </c>
      <c r="NS342">
        <v>0</v>
      </c>
      <c r="NT342">
        <v>0</v>
      </c>
      <c r="NU342">
        <v>0</v>
      </c>
      <c r="NV342">
        <v>0</v>
      </c>
      <c r="NW342">
        <v>0</v>
      </c>
      <c r="NX342">
        <v>0</v>
      </c>
      <c r="NY342">
        <v>0</v>
      </c>
      <c r="NZ342">
        <v>0</v>
      </c>
      <c r="OA342">
        <v>0</v>
      </c>
      <c r="OB342">
        <v>0</v>
      </c>
      <c r="OC342">
        <v>0</v>
      </c>
      <c r="OD342">
        <v>0</v>
      </c>
      <c r="OE342">
        <v>0</v>
      </c>
      <c r="OF342">
        <v>0</v>
      </c>
      <c r="OG342">
        <v>0</v>
      </c>
      <c r="OH342">
        <v>0</v>
      </c>
      <c r="OI342">
        <v>0</v>
      </c>
      <c r="OJ342">
        <v>0</v>
      </c>
      <c r="OK342">
        <v>0</v>
      </c>
      <c r="OL342">
        <v>0</v>
      </c>
      <c r="OM342">
        <v>0</v>
      </c>
      <c r="ON342">
        <v>0</v>
      </c>
    </row>
    <row r="343" spans="1:404" x14ac:dyDescent="0.25">
      <c r="A343" t="s">
        <v>1100</v>
      </c>
      <c r="B343" t="s">
        <v>1101</v>
      </c>
      <c r="C343" t="s">
        <v>1099</v>
      </c>
      <c r="E343" t="s">
        <v>71</v>
      </c>
      <c r="F343">
        <v>0</v>
      </c>
      <c r="G343">
        <v>0</v>
      </c>
      <c r="H343">
        <v>0</v>
      </c>
      <c r="I343">
        <v>0</v>
      </c>
      <c r="J343">
        <v>0</v>
      </c>
      <c r="K343">
        <v>0</v>
      </c>
      <c r="L343">
        <v>0</v>
      </c>
      <c r="M343">
        <v>0</v>
      </c>
      <c r="N343">
        <v>0</v>
      </c>
      <c r="O343">
        <v>0</v>
      </c>
      <c r="P343">
        <v>0</v>
      </c>
      <c r="Q343">
        <v>0</v>
      </c>
      <c r="R343">
        <v>0</v>
      </c>
      <c r="S343">
        <v>0</v>
      </c>
      <c r="T343">
        <v>0</v>
      </c>
      <c r="U343">
        <v>0</v>
      </c>
      <c r="V343">
        <v>0</v>
      </c>
      <c r="W343">
        <v>0</v>
      </c>
      <c r="X343">
        <v>0</v>
      </c>
      <c r="Y343">
        <v>0</v>
      </c>
      <c r="Z343">
        <v>0</v>
      </c>
      <c r="AA343">
        <v>0</v>
      </c>
      <c r="AB343">
        <v>0</v>
      </c>
      <c r="AC343">
        <v>0</v>
      </c>
      <c r="AD343">
        <v>0</v>
      </c>
      <c r="AE343">
        <v>0</v>
      </c>
      <c r="AF343">
        <v>0</v>
      </c>
      <c r="AG343">
        <v>0</v>
      </c>
      <c r="AH343">
        <v>0</v>
      </c>
      <c r="AI343">
        <v>0</v>
      </c>
      <c r="AJ343">
        <v>0</v>
      </c>
      <c r="AK343">
        <v>0</v>
      </c>
      <c r="AL343">
        <v>0</v>
      </c>
      <c r="AM343">
        <v>0</v>
      </c>
      <c r="AN343">
        <v>0</v>
      </c>
      <c r="AO343">
        <v>0</v>
      </c>
      <c r="AP343">
        <v>0</v>
      </c>
      <c r="AQ343">
        <v>0</v>
      </c>
      <c r="AR343">
        <v>0</v>
      </c>
      <c r="AS343">
        <v>0</v>
      </c>
      <c r="AT343">
        <v>0</v>
      </c>
      <c r="AU343">
        <v>0</v>
      </c>
      <c r="AV343">
        <v>0</v>
      </c>
      <c r="AW343">
        <v>0</v>
      </c>
      <c r="AX343">
        <v>0</v>
      </c>
      <c r="AY343">
        <v>0</v>
      </c>
      <c r="AZ343">
        <v>0</v>
      </c>
      <c r="BA343">
        <v>0</v>
      </c>
      <c r="BB343">
        <v>0</v>
      </c>
      <c r="BC343">
        <v>0</v>
      </c>
      <c r="BD343">
        <v>0</v>
      </c>
      <c r="BE343">
        <v>0</v>
      </c>
      <c r="BF343">
        <v>0</v>
      </c>
      <c r="BG343">
        <v>0</v>
      </c>
      <c r="BH343">
        <v>0</v>
      </c>
      <c r="BI343">
        <v>0</v>
      </c>
      <c r="BJ343">
        <v>0</v>
      </c>
      <c r="BK343">
        <v>0</v>
      </c>
      <c r="BL343">
        <v>0</v>
      </c>
      <c r="BM343">
        <v>0</v>
      </c>
      <c r="BN343">
        <v>0</v>
      </c>
      <c r="BO343">
        <v>0</v>
      </c>
      <c r="BP343">
        <v>0</v>
      </c>
      <c r="BQ343">
        <v>0</v>
      </c>
      <c r="BR343">
        <v>0</v>
      </c>
      <c r="BS343">
        <v>0</v>
      </c>
      <c r="BT343">
        <v>0</v>
      </c>
      <c r="BU343">
        <v>0</v>
      </c>
      <c r="BV343">
        <v>0</v>
      </c>
      <c r="BW343">
        <v>0</v>
      </c>
      <c r="BX343">
        <v>0</v>
      </c>
      <c r="BY343">
        <v>0</v>
      </c>
      <c r="BZ343">
        <v>0</v>
      </c>
      <c r="CA343">
        <v>0</v>
      </c>
      <c r="CB343">
        <v>0</v>
      </c>
      <c r="CC343">
        <v>0</v>
      </c>
      <c r="CD343">
        <v>0</v>
      </c>
      <c r="CE343">
        <v>0</v>
      </c>
      <c r="CF343">
        <v>0</v>
      </c>
      <c r="CG343">
        <v>0</v>
      </c>
      <c r="CH343">
        <v>0</v>
      </c>
      <c r="CI343">
        <v>0</v>
      </c>
      <c r="CJ343">
        <v>0</v>
      </c>
      <c r="CK343">
        <v>0</v>
      </c>
      <c r="CL343">
        <v>0</v>
      </c>
      <c r="CM343">
        <v>0</v>
      </c>
      <c r="CN343">
        <v>0</v>
      </c>
      <c r="CO343">
        <v>0</v>
      </c>
      <c r="CP343">
        <v>0</v>
      </c>
      <c r="CQ343">
        <v>0</v>
      </c>
      <c r="CR343">
        <v>0</v>
      </c>
      <c r="CS343">
        <v>0</v>
      </c>
      <c r="CT343">
        <v>0</v>
      </c>
      <c r="CU343">
        <v>0</v>
      </c>
      <c r="CV343">
        <v>0</v>
      </c>
      <c r="CW343">
        <v>0</v>
      </c>
      <c r="CX343">
        <v>0</v>
      </c>
      <c r="CY343">
        <v>0</v>
      </c>
      <c r="CZ343">
        <v>0</v>
      </c>
      <c r="DA343">
        <v>0</v>
      </c>
      <c r="DB343">
        <v>0</v>
      </c>
      <c r="DC343">
        <v>0</v>
      </c>
      <c r="DD343">
        <v>0</v>
      </c>
      <c r="DE343">
        <v>0</v>
      </c>
      <c r="DF343">
        <v>0</v>
      </c>
      <c r="DG343">
        <v>0</v>
      </c>
      <c r="DH343">
        <v>0</v>
      </c>
      <c r="DI343">
        <v>0</v>
      </c>
      <c r="DJ343">
        <v>0</v>
      </c>
      <c r="DK343">
        <v>0</v>
      </c>
      <c r="DL343">
        <v>0</v>
      </c>
      <c r="DM343">
        <v>0</v>
      </c>
      <c r="DN343">
        <v>0</v>
      </c>
      <c r="DO343">
        <v>0</v>
      </c>
      <c r="DP343">
        <v>0</v>
      </c>
      <c r="DQ343">
        <v>0</v>
      </c>
      <c r="DR343">
        <v>0</v>
      </c>
      <c r="DS343">
        <v>0</v>
      </c>
      <c r="DT343">
        <v>0</v>
      </c>
      <c r="DU343">
        <v>0</v>
      </c>
      <c r="DV343">
        <v>0</v>
      </c>
      <c r="DW343">
        <v>0</v>
      </c>
      <c r="DX343">
        <v>0</v>
      </c>
      <c r="DY343">
        <v>0</v>
      </c>
      <c r="DZ343">
        <v>0</v>
      </c>
      <c r="EA343">
        <v>0</v>
      </c>
      <c r="EB343">
        <v>0</v>
      </c>
      <c r="EC343">
        <v>0</v>
      </c>
      <c r="ED343">
        <v>0</v>
      </c>
      <c r="EE343">
        <v>0</v>
      </c>
      <c r="EF343">
        <v>0</v>
      </c>
      <c r="EG343">
        <v>0</v>
      </c>
      <c r="EH343">
        <v>0</v>
      </c>
      <c r="EI343">
        <v>0</v>
      </c>
      <c r="EJ343">
        <v>0</v>
      </c>
      <c r="EK343">
        <v>0</v>
      </c>
      <c r="EL343">
        <v>0</v>
      </c>
      <c r="EM343">
        <v>0</v>
      </c>
      <c r="EN343">
        <v>0</v>
      </c>
      <c r="EO343">
        <v>0</v>
      </c>
      <c r="EP343">
        <v>0</v>
      </c>
      <c r="EQ343">
        <v>0</v>
      </c>
      <c r="ER343">
        <v>0</v>
      </c>
      <c r="ES343">
        <v>0</v>
      </c>
      <c r="ET343">
        <v>0</v>
      </c>
      <c r="EU343">
        <v>0</v>
      </c>
      <c r="EV343">
        <v>0</v>
      </c>
      <c r="EW343">
        <v>0</v>
      </c>
      <c r="EX343">
        <v>0</v>
      </c>
      <c r="EY343">
        <v>0</v>
      </c>
      <c r="EZ343">
        <v>0</v>
      </c>
      <c r="FA343">
        <v>0</v>
      </c>
      <c r="FB343">
        <v>0</v>
      </c>
      <c r="FC343">
        <v>0</v>
      </c>
      <c r="FD343">
        <v>0</v>
      </c>
      <c r="FE343">
        <v>0</v>
      </c>
      <c r="FF343">
        <v>0</v>
      </c>
      <c r="FG343">
        <v>0</v>
      </c>
      <c r="FH343">
        <v>0</v>
      </c>
      <c r="FI343">
        <v>0</v>
      </c>
      <c r="FJ343">
        <v>0</v>
      </c>
      <c r="FK343">
        <v>0</v>
      </c>
      <c r="FL343">
        <v>0</v>
      </c>
      <c r="FM343">
        <v>0</v>
      </c>
      <c r="FN343">
        <v>0</v>
      </c>
      <c r="FO343">
        <v>0</v>
      </c>
      <c r="FP343">
        <v>0</v>
      </c>
      <c r="FQ343">
        <v>0</v>
      </c>
      <c r="FR343">
        <v>0</v>
      </c>
      <c r="FS343">
        <v>0</v>
      </c>
      <c r="FT343">
        <v>0</v>
      </c>
      <c r="FU343">
        <v>0</v>
      </c>
      <c r="FV343">
        <v>0</v>
      </c>
      <c r="FW343">
        <v>0</v>
      </c>
      <c r="FX343">
        <v>0</v>
      </c>
      <c r="FY343">
        <v>0</v>
      </c>
      <c r="FZ343">
        <v>0</v>
      </c>
      <c r="GA343">
        <v>0</v>
      </c>
      <c r="GB343">
        <v>0</v>
      </c>
      <c r="GC343">
        <v>0</v>
      </c>
      <c r="GD343">
        <v>0</v>
      </c>
      <c r="GE343">
        <v>0</v>
      </c>
      <c r="GF343">
        <v>0</v>
      </c>
      <c r="GG343">
        <v>0</v>
      </c>
      <c r="GH343">
        <v>0</v>
      </c>
      <c r="GI343">
        <v>0</v>
      </c>
      <c r="GJ343">
        <v>0</v>
      </c>
      <c r="GK343">
        <v>0</v>
      </c>
      <c r="GL343">
        <v>0</v>
      </c>
      <c r="GM343">
        <v>0</v>
      </c>
      <c r="GN343">
        <v>0</v>
      </c>
      <c r="GO343">
        <v>0</v>
      </c>
      <c r="GP343">
        <v>0</v>
      </c>
      <c r="GQ343">
        <v>0</v>
      </c>
      <c r="GR343">
        <v>0</v>
      </c>
      <c r="GS343">
        <v>0</v>
      </c>
      <c r="GT343">
        <v>0</v>
      </c>
      <c r="GU343">
        <v>0</v>
      </c>
      <c r="GV343">
        <v>0</v>
      </c>
      <c r="GW343">
        <v>205798</v>
      </c>
      <c r="GX343">
        <v>0</v>
      </c>
      <c r="GY343">
        <v>0</v>
      </c>
      <c r="GZ343">
        <v>0</v>
      </c>
      <c r="HA343">
        <v>0</v>
      </c>
      <c r="HB343">
        <v>307</v>
      </c>
      <c r="HC343">
        <v>0</v>
      </c>
      <c r="HD343">
        <v>0</v>
      </c>
      <c r="HE343">
        <v>0</v>
      </c>
      <c r="HF343">
        <v>0</v>
      </c>
      <c r="HG343">
        <v>0</v>
      </c>
      <c r="HH343">
        <v>0</v>
      </c>
      <c r="HI343">
        <v>0</v>
      </c>
      <c r="HJ343">
        <v>0</v>
      </c>
      <c r="HK343">
        <v>0</v>
      </c>
      <c r="HL343">
        <v>0</v>
      </c>
      <c r="HM343">
        <v>0</v>
      </c>
      <c r="HN343">
        <v>0</v>
      </c>
      <c r="HO343">
        <v>0</v>
      </c>
      <c r="HP343">
        <v>0</v>
      </c>
      <c r="HQ343">
        <v>0</v>
      </c>
      <c r="HR343">
        <v>1849</v>
      </c>
      <c r="HS343">
        <v>0</v>
      </c>
      <c r="HT343">
        <v>0</v>
      </c>
      <c r="HU343">
        <v>0</v>
      </c>
      <c r="HV343">
        <v>2156</v>
      </c>
      <c r="HW343">
        <v>0</v>
      </c>
      <c r="HX343">
        <v>0</v>
      </c>
      <c r="HY343">
        <v>0</v>
      </c>
      <c r="HZ343">
        <v>0</v>
      </c>
      <c r="IA343">
        <v>0</v>
      </c>
      <c r="IB343">
        <v>0</v>
      </c>
      <c r="IC343">
        <v>0</v>
      </c>
      <c r="ID343">
        <v>0</v>
      </c>
      <c r="IE343">
        <v>0</v>
      </c>
      <c r="IF343">
        <v>0</v>
      </c>
      <c r="IG343">
        <v>0</v>
      </c>
      <c r="IH343">
        <v>0</v>
      </c>
      <c r="II343">
        <v>0</v>
      </c>
      <c r="IJ343">
        <v>0</v>
      </c>
      <c r="IK343">
        <v>0</v>
      </c>
      <c r="IL343">
        <v>205798</v>
      </c>
      <c r="IM343">
        <v>0</v>
      </c>
      <c r="IN343">
        <v>2156</v>
      </c>
      <c r="IO343">
        <v>0</v>
      </c>
      <c r="IP343">
        <v>207954</v>
      </c>
      <c r="IQ343">
        <v>0</v>
      </c>
      <c r="IR343">
        <v>0</v>
      </c>
      <c r="IS343">
        <v>0</v>
      </c>
      <c r="IT343">
        <v>0</v>
      </c>
      <c r="IU343">
        <v>0</v>
      </c>
      <c r="IV343">
        <v>0</v>
      </c>
      <c r="IW343">
        <v>0</v>
      </c>
      <c r="IX343">
        <v>0</v>
      </c>
      <c r="IY343">
        <v>0</v>
      </c>
      <c r="IZ343">
        <v>0</v>
      </c>
      <c r="JA343">
        <v>0</v>
      </c>
      <c r="JB343">
        <v>0</v>
      </c>
      <c r="JC343">
        <v>0</v>
      </c>
      <c r="JD343">
        <v>0</v>
      </c>
      <c r="JE343">
        <v>-563</v>
      </c>
      <c r="JF343">
        <v>0</v>
      </c>
      <c r="JG343">
        <v>207392</v>
      </c>
      <c r="JH343">
        <v>0</v>
      </c>
      <c r="JI343">
        <v>4992</v>
      </c>
      <c r="JJ343">
        <v>0</v>
      </c>
      <c r="JK343">
        <v>0</v>
      </c>
      <c r="JL343">
        <v>0</v>
      </c>
      <c r="JM343">
        <v>0</v>
      </c>
      <c r="JN343">
        <v>3552</v>
      </c>
      <c r="JO343">
        <v>0</v>
      </c>
      <c r="JP343">
        <v>2332</v>
      </c>
      <c r="JQ343">
        <v>0</v>
      </c>
      <c r="JR343">
        <v>218268</v>
      </c>
      <c r="JS343">
        <v>-48</v>
      </c>
      <c r="JT343">
        <v>0</v>
      </c>
      <c r="JU343">
        <v>0</v>
      </c>
      <c r="JV343">
        <v>0</v>
      </c>
      <c r="JW343">
        <v>-3240</v>
      </c>
      <c r="JX343">
        <v>0</v>
      </c>
      <c r="JY343">
        <v>0</v>
      </c>
      <c r="JZ343">
        <v>0</v>
      </c>
      <c r="KA343">
        <v>0</v>
      </c>
      <c r="KB343">
        <v>0</v>
      </c>
      <c r="KC343">
        <v>214980</v>
      </c>
      <c r="KD343">
        <v>0</v>
      </c>
      <c r="KE343">
        <v>-4698</v>
      </c>
      <c r="KF343">
        <v>210281</v>
      </c>
      <c r="KG343">
        <v>0</v>
      </c>
      <c r="KH343">
        <v>0</v>
      </c>
      <c r="KI343">
        <v>0</v>
      </c>
      <c r="KJ343">
        <v>0</v>
      </c>
      <c r="KK343">
        <v>7069</v>
      </c>
      <c r="KL343">
        <v>1294</v>
      </c>
      <c r="KM343">
        <v>0</v>
      </c>
      <c r="KN343">
        <v>-134381</v>
      </c>
      <c r="KO343">
        <v>0</v>
      </c>
      <c r="KP343">
        <v>298</v>
      </c>
      <c r="KQ343">
        <v>0</v>
      </c>
      <c r="KR343">
        <v>83197</v>
      </c>
      <c r="KS343">
        <v>0</v>
      </c>
      <c r="KT343">
        <v>0</v>
      </c>
      <c r="KU343">
        <v>0</v>
      </c>
      <c r="KV343">
        <v>20613</v>
      </c>
      <c r="KW343">
        <v>7215</v>
      </c>
      <c r="KX343">
        <v>0</v>
      </c>
      <c r="KY343">
        <v>0</v>
      </c>
      <c r="KZ343">
        <v>0</v>
      </c>
      <c r="LA343">
        <v>27682</v>
      </c>
      <c r="LB343">
        <v>8509</v>
      </c>
      <c r="LC343">
        <v>53</v>
      </c>
      <c r="LD343">
        <v>6403</v>
      </c>
      <c r="LE343">
        <v>2630</v>
      </c>
      <c r="LF343">
        <v>469</v>
      </c>
      <c r="LG343">
        <v>0</v>
      </c>
      <c r="LH343">
        <v>0</v>
      </c>
      <c r="LI343">
        <v>9502</v>
      </c>
      <c r="LJ343">
        <v>0</v>
      </c>
      <c r="LK343">
        <v>0</v>
      </c>
      <c r="LL343">
        <v>0</v>
      </c>
      <c r="LM343">
        <v>0</v>
      </c>
      <c r="LN343">
        <v>0</v>
      </c>
      <c r="LO343">
        <v>0</v>
      </c>
      <c r="LP343">
        <v>0</v>
      </c>
      <c r="LQ343">
        <v>0</v>
      </c>
      <c r="LR343">
        <v>0</v>
      </c>
      <c r="LS343">
        <v>0</v>
      </c>
      <c r="LT343">
        <v>0</v>
      </c>
      <c r="LU343">
        <v>0</v>
      </c>
      <c r="LV343">
        <v>0</v>
      </c>
      <c r="LW343">
        <v>0</v>
      </c>
      <c r="LX343">
        <v>0</v>
      </c>
      <c r="LY343">
        <v>0</v>
      </c>
      <c r="LZ343">
        <v>0</v>
      </c>
      <c r="MA343">
        <v>0</v>
      </c>
      <c r="MB343">
        <v>0</v>
      </c>
      <c r="MC343">
        <v>0</v>
      </c>
      <c r="MD343">
        <v>205798</v>
      </c>
      <c r="ME343">
        <v>0</v>
      </c>
      <c r="MF343">
        <v>2156</v>
      </c>
      <c r="MG343">
        <v>0</v>
      </c>
      <c r="MH343">
        <v>207954</v>
      </c>
      <c r="MI343">
        <v>0</v>
      </c>
      <c r="MJ343">
        <v>0</v>
      </c>
      <c r="MK343">
        <v>0</v>
      </c>
      <c r="ML343">
        <v>0</v>
      </c>
      <c r="MM343">
        <v>0</v>
      </c>
      <c r="MN343">
        <v>0</v>
      </c>
      <c r="MO343">
        <v>0</v>
      </c>
      <c r="MP343">
        <v>0</v>
      </c>
      <c r="MQ343">
        <v>0</v>
      </c>
      <c r="MR343">
        <v>0</v>
      </c>
      <c r="MS343">
        <v>0</v>
      </c>
      <c r="MT343">
        <v>0</v>
      </c>
      <c r="MU343">
        <v>0</v>
      </c>
      <c r="MV343">
        <v>0</v>
      </c>
      <c r="MW343">
        <v>0</v>
      </c>
      <c r="MX343">
        <v>0</v>
      </c>
      <c r="MY343">
        <v>0</v>
      </c>
      <c r="MZ343">
        <v>0</v>
      </c>
      <c r="NA343">
        <v>0</v>
      </c>
      <c r="NB343">
        <v>0</v>
      </c>
      <c r="NC343">
        <v>0</v>
      </c>
      <c r="ND343">
        <v>0</v>
      </c>
      <c r="NE343">
        <v>0</v>
      </c>
      <c r="NF343">
        <v>0</v>
      </c>
      <c r="NG343">
        <v>0</v>
      </c>
      <c r="NH343">
        <v>0</v>
      </c>
      <c r="NI343">
        <v>0</v>
      </c>
      <c r="NJ343">
        <v>0</v>
      </c>
      <c r="NK343">
        <v>0</v>
      </c>
      <c r="NL343">
        <v>0</v>
      </c>
      <c r="NM343">
        <v>0</v>
      </c>
      <c r="NN343">
        <v>0</v>
      </c>
      <c r="NO343">
        <v>0</v>
      </c>
      <c r="NP343">
        <v>0</v>
      </c>
      <c r="NQ343">
        <v>0</v>
      </c>
      <c r="NR343">
        <v>0</v>
      </c>
      <c r="NS343">
        <v>0</v>
      </c>
      <c r="NT343">
        <v>0</v>
      </c>
      <c r="NU343">
        <v>0</v>
      </c>
      <c r="NV343">
        <v>0</v>
      </c>
      <c r="NW343">
        <v>0</v>
      </c>
      <c r="NX343">
        <v>0</v>
      </c>
      <c r="NY343">
        <v>0</v>
      </c>
      <c r="NZ343">
        <v>0</v>
      </c>
      <c r="OA343">
        <v>0</v>
      </c>
      <c r="OB343">
        <v>0</v>
      </c>
      <c r="OC343">
        <v>0</v>
      </c>
      <c r="OD343">
        <v>0</v>
      </c>
      <c r="OE343">
        <v>0</v>
      </c>
      <c r="OF343">
        <v>0</v>
      </c>
      <c r="OG343">
        <v>0</v>
      </c>
      <c r="OH343">
        <v>0</v>
      </c>
      <c r="OI343">
        <v>0</v>
      </c>
      <c r="OJ343">
        <v>0</v>
      </c>
      <c r="OK343">
        <v>0</v>
      </c>
      <c r="OL343">
        <v>0</v>
      </c>
      <c r="OM343">
        <v>0</v>
      </c>
      <c r="ON343">
        <v>0</v>
      </c>
    </row>
    <row r="344" spans="1:404" x14ac:dyDescent="0.25">
      <c r="A344" t="s">
        <v>1103</v>
      </c>
      <c r="B344" t="s">
        <v>1104</v>
      </c>
      <c r="C344" t="s">
        <v>1102</v>
      </c>
      <c r="E344" t="s">
        <v>61</v>
      </c>
      <c r="F344">
        <v>0</v>
      </c>
      <c r="G344">
        <v>0</v>
      </c>
      <c r="H344">
        <v>0</v>
      </c>
      <c r="I344">
        <v>0</v>
      </c>
      <c r="J344">
        <v>0</v>
      </c>
      <c r="K344">
        <v>0</v>
      </c>
      <c r="L344">
        <v>0</v>
      </c>
      <c r="M344">
        <v>0</v>
      </c>
      <c r="N344">
        <v>0</v>
      </c>
      <c r="O344">
        <v>0</v>
      </c>
      <c r="P344">
        <v>0</v>
      </c>
      <c r="Q344">
        <v>0</v>
      </c>
      <c r="R344">
        <v>0</v>
      </c>
      <c r="S344">
        <v>170</v>
      </c>
      <c r="T344">
        <v>0</v>
      </c>
      <c r="U344">
        <v>30</v>
      </c>
      <c r="V344">
        <v>0</v>
      </c>
      <c r="W344">
        <v>0</v>
      </c>
      <c r="X344">
        <v>0</v>
      </c>
      <c r="Y344">
        <v>39</v>
      </c>
      <c r="Z344">
        <v>-12</v>
      </c>
      <c r="AA344">
        <v>-1187</v>
      </c>
      <c r="AB344">
        <v>0</v>
      </c>
      <c r="AC344">
        <v>0</v>
      </c>
      <c r="AD344">
        <v>0</v>
      </c>
      <c r="AE344">
        <v>0</v>
      </c>
      <c r="AF344">
        <v>0</v>
      </c>
      <c r="AG344">
        <v>0</v>
      </c>
      <c r="AH344">
        <v>0</v>
      </c>
      <c r="AI344">
        <v>-960</v>
      </c>
      <c r="AJ344">
        <v>0</v>
      </c>
      <c r="AK344">
        <v>0</v>
      </c>
      <c r="AL344">
        <v>0</v>
      </c>
      <c r="AM344">
        <v>0</v>
      </c>
      <c r="AN344">
        <v>0</v>
      </c>
      <c r="AO344">
        <v>0</v>
      </c>
      <c r="AP344">
        <v>0</v>
      </c>
      <c r="AQ344">
        <v>317</v>
      </c>
      <c r="AR344">
        <v>367</v>
      </c>
      <c r="AS344">
        <v>0</v>
      </c>
      <c r="AT344">
        <v>0</v>
      </c>
      <c r="AU344">
        <v>0</v>
      </c>
      <c r="AV344">
        <v>0</v>
      </c>
      <c r="AW344">
        <v>0</v>
      </c>
      <c r="AX344">
        <v>0</v>
      </c>
      <c r="AY344">
        <v>0</v>
      </c>
      <c r="AZ344">
        <v>0</v>
      </c>
      <c r="BA344">
        <v>0</v>
      </c>
      <c r="BB344">
        <v>0</v>
      </c>
      <c r="BC344">
        <v>0</v>
      </c>
      <c r="BD344">
        <v>0</v>
      </c>
      <c r="BE344">
        <v>0</v>
      </c>
      <c r="BF344">
        <v>0</v>
      </c>
      <c r="BG344">
        <v>0</v>
      </c>
      <c r="BH344">
        <v>0</v>
      </c>
      <c r="BI344">
        <v>0</v>
      </c>
      <c r="BJ344">
        <v>0</v>
      </c>
      <c r="BK344">
        <v>0</v>
      </c>
      <c r="BL344">
        <v>0</v>
      </c>
      <c r="BM344">
        <v>0</v>
      </c>
      <c r="BN344">
        <v>0</v>
      </c>
      <c r="BO344">
        <v>0</v>
      </c>
      <c r="BP344">
        <v>0</v>
      </c>
      <c r="BQ344">
        <v>0</v>
      </c>
      <c r="BR344">
        <v>0</v>
      </c>
      <c r="BS344">
        <v>0</v>
      </c>
      <c r="BT344">
        <v>0</v>
      </c>
      <c r="BU344">
        <v>0</v>
      </c>
      <c r="BV344">
        <v>0</v>
      </c>
      <c r="BW344">
        <v>0</v>
      </c>
      <c r="BX344">
        <v>0</v>
      </c>
      <c r="BY344">
        <v>0</v>
      </c>
      <c r="BZ344">
        <v>0</v>
      </c>
      <c r="CA344">
        <v>0</v>
      </c>
      <c r="CB344">
        <v>0</v>
      </c>
      <c r="CC344">
        <v>0</v>
      </c>
      <c r="CD344">
        <v>0</v>
      </c>
      <c r="CE344">
        <v>0</v>
      </c>
      <c r="CF344">
        <v>0</v>
      </c>
      <c r="CG344">
        <v>0</v>
      </c>
      <c r="CH344">
        <v>0</v>
      </c>
      <c r="CI344">
        <v>0</v>
      </c>
      <c r="CJ344">
        <v>0</v>
      </c>
      <c r="CK344">
        <v>0</v>
      </c>
      <c r="CL344">
        <v>0</v>
      </c>
      <c r="CM344">
        <v>0</v>
      </c>
      <c r="CN344">
        <v>0</v>
      </c>
      <c r="CO344">
        <v>0</v>
      </c>
      <c r="CP344">
        <v>0</v>
      </c>
      <c r="CQ344">
        <v>0</v>
      </c>
      <c r="CR344">
        <v>0</v>
      </c>
      <c r="CS344">
        <v>0</v>
      </c>
      <c r="CT344">
        <v>0</v>
      </c>
      <c r="CU344">
        <v>0</v>
      </c>
      <c r="CV344">
        <v>316</v>
      </c>
      <c r="CW344">
        <v>0</v>
      </c>
      <c r="CX344">
        <v>0</v>
      </c>
      <c r="CY344">
        <v>0</v>
      </c>
      <c r="CZ344">
        <v>0</v>
      </c>
      <c r="DA344">
        <v>0</v>
      </c>
      <c r="DB344">
        <v>0</v>
      </c>
      <c r="DC344">
        <v>400</v>
      </c>
      <c r="DD344">
        <v>0</v>
      </c>
      <c r="DE344">
        <v>0</v>
      </c>
      <c r="DF344">
        <v>0</v>
      </c>
      <c r="DG344">
        <v>0</v>
      </c>
      <c r="DH344">
        <v>0</v>
      </c>
      <c r="DI344">
        <v>0</v>
      </c>
      <c r="DJ344">
        <v>0</v>
      </c>
      <c r="DK344">
        <v>0</v>
      </c>
      <c r="DL344">
        <v>0</v>
      </c>
      <c r="DM344">
        <v>1470</v>
      </c>
      <c r="DN344">
        <v>644</v>
      </c>
      <c r="DO344">
        <v>500</v>
      </c>
      <c r="DP344">
        <v>2614</v>
      </c>
      <c r="DQ344">
        <v>0</v>
      </c>
      <c r="DR344">
        <v>0</v>
      </c>
      <c r="DS344">
        <v>0</v>
      </c>
      <c r="DT344">
        <v>773</v>
      </c>
      <c r="DU344">
        <v>-2609</v>
      </c>
      <c r="DV344">
        <v>31</v>
      </c>
      <c r="DW344">
        <v>0</v>
      </c>
      <c r="DX344">
        <v>1209</v>
      </c>
      <c r="DY344">
        <v>39788</v>
      </c>
      <c r="DZ344">
        <v>304</v>
      </c>
      <c r="EA344">
        <v>4083</v>
      </c>
      <c r="EB344">
        <v>415</v>
      </c>
      <c r="EC344">
        <v>0</v>
      </c>
      <c r="ED344">
        <v>202</v>
      </c>
      <c r="EE344">
        <v>0</v>
      </c>
      <c r="EF344">
        <v>0</v>
      </c>
      <c r="EG344">
        <v>2</v>
      </c>
      <c r="EH344">
        <v>9482</v>
      </c>
      <c r="EI344">
        <v>13594</v>
      </c>
      <c r="EJ344">
        <v>0</v>
      </c>
      <c r="EK344">
        <v>260</v>
      </c>
      <c r="EL344">
        <v>7169</v>
      </c>
      <c r="EM344">
        <v>0</v>
      </c>
      <c r="EN344">
        <v>0</v>
      </c>
      <c r="EO344">
        <v>0</v>
      </c>
      <c r="EP344">
        <v>0</v>
      </c>
      <c r="EQ344">
        <v>11013</v>
      </c>
      <c r="ER344">
        <v>299</v>
      </c>
      <c r="ES344">
        <v>28817</v>
      </c>
      <c r="ET344">
        <v>31794</v>
      </c>
      <c r="EU344">
        <v>0</v>
      </c>
      <c r="EV344">
        <v>30</v>
      </c>
      <c r="EW344">
        <v>0</v>
      </c>
      <c r="EX344">
        <v>278</v>
      </c>
      <c r="EY344">
        <v>0</v>
      </c>
      <c r="EZ344">
        <v>366</v>
      </c>
      <c r="FA344">
        <v>0</v>
      </c>
      <c r="FB344">
        <v>786</v>
      </c>
      <c r="FC344">
        <v>881</v>
      </c>
      <c r="FD344">
        <v>1676</v>
      </c>
      <c r="FE344">
        <v>19</v>
      </c>
      <c r="FF344">
        <v>0</v>
      </c>
      <c r="FG344">
        <v>0</v>
      </c>
      <c r="FH344">
        <v>4036</v>
      </c>
      <c r="FI344">
        <v>161</v>
      </c>
      <c r="FJ344">
        <v>0</v>
      </c>
      <c r="FK344">
        <v>0</v>
      </c>
      <c r="FL344">
        <v>134</v>
      </c>
      <c r="FM344">
        <v>122</v>
      </c>
      <c r="FN344">
        <v>0</v>
      </c>
      <c r="FO344">
        <v>67</v>
      </c>
      <c r="FP344">
        <v>0</v>
      </c>
      <c r="FQ344">
        <v>0</v>
      </c>
      <c r="FR344">
        <v>0</v>
      </c>
      <c r="FS344">
        <v>74</v>
      </c>
      <c r="FT344">
        <v>443</v>
      </c>
      <c r="FU344">
        <v>65</v>
      </c>
      <c r="FV344">
        <v>171</v>
      </c>
      <c r="FW344">
        <v>0</v>
      </c>
      <c r="FX344">
        <v>194</v>
      </c>
      <c r="FY344">
        <v>0</v>
      </c>
      <c r="FZ344">
        <v>14</v>
      </c>
      <c r="GA344">
        <v>0</v>
      </c>
      <c r="GB344">
        <v>0</v>
      </c>
      <c r="GC344">
        <v>0</v>
      </c>
      <c r="GD344">
        <v>1145</v>
      </c>
      <c r="GE344">
        <v>1020</v>
      </c>
      <c r="GF344">
        <v>-4</v>
      </c>
      <c r="GG344">
        <v>0</v>
      </c>
      <c r="GH344">
        <v>658</v>
      </c>
      <c r="GI344">
        <v>0</v>
      </c>
      <c r="GJ344">
        <v>37</v>
      </c>
      <c r="GK344">
        <v>4301</v>
      </c>
      <c r="GL344">
        <v>0</v>
      </c>
      <c r="GM344">
        <v>-51</v>
      </c>
      <c r="GN344">
        <v>0</v>
      </c>
      <c r="GO344">
        <v>1026</v>
      </c>
      <c r="GP344">
        <v>0</v>
      </c>
      <c r="GQ344">
        <v>285</v>
      </c>
      <c r="GR344">
        <v>0</v>
      </c>
      <c r="GS344">
        <v>5497</v>
      </c>
      <c r="GT344">
        <v>1044</v>
      </c>
      <c r="GU344">
        <v>7801</v>
      </c>
      <c r="GV344">
        <v>16138</v>
      </c>
      <c r="GW344">
        <v>0</v>
      </c>
      <c r="GX344">
        <v>0</v>
      </c>
      <c r="GY344">
        <v>0</v>
      </c>
      <c r="GZ344">
        <v>0</v>
      </c>
      <c r="HA344">
        <v>0</v>
      </c>
      <c r="HB344">
        <v>2173</v>
      </c>
      <c r="HC344">
        <v>448</v>
      </c>
      <c r="HD344">
        <v>0</v>
      </c>
      <c r="HE344">
        <v>0</v>
      </c>
      <c r="HF344">
        <v>297</v>
      </c>
      <c r="HG344">
        <v>-43</v>
      </c>
      <c r="HH344">
        <v>0</v>
      </c>
      <c r="HI344">
        <v>0</v>
      </c>
      <c r="HJ344">
        <v>167</v>
      </c>
      <c r="HK344">
        <v>114</v>
      </c>
      <c r="HL344">
        <v>59</v>
      </c>
      <c r="HM344">
        <v>12</v>
      </c>
      <c r="HN344">
        <v>0</v>
      </c>
      <c r="HO344">
        <v>284</v>
      </c>
      <c r="HP344">
        <v>0</v>
      </c>
      <c r="HQ344">
        <v>0</v>
      </c>
      <c r="HR344">
        <v>0</v>
      </c>
      <c r="HS344">
        <v>0</v>
      </c>
      <c r="HT344">
        <v>0</v>
      </c>
      <c r="HU344">
        <v>-1647</v>
      </c>
      <c r="HV344">
        <v>1864</v>
      </c>
      <c r="HW344">
        <v>11819</v>
      </c>
      <c r="HX344">
        <v>4955</v>
      </c>
      <c r="HY344">
        <v>0</v>
      </c>
      <c r="HZ344">
        <v>4088</v>
      </c>
      <c r="IA344">
        <v>3173</v>
      </c>
      <c r="IB344">
        <v>0</v>
      </c>
      <c r="IC344">
        <v>0</v>
      </c>
      <c r="ID344">
        <v>-960</v>
      </c>
      <c r="IE344">
        <v>0</v>
      </c>
      <c r="IF344">
        <v>0</v>
      </c>
      <c r="IG344">
        <v>316</v>
      </c>
      <c r="IH344">
        <v>1209</v>
      </c>
      <c r="II344">
        <v>4036</v>
      </c>
      <c r="IJ344">
        <v>4301</v>
      </c>
      <c r="IK344">
        <v>7801</v>
      </c>
      <c r="IL344">
        <v>0</v>
      </c>
      <c r="IM344">
        <v>0</v>
      </c>
      <c r="IN344">
        <v>1864</v>
      </c>
      <c r="IO344">
        <v>0</v>
      </c>
      <c r="IP344">
        <v>18567</v>
      </c>
      <c r="IQ344">
        <v>9149</v>
      </c>
      <c r="IR344">
        <v>0</v>
      </c>
      <c r="IS344">
        <v>12535</v>
      </c>
      <c r="IT344">
        <v>0</v>
      </c>
      <c r="IU344">
        <v>0</v>
      </c>
      <c r="IV344">
        <v>0</v>
      </c>
      <c r="IW344">
        <v>0</v>
      </c>
      <c r="IX344">
        <v>0</v>
      </c>
      <c r="IY344">
        <v>0</v>
      </c>
      <c r="IZ344">
        <v>0</v>
      </c>
      <c r="JA344">
        <v>-36</v>
      </c>
      <c r="JB344">
        <v>0</v>
      </c>
      <c r="JC344">
        <v>0</v>
      </c>
      <c r="JD344">
        <v>0</v>
      </c>
      <c r="JE344">
        <v>0</v>
      </c>
      <c r="JF344">
        <v>0</v>
      </c>
      <c r="JG344">
        <v>40215</v>
      </c>
      <c r="JH344">
        <v>0</v>
      </c>
      <c r="JI344">
        <v>1862</v>
      </c>
      <c r="JJ344">
        <v>0</v>
      </c>
      <c r="JK344">
        <v>0</v>
      </c>
      <c r="JL344">
        <v>0</v>
      </c>
      <c r="JM344">
        <v>63</v>
      </c>
      <c r="JN344">
        <v>195</v>
      </c>
      <c r="JO344">
        <v>0</v>
      </c>
      <c r="JP344">
        <v>252</v>
      </c>
      <c r="JQ344">
        <v>0</v>
      </c>
      <c r="JR344">
        <v>42587</v>
      </c>
      <c r="JS344">
        <v>-381</v>
      </c>
      <c r="JT344">
        <v>0</v>
      </c>
      <c r="JU344">
        <v>0</v>
      </c>
      <c r="JV344">
        <v>0</v>
      </c>
      <c r="JW344">
        <v>-21290</v>
      </c>
      <c r="JX344">
        <v>0</v>
      </c>
      <c r="JY344">
        <v>-25</v>
      </c>
      <c r="JZ344">
        <v>0</v>
      </c>
      <c r="KA344">
        <v>0</v>
      </c>
      <c r="KB344">
        <v>0</v>
      </c>
      <c r="KC344">
        <v>20891</v>
      </c>
      <c r="KD344">
        <v>0</v>
      </c>
      <c r="KE344">
        <v>-9162</v>
      </c>
      <c r="KF344">
        <v>11729</v>
      </c>
      <c r="KG344">
        <v>0</v>
      </c>
      <c r="KH344">
        <v>0</v>
      </c>
      <c r="KI344">
        <v>0</v>
      </c>
      <c r="KJ344">
        <v>0</v>
      </c>
      <c r="KK344">
        <v>-3735</v>
      </c>
      <c r="KL344">
        <v>507</v>
      </c>
      <c r="KM344">
        <v>0</v>
      </c>
      <c r="KN344">
        <v>0</v>
      </c>
      <c r="KO344">
        <v>1639</v>
      </c>
      <c r="KP344">
        <v>40</v>
      </c>
      <c r="KQ344">
        <v>0</v>
      </c>
      <c r="KR344">
        <v>6117</v>
      </c>
      <c r="KS344">
        <v>0</v>
      </c>
      <c r="KT344">
        <v>0</v>
      </c>
      <c r="KU344">
        <v>0</v>
      </c>
      <c r="KV344">
        <v>15192</v>
      </c>
      <c r="KW344">
        <v>6401</v>
      </c>
      <c r="KX344">
        <v>0</v>
      </c>
      <c r="KY344">
        <v>0</v>
      </c>
      <c r="KZ344">
        <v>0</v>
      </c>
      <c r="LA344">
        <v>11457</v>
      </c>
      <c r="LB344">
        <v>6908</v>
      </c>
      <c r="LC344">
        <v>0</v>
      </c>
      <c r="LD344">
        <v>3720</v>
      </c>
      <c r="LE344">
        <v>0</v>
      </c>
      <c r="LF344">
        <v>0</v>
      </c>
      <c r="LG344">
        <v>0</v>
      </c>
      <c r="LH344">
        <v>412</v>
      </c>
      <c r="LI344">
        <v>4132</v>
      </c>
      <c r="LJ344">
        <v>2330</v>
      </c>
      <c r="LK344">
        <v>3676</v>
      </c>
      <c r="LL344">
        <v>6006</v>
      </c>
      <c r="LM344">
        <v>0</v>
      </c>
      <c r="LN344">
        <v>0</v>
      </c>
      <c r="LO344">
        <v>0</v>
      </c>
      <c r="LP344">
        <v>44794</v>
      </c>
      <c r="LQ344">
        <v>41817</v>
      </c>
      <c r="LR344">
        <v>2977</v>
      </c>
      <c r="LS344">
        <v>28817</v>
      </c>
      <c r="LT344">
        <v>31794</v>
      </c>
      <c r="LU344">
        <v>0</v>
      </c>
      <c r="LV344">
        <v>-960</v>
      </c>
      <c r="LW344">
        <v>0</v>
      </c>
      <c r="LX344">
        <v>0</v>
      </c>
      <c r="LY344">
        <v>316</v>
      </c>
      <c r="LZ344">
        <v>1209</v>
      </c>
      <c r="MA344">
        <v>4036</v>
      </c>
      <c r="MB344">
        <v>4301</v>
      </c>
      <c r="MC344">
        <v>7801</v>
      </c>
      <c r="MD344">
        <v>0</v>
      </c>
      <c r="ME344">
        <v>0</v>
      </c>
      <c r="MF344">
        <v>1864</v>
      </c>
      <c r="MG344">
        <v>0</v>
      </c>
      <c r="MH344">
        <v>18567</v>
      </c>
      <c r="MI344">
        <v>0</v>
      </c>
      <c r="MJ344">
        <v>0</v>
      </c>
      <c r="MK344">
        <v>0</v>
      </c>
      <c r="ML344">
        <v>0</v>
      </c>
      <c r="MM344">
        <v>0</v>
      </c>
      <c r="MN344">
        <v>0</v>
      </c>
      <c r="MO344">
        <v>0</v>
      </c>
      <c r="MP344">
        <v>0</v>
      </c>
      <c r="MQ344">
        <v>0</v>
      </c>
      <c r="MR344">
        <v>0</v>
      </c>
      <c r="MS344">
        <v>0</v>
      </c>
      <c r="MT344">
        <v>0</v>
      </c>
      <c r="MU344">
        <v>0</v>
      </c>
      <c r="MV344">
        <v>0</v>
      </c>
      <c r="MW344">
        <v>0</v>
      </c>
      <c r="MX344">
        <v>0</v>
      </c>
      <c r="MY344">
        <v>0</v>
      </c>
      <c r="MZ344">
        <v>-36</v>
      </c>
      <c r="NA344">
        <v>-36</v>
      </c>
      <c r="NB344">
        <v>0</v>
      </c>
      <c r="NC344">
        <v>-36</v>
      </c>
      <c r="ND344">
        <v>0</v>
      </c>
      <c r="NE344">
        <v>0</v>
      </c>
      <c r="NF344">
        <v>0</v>
      </c>
      <c r="NG344">
        <v>0</v>
      </c>
      <c r="NH344">
        <v>0</v>
      </c>
      <c r="NI344">
        <v>0</v>
      </c>
      <c r="NJ344">
        <v>0</v>
      </c>
      <c r="NK344">
        <v>0</v>
      </c>
      <c r="NL344">
        <v>0</v>
      </c>
      <c r="NM344">
        <v>0</v>
      </c>
      <c r="NN344">
        <v>0</v>
      </c>
      <c r="NO344">
        <v>0</v>
      </c>
      <c r="NP344">
        <v>0</v>
      </c>
      <c r="NQ344">
        <v>0</v>
      </c>
      <c r="NR344">
        <v>0</v>
      </c>
      <c r="NS344">
        <v>0</v>
      </c>
      <c r="NT344">
        <v>0</v>
      </c>
      <c r="NU344">
        <v>0</v>
      </c>
      <c r="NV344">
        <v>0</v>
      </c>
      <c r="NW344">
        <v>0</v>
      </c>
      <c r="NX344">
        <v>0</v>
      </c>
      <c r="NY344">
        <v>0</v>
      </c>
      <c r="NZ344">
        <v>0</v>
      </c>
      <c r="OA344">
        <v>0</v>
      </c>
      <c r="OB344">
        <v>0</v>
      </c>
      <c r="OC344">
        <v>0</v>
      </c>
      <c r="OD344">
        <v>0</v>
      </c>
      <c r="OE344">
        <v>0</v>
      </c>
      <c r="OF344">
        <v>0</v>
      </c>
      <c r="OG344">
        <v>0</v>
      </c>
      <c r="OH344">
        <v>0</v>
      </c>
      <c r="OI344">
        <v>0</v>
      </c>
      <c r="OJ344">
        <v>0</v>
      </c>
      <c r="OK344">
        <v>0</v>
      </c>
      <c r="OL344">
        <v>0</v>
      </c>
      <c r="OM344">
        <v>0</v>
      </c>
      <c r="ON344">
        <v>0</v>
      </c>
    </row>
    <row r="345" spans="1:404" x14ac:dyDescent="0.25">
      <c r="A345" t="s">
        <v>1106</v>
      </c>
      <c r="B345" t="s">
        <v>1107</v>
      </c>
      <c r="C345" t="s">
        <v>1105</v>
      </c>
      <c r="E345" t="s">
        <v>97</v>
      </c>
      <c r="F345">
        <v>23097</v>
      </c>
      <c r="G345">
        <v>112367</v>
      </c>
      <c r="H345">
        <v>45291</v>
      </c>
      <c r="I345">
        <v>22325</v>
      </c>
      <c r="J345">
        <v>2983</v>
      </c>
      <c r="K345">
        <v>14322</v>
      </c>
      <c r="L345">
        <v>220385</v>
      </c>
      <c r="M345">
        <v>581</v>
      </c>
      <c r="N345">
        <v>4</v>
      </c>
      <c r="O345">
        <v>2738</v>
      </c>
      <c r="P345">
        <v>166</v>
      </c>
      <c r="Q345">
        <v>8</v>
      </c>
      <c r="R345">
        <v>283</v>
      </c>
      <c r="S345">
        <v>1051</v>
      </c>
      <c r="T345">
        <v>427</v>
      </c>
      <c r="U345">
        <v>2383</v>
      </c>
      <c r="V345">
        <v>0</v>
      </c>
      <c r="W345">
        <v>0</v>
      </c>
      <c r="X345">
        <v>1087</v>
      </c>
      <c r="Y345">
        <v>13</v>
      </c>
      <c r="Z345">
        <v>-334</v>
      </c>
      <c r="AA345">
        <v>-304</v>
      </c>
      <c r="AB345">
        <v>0</v>
      </c>
      <c r="AC345">
        <v>0</v>
      </c>
      <c r="AD345">
        <v>9</v>
      </c>
      <c r="AE345">
        <v>0</v>
      </c>
      <c r="AF345">
        <v>0</v>
      </c>
      <c r="AG345">
        <v>0</v>
      </c>
      <c r="AH345">
        <v>0</v>
      </c>
      <c r="AI345">
        <v>8112</v>
      </c>
      <c r="AJ345">
        <v>0</v>
      </c>
      <c r="AK345">
        <v>0</v>
      </c>
      <c r="AL345">
        <v>0</v>
      </c>
      <c r="AM345">
        <v>0</v>
      </c>
      <c r="AN345">
        <v>0</v>
      </c>
      <c r="AO345">
        <v>0</v>
      </c>
      <c r="AP345">
        <v>0</v>
      </c>
      <c r="AQ345">
        <v>578</v>
      </c>
      <c r="AR345">
        <v>232</v>
      </c>
      <c r="AS345">
        <v>0</v>
      </c>
      <c r="AT345">
        <v>0</v>
      </c>
      <c r="AU345">
        <v>0</v>
      </c>
      <c r="AV345">
        <v>1286</v>
      </c>
      <c r="AW345">
        <v>22491</v>
      </c>
      <c r="AX345">
        <v>-245</v>
      </c>
      <c r="AY345">
        <v>4697</v>
      </c>
      <c r="AZ345">
        <v>2101</v>
      </c>
      <c r="BA345">
        <v>11823</v>
      </c>
      <c r="BB345">
        <v>0</v>
      </c>
      <c r="BC345">
        <v>2356</v>
      </c>
      <c r="BD345">
        <v>44509</v>
      </c>
      <c r="BE345">
        <v>6356</v>
      </c>
      <c r="BF345">
        <v>18441</v>
      </c>
      <c r="BG345">
        <v>292</v>
      </c>
      <c r="BH345">
        <v>529</v>
      </c>
      <c r="BI345">
        <v>602</v>
      </c>
      <c r="BJ345">
        <v>4998</v>
      </c>
      <c r="BK345">
        <v>29753</v>
      </c>
      <c r="BL345">
        <v>3379</v>
      </c>
      <c r="BM345">
        <v>3177</v>
      </c>
      <c r="BN345">
        <v>2355</v>
      </c>
      <c r="BO345">
        <v>460</v>
      </c>
      <c r="BP345">
        <v>109</v>
      </c>
      <c r="BQ345">
        <v>1788</v>
      </c>
      <c r="BR345">
        <v>9</v>
      </c>
      <c r="BS345">
        <v>1678</v>
      </c>
      <c r="BT345">
        <v>18938</v>
      </c>
      <c r="BU345">
        <v>1333</v>
      </c>
      <c r="BV345">
        <v>1098</v>
      </c>
      <c r="BW345">
        <v>102122</v>
      </c>
      <c r="BX345">
        <v>949</v>
      </c>
      <c r="BY345">
        <v>1013</v>
      </c>
      <c r="BZ345">
        <v>58</v>
      </c>
      <c r="CA345">
        <v>55</v>
      </c>
      <c r="CB345">
        <v>267</v>
      </c>
      <c r="CC345">
        <v>59</v>
      </c>
      <c r="CD345">
        <v>63</v>
      </c>
      <c r="CE345">
        <v>106</v>
      </c>
      <c r="CF345">
        <v>88</v>
      </c>
      <c r="CG345">
        <v>432</v>
      </c>
      <c r="CH345">
        <v>75</v>
      </c>
      <c r="CI345">
        <v>714</v>
      </c>
      <c r="CJ345">
        <v>815</v>
      </c>
      <c r="CK345">
        <v>684</v>
      </c>
      <c r="CL345">
        <v>689</v>
      </c>
      <c r="CM345">
        <v>434</v>
      </c>
      <c r="CN345">
        <v>140</v>
      </c>
      <c r="CO345">
        <v>25</v>
      </c>
      <c r="CP345">
        <v>1226</v>
      </c>
      <c r="CQ345">
        <v>5216</v>
      </c>
      <c r="CR345">
        <v>19</v>
      </c>
      <c r="CS345">
        <v>36</v>
      </c>
      <c r="CT345">
        <v>181</v>
      </c>
      <c r="CU345">
        <v>4295</v>
      </c>
      <c r="CV345">
        <v>20429</v>
      </c>
      <c r="CW345">
        <v>13</v>
      </c>
      <c r="CX345">
        <v>0</v>
      </c>
      <c r="CY345">
        <v>-30</v>
      </c>
      <c r="CZ345">
        <v>0</v>
      </c>
      <c r="DA345">
        <v>0</v>
      </c>
      <c r="DB345">
        <v>0</v>
      </c>
      <c r="DC345">
        <v>104</v>
      </c>
      <c r="DD345">
        <v>0</v>
      </c>
      <c r="DE345">
        <v>0</v>
      </c>
      <c r="DF345">
        <v>0</v>
      </c>
      <c r="DG345">
        <v>0</v>
      </c>
      <c r="DH345">
        <v>0</v>
      </c>
      <c r="DI345">
        <v>0</v>
      </c>
      <c r="DJ345">
        <v>0</v>
      </c>
      <c r="DK345">
        <v>0</v>
      </c>
      <c r="DL345">
        <v>0</v>
      </c>
      <c r="DM345">
        <v>0</v>
      </c>
      <c r="DN345">
        <v>1718</v>
      </c>
      <c r="DO345">
        <v>0</v>
      </c>
      <c r="DP345">
        <v>1718</v>
      </c>
      <c r="DQ345">
        <v>301</v>
      </c>
      <c r="DR345">
        <v>0</v>
      </c>
      <c r="DS345">
        <v>201</v>
      </c>
      <c r="DT345">
        <v>966</v>
      </c>
      <c r="DU345">
        <v>0</v>
      </c>
      <c r="DV345">
        <v>-266</v>
      </c>
      <c r="DW345">
        <v>-76</v>
      </c>
      <c r="DX345">
        <v>2947</v>
      </c>
      <c r="DY345">
        <v>43883</v>
      </c>
      <c r="DZ345">
        <v>300</v>
      </c>
      <c r="EA345">
        <v>4233</v>
      </c>
      <c r="EB345">
        <v>2069</v>
      </c>
      <c r="EC345">
        <v>0</v>
      </c>
      <c r="ED345">
        <v>10</v>
      </c>
      <c r="EE345">
        <v>0</v>
      </c>
      <c r="EF345">
        <v>0</v>
      </c>
      <c r="EG345">
        <v>0</v>
      </c>
      <c r="EH345">
        <v>14541</v>
      </c>
      <c r="EI345">
        <v>11166</v>
      </c>
      <c r="EJ345">
        <v>4605</v>
      </c>
      <c r="EK345">
        <v>231</v>
      </c>
      <c r="EL345">
        <v>5974</v>
      </c>
      <c r="EM345">
        <v>12618</v>
      </c>
      <c r="EN345">
        <v>441</v>
      </c>
      <c r="EO345">
        <v>50</v>
      </c>
      <c r="EP345">
        <v>0</v>
      </c>
      <c r="EQ345">
        <v>0</v>
      </c>
      <c r="ER345">
        <v>147</v>
      </c>
      <c r="ES345">
        <v>1441</v>
      </c>
      <c r="ET345">
        <v>2163</v>
      </c>
      <c r="EU345">
        <v>0</v>
      </c>
      <c r="EV345">
        <v>48</v>
      </c>
      <c r="EW345">
        <v>0</v>
      </c>
      <c r="EX345">
        <v>1448</v>
      </c>
      <c r="EY345">
        <v>29</v>
      </c>
      <c r="EZ345">
        <v>325</v>
      </c>
      <c r="FA345">
        <v>0</v>
      </c>
      <c r="FB345">
        <v>0</v>
      </c>
      <c r="FC345">
        <v>1350</v>
      </c>
      <c r="FD345">
        <v>4780</v>
      </c>
      <c r="FE345">
        <v>20</v>
      </c>
      <c r="FF345">
        <v>109</v>
      </c>
      <c r="FG345">
        <v>3640</v>
      </c>
      <c r="FH345">
        <v>11749</v>
      </c>
      <c r="FI345">
        <v>-558</v>
      </c>
      <c r="FJ345">
        <v>221</v>
      </c>
      <c r="FK345">
        <v>29</v>
      </c>
      <c r="FL345">
        <v>336</v>
      </c>
      <c r="FM345">
        <v>92</v>
      </c>
      <c r="FN345">
        <v>376</v>
      </c>
      <c r="FO345">
        <v>153</v>
      </c>
      <c r="FP345">
        <v>0</v>
      </c>
      <c r="FQ345">
        <v>0</v>
      </c>
      <c r="FR345">
        <v>74</v>
      </c>
      <c r="FS345">
        <v>20</v>
      </c>
      <c r="FT345">
        <v>59</v>
      </c>
      <c r="FU345">
        <v>-83</v>
      </c>
      <c r="FV345">
        <v>7</v>
      </c>
      <c r="FW345">
        <v>1299</v>
      </c>
      <c r="FX345">
        <v>400</v>
      </c>
      <c r="FY345">
        <v>0</v>
      </c>
      <c r="FZ345">
        <v>0</v>
      </c>
      <c r="GA345">
        <v>0</v>
      </c>
      <c r="GB345">
        <v>0</v>
      </c>
      <c r="GC345">
        <v>0</v>
      </c>
      <c r="GD345">
        <v>2871</v>
      </c>
      <c r="GE345">
        <v>3128</v>
      </c>
      <c r="GF345">
        <v>0</v>
      </c>
      <c r="GG345">
        <v>0</v>
      </c>
      <c r="GH345">
        <v>5360</v>
      </c>
      <c r="GI345">
        <v>0</v>
      </c>
      <c r="GJ345">
        <v>180</v>
      </c>
      <c r="GK345">
        <v>13964</v>
      </c>
      <c r="GL345">
        <v>45</v>
      </c>
      <c r="GM345">
        <v>772</v>
      </c>
      <c r="GN345">
        <v>80</v>
      </c>
      <c r="GO345">
        <v>532</v>
      </c>
      <c r="GP345">
        <v>0</v>
      </c>
      <c r="GQ345">
        <v>9060</v>
      </c>
      <c r="GR345">
        <v>0</v>
      </c>
      <c r="GS345">
        <v>0</v>
      </c>
      <c r="GT345">
        <v>281</v>
      </c>
      <c r="GU345">
        <v>10770</v>
      </c>
      <c r="GV345">
        <v>36483</v>
      </c>
      <c r="GW345">
        <v>0</v>
      </c>
      <c r="GX345">
        <v>0</v>
      </c>
      <c r="GY345">
        <v>0</v>
      </c>
      <c r="GZ345">
        <v>0</v>
      </c>
      <c r="HA345">
        <v>0</v>
      </c>
      <c r="HB345">
        <v>3442</v>
      </c>
      <c r="HC345">
        <v>304</v>
      </c>
      <c r="HD345">
        <v>0</v>
      </c>
      <c r="HE345">
        <v>0</v>
      </c>
      <c r="HF345">
        <v>758</v>
      </c>
      <c r="HG345">
        <v>102</v>
      </c>
      <c r="HH345">
        <v>0</v>
      </c>
      <c r="HI345">
        <v>-7</v>
      </c>
      <c r="HJ345">
        <v>360</v>
      </c>
      <c r="HK345">
        <v>177</v>
      </c>
      <c r="HL345">
        <v>58</v>
      </c>
      <c r="HM345">
        <v>-208</v>
      </c>
      <c r="HN345">
        <v>99</v>
      </c>
      <c r="HO345">
        <v>0</v>
      </c>
      <c r="HP345">
        <v>826</v>
      </c>
      <c r="HQ345">
        <v>-98</v>
      </c>
      <c r="HR345">
        <v>681</v>
      </c>
      <c r="HS345">
        <v>0</v>
      </c>
      <c r="HT345">
        <v>0</v>
      </c>
      <c r="HU345">
        <v>0</v>
      </c>
      <c r="HV345">
        <v>6494</v>
      </c>
      <c r="HW345">
        <v>1636</v>
      </c>
      <c r="HX345">
        <v>35325</v>
      </c>
      <c r="HY345">
        <v>0</v>
      </c>
      <c r="HZ345">
        <v>1672</v>
      </c>
      <c r="IA345">
        <v>817</v>
      </c>
      <c r="IB345">
        <v>412</v>
      </c>
      <c r="IC345">
        <v>220385</v>
      </c>
      <c r="ID345">
        <v>8112</v>
      </c>
      <c r="IE345">
        <v>44509</v>
      </c>
      <c r="IF345">
        <v>102122</v>
      </c>
      <c r="IG345">
        <v>20429</v>
      </c>
      <c r="IH345">
        <v>2947</v>
      </c>
      <c r="II345">
        <v>11749</v>
      </c>
      <c r="IJ345">
        <v>13964</v>
      </c>
      <c r="IK345">
        <v>10770</v>
      </c>
      <c r="IL345">
        <v>0</v>
      </c>
      <c r="IM345">
        <v>0</v>
      </c>
      <c r="IN345">
        <v>6494</v>
      </c>
      <c r="IO345">
        <v>412</v>
      </c>
      <c r="IP345">
        <v>441894</v>
      </c>
      <c r="IQ345">
        <v>30373</v>
      </c>
      <c r="IR345">
        <v>1079</v>
      </c>
      <c r="IS345">
        <v>18488</v>
      </c>
      <c r="IT345">
        <v>0</v>
      </c>
      <c r="IU345">
        <v>0</v>
      </c>
      <c r="IV345">
        <v>0</v>
      </c>
      <c r="IW345">
        <v>19916</v>
      </c>
      <c r="IX345">
        <v>19307</v>
      </c>
      <c r="IY345">
        <v>0</v>
      </c>
      <c r="IZ345">
        <v>850</v>
      </c>
      <c r="JA345">
        <v>-6452</v>
      </c>
      <c r="JB345">
        <v>0</v>
      </c>
      <c r="JC345">
        <v>0</v>
      </c>
      <c r="JD345">
        <v>0</v>
      </c>
      <c r="JE345">
        <v>0</v>
      </c>
      <c r="JF345">
        <v>0</v>
      </c>
      <c r="JG345">
        <v>525455</v>
      </c>
      <c r="JH345">
        <v>185</v>
      </c>
      <c r="JI345">
        <v>1667</v>
      </c>
      <c r="JJ345">
        <v>0</v>
      </c>
      <c r="JK345">
        <v>0</v>
      </c>
      <c r="JL345">
        <v>0</v>
      </c>
      <c r="JM345">
        <v>1396</v>
      </c>
      <c r="JN345">
        <v>15348</v>
      </c>
      <c r="JO345">
        <v>1202</v>
      </c>
      <c r="JP345">
        <v>12194</v>
      </c>
      <c r="JQ345">
        <v>0</v>
      </c>
      <c r="JR345">
        <v>557447</v>
      </c>
      <c r="JS345">
        <v>-7567</v>
      </c>
      <c r="JT345">
        <v>0</v>
      </c>
      <c r="JU345">
        <v>15</v>
      </c>
      <c r="JV345">
        <v>0</v>
      </c>
      <c r="JW345">
        <v>-51678</v>
      </c>
      <c r="JX345">
        <v>0</v>
      </c>
      <c r="JY345">
        <v>0</v>
      </c>
      <c r="JZ345">
        <v>0</v>
      </c>
      <c r="KA345">
        <v>0</v>
      </c>
      <c r="KB345">
        <v>-2248</v>
      </c>
      <c r="KC345">
        <v>495968</v>
      </c>
      <c r="KD345">
        <v>0</v>
      </c>
      <c r="KE345">
        <v>-252302</v>
      </c>
      <c r="KF345">
        <v>243666</v>
      </c>
      <c r="KG345">
        <v>0</v>
      </c>
      <c r="KH345">
        <v>474</v>
      </c>
      <c r="KI345">
        <v>0</v>
      </c>
      <c r="KJ345">
        <v>1182</v>
      </c>
      <c r="KK345">
        <v>-17696</v>
      </c>
      <c r="KL345">
        <v>1162</v>
      </c>
      <c r="KM345">
        <v>0</v>
      </c>
      <c r="KN345">
        <v>0</v>
      </c>
      <c r="KO345">
        <v>-73952</v>
      </c>
      <c r="KP345">
        <v>42505</v>
      </c>
      <c r="KQ345">
        <v>0</v>
      </c>
      <c r="KR345">
        <v>167894</v>
      </c>
      <c r="KS345">
        <v>15642</v>
      </c>
      <c r="KT345">
        <v>0</v>
      </c>
      <c r="KU345">
        <v>1225</v>
      </c>
      <c r="KV345">
        <v>132570</v>
      </c>
      <c r="KW345">
        <v>16205</v>
      </c>
      <c r="KX345">
        <v>16116</v>
      </c>
      <c r="KY345">
        <v>0</v>
      </c>
      <c r="KZ345">
        <v>2407</v>
      </c>
      <c r="LA345">
        <v>114874</v>
      </c>
      <c r="LB345">
        <v>17367</v>
      </c>
      <c r="LC345">
        <v>0</v>
      </c>
      <c r="LD345">
        <v>43742</v>
      </c>
      <c r="LE345">
        <v>0</v>
      </c>
      <c r="LF345">
        <v>-196</v>
      </c>
      <c r="LG345">
        <v>-50693</v>
      </c>
      <c r="LH345">
        <v>12516</v>
      </c>
      <c r="LI345">
        <v>5369</v>
      </c>
      <c r="LJ345">
        <v>8277</v>
      </c>
      <c r="LK345">
        <v>12969</v>
      </c>
      <c r="LL345">
        <v>21246</v>
      </c>
      <c r="LM345">
        <v>0</v>
      </c>
      <c r="LN345">
        <v>0</v>
      </c>
      <c r="LO345">
        <v>0</v>
      </c>
      <c r="LP345">
        <v>50495</v>
      </c>
      <c r="LQ345">
        <v>49773</v>
      </c>
      <c r="LR345">
        <v>722</v>
      </c>
      <c r="LS345">
        <v>1441</v>
      </c>
      <c r="LT345">
        <v>2163</v>
      </c>
      <c r="LU345">
        <v>220385</v>
      </c>
      <c r="LV345">
        <v>8112</v>
      </c>
      <c r="LW345">
        <v>44509</v>
      </c>
      <c r="LX345">
        <v>102122</v>
      </c>
      <c r="LY345">
        <v>20429</v>
      </c>
      <c r="LZ345">
        <v>2947</v>
      </c>
      <c r="MA345">
        <v>11749</v>
      </c>
      <c r="MB345">
        <v>13964</v>
      </c>
      <c r="MC345">
        <v>10770</v>
      </c>
      <c r="MD345">
        <v>0</v>
      </c>
      <c r="ME345">
        <v>0</v>
      </c>
      <c r="MF345">
        <v>6494</v>
      </c>
      <c r="MG345">
        <v>412</v>
      </c>
      <c r="MH345">
        <v>441894</v>
      </c>
      <c r="MI345">
        <v>0</v>
      </c>
      <c r="MJ345">
        <v>0</v>
      </c>
      <c r="MK345">
        <v>0</v>
      </c>
      <c r="ML345">
        <v>0</v>
      </c>
      <c r="MM345">
        <v>0</v>
      </c>
      <c r="MN345">
        <v>0</v>
      </c>
      <c r="MO345">
        <v>0</v>
      </c>
      <c r="MP345">
        <v>0</v>
      </c>
      <c r="MQ345">
        <v>0</v>
      </c>
      <c r="MR345">
        <v>0</v>
      </c>
      <c r="MS345">
        <v>0</v>
      </c>
      <c r="MT345">
        <v>0</v>
      </c>
      <c r="MU345">
        <v>0</v>
      </c>
      <c r="MV345">
        <v>112</v>
      </c>
      <c r="MW345">
        <v>0</v>
      </c>
      <c r="MX345">
        <v>-6564</v>
      </c>
      <c r="MY345">
        <v>0</v>
      </c>
      <c r="MZ345">
        <v>0</v>
      </c>
      <c r="NA345">
        <v>-6452</v>
      </c>
      <c r="NB345">
        <v>0</v>
      </c>
      <c r="NC345">
        <v>-6452</v>
      </c>
      <c r="ND345">
        <v>0</v>
      </c>
      <c r="NE345">
        <v>0</v>
      </c>
      <c r="NF345">
        <v>0</v>
      </c>
      <c r="NG345">
        <v>0</v>
      </c>
      <c r="NH345">
        <v>0</v>
      </c>
      <c r="NI345">
        <v>0</v>
      </c>
      <c r="NJ345">
        <v>0</v>
      </c>
      <c r="NK345">
        <v>0</v>
      </c>
      <c r="NL345">
        <v>0</v>
      </c>
      <c r="NM345">
        <v>0</v>
      </c>
      <c r="NN345">
        <v>0</v>
      </c>
      <c r="NO345">
        <v>0</v>
      </c>
      <c r="NP345">
        <v>0</v>
      </c>
      <c r="NQ345">
        <v>0</v>
      </c>
      <c r="NR345">
        <v>0</v>
      </c>
      <c r="NS345">
        <v>0</v>
      </c>
      <c r="NT345">
        <v>0</v>
      </c>
      <c r="NU345">
        <v>0</v>
      </c>
      <c r="NV345">
        <v>0</v>
      </c>
      <c r="NW345">
        <v>0</v>
      </c>
      <c r="NX345">
        <v>0</v>
      </c>
      <c r="NY345">
        <v>0</v>
      </c>
      <c r="NZ345">
        <v>0</v>
      </c>
      <c r="OA345">
        <v>0</v>
      </c>
      <c r="OB345">
        <v>0</v>
      </c>
      <c r="OC345">
        <v>0</v>
      </c>
      <c r="OD345">
        <v>0</v>
      </c>
      <c r="OE345">
        <v>0</v>
      </c>
      <c r="OF345">
        <v>0</v>
      </c>
      <c r="OG345">
        <v>0</v>
      </c>
      <c r="OH345">
        <v>0</v>
      </c>
      <c r="OI345">
        <v>0</v>
      </c>
      <c r="OJ345">
        <v>0</v>
      </c>
      <c r="OK345">
        <v>0</v>
      </c>
      <c r="OL345">
        <v>0</v>
      </c>
      <c r="OM345">
        <v>0</v>
      </c>
      <c r="ON345">
        <v>0</v>
      </c>
    </row>
    <row r="346" spans="1:404" x14ac:dyDescent="0.25">
      <c r="A346" t="s">
        <v>1109</v>
      </c>
      <c r="B346" t="s">
        <v>1110</v>
      </c>
      <c r="C346" t="s">
        <v>1108</v>
      </c>
      <c r="E346" t="s">
        <v>125</v>
      </c>
      <c r="F346">
        <v>10649</v>
      </c>
      <c r="G346">
        <v>43041</v>
      </c>
      <c r="H346">
        <v>12246</v>
      </c>
      <c r="I346">
        <v>14612</v>
      </c>
      <c r="J346">
        <v>733</v>
      </c>
      <c r="K346">
        <v>11116</v>
      </c>
      <c r="L346">
        <v>92397</v>
      </c>
      <c r="M346">
        <v>193</v>
      </c>
      <c r="N346">
        <v>0</v>
      </c>
      <c r="O346">
        <v>105</v>
      </c>
      <c r="P346">
        <v>567</v>
      </c>
      <c r="Q346">
        <v>70</v>
      </c>
      <c r="R346">
        <v>477</v>
      </c>
      <c r="S346">
        <v>397</v>
      </c>
      <c r="T346">
        <v>405</v>
      </c>
      <c r="U346">
        <v>1271</v>
      </c>
      <c r="V346">
        <v>0</v>
      </c>
      <c r="W346">
        <v>0</v>
      </c>
      <c r="X346">
        <v>794</v>
      </c>
      <c r="Y346">
        <v>0</v>
      </c>
      <c r="Z346">
        <v>-174</v>
      </c>
      <c r="AA346">
        <v>17</v>
      </c>
      <c r="AB346">
        <v>4462</v>
      </c>
      <c r="AC346">
        <v>0</v>
      </c>
      <c r="AD346">
        <v>116</v>
      </c>
      <c r="AE346">
        <v>0</v>
      </c>
      <c r="AF346">
        <v>0</v>
      </c>
      <c r="AG346">
        <v>52</v>
      </c>
      <c r="AH346">
        <v>0</v>
      </c>
      <c r="AI346">
        <v>8752</v>
      </c>
      <c r="AJ346">
        <v>0</v>
      </c>
      <c r="AK346">
        <v>0</v>
      </c>
      <c r="AL346">
        <v>0</v>
      </c>
      <c r="AM346">
        <v>0</v>
      </c>
      <c r="AN346">
        <v>0</v>
      </c>
      <c r="AO346">
        <v>0</v>
      </c>
      <c r="AP346">
        <v>0</v>
      </c>
      <c r="AQ346">
        <v>0</v>
      </c>
      <c r="AR346">
        <v>30</v>
      </c>
      <c r="AS346">
        <v>0</v>
      </c>
      <c r="AT346">
        <v>0</v>
      </c>
      <c r="AU346">
        <v>0</v>
      </c>
      <c r="AV346">
        <v>1199</v>
      </c>
      <c r="AW346">
        <v>32074</v>
      </c>
      <c r="AX346">
        <v>3644</v>
      </c>
      <c r="AY346">
        <v>3146</v>
      </c>
      <c r="AZ346">
        <v>607</v>
      </c>
      <c r="BA346">
        <v>8423</v>
      </c>
      <c r="BB346">
        <v>0</v>
      </c>
      <c r="BC346">
        <v>2609</v>
      </c>
      <c r="BD346">
        <v>51702</v>
      </c>
      <c r="BE346">
        <v>4809</v>
      </c>
      <c r="BF346">
        <v>12587</v>
      </c>
      <c r="BG346">
        <v>84</v>
      </c>
      <c r="BH346">
        <v>337</v>
      </c>
      <c r="BI346">
        <v>214</v>
      </c>
      <c r="BJ346">
        <v>3627</v>
      </c>
      <c r="BK346">
        <v>15362</v>
      </c>
      <c r="BL346">
        <v>1558</v>
      </c>
      <c r="BM346">
        <v>2769</v>
      </c>
      <c r="BN346">
        <v>1476</v>
      </c>
      <c r="BO346">
        <v>0</v>
      </c>
      <c r="BP346">
        <v>3</v>
      </c>
      <c r="BQ346">
        <v>912</v>
      </c>
      <c r="BR346">
        <v>17</v>
      </c>
      <c r="BS346">
        <v>417</v>
      </c>
      <c r="BT346">
        <v>4253</v>
      </c>
      <c r="BU346">
        <v>0</v>
      </c>
      <c r="BV346">
        <v>5209</v>
      </c>
      <c r="BW346">
        <v>59436</v>
      </c>
      <c r="BX346">
        <v>562</v>
      </c>
      <c r="BY346">
        <v>281</v>
      </c>
      <c r="BZ346">
        <v>223</v>
      </c>
      <c r="CA346">
        <v>160</v>
      </c>
      <c r="CB346">
        <v>115</v>
      </c>
      <c r="CC346">
        <v>26</v>
      </c>
      <c r="CD346">
        <v>299</v>
      </c>
      <c r="CE346">
        <v>513</v>
      </c>
      <c r="CF346">
        <v>709</v>
      </c>
      <c r="CG346">
        <v>437</v>
      </c>
      <c r="CH346">
        <v>527</v>
      </c>
      <c r="CI346">
        <v>2111</v>
      </c>
      <c r="CJ346">
        <v>599</v>
      </c>
      <c r="CK346">
        <v>284</v>
      </c>
      <c r="CL346">
        <v>63</v>
      </c>
      <c r="CM346">
        <v>133</v>
      </c>
      <c r="CN346">
        <v>521</v>
      </c>
      <c r="CO346">
        <v>34</v>
      </c>
      <c r="CP346">
        <v>1102</v>
      </c>
      <c r="CQ346">
        <v>2207</v>
      </c>
      <c r="CR346">
        <v>446</v>
      </c>
      <c r="CS346">
        <v>219</v>
      </c>
      <c r="CT346">
        <v>145</v>
      </c>
      <c r="CU346">
        <v>946</v>
      </c>
      <c r="CV346">
        <v>14663</v>
      </c>
      <c r="CW346">
        <v>81</v>
      </c>
      <c r="CX346">
        <v>11</v>
      </c>
      <c r="CY346">
        <v>105</v>
      </c>
      <c r="CZ346">
        <v>0</v>
      </c>
      <c r="DA346">
        <v>0</v>
      </c>
      <c r="DB346">
        <v>0</v>
      </c>
      <c r="DC346">
        <v>179</v>
      </c>
      <c r="DD346">
        <v>0</v>
      </c>
      <c r="DE346">
        <v>25</v>
      </c>
      <c r="DF346">
        <v>104</v>
      </c>
      <c r="DG346">
        <v>0</v>
      </c>
      <c r="DH346">
        <v>0</v>
      </c>
      <c r="DI346">
        <v>0</v>
      </c>
      <c r="DJ346">
        <v>20</v>
      </c>
      <c r="DK346">
        <v>0</v>
      </c>
      <c r="DL346">
        <v>0</v>
      </c>
      <c r="DM346">
        <v>0</v>
      </c>
      <c r="DN346">
        <v>948</v>
      </c>
      <c r="DO346">
        <v>258</v>
      </c>
      <c r="DP346">
        <v>1226</v>
      </c>
      <c r="DQ346">
        <v>0</v>
      </c>
      <c r="DR346">
        <v>0</v>
      </c>
      <c r="DS346">
        <v>437</v>
      </c>
      <c r="DT346">
        <v>921</v>
      </c>
      <c r="DU346">
        <v>46</v>
      </c>
      <c r="DV346">
        <v>671</v>
      </c>
      <c r="DW346">
        <v>165</v>
      </c>
      <c r="DX346">
        <v>3774</v>
      </c>
      <c r="DY346">
        <v>0</v>
      </c>
      <c r="DZ346">
        <v>0</v>
      </c>
      <c r="EA346">
        <v>0</v>
      </c>
      <c r="EB346">
        <v>0</v>
      </c>
      <c r="EC346">
        <v>0</v>
      </c>
      <c r="ED346">
        <v>0</v>
      </c>
      <c r="EE346">
        <v>0</v>
      </c>
      <c r="EF346">
        <v>0</v>
      </c>
      <c r="EG346">
        <v>0</v>
      </c>
      <c r="EH346">
        <v>0</v>
      </c>
      <c r="EI346">
        <v>0</v>
      </c>
      <c r="EJ346">
        <v>0</v>
      </c>
      <c r="EK346">
        <v>0</v>
      </c>
      <c r="EL346">
        <v>0</v>
      </c>
      <c r="EM346">
        <v>0</v>
      </c>
      <c r="EN346">
        <v>0</v>
      </c>
      <c r="EO346">
        <v>0</v>
      </c>
      <c r="EP346">
        <v>0</v>
      </c>
      <c r="EQ346">
        <v>0</v>
      </c>
      <c r="ER346">
        <v>0</v>
      </c>
      <c r="ES346">
        <v>0</v>
      </c>
      <c r="ET346">
        <v>0</v>
      </c>
      <c r="EU346">
        <v>110</v>
      </c>
      <c r="EV346">
        <v>0</v>
      </c>
      <c r="EW346">
        <v>0</v>
      </c>
      <c r="EX346">
        <v>811</v>
      </c>
      <c r="EY346">
        <v>1629</v>
      </c>
      <c r="EZ346">
        <v>0</v>
      </c>
      <c r="FA346">
        <v>0</v>
      </c>
      <c r="FB346">
        <v>315</v>
      </c>
      <c r="FC346">
        <v>1721</v>
      </c>
      <c r="FD346">
        <v>1304</v>
      </c>
      <c r="FE346">
        <v>0</v>
      </c>
      <c r="FF346">
        <v>89</v>
      </c>
      <c r="FG346">
        <v>2472</v>
      </c>
      <c r="FH346">
        <v>8451</v>
      </c>
      <c r="FI346">
        <v>59</v>
      </c>
      <c r="FJ346">
        <v>374</v>
      </c>
      <c r="FK346">
        <v>0</v>
      </c>
      <c r="FL346">
        <v>300</v>
      </c>
      <c r="FM346">
        <v>70</v>
      </c>
      <c r="FN346">
        <v>315</v>
      </c>
      <c r="FO346">
        <v>64</v>
      </c>
      <c r="FP346">
        <v>28</v>
      </c>
      <c r="FQ346">
        <v>0</v>
      </c>
      <c r="FR346">
        <v>118</v>
      </c>
      <c r="FS346">
        <v>65</v>
      </c>
      <c r="FT346">
        <v>280</v>
      </c>
      <c r="FU346">
        <v>36</v>
      </c>
      <c r="FV346">
        <v>0</v>
      </c>
      <c r="FW346">
        <v>1155</v>
      </c>
      <c r="FX346">
        <v>767</v>
      </c>
      <c r="FY346">
        <v>130</v>
      </c>
      <c r="FZ346">
        <v>-1</v>
      </c>
      <c r="GA346">
        <v>0</v>
      </c>
      <c r="GB346">
        <v>0</v>
      </c>
      <c r="GC346">
        <v>0</v>
      </c>
      <c r="GD346">
        <v>1453</v>
      </c>
      <c r="GE346">
        <v>2135</v>
      </c>
      <c r="GF346">
        <v>5172</v>
      </c>
      <c r="GG346">
        <v>-479</v>
      </c>
      <c r="GH346">
        <v>1367</v>
      </c>
      <c r="GI346">
        <v>0</v>
      </c>
      <c r="GJ346">
        <v>0</v>
      </c>
      <c r="GK346">
        <v>13408</v>
      </c>
      <c r="GL346">
        <v>0</v>
      </c>
      <c r="GM346">
        <v>311</v>
      </c>
      <c r="GN346">
        <v>0</v>
      </c>
      <c r="GO346">
        <v>310</v>
      </c>
      <c r="GP346">
        <v>383</v>
      </c>
      <c r="GQ346">
        <v>839</v>
      </c>
      <c r="GR346">
        <v>200</v>
      </c>
      <c r="GS346">
        <v>146</v>
      </c>
      <c r="GT346">
        <v>472</v>
      </c>
      <c r="GU346">
        <v>2661</v>
      </c>
      <c r="GV346">
        <v>24520</v>
      </c>
      <c r="GW346">
        <v>0</v>
      </c>
      <c r="GX346">
        <v>0</v>
      </c>
      <c r="GY346">
        <v>0</v>
      </c>
      <c r="GZ346">
        <v>0</v>
      </c>
      <c r="HA346">
        <v>0</v>
      </c>
      <c r="HB346">
        <v>4362</v>
      </c>
      <c r="HC346">
        <v>219</v>
      </c>
      <c r="HD346">
        <v>0</v>
      </c>
      <c r="HE346">
        <v>43</v>
      </c>
      <c r="HF346">
        <v>3729</v>
      </c>
      <c r="HG346">
        <v>0</v>
      </c>
      <c r="HH346">
        <v>0</v>
      </c>
      <c r="HI346">
        <v>-306</v>
      </c>
      <c r="HJ346">
        <v>64</v>
      </c>
      <c r="HK346">
        <v>306</v>
      </c>
      <c r="HL346">
        <v>107</v>
      </c>
      <c r="HM346">
        <v>-114</v>
      </c>
      <c r="HN346">
        <v>1002</v>
      </c>
      <c r="HO346">
        <v>77</v>
      </c>
      <c r="HP346">
        <v>187</v>
      </c>
      <c r="HQ346">
        <v>9</v>
      </c>
      <c r="HR346">
        <v>0</v>
      </c>
      <c r="HS346">
        <v>0</v>
      </c>
      <c r="HT346">
        <v>0</v>
      </c>
      <c r="HU346">
        <v>337</v>
      </c>
      <c r="HV346">
        <v>10022</v>
      </c>
      <c r="HW346">
        <v>0</v>
      </c>
      <c r="HX346">
        <v>942</v>
      </c>
      <c r="HY346">
        <v>0</v>
      </c>
      <c r="HZ346">
        <v>0</v>
      </c>
      <c r="IA346">
        <v>0</v>
      </c>
      <c r="IB346">
        <v>604</v>
      </c>
      <c r="IC346">
        <v>92397</v>
      </c>
      <c r="ID346">
        <v>8752</v>
      </c>
      <c r="IE346">
        <v>51702</v>
      </c>
      <c r="IF346">
        <v>59436</v>
      </c>
      <c r="IG346">
        <v>14663</v>
      </c>
      <c r="IH346">
        <v>3774</v>
      </c>
      <c r="II346">
        <v>8451</v>
      </c>
      <c r="IJ346">
        <v>13408</v>
      </c>
      <c r="IK346">
        <v>2661</v>
      </c>
      <c r="IL346">
        <v>0</v>
      </c>
      <c r="IM346">
        <v>0</v>
      </c>
      <c r="IN346">
        <v>10022</v>
      </c>
      <c r="IO346">
        <v>604</v>
      </c>
      <c r="IP346">
        <v>265870</v>
      </c>
      <c r="IQ346">
        <v>41362</v>
      </c>
      <c r="IR346">
        <v>51</v>
      </c>
      <c r="IS346">
        <v>0</v>
      </c>
      <c r="IT346">
        <v>0</v>
      </c>
      <c r="IU346">
        <v>0</v>
      </c>
      <c r="IV346">
        <v>873</v>
      </c>
      <c r="IW346">
        <v>0</v>
      </c>
      <c r="IX346">
        <v>0</v>
      </c>
      <c r="IY346">
        <v>0</v>
      </c>
      <c r="IZ346">
        <v>0</v>
      </c>
      <c r="JA346">
        <v>-1413</v>
      </c>
      <c r="JB346">
        <v>11562</v>
      </c>
      <c r="JC346">
        <v>0</v>
      </c>
      <c r="JD346">
        <v>1492</v>
      </c>
      <c r="JE346">
        <v>0</v>
      </c>
      <c r="JF346">
        <v>0</v>
      </c>
      <c r="JG346">
        <v>319797</v>
      </c>
      <c r="JH346">
        <v>190</v>
      </c>
      <c r="JI346">
        <v>4040</v>
      </c>
      <c r="JJ346">
        <v>0</v>
      </c>
      <c r="JK346">
        <v>0</v>
      </c>
      <c r="JL346">
        <v>0</v>
      </c>
      <c r="JM346">
        <v>234</v>
      </c>
      <c r="JN346">
        <v>2647</v>
      </c>
      <c r="JO346">
        <v>334</v>
      </c>
      <c r="JP346">
        <v>3975</v>
      </c>
      <c r="JQ346">
        <v>0</v>
      </c>
      <c r="JR346">
        <v>331217</v>
      </c>
      <c r="JS346">
        <v>-559</v>
      </c>
      <c r="JT346">
        <v>0</v>
      </c>
      <c r="JU346">
        <v>0</v>
      </c>
      <c r="JV346">
        <v>0</v>
      </c>
      <c r="JW346">
        <v>-44437</v>
      </c>
      <c r="JX346">
        <v>0</v>
      </c>
      <c r="JY346">
        <v>0</v>
      </c>
      <c r="JZ346">
        <v>0</v>
      </c>
      <c r="KA346">
        <v>0</v>
      </c>
      <c r="KB346">
        <v>0</v>
      </c>
      <c r="KC346">
        <v>286221</v>
      </c>
      <c r="KD346">
        <v>0</v>
      </c>
      <c r="KE346">
        <v>-131175</v>
      </c>
      <c r="KF346">
        <v>155046</v>
      </c>
      <c r="KG346">
        <v>0</v>
      </c>
      <c r="KH346">
        <v>-717</v>
      </c>
      <c r="KI346">
        <v>0</v>
      </c>
      <c r="KJ346">
        <v>1784</v>
      </c>
      <c r="KK346">
        <v>-2326</v>
      </c>
      <c r="KL346">
        <v>-3466</v>
      </c>
      <c r="KM346">
        <v>-5105</v>
      </c>
      <c r="KN346">
        <v>0</v>
      </c>
      <c r="KO346">
        <v>-30162</v>
      </c>
      <c r="KP346">
        <v>561</v>
      </c>
      <c r="KQ346">
        <v>0</v>
      </c>
      <c r="KR346">
        <v>99039</v>
      </c>
      <c r="KS346">
        <v>5201</v>
      </c>
      <c r="KT346">
        <v>-6052</v>
      </c>
      <c r="KU346">
        <v>3373</v>
      </c>
      <c r="KV346">
        <v>70486</v>
      </c>
      <c r="KW346">
        <v>12879</v>
      </c>
      <c r="KX346">
        <v>4484</v>
      </c>
      <c r="KY346">
        <v>-6052</v>
      </c>
      <c r="KZ346">
        <v>5157</v>
      </c>
      <c r="LA346">
        <v>68160</v>
      </c>
      <c r="LB346">
        <v>9413</v>
      </c>
      <c r="LC346">
        <v>0</v>
      </c>
      <c r="LD346">
        <v>18928</v>
      </c>
      <c r="LE346">
        <v>3567</v>
      </c>
      <c r="LF346">
        <v>13099</v>
      </c>
      <c r="LG346">
        <v>-30298</v>
      </c>
      <c r="LH346">
        <v>6542</v>
      </c>
      <c r="LI346">
        <v>10743</v>
      </c>
      <c r="LJ346">
        <v>6918</v>
      </c>
      <c r="LK346">
        <v>9827</v>
      </c>
      <c r="LL346">
        <v>16745</v>
      </c>
      <c r="LM346">
        <v>77</v>
      </c>
      <c r="LN346">
        <v>0</v>
      </c>
      <c r="LO346">
        <v>0</v>
      </c>
      <c r="LP346">
        <v>0</v>
      </c>
      <c r="LQ346">
        <v>0</v>
      </c>
      <c r="LR346">
        <v>0</v>
      </c>
      <c r="LS346">
        <v>0</v>
      </c>
      <c r="LT346">
        <v>0</v>
      </c>
      <c r="LU346">
        <v>92397</v>
      </c>
      <c r="LV346">
        <v>8752</v>
      </c>
      <c r="LW346">
        <v>51702</v>
      </c>
      <c r="LX346">
        <v>59436</v>
      </c>
      <c r="LY346">
        <v>14663</v>
      </c>
      <c r="LZ346">
        <v>3774</v>
      </c>
      <c r="MA346">
        <v>8451</v>
      </c>
      <c r="MB346">
        <v>13408</v>
      </c>
      <c r="MC346">
        <v>2661</v>
      </c>
      <c r="MD346">
        <v>0</v>
      </c>
      <c r="ME346">
        <v>0</v>
      </c>
      <c r="MF346">
        <v>10022</v>
      </c>
      <c r="MG346">
        <v>604</v>
      </c>
      <c r="MH346">
        <v>265870</v>
      </c>
      <c r="MI346">
        <v>0</v>
      </c>
      <c r="MJ346">
        <v>0</v>
      </c>
      <c r="MK346">
        <v>0</v>
      </c>
      <c r="ML346">
        <v>0</v>
      </c>
      <c r="MM346">
        <v>0</v>
      </c>
      <c r="MN346">
        <v>0</v>
      </c>
      <c r="MO346">
        <v>0</v>
      </c>
      <c r="MP346">
        <v>0</v>
      </c>
      <c r="MQ346">
        <v>0</v>
      </c>
      <c r="MR346">
        <v>0</v>
      </c>
      <c r="MS346">
        <v>0</v>
      </c>
      <c r="MT346">
        <v>0</v>
      </c>
      <c r="MU346">
        <v>0</v>
      </c>
      <c r="MV346">
        <v>177</v>
      </c>
      <c r="MW346">
        <v>-17</v>
      </c>
      <c r="MX346">
        <v>-621</v>
      </c>
      <c r="MY346">
        <v>-626</v>
      </c>
      <c r="MZ346">
        <v>-110</v>
      </c>
      <c r="NA346">
        <v>-1413</v>
      </c>
      <c r="NB346">
        <v>0</v>
      </c>
      <c r="NC346">
        <v>-1413</v>
      </c>
      <c r="ND346">
        <v>0</v>
      </c>
      <c r="NE346">
        <v>0</v>
      </c>
      <c r="NF346">
        <v>2027</v>
      </c>
      <c r="NG346">
        <v>0</v>
      </c>
      <c r="NH346">
        <v>0</v>
      </c>
      <c r="NI346">
        <v>0</v>
      </c>
      <c r="NJ346">
        <v>0</v>
      </c>
      <c r="NK346">
        <v>0</v>
      </c>
      <c r="NL346">
        <v>0</v>
      </c>
      <c r="NM346">
        <v>3091</v>
      </c>
      <c r="NN346">
        <v>1169</v>
      </c>
      <c r="NO346">
        <v>0</v>
      </c>
      <c r="NP346">
        <v>316</v>
      </c>
      <c r="NQ346">
        <v>5845</v>
      </c>
      <c r="NR346">
        <v>0</v>
      </c>
      <c r="NS346">
        <v>0</v>
      </c>
      <c r="NT346">
        <v>109</v>
      </c>
      <c r="NU346">
        <v>-42</v>
      </c>
      <c r="NV346">
        <v>466</v>
      </c>
      <c r="NW346">
        <v>0</v>
      </c>
      <c r="NX346">
        <v>0</v>
      </c>
      <c r="NY346">
        <v>73</v>
      </c>
      <c r="NZ346">
        <v>13054</v>
      </c>
      <c r="OA346">
        <v>-1492</v>
      </c>
      <c r="OB346">
        <v>11562</v>
      </c>
      <c r="OC346">
        <v>0</v>
      </c>
      <c r="OD346">
        <v>0</v>
      </c>
      <c r="OE346">
        <v>0</v>
      </c>
      <c r="OF346">
        <v>0</v>
      </c>
      <c r="OG346">
        <v>0</v>
      </c>
      <c r="OH346">
        <v>0</v>
      </c>
      <c r="OI346">
        <v>-1492</v>
      </c>
      <c r="OJ346">
        <v>0</v>
      </c>
      <c r="OK346">
        <v>0</v>
      </c>
      <c r="OL346">
        <v>0</v>
      </c>
      <c r="OM346">
        <v>0</v>
      </c>
      <c r="ON346">
        <v>-1492</v>
      </c>
    </row>
    <row r="347" spans="1:404" x14ac:dyDescent="0.25">
      <c r="A347" t="s">
        <v>1112</v>
      </c>
      <c r="B347" t="s">
        <v>1113</v>
      </c>
      <c r="C347" t="s">
        <v>1111</v>
      </c>
      <c r="E347" t="s">
        <v>125</v>
      </c>
      <c r="F347">
        <v>11361</v>
      </c>
      <c r="G347">
        <v>40865</v>
      </c>
      <c r="H347">
        <v>10010</v>
      </c>
      <c r="I347">
        <v>29378</v>
      </c>
      <c r="J347">
        <v>6223</v>
      </c>
      <c r="K347">
        <v>11919</v>
      </c>
      <c r="L347">
        <v>109756</v>
      </c>
      <c r="M347">
        <v>232</v>
      </c>
      <c r="N347">
        <v>178</v>
      </c>
      <c r="O347">
        <v>7</v>
      </c>
      <c r="P347">
        <v>71</v>
      </c>
      <c r="Q347">
        <v>89</v>
      </c>
      <c r="R347">
        <v>152</v>
      </c>
      <c r="S347">
        <v>1365</v>
      </c>
      <c r="T347">
        <v>486</v>
      </c>
      <c r="U347">
        <v>5231</v>
      </c>
      <c r="V347">
        <v>0</v>
      </c>
      <c r="W347">
        <v>-348</v>
      </c>
      <c r="X347">
        <v>494</v>
      </c>
      <c r="Y347">
        <v>564</v>
      </c>
      <c r="Z347">
        <v>222</v>
      </c>
      <c r="AA347">
        <v>277</v>
      </c>
      <c r="AB347">
        <v>3005</v>
      </c>
      <c r="AC347">
        <v>0</v>
      </c>
      <c r="AD347">
        <v>68</v>
      </c>
      <c r="AE347">
        <v>0</v>
      </c>
      <c r="AF347">
        <v>0</v>
      </c>
      <c r="AG347">
        <v>489</v>
      </c>
      <c r="AH347">
        <v>0</v>
      </c>
      <c r="AI347">
        <v>12582</v>
      </c>
      <c r="AJ347">
        <v>0</v>
      </c>
      <c r="AK347">
        <v>0</v>
      </c>
      <c r="AL347">
        <v>0</v>
      </c>
      <c r="AM347">
        <v>0</v>
      </c>
      <c r="AN347">
        <v>0</v>
      </c>
      <c r="AO347">
        <v>124</v>
      </c>
      <c r="AP347">
        <v>1119</v>
      </c>
      <c r="AQ347">
        <v>686</v>
      </c>
      <c r="AR347">
        <v>647</v>
      </c>
      <c r="AS347">
        <v>0</v>
      </c>
      <c r="AT347">
        <v>0</v>
      </c>
      <c r="AU347">
        <v>0</v>
      </c>
      <c r="AV347">
        <v>573</v>
      </c>
      <c r="AW347">
        <v>54559</v>
      </c>
      <c r="AX347">
        <v>591</v>
      </c>
      <c r="AY347">
        <v>3110</v>
      </c>
      <c r="AZ347">
        <v>674</v>
      </c>
      <c r="BA347">
        <v>18939</v>
      </c>
      <c r="BB347">
        <v>950</v>
      </c>
      <c r="BC347">
        <v>559</v>
      </c>
      <c r="BD347">
        <v>79955</v>
      </c>
      <c r="BE347">
        <v>2384</v>
      </c>
      <c r="BF347">
        <v>16883</v>
      </c>
      <c r="BG347">
        <v>132</v>
      </c>
      <c r="BH347">
        <v>186</v>
      </c>
      <c r="BI347">
        <v>261</v>
      </c>
      <c r="BJ347">
        <v>8498</v>
      </c>
      <c r="BK347">
        <v>13327</v>
      </c>
      <c r="BL347">
        <v>3063</v>
      </c>
      <c r="BM347">
        <v>7079</v>
      </c>
      <c r="BN347">
        <v>6066</v>
      </c>
      <c r="BO347">
        <v>211</v>
      </c>
      <c r="BP347">
        <v>0</v>
      </c>
      <c r="BQ347">
        <v>0</v>
      </c>
      <c r="BR347">
        <v>360</v>
      </c>
      <c r="BS347">
        <v>1572</v>
      </c>
      <c r="BT347">
        <v>8802</v>
      </c>
      <c r="BU347">
        <v>536</v>
      </c>
      <c r="BV347">
        <v>4309</v>
      </c>
      <c r="BW347">
        <v>79869</v>
      </c>
      <c r="BX347">
        <v>874</v>
      </c>
      <c r="BY347">
        <v>1078</v>
      </c>
      <c r="BZ347">
        <v>1115</v>
      </c>
      <c r="CA347">
        <v>4</v>
      </c>
      <c r="CB347">
        <v>59</v>
      </c>
      <c r="CC347">
        <v>76</v>
      </c>
      <c r="CD347">
        <v>92</v>
      </c>
      <c r="CE347">
        <v>443</v>
      </c>
      <c r="CF347">
        <v>363</v>
      </c>
      <c r="CG347">
        <v>728</v>
      </c>
      <c r="CH347">
        <v>713</v>
      </c>
      <c r="CI347">
        <v>2567</v>
      </c>
      <c r="CJ347">
        <v>905</v>
      </c>
      <c r="CK347">
        <v>184</v>
      </c>
      <c r="CL347">
        <v>184</v>
      </c>
      <c r="CM347">
        <v>149</v>
      </c>
      <c r="CN347">
        <v>450</v>
      </c>
      <c r="CO347">
        <v>54</v>
      </c>
      <c r="CP347">
        <v>1404</v>
      </c>
      <c r="CQ347">
        <v>3905</v>
      </c>
      <c r="CR347">
        <v>2574</v>
      </c>
      <c r="CS347">
        <v>41</v>
      </c>
      <c r="CT347">
        <v>1083</v>
      </c>
      <c r="CU347">
        <v>3202</v>
      </c>
      <c r="CV347">
        <v>32639</v>
      </c>
      <c r="CW347">
        <v>136</v>
      </c>
      <c r="CX347">
        <v>0</v>
      </c>
      <c r="CY347">
        <v>195</v>
      </c>
      <c r="CZ347">
        <v>0</v>
      </c>
      <c r="DA347">
        <v>0</v>
      </c>
      <c r="DB347">
        <v>0</v>
      </c>
      <c r="DC347">
        <v>-1812</v>
      </c>
      <c r="DD347">
        <v>0</v>
      </c>
      <c r="DE347">
        <v>124</v>
      </c>
      <c r="DF347">
        <v>2560</v>
      </c>
      <c r="DG347">
        <v>0</v>
      </c>
      <c r="DH347">
        <v>0</v>
      </c>
      <c r="DI347">
        <v>0</v>
      </c>
      <c r="DJ347">
        <v>438</v>
      </c>
      <c r="DK347">
        <v>956</v>
      </c>
      <c r="DL347">
        <v>0</v>
      </c>
      <c r="DM347">
        <v>149</v>
      </c>
      <c r="DN347">
        <v>1822</v>
      </c>
      <c r="DO347">
        <v>391</v>
      </c>
      <c r="DP347">
        <v>3756</v>
      </c>
      <c r="DQ347">
        <v>397</v>
      </c>
      <c r="DR347">
        <v>0</v>
      </c>
      <c r="DS347">
        <v>179</v>
      </c>
      <c r="DT347">
        <v>1367</v>
      </c>
      <c r="DU347">
        <v>5451</v>
      </c>
      <c r="DV347">
        <v>1172</v>
      </c>
      <c r="DW347">
        <v>0</v>
      </c>
      <c r="DX347">
        <v>13194</v>
      </c>
      <c r="DY347">
        <v>65148</v>
      </c>
      <c r="DZ347">
        <v>567</v>
      </c>
      <c r="EA347">
        <v>1432</v>
      </c>
      <c r="EB347">
        <v>0</v>
      </c>
      <c r="EC347">
        <v>0</v>
      </c>
      <c r="ED347">
        <v>76</v>
      </c>
      <c r="EE347">
        <v>0</v>
      </c>
      <c r="EF347">
        <v>0</v>
      </c>
      <c r="EG347">
        <v>0</v>
      </c>
      <c r="EH347">
        <v>26189</v>
      </c>
      <c r="EI347">
        <v>17653</v>
      </c>
      <c r="EJ347">
        <v>1491</v>
      </c>
      <c r="EK347">
        <v>985</v>
      </c>
      <c r="EL347">
        <v>6508</v>
      </c>
      <c r="EM347">
        <v>16511</v>
      </c>
      <c r="EN347">
        <v>0</v>
      </c>
      <c r="EO347">
        <v>42</v>
      </c>
      <c r="EP347">
        <v>0</v>
      </c>
      <c r="EQ347">
        <v>-1533</v>
      </c>
      <c r="ER347">
        <v>559</v>
      </c>
      <c r="ES347">
        <v>7792</v>
      </c>
      <c r="ET347">
        <v>6610</v>
      </c>
      <c r="EU347">
        <v>307</v>
      </c>
      <c r="EV347">
        <v>292</v>
      </c>
      <c r="EW347">
        <v>0</v>
      </c>
      <c r="EX347">
        <v>2399</v>
      </c>
      <c r="EY347">
        <v>305</v>
      </c>
      <c r="EZ347">
        <v>807</v>
      </c>
      <c r="FA347">
        <v>0</v>
      </c>
      <c r="FB347">
        <v>522</v>
      </c>
      <c r="FC347">
        <v>3021</v>
      </c>
      <c r="FD347">
        <v>829</v>
      </c>
      <c r="FE347">
        <v>-17</v>
      </c>
      <c r="FF347">
        <v>67</v>
      </c>
      <c r="FG347">
        <v>2388</v>
      </c>
      <c r="FH347">
        <v>10920</v>
      </c>
      <c r="FI347">
        <v>-788</v>
      </c>
      <c r="FJ347">
        <v>468</v>
      </c>
      <c r="FK347">
        <v>4</v>
      </c>
      <c r="FL347">
        <v>216</v>
      </c>
      <c r="FM347">
        <v>682</v>
      </c>
      <c r="FN347">
        <v>275</v>
      </c>
      <c r="FO347">
        <v>45</v>
      </c>
      <c r="FP347">
        <v>0</v>
      </c>
      <c r="FQ347">
        <v>0</v>
      </c>
      <c r="FR347">
        <v>25</v>
      </c>
      <c r="FS347">
        <v>138</v>
      </c>
      <c r="FT347">
        <v>84</v>
      </c>
      <c r="FU347">
        <v>-64</v>
      </c>
      <c r="FV347">
        <v>740</v>
      </c>
      <c r="FW347">
        <v>646</v>
      </c>
      <c r="FX347">
        <v>865</v>
      </c>
      <c r="FY347">
        <v>0</v>
      </c>
      <c r="FZ347">
        <v>0</v>
      </c>
      <c r="GA347">
        <v>0</v>
      </c>
      <c r="GB347">
        <v>0</v>
      </c>
      <c r="GC347">
        <v>0</v>
      </c>
      <c r="GD347">
        <v>4597</v>
      </c>
      <c r="GE347">
        <v>4378</v>
      </c>
      <c r="GF347">
        <v>5901</v>
      </c>
      <c r="GG347">
        <v>-234</v>
      </c>
      <c r="GH347">
        <v>4024</v>
      </c>
      <c r="GI347">
        <v>101</v>
      </c>
      <c r="GJ347">
        <v>53</v>
      </c>
      <c r="GK347">
        <v>22156</v>
      </c>
      <c r="GL347">
        <v>340</v>
      </c>
      <c r="GM347">
        <v>-163</v>
      </c>
      <c r="GN347">
        <v>170</v>
      </c>
      <c r="GO347">
        <v>301</v>
      </c>
      <c r="GP347">
        <v>123</v>
      </c>
      <c r="GQ347">
        <v>521</v>
      </c>
      <c r="GR347">
        <v>0</v>
      </c>
      <c r="GS347">
        <v>196</v>
      </c>
      <c r="GT347">
        <v>-1396</v>
      </c>
      <c r="GU347">
        <v>92</v>
      </c>
      <c r="GV347">
        <v>33168</v>
      </c>
      <c r="GW347">
        <v>0</v>
      </c>
      <c r="GX347">
        <v>0</v>
      </c>
      <c r="GY347">
        <v>0</v>
      </c>
      <c r="GZ347">
        <v>0</v>
      </c>
      <c r="HA347">
        <v>0</v>
      </c>
      <c r="HB347">
        <v>4035</v>
      </c>
      <c r="HC347">
        <v>-294</v>
      </c>
      <c r="HD347">
        <v>0</v>
      </c>
      <c r="HE347">
        <v>0</v>
      </c>
      <c r="HF347">
        <v>1086</v>
      </c>
      <c r="HG347">
        <v>-77</v>
      </c>
      <c r="HH347">
        <v>0</v>
      </c>
      <c r="HI347">
        <v>107</v>
      </c>
      <c r="HJ347">
        <v>263</v>
      </c>
      <c r="HK347">
        <v>55</v>
      </c>
      <c r="HL347">
        <v>103</v>
      </c>
      <c r="HM347">
        <v>-114</v>
      </c>
      <c r="HN347">
        <v>0</v>
      </c>
      <c r="HO347">
        <v>-13</v>
      </c>
      <c r="HP347">
        <v>434</v>
      </c>
      <c r="HQ347">
        <v>0</v>
      </c>
      <c r="HR347">
        <v>2399</v>
      </c>
      <c r="HS347">
        <v>0</v>
      </c>
      <c r="HT347">
        <v>705</v>
      </c>
      <c r="HU347">
        <v>19</v>
      </c>
      <c r="HV347">
        <v>8708</v>
      </c>
      <c r="HW347">
        <v>4650</v>
      </c>
      <c r="HX347">
        <v>21480</v>
      </c>
      <c r="HY347">
        <v>0</v>
      </c>
      <c r="HZ347">
        <v>249</v>
      </c>
      <c r="IA347">
        <v>0</v>
      </c>
      <c r="IB347">
        <v>2171</v>
      </c>
      <c r="IC347">
        <v>109756</v>
      </c>
      <c r="ID347">
        <v>12582</v>
      </c>
      <c r="IE347">
        <v>79955</v>
      </c>
      <c r="IF347">
        <v>79869</v>
      </c>
      <c r="IG347">
        <v>32639</v>
      </c>
      <c r="IH347">
        <v>13194</v>
      </c>
      <c r="II347">
        <v>10920</v>
      </c>
      <c r="IJ347">
        <v>22156</v>
      </c>
      <c r="IK347">
        <v>92</v>
      </c>
      <c r="IL347">
        <v>0</v>
      </c>
      <c r="IM347">
        <v>0</v>
      </c>
      <c r="IN347">
        <v>8708</v>
      </c>
      <c r="IO347">
        <v>2171</v>
      </c>
      <c r="IP347">
        <v>372042</v>
      </c>
      <c r="IQ347">
        <v>41714</v>
      </c>
      <c r="IR347">
        <v>547</v>
      </c>
      <c r="IS347">
        <v>21744</v>
      </c>
      <c r="IT347">
        <v>0</v>
      </c>
      <c r="IU347">
        <v>589</v>
      </c>
      <c r="IV347">
        <v>0</v>
      </c>
      <c r="IW347">
        <v>0</v>
      </c>
      <c r="IX347">
        <v>0</v>
      </c>
      <c r="IY347">
        <v>0</v>
      </c>
      <c r="IZ347">
        <v>666</v>
      </c>
      <c r="JA347">
        <v>0</v>
      </c>
      <c r="JB347">
        <v>0</v>
      </c>
      <c r="JC347">
        <v>0</v>
      </c>
      <c r="JD347">
        <v>0</v>
      </c>
      <c r="JE347">
        <v>239</v>
      </c>
      <c r="JF347">
        <v>0</v>
      </c>
      <c r="JG347">
        <v>437541</v>
      </c>
      <c r="JH347">
        <v>75</v>
      </c>
      <c r="JI347">
        <v>852</v>
      </c>
      <c r="JJ347">
        <v>0</v>
      </c>
      <c r="JK347">
        <v>-1800</v>
      </c>
      <c r="JL347">
        <v>0</v>
      </c>
      <c r="JM347">
        <v>299</v>
      </c>
      <c r="JN347">
        <v>10828</v>
      </c>
      <c r="JO347">
        <v>361</v>
      </c>
      <c r="JP347">
        <v>15601</v>
      </c>
      <c r="JQ347">
        <v>-3748</v>
      </c>
      <c r="JR347">
        <v>460009</v>
      </c>
      <c r="JS347">
        <v>-8568</v>
      </c>
      <c r="JT347">
        <v>0</v>
      </c>
      <c r="JU347">
        <v>202</v>
      </c>
      <c r="JV347">
        <v>0</v>
      </c>
      <c r="JW347">
        <v>-64750</v>
      </c>
      <c r="JX347">
        <v>0</v>
      </c>
      <c r="JY347">
        <v>0</v>
      </c>
      <c r="JZ347">
        <v>0</v>
      </c>
      <c r="KA347">
        <v>0</v>
      </c>
      <c r="KB347">
        <v>0</v>
      </c>
      <c r="KC347">
        <v>386893</v>
      </c>
      <c r="KD347">
        <v>-76</v>
      </c>
      <c r="KE347">
        <v>-185238</v>
      </c>
      <c r="KF347">
        <v>201579</v>
      </c>
      <c r="KG347">
        <v>0</v>
      </c>
      <c r="KH347">
        <v>-157</v>
      </c>
      <c r="KI347">
        <v>876</v>
      </c>
      <c r="KJ347">
        <v>764</v>
      </c>
      <c r="KK347">
        <v>-1622</v>
      </c>
      <c r="KL347">
        <v>402</v>
      </c>
      <c r="KM347">
        <v>-23485</v>
      </c>
      <c r="KN347">
        <v>0</v>
      </c>
      <c r="KO347">
        <v>-71051</v>
      </c>
      <c r="KP347">
        <v>656</v>
      </c>
      <c r="KQ347">
        <v>-1119</v>
      </c>
      <c r="KR347">
        <v>90458</v>
      </c>
      <c r="KS347">
        <v>2064</v>
      </c>
      <c r="KT347">
        <v>0</v>
      </c>
      <c r="KU347">
        <v>2421</v>
      </c>
      <c r="KV347">
        <v>86861</v>
      </c>
      <c r="KW347">
        <v>11000</v>
      </c>
      <c r="KX347">
        <v>1907</v>
      </c>
      <c r="KY347">
        <v>876</v>
      </c>
      <c r="KZ347">
        <v>3185</v>
      </c>
      <c r="LA347">
        <v>85239</v>
      </c>
      <c r="LB347">
        <v>11402</v>
      </c>
      <c r="LC347">
        <v>0</v>
      </c>
      <c r="LD347">
        <v>25051</v>
      </c>
      <c r="LE347">
        <v>4815</v>
      </c>
      <c r="LF347">
        <v>4333</v>
      </c>
      <c r="LG347">
        <v>-67075</v>
      </c>
      <c r="LH347">
        <v>6497</v>
      </c>
      <c r="LI347">
        <v>-34219</v>
      </c>
      <c r="LJ347">
        <v>7360</v>
      </c>
      <c r="LK347">
        <v>12334</v>
      </c>
      <c r="LL347">
        <v>19694</v>
      </c>
      <c r="LM347">
        <v>0</v>
      </c>
      <c r="LN347">
        <v>0</v>
      </c>
      <c r="LO347">
        <v>0</v>
      </c>
      <c r="LP347">
        <v>67223</v>
      </c>
      <c r="LQ347">
        <v>68405</v>
      </c>
      <c r="LR347">
        <v>-1182</v>
      </c>
      <c r="LS347">
        <v>7792</v>
      </c>
      <c r="LT347">
        <v>6610</v>
      </c>
      <c r="LU347">
        <v>109756</v>
      </c>
      <c r="LV347">
        <v>12582</v>
      </c>
      <c r="LW347">
        <v>79955</v>
      </c>
      <c r="LX347">
        <v>79869</v>
      </c>
      <c r="LY347">
        <v>32639</v>
      </c>
      <c r="LZ347">
        <v>13194</v>
      </c>
      <c r="MA347">
        <v>10920</v>
      </c>
      <c r="MB347">
        <v>22156</v>
      </c>
      <c r="MC347">
        <v>92</v>
      </c>
      <c r="MD347">
        <v>0</v>
      </c>
      <c r="ME347">
        <v>0</v>
      </c>
      <c r="MF347">
        <v>8708</v>
      </c>
      <c r="MG347">
        <v>2171</v>
      </c>
      <c r="MH347">
        <v>372042</v>
      </c>
      <c r="MI347">
        <v>0</v>
      </c>
      <c r="MJ347">
        <v>0</v>
      </c>
      <c r="MK347">
        <v>0</v>
      </c>
      <c r="ML347">
        <v>0</v>
      </c>
      <c r="MM347">
        <v>0</v>
      </c>
      <c r="MN347">
        <v>0</v>
      </c>
      <c r="MO347">
        <v>0</v>
      </c>
      <c r="MP347">
        <v>0</v>
      </c>
      <c r="MQ347">
        <v>0</v>
      </c>
      <c r="MR347">
        <v>0</v>
      </c>
      <c r="MS347">
        <v>0</v>
      </c>
      <c r="MT347">
        <v>0</v>
      </c>
      <c r="MU347">
        <v>0</v>
      </c>
      <c r="MV347">
        <v>0</v>
      </c>
      <c r="MW347">
        <v>0</v>
      </c>
      <c r="MX347">
        <v>0</v>
      </c>
      <c r="MY347">
        <v>0</v>
      </c>
      <c r="MZ347">
        <v>0</v>
      </c>
      <c r="NA347">
        <v>0</v>
      </c>
      <c r="NB347">
        <v>0</v>
      </c>
      <c r="NC347">
        <v>0</v>
      </c>
      <c r="ND347">
        <v>0</v>
      </c>
      <c r="NE347">
        <v>0</v>
      </c>
      <c r="NF347">
        <v>0</v>
      </c>
      <c r="NG347">
        <v>0</v>
      </c>
      <c r="NH347">
        <v>0</v>
      </c>
      <c r="NI347">
        <v>0</v>
      </c>
      <c r="NJ347">
        <v>0</v>
      </c>
      <c r="NK347">
        <v>0</v>
      </c>
      <c r="NL347">
        <v>0</v>
      </c>
      <c r="NM347">
        <v>0</v>
      </c>
      <c r="NN347">
        <v>0</v>
      </c>
      <c r="NO347">
        <v>0</v>
      </c>
      <c r="NP347">
        <v>0</v>
      </c>
      <c r="NQ347">
        <v>0</v>
      </c>
      <c r="NR347">
        <v>0</v>
      </c>
      <c r="NS347">
        <v>0</v>
      </c>
      <c r="NT347">
        <v>0</v>
      </c>
      <c r="NU347">
        <v>0</v>
      </c>
      <c r="NV347">
        <v>0</v>
      </c>
      <c r="NW347">
        <v>0</v>
      </c>
      <c r="NX347">
        <v>0</v>
      </c>
      <c r="NY347">
        <v>0</v>
      </c>
      <c r="NZ347">
        <v>0</v>
      </c>
      <c r="OA347">
        <v>0</v>
      </c>
      <c r="OB347">
        <v>0</v>
      </c>
      <c r="OC347">
        <v>0</v>
      </c>
      <c r="OD347">
        <v>0</v>
      </c>
      <c r="OE347">
        <v>0</v>
      </c>
      <c r="OF347">
        <v>0</v>
      </c>
      <c r="OG347">
        <v>0</v>
      </c>
      <c r="OH347">
        <v>0</v>
      </c>
      <c r="OI347">
        <v>0</v>
      </c>
      <c r="OJ347">
        <v>0</v>
      </c>
      <c r="OK347">
        <v>0</v>
      </c>
      <c r="OL347">
        <v>0</v>
      </c>
      <c r="OM347">
        <v>0</v>
      </c>
      <c r="ON347">
        <v>0</v>
      </c>
    </row>
    <row r="348" spans="1:404" x14ac:dyDescent="0.25">
      <c r="A348" t="s">
        <v>1115</v>
      </c>
      <c r="B348" t="s">
        <v>1116</v>
      </c>
      <c r="C348" t="s">
        <v>1114</v>
      </c>
      <c r="E348" t="s">
        <v>61</v>
      </c>
      <c r="F348">
        <v>0</v>
      </c>
      <c r="G348">
        <v>0</v>
      </c>
      <c r="H348">
        <v>0</v>
      </c>
      <c r="I348">
        <v>0</v>
      </c>
      <c r="J348">
        <v>0</v>
      </c>
      <c r="K348">
        <v>0</v>
      </c>
      <c r="L348">
        <v>0</v>
      </c>
      <c r="M348">
        <v>0</v>
      </c>
      <c r="N348">
        <v>0</v>
      </c>
      <c r="O348">
        <v>0</v>
      </c>
      <c r="P348">
        <v>0</v>
      </c>
      <c r="Q348">
        <v>0</v>
      </c>
      <c r="R348">
        <v>0</v>
      </c>
      <c r="S348">
        <v>103</v>
      </c>
      <c r="T348">
        <v>0</v>
      </c>
      <c r="U348">
        <v>0</v>
      </c>
      <c r="V348">
        <v>0</v>
      </c>
      <c r="W348">
        <v>0</v>
      </c>
      <c r="X348">
        <v>0</v>
      </c>
      <c r="Y348">
        <v>0</v>
      </c>
      <c r="Z348">
        <v>0</v>
      </c>
      <c r="AA348">
        <v>-1079</v>
      </c>
      <c r="AB348">
        <v>0</v>
      </c>
      <c r="AC348">
        <v>110</v>
      </c>
      <c r="AD348">
        <v>0</v>
      </c>
      <c r="AE348">
        <v>0</v>
      </c>
      <c r="AF348">
        <v>0</v>
      </c>
      <c r="AG348">
        <v>0</v>
      </c>
      <c r="AH348">
        <v>0</v>
      </c>
      <c r="AI348">
        <v>-866</v>
      </c>
      <c r="AJ348">
        <v>0</v>
      </c>
      <c r="AK348">
        <v>0</v>
      </c>
      <c r="AL348">
        <v>0</v>
      </c>
      <c r="AM348">
        <v>0</v>
      </c>
      <c r="AN348">
        <v>0</v>
      </c>
      <c r="AO348">
        <v>0</v>
      </c>
      <c r="AP348">
        <v>0</v>
      </c>
      <c r="AQ348">
        <v>0</v>
      </c>
      <c r="AR348">
        <v>0</v>
      </c>
      <c r="AS348">
        <v>0</v>
      </c>
      <c r="AT348">
        <v>0</v>
      </c>
      <c r="AU348">
        <v>0</v>
      </c>
      <c r="AV348">
        <v>0</v>
      </c>
      <c r="AW348">
        <v>0</v>
      </c>
      <c r="AX348">
        <v>0</v>
      </c>
      <c r="AY348">
        <v>0</v>
      </c>
      <c r="AZ348">
        <v>0</v>
      </c>
      <c r="BA348">
        <v>0</v>
      </c>
      <c r="BB348">
        <v>0</v>
      </c>
      <c r="BC348">
        <v>0</v>
      </c>
      <c r="BD348">
        <v>0</v>
      </c>
      <c r="BE348">
        <v>0</v>
      </c>
      <c r="BF348">
        <v>0</v>
      </c>
      <c r="BG348">
        <v>0</v>
      </c>
      <c r="BH348">
        <v>0</v>
      </c>
      <c r="BI348">
        <v>0</v>
      </c>
      <c r="BJ348">
        <v>0</v>
      </c>
      <c r="BK348">
        <v>0</v>
      </c>
      <c r="BL348">
        <v>0</v>
      </c>
      <c r="BM348">
        <v>0</v>
      </c>
      <c r="BN348">
        <v>0</v>
      </c>
      <c r="BO348">
        <v>0</v>
      </c>
      <c r="BP348">
        <v>0</v>
      </c>
      <c r="BQ348">
        <v>0</v>
      </c>
      <c r="BR348">
        <v>0</v>
      </c>
      <c r="BS348">
        <v>0</v>
      </c>
      <c r="BT348">
        <v>0</v>
      </c>
      <c r="BU348">
        <v>0</v>
      </c>
      <c r="BV348">
        <v>0</v>
      </c>
      <c r="BW348">
        <v>0</v>
      </c>
      <c r="BX348">
        <v>0</v>
      </c>
      <c r="BY348">
        <v>0</v>
      </c>
      <c r="BZ348">
        <v>0</v>
      </c>
      <c r="CA348">
        <v>0</v>
      </c>
      <c r="CB348">
        <v>0</v>
      </c>
      <c r="CC348">
        <v>0</v>
      </c>
      <c r="CD348">
        <v>0</v>
      </c>
      <c r="CE348">
        <v>0</v>
      </c>
      <c r="CF348">
        <v>0</v>
      </c>
      <c r="CG348">
        <v>0</v>
      </c>
      <c r="CH348">
        <v>0</v>
      </c>
      <c r="CI348">
        <v>0</v>
      </c>
      <c r="CJ348">
        <v>0</v>
      </c>
      <c r="CK348">
        <v>0</v>
      </c>
      <c r="CL348">
        <v>0</v>
      </c>
      <c r="CM348">
        <v>0</v>
      </c>
      <c r="CN348">
        <v>0</v>
      </c>
      <c r="CO348">
        <v>0</v>
      </c>
      <c r="CP348">
        <v>0</v>
      </c>
      <c r="CQ348">
        <v>0</v>
      </c>
      <c r="CR348">
        <v>0</v>
      </c>
      <c r="CS348">
        <v>0</v>
      </c>
      <c r="CT348">
        <v>0</v>
      </c>
      <c r="CU348">
        <v>0</v>
      </c>
      <c r="CV348">
        <v>0</v>
      </c>
      <c r="CW348">
        <v>0</v>
      </c>
      <c r="CX348">
        <v>0</v>
      </c>
      <c r="CY348">
        <v>0</v>
      </c>
      <c r="CZ348">
        <v>0</v>
      </c>
      <c r="DA348">
        <v>0</v>
      </c>
      <c r="DB348">
        <v>0</v>
      </c>
      <c r="DC348">
        <v>449</v>
      </c>
      <c r="DD348">
        <v>0</v>
      </c>
      <c r="DE348">
        <v>0</v>
      </c>
      <c r="DF348">
        <v>287</v>
      </c>
      <c r="DG348">
        <v>0</v>
      </c>
      <c r="DH348">
        <v>0</v>
      </c>
      <c r="DI348">
        <v>0</v>
      </c>
      <c r="DJ348">
        <v>222</v>
      </c>
      <c r="DK348">
        <v>0</v>
      </c>
      <c r="DL348">
        <v>0</v>
      </c>
      <c r="DM348">
        <v>497</v>
      </c>
      <c r="DN348">
        <v>189</v>
      </c>
      <c r="DO348">
        <v>0</v>
      </c>
      <c r="DP348">
        <v>908</v>
      </c>
      <c r="DQ348">
        <v>-1</v>
      </c>
      <c r="DR348">
        <v>0</v>
      </c>
      <c r="DS348">
        <v>0</v>
      </c>
      <c r="DT348">
        <v>795</v>
      </c>
      <c r="DU348">
        <v>9</v>
      </c>
      <c r="DV348">
        <v>0</v>
      </c>
      <c r="DW348">
        <v>0</v>
      </c>
      <c r="DX348">
        <v>2447</v>
      </c>
      <c r="DY348">
        <v>0</v>
      </c>
      <c r="DZ348">
        <v>0</v>
      </c>
      <c r="EA348">
        <v>0</v>
      </c>
      <c r="EB348">
        <v>0</v>
      </c>
      <c r="EC348">
        <v>0</v>
      </c>
      <c r="ED348">
        <v>0</v>
      </c>
      <c r="EE348">
        <v>0</v>
      </c>
      <c r="EF348">
        <v>0</v>
      </c>
      <c r="EG348">
        <v>0</v>
      </c>
      <c r="EH348">
        <v>0</v>
      </c>
      <c r="EI348">
        <v>0</v>
      </c>
      <c r="EJ348">
        <v>0</v>
      </c>
      <c r="EK348">
        <v>0</v>
      </c>
      <c r="EL348">
        <v>0</v>
      </c>
      <c r="EM348">
        <v>0</v>
      </c>
      <c r="EN348">
        <v>0</v>
      </c>
      <c r="EO348">
        <v>0</v>
      </c>
      <c r="EP348">
        <v>0</v>
      </c>
      <c r="EQ348">
        <v>0</v>
      </c>
      <c r="ER348">
        <v>0</v>
      </c>
      <c r="ES348">
        <v>0</v>
      </c>
      <c r="ET348">
        <v>0</v>
      </c>
      <c r="EU348">
        <v>0</v>
      </c>
      <c r="EV348">
        <v>0</v>
      </c>
      <c r="EW348">
        <v>5</v>
      </c>
      <c r="EX348">
        <v>0</v>
      </c>
      <c r="EY348">
        <v>0</v>
      </c>
      <c r="EZ348">
        <v>0</v>
      </c>
      <c r="FA348">
        <v>0</v>
      </c>
      <c r="FB348">
        <v>98</v>
      </c>
      <c r="FC348">
        <v>329</v>
      </c>
      <c r="FD348">
        <v>605</v>
      </c>
      <c r="FE348">
        <v>0</v>
      </c>
      <c r="FF348">
        <v>251</v>
      </c>
      <c r="FG348">
        <v>0</v>
      </c>
      <c r="FH348">
        <v>1288</v>
      </c>
      <c r="FI348">
        <v>0</v>
      </c>
      <c r="FJ348">
        <v>0</v>
      </c>
      <c r="FK348">
        <v>3</v>
      </c>
      <c r="FL348">
        <v>-10</v>
      </c>
      <c r="FM348">
        <v>5</v>
      </c>
      <c r="FN348">
        <v>0</v>
      </c>
      <c r="FO348">
        <v>0</v>
      </c>
      <c r="FP348">
        <v>0</v>
      </c>
      <c r="FQ348">
        <v>0</v>
      </c>
      <c r="FR348">
        <v>88</v>
      </c>
      <c r="FS348">
        <v>285</v>
      </c>
      <c r="FT348">
        <v>840</v>
      </c>
      <c r="FU348">
        <v>83</v>
      </c>
      <c r="FV348">
        <v>178</v>
      </c>
      <c r="FW348">
        <v>0</v>
      </c>
      <c r="FX348">
        <v>335</v>
      </c>
      <c r="FY348">
        <v>0</v>
      </c>
      <c r="FZ348">
        <v>35</v>
      </c>
      <c r="GA348">
        <v>0</v>
      </c>
      <c r="GB348">
        <v>0</v>
      </c>
      <c r="GC348">
        <v>0</v>
      </c>
      <c r="GD348">
        <v>1642</v>
      </c>
      <c r="GE348">
        <v>1707</v>
      </c>
      <c r="GF348">
        <v>0</v>
      </c>
      <c r="GG348">
        <v>0</v>
      </c>
      <c r="GH348">
        <v>666</v>
      </c>
      <c r="GI348">
        <v>0</v>
      </c>
      <c r="GJ348">
        <v>0</v>
      </c>
      <c r="GK348">
        <v>5857</v>
      </c>
      <c r="GL348">
        <v>265</v>
      </c>
      <c r="GM348">
        <v>1742</v>
      </c>
      <c r="GN348">
        <v>162</v>
      </c>
      <c r="GO348">
        <v>806</v>
      </c>
      <c r="GP348">
        <v>24</v>
      </c>
      <c r="GQ348">
        <v>38</v>
      </c>
      <c r="GR348">
        <v>0</v>
      </c>
      <c r="GS348">
        <v>0</v>
      </c>
      <c r="GT348">
        <v>184</v>
      </c>
      <c r="GU348">
        <v>3221</v>
      </c>
      <c r="GV348">
        <v>10366</v>
      </c>
      <c r="GW348">
        <v>0</v>
      </c>
      <c r="GX348">
        <v>0</v>
      </c>
      <c r="GY348">
        <v>0</v>
      </c>
      <c r="GZ348">
        <v>0</v>
      </c>
      <c r="HA348">
        <v>0</v>
      </c>
      <c r="HB348">
        <v>1893</v>
      </c>
      <c r="HC348">
        <v>576</v>
      </c>
      <c r="HD348">
        <v>0</v>
      </c>
      <c r="HE348">
        <v>0</v>
      </c>
      <c r="HF348">
        <v>446</v>
      </c>
      <c r="HG348">
        <v>3</v>
      </c>
      <c r="HH348">
        <v>0</v>
      </c>
      <c r="HI348">
        <v>0</v>
      </c>
      <c r="HJ348">
        <v>216</v>
      </c>
      <c r="HK348">
        <v>150</v>
      </c>
      <c r="HL348">
        <v>2465</v>
      </c>
      <c r="HM348">
        <v>4</v>
      </c>
      <c r="HN348">
        <v>0</v>
      </c>
      <c r="HO348">
        <v>65</v>
      </c>
      <c r="HP348">
        <v>0</v>
      </c>
      <c r="HQ348">
        <v>0</v>
      </c>
      <c r="HR348">
        <v>602</v>
      </c>
      <c r="HS348">
        <v>8</v>
      </c>
      <c r="HT348">
        <v>0</v>
      </c>
      <c r="HU348">
        <v>0</v>
      </c>
      <c r="HV348">
        <v>6428</v>
      </c>
      <c r="HW348">
        <v>0</v>
      </c>
      <c r="HX348">
        <v>0</v>
      </c>
      <c r="HY348">
        <v>0</v>
      </c>
      <c r="HZ348">
        <v>0</v>
      </c>
      <c r="IA348">
        <v>0</v>
      </c>
      <c r="IB348">
        <v>0</v>
      </c>
      <c r="IC348">
        <v>0</v>
      </c>
      <c r="ID348">
        <v>-866</v>
      </c>
      <c r="IE348">
        <v>0</v>
      </c>
      <c r="IF348">
        <v>0</v>
      </c>
      <c r="IG348">
        <v>0</v>
      </c>
      <c r="IH348">
        <v>2447</v>
      </c>
      <c r="II348">
        <v>1288</v>
      </c>
      <c r="IJ348">
        <v>5857</v>
      </c>
      <c r="IK348">
        <v>3221</v>
      </c>
      <c r="IL348">
        <v>0</v>
      </c>
      <c r="IM348">
        <v>0</v>
      </c>
      <c r="IN348">
        <v>6428</v>
      </c>
      <c r="IO348">
        <v>0</v>
      </c>
      <c r="IP348">
        <v>18375</v>
      </c>
      <c r="IQ348">
        <v>17678</v>
      </c>
      <c r="IR348">
        <v>0</v>
      </c>
      <c r="IS348">
        <v>0</v>
      </c>
      <c r="IT348">
        <v>0</v>
      </c>
      <c r="IU348">
        <v>0</v>
      </c>
      <c r="IV348">
        <v>3711</v>
      </c>
      <c r="IW348">
        <v>0</v>
      </c>
      <c r="IX348">
        <v>0</v>
      </c>
      <c r="IY348">
        <v>0</v>
      </c>
      <c r="IZ348">
        <v>32</v>
      </c>
      <c r="JA348">
        <v>-236</v>
      </c>
      <c r="JB348">
        <v>-575</v>
      </c>
      <c r="JC348">
        <v>78</v>
      </c>
      <c r="JD348">
        <v>86</v>
      </c>
      <c r="JE348">
        <v>49</v>
      </c>
      <c r="JF348">
        <v>-9</v>
      </c>
      <c r="JG348">
        <v>39189</v>
      </c>
      <c r="JH348">
        <v>0</v>
      </c>
      <c r="JI348">
        <v>0</v>
      </c>
      <c r="JJ348">
        <v>0</v>
      </c>
      <c r="JK348">
        <v>0</v>
      </c>
      <c r="JL348">
        <v>0</v>
      </c>
      <c r="JM348">
        <v>0</v>
      </c>
      <c r="JN348">
        <v>0</v>
      </c>
      <c r="JO348">
        <v>0</v>
      </c>
      <c r="JP348">
        <v>1</v>
      </c>
      <c r="JQ348">
        <v>0</v>
      </c>
      <c r="JR348">
        <v>39190</v>
      </c>
      <c r="JS348">
        <v>-130</v>
      </c>
      <c r="JT348">
        <v>0</v>
      </c>
      <c r="JU348">
        <v>0</v>
      </c>
      <c r="JV348">
        <v>0</v>
      </c>
      <c r="JW348">
        <v>-17551</v>
      </c>
      <c r="JX348">
        <v>0</v>
      </c>
      <c r="JY348">
        <v>-116</v>
      </c>
      <c r="JZ348">
        <v>0</v>
      </c>
      <c r="KA348">
        <v>0</v>
      </c>
      <c r="KB348">
        <v>0</v>
      </c>
      <c r="KC348">
        <v>21393</v>
      </c>
      <c r="KD348">
        <v>0</v>
      </c>
      <c r="KE348">
        <v>-7110</v>
      </c>
      <c r="KF348">
        <v>14283</v>
      </c>
      <c r="KG348">
        <v>0</v>
      </c>
      <c r="KH348">
        <v>0</v>
      </c>
      <c r="KI348">
        <v>0</v>
      </c>
      <c r="KJ348">
        <v>0</v>
      </c>
      <c r="KK348">
        <v>11760</v>
      </c>
      <c r="KL348">
        <v>1311</v>
      </c>
      <c r="KM348">
        <v>0</v>
      </c>
      <c r="KN348">
        <v>0</v>
      </c>
      <c r="KO348">
        <v>-7577</v>
      </c>
      <c r="KP348">
        <v>-91</v>
      </c>
      <c r="KQ348">
        <v>0</v>
      </c>
      <c r="KR348">
        <v>12201</v>
      </c>
      <c r="KS348">
        <v>0</v>
      </c>
      <c r="KT348">
        <v>0</v>
      </c>
      <c r="KU348">
        <v>0</v>
      </c>
      <c r="KV348">
        <v>42208</v>
      </c>
      <c r="KW348">
        <v>7217</v>
      </c>
      <c r="KX348">
        <v>0</v>
      </c>
      <c r="KY348">
        <v>0</v>
      </c>
      <c r="KZ348">
        <v>0</v>
      </c>
      <c r="LA348">
        <v>53968</v>
      </c>
      <c r="LB348">
        <v>8528</v>
      </c>
      <c r="LC348">
        <v>0</v>
      </c>
      <c r="LD348">
        <v>1823</v>
      </c>
      <c r="LE348">
        <v>86</v>
      </c>
      <c r="LF348">
        <v>0</v>
      </c>
      <c r="LG348">
        <v>0</v>
      </c>
      <c r="LH348">
        <v>0</v>
      </c>
      <c r="LI348">
        <v>1909</v>
      </c>
      <c r="LJ348">
        <v>3596</v>
      </c>
      <c r="LK348">
        <v>3262</v>
      </c>
      <c r="LL348">
        <v>6858</v>
      </c>
      <c r="LM348">
        <v>0</v>
      </c>
      <c r="LN348">
        <v>0</v>
      </c>
      <c r="LO348">
        <v>0</v>
      </c>
      <c r="LP348">
        <v>0</v>
      </c>
      <c r="LQ348">
        <v>0</v>
      </c>
      <c r="LR348">
        <v>0</v>
      </c>
      <c r="LS348">
        <v>0</v>
      </c>
      <c r="LT348">
        <v>0</v>
      </c>
      <c r="LU348">
        <v>0</v>
      </c>
      <c r="LV348">
        <v>-866</v>
      </c>
      <c r="LW348">
        <v>0</v>
      </c>
      <c r="LX348">
        <v>0</v>
      </c>
      <c r="LY348">
        <v>0</v>
      </c>
      <c r="LZ348">
        <v>2447</v>
      </c>
      <c r="MA348">
        <v>1288</v>
      </c>
      <c r="MB348">
        <v>5857</v>
      </c>
      <c r="MC348">
        <v>3221</v>
      </c>
      <c r="MD348">
        <v>0</v>
      </c>
      <c r="ME348">
        <v>0</v>
      </c>
      <c r="MF348">
        <v>6428</v>
      </c>
      <c r="MG348">
        <v>0</v>
      </c>
      <c r="MH348">
        <v>18375</v>
      </c>
      <c r="MI348">
        <v>0</v>
      </c>
      <c r="MJ348">
        <v>0</v>
      </c>
      <c r="MK348">
        <v>0</v>
      </c>
      <c r="ML348">
        <v>0</v>
      </c>
      <c r="MM348">
        <v>0</v>
      </c>
      <c r="MN348">
        <v>0</v>
      </c>
      <c r="MO348">
        <v>0</v>
      </c>
      <c r="MP348">
        <v>0</v>
      </c>
      <c r="MQ348">
        <v>0</v>
      </c>
      <c r="MR348">
        <v>0</v>
      </c>
      <c r="MS348">
        <v>0</v>
      </c>
      <c r="MT348">
        <v>0</v>
      </c>
      <c r="MU348">
        <v>0</v>
      </c>
      <c r="MV348">
        <v>0</v>
      </c>
      <c r="MW348">
        <v>0</v>
      </c>
      <c r="MX348">
        <v>0</v>
      </c>
      <c r="MY348">
        <v>-420</v>
      </c>
      <c r="MZ348">
        <v>0</v>
      </c>
      <c r="NA348">
        <v>-158</v>
      </c>
      <c r="NB348">
        <v>-78</v>
      </c>
      <c r="NC348">
        <v>-236</v>
      </c>
      <c r="ND348">
        <v>0</v>
      </c>
      <c r="NE348">
        <v>0</v>
      </c>
      <c r="NF348">
        <v>0</v>
      </c>
      <c r="NG348">
        <v>0</v>
      </c>
      <c r="NH348">
        <v>0</v>
      </c>
      <c r="NI348">
        <v>0</v>
      </c>
      <c r="NJ348">
        <v>0</v>
      </c>
      <c r="NK348">
        <v>0</v>
      </c>
      <c r="NL348">
        <v>0</v>
      </c>
      <c r="NM348">
        <v>0</v>
      </c>
      <c r="NN348">
        <v>0</v>
      </c>
      <c r="NO348">
        <v>457</v>
      </c>
      <c r="NP348">
        <v>0</v>
      </c>
      <c r="NQ348">
        <v>0</v>
      </c>
      <c r="NR348">
        <v>0</v>
      </c>
      <c r="NS348">
        <v>0</v>
      </c>
      <c r="NT348">
        <v>0</v>
      </c>
      <c r="NU348">
        <v>-16</v>
      </c>
      <c r="NV348">
        <v>-559</v>
      </c>
      <c r="NW348">
        <v>-65</v>
      </c>
      <c r="NX348">
        <v>-86</v>
      </c>
      <c r="NY348">
        <v>-23</v>
      </c>
      <c r="NZ348">
        <v>-489</v>
      </c>
      <c r="OA348">
        <v>-86</v>
      </c>
      <c r="OB348">
        <v>-575</v>
      </c>
      <c r="OC348">
        <v>76</v>
      </c>
      <c r="OD348">
        <v>-1</v>
      </c>
      <c r="OE348">
        <v>-153</v>
      </c>
      <c r="OF348">
        <v>0</v>
      </c>
      <c r="OG348">
        <v>0</v>
      </c>
      <c r="OH348">
        <v>-78</v>
      </c>
      <c r="OI348">
        <v>578</v>
      </c>
      <c r="OJ348">
        <v>-874</v>
      </c>
      <c r="OK348">
        <v>210</v>
      </c>
      <c r="OL348">
        <v>0</v>
      </c>
      <c r="OM348">
        <v>0</v>
      </c>
      <c r="ON348">
        <v>-86</v>
      </c>
    </row>
    <row r="349" spans="1:404" x14ac:dyDescent="0.25">
      <c r="A349" t="s">
        <v>1118</v>
      </c>
      <c r="B349" t="s">
        <v>1119</v>
      </c>
      <c r="C349" t="s">
        <v>1117</v>
      </c>
      <c r="E349" t="s">
        <v>61</v>
      </c>
      <c r="F349">
        <v>0</v>
      </c>
      <c r="G349">
        <v>0</v>
      </c>
      <c r="H349">
        <v>0</v>
      </c>
      <c r="I349">
        <v>0</v>
      </c>
      <c r="J349">
        <v>0</v>
      </c>
      <c r="K349">
        <v>0</v>
      </c>
      <c r="L349">
        <v>0</v>
      </c>
      <c r="M349">
        <v>0</v>
      </c>
      <c r="N349">
        <v>0</v>
      </c>
      <c r="O349">
        <v>0</v>
      </c>
      <c r="P349">
        <v>0</v>
      </c>
      <c r="Q349">
        <v>0</v>
      </c>
      <c r="R349">
        <v>0</v>
      </c>
      <c r="S349">
        <v>0</v>
      </c>
      <c r="T349">
        <v>0</v>
      </c>
      <c r="U349">
        <v>0</v>
      </c>
      <c r="V349">
        <v>0</v>
      </c>
      <c r="W349">
        <v>0</v>
      </c>
      <c r="X349">
        <v>0</v>
      </c>
      <c r="Y349">
        <v>0</v>
      </c>
      <c r="Z349">
        <v>0</v>
      </c>
      <c r="AA349">
        <v>-147</v>
      </c>
      <c r="AB349">
        <v>0</v>
      </c>
      <c r="AC349">
        <v>0</v>
      </c>
      <c r="AD349">
        <v>0</v>
      </c>
      <c r="AE349">
        <v>0</v>
      </c>
      <c r="AF349">
        <v>0</v>
      </c>
      <c r="AG349">
        <v>3</v>
      </c>
      <c r="AH349">
        <v>0</v>
      </c>
      <c r="AI349">
        <v>-144</v>
      </c>
      <c r="AJ349">
        <v>0</v>
      </c>
      <c r="AK349">
        <v>0</v>
      </c>
      <c r="AL349">
        <v>0</v>
      </c>
      <c r="AM349">
        <v>0</v>
      </c>
      <c r="AN349">
        <v>0</v>
      </c>
      <c r="AO349">
        <v>0</v>
      </c>
      <c r="AP349">
        <v>0</v>
      </c>
      <c r="AQ349">
        <v>0</v>
      </c>
      <c r="AR349">
        <v>0</v>
      </c>
      <c r="AS349">
        <v>0</v>
      </c>
      <c r="AT349">
        <v>0</v>
      </c>
      <c r="AU349">
        <v>0</v>
      </c>
      <c r="AV349">
        <v>0</v>
      </c>
      <c r="AW349">
        <v>0</v>
      </c>
      <c r="AX349">
        <v>0</v>
      </c>
      <c r="AY349">
        <v>0</v>
      </c>
      <c r="AZ349">
        <v>0</v>
      </c>
      <c r="BA349">
        <v>0</v>
      </c>
      <c r="BB349">
        <v>0</v>
      </c>
      <c r="BC349">
        <v>0</v>
      </c>
      <c r="BD349">
        <v>0</v>
      </c>
      <c r="BE349">
        <v>0</v>
      </c>
      <c r="BF349">
        <v>0</v>
      </c>
      <c r="BG349">
        <v>0</v>
      </c>
      <c r="BH349">
        <v>0</v>
      </c>
      <c r="BI349">
        <v>0</v>
      </c>
      <c r="BJ349">
        <v>0</v>
      </c>
      <c r="BK349">
        <v>0</v>
      </c>
      <c r="BL349">
        <v>0</v>
      </c>
      <c r="BM349">
        <v>0</v>
      </c>
      <c r="BN349">
        <v>0</v>
      </c>
      <c r="BO349">
        <v>0</v>
      </c>
      <c r="BP349">
        <v>0</v>
      </c>
      <c r="BQ349">
        <v>0</v>
      </c>
      <c r="BR349">
        <v>0</v>
      </c>
      <c r="BS349">
        <v>0</v>
      </c>
      <c r="BT349">
        <v>0</v>
      </c>
      <c r="BU349">
        <v>0</v>
      </c>
      <c r="BV349">
        <v>0</v>
      </c>
      <c r="BW349">
        <v>0</v>
      </c>
      <c r="BX349">
        <v>0</v>
      </c>
      <c r="BY349">
        <v>0</v>
      </c>
      <c r="BZ349">
        <v>0</v>
      </c>
      <c r="CA349">
        <v>0</v>
      </c>
      <c r="CB349">
        <v>0</v>
      </c>
      <c r="CC349">
        <v>0</v>
      </c>
      <c r="CD349">
        <v>0</v>
      </c>
      <c r="CE349">
        <v>0</v>
      </c>
      <c r="CF349">
        <v>0</v>
      </c>
      <c r="CG349">
        <v>0</v>
      </c>
      <c r="CH349">
        <v>0</v>
      </c>
      <c r="CI349">
        <v>0</v>
      </c>
      <c r="CJ349">
        <v>0</v>
      </c>
      <c r="CK349">
        <v>0</v>
      </c>
      <c r="CL349">
        <v>0</v>
      </c>
      <c r="CM349">
        <v>0</v>
      </c>
      <c r="CN349">
        <v>0</v>
      </c>
      <c r="CO349">
        <v>0</v>
      </c>
      <c r="CP349">
        <v>0</v>
      </c>
      <c r="CQ349">
        <v>0</v>
      </c>
      <c r="CR349">
        <v>0</v>
      </c>
      <c r="CS349">
        <v>0</v>
      </c>
      <c r="CT349">
        <v>0</v>
      </c>
      <c r="CU349">
        <v>0</v>
      </c>
      <c r="CV349">
        <v>0</v>
      </c>
      <c r="CW349">
        <v>0</v>
      </c>
      <c r="CX349">
        <v>0</v>
      </c>
      <c r="CY349">
        <v>0</v>
      </c>
      <c r="CZ349">
        <v>0</v>
      </c>
      <c r="DA349">
        <v>0</v>
      </c>
      <c r="DB349">
        <v>0</v>
      </c>
      <c r="DC349">
        <v>202</v>
      </c>
      <c r="DD349">
        <v>0</v>
      </c>
      <c r="DE349">
        <v>20</v>
      </c>
      <c r="DF349">
        <v>0</v>
      </c>
      <c r="DG349">
        <v>0</v>
      </c>
      <c r="DH349">
        <v>0</v>
      </c>
      <c r="DI349">
        <v>0</v>
      </c>
      <c r="DJ349">
        <v>127</v>
      </c>
      <c r="DK349">
        <v>0</v>
      </c>
      <c r="DL349">
        <v>126</v>
      </c>
      <c r="DM349">
        <v>141</v>
      </c>
      <c r="DN349">
        <v>282</v>
      </c>
      <c r="DO349">
        <v>141</v>
      </c>
      <c r="DP349">
        <v>818</v>
      </c>
      <c r="DQ349">
        <v>0</v>
      </c>
      <c r="DR349">
        <v>0</v>
      </c>
      <c r="DS349">
        <v>0</v>
      </c>
      <c r="DT349">
        <v>250</v>
      </c>
      <c r="DU349">
        <v>0</v>
      </c>
      <c r="DV349">
        <v>0</v>
      </c>
      <c r="DW349">
        <v>0</v>
      </c>
      <c r="DX349">
        <v>1290</v>
      </c>
      <c r="DY349">
        <v>21248</v>
      </c>
      <c r="DZ349">
        <v>213</v>
      </c>
      <c r="EA349">
        <v>1312</v>
      </c>
      <c r="EB349">
        <v>264</v>
      </c>
      <c r="EC349">
        <v>0</v>
      </c>
      <c r="ED349">
        <v>50</v>
      </c>
      <c r="EE349">
        <v>200</v>
      </c>
      <c r="EF349">
        <v>0</v>
      </c>
      <c r="EG349">
        <v>-21</v>
      </c>
      <c r="EH349">
        <v>4793</v>
      </c>
      <c r="EI349">
        <v>3773</v>
      </c>
      <c r="EJ349">
        <v>1773</v>
      </c>
      <c r="EK349">
        <v>0</v>
      </c>
      <c r="EL349">
        <v>3379</v>
      </c>
      <c r="EM349">
        <v>6057</v>
      </c>
      <c r="EN349">
        <v>156</v>
      </c>
      <c r="EO349">
        <v>0</v>
      </c>
      <c r="EP349">
        <v>2204</v>
      </c>
      <c r="EQ349">
        <v>0</v>
      </c>
      <c r="ER349">
        <v>63</v>
      </c>
      <c r="ES349">
        <v>10279</v>
      </c>
      <c r="ET349">
        <v>11347</v>
      </c>
      <c r="EU349">
        <v>0</v>
      </c>
      <c r="EV349">
        <v>0</v>
      </c>
      <c r="EW349">
        <v>0</v>
      </c>
      <c r="EX349">
        <v>521</v>
      </c>
      <c r="EY349">
        <v>5</v>
      </c>
      <c r="EZ349">
        <v>0</v>
      </c>
      <c r="FA349">
        <v>0</v>
      </c>
      <c r="FB349">
        <v>-22</v>
      </c>
      <c r="FC349">
        <v>539</v>
      </c>
      <c r="FD349">
        <v>492</v>
      </c>
      <c r="FE349">
        <v>0</v>
      </c>
      <c r="FF349">
        <v>4</v>
      </c>
      <c r="FG349">
        <v>0</v>
      </c>
      <c r="FH349">
        <v>1539</v>
      </c>
      <c r="FI349">
        <v>54</v>
      </c>
      <c r="FJ349">
        <v>0</v>
      </c>
      <c r="FK349">
        <v>0</v>
      </c>
      <c r="FL349">
        <v>249</v>
      </c>
      <c r="FM349">
        <v>292</v>
      </c>
      <c r="FN349">
        <v>191</v>
      </c>
      <c r="FO349">
        <v>158</v>
      </c>
      <c r="FP349">
        <v>8</v>
      </c>
      <c r="FQ349">
        <v>0</v>
      </c>
      <c r="FR349">
        <v>128</v>
      </c>
      <c r="FS349">
        <v>262</v>
      </c>
      <c r="FT349">
        <v>217</v>
      </c>
      <c r="FU349">
        <v>-3</v>
      </c>
      <c r="FV349">
        <v>132</v>
      </c>
      <c r="FW349">
        <v>519</v>
      </c>
      <c r="FX349">
        <v>38</v>
      </c>
      <c r="FY349">
        <v>6</v>
      </c>
      <c r="FZ349">
        <v>56</v>
      </c>
      <c r="GA349">
        <v>0</v>
      </c>
      <c r="GB349">
        <v>0</v>
      </c>
      <c r="GC349">
        <v>0</v>
      </c>
      <c r="GD349">
        <v>875</v>
      </c>
      <c r="GE349">
        <v>1318</v>
      </c>
      <c r="GF349">
        <v>0</v>
      </c>
      <c r="GG349">
        <v>0</v>
      </c>
      <c r="GH349">
        <v>1521</v>
      </c>
      <c r="GI349">
        <v>0</v>
      </c>
      <c r="GJ349">
        <v>145</v>
      </c>
      <c r="GK349">
        <v>6166</v>
      </c>
      <c r="GL349">
        <v>70</v>
      </c>
      <c r="GM349">
        <v>646</v>
      </c>
      <c r="GN349">
        <v>0</v>
      </c>
      <c r="GO349">
        <v>527</v>
      </c>
      <c r="GP349">
        <v>6</v>
      </c>
      <c r="GQ349">
        <v>185</v>
      </c>
      <c r="GR349">
        <v>0</v>
      </c>
      <c r="GS349">
        <v>344</v>
      </c>
      <c r="GT349">
        <v>53</v>
      </c>
      <c r="GU349">
        <v>1831</v>
      </c>
      <c r="GV349">
        <v>9536</v>
      </c>
      <c r="GW349">
        <v>0</v>
      </c>
      <c r="GX349">
        <v>0</v>
      </c>
      <c r="GY349">
        <v>0</v>
      </c>
      <c r="GZ349">
        <v>0</v>
      </c>
      <c r="HA349">
        <v>0</v>
      </c>
      <c r="HB349">
        <v>1468</v>
      </c>
      <c r="HC349">
        <v>901</v>
      </c>
      <c r="HD349">
        <v>0</v>
      </c>
      <c r="HE349">
        <v>0</v>
      </c>
      <c r="HF349">
        <v>175</v>
      </c>
      <c r="HG349">
        <v>-42</v>
      </c>
      <c r="HH349">
        <v>0</v>
      </c>
      <c r="HI349">
        <v>0</v>
      </c>
      <c r="HJ349">
        <v>171</v>
      </c>
      <c r="HK349">
        <v>156</v>
      </c>
      <c r="HL349">
        <v>132</v>
      </c>
      <c r="HM349">
        <v>28</v>
      </c>
      <c r="HN349">
        <v>0</v>
      </c>
      <c r="HO349">
        <v>419</v>
      </c>
      <c r="HP349">
        <v>0</v>
      </c>
      <c r="HQ349">
        <v>0</v>
      </c>
      <c r="HR349">
        <v>1416</v>
      </c>
      <c r="HS349">
        <v>0</v>
      </c>
      <c r="HT349">
        <v>0</v>
      </c>
      <c r="HU349">
        <v>-1569</v>
      </c>
      <c r="HV349">
        <v>3255</v>
      </c>
      <c r="HW349">
        <v>2676</v>
      </c>
      <c r="HX349">
        <v>6830</v>
      </c>
      <c r="HY349">
        <v>0</v>
      </c>
      <c r="HZ349">
        <v>1860</v>
      </c>
      <c r="IA349">
        <v>364</v>
      </c>
      <c r="IB349">
        <v>0</v>
      </c>
      <c r="IC349">
        <v>0</v>
      </c>
      <c r="ID349">
        <v>-144</v>
      </c>
      <c r="IE349">
        <v>0</v>
      </c>
      <c r="IF349">
        <v>0</v>
      </c>
      <c r="IG349">
        <v>0</v>
      </c>
      <c r="IH349">
        <v>1290</v>
      </c>
      <c r="II349">
        <v>1539</v>
      </c>
      <c r="IJ349">
        <v>6166</v>
      </c>
      <c r="IK349">
        <v>1831</v>
      </c>
      <c r="IL349">
        <v>0</v>
      </c>
      <c r="IM349">
        <v>0</v>
      </c>
      <c r="IN349">
        <v>3255</v>
      </c>
      <c r="IO349">
        <v>0</v>
      </c>
      <c r="IP349">
        <v>13937</v>
      </c>
      <c r="IQ349">
        <v>9329</v>
      </c>
      <c r="IR349">
        <v>0</v>
      </c>
      <c r="IS349">
        <v>7640</v>
      </c>
      <c r="IT349">
        <v>0</v>
      </c>
      <c r="IU349">
        <v>204</v>
      </c>
      <c r="IV349">
        <v>4380</v>
      </c>
      <c r="IW349">
        <v>0</v>
      </c>
      <c r="IX349">
        <v>0</v>
      </c>
      <c r="IY349">
        <v>0</v>
      </c>
      <c r="IZ349">
        <v>155</v>
      </c>
      <c r="JA349">
        <v>0</v>
      </c>
      <c r="JB349">
        <v>0</v>
      </c>
      <c r="JC349">
        <v>0</v>
      </c>
      <c r="JD349">
        <v>0</v>
      </c>
      <c r="JE349">
        <v>54</v>
      </c>
      <c r="JF349">
        <v>0</v>
      </c>
      <c r="JG349">
        <v>35699</v>
      </c>
      <c r="JH349">
        <v>0</v>
      </c>
      <c r="JI349">
        <v>357</v>
      </c>
      <c r="JJ349">
        <v>0</v>
      </c>
      <c r="JK349">
        <v>0</v>
      </c>
      <c r="JL349">
        <v>0</v>
      </c>
      <c r="JM349">
        <v>65</v>
      </c>
      <c r="JN349">
        <v>875</v>
      </c>
      <c r="JO349">
        <v>0</v>
      </c>
      <c r="JP349">
        <v>133</v>
      </c>
      <c r="JQ349">
        <v>50</v>
      </c>
      <c r="JR349">
        <v>37179</v>
      </c>
      <c r="JS349">
        <v>-418</v>
      </c>
      <c r="JT349">
        <v>0</v>
      </c>
      <c r="JU349">
        <v>0</v>
      </c>
      <c r="JV349">
        <v>0</v>
      </c>
      <c r="JW349">
        <v>-16394</v>
      </c>
      <c r="JX349">
        <v>0</v>
      </c>
      <c r="JY349">
        <v>-59</v>
      </c>
      <c r="JZ349">
        <v>0</v>
      </c>
      <c r="KA349">
        <v>0</v>
      </c>
      <c r="KB349">
        <v>0</v>
      </c>
      <c r="KC349">
        <v>20308</v>
      </c>
      <c r="KD349">
        <v>0</v>
      </c>
      <c r="KE349">
        <v>-2152</v>
      </c>
      <c r="KF349">
        <v>18156</v>
      </c>
      <c r="KG349">
        <v>0</v>
      </c>
      <c r="KH349">
        <v>0</v>
      </c>
      <c r="KI349">
        <v>0</v>
      </c>
      <c r="KJ349">
        <v>0</v>
      </c>
      <c r="KK349">
        <v>-170</v>
      </c>
      <c r="KL349">
        <v>0</v>
      </c>
      <c r="KM349">
        <v>0</v>
      </c>
      <c r="KN349">
        <v>0</v>
      </c>
      <c r="KO349">
        <v>-29</v>
      </c>
      <c r="KP349">
        <v>39</v>
      </c>
      <c r="KQ349">
        <v>-7</v>
      </c>
      <c r="KR349">
        <v>14293</v>
      </c>
      <c r="KS349">
        <v>0</v>
      </c>
      <c r="KT349">
        <v>0</v>
      </c>
      <c r="KU349">
        <v>0</v>
      </c>
      <c r="KV349">
        <v>24203</v>
      </c>
      <c r="KW349">
        <v>2169</v>
      </c>
      <c r="KX349">
        <v>0</v>
      </c>
      <c r="KY349">
        <v>0</v>
      </c>
      <c r="KZ349">
        <v>0</v>
      </c>
      <c r="LA349">
        <v>24033</v>
      </c>
      <c r="LB349">
        <v>2169</v>
      </c>
      <c r="LC349">
        <v>0</v>
      </c>
      <c r="LD349">
        <v>3365</v>
      </c>
      <c r="LE349">
        <v>3919</v>
      </c>
      <c r="LF349">
        <v>0</v>
      </c>
      <c r="LG349">
        <v>-7482</v>
      </c>
      <c r="LH349">
        <v>2681</v>
      </c>
      <c r="LI349">
        <v>2483</v>
      </c>
      <c r="LJ349">
        <v>2714</v>
      </c>
      <c r="LK349">
        <v>3576</v>
      </c>
      <c r="LL349">
        <v>6290</v>
      </c>
      <c r="LM349">
        <v>0</v>
      </c>
      <c r="LN349">
        <v>0</v>
      </c>
      <c r="LO349">
        <v>0</v>
      </c>
      <c r="LP349">
        <v>23266</v>
      </c>
      <c r="LQ349">
        <v>22198</v>
      </c>
      <c r="LR349">
        <v>1068</v>
      </c>
      <c r="LS349">
        <v>10279</v>
      </c>
      <c r="LT349">
        <v>11347</v>
      </c>
      <c r="LU349">
        <v>0</v>
      </c>
      <c r="LV349">
        <v>-144</v>
      </c>
      <c r="LW349">
        <v>0</v>
      </c>
      <c r="LX349">
        <v>0</v>
      </c>
      <c r="LY349">
        <v>0</v>
      </c>
      <c r="LZ349">
        <v>1290</v>
      </c>
      <c r="MA349">
        <v>1539</v>
      </c>
      <c r="MB349">
        <v>6166</v>
      </c>
      <c r="MC349">
        <v>1831</v>
      </c>
      <c r="MD349">
        <v>0</v>
      </c>
      <c r="ME349">
        <v>0</v>
      </c>
      <c r="MF349">
        <v>3255</v>
      </c>
      <c r="MG349">
        <v>0</v>
      </c>
      <c r="MH349">
        <v>13937</v>
      </c>
      <c r="MI349">
        <v>0</v>
      </c>
      <c r="MJ349">
        <v>0</v>
      </c>
      <c r="MK349">
        <v>0</v>
      </c>
      <c r="ML349">
        <v>0</v>
      </c>
      <c r="MM349">
        <v>0</v>
      </c>
      <c r="MN349">
        <v>0</v>
      </c>
      <c r="MO349">
        <v>0</v>
      </c>
      <c r="MP349">
        <v>0</v>
      </c>
      <c r="MQ349">
        <v>0</v>
      </c>
      <c r="MR349">
        <v>0</v>
      </c>
      <c r="MS349">
        <v>0</v>
      </c>
      <c r="MT349">
        <v>0</v>
      </c>
      <c r="MU349">
        <v>0</v>
      </c>
      <c r="MV349">
        <v>0</v>
      </c>
      <c r="MW349">
        <v>0</v>
      </c>
      <c r="MX349">
        <v>0</v>
      </c>
      <c r="MY349">
        <v>0</v>
      </c>
      <c r="MZ349">
        <v>0</v>
      </c>
      <c r="NA349">
        <v>0</v>
      </c>
      <c r="NB349">
        <v>0</v>
      </c>
      <c r="NC349">
        <v>0</v>
      </c>
      <c r="ND349">
        <v>0</v>
      </c>
      <c r="NE349">
        <v>0</v>
      </c>
      <c r="NF349">
        <v>0</v>
      </c>
      <c r="NG349">
        <v>0</v>
      </c>
      <c r="NH349">
        <v>0</v>
      </c>
      <c r="NI349">
        <v>0</v>
      </c>
      <c r="NJ349">
        <v>0</v>
      </c>
      <c r="NK349">
        <v>0</v>
      </c>
      <c r="NL349">
        <v>0</v>
      </c>
      <c r="NM349">
        <v>0</v>
      </c>
      <c r="NN349">
        <v>0</v>
      </c>
      <c r="NO349">
        <v>0</v>
      </c>
      <c r="NP349">
        <v>0</v>
      </c>
      <c r="NQ349">
        <v>0</v>
      </c>
      <c r="NR349">
        <v>0</v>
      </c>
      <c r="NS349">
        <v>0</v>
      </c>
      <c r="NT349">
        <v>0</v>
      </c>
      <c r="NU349">
        <v>0</v>
      </c>
      <c r="NV349">
        <v>0</v>
      </c>
      <c r="NW349">
        <v>0</v>
      </c>
      <c r="NX349">
        <v>0</v>
      </c>
      <c r="NY349">
        <v>0</v>
      </c>
      <c r="NZ349">
        <v>0</v>
      </c>
      <c r="OA349">
        <v>0</v>
      </c>
      <c r="OB349">
        <v>0</v>
      </c>
      <c r="OC349">
        <v>0</v>
      </c>
      <c r="OD349">
        <v>0</v>
      </c>
      <c r="OE349">
        <v>0</v>
      </c>
      <c r="OF349">
        <v>0</v>
      </c>
      <c r="OG349">
        <v>0</v>
      </c>
      <c r="OH349">
        <v>0</v>
      </c>
      <c r="OI349">
        <v>0</v>
      </c>
      <c r="OJ349">
        <v>0</v>
      </c>
      <c r="OK349">
        <v>0</v>
      </c>
      <c r="OL349">
        <v>0</v>
      </c>
      <c r="OM349">
        <v>0</v>
      </c>
      <c r="ON349">
        <v>0</v>
      </c>
    </row>
    <row r="350" spans="1:404" x14ac:dyDescent="0.25">
      <c r="A350" t="s">
        <v>1121</v>
      </c>
      <c r="B350" t="s">
        <v>1122</v>
      </c>
      <c r="C350" t="s">
        <v>1120</v>
      </c>
      <c r="E350" t="s">
        <v>1942</v>
      </c>
      <c r="F350">
        <v>39182</v>
      </c>
      <c r="G350">
        <v>121714</v>
      </c>
      <c r="H350">
        <v>32665</v>
      </c>
      <c r="I350">
        <v>51408</v>
      </c>
      <c r="J350">
        <v>4716</v>
      </c>
      <c r="K350">
        <v>49847</v>
      </c>
      <c r="L350">
        <v>299531</v>
      </c>
      <c r="M350">
        <v>2107</v>
      </c>
      <c r="N350">
        <v>-681</v>
      </c>
      <c r="O350">
        <v>697</v>
      </c>
      <c r="P350">
        <v>0</v>
      </c>
      <c r="Q350">
        <v>277</v>
      </c>
      <c r="R350">
        <v>2</v>
      </c>
      <c r="S350">
        <v>6145</v>
      </c>
      <c r="T350">
        <v>2658</v>
      </c>
      <c r="U350">
        <v>4628</v>
      </c>
      <c r="V350">
        <v>0</v>
      </c>
      <c r="W350">
        <v>0</v>
      </c>
      <c r="X350">
        <v>1484</v>
      </c>
      <c r="Y350">
        <v>133</v>
      </c>
      <c r="Z350">
        <v>0</v>
      </c>
      <c r="AA350">
        <v>0</v>
      </c>
      <c r="AB350">
        <v>7811</v>
      </c>
      <c r="AC350">
        <v>20</v>
      </c>
      <c r="AD350">
        <v>6167</v>
      </c>
      <c r="AE350">
        <v>0</v>
      </c>
      <c r="AF350">
        <v>0</v>
      </c>
      <c r="AG350">
        <v>1970</v>
      </c>
      <c r="AH350">
        <v>0</v>
      </c>
      <c r="AI350">
        <v>33418</v>
      </c>
      <c r="AJ350">
        <v>0</v>
      </c>
      <c r="AK350">
        <v>0</v>
      </c>
      <c r="AL350">
        <v>0</v>
      </c>
      <c r="AM350">
        <v>0</v>
      </c>
      <c r="AN350">
        <v>0</v>
      </c>
      <c r="AO350">
        <v>0</v>
      </c>
      <c r="AP350">
        <v>0</v>
      </c>
      <c r="AQ350">
        <v>0</v>
      </c>
      <c r="AR350">
        <v>0</v>
      </c>
      <c r="AS350">
        <v>0</v>
      </c>
      <c r="AT350">
        <v>0</v>
      </c>
      <c r="AU350">
        <v>0</v>
      </c>
      <c r="AV350">
        <v>5792</v>
      </c>
      <c r="AW350">
        <v>60662</v>
      </c>
      <c r="AX350">
        <v>896</v>
      </c>
      <c r="AY350">
        <v>21111</v>
      </c>
      <c r="AZ350">
        <v>2273</v>
      </c>
      <c r="BA350">
        <v>20735</v>
      </c>
      <c r="BB350">
        <v>594</v>
      </c>
      <c r="BC350">
        <v>42</v>
      </c>
      <c r="BD350">
        <v>112106</v>
      </c>
      <c r="BE350">
        <v>18520</v>
      </c>
      <c r="BF350">
        <v>69902</v>
      </c>
      <c r="BG350">
        <v>561</v>
      </c>
      <c r="BH350">
        <v>706</v>
      </c>
      <c r="BI350">
        <v>2149</v>
      </c>
      <c r="BJ350">
        <v>25012</v>
      </c>
      <c r="BK350">
        <v>83276</v>
      </c>
      <c r="BL350">
        <v>10247</v>
      </c>
      <c r="BM350">
        <v>9082</v>
      </c>
      <c r="BN350">
        <v>7148</v>
      </c>
      <c r="BO350">
        <v>100</v>
      </c>
      <c r="BP350">
        <v>4016</v>
      </c>
      <c r="BQ350">
        <v>159</v>
      </c>
      <c r="BR350">
        <v>122</v>
      </c>
      <c r="BS350">
        <v>566</v>
      </c>
      <c r="BT350">
        <v>22416</v>
      </c>
      <c r="BU350">
        <v>2414</v>
      </c>
      <c r="BV350">
        <v>18877</v>
      </c>
      <c r="BW350">
        <v>290561</v>
      </c>
      <c r="BX350">
        <v>3117</v>
      </c>
      <c r="BY350">
        <v>2153</v>
      </c>
      <c r="BZ350">
        <v>498</v>
      </c>
      <c r="CA350">
        <v>615</v>
      </c>
      <c r="CB350">
        <v>70</v>
      </c>
      <c r="CC350">
        <v>441</v>
      </c>
      <c r="CD350">
        <v>499</v>
      </c>
      <c r="CE350">
        <v>641</v>
      </c>
      <c r="CF350">
        <v>824</v>
      </c>
      <c r="CG350">
        <v>729</v>
      </c>
      <c r="CH350">
        <v>123</v>
      </c>
      <c r="CI350">
        <v>2897</v>
      </c>
      <c r="CJ350">
        <v>1931</v>
      </c>
      <c r="CK350">
        <v>262</v>
      </c>
      <c r="CL350">
        <v>81</v>
      </c>
      <c r="CM350">
        <v>613</v>
      </c>
      <c r="CN350">
        <v>1436</v>
      </c>
      <c r="CO350">
        <v>31</v>
      </c>
      <c r="CP350">
        <v>2464</v>
      </c>
      <c r="CQ350">
        <v>7185</v>
      </c>
      <c r="CR350">
        <v>606</v>
      </c>
      <c r="CS350">
        <v>40</v>
      </c>
      <c r="CT350">
        <v>117</v>
      </c>
      <c r="CU350">
        <v>3079</v>
      </c>
      <c r="CV350">
        <v>51810</v>
      </c>
      <c r="CW350">
        <v>0</v>
      </c>
      <c r="CX350">
        <v>0</v>
      </c>
      <c r="CY350">
        <v>0</v>
      </c>
      <c r="CZ350">
        <v>0</v>
      </c>
      <c r="DA350">
        <v>0</v>
      </c>
      <c r="DB350">
        <v>0</v>
      </c>
      <c r="DC350">
        <v>0</v>
      </c>
      <c r="DD350">
        <v>0</v>
      </c>
      <c r="DE350">
        <v>0</v>
      </c>
      <c r="DF350">
        <v>0</v>
      </c>
      <c r="DG350">
        <v>0</v>
      </c>
      <c r="DH350">
        <v>0</v>
      </c>
      <c r="DI350">
        <v>0</v>
      </c>
      <c r="DJ350">
        <v>0</v>
      </c>
      <c r="DK350">
        <v>0</v>
      </c>
      <c r="DL350">
        <v>0</v>
      </c>
      <c r="DM350">
        <v>0</v>
      </c>
      <c r="DN350">
        <v>0</v>
      </c>
      <c r="DO350">
        <v>0</v>
      </c>
      <c r="DP350">
        <v>0</v>
      </c>
      <c r="DQ350">
        <v>0</v>
      </c>
      <c r="DR350">
        <v>0</v>
      </c>
      <c r="DS350">
        <v>0</v>
      </c>
      <c r="DT350">
        <v>0</v>
      </c>
      <c r="DU350">
        <v>51</v>
      </c>
      <c r="DV350">
        <v>4594</v>
      </c>
      <c r="DW350">
        <v>0</v>
      </c>
      <c r="DX350">
        <v>4645</v>
      </c>
      <c r="DY350">
        <v>0</v>
      </c>
      <c r="DZ350">
        <v>0</v>
      </c>
      <c r="EA350">
        <v>0</v>
      </c>
      <c r="EB350">
        <v>0</v>
      </c>
      <c r="EC350">
        <v>0</v>
      </c>
      <c r="ED350">
        <v>0</v>
      </c>
      <c r="EE350">
        <v>0</v>
      </c>
      <c r="EF350">
        <v>0</v>
      </c>
      <c r="EG350">
        <v>0</v>
      </c>
      <c r="EH350">
        <v>0</v>
      </c>
      <c r="EI350">
        <v>0</v>
      </c>
      <c r="EJ350">
        <v>0</v>
      </c>
      <c r="EK350">
        <v>0</v>
      </c>
      <c r="EL350">
        <v>0</v>
      </c>
      <c r="EM350">
        <v>0</v>
      </c>
      <c r="EN350">
        <v>0</v>
      </c>
      <c r="EO350">
        <v>0</v>
      </c>
      <c r="EP350">
        <v>0</v>
      </c>
      <c r="EQ350">
        <v>0</v>
      </c>
      <c r="ER350">
        <v>0</v>
      </c>
      <c r="ES350">
        <v>0</v>
      </c>
      <c r="ET350">
        <v>0</v>
      </c>
      <c r="EU350">
        <v>193</v>
      </c>
      <c r="EV350">
        <v>482</v>
      </c>
      <c r="EW350">
        <v>0</v>
      </c>
      <c r="EX350">
        <v>218</v>
      </c>
      <c r="EY350">
        <v>0</v>
      </c>
      <c r="EZ350">
        <v>0</v>
      </c>
      <c r="FA350">
        <v>0</v>
      </c>
      <c r="FB350">
        <v>0</v>
      </c>
      <c r="FC350">
        <v>0</v>
      </c>
      <c r="FD350">
        <v>2053</v>
      </c>
      <c r="FE350">
        <v>0</v>
      </c>
      <c r="FF350">
        <v>0</v>
      </c>
      <c r="FG350">
        <v>7730</v>
      </c>
      <c r="FH350">
        <v>10675</v>
      </c>
      <c r="FI350">
        <v>0</v>
      </c>
      <c r="FJ350">
        <v>1799</v>
      </c>
      <c r="FK350">
        <v>0</v>
      </c>
      <c r="FL350">
        <v>0</v>
      </c>
      <c r="FM350">
        <v>0</v>
      </c>
      <c r="FN350">
        <v>0</v>
      </c>
      <c r="FO350">
        <v>0</v>
      </c>
      <c r="FP350">
        <v>0</v>
      </c>
      <c r="FQ350">
        <v>0</v>
      </c>
      <c r="FR350">
        <v>0</v>
      </c>
      <c r="FS350">
        <v>0</v>
      </c>
      <c r="FT350">
        <v>0</v>
      </c>
      <c r="FU350">
        <v>0</v>
      </c>
      <c r="FV350">
        <v>0</v>
      </c>
      <c r="FW350">
        <v>0</v>
      </c>
      <c r="FX350">
        <v>0</v>
      </c>
      <c r="FY350">
        <v>615</v>
      </c>
      <c r="FZ350">
        <v>0</v>
      </c>
      <c r="GA350">
        <v>0</v>
      </c>
      <c r="GB350">
        <v>0</v>
      </c>
      <c r="GC350">
        <v>-528</v>
      </c>
      <c r="GD350">
        <v>0</v>
      </c>
      <c r="GE350">
        <v>0</v>
      </c>
      <c r="GF350">
        <v>18443</v>
      </c>
      <c r="GG350">
        <v>0</v>
      </c>
      <c r="GH350">
        <v>0</v>
      </c>
      <c r="GI350">
        <v>0</v>
      </c>
      <c r="GJ350">
        <v>0</v>
      </c>
      <c r="GK350">
        <v>20328</v>
      </c>
      <c r="GL350">
        <v>0</v>
      </c>
      <c r="GM350">
        <v>-990</v>
      </c>
      <c r="GN350">
        <v>0</v>
      </c>
      <c r="GO350">
        <v>0</v>
      </c>
      <c r="GP350">
        <v>371</v>
      </c>
      <c r="GQ350">
        <v>1073</v>
      </c>
      <c r="GR350">
        <v>0</v>
      </c>
      <c r="GS350">
        <v>0</v>
      </c>
      <c r="GT350">
        <v>0</v>
      </c>
      <c r="GU350">
        <v>454</v>
      </c>
      <c r="GV350">
        <v>31457</v>
      </c>
      <c r="GW350">
        <v>0</v>
      </c>
      <c r="GX350">
        <v>2127</v>
      </c>
      <c r="GY350">
        <v>23887</v>
      </c>
      <c r="GZ350">
        <v>472</v>
      </c>
      <c r="HA350">
        <v>26486</v>
      </c>
      <c r="HB350">
        <v>7334</v>
      </c>
      <c r="HC350">
        <v>0</v>
      </c>
      <c r="HD350">
        <v>722</v>
      </c>
      <c r="HE350">
        <v>0</v>
      </c>
      <c r="HF350">
        <v>0</v>
      </c>
      <c r="HG350">
        <v>0</v>
      </c>
      <c r="HH350">
        <v>0</v>
      </c>
      <c r="HI350">
        <v>67</v>
      </c>
      <c r="HJ350">
        <v>0</v>
      </c>
      <c r="HK350">
        <v>454</v>
      </c>
      <c r="HL350">
        <v>403</v>
      </c>
      <c r="HM350">
        <v>-56</v>
      </c>
      <c r="HN350">
        <v>0</v>
      </c>
      <c r="HO350">
        <v>120</v>
      </c>
      <c r="HP350">
        <v>1894</v>
      </c>
      <c r="HQ350">
        <v>0</v>
      </c>
      <c r="HR350">
        <v>0</v>
      </c>
      <c r="HS350">
        <v>824</v>
      </c>
      <c r="HT350">
        <v>0</v>
      </c>
      <c r="HU350">
        <v>311</v>
      </c>
      <c r="HV350">
        <v>12073</v>
      </c>
      <c r="HW350">
        <v>33195</v>
      </c>
      <c r="HX350">
        <v>0</v>
      </c>
      <c r="HY350">
        <v>0</v>
      </c>
      <c r="HZ350">
        <v>0</v>
      </c>
      <c r="IA350">
        <v>1808</v>
      </c>
      <c r="IB350">
        <v>0</v>
      </c>
      <c r="IC350">
        <v>299531</v>
      </c>
      <c r="ID350">
        <v>33418</v>
      </c>
      <c r="IE350">
        <v>112106</v>
      </c>
      <c r="IF350">
        <v>290561</v>
      </c>
      <c r="IG350">
        <v>51810</v>
      </c>
      <c r="IH350">
        <v>4645</v>
      </c>
      <c r="II350">
        <v>10675</v>
      </c>
      <c r="IJ350">
        <v>20328</v>
      </c>
      <c r="IK350">
        <v>454</v>
      </c>
      <c r="IL350">
        <v>0</v>
      </c>
      <c r="IM350">
        <v>26486</v>
      </c>
      <c r="IN350">
        <v>12073</v>
      </c>
      <c r="IO350">
        <v>0</v>
      </c>
      <c r="IP350">
        <v>862088</v>
      </c>
      <c r="IQ350">
        <v>0</v>
      </c>
      <c r="IR350">
        <v>0</v>
      </c>
      <c r="IS350">
        <v>0</v>
      </c>
      <c r="IT350">
        <v>0</v>
      </c>
      <c r="IU350">
        <v>0</v>
      </c>
      <c r="IV350">
        <v>0</v>
      </c>
      <c r="IW350">
        <v>0</v>
      </c>
      <c r="IX350">
        <v>0</v>
      </c>
      <c r="IY350">
        <v>0</v>
      </c>
      <c r="IZ350">
        <v>472</v>
      </c>
      <c r="JA350">
        <v>0</v>
      </c>
      <c r="JB350">
        <v>-417</v>
      </c>
      <c r="JC350">
        <v>0</v>
      </c>
      <c r="JD350">
        <v>0</v>
      </c>
      <c r="JE350">
        <v>-884</v>
      </c>
      <c r="JF350">
        <v>0</v>
      </c>
      <c r="JG350">
        <v>861260</v>
      </c>
      <c r="JH350">
        <v>808</v>
      </c>
      <c r="JI350">
        <v>9533</v>
      </c>
      <c r="JJ350">
        <v>0</v>
      </c>
      <c r="JK350">
        <v>0</v>
      </c>
      <c r="JL350">
        <v>0</v>
      </c>
      <c r="JM350">
        <v>171</v>
      </c>
      <c r="JN350">
        <v>10194</v>
      </c>
      <c r="JO350">
        <v>0</v>
      </c>
      <c r="JP350">
        <v>35874</v>
      </c>
      <c r="JQ350">
        <v>0</v>
      </c>
      <c r="JR350">
        <v>917840</v>
      </c>
      <c r="JS350">
        <v>-2394</v>
      </c>
      <c r="JT350">
        <v>0</v>
      </c>
      <c r="JU350">
        <v>803</v>
      </c>
      <c r="JV350">
        <v>0</v>
      </c>
      <c r="JW350">
        <v>-6959</v>
      </c>
      <c r="JX350">
        <v>0</v>
      </c>
      <c r="JY350">
        <v>0</v>
      </c>
      <c r="JZ350">
        <v>0</v>
      </c>
      <c r="KA350">
        <v>0</v>
      </c>
      <c r="KB350">
        <v>0</v>
      </c>
      <c r="KC350">
        <v>909290</v>
      </c>
      <c r="KD350">
        <v>-127</v>
      </c>
      <c r="KE350">
        <v>-397947</v>
      </c>
      <c r="KF350">
        <v>511216</v>
      </c>
      <c r="KG350">
        <v>0</v>
      </c>
      <c r="KH350">
        <v>1644</v>
      </c>
      <c r="KI350">
        <v>0</v>
      </c>
      <c r="KJ350">
        <v>1860</v>
      </c>
      <c r="KK350">
        <v>-27032</v>
      </c>
      <c r="KL350">
        <v>15237</v>
      </c>
      <c r="KM350">
        <v>-16636</v>
      </c>
      <c r="KN350">
        <v>0</v>
      </c>
      <c r="KO350">
        <v>-109485</v>
      </c>
      <c r="KP350">
        <v>1464</v>
      </c>
      <c r="KQ350">
        <v>0</v>
      </c>
      <c r="KR350">
        <v>351681</v>
      </c>
      <c r="KS350">
        <v>17083</v>
      </c>
      <c r="KT350">
        <v>0</v>
      </c>
      <c r="KU350">
        <v>4468</v>
      </c>
      <c r="KV350">
        <v>102442</v>
      </c>
      <c r="KW350">
        <v>76293</v>
      </c>
      <c r="KX350">
        <v>18727</v>
      </c>
      <c r="KY350">
        <v>0</v>
      </c>
      <c r="KZ350">
        <v>6328</v>
      </c>
      <c r="LA350">
        <v>75410</v>
      </c>
      <c r="LB350">
        <v>91530</v>
      </c>
      <c r="LC350">
        <v>0</v>
      </c>
      <c r="LD350">
        <v>51226</v>
      </c>
      <c r="LE350">
        <v>0</v>
      </c>
      <c r="LF350">
        <v>0</v>
      </c>
      <c r="LG350">
        <v>-89817</v>
      </c>
      <c r="LH350">
        <v>43042</v>
      </c>
      <c r="LI350">
        <v>-8250</v>
      </c>
      <c r="LJ350">
        <v>0</v>
      </c>
      <c r="LK350">
        <v>0</v>
      </c>
      <c r="LL350">
        <v>0</v>
      </c>
      <c r="LM350">
        <v>0</v>
      </c>
      <c r="LN350">
        <v>0</v>
      </c>
      <c r="LO350">
        <v>0</v>
      </c>
      <c r="LP350">
        <v>0</v>
      </c>
      <c r="LQ350">
        <v>0</v>
      </c>
      <c r="LR350">
        <v>0</v>
      </c>
      <c r="LS350">
        <v>0</v>
      </c>
      <c r="LT350">
        <v>0</v>
      </c>
      <c r="LU350">
        <v>299531</v>
      </c>
      <c r="LV350">
        <v>33418</v>
      </c>
      <c r="LW350">
        <v>112106</v>
      </c>
      <c r="LX350">
        <v>290561</v>
      </c>
      <c r="LY350">
        <v>51810</v>
      </c>
      <c r="LZ350">
        <v>4645</v>
      </c>
      <c r="MA350">
        <v>10675</v>
      </c>
      <c r="MB350">
        <v>20328</v>
      </c>
      <c r="MC350">
        <v>454</v>
      </c>
      <c r="MD350">
        <v>0</v>
      </c>
      <c r="ME350">
        <v>26486</v>
      </c>
      <c r="MF350">
        <v>12073</v>
      </c>
      <c r="MG350">
        <v>0</v>
      </c>
      <c r="MH350">
        <v>862088</v>
      </c>
      <c r="MI350">
        <v>0</v>
      </c>
      <c r="MJ350">
        <v>0</v>
      </c>
      <c r="MK350">
        <v>0</v>
      </c>
      <c r="ML350">
        <v>0</v>
      </c>
      <c r="MM350">
        <v>0</v>
      </c>
      <c r="MN350">
        <v>0</v>
      </c>
      <c r="MO350">
        <v>0</v>
      </c>
      <c r="MP350">
        <v>0</v>
      </c>
      <c r="MQ350">
        <v>0</v>
      </c>
      <c r="MR350">
        <v>0</v>
      </c>
      <c r="MS350">
        <v>0</v>
      </c>
      <c r="MT350">
        <v>0</v>
      </c>
      <c r="MU350">
        <v>0</v>
      </c>
      <c r="MV350">
        <v>0</v>
      </c>
      <c r="MW350">
        <v>0</v>
      </c>
      <c r="MX350">
        <v>0</v>
      </c>
      <c r="MY350">
        <v>0</v>
      </c>
      <c r="MZ350">
        <v>0</v>
      </c>
      <c r="NA350">
        <v>0</v>
      </c>
      <c r="NB350">
        <v>0</v>
      </c>
      <c r="NC350">
        <v>0</v>
      </c>
      <c r="ND350">
        <v>0</v>
      </c>
      <c r="NE350">
        <v>0</v>
      </c>
      <c r="NF350">
        <v>0</v>
      </c>
      <c r="NG350">
        <v>0</v>
      </c>
      <c r="NH350">
        <v>0</v>
      </c>
      <c r="NI350">
        <v>0</v>
      </c>
      <c r="NJ350">
        <v>0</v>
      </c>
      <c r="NK350">
        <v>0</v>
      </c>
      <c r="NL350">
        <v>0</v>
      </c>
      <c r="NM350">
        <v>0</v>
      </c>
      <c r="NN350">
        <v>0</v>
      </c>
      <c r="NO350">
        <v>0</v>
      </c>
      <c r="NP350">
        <v>0</v>
      </c>
      <c r="NQ350">
        <v>0</v>
      </c>
      <c r="NR350">
        <v>0</v>
      </c>
      <c r="NS350">
        <v>0</v>
      </c>
      <c r="NT350">
        <v>0</v>
      </c>
      <c r="NU350">
        <v>0</v>
      </c>
      <c r="NV350">
        <v>0</v>
      </c>
      <c r="NW350">
        <v>-417</v>
      </c>
      <c r="NX350">
        <v>0</v>
      </c>
      <c r="NY350">
        <v>0</v>
      </c>
      <c r="NZ350">
        <v>-417</v>
      </c>
      <c r="OA350">
        <v>0</v>
      </c>
      <c r="OB350">
        <v>-417</v>
      </c>
      <c r="OC350">
        <v>0</v>
      </c>
      <c r="OD350">
        <v>0</v>
      </c>
      <c r="OE350">
        <v>0</v>
      </c>
      <c r="OF350">
        <v>0</v>
      </c>
      <c r="OG350">
        <v>0</v>
      </c>
      <c r="OH350">
        <v>0</v>
      </c>
      <c r="OI350">
        <v>0</v>
      </c>
      <c r="OJ350">
        <v>0</v>
      </c>
      <c r="OK350">
        <v>0</v>
      </c>
      <c r="OL350">
        <v>0</v>
      </c>
      <c r="OM350">
        <v>0</v>
      </c>
      <c r="ON350">
        <v>0</v>
      </c>
    </row>
    <row r="351" spans="1:404" x14ac:dyDescent="0.25">
      <c r="A351" t="s">
        <v>1124</v>
      </c>
      <c r="B351" t="s">
        <v>1125</v>
      </c>
      <c r="C351" t="s">
        <v>1123</v>
      </c>
      <c r="E351" t="s">
        <v>71</v>
      </c>
      <c r="F351">
        <v>0</v>
      </c>
      <c r="G351">
        <v>0</v>
      </c>
      <c r="H351">
        <v>0</v>
      </c>
      <c r="I351">
        <v>0</v>
      </c>
      <c r="J351">
        <v>0</v>
      </c>
      <c r="K351">
        <v>0</v>
      </c>
      <c r="L351">
        <v>0</v>
      </c>
      <c r="M351">
        <v>0</v>
      </c>
      <c r="N351">
        <v>0</v>
      </c>
      <c r="O351">
        <v>0</v>
      </c>
      <c r="P351">
        <v>0</v>
      </c>
      <c r="Q351">
        <v>0</v>
      </c>
      <c r="R351">
        <v>0</v>
      </c>
      <c r="S351">
        <v>0</v>
      </c>
      <c r="T351">
        <v>0</v>
      </c>
      <c r="U351">
        <v>0</v>
      </c>
      <c r="V351">
        <v>0</v>
      </c>
      <c r="W351">
        <v>0</v>
      </c>
      <c r="X351">
        <v>0</v>
      </c>
      <c r="Y351">
        <v>0</v>
      </c>
      <c r="Z351">
        <v>0</v>
      </c>
      <c r="AA351">
        <v>0</v>
      </c>
      <c r="AB351">
        <v>0</v>
      </c>
      <c r="AC351">
        <v>0</v>
      </c>
      <c r="AD351">
        <v>0</v>
      </c>
      <c r="AE351">
        <v>0</v>
      </c>
      <c r="AF351">
        <v>0</v>
      </c>
      <c r="AG351">
        <v>0</v>
      </c>
      <c r="AH351">
        <v>0</v>
      </c>
      <c r="AI351">
        <v>0</v>
      </c>
      <c r="AJ351">
        <v>0</v>
      </c>
      <c r="AK351">
        <v>0</v>
      </c>
      <c r="AL351">
        <v>0</v>
      </c>
      <c r="AM351">
        <v>0</v>
      </c>
      <c r="AN351">
        <v>0</v>
      </c>
      <c r="AO351">
        <v>0</v>
      </c>
      <c r="AP351">
        <v>0</v>
      </c>
      <c r="AQ351">
        <v>0</v>
      </c>
      <c r="AR351">
        <v>0</v>
      </c>
      <c r="AS351">
        <v>0</v>
      </c>
      <c r="AT351">
        <v>0</v>
      </c>
      <c r="AU351">
        <v>0</v>
      </c>
      <c r="AV351">
        <v>0</v>
      </c>
      <c r="AW351">
        <v>0</v>
      </c>
      <c r="AX351">
        <v>0</v>
      </c>
      <c r="AY351">
        <v>0</v>
      </c>
      <c r="AZ351">
        <v>0</v>
      </c>
      <c r="BA351">
        <v>0</v>
      </c>
      <c r="BB351">
        <v>0</v>
      </c>
      <c r="BC351">
        <v>0</v>
      </c>
      <c r="BD351">
        <v>0</v>
      </c>
      <c r="BE351">
        <v>0</v>
      </c>
      <c r="BF351">
        <v>0</v>
      </c>
      <c r="BG351">
        <v>0</v>
      </c>
      <c r="BH351">
        <v>0</v>
      </c>
      <c r="BI351">
        <v>0</v>
      </c>
      <c r="BJ351">
        <v>0</v>
      </c>
      <c r="BK351">
        <v>0</v>
      </c>
      <c r="BL351">
        <v>0</v>
      </c>
      <c r="BM351">
        <v>0</v>
      </c>
      <c r="BN351">
        <v>0</v>
      </c>
      <c r="BO351">
        <v>0</v>
      </c>
      <c r="BP351">
        <v>0</v>
      </c>
      <c r="BQ351">
        <v>0</v>
      </c>
      <c r="BR351">
        <v>0</v>
      </c>
      <c r="BS351">
        <v>0</v>
      </c>
      <c r="BT351">
        <v>0</v>
      </c>
      <c r="BU351">
        <v>0</v>
      </c>
      <c r="BV351">
        <v>0</v>
      </c>
      <c r="BW351">
        <v>0</v>
      </c>
      <c r="BX351">
        <v>0</v>
      </c>
      <c r="BY351">
        <v>0</v>
      </c>
      <c r="BZ351">
        <v>0</v>
      </c>
      <c r="CA351">
        <v>0</v>
      </c>
      <c r="CB351">
        <v>0</v>
      </c>
      <c r="CC351">
        <v>0</v>
      </c>
      <c r="CD351">
        <v>0</v>
      </c>
      <c r="CE351">
        <v>0</v>
      </c>
      <c r="CF351">
        <v>0</v>
      </c>
      <c r="CG351">
        <v>0</v>
      </c>
      <c r="CH351">
        <v>0</v>
      </c>
      <c r="CI351">
        <v>0</v>
      </c>
      <c r="CJ351">
        <v>0</v>
      </c>
      <c r="CK351">
        <v>0</v>
      </c>
      <c r="CL351">
        <v>0</v>
      </c>
      <c r="CM351">
        <v>0</v>
      </c>
      <c r="CN351">
        <v>0</v>
      </c>
      <c r="CO351">
        <v>0</v>
      </c>
      <c r="CP351">
        <v>0</v>
      </c>
      <c r="CQ351">
        <v>0</v>
      </c>
      <c r="CR351">
        <v>0</v>
      </c>
      <c r="CS351">
        <v>0</v>
      </c>
      <c r="CT351">
        <v>0</v>
      </c>
      <c r="CU351">
        <v>0</v>
      </c>
      <c r="CV351">
        <v>0</v>
      </c>
      <c r="CW351">
        <v>0</v>
      </c>
      <c r="CX351">
        <v>0</v>
      </c>
      <c r="CY351">
        <v>0</v>
      </c>
      <c r="CZ351">
        <v>0</v>
      </c>
      <c r="DA351">
        <v>0</v>
      </c>
      <c r="DB351">
        <v>0</v>
      </c>
      <c r="DC351">
        <v>0</v>
      </c>
      <c r="DD351">
        <v>0</v>
      </c>
      <c r="DE351">
        <v>0</v>
      </c>
      <c r="DF351">
        <v>0</v>
      </c>
      <c r="DG351">
        <v>0</v>
      </c>
      <c r="DH351">
        <v>0</v>
      </c>
      <c r="DI351">
        <v>0</v>
      </c>
      <c r="DJ351">
        <v>0</v>
      </c>
      <c r="DK351">
        <v>0</v>
      </c>
      <c r="DL351">
        <v>0</v>
      </c>
      <c r="DM351">
        <v>0</v>
      </c>
      <c r="DN351">
        <v>0</v>
      </c>
      <c r="DO351">
        <v>0</v>
      </c>
      <c r="DP351">
        <v>0</v>
      </c>
      <c r="DQ351">
        <v>0</v>
      </c>
      <c r="DR351">
        <v>0</v>
      </c>
      <c r="DS351">
        <v>0</v>
      </c>
      <c r="DT351">
        <v>0</v>
      </c>
      <c r="DU351">
        <v>0</v>
      </c>
      <c r="DV351">
        <v>0</v>
      </c>
      <c r="DW351">
        <v>0</v>
      </c>
      <c r="DX351">
        <v>0</v>
      </c>
      <c r="DY351">
        <v>0</v>
      </c>
      <c r="DZ351">
        <v>0</v>
      </c>
      <c r="EA351">
        <v>0</v>
      </c>
      <c r="EB351">
        <v>0</v>
      </c>
      <c r="EC351">
        <v>0</v>
      </c>
      <c r="ED351">
        <v>0</v>
      </c>
      <c r="EE351">
        <v>0</v>
      </c>
      <c r="EF351">
        <v>0</v>
      </c>
      <c r="EG351">
        <v>0</v>
      </c>
      <c r="EH351">
        <v>0</v>
      </c>
      <c r="EI351">
        <v>0</v>
      </c>
      <c r="EJ351">
        <v>0</v>
      </c>
      <c r="EK351">
        <v>0</v>
      </c>
      <c r="EL351">
        <v>0</v>
      </c>
      <c r="EM351">
        <v>0</v>
      </c>
      <c r="EN351">
        <v>0</v>
      </c>
      <c r="EO351">
        <v>0</v>
      </c>
      <c r="EP351">
        <v>0</v>
      </c>
      <c r="EQ351">
        <v>0</v>
      </c>
      <c r="ER351">
        <v>0</v>
      </c>
      <c r="ES351">
        <v>0</v>
      </c>
      <c r="ET351">
        <v>0</v>
      </c>
      <c r="EU351">
        <v>0</v>
      </c>
      <c r="EV351">
        <v>0</v>
      </c>
      <c r="EW351">
        <v>0</v>
      </c>
      <c r="EX351">
        <v>0</v>
      </c>
      <c r="EY351">
        <v>0</v>
      </c>
      <c r="EZ351">
        <v>0</v>
      </c>
      <c r="FA351">
        <v>0</v>
      </c>
      <c r="FB351">
        <v>0</v>
      </c>
      <c r="FC351">
        <v>0</v>
      </c>
      <c r="FD351">
        <v>0</v>
      </c>
      <c r="FE351">
        <v>0</v>
      </c>
      <c r="FF351">
        <v>0</v>
      </c>
      <c r="FG351">
        <v>0</v>
      </c>
      <c r="FH351">
        <v>0</v>
      </c>
      <c r="FI351">
        <v>0</v>
      </c>
      <c r="FJ351">
        <v>0</v>
      </c>
      <c r="FK351">
        <v>0</v>
      </c>
      <c r="FL351">
        <v>0</v>
      </c>
      <c r="FM351">
        <v>0</v>
      </c>
      <c r="FN351">
        <v>0</v>
      </c>
      <c r="FO351">
        <v>0</v>
      </c>
      <c r="FP351">
        <v>0</v>
      </c>
      <c r="FQ351">
        <v>0</v>
      </c>
      <c r="FR351">
        <v>0</v>
      </c>
      <c r="FS351">
        <v>0</v>
      </c>
      <c r="FT351">
        <v>0</v>
      </c>
      <c r="FU351">
        <v>0</v>
      </c>
      <c r="FV351">
        <v>0</v>
      </c>
      <c r="FW351">
        <v>0</v>
      </c>
      <c r="FX351">
        <v>0</v>
      </c>
      <c r="FY351">
        <v>0</v>
      </c>
      <c r="FZ351">
        <v>0</v>
      </c>
      <c r="GA351">
        <v>0</v>
      </c>
      <c r="GB351">
        <v>0</v>
      </c>
      <c r="GC351">
        <v>0</v>
      </c>
      <c r="GD351">
        <v>0</v>
      </c>
      <c r="GE351">
        <v>0</v>
      </c>
      <c r="GF351">
        <v>0</v>
      </c>
      <c r="GG351">
        <v>0</v>
      </c>
      <c r="GH351">
        <v>0</v>
      </c>
      <c r="GI351">
        <v>0</v>
      </c>
      <c r="GJ351">
        <v>0</v>
      </c>
      <c r="GK351">
        <v>0</v>
      </c>
      <c r="GL351">
        <v>0</v>
      </c>
      <c r="GM351">
        <v>0</v>
      </c>
      <c r="GN351">
        <v>0</v>
      </c>
      <c r="GO351">
        <v>0</v>
      </c>
      <c r="GP351">
        <v>0</v>
      </c>
      <c r="GQ351">
        <v>0</v>
      </c>
      <c r="GR351">
        <v>0</v>
      </c>
      <c r="GS351">
        <v>0</v>
      </c>
      <c r="GT351">
        <v>0</v>
      </c>
      <c r="GU351">
        <v>0</v>
      </c>
      <c r="GV351">
        <v>0</v>
      </c>
      <c r="GW351">
        <v>137159</v>
      </c>
      <c r="GX351">
        <v>0</v>
      </c>
      <c r="GY351">
        <v>0</v>
      </c>
      <c r="GZ351">
        <v>0</v>
      </c>
      <c r="HA351">
        <v>0</v>
      </c>
      <c r="HB351">
        <v>0</v>
      </c>
      <c r="HC351">
        <v>0</v>
      </c>
      <c r="HD351">
        <v>0</v>
      </c>
      <c r="HE351">
        <v>0</v>
      </c>
      <c r="HF351">
        <v>0</v>
      </c>
      <c r="HG351">
        <v>0</v>
      </c>
      <c r="HH351">
        <v>0</v>
      </c>
      <c r="HI351">
        <v>0</v>
      </c>
      <c r="HJ351">
        <v>0</v>
      </c>
      <c r="HK351">
        <v>0</v>
      </c>
      <c r="HL351">
        <v>0</v>
      </c>
      <c r="HM351">
        <v>0</v>
      </c>
      <c r="HN351">
        <v>0</v>
      </c>
      <c r="HO351">
        <v>0</v>
      </c>
      <c r="HP351">
        <v>0</v>
      </c>
      <c r="HQ351">
        <v>0</v>
      </c>
      <c r="HR351">
        <v>0</v>
      </c>
      <c r="HS351">
        <v>0</v>
      </c>
      <c r="HT351">
        <v>0</v>
      </c>
      <c r="HU351">
        <v>0</v>
      </c>
      <c r="HV351">
        <v>0</v>
      </c>
      <c r="HW351">
        <v>0</v>
      </c>
      <c r="HX351">
        <v>0</v>
      </c>
      <c r="HY351">
        <v>0</v>
      </c>
      <c r="HZ351">
        <v>0</v>
      </c>
      <c r="IA351">
        <v>0</v>
      </c>
      <c r="IB351">
        <v>0</v>
      </c>
      <c r="IC351">
        <v>0</v>
      </c>
      <c r="ID351">
        <v>0</v>
      </c>
      <c r="IE351">
        <v>0</v>
      </c>
      <c r="IF351">
        <v>0</v>
      </c>
      <c r="IG351">
        <v>0</v>
      </c>
      <c r="IH351">
        <v>0</v>
      </c>
      <c r="II351">
        <v>0</v>
      </c>
      <c r="IJ351">
        <v>0</v>
      </c>
      <c r="IK351">
        <v>0</v>
      </c>
      <c r="IL351">
        <v>137159</v>
      </c>
      <c r="IM351">
        <v>0</v>
      </c>
      <c r="IN351">
        <v>0</v>
      </c>
      <c r="IO351">
        <v>0</v>
      </c>
      <c r="IP351">
        <v>137159</v>
      </c>
      <c r="IQ351">
        <v>0</v>
      </c>
      <c r="IR351">
        <v>0</v>
      </c>
      <c r="IS351">
        <v>0</v>
      </c>
      <c r="IT351">
        <v>0</v>
      </c>
      <c r="IU351">
        <v>0</v>
      </c>
      <c r="IV351">
        <v>0</v>
      </c>
      <c r="IW351">
        <v>0</v>
      </c>
      <c r="IX351">
        <v>0</v>
      </c>
      <c r="IY351">
        <v>0</v>
      </c>
      <c r="IZ351">
        <v>0</v>
      </c>
      <c r="JA351">
        <v>0</v>
      </c>
      <c r="JB351">
        <v>0</v>
      </c>
      <c r="JC351">
        <v>0</v>
      </c>
      <c r="JD351">
        <v>0</v>
      </c>
      <c r="JE351">
        <v>35</v>
      </c>
      <c r="JF351">
        <v>0</v>
      </c>
      <c r="JG351">
        <v>137194</v>
      </c>
      <c r="JH351">
        <v>0</v>
      </c>
      <c r="JI351">
        <v>3677</v>
      </c>
      <c r="JJ351">
        <v>0</v>
      </c>
      <c r="JK351">
        <v>0</v>
      </c>
      <c r="JL351">
        <v>0</v>
      </c>
      <c r="JM351">
        <v>0</v>
      </c>
      <c r="JN351">
        <v>807</v>
      </c>
      <c r="JO351">
        <v>0</v>
      </c>
      <c r="JP351">
        <v>2313</v>
      </c>
      <c r="JQ351">
        <v>0</v>
      </c>
      <c r="JR351">
        <v>143991</v>
      </c>
      <c r="JS351">
        <v>-36</v>
      </c>
      <c r="JT351">
        <v>131</v>
      </c>
      <c r="JU351">
        <v>0</v>
      </c>
      <c r="JV351">
        <v>0</v>
      </c>
      <c r="JW351">
        <v>0</v>
      </c>
      <c r="JX351">
        <v>0</v>
      </c>
      <c r="JY351">
        <v>0</v>
      </c>
      <c r="JZ351">
        <v>0</v>
      </c>
      <c r="KA351">
        <v>0</v>
      </c>
      <c r="KB351">
        <v>0</v>
      </c>
      <c r="KC351">
        <v>144086</v>
      </c>
      <c r="KD351">
        <v>0</v>
      </c>
      <c r="KE351">
        <v>-7676</v>
      </c>
      <c r="KF351">
        <v>136410</v>
      </c>
      <c r="KG351">
        <v>0</v>
      </c>
      <c r="KH351">
        <v>0</v>
      </c>
      <c r="KI351">
        <v>0</v>
      </c>
      <c r="KJ351">
        <v>0</v>
      </c>
      <c r="KK351">
        <v>3728</v>
      </c>
      <c r="KL351">
        <v>300</v>
      </c>
      <c r="KM351">
        <v>0</v>
      </c>
      <c r="KN351">
        <v>-79932</v>
      </c>
      <c r="KO351">
        <v>0</v>
      </c>
      <c r="KP351">
        <v>223</v>
      </c>
      <c r="KQ351">
        <v>52</v>
      </c>
      <c r="KR351">
        <v>59829</v>
      </c>
      <c r="KS351">
        <v>0</v>
      </c>
      <c r="KT351">
        <v>0</v>
      </c>
      <c r="KU351">
        <v>0</v>
      </c>
      <c r="KV351">
        <v>12631</v>
      </c>
      <c r="KW351">
        <v>4000</v>
      </c>
      <c r="KX351">
        <v>0</v>
      </c>
      <c r="KY351">
        <v>0</v>
      </c>
      <c r="KZ351">
        <v>0</v>
      </c>
      <c r="LA351">
        <v>16359</v>
      </c>
      <c r="LB351">
        <v>4300</v>
      </c>
      <c r="LC351">
        <v>0</v>
      </c>
      <c r="LD351">
        <v>5389</v>
      </c>
      <c r="LE351">
        <v>0</v>
      </c>
      <c r="LF351">
        <v>-139</v>
      </c>
      <c r="LG351">
        <v>0</v>
      </c>
      <c r="LH351">
        <v>0</v>
      </c>
      <c r="LI351">
        <v>5250</v>
      </c>
      <c r="LJ351">
        <v>0</v>
      </c>
      <c r="LK351">
        <v>0</v>
      </c>
      <c r="LL351">
        <v>0</v>
      </c>
      <c r="LM351">
        <v>0</v>
      </c>
      <c r="LN351">
        <v>0</v>
      </c>
      <c r="LO351">
        <v>0</v>
      </c>
      <c r="LP351">
        <v>0</v>
      </c>
      <c r="LQ351">
        <v>0</v>
      </c>
      <c r="LR351">
        <v>0</v>
      </c>
      <c r="LS351">
        <v>0</v>
      </c>
      <c r="LT351">
        <v>0</v>
      </c>
      <c r="LU351">
        <v>0</v>
      </c>
      <c r="LV351">
        <v>0</v>
      </c>
      <c r="LW351">
        <v>0</v>
      </c>
      <c r="LX351">
        <v>0</v>
      </c>
      <c r="LY351">
        <v>0</v>
      </c>
      <c r="LZ351">
        <v>0</v>
      </c>
      <c r="MA351">
        <v>0</v>
      </c>
      <c r="MB351">
        <v>0</v>
      </c>
      <c r="MC351">
        <v>0</v>
      </c>
      <c r="MD351">
        <v>137159</v>
      </c>
      <c r="ME351">
        <v>0</v>
      </c>
      <c r="MF351">
        <v>0</v>
      </c>
      <c r="MG351">
        <v>0</v>
      </c>
      <c r="MH351">
        <v>137159</v>
      </c>
      <c r="MI351">
        <v>0</v>
      </c>
      <c r="MJ351">
        <v>0</v>
      </c>
      <c r="MK351">
        <v>0</v>
      </c>
      <c r="ML351">
        <v>0</v>
      </c>
      <c r="MM351">
        <v>0</v>
      </c>
      <c r="MN351">
        <v>0</v>
      </c>
      <c r="MO351">
        <v>0</v>
      </c>
      <c r="MP351">
        <v>0</v>
      </c>
      <c r="MQ351">
        <v>0</v>
      </c>
      <c r="MR351">
        <v>0</v>
      </c>
      <c r="MS351">
        <v>0</v>
      </c>
      <c r="MT351">
        <v>0</v>
      </c>
      <c r="MU351">
        <v>0</v>
      </c>
      <c r="MV351">
        <v>0</v>
      </c>
      <c r="MW351">
        <v>0</v>
      </c>
      <c r="MX351">
        <v>0</v>
      </c>
      <c r="MY351">
        <v>0</v>
      </c>
      <c r="MZ351">
        <v>0</v>
      </c>
      <c r="NA351">
        <v>0</v>
      </c>
      <c r="NB351">
        <v>0</v>
      </c>
      <c r="NC351">
        <v>0</v>
      </c>
      <c r="ND351">
        <v>0</v>
      </c>
      <c r="NE351">
        <v>0</v>
      </c>
      <c r="NF351">
        <v>0</v>
      </c>
      <c r="NG351">
        <v>0</v>
      </c>
      <c r="NH351">
        <v>0</v>
      </c>
      <c r="NI351">
        <v>0</v>
      </c>
      <c r="NJ351">
        <v>0</v>
      </c>
      <c r="NK351">
        <v>0</v>
      </c>
      <c r="NL351">
        <v>0</v>
      </c>
      <c r="NM351">
        <v>0</v>
      </c>
      <c r="NN351">
        <v>0</v>
      </c>
      <c r="NO351">
        <v>0</v>
      </c>
      <c r="NP351">
        <v>0</v>
      </c>
      <c r="NQ351">
        <v>0</v>
      </c>
      <c r="NR351">
        <v>0</v>
      </c>
      <c r="NS351">
        <v>0</v>
      </c>
      <c r="NT351">
        <v>0</v>
      </c>
      <c r="NU351">
        <v>0</v>
      </c>
      <c r="NV351">
        <v>0</v>
      </c>
      <c r="NW351">
        <v>0</v>
      </c>
      <c r="NX351">
        <v>0</v>
      </c>
      <c r="NY351">
        <v>0</v>
      </c>
      <c r="NZ351">
        <v>0</v>
      </c>
      <c r="OA351">
        <v>0</v>
      </c>
      <c r="OB351">
        <v>0</v>
      </c>
      <c r="OC351">
        <v>0</v>
      </c>
      <c r="OD351">
        <v>0</v>
      </c>
      <c r="OE351">
        <v>0</v>
      </c>
      <c r="OF351">
        <v>0</v>
      </c>
      <c r="OG351">
        <v>0</v>
      </c>
      <c r="OH351">
        <v>0</v>
      </c>
      <c r="OI351">
        <v>0</v>
      </c>
      <c r="OJ351">
        <v>0</v>
      </c>
      <c r="OK351">
        <v>0</v>
      </c>
      <c r="OL351">
        <v>0</v>
      </c>
      <c r="OM351">
        <v>0</v>
      </c>
      <c r="ON351">
        <v>0</v>
      </c>
    </row>
    <row r="352" spans="1:404" x14ac:dyDescent="0.25">
      <c r="A352" t="s">
        <v>1127</v>
      </c>
      <c r="B352" t="s">
        <v>1128</v>
      </c>
      <c r="C352" t="s">
        <v>1126</v>
      </c>
      <c r="E352" t="s">
        <v>97</v>
      </c>
      <c r="F352">
        <v>18708</v>
      </c>
      <c r="G352">
        <v>60075</v>
      </c>
      <c r="H352">
        <v>6686</v>
      </c>
      <c r="I352">
        <v>20323</v>
      </c>
      <c r="J352">
        <v>1221</v>
      </c>
      <c r="K352">
        <v>8610</v>
      </c>
      <c r="L352">
        <v>115623</v>
      </c>
      <c r="M352">
        <v>1343</v>
      </c>
      <c r="N352">
        <v>0</v>
      </c>
      <c r="O352">
        <v>0</v>
      </c>
      <c r="P352">
        <v>-381</v>
      </c>
      <c r="Q352">
        <v>328</v>
      </c>
      <c r="R352">
        <v>417</v>
      </c>
      <c r="S352">
        <v>843</v>
      </c>
      <c r="T352">
        <v>1352</v>
      </c>
      <c r="U352">
        <v>5388</v>
      </c>
      <c r="V352">
        <v>0</v>
      </c>
      <c r="W352">
        <v>0</v>
      </c>
      <c r="X352">
        <v>570</v>
      </c>
      <c r="Y352">
        <v>-31</v>
      </c>
      <c r="Z352">
        <v>148</v>
      </c>
      <c r="AA352">
        <v>-65</v>
      </c>
      <c r="AB352">
        <v>0</v>
      </c>
      <c r="AC352">
        <v>0</v>
      </c>
      <c r="AD352">
        <v>0</v>
      </c>
      <c r="AE352">
        <v>0</v>
      </c>
      <c r="AF352">
        <v>0</v>
      </c>
      <c r="AG352">
        <v>0</v>
      </c>
      <c r="AH352">
        <v>0</v>
      </c>
      <c r="AI352">
        <v>9912</v>
      </c>
      <c r="AJ352">
        <v>0</v>
      </c>
      <c r="AK352">
        <v>0</v>
      </c>
      <c r="AL352">
        <v>0</v>
      </c>
      <c r="AM352">
        <v>0</v>
      </c>
      <c r="AN352">
        <v>0</v>
      </c>
      <c r="AO352">
        <v>0</v>
      </c>
      <c r="AP352">
        <v>0</v>
      </c>
      <c r="AQ352">
        <v>401</v>
      </c>
      <c r="AR352">
        <v>553</v>
      </c>
      <c r="AS352">
        <v>0</v>
      </c>
      <c r="AT352">
        <v>0</v>
      </c>
      <c r="AU352">
        <v>0</v>
      </c>
      <c r="AV352">
        <v>750</v>
      </c>
      <c r="AW352">
        <v>42269</v>
      </c>
      <c r="AX352">
        <v>9</v>
      </c>
      <c r="AY352">
        <v>3596</v>
      </c>
      <c r="AZ352">
        <v>812</v>
      </c>
      <c r="BA352">
        <v>21186</v>
      </c>
      <c r="BB352">
        <v>0</v>
      </c>
      <c r="BC352">
        <v>2906</v>
      </c>
      <c r="BD352">
        <v>71528</v>
      </c>
      <c r="BE352">
        <v>419</v>
      </c>
      <c r="BF352">
        <v>29693</v>
      </c>
      <c r="BG352">
        <v>20</v>
      </c>
      <c r="BH352">
        <v>101</v>
      </c>
      <c r="BI352">
        <v>436</v>
      </c>
      <c r="BJ352">
        <v>5433</v>
      </c>
      <c r="BK352">
        <v>25833</v>
      </c>
      <c r="BL352">
        <v>711</v>
      </c>
      <c r="BM352">
        <v>3602</v>
      </c>
      <c r="BN352">
        <v>2689</v>
      </c>
      <c r="BO352">
        <v>0</v>
      </c>
      <c r="BP352">
        <v>0</v>
      </c>
      <c r="BQ352">
        <v>0</v>
      </c>
      <c r="BR352">
        <v>1908</v>
      </c>
      <c r="BS352">
        <v>6504</v>
      </c>
      <c r="BT352">
        <v>10680</v>
      </c>
      <c r="BU352">
        <v>0</v>
      </c>
      <c r="BV352">
        <v>-5905</v>
      </c>
      <c r="BW352">
        <v>87252</v>
      </c>
      <c r="BX352">
        <v>1380</v>
      </c>
      <c r="BY352">
        <v>1375</v>
      </c>
      <c r="BZ352">
        <v>61</v>
      </c>
      <c r="CA352">
        <v>152</v>
      </c>
      <c r="CB352">
        <v>436</v>
      </c>
      <c r="CC352">
        <v>186</v>
      </c>
      <c r="CD352">
        <v>128</v>
      </c>
      <c r="CE352">
        <v>493</v>
      </c>
      <c r="CF352">
        <v>245</v>
      </c>
      <c r="CG352">
        <v>442</v>
      </c>
      <c r="CH352">
        <v>542</v>
      </c>
      <c r="CI352">
        <v>2907</v>
      </c>
      <c r="CJ352">
        <v>1596</v>
      </c>
      <c r="CK352">
        <v>338</v>
      </c>
      <c r="CL352">
        <v>135</v>
      </c>
      <c r="CM352">
        <v>383</v>
      </c>
      <c r="CN352">
        <v>810</v>
      </c>
      <c r="CO352">
        <v>128</v>
      </c>
      <c r="CP352">
        <v>1857</v>
      </c>
      <c r="CQ352">
        <v>2949</v>
      </c>
      <c r="CR352">
        <v>3067</v>
      </c>
      <c r="CS352">
        <v>33</v>
      </c>
      <c r="CT352">
        <v>358</v>
      </c>
      <c r="CU352">
        <v>449</v>
      </c>
      <c r="CV352">
        <v>26593</v>
      </c>
      <c r="CW352">
        <v>283</v>
      </c>
      <c r="CX352">
        <v>0</v>
      </c>
      <c r="CY352">
        <v>480</v>
      </c>
      <c r="CZ352">
        <v>0</v>
      </c>
      <c r="DA352">
        <v>0</v>
      </c>
      <c r="DB352">
        <v>0</v>
      </c>
      <c r="DC352">
        <v>-127</v>
      </c>
      <c r="DD352">
        <v>0</v>
      </c>
      <c r="DE352">
        <v>-32</v>
      </c>
      <c r="DF352">
        <v>644</v>
      </c>
      <c r="DG352">
        <v>0</v>
      </c>
      <c r="DH352">
        <v>76</v>
      </c>
      <c r="DI352">
        <v>0</v>
      </c>
      <c r="DJ352">
        <v>193</v>
      </c>
      <c r="DK352">
        <v>0</v>
      </c>
      <c r="DL352">
        <v>0</v>
      </c>
      <c r="DM352">
        <v>0</v>
      </c>
      <c r="DN352">
        <v>704</v>
      </c>
      <c r="DO352">
        <v>1388</v>
      </c>
      <c r="DP352">
        <v>2361</v>
      </c>
      <c r="DQ352">
        <v>0</v>
      </c>
      <c r="DR352">
        <v>0</v>
      </c>
      <c r="DS352">
        <v>0</v>
      </c>
      <c r="DT352">
        <v>1224</v>
      </c>
      <c r="DU352">
        <v>0</v>
      </c>
      <c r="DV352">
        <v>978</v>
      </c>
      <c r="DW352">
        <v>48</v>
      </c>
      <c r="DX352">
        <v>5096</v>
      </c>
      <c r="DY352">
        <v>0</v>
      </c>
      <c r="DZ352">
        <v>0</v>
      </c>
      <c r="EA352">
        <v>0</v>
      </c>
      <c r="EB352">
        <v>0</v>
      </c>
      <c r="EC352">
        <v>0</v>
      </c>
      <c r="ED352">
        <v>0</v>
      </c>
      <c r="EE352">
        <v>0</v>
      </c>
      <c r="EF352">
        <v>0</v>
      </c>
      <c r="EG352">
        <v>0</v>
      </c>
      <c r="EH352">
        <v>0</v>
      </c>
      <c r="EI352">
        <v>0</v>
      </c>
      <c r="EJ352">
        <v>0</v>
      </c>
      <c r="EK352">
        <v>0</v>
      </c>
      <c r="EL352">
        <v>0</v>
      </c>
      <c r="EM352">
        <v>0</v>
      </c>
      <c r="EN352">
        <v>0</v>
      </c>
      <c r="EO352">
        <v>0</v>
      </c>
      <c r="EP352">
        <v>0</v>
      </c>
      <c r="EQ352">
        <v>0</v>
      </c>
      <c r="ER352">
        <v>0</v>
      </c>
      <c r="ES352">
        <v>0</v>
      </c>
      <c r="ET352">
        <v>0</v>
      </c>
      <c r="EU352">
        <v>95</v>
      </c>
      <c r="EV352">
        <v>268</v>
      </c>
      <c r="EW352">
        <v>232</v>
      </c>
      <c r="EX352">
        <v>1109</v>
      </c>
      <c r="EY352">
        <v>1788</v>
      </c>
      <c r="EZ352">
        <v>86</v>
      </c>
      <c r="FA352">
        <v>321</v>
      </c>
      <c r="FB352">
        <v>840</v>
      </c>
      <c r="FC352">
        <v>219</v>
      </c>
      <c r="FD352">
        <v>2292</v>
      </c>
      <c r="FE352">
        <v>-10</v>
      </c>
      <c r="FF352">
        <v>58</v>
      </c>
      <c r="FG352">
        <v>1123</v>
      </c>
      <c r="FH352">
        <v>8421</v>
      </c>
      <c r="FI352">
        <v>-1634</v>
      </c>
      <c r="FJ352">
        <v>281</v>
      </c>
      <c r="FK352">
        <v>0</v>
      </c>
      <c r="FL352">
        <v>315</v>
      </c>
      <c r="FM352">
        <v>399</v>
      </c>
      <c r="FN352">
        <v>761</v>
      </c>
      <c r="FO352">
        <v>69</v>
      </c>
      <c r="FP352">
        <v>0</v>
      </c>
      <c r="FQ352">
        <v>0</v>
      </c>
      <c r="FR352">
        <v>218</v>
      </c>
      <c r="FS352">
        <v>214</v>
      </c>
      <c r="FT352">
        <v>648</v>
      </c>
      <c r="FU352">
        <v>5</v>
      </c>
      <c r="FV352">
        <v>142</v>
      </c>
      <c r="FW352">
        <v>178</v>
      </c>
      <c r="FX352">
        <v>8</v>
      </c>
      <c r="FY352">
        <v>232</v>
      </c>
      <c r="FZ352">
        <v>0</v>
      </c>
      <c r="GA352">
        <v>0</v>
      </c>
      <c r="GB352">
        <v>68</v>
      </c>
      <c r="GC352">
        <v>0</v>
      </c>
      <c r="GD352">
        <v>10280</v>
      </c>
      <c r="GE352">
        <v>7726</v>
      </c>
      <c r="GF352">
        <v>7878</v>
      </c>
      <c r="GG352">
        <v>-259</v>
      </c>
      <c r="GH352">
        <v>792</v>
      </c>
      <c r="GI352">
        <v>0</v>
      </c>
      <c r="GJ352">
        <v>248</v>
      </c>
      <c r="GK352">
        <v>28569</v>
      </c>
      <c r="GL352">
        <v>174</v>
      </c>
      <c r="GM352">
        <v>117</v>
      </c>
      <c r="GN352">
        <v>0</v>
      </c>
      <c r="GO352">
        <v>1461</v>
      </c>
      <c r="GP352">
        <v>-756</v>
      </c>
      <c r="GQ352">
        <v>599</v>
      </c>
      <c r="GR352">
        <v>0</v>
      </c>
      <c r="GS352">
        <v>1625</v>
      </c>
      <c r="GT352">
        <v>1787</v>
      </c>
      <c r="GU352">
        <v>5007</v>
      </c>
      <c r="GV352">
        <v>41997</v>
      </c>
      <c r="GW352">
        <v>0</v>
      </c>
      <c r="GX352">
        <v>0</v>
      </c>
      <c r="GY352">
        <v>0</v>
      </c>
      <c r="GZ352">
        <v>0</v>
      </c>
      <c r="HA352">
        <v>0</v>
      </c>
      <c r="HB352">
        <v>8983</v>
      </c>
      <c r="HC352">
        <v>3834</v>
      </c>
      <c r="HD352">
        <v>0</v>
      </c>
      <c r="HE352">
        <v>0</v>
      </c>
      <c r="HF352">
        <v>2357</v>
      </c>
      <c r="HG352">
        <v>698</v>
      </c>
      <c r="HH352">
        <v>0</v>
      </c>
      <c r="HI352">
        <v>169</v>
      </c>
      <c r="HJ352">
        <v>195</v>
      </c>
      <c r="HK352">
        <v>648</v>
      </c>
      <c r="HL352">
        <v>192</v>
      </c>
      <c r="HM352">
        <v>88</v>
      </c>
      <c r="HN352">
        <v>5004</v>
      </c>
      <c r="HO352">
        <v>0</v>
      </c>
      <c r="HP352">
        <v>946</v>
      </c>
      <c r="HQ352">
        <v>0</v>
      </c>
      <c r="HR352">
        <v>2023</v>
      </c>
      <c r="HS352">
        <v>0</v>
      </c>
      <c r="HT352">
        <v>0</v>
      </c>
      <c r="HU352">
        <v>-2328</v>
      </c>
      <c r="HV352">
        <v>22809</v>
      </c>
      <c r="HW352">
        <v>12591</v>
      </c>
      <c r="HX352">
        <v>37397</v>
      </c>
      <c r="HY352">
        <v>0</v>
      </c>
      <c r="HZ352">
        <v>6316</v>
      </c>
      <c r="IA352">
        <v>773</v>
      </c>
      <c r="IB352">
        <v>0</v>
      </c>
      <c r="IC352">
        <v>115623</v>
      </c>
      <c r="ID352">
        <v>9912</v>
      </c>
      <c r="IE352">
        <v>71528</v>
      </c>
      <c r="IF352">
        <v>87252</v>
      </c>
      <c r="IG352">
        <v>26593</v>
      </c>
      <c r="IH352">
        <v>5096</v>
      </c>
      <c r="II352">
        <v>8421</v>
      </c>
      <c r="IJ352">
        <v>28569</v>
      </c>
      <c r="IK352">
        <v>5007</v>
      </c>
      <c r="IL352">
        <v>0</v>
      </c>
      <c r="IM352">
        <v>0</v>
      </c>
      <c r="IN352">
        <v>22809</v>
      </c>
      <c r="IO352">
        <v>0</v>
      </c>
      <c r="IP352">
        <v>380810</v>
      </c>
      <c r="IQ352">
        <v>79120</v>
      </c>
      <c r="IR352">
        <v>63</v>
      </c>
      <c r="IS352">
        <v>0</v>
      </c>
      <c r="IT352">
        <v>0</v>
      </c>
      <c r="IU352">
        <v>0</v>
      </c>
      <c r="IV352">
        <v>55</v>
      </c>
      <c r="IW352">
        <v>14865</v>
      </c>
      <c r="IX352">
        <v>0</v>
      </c>
      <c r="IY352">
        <v>0</v>
      </c>
      <c r="IZ352">
        <v>72</v>
      </c>
      <c r="JA352">
        <v>-587</v>
      </c>
      <c r="JB352">
        <v>-729</v>
      </c>
      <c r="JC352">
        <v>0</v>
      </c>
      <c r="JD352">
        <v>0</v>
      </c>
      <c r="JE352">
        <v>-141</v>
      </c>
      <c r="JF352">
        <v>904</v>
      </c>
      <c r="JG352">
        <v>474432</v>
      </c>
      <c r="JH352">
        <v>232</v>
      </c>
      <c r="JI352">
        <v>5717</v>
      </c>
      <c r="JJ352">
        <v>0</v>
      </c>
      <c r="JK352">
        <v>0</v>
      </c>
      <c r="JL352">
        <v>0</v>
      </c>
      <c r="JM352">
        <v>-763</v>
      </c>
      <c r="JN352">
        <v>13018</v>
      </c>
      <c r="JO352">
        <v>0</v>
      </c>
      <c r="JP352">
        <v>15393</v>
      </c>
      <c r="JQ352">
        <v>0</v>
      </c>
      <c r="JR352">
        <v>508029</v>
      </c>
      <c r="JS352">
        <v>-3499</v>
      </c>
      <c r="JT352">
        <v>0</v>
      </c>
      <c r="JU352">
        <v>371</v>
      </c>
      <c r="JV352">
        <v>0</v>
      </c>
      <c r="JW352">
        <v>-81545</v>
      </c>
      <c r="JX352">
        <v>0</v>
      </c>
      <c r="JY352">
        <v>0</v>
      </c>
      <c r="JZ352">
        <v>0</v>
      </c>
      <c r="KA352">
        <v>0</v>
      </c>
      <c r="KB352">
        <v>-1683</v>
      </c>
      <c r="KC352">
        <v>421673</v>
      </c>
      <c r="KD352">
        <v>-14</v>
      </c>
      <c r="KE352">
        <v>-201214</v>
      </c>
      <c r="KF352">
        <v>220445</v>
      </c>
      <c r="KG352">
        <v>0</v>
      </c>
      <c r="KH352">
        <v>-960</v>
      </c>
      <c r="KI352">
        <v>0</v>
      </c>
      <c r="KJ352">
        <v>1045</v>
      </c>
      <c r="KK352">
        <v>9598</v>
      </c>
      <c r="KL352">
        <v>0</v>
      </c>
      <c r="KM352">
        <v>-28110</v>
      </c>
      <c r="KN352">
        <v>0</v>
      </c>
      <c r="KO352">
        <v>-74850</v>
      </c>
      <c r="KP352">
        <v>2211</v>
      </c>
      <c r="KQ352">
        <v>0</v>
      </c>
      <c r="KR352">
        <v>108165</v>
      </c>
      <c r="KS352">
        <v>10742</v>
      </c>
      <c r="KT352">
        <v>0</v>
      </c>
      <c r="KU352">
        <v>2987</v>
      </c>
      <c r="KV352">
        <v>164982</v>
      </c>
      <c r="KW352">
        <v>12000</v>
      </c>
      <c r="KX352">
        <v>9782</v>
      </c>
      <c r="KY352">
        <v>0</v>
      </c>
      <c r="KZ352">
        <v>4032</v>
      </c>
      <c r="LA352">
        <v>174580</v>
      </c>
      <c r="LB352">
        <v>12000</v>
      </c>
      <c r="LC352">
        <v>0</v>
      </c>
      <c r="LD352">
        <v>39111</v>
      </c>
      <c r="LE352">
        <v>49720</v>
      </c>
      <c r="LF352">
        <v>0</v>
      </c>
      <c r="LG352">
        <v>-41941</v>
      </c>
      <c r="LH352">
        <v>25889</v>
      </c>
      <c r="LI352">
        <v>77257</v>
      </c>
      <c r="LJ352">
        <v>11168</v>
      </c>
      <c r="LK352">
        <v>16420</v>
      </c>
      <c r="LL352">
        <v>27588</v>
      </c>
      <c r="LM352">
        <v>12</v>
      </c>
      <c r="LN352">
        <v>0</v>
      </c>
      <c r="LO352">
        <v>0</v>
      </c>
      <c r="LP352">
        <v>0</v>
      </c>
      <c r="LQ352">
        <v>0</v>
      </c>
      <c r="LR352">
        <v>0</v>
      </c>
      <c r="LS352">
        <v>0</v>
      </c>
      <c r="LT352">
        <v>0</v>
      </c>
      <c r="LU352">
        <v>115623</v>
      </c>
      <c r="LV352">
        <v>9912</v>
      </c>
      <c r="LW352">
        <v>71528</v>
      </c>
      <c r="LX352">
        <v>87252</v>
      </c>
      <c r="LY352">
        <v>26593</v>
      </c>
      <c r="LZ352">
        <v>5096</v>
      </c>
      <c r="MA352">
        <v>8421</v>
      </c>
      <c r="MB352">
        <v>28569</v>
      </c>
      <c r="MC352">
        <v>5007</v>
      </c>
      <c r="MD352">
        <v>0</v>
      </c>
      <c r="ME352">
        <v>0</v>
      </c>
      <c r="MF352">
        <v>22809</v>
      </c>
      <c r="MG352">
        <v>0</v>
      </c>
      <c r="MH352">
        <v>380810</v>
      </c>
      <c r="MI352">
        <v>0</v>
      </c>
      <c r="MJ352">
        <v>0</v>
      </c>
      <c r="MK352">
        <v>-587</v>
      </c>
      <c r="ML352">
        <v>0</v>
      </c>
      <c r="MM352">
        <v>0</v>
      </c>
      <c r="MN352">
        <v>0</v>
      </c>
      <c r="MO352">
        <v>0</v>
      </c>
      <c r="MP352">
        <v>0</v>
      </c>
      <c r="MQ352">
        <v>0</v>
      </c>
      <c r="MR352">
        <v>0</v>
      </c>
      <c r="MS352">
        <v>0</v>
      </c>
      <c r="MT352">
        <v>0</v>
      </c>
      <c r="MU352">
        <v>0</v>
      </c>
      <c r="MV352">
        <v>0</v>
      </c>
      <c r="MW352">
        <v>0</v>
      </c>
      <c r="MX352">
        <v>0</v>
      </c>
      <c r="MY352">
        <v>0</v>
      </c>
      <c r="MZ352">
        <v>0</v>
      </c>
      <c r="NA352">
        <v>-587</v>
      </c>
      <c r="NB352">
        <v>0</v>
      </c>
      <c r="NC352">
        <v>-587</v>
      </c>
      <c r="ND352">
        <v>0</v>
      </c>
      <c r="NE352">
        <v>0</v>
      </c>
      <c r="NF352">
        <v>-797</v>
      </c>
      <c r="NG352">
        <v>0</v>
      </c>
      <c r="NH352">
        <v>0</v>
      </c>
      <c r="NI352">
        <v>0</v>
      </c>
      <c r="NJ352">
        <v>0</v>
      </c>
      <c r="NK352">
        <v>0</v>
      </c>
      <c r="NL352">
        <v>0</v>
      </c>
      <c r="NM352">
        <v>0</v>
      </c>
      <c r="NN352">
        <v>0</v>
      </c>
      <c r="NO352">
        <v>68</v>
      </c>
      <c r="NP352">
        <v>0</v>
      </c>
      <c r="NQ352">
        <v>0</v>
      </c>
      <c r="NR352">
        <v>0</v>
      </c>
      <c r="NS352">
        <v>0</v>
      </c>
      <c r="NT352">
        <v>0</v>
      </c>
      <c r="NU352">
        <v>0</v>
      </c>
      <c r="NV352">
        <v>0</v>
      </c>
      <c r="NW352">
        <v>0</v>
      </c>
      <c r="NX352">
        <v>0</v>
      </c>
      <c r="NY352">
        <v>0</v>
      </c>
      <c r="NZ352">
        <v>-729</v>
      </c>
      <c r="OA352">
        <v>0</v>
      </c>
      <c r="OB352">
        <v>-729</v>
      </c>
      <c r="OC352">
        <v>0</v>
      </c>
      <c r="OD352">
        <v>0</v>
      </c>
      <c r="OE352">
        <v>0</v>
      </c>
      <c r="OF352">
        <v>0</v>
      </c>
      <c r="OG352">
        <v>0</v>
      </c>
      <c r="OH352">
        <v>0</v>
      </c>
      <c r="OI352">
        <v>0</v>
      </c>
      <c r="OJ352">
        <v>0</v>
      </c>
      <c r="OK352">
        <v>0</v>
      </c>
      <c r="OL352">
        <v>0</v>
      </c>
      <c r="OM352">
        <v>0</v>
      </c>
      <c r="ON352">
        <v>0</v>
      </c>
    </row>
    <row r="353" spans="1:404" x14ac:dyDescent="0.25">
      <c r="A353" t="s">
        <v>1130</v>
      </c>
      <c r="B353" t="s">
        <v>1131</v>
      </c>
      <c r="C353" t="s">
        <v>1129</v>
      </c>
      <c r="E353" t="s">
        <v>1942</v>
      </c>
      <c r="F353">
        <v>62427</v>
      </c>
      <c r="G353">
        <v>271875</v>
      </c>
      <c r="H353">
        <v>94540</v>
      </c>
      <c r="I353">
        <v>140566</v>
      </c>
      <c r="J353">
        <v>9613</v>
      </c>
      <c r="K353">
        <v>84834</v>
      </c>
      <c r="L353">
        <v>663855</v>
      </c>
      <c r="M353">
        <v>635</v>
      </c>
      <c r="N353">
        <v>4901</v>
      </c>
      <c r="O353">
        <v>1558</v>
      </c>
      <c r="P353">
        <v>0</v>
      </c>
      <c r="Q353">
        <v>2253</v>
      </c>
      <c r="R353">
        <v>5697</v>
      </c>
      <c r="S353">
        <v>13293</v>
      </c>
      <c r="T353">
        <v>2965</v>
      </c>
      <c r="U353">
        <v>15372</v>
      </c>
      <c r="V353">
        <v>0</v>
      </c>
      <c r="W353">
        <v>0</v>
      </c>
      <c r="X353">
        <v>1697</v>
      </c>
      <c r="Y353">
        <v>304</v>
      </c>
      <c r="Z353">
        <v>-983</v>
      </c>
      <c r="AA353">
        <v>0</v>
      </c>
      <c r="AB353">
        <v>21677</v>
      </c>
      <c r="AC353">
        <v>0</v>
      </c>
      <c r="AD353">
        <v>-756</v>
      </c>
      <c r="AE353">
        <v>0</v>
      </c>
      <c r="AF353">
        <v>0</v>
      </c>
      <c r="AG353">
        <v>1434</v>
      </c>
      <c r="AH353">
        <v>0</v>
      </c>
      <c r="AI353">
        <v>70047</v>
      </c>
      <c r="AJ353">
        <v>0</v>
      </c>
      <c r="AK353">
        <v>0</v>
      </c>
      <c r="AL353">
        <v>0</v>
      </c>
      <c r="AM353">
        <v>0</v>
      </c>
      <c r="AN353">
        <v>0</v>
      </c>
      <c r="AO353">
        <v>0</v>
      </c>
      <c r="AP353">
        <v>0</v>
      </c>
      <c r="AQ353">
        <v>0</v>
      </c>
      <c r="AR353">
        <v>1242</v>
      </c>
      <c r="AS353">
        <v>0</v>
      </c>
      <c r="AT353">
        <v>0</v>
      </c>
      <c r="AU353">
        <v>0</v>
      </c>
      <c r="AV353">
        <v>7166</v>
      </c>
      <c r="AW353">
        <v>86102</v>
      </c>
      <c r="AX353">
        <v>2107</v>
      </c>
      <c r="AY353">
        <v>29822</v>
      </c>
      <c r="AZ353">
        <v>1166</v>
      </c>
      <c r="BA353">
        <v>61107</v>
      </c>
      <c r="BB353">
        <v>0</v>
      </c>
      <c r="BC353">
        <v>12007</v>
      </c>
      <c r="BD353">
        <v>199477</v>
      </c>
      <c r="BE353">
        <v>29068</v>
      </c>
      <c r="BF353">
        <v>90566</v>
      </c>
      <c r="BG353">
        <v>2612</v>
      </c>
      <c r="BH353">
        <v>1595</v>
      </c>
      <c r="BI353">
        <v>1706</v>
      </c>
      <c r="BJ353">
        <v>15327</v>
      </c>
      <c r="BK353">
        <v>139212</v>
      </c>
      <c r="BL353">
        <v>27641</v>
      </c>
      <c r="BM353">
        <v>13717</v>
      </c>
      <c r="BN353">
        <v>10627</v>
      </c>
      <c r="BO353">
        <v>485</v>
      </c>
      <c r="BP353">
        <v>0</v>
      </c>
      <c r="BQ353">
        <v>1059</v>
      </c>
      <c r="BR353">
        <v>1376</v>
      </c>
      <c r="BS353">
        <v>387</v>
      </c>
      <c r="BT353">
        <v>30343</v>
      </c>
      <c r="BU353">
        <v>209</v>
      </c>
      <c r="BV353">
        <v>46024</v>
      </c>
      <c r="BW353">
        <v>445813</v>
      </c>
      <c r="BX353">
        <v>4815</v>
      </c>
      <c r="BY353">
        <v>2239</v>
      </c>
      <c r="BZ353">
        <v>467</v>
      </c>
      <c r="CA353">
        <v>521</v>
      </c>
      <c r="CB353">
        <v>364</v>
      </c>
      <c r="CC353">
        <v>185</v>
      </c>
      <c r="CD353">
        <v>242</v>
      </c>
      <c r="CE353">
        <v>287</v>
      </c>
      <c r="CF353">
        <v>346</v>
      </c>
      <c r="CG353">
        <v>90</v>
      </c>
      <c r="CH353">
        <v>97</v>
      </c>
      <c r="CI353">
        <v>3822</v>
      </c>
      <c r="CJ353">
        <v>1793</v>
      </c>
      <c r="CK353">
        <v>1426</v>
      </c>
      <c r="CL353">
        <v>1574</v>
      </c>
      <c r="CM353">
        <v>544</v>
      </c>
      <c r="CN353">
        <v>696</v>
      </c>
      <c r="CO353">
        <v>63</v>
      </c>
      <c r="CP353">
        <v>4161</v>
      </c>
      <c r="CQ353">
        <v>9461</v>
      </c>
      <c r="CR353">
        <v>331</v>
      </c>
      <c r="CS353">
        <v>126</v>
      </c>
      <c r="CT353">
        <v>2337</v>
      </c>
      <c r="CU353">
        <v>1625</v>
      </c>
      <c r="CV353">
        <v>38554</v>
      </c>
      <c r="CW353">
        <v>0</v>
      </c>
      <c r="CX353">
        <v>0</v>
      </c>
      <c r="CY353">
        <v>0</v>
      </c>
      <c r="CZ353">
        <v>0</v>
      </c>
      <c r="DA353">
        <v>0</v>
      </c>
      <c r="DB353">
        <v>0</v>
      </c>
      <c r="DC353">
        <v>0</v>
      </c>
      <c r="DD353">
        <v>0</v>
      </c>
      <c r="DE353">
        <v>0</v>
      </c>
      <c r="DF353">
        <v>0</v>
      </c>
      <c r="DG353">
        <v>0</v>
      </c>
      <c r="DH353">
        <v>0</v>
      </c>
      <c r="DI353">
        <v>0</v>
      </c>
      <c r="DJ353">
        <v>0</v>
      </c>
      <c r="DK353">
        <v>0</v>
      </c>
      <c r="DL353">
        <v>0</v>
      </c>
      <c r="DM353">
        <v>0</v>
      </c>
      <c r="DN353">
        <v>0</v>
      </c>
      <c r="DO353">
        <v>0</v>
      </c>
      <c r="DP353">
        <v>0</v>
      </c>
      <c r="DQ353">
        <v>0</v>
      </c>
      <c r="DR353">
        <v>0</v>
      </c>
      <c r="DS353">
        <v>0</v>
      </c>
      <c r="DT353">
        <v>0</v>
      </c>
      <c r="DU353">
        <v>0</v>
      </c>
      <c r="DV353">
        <v>3736</v>
      </c>
      <c r="DW353">
        <v>0</v>
      </c>
      <c r="DX353">
        <v>3736</v>
      </c>
      <c r="DY353">
        <v>0</v>
      </c>
      <c r="DZ353">
        <v>0</v>
      </c>
      <c r="EA353">
        <v>0</v>
      </c>
      <c r="EB353">
        <v>0</v>
      </c>
      <c r="EC353">
        <v>0</v>
      </c>
      <c r="ED353">
        <v>0</v>
      </c>
      <c r="EE353">
        <v>0</v>
      </c>
      <c r="EF353">
        <v>0</v>
      </c>
      <c r="EG353">
        <v>0</v>
      </c>
      <c r="EH353">
        <v>0</v>
      </c>
      <c r="EI353">
        <v>0</v>
      </c>
      <c r="EJ353">
        <v>0</v>
      </c>
      <c r="EK353">
        <v>0</v>
      </c>
      <c r="EL353">
        <v>0</v>
      </c>
      <c r="EM353">
        <v>0</v>
      </c>
      <c r="EN353">
        <v>0</v>
      </c>
      <c r="EO353">
        <v>0</v>
      </c>
      <c r="EP353">
        <v>0</v>
      </c>
      <c r="EQ353">
        <v>0</v>
      </c>
      <c r="ER353">
        <v>0</v>
      </c>
      <c r="ES353">
        <v>0</v>
      </c>
      <c r="ET353">
        <v>0</v>
      </c>
      <c r="EU353">
        <v>1824</v>
      </c>
      <c r="EV353">
        <v>110</v>
      </c>
      <c r="EW353">
        <v>54</v>
      </c>
      <c r="EX353">
        <v>19</v>
      </c>
      <c r="EY353">
        <v>0</v>
      </c>
      <c r="EZ353">
        <v>0</v>
      </c>
      <c r="FA353">
        <v>0</v>
      </c>
      <c r="FB353">
        <v>0</v>
      </c>
      <c r="FC353">
        <v>0</v>
      </c>
      <c r="FD353">
        <v>3225</v>
      </c>
      <c r="FE353">
        <v>0</v>
      </c>
      <c r="FF353">
        <v>0</v>
      </c>
      <c r="FG353">
        <v>14468</v>
      </c>
      <c r="FH353">
        <v>19700</v>
      </c>
      <c r="FI353">
        <v>0</v>
      </c>
      <c r="FJ353">
        <v>3037</v>
      </c>
      <c r="FK353">
        <v>0</v>
      </c>
      <c r="FL353">
        <v>0</v>
      </c>
      <c r="FM353">
        <v>0</v>
      </c>
      <c r="FN353">
        <v>288</v>
      </c>
      <c r="FO353">
        <v>0</v>
      </c>
      <c r="FP353">
        <v>0</v>
      </c>
      <c r="FQ353">
        <v>0</v>
      </c>
      <c r="FR353">
        <v>0</v>
      </c>
      <c r="FS353">
        <v>0</v>
      </c>
      <c r="FT353">
        <v>0</v>
      </c>
      <c r="FU353">
        <v>0</v>
      </c>
      <c r="FV353">
        <v>0</v>
      </c>
      <c r="FW353">
        <v>0</v>
      </c>
      <c r="FX353">
        <v>0</v>
      </c>
      <c r="FY353">
        <v>0</v>
      </c>
      <c r="FZ353">
        <v>584</v>
      </c>
      <c r="GA353">
        <v>0</v>
      </c>
      <c r="GB353">
        <v>0</v>
      </c>
      <c r="GC353">
        <v>0</v>
      </c>
      <c r="GD353">
        <v>0</v>
      </c>
      <c r="GE353">
        <v>0</v>
      </c>
      <c r="GF353">
        <v>62578</v>
      </c>
      <c r="GG353">
        <v>0</v>
      </c>
      <c r="GH353">
        <v>3725</v>
      </c>
      <c r="GI353">
        <v>766</v>
      </c>
      <c r="GJ353">
        <v>1254</v>
      </c>
      <c r="GK353">
        <v>72232</v>
      </c>
      <c r="GL353">
        <v>0</v>
      </c>
      <c r="GM353">
        <v>1509</v>
      </c>
      <c r="GN353">
        <v>0</v>
      </c>
      <c r="GO353">
        <v>336</v>
      </c>
      <c r="GP353">
        <v>0</v>
      </c>
      <c r="GQ353">
        <v>995</v>
      </c>
      <c r="GR353">
        <v>0</v>
      </c>
      <c r="GS353">
        <v>608</v>
      </c>
      <c r="GT353">
        <v>656</v>
      </c>
      <c r="GU353">
        <v>4104</v>
      </c>
      <c r="GV353">
        <v>96037</v>
      </c>
      <c r="GW353">
        <v>0</v>
      </c>
      <c r="GX353">
        <v>5074</v>
      </c>
      <c r="GY353">
        <v>37254</v>
      </c>
      <c r="GZ353">
        <v>319</v>
      </c>
      <c r="HA353">
        <v>42647</v>
      </c>
      <c r="HB353">
        <v>6775</v>
      </c>
      <c r="HC353">
        <v>0</v>
      </c>
      <c r="HD353">
        <v>0</v>
      </c>
      <c r="HE353">
        <v>0</v>
      </c>
      <c r="HF353">
        <v>0</v>
      </c>
      <c r="HG353">
        <v>0</v>
      </c>
      <c r="HH353">
        <v>0</v>
      </c>
      <c r="HI353">
        <v>53</v>
      </c>
      <c r="HJ353">
        <v>0</v>
      </c>
      <c r="HK353">
        <v>366</v>
      </c>
      <c r="HL353">
        <v>622</v>
      </c>
      <c r="HM353">
        <v>0</v>
      </c>
      <c r="HN353">
        <v>957</v>
      </c>
      <c r="HO353">
        <v>929</v>
      </c>
      <c r="HP353">
        <v>6851</v>
      </c>
      <c r="HQ353">
        <v>0</v>
      </c>
      <c r="HR353">
        <v>1307</v>
      </c>
      <c r="HS353">
        <v>0</v>
      </c>
      <c r="HT353">
        <v>44</v>
      </c>
      <c r="HU353">
        <v>0</v>
      </c>
      <c r="HV353">
        <v>17904</v>
      </c>
      <c r="HW353">
        <v>0</v>
      </c>
      <c r="HX353">
        <v>0</v>
      </c>
      <c r="HY353">
        <v>0</v>
      </c>
      <c r="HZ353">
        <v>0</v>
      </c>
      <c r="IA353">
        <v>0</v>
      </c>
      <c r="IB353">
        <v>0</v>
      </c>
      <c r="IC353">
        <v>663855</v>
      </c>
      <c r="ID353">
        <v>70047</v>
      </c>
      <c r="IE353">
        <v>199477</v>
      </c>
      <c r="IF353">
        <v>445813</v>
      </c>
      <c r="IG353">
        <v>38554</v>
      </c>
      <c r="IH353">
        <v>3736</v>
      </c>
      <c r="II353">
        <v>19700</v>
      </c>
      <c r="IJ353">
        <v>72232</v>
      </c>
      <c r="IK353">
        <v>4104</v>
      </c>
      <c r="IL353">
        <v>0</v>
      </c>
      <c r="IM353">
        <v>42647</v>
      </c>
      <c r="IN353">
        <v>17904</v>
      </c>
      <c r="IO353">
        <v>0</v>
      </c>
      <c r="IP353">
        <v>1578070</v>
      </c>
      <c r="IQ353">
        <v>0</v>
      </c>
      <c r="IR353">
        <v>0</v>
      </c>
      <c r="IS353">
        <v>0</v>
      </c>
      <c r="IT353">
        <v>0</v>
      </c>
      <c r="IU353">
        <v>0</v>
      </c>
      <c r="IV353">
        <v>0</v>
      </c>
      <c r="IW353">
        <v>0</v>
      </c>
      <c r="IX353">
        <v>0</v>
      </c>
      <c r="IY353">
        <v>0</v>
      </c>
      <c r="IZ353">
        <v>0</v>
      </c>
      <c r="JA353">
        <v>-1331</v>
      </c>
      <c r="JB353">
        <v>0</v>
      </c>
      <c r="JC353">
        <v>0</v>
      </c>
      <c r="JD353">
        <v>0</v>
      </c>
      <c r="JE353">
        <v>-7777</v>
      </c>
      <c r="JF353">
        <v>0</v>
      </c>
      <c r="JG353">
        <v>1568962</v>
      </c>
      <c r="JH353">
        <v>1090</v>
      </c>
      <c r="JI353">
        <v>5553</v>
      </c>
      <c r="JJ353">
        <v>0</v>
      </c>
      <c r="JK353">
        <v>0</v>
      </c>
      <c r="JL353">
        <v>0</v>
      </c>
      <c r="JM353">
        <v>1148</v>
      </c>
      <c r="JN353">
        <v>31230</v>
      </c>
      <c r="JO353">
        <v>0</v>
      </c>
      <c r="JP353">
        <v>18143</v>
      </c>
      <c r="JQ353">
        <v>0</v>
      </c>
      <c r="JR353">
        <v>1626127</v>
      </c>
      <c r="JS353">
        <v>-15055</v>
      </c>
      <c r="JT353">
        <v>0</v>
      </c>
      <c r="JU353">
        <v>667</v>
      </c>
      <c r="JV353">
        <v>0</v>
      </c>
      <c r="JW353">
        <v>0</v>
      </c>
      <c r="JX353">
        <v>0</v>
      </c>
      <c r="JY353">
        <v>0</v>
      </c>
      <c r="JZ353">
        <v>0</v>
      </c>
      <c r="KA353">
        <v>0</v>
      </c>
      <c r="KB353">
        <v>35729</v>
      </c>
      <c r="KC353">
        <v>1647467</v>
      </c>
      <c r="KD353">
        <v>0</v>
      </c>
      <c r="KE353">
        <v>-798851</v>
      </c>
      <c r="KF353">
        <v>848617</v>
      </c>
      <c r="KG353">
        <v>0</v>
      </c>
      <c r="KH353">
        <v>1474</v>
      </c>
      <c r="KI353">
        <v>0</v>
      </c>
      <c r="KJ353">
        <v>0</v>
      </c>
      <c r="KK353">
        <v>45557</v>
      </c>
      <c r="KL353">
        <v>20323</v>
      </c>
      <c r="KM353">
        <v>0</v>
      </c>
      <c r="KN353">
        <v>0</v>
      </c>
      <c r="KO353">
        <v>-105875</v>
      </c>
      <c r="KP353">
        <v>0</v>
      </c>
      <c r="KQ353">
        <v>0</v>
      </c>
      <c r="KR353">
        <v>777556</v>
      </c>
      <c r="KS353">
        <v>50681</v>
      </c>
      <c r="KT353">
        <v>0</v>
      </c>
      <c r="KU353">
        <v>0</v>
      </c>
      <c r="KV353">
        <v>279811</v>
      </c>
      <c r="KW353">
        <v>28036</v>
      </c>
      <c r="KX353">
        <v>52155</v>
      </c>
      <c r="KY353">
        <v>0</v>
      </c>
      <c r="KZ353">
        <v>0</v>
      </c>
      <c r="LA353">
        <v>325368</v>
      </c>
      <c r="LB353">
        <v>48359</v>
      </c>
      <c r="LC353">
        <v>0</v>
      </c>
      <c r="LD353">
        <v>88702</v>
      </c>
      <c r="LE353">
        <v>1601</v>
      </c>
      <c r="LF353">
        <v>-9661</v>
      </c>
      <c r="LG353">
        <v>-154692</v>
      </c>
      <c r="LH353">
        <v>-12561</v>
      </c>
      <c r="LI353">
        <v>-94991</v>
      </c>
      <c r="LJ353">
        <v>0</v>
      </c>
      <c r="LK353">
        <v>0</v>
      </c>
      <c r="LL353">
        <v>0</v>
      </c>
      <c r="LM353">
        <v>0</v>
      </c>
      <c r="LN353">
        <v>0</v>
      </c>
      <c r="LO353">
        <v>0</v>
      </c>
      <c r="LP353">
        <v>0</v>
      </c>
      <c r="LQ353">
        <v>0</v>
      </c>
      <c r="LR353">
        <v>0</v>
      </c>
      <c r="LS353">
        <v>0</v>
      </c>
      <c r="LT353">
        <v>0</v>
      </c>
      <c r="LU353">
        <v>663855</v>
      </c>
      <c r="LV353">
        <v>70047</v>
      </c>
      <c r="LW353">
        <v>199477</v>
      </c>
      <c r="LX353">
        <v>445813</v>
      </c>
      <c r="LY353">
        <v>38554</v>
      </c>
      <c r="LZ353">
        <v>3736</v>
      </c>
      <c r="MA353">
        <v>19700</v>
      </c>
      <c r="MB353">
        <v>72232</v>
      </c>
      <c r="MC353">
        <v>4104</v>
      </c>
      <c r="MD353">
        <v>0</v>
      </c>
      <c r="ME353">
        <v>42647</v>
      </c>
      <c r="MF353">
        <v>17904</v>
      </c>
      <c r="MG353">
        <v>0</v>
      </c>
      <c r="MH353">
        <v>1578070</v>
      </c>
      <c r="MI353">
        <v>0</v>
      </c>
      <c r="MJ353">
        <v>0</v>
      </c>
      <c r="MK353">
        <v>0</v>
      </c>
      <c r="ML353">
        <v>0</v>
      </c>
      <c r="MM353">
        <v>0</v>
      </c>
      <c r="MN353">
        <v>0</v>
      </c>
      <c r="MO353">
        <v>0</v>
      </c>
      <c r="MP353">
        <v>0</v>
      </c>
      <c r="MQ353">
        <v>0</v>
      </c>
      <c r="MR353">
        <v>0</v>
      </c>
      <c r="MS353">
        <v>0</v>
      </c>
      <c r="MT353">
        <v>0</v>
      </c>
      <c r="MU353">
        <v>0</v>
      </c>
      <c r="MV353">
        <v>0</v>
      </c>
      <c r="MW353">
        <v>0</v>
      </c>
      <c r="MX353">
        <v>0</v>
      </c>
      <c r="MY353">
        <v>0</v>
      </c>
      <c r="MZ353">
        <v>0</v>
      </c>
      <c r="NA353">
        <v>-1331</v>
      </c>
      <c r="NB353">
        <v>0</v>
      </c>
      <c r="NC353">
        <v>-1331</v>
      </c>
      <c r="ND353">
        <v>0</v>
      </c>
      <c r="NE353">
        <v>0</v>
      </c>
      <c r="NF353">
        <v>0</v>
      </c>
      <c r="NG353">
        <v>0</v>
      </c>
      <c r="NH353">
        <v>0</v>
      </c>
      <c r="NI353">
        <v>0</v>
      </c>
      <c r="NJ353">
        <v>0</v>
      </c>
      <c r="NK353">
        <v>0</v>
      </c>
      <c r="NL353">
        <v>0</v>
      </c>
      <c r="NM353">
        <v>0</v>
      </c>
      <c r="NN353">
        <v>0</v>
      </c>
      <c r="NO353">
        <v>0</v>
      </c>
      <c r="NP353">
        <v>0</v>
      </c>
      <c r="NQ353">
        <v>0</v>
      </c>
      <c r="NR353">
        <v>0</v>
      </c>
      <c r="NS353">
        <v>0</v>
      </c>
      <c r="NT353">
        <v>0</v>
      </c>
      <c r="NU353">
        <v>0</v>
      </c>
      <c r="NV353">
        <v>0</v>
      </c>
      <c r="NW353">
        <v>0</v>
      </c>
      <c r="NX353">
        <v>0</v>
      </c>
      <c r="NY353">
        <v>0</v>
      </c>
      <c r="NZ353">
        <v>0</v>
      </c>
      <c r="OA353">
        <v>0</v>
      </c>
      <c r="OB353">
        <v>0</v>
      </c>
      <c r="OC353">
        <v>0</v>
      </c>
      <c r="OD353">
        <v>0</v>
      </c>
      <c r="OE353">
        <v>0</v>
      </c>
      <c r="OF353">
        <v>0</v>
      </c>
      <c r="OG353">
        <v>0</v>
      </c>
      <c r="OH353">
        <v>0</v>
      </c>
      <c r="OI353">
        <v>0</v>
      </c>
      <c r="OJ353">
        <v>0</v>
      </c>
      <c r="OK353">
        <v>0</v>
      </c>
      <c r="OL353">
        <v>0</v>
      </c>
      <c r="OM353">
        <v>0</v>
      </c>
      <c r="ON353">
        <v>0</v>
      </c>
    </row>
    <row r="354" spans="1:404" x14ac:dyDescent="0.25">
      <c r="A354" t="s">
        <v>1133</v>
      </c>
      <c r="B354" t="s">
        <v>1134</v>
      </c>
      <c r="C354" t="s">
        <v>1132</v>
      </c>
      <c r="E354" t="s">
        <v>61</v>
      </c>
      <c r="F354">
        <v>0</v>
      </c>
      <c r="G354">
        <v>0</v>
      </c>
      <c r="H354">
        <v>0</v>
      </c>
      <c r="I354">
        <v>0</v>
      </c>
      <c r="J354">
        <v>0</v>
      </c>
      <c r="K354">
        <v>0</v>
      </c>
      <c r="L354">
        <v>0</v>
      </c>
      <c r="M354">
        <v>0</v>
      </c>
      <c r="N354">
        <v>0</v>
      </c>
      <c r="O354">
        <v>0</v>
      </c>
      <c r="P354">
        <v>0</v>
      </c>
      <c r="Q354">
        <v>0</v>
      </c>
      <c r="R354">
        <v>9</v>
      </c>
      <c r="S354">
        <v>0</v>
      </c>
      <c r="T354">
        <v>0</v>
      </c>
      <c r="U354">
        <v>0</v>
      </c>
      <c r="V354">
        <v>0</v>
      </c>
      <c r="W354">
        <v>0</v>
      </c>
      <c r="X354">
        <v>0</v>
      </c>
      <c r="Y354">
        <v>-4</v>
      </c>
      <c r="Z354">
        <v>7</v>
      </c>
      <c r="AA354">
        <v>0</v>
      </c>
      <c r="AB354">
        <v>0</v>
      </c>
      <c r="AC354">
        <v>0</v>
      </c>
      <c r="AD354">
        <v>0</v>
      </c>
      <c r="AE354">
        <v>0</v>
      </c>
      <c r="AF354">
        <v>0</v>
      </c>
      <c r="AG354">
        <v>0</v>
      </c>
      <c r="AH354">
        <v>0</v>
      </c>
      <c r="AI354">
        <v>12</v>
      </c>
      <c r="AJ354">
        <v>0</v>
      </c>
      <c r="AK354">
        <v>0</v>
      </c>
      <c r="AL354">
        <v>0</v>
      </c>
      <c r="AM354">
        <v>0</v>
      </c>
      <c r="AN354">
        <v>0</v>
      </c>
      <c r="AO354">
        <v>0</v>
      </c>
      <c r="AP354">
        <v>0</v>
      </c>
      <c r="AQ354">
        <v>0</v>
      </c>
      <c r="AR354">
        <v>0</v>
      </c>
      <c r="AS354">
        <v>0</v>
      </c>
      <c r="AT354">
        <v>0</v>
      </c>
      <c r="AU354">
        <v>0</v>
      </c>
      <c r="AV354">
        <v>0</v>
      </c>
      <c r="AW354">
        <v>0</v>
      </c>
      <c r="AX354">
        <v>0</v>
      </c>
      <c r="AY354">
        <v>0</v>
      </c>
      <c r="AZ354">
        <v>0</v>
      </c>
      <c r="BA354">
        <v>0</v>
      </c>
      <c r="BB354">
        <v>0</v>
      </c>
      <c r="BC354">
        <v>0</v>
      </c>
      <c r="BD354">
        <v>0</v>
      </c>
      <c r="BE354">
        <v>0</v>
      </c>
      <c r="BF354">
        <v>360</v>
      </c>
      <c r="BG354">
        <v>0</v>
      </c>
      <c r="BH354">
        <v>0</v>
      </c>
      <c r="BI354">
        <v>0</v>
      </c>
      <c r="BJ354">
        <v>0</v>
      </c>
      <c r="BK354">
        <v>0</v>
      </c>
      <c r="BL354">
        <v>0</v>
      </c>
      <c r="BM354">
        <v>0</v>
      </c>
      <c r="BN354">
        <v>0</v>
      </c>
      <c r="BO354">
        <v>0</v>
      </c>
      <c r="BP354">
        <v>0</v>
      </c>
      <c r="BQ354">
        <v>0</v>
      </c>
      <c r="BR354">
        <v>0</v>
      </c>
      <c r="BS354">
        <v>870</v>
      </c>
      <c r="BT354">
        <v>0</v>
      </c>
      <c r="BU354">
        <v>0</v>
      </c>
      <c r="BV354">
        <v>0</v>
      </c>
      <c r="BW354">
        <v>1230</v>
      </c>
      <c r="BX354">
        <v>0</v>
      </c>
      <c r="BY354">
        <v>0</v>
      </c>
      <c r="BZ354">
        <v>0</v>
      </c>
      <c r="CA354">
        <v>0</v>
      </c>
      <c r="CB354">
        <v>0</v>
      </c>
      <c r="CC354">
        <v>0</v>
      </c>
      <c r="CD354">
        <v>0</v>
      </c>
      <c r="CE354">
        <v>0</v>
      </c>
      <c r="CF354">
        <v>0</v>
      </c>
      <c r="CG354">
        <v>0</v>
      </c>
      <c r="CH354">
        <v>0</v>
      </c>
      <c r="CI354">
        <v>0</v>
      </c>
      <c r="CJ354">
        <v>0</v>
      </c>
      <c r="CK354">
        <v>0</v>
      </c>
      <c r="CL354">
        <v>0</v>
      </c>
      <c r="CM354">
        <v>0</v>
      </c>
      <c r="CN354">
        <v>0</v>
      </c>
      <c r="CO354">
        <v>0</v>
      </c>
      <c r="CP354">
        <v>0</v>
      </c>
      <c r="CQ354">
        <v>0</v>
      </c>
      <c r="CR354">
        <v>0</v>
      </c>
      <c r="CS354">
        <v>0</v>
      </c>
      <c r="CT354">
        <v>0</v>
      </c>
      <c r="CU354">
        <v>0</v>
      </c>
      <c r="CV354">
        <v>0</v>
      </c>
      <c r="CW354">
        <v>0</v>
      </c>
      <c r="CX354">
        <v>0</v>
      </c>
      <c r="CY354">
        <v>0</v>
      </c>
      <c r="CZ354">
        <v>0</v>
      </c>
      <c r="DA354">
        <v>0</v>
      </c>
      <c r="DB354">
        <v>0</v>
      </c>
      <c r="DC354">
        <v>407</v>
      </c>
      <c r="DD354">
        <v>0</v>
      </c>
      <c r="DE354">
        <v>0</v>
      </c>
      <c r="DF354">
        <v>249</v>
      </c>
      <c r="DG354">
        <v>0</v>
      </c>
      <c r="DH354">
        <v>0</v>
      </c>
      <c r="DI354">
        <v>0</v>
      </c>
      <c r="DJ354">
        <v>0</v>
      </c>
      <c r="DK354">
        <v>0</v>
      </c>
      <c r="DL354">
        <v>0</v>
      </c>
      <c r="DM354">
        <v>4</v>
      </c>
      <c r="DN354">
        <v>38</v>
      </c>
      <c r="DO354">
        <v>291</v>
      </c>
      <c r="DP354">
        <v>333</v>
      </c>
      <c r="DQ354">
        <v>0</v>
      </c>
      <c r="DR354">
        <v>0</v>
      </c>
      <c r="DS354">
        <v>0</v>
      </c>
      <c r="DT354">
        <v>452</v>
      </c>
      <c r="DU354">
        <v>0</v>
      </c>
      <c r="DV354">
        <v>-294</v>
      </c>
      <c r="DW354">
        <v>0</v>
      </c>
      <c r="DX354">
        <v>1147</v>
      </c>
      <c r="DY354">
        <v>0</v>
      </c>
      <c r="DZ354">
        <v>0</v>
      </c>
      <c r="EA354">
        <v>0</v>
      </c>
      <c r="EB354">
        <v>0</v>
      </c>
      <c r="EC354">
        <v>0</v>
      </c>
      <c r="ED354">
        <v>0</v>
      </c>
      <c r="EE354">
        <v>0</v>
      </c>
      <c r="EF354">
        <v>0</v>
      </c>
      <c r="EG354">
        <v>0</v>
      </c>
      <c r="EH354">
        <v>0</v>
      </c>
      <c r="EI354">
        <v>0</v>
      </c>
      <c r="EJ354">
        <v>0</v>
      </c>
      <c r="EK354">
        <v>0</v>
      </c>
      <c r="EL354">
        <v>0</v>
      </c>
      <c r="EM354">
        <v>0</v>
      </c>
      <c r="EN354">
        <v>0</v>
      </c>
      <c r="EO354">
        <v>0</v>
      </c>
      <c r="EP354">
        <v>0</v>
      </c>
      <c r="EQ354">
        <v>0</v>
      </c>
      <c r="ER354">
        <v>0</v>
      </c>
      <c r="ES354">
        <v>0</v>
      </c>
      <c r="ET354">
        <v>0</v>
      </c>
      <c r="EU354">
        <v>0</v>
      </c>
      <c r="EV354">
        <v>0</v>
      </c>
      <c r="EW354">
        <v>0</v>
      </c>
      <c r="EX354">
        <v>187</v>
      </c>
      <c r="EY354">
        <v>0</v>
      </c>
      <c r="EZ354">
        <v>-14</v>
      </c>
      <c r="FA354">
        <v>0</v>
      </c>
      <c r="FB354">
        <v>-14</v>
      </c>
      <c r="FC354">
        <v>690</v>
      </c>
      <c r="FD354">
        <v>990</v>
      </c>
      <c r="FE354">
        <v>0</v>
      </c>
      <c r="FF354">
        <v>0</v>
      </c>
      <c r="FG354">
        <v>0</v>
      </c>
      <c r="FH354">
        <v>1839</v>
      </c>
      <c r="FI354">
        <v>7</v>
      </c>
      <c r="FJ354">
        <v>0</v>
      </c>
      <c r="FK354">
        <v>0</v>
      </c>
      <c r="FL354">
        <v>380</v>
      </c>
      <c r="FM354">
        <v>137</v>
      </c>
      <c r="FN354">
        <v>245</v>
      </c>
      <c r="FO354">
        <v>7</v>
      </c>
      <c r="FP354">
        <v>0</v>
      </c>
      <c r="FQ354">
        <v>0</v>
      </c>
      <c r="FR354">
        <v>17</v>
      </c>
      <c r="FS354">
        <v>21</v>
      </c>
      <c r="FT354">
        <v>31</v>
      </c>
      <c r="FU354">
        <v>16</v>
      </c>
      <c r="FV354">
        <v>89</v>
      </c>
      <c r="FW354">
        <v>0</v>
      </c>
      <c r="FX354">
        <v>59</v>
      </c>
      <c r="FY354">
        <v>4</v>
      </c>
      <c r="FZ354">
        <v>123</v>
      </c>
      <c r="GA354">
        <v>0</v>
      </c>
      <c r="GB354">
        <v>0</v>
      </c>
      <c r="GC354">
        <v>0</v>
      </c>
      <c r="GD354">
        <v>-37</v>
      </c>
      <c r="GE354">
        <v>2801</v>
      </c>
      <c r="GF354">
        <v>0</v>
      </c>
      <c r="GG354">
        <v>16</v>
      </c>
      <c r="GH354">
        <v>557</v>
      </c>
      <c r="GI354">
        <v>0</v>
      </c>
      <c r="GJ354">
        <v>37</v>
      </c>
      <c r="GK354">
        <v>4510</v>
      </c>
      <c r="GL354">
        <v>153</v>
      </c>
      <c r="GM354">
        <v>892</v>
      </c>
      <c r="GN354">
        <v>0</v>
      </c>
      <c r="GO354">
        <v>-1720</v>
      </c>
      <c r="GP354">
        <v>0</v>
      </c>
      <c r="GQ354">
        <v>857</v>
      </c>
      <c r="GR354">
        <v>0</v>
      </c>
      <c r="GS354">
        <v>-2951</v>
      </c>
      <c r="GT354">
        <v>0</v>
      </c>
      <c r="GU354">
        <v>-2769</v>
      </c>
      <c r="GV354">
        <v>3580</v>
      </c>
      <c r="GW354">
        <v>0</v>
      </c>
      <c r="GX354">
        <v>0</v>
      </c>
      <c r="GY354">
        <v>0</v>
      </c>
      <c r="GZ354">
        <v>0</v>
      </c>
      <c r="HA354">
        <v>0</v>
      </c>
      <c r="HB354">
        <v>593</v>
      </c>
      <c r="HC354">
        <v>797</v>
      </c>
      <c r="HD354">
        <v>0</v>
      </c>
      <c r="HE354">
        <v>0</v>
      </c>
      <c r="HF354">
        <v>0</v>
      </c>
      <c r="HG354">
        <v>-157</v>
      </c>
      <c r="HH354">
        <v>0</v>
      </c>
      <c r="HI354">
        <v>0</v>
      </c>
      <c r="HJ354">
        <v>160</v>
      </c>
      <c r="HK354">
        <v>-47</v>
      </c>
      <c r="HL354">
        <v>45</v>
      </c>
      <c r="HM354">
        <v>-62</v>
      </c>
      <c r="HN354">
        <v>0</v>
      </c>
      <c r="HO354">
        <v>208</v>
      </c>
      <c r="HP354">
        <v>0</v>
      </c>
      <c r="HQ354">
        <v>0</v>
      </c>
      <c r="HR354">
        <v>431</v>
      </c>
      <c r="HS354">
        <v>0</v>
      </c>
      <c r="HT354">
        <v>0</v>
      </c>
      <c r="HU354">
        <v>0</v>
      </c>
      <c r="HV354">
        <v>1968</v>
      </c>
      <c r="HW354">
        <v>0</v>
      </c>
      <c r="HX354">
        <v>0</v>
      </c>
      <c r="HY354">
        <v>0</v>
      </c>
      <c r="HZ354">
        <v>0</v>
      </c>
      <c r="IA354">
        <v>0</v>
      </c>
      <c r="IB354">
        <v>0</v>
      </c>
      <c r="IC354">
        <v>0</v>
      </c>
      <c r="ID354">
        <v>12</v>
      </c>
      <c r="IE354">
        <v>0</v>
      </c>
      <c r="IF354">
        <v>1230</v>
      </c>
      <c r="IG354">
        <v>0</v>
      </c>
      <c r="IH354">
        <v>1147</v>
      </c>
      <c r="II354">
        <v>1839</v>
      </c>
      <c r="IJ354">
        <v>4510</v>
      </c>
      <c r="IK354">
        <v>-2769</v>
      </c>
      <c r="IL354">
        <v>0</v>
      </c>
      <c r="IM354">
        <v>0</v>
      </c>
      <c r="IN354">
        <v>1968</v>
      </c>
      <c r="IO354">
        <v>0</v>
      </c>
      <c r="IP354">
        <v>7937</v>
      </c>
      <c r="IQ354">
        <v>11833</v>
      </c>
      <c r="IR354">
        <v>0</v>
      </c>
      <c r="IS354">
        <v>0</v>
      </c>
      <c r="IT354">
        <v>0</v>
      </c>
      <c r="IU354">
        <v>0</v>
      </c>
      <c r="IV354">
        <v>605</v>
      </c>
      <c r="IW354">
        <v>0</v>
      </c>
      <c r="IX354">
        <v>0</v>
      </c>
      <c r="IY354">
        <v>0</v>
      </c>
      <c r="IZ354">
        <v>0</v>
      </c>
      <c r="JA354">
        <v>14</v>
      </c>
      <c r="JB354">
        <v>0</v>
      </c>
      <c r="JC354">
        <v>0</v>
      </c>
      <c r="JD354">
        <v>0</v>
      </c>
      <c r="JE354">
        <v>0</v>
      </c>
      <c r="JF354">
        <v>0</v>
      </c>
      <c r="JG354">
        <v>20389</v>
      </c>
      <c r="JH354">
        <v>0</v>
      </c>
      <c r="JI354">
        <v>0</v>
      </c>
      <c r="JJ354">
        <v>0</v>
      </c>
      <c r="JK354">
        <v>0</v>
      </c>
      <c r="JL354">
        <v>0</v>
      </c>
      <c r="JM354">
        <v>-100</v>
      </c>
      <c r="JN354">
        <v>2290</v>
      </c>
      <c r="JO354">
        <v>0</v>
      </c>
      <c r="JP354">
        <v>1350</v>
      </c>
      <c r="JQ354">
        <v>0</v>
      </c>
      <c r="JR354">
        <v>23929</v>
      </c>
      <c r="JS354">
        <v>-5387</v>
      </c>
      <c r="JT354">
        <v>0</v>
      </c>
      <c r="JU354">
        <v>0</v>
      </c>
      <c r="JV354">
        <v>0</v>
      </c>
      <c r="JW354">
        <v>-11833</v>
      </c>
      <c r="JX354">
        <v>0</v>
      </c>
      <c r="JY354">
        <v>-571</v>
      </c>
      <c r="JZ354">
        <v>0</v>
      </c>
      <c r="KA354">
        <v>0</v>
      </c>
      <c r="KB354">
        <v>0</v>
      </c>
      <c r="KC354">
        <v>6138</v>
      </c>
      <c r="KD354">
        <v>0</v>
      </c>
      <c r="KE354">
        <v>-1467</v>
      </c>
      <c r="KF354">
        <v>4671</v>
      </c>
      <c r="KG354">
        <v>0</v>
      </c>
      <c r="KH354">
        <v>0</v>
      </c>
      <c r="KI354">
        <v>0</v>
      </c>
      <c r="KJ354">
        <v>0</v>
      </c>
      <c r="KK354">
        <v>4100</v>
      </c>
      <c r="KL354">
        <v>10244</v>
      </c>
      <c r="KM354">
        <v>0</v>
      </c>
      <c r="KN354">
        <v>0</v>
      </c>
      <c r="KO354">
        <v>-2035</v>
      </c>
      <c r="KP354">
        <v>0</v>
      </c>
      <c r="KQ354">
        <v>0</v>
      </c>
      <c r="KR354">
        <v>9666</v>
      </c>
      <c r="KS354">
        <v>0</v>
      </c>
      <c r="KT354">
        <v>0</v>
      </c>
      <c r="KU354">
        <v>0</v>
      </c>
      <c r="KV354">
        <v>50071</v>
      </c>
      <c r="KW354">
        <v>907</v>
      </c>
      <c r="KX354">
        <v>0</v>
      </c>
      <c r="KY354">
        <v>0</v>
      </c>
      <c r="KZ354">
        <v>0</v>
      </c>
      <c r="LA354">
        <v>54171</v>
      </c>
      <c r="LB354">
        <v>11151</v>
      </c>
      <c r="LC354">
        <v>0</v>
      </c>
      <c r="LD354">
        <v>1378</v>
      </c>
      <c r="LE354">
        <v>936</v>
      </c>
      <c r="LF354">
        <v>2346</v>
      </c>
      <c r="LG354">
        <v>871</v>
      </c>
      <c r="LH354">
        <v>23</v>
      </c>
      <c r="LI354">
        <v>5554</v>
      </c>
      <c r="LJ354">
        <v>1787</v>
      </c>
      <c r="LK354">
        <v>1442</v>
      </c>
      <c r="LL354">
        <v>3229</v>
      </c>
      <c r="LM354">
        <v>617</v>
      </c>
      <c r="LN354">
        <v>0</v>
      </c>
      <c r="LO354">
        <v>0</v>
      </c>
      <c r="LP354">
        <v>0</v>
      </c>
      <c r="LQ354">
        <v>0</v>
      </c>
      <c r="LR354">
        <v>0</v>
      </c>
      <c r="LS354">
        <v>0</v>
      </c>
      <c r="LT354">
        <v>0</v>
      </c>
      <c r="LU354">
        <v>0</v>
      </c>
      <c r="LV354">
        <v>12</v>
      </c>
      <c r="LW354">
        <v>0</v>
      </c>
      <c r="LX354">
        <v>1230</v>
      </c>
      <c r="LY354">
        <v>0</v>
      </c>
      <c r="LZ354">
        <v>1147</v>
      </c>
      <c r="MA354">
        <v>1839</v>
      </c>
      <c r="MB354">
        <v>4510</v>
      </c>
      <c r="MC354">
        <v>-2769</v>
      </c>
      <c r="MD354">
        <v>0</v>
      </c>
      <c r="ME354">
        <v>0</v>
      </c>
      <c r="MF354">
        <v>1968</v>
      </c>
      <c r="MG354">
        <v>0</v>
      </c>
      <c r="MH354">
        <v>7937</v>
      </c>
      <c r="MI354">
        <v>-231</v>
      </c>
      <c r="MJ354">
        <v>0</v>
      </c>
      <c r="MK354">
        <v>0</v>
      </c>
      <c r="ML354">
        <v>0</v>
      </c>
      <c r="MM354">
        <v>0</v>
      </c>
      <c r="MN354">
        <v>0</v>
      </c>
      <c r="MO354">
        <v>266</v>
      </c>
      <c r="MP354">
        <v>0</v>
      </c>
      <c r="MQ354">
        <v>0</v>
      </c>
      <c r="MR354">
        <v>0</v>
      </c>
      <c r="MS354">
        <v>0</v>
      </c>
      <c r="MT354">
        <v>0</v>
      </c>
      <c r="MU354">
        <v>0</v>
      </c>
      <c r="MV354">
        <v>-21</v>
      </c>
      <c r="MW354">
        <v>0</v>
      </c>
      <c r="MX354">
        <v>0</v>
      </c>
      <c r="MY354">
        <v>0</v>
      </c>
      <c r="MZ354">
        <v>0</v>
      </c>
      <c r="NA354">
        <v>14</v>
      </c>
      <c r="NB354">
        <v>0</v>
      </c>
      <c r="NC354">
        <v>14</v>
      </c>
      <c r="ND354">
        <v>0</v>
      </c>
      <c r="NE354">
        <v>0</v>
      </c>
      <c r="NF354">
        <v>0</v>
      </c>
      <c r="NG354">
        <v>0</v>
      </c>
      <c r="NH354">
        <v>0</v>
      </c>
      <c r="NI354">
        <v>0</v>
      </c>
      <c r="NJ354">
        <v>0</v>
      </c>
      <c r="NK354">
        <v>0</v>
      </c>
      <c r="NL354">
        <v>0</v>
      </c>
      <c r="NM354">
        <v>0</v>
      </c>
      <c r="NN354">
        <v>0</v>
      </c>
      <c r="NO354">
        <v>0</v>
      </c>
      <c r="NP354">
        <v>0</v>
      </c>
      <c r="NQ354">
        <v>0</v>
      </c>
      <c r="NR354">
        <v>0</v>
      </c>
      <c r="NS354">
        <v>0</v>
      </c>
      <c r="NT354">
        <v>0</v>
      </c>
      <c r="NU354">
        <v>0</v>
      </c>
      <c r="NV354">
        <v>0</v>
      </c>
      <c r="NW354">
        <v>0</v>
      </c>
      <c r="NX354">
        <v>0</v>
      </c>
      <c r="NY354">
        <v>0</v>
      </c>
      <c r="NZ354">
        <v>0</v>
      </c>
      <c r="OA354">
        <v>0</v>
      </c>
      <c r="OB354">
        <v>0</v>
      </c>
      <c r="OC354">
        <v>0</v>
      </c>
      <c r="OD354">
        <v>0</v>
      </c>
      <c r="OE354">
        <v>0</v>
      </c>
      <c r="OF354">
        <v>0</v>
      </c>
      <c r="OG354">
        <v>0</v>
      </c>
      <c r="OH354">
        <v>0</v>
      </c>
      <c r="OI354">
        <v>0</v>
      </c>
      <c r="OJ354">
        <v>0</v>
      </c>
      <c r="OK354">
        <v>0</v>
      </c>
      <c r="OL354">
        <v>0</v>
      </c>
      <c r="OM354">
        <v>0</v>
      </c>
      <c r="ON354">
        <v>0</v>
      </c>
    </row>
    <row r="355" spans="1:404" x14ac:dyDescent="0.25">
      <c r="A355" t="s">
        <v>1136</v>
      </c>
      <c r="B355" t="s">
        <v>1137</v>
      </c>
      <c r="C355" t="s">
        <v>1135</v>
      </c>
      <c r="E355" t="s">
        <v>71</v>
      </c>
      <c r="F355">
        <v>0</v>
      </c>
      <c r="G355">
        <v>0</v>
      </c>
      <c r="H355">
        <v>0</v>
      </c>
      <c r="I355">
        <v>0</v>
      </c>
      <c r="J355">
        <v>0</v>
      </c>
      <c r="K355">
        <v>0</v>
      </c>
      <c r="L355">
        <v>0</v>
      </c>
      <c r="M355">
        <v>0</v>
      </c>
      <c r="N355">
        <v>0</v>
      </c>
      <c r="O355">
        <v>0</v>
      </c>
      <c r="P355">
        <v>0</v>
      </c>
      <c r="Q355">
        <v>0</v>
      </c>
      <c r="R355">
        <v>0</v>
      </c>
      <c r="S355">
        <v>0</v>
      </c>
      <c r="T355">
        <v>0</v>
      </c>
      <c r="U355">
        <v>0</v>
      </c>
      <c r="V355">
        <v>0</v>
      </c>
      <c r="W355">
        <v>0</v>
      </c>
      <c r="X355">
        <v>0</v>
      </c>
      <c r="Y355">
        <v>0</v>
      </c>
      <c r="Z355">
        <v>0</v>
      </c>
      <c r="AA355">
        <v>0</v>
      </c>
      <c r="AB355">
        <v>0</v>
      </c>
      <c r="AC355">
        <v>0</v>
      </c>
      <c r="AD355">
        <v>0</v>
      </c>
      <c r="AE355">
        <v>0</v>
      </c>
      <c r="AF355">
        <v>0</v>
      </c>
      <c r="AG355">
        <v>0</v>
      </c>
      <c r="AH355">
        <v>0</v>
      </c>
      <c r="AI355">
        <v>0</v>
      </c>
      <c r="AJ355">
        <v>0</v>
      </c>
      <c r="AK355">
        <v>0</v>
      </c>
      <c r="AL355">
        <v>0</v>
      </c>
      <c r="AM355">
        <v>0</v>
      </c>
      <c r="AN355">
        <v>0</v>
      </c>
      <c r="AO355">
        <v>0</v>
      </c>
      <c r="AP355">
        <v>0</v>
      </c>
      <c r="AQ355">
        <v>0</v>
      </c>
      <c r="AR355">
        <v>0</v>
      </c>
      <c r="AS355">
        <v>0</v>
      </c>
      <c r="AT355">
        <v>0</v>
      </c>
      <c r="AU355">
        <v>0</v>
      </c>
      <c r="AV355">
        <v>0</v>
      </c>
      <c r="AW355">
        <v>0</v>
      </c>
      <c r="AX355">
        <v>0</v>
      </c>
      <c r="AY355">
        <v>0</v>
      </c>
      <c r="AZ355">
        <v>0</v>
      </c>
      <c r="BA355">
        <v>0</v>
      </c>
      <c r="BB355">
        <v>0</v>
      </c>
      <c r="BC355">
        <v>0</v>
      </c>
      <c r="BD355">
        <v>0</v>
      </c>
      <c r="BE355">
        <v>0</v>
      </c>
      <c r="BF355">
        <v>0</v>
      </c>
      <c r="BG355">
        <v>0</v>
      </c>
      <c r="BH355">
        <v>0</v>
      </c>
      <c r="BI355">
        <v>0</v>
      </c>
      <c r="BJ355">
        <v>0</v>
      </c>
      <c r="BK355">
        <v>0</v>
      </c>
      <c r="BL355">
        <v>0</v>
      </c>
      <c r="BM355">
        <v>0</v>
      </c>
      <c r="BN355">
        <v>0</v>
      </c>
      <c r="BO355">
        <v>0</v>
      </c>
      <c r="BP355">
        <v>0</v>
      </c>
      <c r="BQ355">
        <v>0</v>
      </c>
      <c r="BR355">
        <v>0</v>
      </c>
      <c r="BS355">
        <v>0</v>
      </c>
      <c r="BT355">
        <v>0</v>
      </c>
      <c r="BU355">
        <v>0</v>
      </c>
      <c r="BV355">
        <v>0</v>
      </c>
      <c r="BW355">
        <v>0</v>
      </c>
      <c r="BX355">
        <v>0</v>
      </c>
      <c r="BY355">
        <v>0</v>
      </c>
      <c r="BZ355">
        <v>0</v>
      </c>
      <c r="CA355">
        <v>0</v>
      </c>
      <c r="CB355">
        <v>0</v>
      </c>
      <c r="CC355">
        <v>0</v>
      </c>
      <c r="CD355">
        <v>0</v>
      </c>
      <c r="CE355">
        <v>0</v>
      </c>
      <c r="CF355">
        <v>0</v>
      </c>
      <c r="CG355">
        <v>0</v>
      </c>
      <c r="CH355">
        <v>0</v>
      </c>
      <c r="CI355">
        <v>0</v>
      </c>
      <c r="CJ355">
        <v>0</v>
      </c>
      <c r="CK355">
        <v>0</v>
      </c>
      <c r="CL355">
        <v>0</v>
      </c>
      <c r="CM355">
        <v>0</v>
      </c>
      <c r="CN355">
        <v>0</v>
      </c>
      <c r="CO355">
        <v>0</v>
      </c>
      <c r="CP355">
        <v>0</v>
      </c>
      <c r="CQ355">
        <v>0</v>
      </c>
      <c r="CR355">
        <v>0</v>
      </c>
      <c r="CS355">
        <v>0</v>
      </c>
      <c r="CT355">
        <v>0</v>
      </c>
      <c r="CU355">
        <v>0</v>
      </c>
      <c r="CV355">
        <v>0</v>
      </c>
      <c r="CW355">
        <v>0</v>
      </c>
      <c r="CX355">
        <v>0</v>
      </c>
      <c r="CY355">
        <v>0</v>
      </c>
      <c r="CZ355">
        <v>0</v>
      </c>
      <c r="DA355">
        <v>0</v>
      </c>
      <c r="DB355">
        <v>0</v>
      </c>
      <c r="DC355">
        <v>0</v>
      </c>
      <c r="DD355">
        <v>0</v>
      </c>
      <c r="DE355">
        <v>0</v>
      </c>
      <c r="DF355">
        <v>0</v>
      </c>
      <c r="DG355">
        <v>0</v>
      </c>
      <c r="DH355">
        <v>0</v>
      </c>
      <c r="DI355">
        <v>0</v>
      </c>
      <c r="DJ355">
        <v>0</v>
      </c>
      <c r="DK355">
        <v>0</v>
      </c>
      <c r="DL355">
        <v>0</v>
      </c>
      <c r="DM355">
        <v>0</v>
      </c>
      <c r="DN355">
        <v>0</v>
      </c>
      <c r="DO355">
        <v>0</v>
      </c>
      <c r="DP355">
        <v>0</v>
      </c>
      <c r="DQ355">
        <v>0</v>
      </c>
      <c r="DR355">
        <v>0</v>
      </c>
      <c r="DS355">
        <v>0</v>
      </c>
      <c r="DT355">
        <v>0</v>
      </c>
      <c r="DU355">
        <v>0</v>
      </c>
      <c r="DV355">
        <v>0</v>
      </c>
      <c r="DW355">
        <v>0</v>
      </c>
      <c r="DX355">
        <v>0</v>
      </c>
      <c r="DY355">
        <v>0</v>
      </c>
      <c r="DZ355">
        <v>0</v>
      </c>
      <c r="EA355">
        <v>0</v>
      </c>
      <c r="EB355">
        <v>0</v>
      </c>
      <c r="EC355">
        <v>0</v>
      </c>
      <c r="ED355">
        <v>0</v>
      </c>
      <c r="EE355">
        <v>0</v>
      </c>
      <c r="EF355">
        <v>0</v>
      </c>
      <c r="EG355">
        <v>0</v>
      </c>
      <c r="EH355">
        <v>0</v>
      </c>
      <c r="EI355">
        <v>0</v>
      </c>
      <c r="EJ355">
        <v>0</v>
      </c>
      <c r="EK355">
        <v>0</v>
      </c>
      <c r="EL355">
        <v>0</v>
      </c>
      <c r="EM355">
        <v>0</v>
      </c>
      <c r="EN355">
        <v>0</v>
      </c>
      <c r="EO355">
        <v>0</v>
      </c>
      <c r="EP355">
        <v>0</v>
      </c>
      <c r="EQ355">
        <v>0</v>
      </c>
      <c r="ER355">
        <v>0</v>
      </c>
      <c r="ES355">
        <v>0</v>
      </c>
      <c r="ET355">
        <v>0</v>
      </c>
      <c r="EU355">
        <v>0</v>
      </c>
      <c r="EV355">
        <v>0</v>
      </c>
      <c r="EW355">
        <v>0</v>
      </c>
      <c r="EX355">
        <v>0</v>
      </c>
      <c r="EY355">
        <v>0</v>
      </c>
      <c r="EZ355">
        <v>0</v>
      </c>
      <c r="FA355">
        <v>0</v>
      </c>
      <c r="FB355">
        <v>0</v>
      </c>
      <c r="FC355">
        <v>0</v>
      </c>
      <c r="FD355">
        <v>0</v>
      </c>
      <c r="FE355">
        <v>0</v>
      </c>
      <c r="FF355">
        <v>0</v>
      </c>
      <c r="FG355">
        <v>0</v>
      </c>
      <c r="FH355">
        <v>0</v>
      </c>
      <c r="FI355">
        <v>0</v>
      </c>
      <c r="FJ355">
        <v>0</v>
      </c>
      <c r="FK355">
        <v>0</v>
      </c>
      <c r="FL355">
        <v>0</v>
      </c>
      <c r="FM355">
        <v>0</v>
      </c>
      <c r="FN355">
        <v>0</v>
      </c>
      <c r="FO355">
        <v>0</v>
      </c>
      <c r="FP355">
        <v>0</v>
      </c>
      <c r="FQ355">
        <v>0</v>
      </c>
      <c r="FR355">
        <v>0</v>
      </c>
      <c r="FS355">
        <v>0</v>
      </c>
      <c r="FT355">
        <v>0</v>
      </c>
      <c r="FU355">
        <v>0</v>
      </c>
      <c r="FV355">
        <v>0</v>
      </c>
      <c r="FW355">
        <v>0</v>
      </c>
      <c r="FX355">
        <v>0</v>
      </c>
      <c r="FY355">
        <v>0</v>
      </c>
      <c r="FZ355">
        <v>0</v>
      </c>
      <c r="GA355">
        <v>0</v>
      </c>
      <c r="GB355">
        <v>0</v>
      </c>
      <c r="GC355">
        <v>0</v>
      </c>
      <c r="GD355">
        <v>0</v>
      </c>
      <c r="GE355">
        <v>0</v>
      </c>
      <c r="GF355">
        <v>0</v>
      </c>
      <c r="GG355">
        <v>0</v>
      </c>
      <c r="GH355">
        <v>0</v>
      </c>
      <c r="GI355">
        <v>0</v>
      </c>
      <c r="GJ355">
        <v>0</v>
      </c>
      <c r="GK355">
        <v>0</v>
      </c>
      <c r="GL355">
        <v>0</v>
      </c>
      <c r="GM355">
        <v>0</v>
      </c>
      <c r="GN355">
        <v>0</v>
      </c>
      <c r="GO355">
        <v>0</v>
      </c>
      <c r="GP355">
        <v>0</v>
      </c>
      <c r="GQ355">
        <v>0</v>
      </c>
      <c r="GR355">
        <v>0</v>
      </c>
      <c r="GS355">
        <v>0</v>
      </c>
      <c r="GT355">
        <v>0</v>
      </c>
      <c r="GU355">
        <v>0</v>
      </c>
      <c r="GV355">
        <v>0</v>
      </c>
      <c r="GW355">
        <v>260925</v>
      </c>
      <c r="GX355">
        <v>0</v>
      </c>
      <c r="GY355">
        <v>0</v>
      </c>
      <c r="GZ355">
        <v>0</v>
      </c>
      <c r="HA355">
        <v>0</v>
      </c>
      <c r="HB355">
        <v>2019</v>
      </c>
      <c r="HC355">
        <v>0</v>
      </c>
      <c r="HD355">
        <v>0</v>
      </c>
      <c r="HE355">
        <v>0</v>
      </c>
      <c r="HF355">
        <v>0</v>
      </c>
      <c r="HG355">
        <v>0</v>
      </c>
      <c r="HH355">
        <v>0</v>
      </c>
      <c r="HI355">
        <v>0</v>
      </c>
      <c r="HJ355">
        <v>0</v>
      </c>
      <c r="HK355">
        <v>0</v>
      </c>
      <c r="HL355">
        <v>0</v>
      </c>
      <c r="HM355">
        <v>0</v>
      </c>
      <c r="HN355">
        <v>0</v>
      </c>
      <c r="HO355">
        <v>0</v>
      </c>
      <c r="HP355">
        <v>0</v>
      </c>
      <c r="HQ355">
        <v>0</v>
      </c>
      <c r="HR355">
        <v>0</v>
      </c>
      <c r="HS355">
        <v>0</v>
      </c>
      <c r="HT355">
        <v>0</v>
      </c>
      <c r="HU355">
        <v>0</v>
      </c>
      <c r="HV355">
        <v>2019</v>
      </c>
      <c r="HW355">
        <v>0</v>
      </c>
      <c r="HX355">
        <v>0</v>
      </c>
      <c r="HY355">
        <v>0</v>
      </c>
      <c r="HZ355">
        <v>0</v>
      </c>
      <c r="IA355">
        <v>0</v>
      </c>
      <c r="IB355">
        <v>0</v>
      </c>
      <c r="IC355">
        <v>0</v>
      </c>
      <c r="ID355">
        <v>0</v>
      </c>
      <c r="IE355">
        <v>0</v>
      </c>
      <c r="IF355">
        <v>0</v>
      </c>
      <c r="IG355">
        <v>0</v>
      </c>
      <c r="IH355">
        <v>0</v>
      </c>
      <c r="II355">
        <v>0</v>
      </c>
      <c r="IJ355">
        <v>0</v>
      </c>
      <c r="IK355">
        <v>0</v>
      </c>
      <c r="IL355">
        <v>260925</v>
      </c>
      <c r="IM355">
        <v>0</v>
      </c>
      <c r="IN355">
        <v>2019</v>
      </c>
      <c r="IO355">
        <v>0</v>
      </c>
      <c r="IP355">
        <v>262944</v>
      </c>
      <c r="IQ355">
        <v>0</v>
      </c>
      <c r="IR355">
        <v>0</v>
      </c>
      <c r="IS355">
        <v>0</v>
      </c>
      <c r="IT355">
        <v>0</v>
      </c>
      <c r="IU355">
        <v>0</v>
      </c>
      <c r="IV355">
        <v>0</v>
      </c>
      <c r="IW355">
        <v>0</v>
      </c>
      <c r="IX355">
        <v>0</v>
      </c>
      <c r="IY355">
        <v>0</v>
      </c>
      <c r="IZ355">
        <v>0</v>
      </c>
      <c r="JA355">
        <v>0</v>
      </c>
      <c r="JB355">
        <v>0</v>
      </c>
      <c r="JC355">
        <v>0</v>
      </c>
      <c r="JD355">
        <v>0</v>
      </c>
      <c r="JE355">
        <v>652</v>
      </c>
      <c r="JF355">
        <v>0</v>
      </c>
      <c r="JG355">
        <v>263596</v>
      </c>
      <c r="JH355">
        <v>0</v>
      </c>
      <c r="JI355">
        <v>0</v>
      </c>
      <c r="JJ355">
        <v>0</v>
      </c>
      <c r="JK355">
        <v>0</v>
      </c>
      <c r="JL355">
        <v>0</v>
      </c>
      <c r="JM355">
        <v>0</v>
      </c>
      <c r="JN355">
        <v>1153</v>
      </c>
      <c r="JO355">
        <v>0</v>
      </c>
      <c r="JP355">
        <v>338</v>
      </c>
      <c r="JQ355">
        <v>0</v>
      </c>
      <c r="JR355">
        <v>265087</v>
      </c>
      <c r="JS355">
        <v>-62</v>
      </c>
      <c r="JT355">
        <v>0</v>
      </c>
      <c r="JU355">
        <v>0</v>
      </c>
      <c r="JV355">
        <v>0</v>
      </c>
      <c r="JW355">
        <v>-4896</v>
      </c>
      <c r="JX355">
        <v>0</v>
      </c>
      <c r="JY355">
        <v>0</v>
      </c>
      <c r="JZ355">
        <v>0</v>
      </c>
      <c r="KA355">
        <v>0</v>
      </c>
      <c r="KB355">
        <v>0</v>
      </c>
      <c r="KC355">
        <v>260129</v>
      </c>
      <c r="KD355">
        <v>0</v>
      </c>
      <c r="KE355">
        <v>-1281</v>
      </c>
      <c r="KF355">
        <v>258848</v>
      </c>
      <c r="KG355">
        <v>0</v>
      </c>
      <c r="KH355">
        <v>0</v>
      </c>
      <c r="KI355">
        <v>0</v>
      </c>
      <c r="KJ355">
        <v>0</v>
      </c>
      <c r="KK355">
        <v>897</v>
      </c>
      <c r="KL355">
        <v>806</v>
      </c>
      <c r="KM355">
        <v>0</v>
      </c>
      <c r="KN355">
        <v>-116299</v>
      </c>
      <c r="KO355">
        <v>0</v>
      </c>
      <c r="KP355">
        <v>0</v>
      </c>
      <c r="KQ355">
        <v>0</v>
      </c>
      <c r="KR355">
        <v>142360</v>
      </c>
      <c r="KS355">
        <v>0</v>
      </c>
      <c r="KT355">
        <v>0</v>
      </c>
      <c r="KU355">
        <v>0</v>
      </c>
      <c r="KV355">
        <v>11436</v>
      </c>
      <c r="KW355">
        <v>8327</v>
      </c>
      <c r="KX355">
        <v>0</v>
      </c>
      <c r="KY355">
        <v>0</v>
      </c>
      <c r="KZ355">
        <v>0</v>
      </c>
      <c r="LA355">
        <v>12333</v>
      </c>
      <c r="LB355">
        <v>9133</v>
      </c>
      <c r="LC355">
        <v>0</v>
      </c>
      <c r="LD355">
        <v>10007</v>
      </c>
      <c r="LE355">
        <v>0</v>
      </c>
      <c r="LF355">
        <v>1501</v>
      </c>
      <c r="LG355">
        <v>-888</v>
      </c>
      <c r="LH355">
        <v>0</v>
      </c>
      <c r="LI355">
        <v>10685</v>
      </c>
      <c r="LJ355">
        <v>0</v>
      </c>
      <c r="LK355">
        <v>0</v>
      </c>
      <c r="LL355">
        <v>0</v>
      </c>
      <c r="LM355">
        <v>0</v>
      </c>
      <c r="LN355">
        <v>0</v>
      </c>
      <c r="LO355">
        <v>0</v>
      </c>
      <c r="LP355">
        <v>0</v>
      </c>
      <c r="LQ355">
        <v>0</v>
      </c>
      <c r="LR355">
        <v>0</v>
      </c>
      <c r="LS355">
        <v>0</v>
      </c>
      <c r="LT355">
        <v>0</v>
      </c>
      <c r="LU355">
        <v>0</v>
      </c>
      <c r="LV355">
        <v>0</v>
      </c>
      <c r="LW355">
        <v>0</v>
      </c>
      <c r="LX355">
        <v>0</v>
      </c>
      <c r="LY355">
        <v>0</v>
      </c>
      <c r="LZ355">
        <v>0</v>
      </c>
      <c r="MA355">
        <v>0</v>
      </c>
      <c r="MB355">
        <v>0</v>
      </c>
      <c r="MC355">
        <v>0</v>
      </c>
      <c r="MD355">
        <v>260925</v>
      </c>
      <c r="ME355">
        <v>0</v>
      </c>
      <c r="MF355">
        <v>2019</v>
      </c>
      <c r="MG355">
        <v>0</v>
      </c>
      <c r="MH355">
        <v>262944</v>
      </c>
      <c r="MI355">
        <v>0</v>
      </c>
      <c r="MJ355">
        <v>0</v>
      </c>
      <c r="MK355">
        <v>0</v>
      </c>
      <c r="ML355">
        <v>0</v>
      </c>
      <c r="MM355">
        <v>0</v>
      </c>
      <c r="MN355">
        <v>0</v>
      </c>
      <c r="MO355">
        <v>0</v>
      </c>
      <c r="MP355">
        <v>0</v>
      </c>
      <c r="MQ355">
        <v>0</v>
      </c>
      <c r="MR355">
        <v>0</v>
      </c>
      <c r="MS355">
        <v>0</v>
      </c>
      <c r="MT355">
        <v>0</v>
      </c>
      <c r="MU355">
        <v>0</v>
      </c>
      <c r="MV355">
        <v>0</v>
      </c>
      <c r="MW355">
        <v>0</v>
      </c>
      <c r="MX355">
        <v>0</v>
      </c>
      <c r="MY355">
        <v>0</v>
      </c>
      <c r="MZ355">
        <v>0</v>
      </c>
      <c r="NA355">
        <v>0</v>
      </c>
      <c r="NB355">
        <v>0</v>
      </c>
      <c r="NC355">
        <v>0</v>
      </c>
      <c r="ND355">
        <v>0</v>
      </c>
      <c r="NE355">
        <v>0</v>
      </c>
      <c r="NF355">
        <v>0</v>
      </c>
      <c r="NG355">
        <v>0</v>
      </c>
      <c r="NH355">
        <v>0</v>
      </c>
      <c r="NI355">
        <v>0</v>
      </c>
      <c r="NJ355">
        <v>0</v>
      </c>
      <c r="NK355">
        <v>0</v>
      </c>
      <c r="NL355">
        <v>0</v>
      </c>
      <c r="NM355">
        <v>0</v>
      </c>
      <c r="NN355">
        <v>0</v>
      </c>
      <c r="NO355">
        <v>0</v>
      </c>
      <c r="NP355">
        <v>0</v>
      </c>
      <c r="NQ355">
        <v>0</v>
      </c>
      <c r="NR355">
        <v>0</v>
      </c>
      <c r="NS355">
        <v>0</v>
      </c>
      <c r="NT355">
        <v>0</v>
      </c>
      <c r="NU355">
        <v>0</v>
      </c>
      <c r="NV355">
        <v>0</v>
      </c>
      <c r="NW355">
        <v>0</v>
      </c>
      <c r="NX355">
        <v>0</v>
      </c>
      <c r="NY355">
        <v>0</v>
      </c>
      <c r="NZ355">
        <v>0</v>
      </c>
      <c r="OA355">
        <v>0</v>
      </c>
      <c r="OB355">
        <v>0</v>
      </c>
      <c r="OC355">
        <v>0</v>
      </c>
      <c r="OD355">
        <v>0</v>
      </c>
      <c r="OE355">
        <v>0</v>
      </c>
      <c r="OF355">
        <v>0</v>
      </c>
      <c r="OG355">
        <v>0</v>
      </c>
      <c r="OH355">
        <v>0</v>
      </c>
      <c r="OI355">
        <v>0</v>
      </c>
      <c r="OJ355">
        <v>0</v>
      </c>
      <c r="OK355">
        <v>0</v>
      </c>
      <c r="OL355">
        <v>0</v>
      </c>
      <c r="OM355">
        <v>0</v>
      </c>
      <c r="ON355">
        <v>0</v>
      </c>
    </row>
    <row r="356" spans="1:404" x14ac:dyDescent="0.25">
      <c r="A356" t="s">
        <v>1139</v>
      </c>
      <c r="B356" t="s">
        <v>1140</v>
      </c>
      <c r="C356" t="s">
        <v>1138</v>
      </c>
      <c r="E356" t="s">
        <v>71</v>
      </c>
      <c r="F356">
        <v>0</v>
      </c>
      <c r="G356">
        <v>0</v>
      </c>
      <c r="H356">
        <v>0</v>
      </c>
      <c r="I356">
        <v>0</v>
      </c>
      <c r="J356">
        <v>0</v>
      </c>
      <c r="K356">
        <v>0</v>
      </c>
      <c r="L356">
        <v>0</v>
      </c>
      <c r="M356">
        <v>0</v>
      </c>
      <c r="N356">
        <v>0</v>
      </c>
      <c r="O356">
        <v>0</v>
      </c>
      <c r="P356">
        <v>0</v>
      </c>
      <c r="Q356">
        <v>0</v>
      </c>
      <c r="R356">
        <v>0</v>
      </c>
      <c r="S356">
        <v>0</v>
      </c>
      <c r="T356">
        <v>0</v>
      </c>
      <c r="U356">
        <v>0</v>
      </c>
      <c r="V356">
        <v>0</v>
      </c>
      <c r="W356">
        <v>0</v>
      </c>
      <c r="X356">
        <v>0</v>
      </c>
      <c r="Y356">
        <v>0</v>
      </c>
      <c r="Z356">
        <v>0</v>
      </c>
      <c r="AA356">
        <v>0</v>
      </c>
      <c r="AB356">
        <v>0</v>
      </c>
      <c r="AC356">
        <v>0</v>
      </c>
      <c r="AD356">
        <v>0</v>
      </c>
      <c r="AE356">
        <v>0</v>
      </c>
      <c r="AF356">
        <v>0</v>
      </c>
      <c r="AG356">
        <v>0</v>
      </c>
      <c r="AH356">
        <v>0</v>
      </c>
      <c r="AI356">
        <v>0</v>
      </c>
      <c r="AJ356">
        <v>0</v>
      </c>
      <c r="AK356">
        <v>0</v>
      </c>
      <c r="AL356">
        <v>0</v>
      </c>
      <c r="AM356">
        <v>0</v>
      </c>
      <c r="AN356">
        <v>0</v>
      </c>
      <c r="AO356">
        <v>0</v>
      </c>
      <c r="AP356">
        <v>0</v>
      </c>
      <c r="AQ356">
        <v>0</v>
      </c>
      <c r="AR356">
        <v>0</v>
      </c>
      <c r="AS356">
        <v>0</v>
      </c>
      <c r="AT356">
        <v>0</v>
      </c>
      <c r="AU356">
        <v>0</v>
      </c>
      <c r="AV356">
        <v>0</v>
      </c>
      <c r="AW356">
        <v>0</v>
      </c>
      <c r="AX356">
        <v>0</v>
      </c>
      <c r="AY356">
        <v>0</v>
      </c>
      <c r="AZ356">
        <v>0</v>
      </c>
      <c r="BA356">
        <v>0</v>
      </c>
      <c r="BB356">
        <v>0</v>
      </c>
      <c r="BC356">
        <v>0</v>
      </c>
      <c r="BD356">
        <v>0</v>
      </c>
      <c r="BE356">
        <v>0</v>
      </c>
      <c r="BF356">
        <v>0</v>
      </c>
      <c r="BG356">
        <v>0</v>
      </c>
      <c r="BH356">
        <v>0</v>
      </c>
      <c r="BI356">
        <v>0</v>
      </c>
      <c r="BJ356">
        <v>0</v>
      </c>
      <c r="BK356">
        <v>0</v>
      </c>
      <c r="BL356">
        <v>0</v>
      </c>
      <c r="BM356">
        <v>0</v>
      </c>
      <c r="BN356">
        <v>0</v>
      </c>
      <c r="BO356">
        <v>0</v>
      </c>
      <c r="BP356">
        <v>0</v>
      </c>
      <c r="BQ356">
        <v>0</v>
      </c>
      <c r="BR356">
        <v>0</v>
      </c>
      <c r="BS356">
        <v>0</v>
      </c>
      <c r="BT356">
        <v>0</v>
      </c>
      <c r="BU356">
        <v>0</v>
      </c>
      <c r="BV356">
        <v>0</v>
      </c>
      <c r="BW356">
        <v>0</v>
      </c>
      <c r="BX356">
        <v>0</v>
      </c>
      <c r="BY356">
        <v>0</v>
      </c>
      <c r="BZ356">
        <v>0</v>
      </c>
      <c r="CA356">
        <v>0</v>
      </c>
      <c r="CB356">
        <v>0</v>
      </c>
      <c r="CC356">
        <v>0</v>
      </c>
      <c r="CD356">
        <v>0</v>
      </c>
      <c r="CE356">
        <v>0</v>
      </c>
      <c r="CF356">
        <v>0</v>
      </c>
      <c r="CG356">
        <v>0</v>
      </c>
      <c r="CH356">
        <v>0</v>
      </c>
      <c r="CI356">
        <v>0</v>
      </c>
      <c r="CJ356">
        <v>0</v>
      </c>
      <c r="CK356">
        <v>0</v>
      </c>
      <c r="CL356">
        <v>0</v>
      </c>
      <c r="CM356">
        <v>0</v>
      </c>
      <c r="CN356">
        <v>0</v>
      </c>
      <c r="CO356">
        <v>0</v>
      </c>
      <c r="CP356">
        <v>0</v>
      </c>
      <c r="CQ356">
        <v>0</v>
      </c>
      <c r="CR356">
        <v>0</v>
      </c>
      <c r="CS356">
        <v>0</v>
      </c>
      <c r="CT356">
        <v>0</v>
      </c>
      <c r="CU356">
        <v>0</v>
      </c>
      <c r="CV356">
        <v>0</v>
      </c>
      <c r="CW356">
        <v>0</v>
      </c>
      <c r="CX356">
        <v>0</v>
      </c>
      <c r="CY356">
        <v>0</v>
      </c>
      <c r="CZ356">
        <v>0</v>
      </c>
      <c r="DA356">
        <v>0</v>
      </c>
      <c r="DB356">
        <v>0</v>
      </c>
      <c r="DC356">
        <v>0</v>
      </c>
      <c r="DD356">
        <v>0</v>
      </c>
      <c r="DE356">
        <v>0</v>
      </c>
      <c r="DF356">
        <v>0</v>
      </c>
      <c r="DG356">
        <v>0</v>
      </c>
      <c r="DH356">
        <v>0</v>
      </c>
      <c r="DI356">
        <v>0</v>
      </c>
      <c r="DJ356">
        <v>0</v>
      </c>
      <c r="DK356">
        <v>0</v>
      </c>
      <c r="DL356">
        <v>0</v>
      </c>
      <c r="DM356">
        <v>0</v>
      </c>
      <c r="DN356">
        <v>0</v>
      </c>
      <c r="DO356">
        <v>0</v>
      </c>
      <c r="DP356">
        <v>0</v>
      </c>
      <c r="DQ356">
        <v>0</v>
      </c>
      <c r="DR356">
        <v>0</v>
      </c>
      <c r="DS356">
        <v>0</v>
      </c>
      <c r="DT356">
        <v>0</v>
      </c>
      <c r="DU356">
        <v>0</v>
      </c>
      <c r="DV356">
        <v>0</v>
      </c>
      <c r="DW356">
        <v>0</v>
      </c>
      <c r="DX356">
        <v>0</v>
      </c>
      <c r="DY356">
        <v>0</v>
      </c>
      <c r="DZ356">
        <v>0</v>
      </c>
      <c r="EA356">
        <v>0</v>
      </c>
      <c r="EB356">
        <v>0</v>
      </c>
      <c r="EC356">
        <v>0</v>
      </c>
      <c r="ED356">
        <v>0</v>
      </c>
      <c r="EE356">
        <v>0</v>
      </c>
      <c r="EF356">
        <v>0</v>
      </c>
      <c r="EG356">
        <v>0</v>
      </c>
      <c r="EH356">
        <v>0</v>
      </c>
      <c r="EI356">
        <v>0</v>
      </c>
      <c r="EJ356">
        <v>0</v>
      </c>
      <c r="EK356">
        <v>0</v>
      </c>
      <c r="EL356">
        <v>0</v>
      </c>
      <c r="EM356">
        <v>0</v>
      </c>
      <c r="EN356">
        <v>0</v>
      </c>
      <c r="EO356">
        <v>0</v>
      </c>
      <c r="EP356">
        <v>0</v>
      </c>
      <c r="EQ356">
        <v>0</v>
      </c>
      <c r="ER356">
        <v>0</v>
      </c>
      <c r="ES356">
        <v>0</v>
      </c>
      <c r="ET356">
        <v>0</v>
      </c>
      <c r="EU356">
        <v>0</v>
      </c>
      <c r="EV356">
        <v>0</v>
      </c>
      <c r="EW356">
        <v>0</v>
      </c>
      <c r="EX356">
        <v>0</v>
      </c>
      <c r="EY356">
        <v>0</v>
      </c>
      <c r="EZ356">
        <v>0</v>
      </c>
      <c r="FA356">
        <v>0</v>
      </c>
      <c r="FB356">
        <v>0</v>
      </c>
      <c r="FC356">
        <v>0</v>
      </c>
      <c r="FD356">
        <v>0</v>
      </c>
      <c r="FE356">
        <v>0</v>
      </c>
      <c r="FF356">
        <v>0</v>
      </c>
      <c r="FG356">
        <v>0</v>
      </c>
      <c r="FH356">
        <v>0</v>
      </c>
      <c r="FI356">
        <v>0</v>
      </c>
      <c r="FJ356">
        <v>0</v>
      </c>
      <c r="FK356">
        <v>0</v>
      </c>
      <c r="FL356">
        <v>0</v>
      </c>
      <c r="FM356">
        <v>0</v>
      </c>
      <c r="FN356">
        <v>0</v>
      </c>
      <c r="FO356">
        <v>0</v>
      </c>
      <c r="FP356">
        <v>0</v>
      </c>
      <c r="FQ356">
        <v>0</v>
      </c>
      <c r="FR356">
        <v>0</v>
      </c>
      <c r="FS356">
        <v>0</v>
      </c>
      <c r="FT356">
        <v>0</v>
      </c>
      <c r="FU356">
        <v>0</v>
      </c>
      <c r="FV356">
        <v>0</v>
      </c>
      <c r="FW356">
        <v>0</v>
      </c>
      <c r="FX356">
        <v>0</v>
      </c>
      <c r="FY356">
        <v>0</v>
      </c>
      <c r="FZ356">
        <v>0</v>
      </c>
      <c r="GA356">
        <v>0</v>
      </c>
      <c r="GB356">
        <v>0</v>
      </c>
      <c r="GC356">
        <v>0</v>
      </c>
      <c r="GD356">
        <v>0</v>
      </c>
      <c r="GE356">
        <v>0</v>
      </c>
      <c r="GF356">
        <v>0</v>
      </c>
      <c r="GG356">
        <v>0</v>
      </c>
      <c r="GH356">
        <v>0</v>
      </c>
      <c r="GI356">
        <v>0</v>
      </c>
      <c r="GJ356">
        <v>0</v>
      </c>
      <c r="GK356">
        <v>0</v>
      </c>
      <c r="GL356">
        <v>0</v>
      </c>
      <c r="GM356">
        <v>0</v>
      </c>
      <c r="GN356">
        <v>0</v>
      </c>
      <c r="GO356">
        <v>0</v>
      </c>
      <c r="GP356">
        <v>0</v>
      </c>
      <c r="GQ356">
        <v>0</v>
      </c>
      <c r="GR356">
        <v>0</v>
      </c>
      <c r="GS356">
        <v>0</v>
      </c>
      <c r="GT356">
        <v>0</v>
      </c>
      <c r="GU356">
        <v>0</v>
      </c>
      <c r="GV356">
        <v>0</v>
      </c>
      <c r="GW356">
        <v>326793</v>
      </c>
      <c r="GX356">
        <v>0</v>
      </c>
      <c r="GY356">
        <v>0</v>
      </c>
      <c r="GZ356">
        <v>0</v>
      </c>
      <c r="HA356">
        <v>0</v>
      </c>
      <c r="HB356">
        <v>1463</v>
      </c>
      <c r="HC356">
        <v>0</v>
      </c>
      <c r="HD356">
        <v>0</v>
      </c>
      <c r="HE356">
        <v>0</v>
      </c>
      <c r="HF356">
        <v>0</v>
      </c>
      <c r="HG356">
        <v>0</v>
      </c>
      <c r="HH356">
        <v>0</v>
      </c>
      <c r="HI356">
        <v>0</v>
      </c>
      <c r="HJ356">
        <v>0</v>
      </c>
      <c r="HK356">
        <v>0</v>
      </c>
      <c r="HL356">
        <v>0</v>
      </c>
      <c r="HM356">
        <v>0</v>
      </c>
      <c r="HN356">
        <v>0</v>
      </c>
      <c r="HO356">
        <v>0</v>
      </c>
      <c r="HP356">
        <v>0</v>
      </c>
      <c r="HQ356">
        <v>0</v>
      </c>
      <c r="HR356">
        <v>0</v>
      </c>
      <c r="HS356">
        <v>0</v>
      </c>
      <c r="HT356">
        <v>0</v>
      </c>
      <c r="HU356">
        <v>0</v>
      </c>
      <c r="HV356">
        <v>1463</v>
      </c>
      <c r="HW356">
        <v>0</v>
      </c>
      <c r="HX356">
        <v>0</v>
      </c>
      <c r="HY356">
        <v>0</v>
      </c>
      <c r="HZ356">
        <v>0</v>
      </c>
      <c r="IA356">
        <v>0</v>
      </c>
      <c r="IB356">
        <v>0</v>
      </c>
      <c r="IC356">
        <v>0</v>
      </c>
      <c r="ID356">
        <v>0</v>
      </c>
      <c r="IE356">
        <v>0</v>
      </c>
      <c r="IF356">
        <v>0</v>
      </c>
      <c r="IG356">
        <v>0</v>
      </c>
      <c r="IH356">
        <v>0</v>
      </c>
      <c r="II356">
        <v>0</v>
      </c>
      <c r="IJ356">
        <v>0</v>
      </c>
      <c r="IK356">
        <v>0</v>
      </c>
      <c r="IL356">
        <v>326793</v>
      </c>
      <c r="IM356">
        <v>0</v>
      </c>
      <c r="IN356">
        <v>1463</v>
      </c>
      <c r="IO356">
        <v>0</v>
      </c>
      <c r="IP356">
        <v>328256</v>
      </c>
      <c r="IQ356">
        <v>0</v>
      </c>
      <c r="IR356">
        <v>0</v>
      </c>
      <c r="IS356">
        <v>0</v>
      </c>
      <c r="IT356">
        <v>0</v>
      </c>
      <c r="IU356">
        <v>0</v>
      </c>
      <c r="IV356">
        <v>0</v>
      </c>
      <c r="IW356">
        <v>0</v>
      </c>
      <c r="IX356">
        <v>0</v>
      </c>
      <c r="IY356">
        <v>0</v>
      </c>
      <c r="IZ356">
        <v>0</v>
      </c>
      <c r="JA356">
        <v>0</v>
      </c>
      <c r="JB356">
        <v>0</v>
      </c>
      <c r="JC356">
        <v>0</v>
      </c>
      <c r="JD356">
        <v>0</v>
      </c>
      <c r="JE356">
        <v>-547</v>
      </c>
      <c r="JF356">
        <v>0</v>
      </c>
      <c r="JG356">
        <v>327709</v>
      </c>
      <c r="JH356">
        <v>0</v>
      </c>
      <c r="JI356">
        <v>5650</v>
      </c>
      <c r="JJ356">
        <v>0</v>
      </c>
      <c r="JK356">
        <v>0</v>
      </c>
      <c r="JL356">
        <v>0</v>
      </c>
      <c r="JM356">
        <v>0</v>
      </c>
      <c r="JN356">
        <v>1007</v>
      </c>
      <c r="JO356">
        <v>38</v>
      </c>
      <c r="JP356">
        <v>1469</v>
      </c>
      <c r="JQ356">
        <v>0</v>
      </c>
      <c r="JR356">
        <v>335872</v>
      </c>
      <c r="JS356">
        <v>-114</v>
      </c>
      <c r="JT356">
        <v>0</v>
      </c>
      <c r="JU356">
        <v>0</v>
      </c>
      <c r="JV356">
        <v>0</v>
      </c>
      <c r="JW356">
        <v>-11592</v>
      </c>
      <c r="JX356">
        <v>0</v>
      </c>
      <c r="JY356">
        <v>0</v>
      </c>
      <c r="JZ356">
        <v>0</v>
      </c>
      <c r="KA356">
        <v>0</v>
      </c>
      <c r="KB356">
        <v>0</v>
      </c>
      <c r="KC356">
        <v>324166</v>
      </c>
      <c r="KD356">
        <v>0</v>
      </c>
      <c r="KE356">
        <v>-7614</v>
      </c>
      <c r="KF356">
        <v>316552</v>
      </c>
      <c r="KG356">
        <v>0</v>
      </c>
      <c r="KH356">
        <v>0</v>
      </c>
      <c r="KI356">
        <v>0</v>
      </c>
      <c r="KJ356">
        <v>0</v>
      </c>
      <c r="KK356">
        <v>9747</v>
      </c>
      <c r="KL356">
        <v>1340</v>
      </c>
      <c r="KM356">
        <v>0</v>
      </c>
      <c r="KN356">
        <v>-190418</v>
      </c>
      <c r="KO356">
        <v>0</v>
      </c>
      <c r="KP356">
        <v>347</v>
      </c>
      <c r="KQ356">
        <v>0</v>
      </c>
      <c r="KR356">
        <v>134914</v>
      </c>
      <c r="KS356">
        <v>0</v>
      </c>
      <c r="KT356">
        <v>0</v>
      </c>
      <c r="KU356">
        <v>0</v>
      </c>
      <c r="KV356">
        <v>0</v>
      </c>
      <c r="KW356">
        <v>12379</v>
      </c>
      <c r="KX356">
        <v>0</v>
      </c>
      <c r="KY356">
        <v>0</v>
      </c>
      <c r="KZ356">
        <v>0</v>
      </c>
      <c r="LA356">
        <v>9747</v>
      </c>
      <c r="LB356">
        <v>13719</v>
      </c>
      <c r="LC356">
        <v>0</v>
      </c>
      <c r="LD356">
        <v>9975</v>
      </c>
      <c r="LE356">
        <v>0</v>
      </c>
      <c r="LF356">
        <v>1644</v>
      </c>
      <c r="LG356">
        <v>-443</v>
      </c>
      <c r="LH356">
        <v>0</v>
      </c>
      <c r="LI356">
        <v>11041</v>
      </c>
      <c r="LJ356">
        <v>0</v>
      </c>
      <c r="LK356">
        <v>0</v>
      </c>
      <c r="LL356">
        <v>0</v>
      </c>
      <c r="LM356">
        <v>0</v>
      </c>
      <c r="LN356">
        <v>0</v>
      </c>
      <c r="LO356">
        <v>0</v>
      </c>
      <c r="LP356">
        <v>0</v>
      </c>
      <c r="LQ356">
        <v>0</v>
      </c>
      <c r="LR356">
        <v>0</v>
      </c>
      <c r="LS356">
        <v>0</v>
      </c>
      <c r="LT356">
        <v>0</v>
      </c>
      <c r="LU356">
        <v>0</v>
      </c>
      <c r="LV356">
        <v>0</v>
      </c>
      <c r="LW356">
        <v>0</v>
      </c>
      <c r="LX356">
        <v>0</v>
      </c>
      <c r="LY356">
        <v>0</v>
      </c>
      <c r="LZ356">
        <v>0</v>
      </c>
      <c r="MA356">
        <v>0</v>
      </c>
      <c r="MB356">
        <v>0</v>
      </c>
      <c r="MC356">
        <v>0</v>
      </c>
      <c r="MD356">
        <v>326793</v>
      </c>
      <c r="ME356">
        <v>0</v>
      </c>
      <c r="MF356">
        <v>1463</v>
      </c>
      <c r="MG356">
        <v>0</v>
      </c>
      <c r="MH356">
        <v>328256</v>
      </c>
      <c r="MI356">
        <v>0</v>
      </c>
      <c r="MJ356">
        <v>0</v>
      </c>
      <c r="MK356">
        <v>0</v>
      </c>
      <c r="ML356">
        <v>0</v>
      </c>
      <c r="MM356">
        <v>0</v>
      </c>
      <c r="MN356">
        <v>0</v>
      </c>
      <c r="MO356">
        <v>0</v>
      </c>
      <c r="MP356">
        <v>0</v>
      </c>
      <c r="MQ356">
        <v>0</v>
      </c>
      <c r="MR356">
        <v>0</v>
      </c>
      <c r="MS356">
        <v>0</v>
      </c>
      <c r="MT356">
        <v>0</v>
      </c>
      <c r="MU356">
        <v>0</v>
      </c>
      <c r="MV356">
        <v>0</v>
      </c>
      <c r="MW356">
        <v>0</v>
      </c>
      <c r="MX356">
        <v>0</v>
      </c>
      <c r="MY356">
        <v>0</v>
      </c>
      <c r="MZ356">
        <v>0</v>
      </c>
      <c r="NA356">
        <v>0</v>
      </c>
      <c r="NB356">
        <v>0</v>
      </c>
      <c r="NC356">
        <v>0</v>
      </c>
      <c r="ND356">
        <v>0</v>
      </c>
      <c r="NE356">
        <v>0</v>
      </c>
      <c r="NF356">
        <v>0</v>
      </c>
      <c r="NG356">
        <v>0</v>
      </c>
      <c r="NH356">
        <v>0</v>
      </c>
      <c r="NI356">
        <v>0</v>
      </c>
      <c r="NJ356">
        <v>0</v>
      </c>
      <c r="NK356">
        <v>0</v>
      </c>
      <c r="NL356">
        <v>0</v>
      </c>
      <c r="NM356">
        <v>0</v>
      </c>
      <c r="NN356">
        <v>0</v>
      </c>
      <c r="NO356">
        <v>0</v>
      </c>
      <c r="NP356">
        <v>0</v>
      </c>
      <c r="NQ356">
        <v>0</v>
      </c>
      <c r="NR356">
        <v>0</v>
      </c>
      <c r="NS356">
        <v>0</v>
      </c>
      <c r="NT356">
        <v>0</v>
      </c>
      <c r="NU356">
        <v>0</v>
      </c>
      <c r="NV356">
        <v>0</v>
      </c>
      <c r="NW356">
        <v>0</v>
      </c>
      <c r="NX356">
        <v>0</v>
      </c>
      <c r="NY356">
        <v>0</v>
      </c>
      <c r="NZ356">
        <v>0</v>
      </c>
      <c r="OA356">
        <v>0</v>
      </c>
      <c r="OB356">
        <v>0</v>
      </c>
      <c r="OC356">
        <v>0</v>
      </c>
      <c r="OD356">
        <v>0</v>
      </c>
      <c r="OE356">
        <v>0</v>
      </c>
      <c r="OF356">
        <v>0</v>
      </c>
      <c r="OG356">
        <v>0</v>
      </c>
      <c r="OH356">
        <v>0</v>
      </c>
      <c r="OI356">
        <v>0</v>
      </c>
      <c r="OJ356">
        <v>0</v>
      </c>
      <c r="OK356">
        <v>0</v>
      </c>
      <c r="OL356">
        <v>0</v>
      </c>
      <c r="OM356">
        <v>0</v>
      </c>
      <c r="ON356">
        <v>0</v>
      </c>
    </row>
    <row r="357" spans="1:404" x14ac:dyDescent="0.25">
      <c r="A357" t="s">
        <v>1142</v>
      </c>
      <c r="B357" t="s">
        <v>1143</v>
      </c>
      <c r="C357" t="s">
        <v>1141</v>
      </c>
      <c r="E357" t="s">
        <v>1940</v>
      </c>
      <c r="F357">
        <v>14254</v>
      </c>
      <c r="G357">
        <v>53560</v>
      </c>
      <c r="H357">
        <v>21252</v>
      </c>
      <c r="I357">
        <v>22894</v>
      </c>
      <c r="J357">
        <v>3408</v>
      </c>
      <c r="K357">
        <v>17793</v>
      </c>
      <c r="L357">
        <v>133161</v>
      </c>
      <c r="M357">
        <v>2</v>
      </c>
      <c r="N357">
        <v>124</v>
      </c>
      <c r="O357">
        <v>404</v>
      </c>
      <c r="P357">
        <v>0</v>
      </c>
      <c r="Q357">
        <v>123</v>
      </c>
      <c r="R357">
        <v>755</v>
      </c>
      <c r="S357">
        <v>91</v>
      </c>
      <c r="T357">
        <v>73</v>
      </c>
      <c r="U357">
        <v>1379</v>
      </c>
      <c r="V357">
        <v>0</v>
      </c>
      <c r="W357">
        <v>-38</v>
      </c>
      <c r="X357">
        <v>47</v>
      </c>
      <c r="Y357">
        <v>0</v>
      </c>
      <c r="Z357">
        <v>75</v>
      </c>
      <c r="AA357">
        <v>-888</v>
      </c>
      <c r="AB357">
        <v>5663</v>
      </c>
      <c r="AC357">
        <v>0</v>
      </c>
      <c r="AD357">
        <v>0</v>
      </c>
      <c r="AE357">
        <v>0</v>
      </c>
      <c r="AF357">
        <v>0</v>
      </c>
      <c r="AG357">
        <v>0</v>
      </c>
      <c r="AH357">
        <v>0</v>
      </c>
      <c r="AI357">
        <v>7810</v>
      </c>
      <c r="AJ357">
        <v>0</v>
      </c>
      <c r="AK357">
        <v>0</v>
      </c>
      <c r="AL357">
        <v>0</v>
      </c>
      <c r="AM357">
        <v>0</v>
      </c>
      <c r="AN357">
        <v>0</v>
      </c>
      <c r="AO357">
        <v>0</v>
      </c>
      <c r="AP357">
        <v>0</v>
      </c>
      <c r="AQ357">
        <v>2837</v>
      </c>
      <c r="AR357">
        <v>1102</v>
      </c>
      <c r="AS357">
        <v>0</v>
      </c>
      <c r="AT357">
        <v>0</v>
      </c>
      <c r="AU357">
        <v>0</v>
      </c>
      <c r="AV357">
        <v>1258</v>
      </c>
      <c r="AW357">
        <v>21801</v>
      </c>
      <c r="AX357">
        <v>1452</v>
      </c>
      <c r="AY357">
        <v>4526</v>
      </c>
      <c r="AZ357">
        <v>2783</v>
      </c>
      <c r="BA357">
        <v>16449</v>
      </c>
      <c r="BB357">
        <v>1195</v>
      </c>
      <c r="BC357">
        <v>37</v>
      </c>
      <c r="BD357">
        <v>49501</v>
      </c>
      <c r="BE357">
        <v>2641</v>
      </c>
      <c r="BF357">
        <v>10179</v>
      </c>
      <c r="BG357">
        <v>-214</v>
      </c>
      <c r="BH357">
        <v>268</v>
      </c>
      <c r="BI357">
        <v>120</v>
      </c>
      <c r="BJ357">
        <v>1337</v>
      </c>
      <c r="BK357">
        <v>17952</v>
      </c>
      <c r="BL357">
        <v>3417</v>
      </c>
      <c r="BM357">
        <v>1408</v>
      </c>
      <c r="BN357">
        <v>2275</v>
      </c>
      <c r="BO357">
        <v>3296</v>
      </c>
      <c r="BP357">
        <v>1419</v>
      </c>
      <c r="BQ357">
        <v>142</v>
      </c>
      <c r="BR357">
        <v>0</v>
      </c>
      <c r="BS357">
        <v>-246</v>
      </c>
      <c r="BT357">
        <v>29948</v>
      </c>
      <c r="BU357">
        <v>28</v>
      </c>
      <c r="BV357">
        <v>3987</v>
      </c>
      <c r="BW357">
        <v>78353</v>
      </c>
      <c r="BX357">
        <v>1460</v>
      </c>
      <c r="BY357">
        <v>54</v>
      </c>
      <c r="BZ357">
        <v>267</v>
      </c>
      <c r="CA357">
        <v>86</v>
      </c>
      <c r="CB357">
        <v>0</v>
      </c>
      <c r="CC357">
        <v>100</v>
      </c>
      <c r="CD357">
        <v>1317</v>
      </c>
      <c r="CE357">
        <v>0</v>
      </c>
      <c r="CF357">
        <v>0</v>
      </c>
      <c r="CG357">
        <v>0</v>
      </c>
      <c r="CH357">
        <v>0</v>
      </c>
      <c r="CI357">
        <v>998</v>
      </c>
      <c r="CJ357">
        <v>671</v>
      </c>
      <c r="CK357">
        <v>0</v>
      </c>
      <c r="CL357">
        <v>0</v>
      </c>
      <c r="CM357">
        <v>145</v>
      </c>
      <c r="CN357">
        <v>49</v>
      </c>
      <c r="CO357">
        <v>0</v>
      </c>
      <c r="CP357">
        <v>1658</v>
      </c>
      <c r="CQ357">
        <v>2645</v>
      </c>
      <c r="CR357">
        <v>0</v>
      </c>
      <c r="CS357">
        <v>0</v>
      </c>
      <c r="CT357">
        <v>40</v>
      </c>
      <c r="CU357">
        <v>296</v>
      </c>
      <c r="CV357">
        <v>14417</v>
      </c>
      <c r="CW357">
        <v>0</v>
      </c>
      <c r="CX357">
        <v>0</v>
      </c>
      <c r="CY357">
        <v>0</v>
      </c>
      <c r="CZ357">
        <v>0</v>
      </c>
      <c r="DA357">
        <v>0</v>
      </c>
      <c r="DB357">
        <v>0</v>
      </c>
      <c r="DC357">
        <v>2760</v>
      </c>
      <c r="DD357">
        <v>0</v>
      </c>
      <c r="DE357">
        <v>244</v>
      </c>
      <c r="DF357">
        <v>0</v>
      </c>
      <c r="DG357">
        <v>0</v>
      </c>
      <c r="DH357">
        <v>249</v>
      </c>
      <c r="DI357">
        <v>0</v>
      </c>
      <c r="DJ357">
        <v>1082</v>
      </c>
      <c r="DK357">
        <v>0</v>
      </c>
      <c r="DL357">
        <v>0</v>
      </c>
      <c r="DM357">
        <v>0</v>
      </c>
      <c r="DN357">
        <v>1600</v>
      </c>
      <c r="DO357">
        <v>469</v>
      </c>
      <c r="DP357">
        <v>3400</v>
      </c>
      <c r="DQ357">
        <v>522</v>
      </c>
      <c r="DR357">
        <v>0</v>
      </c>
      <c r="DS357">
        <v>0</v>
      </c>
      <c r="DT357">
        <v>4208</v>
      </c>
      <c r="DU357">
        <v>-37</v>
      </c>
      <c r="DV357">
        <v>1167</v>
      </c>
      <c r="DW357">
        <v>0</v>
      </c>
      <c r="DX357">
        <v>12264</v>
      </c>
      <c r="DY357">
        <v>35296</v>
      </c>
      <c r="DZ357">
        <v>492</v>
      </c>
      <c r="EA357">
        <v>3281</v>
      </c>
      <c r="EB357">
        <v>0</v>
      </c>
      <c r="EC357">
        <v>0</v>
      </c>
      <c r="ED357">
        <v>56</v>
      </c>
      <c r="EE357">
        <v>0</v>
      </c>
      <c r="EF357">
        <v>0</v>
      </c>
      <c r="EG357">
        <v>0</v>
      </c>
      <c r="EH357">
        <v>6710</v>
      </c>
      <c r="EI357">
        <v>9655</v>
      </c>
      <c r="EJ357">
        <v>2069</v>
      </c>
      <c r="EK357">
        <v>658</v>
      </c>
      <c r="EL357">
        <v>0</v>
      </c>
      <c r="EM357">
        <v>7076</v>
      </c>
      <c r="EN357">
        <v>0</v>
      </c>
      <c r="EO357">
        <v>7625</v>
      </c>
      <c r="EP357">
        <v>0</v>
      </c>
      <c r="EQ357">
        <v>0</v>
      </c>
      <c r="ER357">
        <v>318</v>
      </c>
      <c r="ES357">
        <v>5148</v>
      </c>
      <c r="ET357">
        <v>10162</v>
      </c>
      <c r="EU357">
        <v>0</v>
      </c>
      <c r="EV357">
        <v>31</v>
      </c>
      <c r="EW357">
        <v>0</v>
      </c>
      <c r="EX357">
        <v>302</v>
      </c>
      <c r="EY357">
        <v>0</v>
      </c>
      <c r="EZ357">
        <v>10</v>
      </c>
      <c r="FA357">
        <v>0</v>
      </c>
      <c r="FB357">
        <v>0</v>
      </c>
      <c r="FC357">
        <v>401</v>
      </c>
      <c r="FD357">
        <v>2860</v>
      </c>
      <c r="FE357">
        <v>-58</v>
      </c>
      <c r="FF357">
        <v>0</v>
      </c>
      <c r="FG357">
        <v>2897</v>
      </c>
      <c r="FH357">
        <v>6443</v>
      </c>
      <c r="FI357">
        <v>30</v>
      </c>
      <c r="FJ357">
        <v>124</v>
      </c>
      <c r="FK357">
        <v>0</v>
      </c>
      <c r="FL357">
        <v>-11</v>
      </c>
      <c r="FM357">
        <v>675</v>
      </c>
      <c r="FN357">
        <v>0</v>
      </c>
      <c r="FO357">
        <v>172</v>
      </c>
      <c r="FP357">
        <v>0</v>
      </c>
      <c r="FQ357">
        <v>0</v>
      </c>
      <c r="FR357">
        <v>-1</v>
      </c>
      <c r="FS357">
        <v>0</v>
      </c>
      <c r="FT357">
        <v>17</v>
      </c>
      <c r="FU357">
        <v>-44</v>
      </c>
      <c r="FV357">
        <v>908</v>
      </c>
      <c r="FW357">
        <v>232</v>
      </c>
      <c r="FX357">
        <v>87</v>
      </c>
      <c r="FY357">
        <v>177</v>
      </c>
      <c r="FZ357">
        <v>0</v>
      </c>
      <c r="GA357">
        <v>0</v>
      </c>
      <c r="GB357">
        <v>0</v>
      </c>
      <c r="GC357">
        <v>0</v>
      </c>
      <c r="GD357">
        <v>3459</v>
      </c>
      <c r="GE357">
        <v>2797</v>
      </c>
      <c r="GF357">
        <v>6981</v>
      </c>
      <c r="GG357">
        <v>-152</v>
      </c>
      <c r="GH357">
        <v>424</v>
      </c>
      <c r="GI357">
        <v>0</v>
      </c>
      <c r="GJ357">
        <v>0</v>
      </c>
      <c r="GK357">
        <v>15875</v>
      </c>
      <c r="GL357">
        <v>217</v>
      </c>
      <c r="GM357">
        <v>1402</v>
      </c>
      <c r="GN357">
        <v>0</v>
      </c>
      <c r="GO357">
        <v>651</v>
      </c>
      <c r="GP357">
        <v>256</v>
      </c>
      <c r="GQ357">
        <v>7756</v>
      </c>
      <c r="GR357">
        <v>0</v>
      </c>
      <c r="GS357">
        <v>5972</v>
      </c>
      <c r="GT357">
        <v>723</v>
      </c>
      <c r="GU357">
        <v>16977</v>
      </c>
      <c r="GV357">
        <v>39295</v>
      </c>
      <c r="GW357">
        <v>0</v>
      </c>
      <c r="GX357">
        <v>0</v>
      </c>
      <c r="GY357">
        <v>0</v>
      </c>
      <c r="GZ357">
        <v>0</v>
      </c>
      <c r="HA357">
        <v>0</v>
      </c>
      <c r="HB357">
        <v>3939</v>
      </c>
      <c r="HC357">
        <v>714</v>
      </c>
      <c r="HD357">
        <v>0</v>
      </c>
      <c r="HE357">
        <v>0</v>
      </c>
      <c r="HF357">
        <v>77</v>
      </c>
      <c r="HG357">
        <v>-193</v>
      </c>
      <c r="HH357">
        <v>0</v>
      </c>
      <c r="HI357">
        <v>147</v>
      </c>
      <c r="HJ357">
        <v>574</v>
      </c>
      <c r="HK357">
        <v>93</v>
      </c>
      <c r="HL357">
        <v>210</v>
      </c>
      <c r="HM357">
        <v>-143</v>
      </c>
      <c r="HN357">
        <v>217</v>
      </c>
      <c r="HO357">
        <v>1504</v>
      </c>
      <c r="HP357">
        <v>511</v>
      </c>
      <c r="HQ357">
        <v>0</v>
      </c>
      <c r="HR357">
        <v>1185</v>
      </c>
      <c r="HS357">
        <v>0</v>
      </c>
      <c r="HT357">
        <v>0</v>
      </c>
      <c r="HU357">
        <v>328</v>
      </c>
      <c r="HV357">
        <v>9163</v>
      </c>
      <c r="HW357">
        <v>0</v>
      </c>
      <c r="HX357">
        <v>0</v>
      </c>
      <c r="HY357">
        <v>0</v>
      </c>
      <c r="HZ357">
        <v>0</v>
      </c>
      <c r="IA357">
        <v>0</v>
      </c>
      <c r="IB357">
        <v>-2301</v>
      </c>
      <c r="IC357">
        <v>133161</v>
      </c>
      <c r="ID357">
        <v>7810</v>
      </c>
      <c r="IE357">
        <v>49501</v>
      </c>
      <c r="IF357">
        <v>78353</v>
      </c>
      <c r="IG357">
        <v>14417</v>
      </c>
      <c r="IH357">
        <v>12264</v>
      </c>
      <c r="II357">
        <v>6443</v>
      </c>
      <c r="IJ357">
        <v>15875</v>
      </c>
      <c r="IK357">
        <v>16977</v>
      </c>
      <c r="IL357">
        <v>0</v>
      </c>
      <c r="IM357">
        <v>0</v>
      </c>
      <c r="IN357">
        <v>9163</v>
      </c>
      <c r="IO357">
        <v>-2301</v>
      </c>
      <c r="IP357">
        <v>341663</v>
      </c>
      <c r="IQ357">
        <v>31979</v>
      </c>
      <c r="IR357">
        <v>5321</v>
      </c>
      <c r="IS357">
        <v>10867</v>
      </c>
      <c r="IT357">
        <v>0</v>
      </c>
      <c r="IU357">
        <v>0</v>
      </c>
      <c r="IV357">
        <v>0</v>
      </c>
      <c r="IW357">
        <v>0</v>
      </c>
      <c r="IX357">
        <v>0</v>
      </c>
      <c r="IY357">
        <v>247</v>
      </c>
      <c r="IZ357">
        <v>452</v>
      </c>
      <c r="JA357">
        <v>0</v>
      </c>
      <c r="JB357">
        <v>2333</v>
      </c>
      <c r="JC357">
        <v>0</v>
      </c>
      <c r="JD357">
        <v>0</v>
      </c>
      <c r="JE357">
        <v>-3100</v>
      </c>
      <c r="JF357">
        <v>0</v>
      </c>
      <c r="JG357">
        <v>389762</v>
      </c>
      <c r="JH357">
        <v>170</v>
      </c>
      <c r="JI357">
        <v>0</v>
      </c>
      <c r="JJ357">
        <v>0</v>
      </c>
      <c r="JK357">
        <v>0</v>
      </c>
      <c r="JL357">
        <v>0</v>
      </c>
      <c r="JM357">
        <v>490</v>
      </c>
      <c r="JN357">
        <v>1836</v>
      </c>
      <c r="JO357">
        <v>0</v>
      </c>
      <c r="JP357">
        <v>11609</v>
      </c>
      <c r="JQ357">
        <v>-7625</v>
      </c>
      <c r="JR357">
        <v>396242</v>
      </c>
      <c r="JS357">
        <v>-6662</v>
      </c>
      <c r="JT357">
        <v>0</v>
      </c>
      <c r="JU357">
        <v>94</v>
      </c>
      <c r="JV357">
        <v>0</v>
      </c>
      <c r="JW357">
        <v>-53155</v>
      </c>
      <c r="JX357">
        <v>0</v>
      </c>
      <c r="JY357">
        <v>0</v>
      </c>
      <c r="JZ357">
        <v>0</v>
      </c>
      <c r="KA357">
        <v>0</v>
      </c>
      <c r="KB357">
        <v>0</v>
      </c>
      <c r="KC357">
        <v>336519</v>
      </c>
      <c r="KD357">
        <v>0</v>
      </c>
      <c r="KE357">
        <v>-176027</v>
      </c>
      <c r="KF357">
        <v>160492</v>
      </c>
      <c r="KG357">
        <v>0</v>
      </c>
      <c r="KH357">
        <v>-39</v>
      </c>
      <c r="KI357">
        <v>47</v>
      </c>
      <c r="KJ357">
        <v>701</v>
      </c>
      <c r="KK357">
        <v>-4070</v>
      </c>
      <c r="KL357">
        <v>724</v>
      </c>
      <c r="KM357">
        <v>-6754</v>
      </c>
      <c r="KN357">
        <v>0</v>
      </c>
      <c r="KO357">
        <v>-32208</v>
      </c>
      <c r="KP357">
        <v>825</v>
      </c>
      <c r="KQ357">
        <v>200</v>
      </c>
      <c r="KR357">
        <v>108109</v>
      </c>
      <c r="KS357">
        <v>3605</v>
      </c>
      <c r="KT357">
        <v>1320</v>
      </c>
      <c r="KU357">
        <v>1188</v>
      </c>
      <c r="KV357">
        <v>41704</v>
      </c>
      <c r="KW357">
        <v>8236</v>
      </c>
      <c r="KX357">
        <v>3566</v>
      </c>
      <c r="KY357">
        <v>1367</v>
      </c>
      <c r="KZ357">
        <v>1889</v>
      </c>
      <c r="LA357">
        <v>37634</v>
      </c>
      <c r="LB357">
        <v>8960</v>
      </c>
      <c r="LC357">
        <v>0</v>
      </c>
      <c r="LD357">
        <v>19472</v>
      </c>
      <c r="LE357">
        <v>0</v>
      </c>
      <c r="LF357">
        <v>-10807</v>
      </c>
      <c r="LG357">
        <v>-41275</v>
      </c>
      <c r="LH357">
        <v>5277</v>
      </c>
      <c r="LI357">
        <v>-52018</v>
      </c>
      <c r="LJ357">
        <v>4398</v>
      </c>
      <c r="LK357">
        <v>8525</v>
      </c>
      <c r="LL357">
        <v>12923</v>
      </c>
      <c r="LM357">
        <v>0</v>
      </c>
      <c r="LN357">
        <v>0</v>
      </c>
      <c r="LO357">
        <v>0</v>
      </c>
      <c r="LP357">
        <v>39125</v>
      </c>
      <c r="LQ357">
        <v>34111</v>
      </c>
      <c r="LR357">
        <v>5014</v>
      </c>
      <c r="LS357">
        <v>5148</v>
      </c>
      <c r="LT357">
        <v>10162</v>
      </c>
      <c r="LU357">
        <v>133161</v>
      </c>
      <c r="LV357">
        <v>7810</v>
      </c>
      <c r="LW357">
        <v>49501</v>
      </c>
      <c r="LX357">
        <v>78353</v>
      </c>
      <c r="LY357">
        <v>14417</v>
      </c>
      <c r="LZ357">
        <v>12264</v>
      </c>
      <c r="MA357">
        <v>6443</v>
      </c>
      <c r="MB357">
        <v>15875</v>
      </c>
      <c r="MC357">
        <v>16977</v>
      </c>
      <c r="MD357">
        <v>0</v>
      </c>
      <c r="ME357">
        <v>0</v>
      </c>
      <c r="MF357">
        <v>9163</v>
      </c>
      <c r="MG357">
        <v>-2301</v>
      </c>
      <c r="MH357">
        <v>341663</v>
      </c>
      <c r="MI357">
        <v>0</v>
      </c>
      <c r="MJ357">
        <v>0</v>
      </c>
      <c r="MK357">
        <v>0</v>
      </c>
      <c r="ML357">
        <v>0</v>
      </c>
      <c r="MM357">
        <v>0</v>
      </c>
      <c r="MN357">
        <v>0</v>
      </c>
      <c r="MO357">
        <v>0</v>
      </c>
      <c r="MP357">
        <v>0</v>
      </c>
      <c r="MQ357">
        <v>0</v>
      </c>
      <c r="MR357">
        <v>0</v>
      </c>
      <c r="MS357">
        <v>0</v>
      </c>
      <c r="MT357">
        <v>0</v>
      </c>
      <c r="MU357">
        <v>0</v>
      </c>
      <c r="MV357">
        <v>0</v>
      </c>
      <c r="MW357">
        <v>0</v>
      </c>
      <c r="MX357">
        <v>0</v>
      </c>
      <c r="MY357">
        <v>0</v>
      </c>
      <c r="MZ357">
        <v>0</v>
      </c>
      <c r="NA357">
        <v>0</v>
      </c>
      <c r="NB357">
        <v>0</v>
      </c>
      <c r="NC357">
        <v>0</v>
      </c>
      <c r="ND357">
        <v>0</v>
      </c>
      <c r="NE357">
        <v>0</v>
      </c>
      <c r="NF357">
        <v>0</v>
      </c>
      <c r="NG357">
        <v>0</v>
      </c>
      <c r="NH357">
        <v>0</v>
      </c>
      <c r="NI357">
        <v>0</v>
      </c>
      <c r="NJ357">
        <v>0</v>
      </c>
      <c r="NK357">
        <v>0</v>
      </c>
      <c r="NL357">
        <v>0</v>
      </c>
      <c r="NM357">
        <v>1358</v>
      </c>
      <c r="NN357">
        <v>0</v>
      </c>
      <c r="NO357">
        <v>0</v>
      </c>
      <c r="NP357">
        <v>0</v>
      </c>
      <c r="NQ357">
        <v>0</v>
      </c>
      <c r="NR357">
        <v>-33</v>
      </c>
      <c r="NS357">
        <v>0</v>
      </c>
      <c r="NT357">
        <v>68</v>
      </c>
      <c r="NU357">
        <v>0</v>
      </c>
      <c r="NV357">
        <v>0</v>
      </c>
      <c r="NW357">
        <v>940</v>
      </c>
      <c r="NX357">
        <v>0</v>
      </c>
      <c r="NY357">
        <v>0</v>
      </c>
      <c r="NZ357">
        <v>2333</v>
      </c>
      <c r="OA357">
        <v>0</v>
      </c>
      <c r="OB357">
        <v>2333</v>
      </c>
      <c r="OC357">
        <v>0</v>
      </c>
      <c r="OD357">
        <v>0</v>
      </c>
      <c r="OE357">
        <v>0</v>
      </c>
      <c r="OF357">
        <v>0</v>
      </c>
      <c r="OG357">
        <v>0</v>
      </c>
      <c r="OH357">
        <v>0</v>
      </c>
      <c r="OI357">
        <v>0</v>
      </c>
      <c r="OJ357">
        <v>0</v>
      </c>
      <c r="OK357">
        <v>0</v>
      </c>
      <c r="OL357">
        <v>0</v>
      </c>
      <c r="OM357">
        <v>0</v>
      </c>
      <c r="ON357">
        <v>0</v>
      </c>
    </row>
    <row r="358" spans="1:404" x14ac:dyDescent="0.25">
      <c r="A358" t="s">
        <v>1145</v>
      </c>
      <c r="B358" t="s">
        <v>1146</v>
      </c>
      <c r="C358" t="s">
        <v>1144</v>
      </c>
      <c r="E358" t="s">
        <v>61</v>
      </c>
      <c r="F358">
        <v>0</v>
      </c>
      <c r="G358">
        <v>0</v>
      </c>
      <c r="H358">
        <v>0</v>
      </c>
      <c r="I358">
        <v>0</v>
      </c>
      <c r="J358">
        <v>0</v>
      </c>
      <c r="K358">
        <v>0</v>
      </c>
      <c r="L358">
        <v>0</v>
      </c>
      <c r="M358">
        <v>5</v>
      </c>
      <c r="N358">
        <v>0</v>
      </c>
      <c r="O358">
        <v>0</v>
      </c>
      <c r="P358">
        <v>0</v>
      </c>
      <c r="Q358">
        <v>0</v>
      </c>
      <c r="R358">
        <v>0</v>
      </c>
      <c r="S358">
        <v>-16</v>
      </c>
      <c r="T358">
        <v>0</v>
      </c>
      <c r="U358">
        <v>0</v>
      </c>
      <c r="V358">
        <v>0</v>
      </c>
      <c r="W358">
        <v>0</v>
      </c>
      <c r="X358">
        <v>0</v>
      </c>
      <c r="Y358">
        <v>0</v>
      </c>
      <c r="Z358">
        <v>-26</v>
      </c>
      <c r="AA358">
        <v>-643</v>
      </c>
      <c r="AB358">
        <v>0</v>
      </c>
      <c r="AC358">
        <v>0</v>
      </c>
      <c r="AD358">
        <v>5</v>
      </c>
      <c r="AE358">
        <v>0</v>
      </c>
      <c r="AF358">
        <v>0</v>
      </c>
      <c r="AG358">
        <v>3</v>
      </c>
      <c r="AH358">
        <v>0</v>
      </c>
      <c r="AI358">
        <v>-672</v>
      </c>
      <c r="AJ358">
        <v>0</v>
      </c>
      <c r="AK358">
        <v>0</v>
      </c>
      <c r="AL358">
        <v>0</v>
      </c>
      <c r="AM358">
        <v>0</v>
      </c>
      <c r="AN358">
        <v>0</v>
      </c>
      <c r="AO358">
        <v>0</v>
      </c>
      <c r="AP358">
        <v>0</v>
      </c>
      <c r="AQ358">
        <v>261</v>
      </c>
      <c r="AR358">
        <v>150</v>
      </c>
      <c r="AS358">
        <v>0</v>
      </c>
      <c r="AT358">
        <v>0</v>
      </c>
      <c r="AU358">
        <v>0</v>
      </c>
      <c r="AV358">
        <v>0</v>
      </c>
      <c r="AW358">
        <v>0</v>
      </c>
      <c r="AX358">
        <v>0</v>
      </c>
      <c r="AY358">
        <v>0</v>
      </c>
      <c r="AZ358">
        <v>0</v>
      </c>
      <c r="BA358">
        <v>0</v>
      </c>
      <c r="BB358">
        <v>0</v>
      </c>
      <c r="BC358">
        <v>0</v>
      </c>
      <c r="BD358">
        <v>0</v>
      </c>
      <c r="BE358">
        <v>0</v>
      </c>
      <c r="BF358">
        <v>0</v>
      </c>
      <c r="BG358">
        <v>0</v>
      </c>
      <c r="BH358">
        <v>0</v>
      </c>
      <c r="BI358">
        <v>0</v>
      </c>
      <c r="BJ358">
        <v>0</v>
      </c>
      <c r="BK358">
        <v>0</v>
      </c>
      <c r="BL358">
        <v>0</v>
      </c>
      <c r="BM358">
        <v>0</v>
      </c>
      <c r="BN358">
        <v>0</v>
      </c>
      <c r="BO358">
        <v>0</v>
      </c>
      <c r="BP358">
        <v>0</v>
      </c>
      <c r="BQ358">
        <v>0</v>
      </c>
      <c r="BR358">
        <v>0</v>
      </c>
      <c r="BS358">
        <v>0</v>
      </c>
      <c r="BT358">
        <v>0</v>
      </c>
      <c r="BU358">
        <v>0</v>
      </c>
      <c r="BV358">
        <v>0</v>
      </c>
      <c r="BW358">
        <v>0</v>
      </c>
      <c r="BX358">
        <v>0</v>
      </c>
      <c r="BY358">
        <v>0</v>
      </c>
      <c r="BZ358">
        <v>0</v>
      </c>
      <c r="CA358">
        <v>0</v>
      </c>
      <c r="CB358">
        <v>0</v>
      </c>
      <c r="CC358">
        <v>0</v>
      </c>
      <c r="CD358">
        <v>0</v>
      </c>
      <c r="CE358">
        <v>0</v>
      </c>
      <c r="CF358">
        <v>0</v>
      </c>
      <c r="CG358">
        <v>150</v>
      </c>
      <c r="CH358">
        <v>0</v>
      </c>
      <c r="CI358">
        <v>0</v>
      </c>
      <c r="CJ358">
        <v>0</v>
      </c>
      <c r="CK358">
        <v>0</v>
      </c>
      <c r="CL358">
        <v>0</v>
      </c>
      <c r="CM358">
        <v>0</v>
      </c>
      <c r="CN358">
        <v>0</v>
      </c>
      <c r="CO358">
        <v>0</v>
      </c>
      <c r="CP358">
        <v>0</v>
      </c>
      <c r="CQ358">
        <v>0</v>
      </c>
      <c r="CR358">
        <v>0</v>
      </c>
      <c r="CS358">
        <v>1</v>
      </c>
      <c r="CT358">
        <v>0</v>
      </c>
      <c r="CU358">
        <v>38</v>
      </c>
      <c r="CV358">
        <v>405</v>
      </c>
      <c r="CW358">
        <v>0</v>
      </c>
      <c r="CX358">
        <v>0</v>
      </c>
      <c r="CY358">
        <v>0</v>
      </c>
      <c r="CZ358">
        <v>0</v>
      </c>
      <c r="DA358">
        <v>0</v>
      </c>
      <c r="DB358">
        <v>0</v>
      </c>
      <c r="DC358">
        <v>277</v>
      </c>
      <c r="DD358">
        <v>5</v>
      </c>
      <c r="DE358">
        <v>455</v>
      </c>
      <c r="DF358">
        <v>0</v>
      </c>
      <c r="DG358">
        <v>0</v>
      </c>
      <c r="DH358">
        <v>0</v>
      </c>
      <c r="DI358">
        <v>0</v>
      </c>
      <c r="DJ358">
        <v>2396</v>
      </c>
      <c r="DK358">
        <v>0</v>
      </c>
      <c r="DL358">
        <v>0</v>
      </c>
      <c r="DM358">
        <v>0</v>
      </c>
      <c r="DN358">
        <v>0</v>
      </c>
      <c r="DO358">
        <v>1850</v>
      </c>
      <c r="DP358">
        <v>4246</v>
      </c>
      <c r="DQ358">
        <v>342</v>
      </c>
      <c r="DR358">
        <v>0</v>
      </c>
      <c r="DS358">
        <v>0</v>
      </c>
      <c r="DT358">
        <v>1299</v>
      </c>
      <c r="DU358">
        <v>26</v>
      </c>
      <c r="DV358">
        <v>296</v>
      </c>
      <c r="DW358">
        <v>0</v>
      </c>
      <c r="DX358">
        <v>6946</v>
      </c>
      <c r="DY358">
        <v>0</v>
      </c>
      <c r="DZ358">
        <v>0</v>
      </c>
      <c r="EA358">
        <v>0</v>
      </c>
      <c r="EB358">
        <v>0</v>
      </c>
      <c r="EC358">
        <v>0</v>
      </c>
      <c r="ED358">
        <v>0</v>
      </c>
      <c r="EE358">
        <v>0</v>
      </c>
      <c r="EF358">
        <v>0</v>
      </c>
      <c r="EG358">
        <v>0</v>
      </c>
      <c r="EH358">
        <v>0</v>
      </c>
      <c r="EI358">
        <v>0</v>
      </c>
      <c r="EJ358">
        <v>0</v>
      </c>
      <c r="EK358">
        <v>0</v>
      </c>
      <c r="EL358">
        <v>0</v>
      </c>
      <c r="EM358">
        <v>0</v>
      </c>
      <c r="EN358">
        <v>0</v>
      </c>
      <c r="EO358">
        <v>0</v>
      </c>
      <c r="EP358">
        <v>0</v>
      </c>
      <c r="EQ358">
        <v>0</v>
      </c>
      <c r="ER358">
        <v>0</v>
      </c>
      <c r="ES358">
        <v>0</v>
      </c>
      <c r="ET358">
        <v>0</v>
      </c>
      <c r="EU358">
        <v>0</v>
      </c>
      <c r="EV358">
        <v>0</v>
      </c>
      <c r="EW358">
        <v>11</v>
      </c>
      <c r="EX358">
        <v>41</v>
      </c>
      <c r="EY358">
        <v>0</v>
      </c>
      <c r="EZ358">
        <v>135</v>
      </c>
      <c r="FA358">
        <v>316</v>
      </c>
      <c r="FB358">
        <v>0</v>
      </c>
      <c r="FC358">
        <v>1055</v>
      </c>
      <c r="FD358">
        <v>2179</v>
      </c>
      <c r="FE358">
        <v>18</v>
      </c>
      <c r="FF358">
        <v>270</v>
      </c>
      <c r="FG358">
        <v>0</v>
      </c>
      <c r="FH358">
        <v>4025</v>
      </c>
      <c r="FI358">
        <v>410</v>
      </c>
      <c r="FJ358">
        <v>0</v>
      </c>
      <c r="FK358">
        <v>0</v>
      </c>
      <c r="FL358">
        <v>219</v>
      </c>
      <c r="FM358">
        <v>364</v>
      </c>
      <c r="FN358">
        <v>0</v>
      </c>
      <c r="FO358">
        <v>75</v>
      </c>
      <c r="FP358">
        <v>0</v>
      </c>
      <c r="FQ358">
        <v>0</v>
      </c>
      <c r="FR358">
        <v>38</v>
      </c>
      <c r="FS358">
        <v>405</v>
      </c>
      <c r="FT358">
        <v>146</v>
      </c>
      <c r="FU358">
        <v>14</v>
      </c>
      <c r="FV358">
        <v>601</v>
      </c>
      <c r="FW358">
        <v>48</v>
      </c>
      <c r="FX358">
        <v>98</v>
      </c>
      <c r="FY358">
        <v>5</v>
      </c>
      <c r="FZ358">
        <v>0</v>
      </c>
      <c r="GA358">
        <v>876</v>
      </c>
      <c r="GB358">
        <v>44</v>
      </c>
      <c r="GC358">
        <v>0</v>
      </c>
      <c r="GD358">
        <v>1375</v>
      </c>
      <c r="GE358">
        <v>2620</v>
      </c>
      <c r="GF358">
        <v>0</v>
      </c>
      <c r="GG358">
        <v>0</v>
      </c>
      <c r="GH358">
        <v>0</v>
      </c>
      <c r="GI358">
        <v>0</v>
      </c>
      <c r="GJ358">
        <v>135</v>
      </c>
      <c r="GK358">
        <v>7473</v>
      </c>
      <c r="GL358">
        <v>94</v>
      </c>
      <c r="GM358">
        <v>965</v>
      </c>
      <c r="GN358">
        <v>161</v>
      </c>
      <c r="GO358">
        <v>692</v>
      </c>
      <c r="GP358">
        <v>3</v>
      </c>
      <c r="GQ358">
        <v>982</v>
      </c>
      <c r="GR358">
        <v>0</v>
      </c>
      <c r="GS358">
        <v>0</v>
      </c>
      <c r="GT358">
        <v>3606</v>
      </c>
      <c r="GU358">
        <v>6503</v>
      </c>
      <c r="GV358">
        <v>18001</v>
      </c>
      <c r="GW358">
        <v>0</v>
      </c>
      <c r="GX358">
        <v>0</v>
      </c>
      <c r="GY358">
        <v>0</v>
      </c>
      <c r="GZ358">
        <v>0</v>
      </c>
      <c r="HA358">
        <v>0</v>
      </c>
      <c r="HB358">
        <v>2671</v>
      </c>
      <c r="HC358">
        <v>35</v>
      </c>
      <c r="HD358">
        <v>0</v>
      </c>
      <c r="HE358">
        <v>0</v>
      </c>
      <c r="HF358">
        <v>-87</v>
      </c>
      <c r="HG358">
        <v>-186</v>
      </c>
      <c r="HH358">
        <v>0</v>
      </c>
      <c r="HI358">
        <v>0</v>
      </c>
      <c r="HJ358">
        <v>329</v>
      </c>
      <c r="HK358">
        <v>34</v>
      </c>
      <c r="HL358">
        <v>183</v>
      </c>
      <c r="HM358">
        <v>-106</v>
      </c>
      <c r="HN358">
        <v>0</v>
      </c>
      <c r="HO358">
        <v>55</v>
      </c>
      <c r="HP358">
        <v>0</v>
      </c>
      <c r="HQ358">
        <v>0</v>
      </c>
      <c r="HR358">
        <v>1766</v>
      </c>
      <c r="HS358">
        <v>0</v>
      </c>
      <c r="HT358">
        <v>0</v>
      </c>
      <c r="HU358">
        <v>-142</v>
      </c>
      <c r="HV358">
        <v>4552</v>
      </c>
      <c r="HW358">
        <v>0</v>
      </c>
      <c r="HX358">
        <v>0</v>
      </c>
      <c r="HY358">
        <v>0</v>
      </c>
      <c r="HZ358">
        <v>11895</v>
      </c>
      <c r="IA358">
        <v>1245</v>
      </c>
      <c r="IB358">
        <v>0</v>
      </c>
      <c r="IC358">
        <v>0</v>
      </c>
      <c r="ID358">
        <v>-672</v>
      </c>
      <c r="IE358">
        <v>0</v>
      </c>
      <c r="IF358">
        <v>0</v>
      </c>
      <c r="IG358">
        <v>405</v>
      </c>
      <c r="IH358">
        <v>6946</v>
      </c>
      <c r="II358">
        <v>4025</v>
      </c>
      <c r="IJ358">
        <v>7473</v>
      </c>
      <c r="IK358">
        <v>6503</v>
      </c>
      <c r="IL358">
        <v>0</v>
      </c>
      <c r="IM358">
        <v>0</v>
      </c>
      <c r="IN358">
        <v>4552</v>
      </c>
      <c r="IO358">
        <v>0</v>
      </c>
      <c r="IP358">
        <v>29232</v>
      </c>
      <c r="IQ358">
        <v>32038</v>
      </c>
      <c r="IR358">
        <v>0</v>
      </c>
      <c r="IS358">
        <v>0</v>
      </c>
      <c r="IT358">
        <v>0</v>
      </c>
      <c r="IU358">
        <v>0</v>
      </c>
      <c r="IV358">
        <v>1575</v>
      </c>
      <c r="IW358">
        <v>0</v>
      </c>
      <c r="IX358">
        <v>0</v>
      </c>
      <c r="IY358">
        <v>0</v>
      </c>
      <c r="IZ358">
        <v>0</v>
      </c>
      <c r="JA358">
        <v>-1565</v>
      </c>
      <c r="JB358">
        <v>0</v>
      </c>
      <c r="JC358">
        <v>0</v>
      </c>
      <c r="JD358">
        <v>0</v>
      </c>
      <c r="JE358">
        <v>-330</v>
      </c>
      <c r="JF358">
        <v>0</v>
      </c>
      <c r="JG358">
        <v>60950</v>
      </c>
      <c r="JH358">
        <v>0</v>
      </c>
      <c r="JI358">
        <v>602</v>
      </c>
      <c r="JJ358">
        <v>0</v>
      </c>
      <c r="JK358">
        <v>0</v>
      </c>
      <c r="JL358">
        <v>0</v>
      </c>
      <c r="JM358">
        <v>111</v>
      </c>
      <c r="JN358">
        <v>1050</v>
      </c>
      <c r="JO358">
        <v>0</v>
      </c>
      <c r="JP358">
        <v>49</v>
      </c>
      <c r="JQ358">
        <v>0</v>
      </c>
      <c r="JR358">
        <v>62762</v>
      </c>
      <c r="JS358">
        <v>-322</v>
      </c>
      <c r="JT358">
        <v>0</v>
      </c>
      <c r="JU358">
        <v>0</v>
      </c>
      <c r="JV358">
        <v>0</v>
      </c>
      <c r="JW358">
        <v>-32521</v>
      </c>
      <c r="JX358">
        <v>0</v>
      </c>
      <c r="JY358">
        <v>0</v>
      </c>
      <c r="JZ358">
        <v>0</v>
      </c>
      <c r="KA358">
        <v>0</v>
      </c>
      <c r="KB358">
        <v>0</v>
      </c>
      <c r="KC358">
        <v>29919</v>
      </c>
      <c r="KD358">
        <v>0</v>
      </c>
      <c r="KE358">
        <v>-7901</v>
      </c>
      <c r="KF358">
        <v>22018</v>
      </c>
      <c r="KG358">
        <v>0</v>
      </c>
      <c r="KH358">
        <v>0</v>
      </c>
      <c r="KI358">
        <v>0</v>
      </c>
      <c r="KJ358">
        <v>0</v>
      </c>
      <c r="KK358">
        <v>-1269</v>
      </c>
      <c r="KL358">
        <v>-1411</v>
      </c>
      <c r="KM358">
        <v>-116</v>
      </c>
      <c r="KN358">
        <v>0</v>
      </c>
      <c r="KO358">
        <v>-3494</v>
      </c>
      <c r="KP358">
        <v>113</v>
      </c>
      <c r="KQ358">
        <v>0</v>
      </c>
      <c r="KR358">
        <v>10430</v>
      </c>
      <c r="KS358">
        <v>0</v>
      </c>
      <c r="KT358">
        <v>0</v>
      </c>
      <c r="KU358">
        <v>0</v>
      </c>
      <c r="KV358">
        <v>25010</v>
      </c>
      <c r="KW358">
        <v>4484</v>
      </c>
      <c r="KX358">
        <v>0</v>
      </c>
      <c r="KY358">
        <v>0</v>
      </c>
      <c r="KZ358">
        <v>0</v>
      </c>
      <c r="LA358">
        <v>23741</v>
      </c>
      <c r="LB358">
        <v>3073</v>
      </c>
      <c r="LC358">
        <v>0</v>
      </c>
      <c r="LD358">
        <v>1127</v>
      </c>
      <c r="LE358">
        <v>106</v>
      </c>
      <c r="LF358">
        <v>0</v>
      </c>
      <c r="LG358">
        <v>0</v>
      </c>
      <c r="LH358">
        <v>4885</v>
      </c>
      <c r="LI358">
        <v>6118</v>
      </c>
      <c r="LJ358">
        <v>3709</v>
      </c>
      <c r="LK358">
        <v>6161</v>
      </c>
      <c r="LL358">
        <v>9870</v>
      </c>
      <c r="LM358">
        <v>0</v>
      </c>
      <c r="LN358">
        <v>0</v>
      </c>
      <c r="LO358">
        <v>0</v>
      </c>
      <c r="LP358">
        <v>0</v>
      </c>
      <c r="LQ358">
        <v>0</v>
      </c>
      <c r="LR358">
        <v>0</v>
      </c>
      <c r="LS358">
        <v>0</v>
      </c>
      <c r="LT358">
        <v>0</v>
      </c>
      <c r="LU358">
        <v>0</v>
      </c>
      <c r="LV358">
        <v>-672</v>
      </c>
      <c r="LW358">
        <v>0</v>
      </c>
      <c r="LX358">
        <v>0</v>
      </c>
      <c r="LY358">
        <v>405</v>
      </c>
      <c r="LZ358">
        <v>6946</v>
      </c>
      <c r="MA358">
        <v>4025</v>
      </c>
      <c r="MB358">
        <v>7473</v>
      </c>
      <c r="MC358">
        <v>6503</v>
      </c>
      <c r="MD358">
        <v>0</v>
      </c>
      <c r="ME358">
        <v>0</v>
      </c>
      <c r="MF358">
        <v>4552</v>
      </c>
      <c r="MG358">
        <v>0</v>
      </c>
      <c r="MH358">
        <v>29232</v>
      </c>
      <c r="MI358">
        <v>0</v>
      </c>
      <c r="MJ358">
        <v>0</v>
      </c>
      <c r="MK358">
        <v>0</v>
      </c>
      <c r="ML358">
        <v>0</v>
      </c>
      <c r="MM358">
        <v>0</v>
      </c>
      <c r="MN358">
        <v>0</v>
      </c>
      <c r="MO358">
        <v>0</v>
      </c>
      <c r="MP358">
        <v>0</v>
      </c>
      <c r="MQ358">
        <v>0</v>
      </c>
      <c r="MR358">
        <v>0</v>
      </c>
      <c r="MS358">
        <v>0</v>
      </c>
      <c r="MT358">
        <v>0</v>
      </c>
      <c r="MU358">
        <v>0</v>
      </c>
      <c r="MV358">
        <v>0</v>
      </c>
      <c r="MW358">
        <v>-1507</v>
      </c>
      <c r="MX358">
        <v>-19</v>
      </c>
      <c r="MY358">
        <v>0</v>
      </c>
      <c r="MZ358">
        <v>-39</v>
      </c>
      <c r="NA358">
        <v>-1565</v>
      </c>
      <c r="NB358">
        <v>0</v>
      </c>
      <c r="NC358">
        <v>-1565</v>
      </c>
      <c r="ND358">
        <v>0</v>
      </c>
      <c r="NE358">
        <v>0</v>
      </c>
      <c r="NF358">
        <v>0</v>
      </c>
      <c r="NG358">
        <v>0</v>
      </c>
      <c r="NH358">
        <v>0</v>
      </c>
      <c r="NI358">
        <v>0</v>
      </c>
      <c r="NJ358">
        <v>0</v>
      </c>
      <c r="NK358">
        <v>0</v>
      </c>
      <c r="NL358">
        <v>0</v>
      </c>
      <c r="NM358">
        <v>0</v>
      </c>
      <c r="NN358">
        <v>0</v>
      </c>
      <c r="NO358">
        <v>0</v>
      </c>
      <c r="NP358">
        <v>0</v>
      </c>
      <c r="NQ358">
        <v>0</v>
      </c>
      <c r="NR358">
        <v>0</v>
      </c>
      <c r="NS358">
        <v>0</v>
      </c>
      <c r="NT358">
        <v>0</v>
      </c>
      <c r="NU358">
        <v>0</v>
      </c>
      <c r="NV358">
        <v>0</v>
      </c>
      <c r="NW358">
        <v>0</v>
      </c>
      <c r="NX358">
        <v>0</v>
      </c>
      <c r="NY358">
        <v>0</v>
      </c>
      <c r="NZ358">
        <v>0</v>
      </c>
      <c r="OA358">
        <v>0</v>
      </c>
      <c r="OB358">
        <v>0</v>
      </c>
      <c r="OC358">
        <v>0</v>
      </c>
      <c r="OD358">
        <v>0</v>
      </c>
      <c r="OE358">
        <v>0</v>
      </c>
      <c r="OF358">
        <v>0</v>
      </c>
      <c r="OG358">
        <v>0</v>
      </c>
      <c r="OH358">
        <v>0</v>
      </c>
      <c r="OI358">
        <v>0</v>
      </c>
      <c r="OJ358">
        <v>0</v>
      </c>
      <c r="OK358">
        <v>0</v>
      </c>
      <c r="OL358">
        <v>0</v>
      </c>
      <c r="OM358">
        <v>0</v>
      </c>
      <c r="ON358">
        <v>0</v>
      </c>
    </row>
    <row r="359" spans="1:404" x14ac:dyDescent="0.25">
      <c r="A359" t="s">
        <v>1148</v>
      </c>
      <c r="B359" t="s">
        <v>1149</v>
      </c>
      <c r="C359" t="s">
        <v>1147</v>
      </c>
      <c r="E359" t="s">
        <v>125</v>
      </c>
      <c r="F359">
        <v>15936</v>
      </c>
      <c r="G359">
        <v>42974</v>
      </c>
      <c r="H359">
        <v>4540</v>
      </c>
      <c r="I359">
        <v>17171</v>
      </c>
      <c r="J359">
        <v>2775</v>
      </c>
      <c r="K359">
        <v>11419</v>
      </c>
      <c r="L359">
        <v>94815</v>
      </c>
      <c r="M359">
        <v>-1866</v>
      </c>
      <c r="N359">
        <v>0</v>
      </c>
      <c r="O359">
        <v>0</v>
      </c>
      <c r="P359">
        <v>0</v>
      </c>
      <c r="Q359">
        <v>112</v>
      </c>
      <c r="R359">
        <v>387</v>
      </c>
      <c r="S359">
        <v>2157</v>
      </c>
      <c r="T359">
        <v>0</v>
      </c>
      <c r="U359">
        <v>1486</v>
      </c>
      <c r="V359">
        <v>0</v>
      </c>
      <c r="W359">
        <v>-606</v>
      </c>
      <c r="X359">
        <v>17</v>
      </c>
      <c r="Y359">
        <v>0</v>
      </c>
      <c r="Z359">
        <v>-1162</v>
      </c>
      <c r="AA359">
        <v>-214</v>
      </c>
      <c r="AB359">
        <v>2628</v>
      </c>
      <c r="AC359">
        <v>0</v>
      </c>
      <c r="AD359">
        <v>0</v>
      </c>
      <c r="AE359">
        <v>0</v>
      </c>
      <c r="AF359">
        <v>0</v>
      </c>
      <c r="AG359">
        <v>849</v>
      </c>
      <c r="AH359">
        <v>0</v>
      </c>
      <c r="AI359">
        <v>3788</v>
      </c>
      <c r="AJ359">
        <v>0</v>
      </c>
      <c r="AK359">
        <v>0</v>
      </c>
      <c r="AL359">
        <v>0</v>
      </c>
      <c r="AM359">
        <v>0</v>
      </c>
      <c r="AN359">
        <v>0</v>
      </c>
      <c r="AO359">
        <v>0</v>
      </c>
      <c r="AP359">
        <v>0</v>
      </c>
      <c r="AQ359">
        <v>807</v>
      </c>
      <c r="AR359">
        <v>355</v>
      </c>
      <c r="AS359">
        <v>0</v>
      </c>
      <c r="AT359">
        <v>0</v>
      </c>
      <c r="AU359">
        <v>0</v>
      </c>
      <c r="AV359">
        <v>169</v>
      </c>
      <c r="AW359">
        <v>25512</v>
      </c>
      <c r="AX359">
        <v>3202</v>
      </c>
      <c r="AY359">
        <v>5837</v>
      </c>
      <c r="AZ359">
        <v>392</v>
      </c>
      <c r="BA359">
        <v>15097</v>
      </c>
      <c r="BB359">
        <v>791</v>
      </c>
      <c r="BC359">
        <v>1400</v>
      </c>
      <c r="BD359">
        <v>52400</v>
      </c>
      <c r="BE359">
        <v>6159</v>
      </c>
      <c r="BF359">
        <v>13736</v>
      </c>
      <c r="BG359">
        <v>41</v>
      </c>
      <c r="BH359">
        <v>128</v>
      </c>
      <c r="BI359">
        <v>218</v>
      </c>
      <c r="BJ359">
        <v>1774</v>
      </c>
      <c r="BK359">
        <v>29075</v>
      </c>
      <c r="BL359">
        <v>4680</v>
      </c>
      <c r="BM359">
        <v>3104</v>
      </c>
      <c r="BN359">
        <v>1619</v>
      </c>
      <c r="BO359">
        <v>0</v>
      </c>
      <c r="BP359">
        <v>0</v>
      </c>
      <c r="BQ359">
        <v>77</v>
      </c>
      <c r="BR359">
        <v>88</v>
      </c>
      <c r="BS359">
        <v>1944</v>
      </c>
      <c r="BT359">
        <v>10458</v>
      </c>
      <c r="BU359">
        <v>1160</v>
      </c>
      <c r="BV359">
        <v>1953</v>
      </c>
      <c r="BW359">
        <v>77774</v>
      </c>
      <c r="BX359">
        <v>2146</v>
      </c>
      <c r="BY359">
        <v>126</v>
      </c>
      <c r="BZ359">
        <v>118</v>
      </c>
      <c r="CA359">
        <v>65</v>
      </c>
      <c r="CB359">
        <v>163</v>
      </c>
      <c r="CC359">
        <v>44</v>
      </c>
      <c r="CD359">
        <v>395</v>
      </c>
      <c r="CE359">
        <v>71</v>
      </c>
      <c r="CF359">
        <v>131</v>
      </c>
      <c r="CG359">
        <v>160</v>
      </c>
      <c r="CH359">
        <v>38</v>
      </c>
      <c r="CI359">
        <v>1705</v>
      </c>
      <c r="CJ359">
        <v>121</v>
      </c>
      <c r="CK359">
        <v>37</v>
      </c>
      <c r="CL359">
        <v>32</v>
      </c>
      <c r="CM359">
        <v>75</v>
      </c>
      <c r="CN359">
        <v>87</v>
      </c>
      <c r="CO359">
        <v>56</v>
      </c>
      <c r="CP359">
        <v>1064</v>
      </c>
      <c r="CQ359">
        <v>2132</v>
      </c>
      <c r="CR359">
        <v>383</v>
      </c>
      <c r="CS359">
        <v>40</v>
      </c>
      <c r="CT359">
        <v>190</v>
      </c>
      <c r="CU359">
        <v>539</v>
      </c>
      <c r="CV359">
        <v>13922</v>
      </c>
      <c r="CW359">
        <v>0</v>
      </c>
      <c r="CX359">
        <v>0</v>
      </c>
      <c r="CY359">
        <v>0</v>
      </c>
      <c r="CZ359">
        <v>0</v>
      </c>
      <c r="DA359">
        <v>0</v>
      </c>
      <c r="DB359">
        <v>0</v>
      </c>
      <c r="DC359">
        <v>30</v>
      </c>
      <c r="DD359">
        <v>0</v>
      </c>
      <c r="DE359">
        <v>0</v>
      </c>
      <c r="DF359">
        <v>0</v>
      </c>
      <c r="DG359">
        <v>0</v>
      </c>
      <c r="DH359">
        <v>396</v>
      </c>
      <c r="DI359">
        <v>0</v>
      </c>
      <c r="DJ359">
        <v>-67</v>
      </c>
      <c r="DK359">
        <v>0</v>
      </c>
      <c r="DL359">
        <v>35</v>
      </c>
      <c r="DM359">
        <v>0</v>
      </c>
      <c r="DN359">
        <v>1360</v>
      </c>
      <c r="DO359">
        <v>831</v>
      </c>
      <c r="DP359">
        <v>2555</v>
      </c>
      <c r="DQ359">
        <v>280</v>
      </c>
      <c r="DR359">
        <v>25</v>
      </c>
      <c r="DS359">
        <v>193</v>
      </c>
      <c r="DT359">
        <v>585</v>
      </c>
      <c r="DU359">
        <v>0</v>
      </c>
      <c r="DV359">
        <v>2012</v>
      </c>
      <c r="DW359">
        <v>0</v>
      </c>
      <c r="DX359">
        <v>5680</v>
      </c>
      <c r="DY359">
        <v>44268</v>
      </c>
      <c r="DZ359">
        <v>34</v>
      </c>
      <c r="EA359">
        <v>6334</v>
      </c>
      <c r="EB359">
        <v>2825</v>
      </c>
      <c r="EC359">
        <v>0</v>
      </c>
      <c r="ED359">
        <v>357</v>
      </c>
      <c r="EE359">
        <v>0</v>
      </c>
      <c r="EF359">
        <v>0</v>
      </c>
      <c r="EG359">
        <v>0</v>
      </c>
      <c r="EH359">
        <v>15369</v>
      </c>
      <c r="EI359">
        <v>7150</v>
      </c>
      <c r="EJ359">
        <v>6336</v>
      </c>
      <c r="EK359">
        <v>255</v>
      </c>
      <c r="EL359">
        <v>773</v>
      </c>
      <c r="EM359">
        <v>5000</v>
      </c>
      <c r="EN359">
        <v>8603</v>
      </c>
      <c r="EO359">
        <v>60</v>
      </c>
      <c r="EP359">
        <v>0</v>
      </c>
      <c r="EQ359">
        <v>9962</v>
      </c>
      <c r="ER359">
        <v>-20</v>
      </c>
      <c r="ES359">
        <v>13732</v>
      </c>
      <c r="ET359">
        <v>14062</v>
      </c>
      <c r="EU359">
        <v>0</v>
      </c>
      <c r="EV359">
        <v>0</v>
      </c>
      <c r="EW359">
        <v>403</v>
      </c>
      <c r="EX359">
        <v>1097</v>
      </c>
      <c r="EY359">
        <v>0</v>
      </c>
      <c r="EZ359">
        <v>1</v>
      </c>
      <c r="FA359">
        <v>0</v>
      </c>
      <c r="FB359">
        <v>0</v>
      </c>
      <c r="FC359">
        <v>36</v>
      </c>
      <c r="FD359">
        <v>1171</v>
      </c>
      <c r="FE359">
        <v>0</v>
      </c>
      <c r="FF359">
        <v>399</v>
      </c>
      <c r="FG359">
        <v>2139</v>
      </c>
      <c r="FH359">
        <v>5246</v>
      </c>
      <c r="FI359">
        <v>-686</v>
      </c>
      <c r="FJ359">
        <v>353</v>
      </c>
      <c r="FK359">
        <v>0</v>
      </c>
      <c r="FL359">
        <v>389</v>
      </c>
      <c r="FM359">
        <v>0</v>
      </c>
      <c r="FN359">
        <v>0</v>
      </c>
      <c r="FO359">
        <v>0</v>
      </c>
      <c r="FP359">
        <v>0</v>
      </c>
      <c r="FQ359">
        <v>0</v>
      </c>
      <c r="FR359">
        <v>0</v>
      </c>
      <c r="FS359">
        <v>-4</v>
      </c>
      <c r="FT359">
        <v>0</v>
      </c>
      <c r="FU359">
        <v>21</v>
      </c>
      <c r="FV359">
        <v>228</v>
      </c>
      <c r="FW359">
        <v>0</v>
      </c>
      <c r="FX359">
        <v>0</v>
      </c>
      <c r="FY359">
        <v>0</v>
      </c>
      <c r="FZ359">
        <v>137</v>
      </c>
      <c r="GA359">
        <v>0</v>
      </c>
      <c r="GB359">
        <v>0</v>
      </c>
      <c r="GC359">
        <v>-97</v>
      </c>
      <c r="GD359">
        <v>655</v>
      </c>
      <c r="GE359">
        <v>2424</v>
      </c>
      <c r="GF359">
        <v>9919</v>
      </c>
      <c r="GG359">
        <v>2</v>
      </c>
      <c r="GH359">
        <v>4155</v>
      </c>
      <c r="GI359">
        <v>296</v>
      </c>
      <c r="GJ359">
        <v>0</v>
      </c>
      <c r="GK359">
        <v>17792</v>
      </c>
      <c r="GL359">
        <v>22</v>
      </c>
      <c r="GM359">
        <v>0</v>
      </c>
      <c r="GN359">
        <v>0</v>
      </c>
      <c r="GO359">
        <v>433</v>
      </c>
      <c r="GP359">
        <v>0</v>
      </c>
      <c r="GQ359">
        <v>844</v>
      </c>
      <c r="GR359">
        <v>0</v>
      </c>
      <c r="GS359">
        <v>0</v>
      </c>
      <c r="GT359">
        <v>0</v>
      </c>
      <c r="GU359">
        <v>1299</v>
      </c>
      <c r="GV359">
        <v>24337</v>
      </c>
      <c r="GW359">
        <v>0</v>
      </c>
      <c r="GX359">
        <v>0</v>
      </c>
      <c r="GY359">
        <v>0</v>
      </c>
      <c r="GZ359">
        <v>0</v>
      </c>
      <c r="HA359">
        <v>0</v>
      </c>
      <c r="HB359">
        <v>5794</v>
      </c>
      <c r="HC359">
        <v>1024</v>
      </c>
      <c r="HD359">
        <v>0</v>
      </c>
      <c r="HE359">
        <v>364</v>
      </c>
      <c r="HF359">
        <v>1309</v>
      </c>
      <c r="HG359">
        <v>-53</v>
      </c>
      <c r="HH359">
        <v>0</v>
      </c>
      <c r="HI359">
        <v>11</v>
      </c>
      <c r="HJ359">
        <v>377</v>
      </c>
      <c r="HK359">
        <v>158</v>
      </c>
      <c r="HL359">
        <v>229</v>
      </c>
      <c r="HM359">
        <v>-118</v>
      </c>
      <c r="HN359">
        <v>96</v>
      </c>
      <c r="HO359">
        <v>0</v>
      </c>
      <c r="HP359">
        <v>499</v>
      </c>
      <c r="HQ359">
        <v>0</v>
      </c>
      <c r="HR359">
        <v>2630</v>
      </c>
      <c r="HS359">
        <v>0</v>
      </c>
      <c r="HT359">
        <v>0</v>
      </c>
      <c r="HU359">
        <v>-846</v>
      </c>
      <c r="HV359">
        <v>11474</v>
      </c>
      <c r="HW359">
        <v>0</v>
      </c>
      <c r="HX359">
        <v>19575</v>
      </c>
      <c r="HY359">
        <v>0</v>
      </c>
      <c r="HZ359">
        <v>4886</v>
      </c>
      <c r="IA359">
        <v>478</v>
      </c>
      <c r="IB359">
        <v>0</v>
      </c>
      <c r="IC359">
        <v>94815</v>
      </c>
      <c r="ID359">
        <v>3788</v>
      </c>
      <c r="IE359">
        <v>52400</v>
      </c>
      <c r="IF359">
        <v>77774</v>
      </c>
      <c r="IG359">
        <v>13922</v>
      </c>
      <c r="IH359">
        <v>5680</v>
      </c>
      <c r="II359">
        <v>5246</v>
      </c>
      <c r="IJ359">
        <v>17792</v>
      </c>
      <c r="IK359">
        <v>1299</v>
      </c>
      <c r="IL359">
        <v>0</v>
      </c>
      <c r="IM359">
        <v>0</v>
      </c>
      <c r="IN359">
        <v>11474</v>
      </c>
      <c r="IO359">
        <v>0</v>
      </c>
      <c r="IP359">
        <v>284190</v>
      </c>
      <c r="IQ359">
        <v>21915</v>
      </c>
      <c r="IR359">
        <v>1877</v>
      </c>
      <c r="IS359">
        <v>14454</v>
      </c>
      <c r="IT359">
        <v>0</v>
      </c>
      <c r="IU359">
        <v>0</v>
      </c>
      <c r="IV359">
        <v>9235</v>
      </c>
      <c r="IW359">
        <v>0</v>
      </c>
      <c r="IX359">
        <v>0</v>
      </c>
      <c r="IY359">
        <v>0</v>
      </c>
      <c r="IZ359">
        <v>297</v>
      </c>
      <c r="JA359">
        <v>-7293</v>
      </c>
      <c r="JB359">
        <v>10</v>
      </c>
      <c r="JC359">
        <v>0</v>
      </c>
      <c r="JD359">
        <v>0</v>
      </c>
      <c r="JE359">
        <v>0</v>
      </c>
      <c r="JF359">
        <v>0</v>
      </c>
      <c r="JG359">
        <v>324685</v>
      </c>
      <c r="JH359">
        <v>179</v>
      </c>
      <c r="JI359">
        <v>259</v>
      </c>
      <c r="JJ359">
        <v>0</v>
      </c>
      <c r="JK359">
        <v>-878</v>
      </c>
      <c r="JL359">
        <v>0</v>
      </c>
      <c r="JM359">
        <v>428</v>
      </c>
      <c r="JN359">
        <v>3213</v>
      </c>
      <c r="JO359">
        <v>0</v>
      </c>
      <c r="JP359">
        <v>11132</v>
      </c>
      <c r="JQ359">
        <v>-3263</v>
      </c>
      <c r="JR359">
        <v>335755</v>
      </c>
      <c r="JS359">
        <v>-4962</v>
      </c>
      <c r="JT359">
        <v>0</v>
      </c>
      <c r="JU359">
        <v>0</v>
      </c>
      <c r="JV359">
        <v>0</v>
      </c>
      <c r="JW359">
        <v>-38576</v>
      </c>
      <c r="JX359">
        <v>0</v>
      </c>
      <c r="JY359">
        <v>-259</v>
      </c>
      <c r="JZ359">
        <v>0</v>
      </c>
      <c r="KA359">
        <v>0</v>
      </c>
      <c r="KB359">
        <v>-1097</v>
      </c>
      <c r="KC359">
        <v>290861</v>
      </c>
      <c r="KD359">
        <v>0</v>
      </c>
      <c r="KE359">
        <v>-117966</v>
      </c>
      <c r="KF359">
        <v>172895</v>
      </c>
      <c r="KG359">
        <v>0</v>
      </c>
      <c r="KH359">
        <v>35</v>
      </c>
      <c r="KI359">
        <v>0</v>
      </c>
      <c r="KJ359">
        <v>1282</v>
      </c>
      <c r="KK359">
        <v>-12745</v>
      </c>
      <c r="KL359">
        <v>400</v>
      </c>
      <c r="KM359">
        <v>-4361</v>
      </c>
      <c r="KN359">
        <v>0</v>
      </c>
      <c r="KO359">
        <v>-13946</v>
      </c>
      <c r="KP359">
        <v>778</v>
      </c>
      <c r="KQ359">
        <v>0</v>
      </c>
      <c r="KR359">
        <v>122981</v>
      </c>
      <c r="KS359">
        <v>4665</v>
      </c>
      <c r="KT359">
        <v>0</v>
      </c>
      <c r="KU359">
        <v>3007</v>
      </c>
      <c r="KV359">
        <v>83007</v>
      </c>
      <c r="KW359">
        <v>7820</v>
      </c>
      <c r="KX359">
        <v>4700</v>
      </c>
      <c r="KY359">
        <v>0</v>
      </c>
      <c r="KZ359">
        <v>4289</v>
      </c>
      <c r="LA359">
        <v>70262</v>
      </c>
      <c r="LB359">
        <v>8220</v>
      </c>
      <c r="LC359">
        <v>0</v>
      </c>
      <c r="LD359">
        <v>37395</v>
      </c>
      <c r="LE359">
        <v>0</v>
      </c>
      <c r="LF359">
        <v>4957</v>
      </c>
      <c r="LG359">
        <v>0</v>
      </c>
      <c r="LH359">
        <v>19401</v>
      </c>
      <c r="LI359">
        <v>61753</v>
      </c>
      <c r="LJ359">
        <v>4738</v>
      </c>
      <c r="LK359">
        <v>6870</v>
      </c>
      <c r="LL359">
        <v>11608</v>
      </c>
      <c r="LM359">
        <v>213</v>
      </c>
      <c r="LN359">
        <v>0</v>
      </c>
      <c r="LO359">
        <v>0</v>
      </c>
      <c r="LP359">
        <v>53818</v>
      </c>
      <c r="LQ359">
        <v>53488</v>
      </c>
      <c r="LR359">
        <v>330</v>
      </c>
      <c r="LS359">
        <v>13732</v>
      </c>
      <c r="LT359">
        <v>14062</v>
      </c>
      <c r="LU359">
        <v>94815</v>
      </c>
      <c r="LV359">
        <v>3788</v>
      </c>
      <c r="LW359">
        <v>52400</v>
      </c>
      <c r="LX359">
        <v>77774</v>
      </c>
      <c r="LY359">
        <v>13922</v>
      </c>
      <c r="LZ359">
        <v>5680</v>
      </c>
      <c r="MA359">
        <v>5246</v>
      </c>
      <c r="MB359">
        <v>17792</v>
      </c>
      <c r="MC359">
        <v>1299</v>
      </c>
      <c r="MD359">
        <v>0</v>
      </c>
      <c r="ME359">
        <v>0</v>
      </c>
      <c r="MF359">
        <v>11474</v>
      </c>
      <c r="MG359">
        <v>0</v>
      </c>
      <c r="MH359">
        <v>284190</v>
      </c>
      <c r="MI359">
        <v>0</v>
      </c>
      <c r="MJ359">
        <v>0</v>
      </c>
      <c r="MK359">
        <v>0</v>
      </c>
      <c r="ML359">
        <v>0</v>
      </c>
      <c r="MM359">
        <v>0</v>
      </c>
      <c r="MN359">
        <v>0</v>
      </c>
      <c r="MO359">
        <v>0</v>
      </c>
      <c r="MP359">
        <v>0</v>
      </c>
      <c r="MQ359">
        <v>0</v>
      </c>
      <c r="MR359">
        <v>0</v>
      </c>
      <c r="MS359">
        <v>0</v>
      </c>
      <c r="MT359">
        <v>0</v>
      </c>
      <c r="MU359">
        <v>0</v>
      </c>
      <c r="MV359">
        <v>0</v>
      </c>
      <c r="MW359">
        <v>0</v>
      </c>
      <c r="MX359">
        <v>-7293</v>
      </c>
      <c r="MY359">
        <v>0</v>
      </c>
      <c r="MZ359">
        <v>0</v>
      </c>
      <c r="NA359">
        <v>-7293</v>
      </c>
      <c r="NB359">
        <v>0</v>
      </c>
      <c r="NC359">
        <v>-7293</v>
      </c>
      <c r="ND359">
        <v>0</v>
      </c>
      <c r="NE359">
        <v>0</v>
      </c>
      <c r="NF359">
        <v>0</v>
      </c>
      <c r="NG359">
        <v>0</v>
      </c>
      <c r="NH359">
        <v>0</v>
      </c>
      <c r="NI359">
        <v>0</v>
      </c>
      <c r="NJ359">
        <v>0</v>
      </c>
      <c r="NK359">
        <v>0</v>
      </c>
      <c r="NL359">
        <v>0</v>
      </c>
      <c r="NM359">
        <v>0</v>
      </c>
      <c r="NN359">
        <v>0</v>
      </c>
      <c r="NO359">
        <v>0</v>
      </c>
      <c r="NP359">
        <v>0</v>
      </c>
      <c r="NQ359">
        <v>0</v>
      </c>
      <c r="NR359">
        <v>-192</v>
      </c>
      <c r="NS359">
        <v>0</v>
      </c>
      <c r="NT359">
        <v>102</v>
      </c>
      <c r="NU359">
        <v>-18</v>
      </c>
      <c r="NV359">
        <v>0</v>
      </c>
      <c r="NW359">
        <v>0</v>
      </c>
      <c r="NX359">
        <v>0</v>
      </c>
      <c r="NY359">
        <v>0</v>
      </c>
      <c r="NZ359">
        <v>10</v>
      </c>
      <c r="OA359">
        <v>0</v>
      </c>
      <c r="OB359">
        <v>10</v>
      </c>
      <c r="OC359">
        <v>0</v>
      </c>
      <c r="OD359">
        <v>0</v>
      </c>
      <c r="OE359">
        <v>0</v>
      </c>
      <c r="OF359">
        <v>0</v>
      </c>
      <c r="OG359">
        <v>0</v>
      </c>
      <c r="OH359">
        <v>0</v>
      </c>
      <c r="OI359">
        <v>0</v>
      </c>
      <c r="OJ359">
        <v>0</v>
      </c>
      <c r="OK359">
        <v>0</v>
      </c>
      <c r="OL359">
        <v>0</v>
      </c>
      <c r="OM359">
        <v>0</v>
      </c>
      <c r="ON359">
        <v>0</v>
      </c>
    </row>
    <row r="360" spans="1:404" x14ac:dyDescent="0.25">
      <c r="A360" t="s">
        <v>1151</v>
      </c>
      <c r="B360" t="s">
        <v>1152</v>
      </c>
      <c r="C360" t="s">
        <v>1150</v>
      </c>
      <c r="E360" t="s">
        <v>97</v>
      </c>
      <c r="F360">
        <v>11022</v>
      </c>
      <c r="G360">
        <v>74142</v>
      </c>
      <c r="H360">
        <v>48713</v>
      </c>
      <c r="I360">
        <v>22275</v>
      </c>
      <c r="J360">
        <v>3266</v>
      </c>
      <c r="K360">
        <v>9920</v>
      </c>
      <c r="L360">
        <v>169338</v>
      </c>
      <c r="M360">
        <v>-6</v>
      </c>
      <c r="N360">
        <v>76</v>
      </c>
      <c r="O360">
        <v>1617</v>
      </c>
      <c r="P360">
        <v>2999</v>
      </c>
      <c r="Q360">
        <v>61</v>
      </c>
      <c r="R360">
        <v>65</v>
      </c>
      <c r="S360">
        <v>76</v>
      </c>
      <c r="T360">
        <v>777</v>
      </c>
      <c r="U360">
        <v>2136</v>
      </c>
      <c r="V360">
        <v>0</v>
      </c>
      <c r="W360">
        <v>-92</v>
      </c>
      <c r="X360">
        <v>-1</v>
      </c>
      <c r="Y360">
        <v>14</v>
      </c>
      <c r="Z360">
        <v>-20</v>
      </c>
      <c r="AA360">
        <v>-590</v>
      </c>
      <c r="AB360">
        <v>0</v>
      </c>
      <c r="AC360">
        <v>0</v>
      </c>
      <c r="AD360">
        <v>0</v>
      </c>
      <c r="AE360">
        <v>0</v>
      </c>
      <c r="AF360">
        <v>0</v>
      </c>
      <c r="AG360">
        <v>0</v>
      </c>
      <c r="AH360">
        <v>0</v>
      </c>
      <c r="AI360">
        <v>7112</v>
      </c>
      <c r="AJ360">
        <v>0</v>
      </c>
      <c r="AK360">
        <v>0</v>
      </c>
      <c r="AL360">
        <v>0</v>
      </c>
      <c r="AM360">
        <v>0</v>
      </c>
      <c r="AN360">
        <v>0</v>
      </c>
      <c r="AO360">
        <v>0</v>
      </c>
      <c r="AP360">
        <v>0</v>
      </c>
      <c r="AQ360">
        <v>0</v>
      </c>
      <c r="AR360">
        <v>399</v>
      </c>
      <c r="AS360">
        <v>0</v>
      </c>
      <c r="AT360">
        <v>0</v>
      </c>
      <c r="AU360">
        <v>0</v>
      </c>
      <c r="AV360">
        <v>1726</v>
      </c>
      <c r="AW360">
        <v>52085</v>
      </c>
      <c r="AX360">
        <v>654</v>
      </c>
      <c r="AY360">
        <v>7107</v>
      </c>
      <c r="AZ360">
        <v>999</v>
      </c>
      <c r="BA360">
        <v>15248</v>
      </c>
      <c r="BB360">
        <v>0</v>
      </c>
      <c r="BC360">
        <v>682</v>
      </c>
      <c r="BD360">
        <v>78500</v>
      </c>
      <c r="BE360">
        <v>2500</v>
      </c>
      <c r="BF360">
        <v>10103</v>
      </c>
      <c r="BG360">
        <v>433</v>
      </c>
      <c r="BH360">
        <v>1036</v>
      </c>
      <c r="BI360">
        <v>191</v>
      </c>
      <c r="BJ360">
        <v>2451</v>
      </c>
      <c r="BK360">
        <v>20749</v>
      </c>
      <c r="BL360">
        <v>2990</v>
      </c>
      <c r="BM360">
        <v>6216</v>
      </c>
      <c r="BN360">
        <v>3034</v>
      </c>
      <c r="BO360">
        <v>0</v>
      </c>
      <c r="BP360">
        <v>0</v>
      </c>
      <c r="BQ360">
        <v>0</v>
      </c>
      <c r="BR360">
        <v>1490</v>
      </c>
      <c r="BS360">
        <v>500</v>
      </c>
      <c r="BT360">
        <v>7076</v>
      </c>
      <c r="BU360">
        <v>908</v>
      </c>
      <c r="BV360">
        <v>4673</v>
      </c>
      <c r="BW360">
        <v>69626</v>
      </c>
      <c r="BX360">
        <v>1496</v>
      </c>
      <c r="BY360">
        <v>121</v>
      </c>
      <c r="BZ360">
        <v>90</v>
      </c>
      <c r="CA360">
        <v>155</v>
      </c>
      <c r="CB360">
        <v>1</v>
      </c>
      <c r="CC360">
        <v>58</v>
      </c>
      <c r="CD360">
        <v>22</v>
      </c>
      <c r="CE360">
        <v>363</v>
      </c>
      <c r="CF360">
        <v>281</v>
      </c>
      <c r="CG360">
        <v>27</v>
      </c>
      <c r="CH360">
        <v>17</v>
      </c>
      <c r="CI360">
        <v>1328</v>
      </c>
      <c r="CJ360">
        <v>831</v>
      </c>
      <c r="CK360">
        <v>664</v>
      </c>
      <c r="CL360">
        <v>358</v>
      </c>
      <c r="CM360">
        <v>166</v>
      </c>
      <c r="CN360">
        <v>629</v>
      </c>
      <c r="CO360">
        <v>0</v>
      </c>
      <c r="CP360">
        <v>1264</v>
      </c>
      <c r="CQ360">
        <v>4009</v>
      </c>
      <c r="CR360">
        <v>941</v>
      </c>
      <c r="CS360">
        <v>47</v>
      </c>
      <c r="CT360">
        <v>458</v>
      </c>
      <c r="CU360">
        <v>3154</v>
      </c>
      <c r="CV360">
        <v>17900</v>
      </c>
      <c r="CW360">
        <v>178</v>
      </c>
      <c r="CX360">
        <v>104</v>
      </c>
      <c r="CY360">
        <v>201</v>
      </c>
      <c r="CZ360">
        <v>0</v>
      </c>
      <c r="DA360">
        <v>0</v>
      </c>
      <c r="DB360">
        <v>0</v>
      </c>
      <c r="DC360">
        <v>7</v>
      </c>
      <c r="DD360">
        <v>0</v>
      </c>
      <c r="DE360">
        <v>0</v>
      </c>
      <c r="DF360">
        <v>0</v>
      </c>
      <c r="DG360">
        <v>0</v>
      </c>
      <c r="DH360">
        <v>32</v>
      </c>
      <c r="DI360">
        <v>32</v>
      </c>
      <c r="DJ360">
        <v>235</v>
      </c>
      <c r="DK360">
        <v>454</v>
      </c>
      <c r="DL360">
        <v>1</v>
      </c>
      <c r="DM360">
        <v>755</v>
      </c>
      <c r="DN360">
        <v>1540</v>
      </c>
      <c r="DO360">
        <v>537</v>
      </c>
      <c r="DP360">
        <v>3585</v>
      </c>
      <c r="DQ360">
        <v>0</v>
      </c>
      <c r="DR360">
        <v>0</v>
      </c>
      <c r="DS360">
        <v>0</v>
      </c>
      <c r="DT360">
        <v>1471</v>
      </c>
      <c r="DU360">
        <v>0</v>
      </c>
      <c r="DV360">
        <v>1550</v>
      </c>
      <c r="DW360">
        <v>0</v>
      </c>
      <c r="DX360">
        <v>6613</v>
      </c>
      <c r="DY360">
        <v>0</v>
      </c>
      <c r="DZ360">
        <v>0</v>
      </c>
      <c r="EA360">
        <v>0</v>
      </c>
      <c r="EB360">
        <v>0</v>
      </c>
      <c r="EC360">
        <v>0</v>
      </c>
      <c r="ED360">
        <v>0</v>
      </c>
      <c r="EE360">
        <v>0</v>
      </c>
      <c r="EF360">
        <v>0</v>
      </c>
      <c r="EG360">
        <v>0</v>
      </c>
      <c r="EH360">
        <v>0</v>
      </c>
      <c r="EI360">
        <v>0</v>
      </c>
      <c r="EJ360">
        <v>0</v>
      </c>
      <c r="EK360">
        <v>0</v>
      </c>
      <c r="EL360">
        <v>0</v>
      </c>
      <c r="EM360">
        <v>0</v>
      </c>
      <c r="EN360">
        <v>0</v>
      </c>
      <c r="EO360">
        <v>0</v>
      </c>
      <c r="EP360">
        <v>0</v>
      </c>
      <c r="EQ360">
        <v>0</v>
      </c>
      <c r="ER360">
        <v>0</v>
      </c>
      <c r="ES360">
        <v>0</v>
      </c>
      <c r="ET360">
        <v>0</v>
      </c>
      <c r="EU360">
        <v>128</v>
      </c>
      <c r="EV360">
        <v>9</v>
      </c>
      <c r="EW360">
        <v>21</v>
      </c>
      <c r="EX360">
        <v>552</v>
      </c>
      <c r="EY360">
        <v>264</v>
      </c>
      <c r="EZ360">
        <v>2122</v>
      </c>
      <c r="FA360">
        <v>0</v>
      </c>
      <c r="FB360">
        <v>0</v>
      </c>
      <c r="FC360">
        <v>1090</v>
      </c>
      <c r="FD360">
        <v>3098</v>
      </c>
      <c r="FE360">
        <v>0</v>
      </c>
      <c r="FF360">
        <v>0</v>
      </c>
      <c r="FG360">
        <v>1970</v>
      </c>
      <c r="FH360">
        <v>9255</v>
      </c>
      <c r="FI360">
        <v>0</v>
      </c>
      <c r="FJ360">
        <v>197</v>
      </c>
      <c r="FK360">
        <v>0</v>
      </c>
      <c r="FL360">
        <v>366</v>
      </c>
      <c r="FM360">
        <v>913</v>
      </c>
      <c r="FN360">
        <v>225</v>
      </c>
      <c r="FO360">
        <v>767</v>
      </c>
      <c r="FP360">
        <v>0</v>
      </c>
      <c r="FQ360">
        <v>0</v>
      </c>
      <c r="FR360">
        <v>-53</v>
      </c>
      <c r="FS360">
        <v>0</v>
      </c>
      <c r="FT360">
        <v>101</v>
      </c>
      <c r="FU360">
        <v>-483</v>
      </c>
      <c r="FV360">
        <v>1099</v>
      </c>
      <c r="FW360">
        <v>0</v>
      </c>
      <c r="FX360">
        <v>367</v>
      </c>
      <c r="FY360">
        <v>29</v>
      </c>
      <c r="FZ360">
        <v>0</v>
      </c>
      <c r="GA360">
        <v>0</v>
      </c>
      <c r="GB360">
        <v>0</v>
      </c>
      <c r="GC360">
        <v>0</v>
      </c>
      <c r="GD360">
        <v>1864</v>
      </c>
      <c r="GE360">
        <v>1321</v>
      </c>
      <c r="GF360">
        <v>42</v>
      </c>
      <c r="GG360">
        <v>-1092</v>
      </c>
      <c r="GH360">
        <v>4912</v>
      </c>
      <c r="GI360">
        <v>0</v>
      </c>
      <c r="GJ360">
        <v>0</v>
      </c>
      <c r="GK360">
        <v>10577</v>
      </c>
      <c r="GL360">
        <v>62</v>
      </c>
      <c r="GM360">
        <v>325</v>
      </c>
      <c r="GN360">
        <v>0</v>
      </c>
      <c r="GO360">
        <v>464</v>
      </c>
      <c r="GP360">
        <v>31</v>
      </c>
      <c r="GQ360">
        <v>3003</v>
      </c>
      <c r="GR360">
        <v>0</v>
      </c>
      <c r="GS360">
        <v>-114</v>
      </c>
      <c r="GT360">
        <v>440</v>
      </c>
      <c r="GU360">
        <v>4210</v>
      </c>
      <c r="GV360">
        <v>24043</v>
      </c>
      <c r="GW360">
        <v>0</v>
      </c>
      <c r="GX360">
        <v>0</v>
      </c>
      <c r="GY360">
        <v>0</v>
      </c>
      <c r="GZ360">
        <v>0</v>
      </c>
      <c r="HA360">
        <v>0</v>
      </c>
      <c r="HB360">
        <v>1829</v>
      </c>
      <c r="HC360">
        <v>770</v>
      </c>
      <c r="HD360">
        <v>0</v>
      </c>
      <c r="HE360">
        <v>1057</v>
      </c>
      <c r="HF360">
        <v>529</v>
      </c>
      <c r="HG360">
        <v>795</v>
      </c>
      <c r="HH360">
        <v>0</v>
      </c>
      <c r="HI360">
        <v>8</v>
      </c>
      <c r="HJ360">
        <v>171</v>
      </c>
      <c r="HK360">
        <v>269</v>
      </c>
      <c r="HL360">
        <v>148</v>
      </c>
      <c r="HM360">
        <v>-147</v>
      </c>
      <c r="HN360">
        <v>521</v>
      </c>
      <c r="HO360">
        <v>728</v>
      </c>
      <c r="HP360">
        <v>729</v>
      </c>
      <c r="HQ360">
        <v>0</v>
      </c>
      <c r="HR360">
        <v>1360</v>
      </c>
      <c r="HS360">
        <v>0</v>
      </c>
      <c r="HT360">
        <v>0</v>
      </c>
      <c r="HU360">
        <v>349</v>
      </c>
      <c r="HV360">
        <v>9119</v>
      </c>
      <c r="HW360">
        <v>0</v>
      </c>
      <c r="HX360">
        <v>0</v>
      </c>
      <c r="HY360">
        <v>0</v>
      </c>
      <c r="HZ360">
        <v>0</v>
      </c>
      <c r="IA360">
        <v>0</v>
      </c>
      <c r="IB360">
        <v>0</v>
      </c>
      <c r="IC360">
        <v>169338</v>
      </c>
      <c r="ID360">
        <v>7112</v>
      </c>
      <c r="IE360">
        <v>78500</v>
      </c>
      <c r="IF360">
        <v>69626</v>
      </c>
      <c r="IG360">
        <v>17900</v>
      </c>
      <c r="IH360">
        <v>6613</v>
      </c>
      <c r="II360">
        <v>9255</v>
      </c>
      <c r="IJ360">
        <v>10577</v>
      </c>
      <c r="IK360">
        <v>4210</v>
      </c>
      <c r="IL360">
        <v>0</v>
      </c>
      <c r="IM360">
        <v>0</v>
      </c>
      <c r="IN360">
        <v>9119</v>
      </c>
      <c r="IO360">
        <v>0</v>
      </c>
      <c r="IP360">
        <v>382252</v>
      </c>
      <c r="IQ360">
        <v>50935</v>
      </c>
      <c r="IR360">
        <v>3125</v>
      </c>
      <c r="IS360">
        <v>0</v>
      </c>
      <c r="IT360">
        <v>0</v>
      </c>
      <c r="IU360">
        <v>0</v>
      </c>
      <c r="IV360">
        <v>32</v>
      </c>
      <c r="IW360">
        <v>15373</v>
      </c>
      <c r="IX360">
        <v>14898</v>
      </c>
      <c r="IY360">
        <v>0</v>
      </c>
      <c r="IZ360">
        <v>376</v>
      </c>
      <c r="JA360">
        <v>-1814</v>
      </c>
      <c r="JB360">
        <v>0</v>
      </c>
      <c r="JC360">
        <v>0</v>
      </c>
      <c r="JD360">
        <v>0</v>
      </c>
      <c r="JE360">
        <v>0</v>
      </c>
      <c r="JF360">
        <v>0</v>
      </c>
      <c r="JG360">
        <v>465177</v>
      </c>
      <c r="JH360">
        <v>119</v>
      </c>
      <c r="JI360">
        <v>8279</v>
      </c>
      <c r="JJ360">
        <v>0</v>
      </c>
      <c r="JK360">
        <v>0</v>
      </c>
      <c r="JL360">
        <v>0</v>
      </c>
      <c r="JM360">
        <v>-570</v>
      </c>
      <c r="JN360">
        <v>7648</v>
      </c>
      <c r="JO360">
        <v>0</v>
      </c>
      <c r="JP360">
        <v>5820</v>
      </c>
      <c r="JQ360">
        <v>0</v>
      </c>
      <c r="JR360">
        <v>486473</v>
      </c>
      <c r="JS360">
        <v>-5146</v>
      </c>
      <c r="JT360">
        <v>0</v>
      </c>
      <c r="JU360">
        <v>0</v>
      </c>
      <c r="JV360">
        <v>0</v>
      </c>
      <c r="JW360">
        <v>-53376</v>
      </c>
      <c r="JX360">
        <v>0</v>
      </c>
      <c r="JY360">
        <v>0</v>
      </c>
      <c r="JZ360">
        <v>0</v>
      </c>
      <c r="KA360">
        <v>0</v>
      </c>
      <c r="KB360">
        <v>1558</v>
      </c>
      <c r="KC360">
        <v>429509</v>
      </c>
      <c r="KD360">
        <v>0</v>
      </c>
      <c r="KE360">
        <v>-213372</v>
      </c>
      <c r="KF360">
        <v>216137</v>
      </c>
      <c r="KG360">
        <v>0</v>
      </c>
      <c r="KH360">
        <v>-60</v>
      </c>
      <c r="KI360">
        <v>0</v>
      </c>
      <c r="KJ360">
        <v>77</v>
      </c>
      <c r="KK360">
        <v>-23093</v>
      </c>
      <c r="KL360">
        <v>193</v>
      </c>
      <c r="KM360">
        <v>0</v>
      </c>
      <c r="KN360">
        <v>0</v>
      </c>
      <c r="KO360">
        <v>-61064</v>
      </c>
      <c r="KP360">
        <v>445</v>
      </c>
      <c r="KQ360">
        <v>-3643</v>
      </c>
      <c r="KR360">
        <v>99239</v>
      </c>
      <c r="KS360">
        <v>9354</v>
      </c>
      <c r="KT360">
        <v>0</v>
      </c>
      <c r="KU360">
        <v>1671</v>
      </c>
      <c r="KV360">
        <v>148401</v>
      </c>
      <c r="KW360">
        <v>27244</v>
      </c>
      <c r="KX360">
        <v>9294</v>
      </c>
      <c r="KY360">
        <v>0</v>
      </c>
      <c r="KZ360">
        <v>1748</v>
      </c>
      <c r="LA360">
        <v>125308</v>
      </c>
      <c r="LB360">
        <v>27437</v>
      </c>
      <c r="LC360">
        <v>0</v>
      </c>
      <c r="LD360">
        <v>14961</v>
      </c>
      <c r="LE360">
        <v>0</v>
      </c>
      <c r="LF360">
        <v>-8099</v>
      </c>
      <c r="LG360">
        <v>-25665</v>
      </c>
      <c r="LH360">
        <v>5544</v>
      </c>
      <c r="LI360">
        <v>-13260</v>
      </c>
      <c r="LJ360">
        <v>7340</v>
      </c>
      <c r="LK360">
        <v>8036</v>
      </c>
      <c r="LL360">
        <v>15376</v>
      </c>
      <c r="LM360">
        <v>0</v>
      </c>
      <c r="LN360">
        <v>0</v>
      </c>
      <c r="LO360">
        <v>0</v>
      </c>
      <c r="LP360">
        <v>0</v>
      </c>
      <c r="LQ360">
        <v>0</v>
      </c>
      <c r="LR360">
        <v>0</v>
      </c>
      <c r="LS360">
        <v>0</v>
      </c>
      <c r="LT360">
        <v>0</v>
      </c>
      <c r="LU360">
        <v>169338</v>
      </c>
      <c r="LV360">
        <v>7112</v>
      </c>
      <c r="LW360">
        <v>78500</v>
      </c>
      <c r="LX360">
        <v>69626</v>
      </c>
      <c r="LY360">
        <v>17900</v>
      </c>
      <c r="LZ360">
        <v>6613</v>
      </c>
      <c r="MA360">
        <v>9255</v>
      </c>
      <c r="MB360">
        <v>10577</v>
      </c>
      <c r="MC360">
        <v>4210</v>
      </c>
      <c r="MD360">
        <v>0</v>
      </c>
      <c r="ME360">
        <v>0</v>
      </c>
      <c r="MF360">
        <v>9119</v>
      </c>
      <c r="MG360">
        <v>0</v>
      </c>
      <c r="MH360">
        <v>382252</v>
      </c>
      <c r="MI360">
        <v>0</v>
      </c>
      <c r="MJ360">
        <v>0</v>
      </c>
      <c r="MK360">
        <v>0</v>
      </c>
      <c r="ML360">
        <v>0</v>
      </c>
      <c r="MM360">
        <v>0</v>
      </c>
      <c r="MN360">
        <v>0</v>
      </c>
      <c r="MO360">
        <v>0</v>
      </c>
      <c r="MP360">
        <v>0</v>
      </c>
      <c r="MQ360">
        <v>0</v>
      </c>
      <c r="MR360">
        <v>0</v>
      </c>
      <c r="MS360">
        <v>-796</v>
      </c>
      <c r="MT360">
        <v>0</v>
      </c>
      <c r="MU360">
        <v>0</v>
      </c>
      <c r="MV360">
        <v>0</v>
      </c>
      <c r="MW360">
        <v>0</v>
      </c>
      <c r="MX360">
        <v>58</v>
      </c>
      <c r="MY360">
        <v>-1076</v>
      </c>
      <c r="MZ360">
        <v>0</v>
      </c>
      <c r="NA360">
        <v>-1814</v>
      </c>
      <c r="NB360">
        <v>0</v>
      </c>
      <c r="NC360">
        <v>-1814</v>
      </c>
      <c r="ND360">
        <v>0</v>
      </c>
      <c r="NE360">
        <v>0</v>
      </c>
      <c r="NF360">
        <v>0</v>
      </c>
      <c r="NG360">
        <v>0</v>
      </c>
      <c r="NH360">
        <v>0</v>
      </c>
      <c r="NI360">
        <v>0</v>
      </c>
      <c r="NJ360">
        <v>0</v>
      </c>
      <c r="NK360">
        <v>0</v>
      </c>
      <c r="NL360">
        <v>0</v>
      </c>
      <c r="NM360">
        <v>0</v>
      </c>
      <c r="NN360">
        <v>0</v>
      </c>
      <c r="NO360">
        <v>0</v>
      </c>
      <c r="NP360">
        <v>0</v>
      </c>
      <c r="NQ360">
        <v>0</v>
      </c>
      <c r="NR360">
        <v>0</v>
      </c>
      <c r="NS360">
        <v>0</v>
      </c>
      <c r="NT360">
        <v>0</v>
      </c>
      <c r="NU360">
        <v>0</v>
      </c>
      <c r="NV360">
        <v>0</v>
      </c>
      <c r="NW360">
        <v>0</v>
      </c>
      <c r="NX360">
        <v>0</v>
      </c>
      <c r="NY360">
        <v>0</v>
      </c>
      <c r="NZ360">
        <v>0</v>
      </c>
      <c r="OA360">
        <v>0</v>
      </c>
      <c r="OB360">
        <v>0</v>
      </c>
      <c r="OC360">
        <v>0</v>
      </c>
      <c r="OD360">
        <v>0</v>
      </c>
      <c r="OE360">
        <v>0</v>
      </c>
      <c r="OF360">
        <v>0</v>
      </c>
      <c r="OG360">
        <v>0</v>
      </c>
      <c r="OH360">
        <v>0</v>
      </c>
      <c r="OI360">
        <v>0</v>
      </c>
      <c r="OJ360">
        <v>0</v>
      </c>
      <c r="OK360">
        <v>0</v>
      </c>
      <c r="OL360">
        <v>0</v>
      </c>
      <c r="OM360">
        <v>0</v>
      </c>
      <c r="ON360">
        <v>0</v>
      </c>
    </row>
    <row r="361" spans="1:404" x14ac:dyDescent="0.25">
      <c r="A361" t="s">
        <v>1154</v>
      </c>
      <c r="B361" t="s">
        <v>1155</v>
      </c>
      <c r="C361" t="s">
        <v>1153</v>
      </c>
      <c r="E361" t="s">
        <v>61</v>
      </c>
      <c r="F361">
        <v>0</v>
      </c>
      <c r="G361">
        <v>0</v>
      </c>
      <c r="H361">
        <v>0</v>
      </c>
      <c r="I361">
        <v>0</v>
      </c>
      <c r="J361">
        <v>0</v>
      </c>
      <c r="K361">
        <v>0</v>
      </c>
      <c r="L361">
        <v>0</v>
      </c>
      <c r="M361">
        <v>0</v>
      </c>
      <c r="N361">
        <v>0</v>
      </c>
      <c r="O361">
        <v>0</v>
      </c>
      <c r="P361">
        <v>0</v>
      </c>
      <c r="Q361">
        <v>0</v>
      </c>
      <c r="R361">
        <v>0</v>
      </c>
      <c r="S361">
        <v>51</v>
      </c>
      <c r="T361">
        <v>0</v>
      </c>
      <c r="U361">
        <v>83</v>
      </c>
      <c r="V361">
        <v>0</v>
      </c>
      <c r="W361">
        <v>0</v>
      </c>
      <c r="X361">
        <v>0</v>
      </c>
      <c r="Y361">
        <v>0</v>
      </c>
      <c r="Z361">
        <v>65</v>
      </c>
      <c r="AA361">
        <v>-518</v>
      </c>
      <c r="AB361">
        <v>0</v>
      </c>
      <c r="AC361">
        <v>0</v>
      </c>
      <c r="AD361">
        <v>0</v>
      </c>
      <c r="AE361">
        <v>0</v>
      </c>
      <c r="AF361">
        <v>0</v>
      </c>
      <c r="AG361">
        <v>4</v>
      </c>
      <c r="AH361">
        <v>0</v>
      </c>
      <c r="AI361">
        <v>-315</v>
      </c>
      <c r="AJ361">
        <v>0</v>
      </c>
      <c r="AK361">
        <v>0</v>
      </c>
      <c r="AL361">
        <v>0</v>
      </c>
      <c r="AM361">
        <v>0</v>
      </c>
      <c r="AN361">
        <v>0</v>
      </c>
      <c r="AO361">
        <v>0</v>
      </c>
      <c r="AP361">
        <v>0</v>
      </c>
      <c r="AQ361">
        <v>50</v>
      </c>
      <c r="AR361">
        <v>0</v>
      </c>
      <c r="AS361">
        <v>0</v>
      </c>
      <c r="AT361">
        <v>0</v>
      </c>
      <c r="AU361">
        <v>0</v>
      </c>
      <c r="AV361">
        <v>0</v>
      </c>
      <c r="AW361">
        <v>0</v>
      </c>
      <c r="AX361">
        <v>0</v>
      </c>
      <c r="AY361">
        <v>0</v>
      </c>
      <c r="AZ361">
        <v>0</v>
      </c>
      <c r="BA361">
        <v>0</v>
      </c>
      <c r="BB361">
        <v>0</v>
      </c>
      <c r="BC361">
        <v>0</v>
      </c>
      <c r="BD361">
        <v>0</v>
      </c>
      <c r="BE361">
        <v>0</v>
      </c>
      <c r="BF361">
        <v>0</v>
      </c>
      <c r="BG361">
        <v>0</v>
      </c>
      <c r="BH361">
        <v>0</v>
      </c>
      <c r="BI361">
        <v>0</v>
      </c>
      <c r="BJ361">
        <v>0</v>
      </c>
      <c r="BK361">
        <v>0</v>
      </c>
      <c r="BL361">
        <v>0</v>
      </c>
      <c r="BM361">
        <v>0</v>
      </c>
      <c r="BN361">
        <v>0</v>
      </c>
      <c r="BO361">
        <v>0</v>
      </c>
      <c r="BP361">
        <v>0</v>
      </c>
      <c r="BQ361">
        <v>0</v>
      </c>
      <c r="BR361">
        <v>0</v>
      </c>
      <c r="BS361">
        <v>0</v>
      </c>
      <c r="BT361">
        <v>0</v>
      </c>
      <c r="BU361">
        <v>0</v>
      </c>
      <c r="BV361">
        <v>0</v>
      </c>
      <c r="BW361">
        <v>0</v>
      </c>
      <c r="BX361">
        <v>0</v>
      </c>
      <c r="BY361">
        <v>0</v>
      </c>
      <c r="BZ361">
        <v>0</v>
      </c>
      <c r="CA361">
        <v>0</v>
      </c>
      <c r="CB361">
        <v>0</v>
      </c>
      <c r="CC361">
        <v>0</v>
      </c>
      <c r="CD361">
        <v>0</v>
      </c>
      <c r="CE361">
        <v>0</v>
      </c>
      <c r="CF361">
        <v>0</v>
      </c>
      <c r="CG361">
        <v>0</v>
      </c>
      <c r="CH361">
        <v>0</v>
      </c>
      <c r="CI361">
        <v>0</v>
      </c>
      <c r="CJ361">
        <v>0</v>
      </c>
      <c r="CK361">
        <v>0</v>
      </c>
      <c r="CL361">
        <v>0</v>
      </c>
      <c r="CM361">
        <v>0</v>
      </c>
      <c r="CN361">
        <v>0</v>
      </c>
      <c r="CO361">
        <v>0</v>
      </c>
      <c r="CP361">
        <v>0</v>
      </c>
      <c r="CQ361">
        <v>0</v>
      </c>
      <c r="CR361">
        <v>0</v>
      </c>
      <c r="CS361">
        <v>0</v>
      </c>
      <c r="CT361">
        <v>0</v>
      </c>
      <c r="CU361">
        <v>0</v>
      </c>
      <c r="CV361">
        <v>0</v>
      </c>
      <c r="CW361">
        <v>0</v>
      </c>
      <c r="CX361">
        <v>0</v>
      </c>
      <c r="CY361">
        <v>0</v>
      </c>
      <c r="CZ361">
        <v>0</v>
      </c>
      <c r="DA361">
        <v>0</v>
      </c>
      <c r="DB361">
        <v>0</v>
      </c>
      <c r="DC361">
        <v>716</v>
      </c>
      <c r="DD361">
        <v>5</v>
      </c>
      <c r="DE361">
        <v>19</v>
      </c>
      <c r="DF361">
        <v>0</v>
      </c>
      <c r="DG361">
        <v>0</v>
      </c>
      <c r="DH361">
        <v>17</v>
      </c>
      <c r="DI361">
        <v>199</v>
      </c>
      <c r="DJ361">
        <v>82</v>
      </c>
      <c r="DK361">
        <v>0</v>
      </c>
      <c r="DL361">
        <v>0</v>
      </c>
      <c r="DM361">
        <v>28</v>
      </c>
      <c r="DN361">
        <v>0</v>
      </c>
      <c r="DO361">
        <v>0</v>
      </c>
      <c r="DP361">
        <v>326</v>
      </c>
      <c r="DQ361">
        <v>46</v>
      </c>
      <c r="DR361">
        <v>-138</v>
      </c>
      <c r="DS361">
        <v>30</v>
      </c>
      <c r="DT361">
        <v>432</v>
      </c>
      <c r="DU361">
        <v>0</v>
      </c>
      <c r="DV361">
        <v>0</v>
      </c>
      <c r="DW361">
        <v>0</v>
      </c>
      <c r="DX361">
        <v>1436</v>
      </c>
      <c r="DY361">
        <v>18782</v>
      </c>
      <c r="DZ361">
        <v>356</v>
      </c>
      <c r="EA361">
        <v>791</v>
      </c>
      <c r="EB361">
        <v>1755</v>
      </c>
      <c r="EC361">
        <v>0</v>
      </c>
      <c r="ED361">
        <v>53</v>
      </c>
      <c r="EE361">
        <v>0</v>
      </c>
      <c r="EF361">
        <v>0</v>
      </c>
      <c r="EG361">
        <v>-1</v>
      </c>
      <c r="EH361">
        <v>4891</v>
      </c>
      <c r="EI361">
        <v>3744</v>
      </c>
      <c r="EJ361">
        <v>2234</v>
      </c>
      <c r="EK361">
        <v>52</v>
      </c>
      <c r="EL361">
        <v>0</v>
      </c>
      <c r="EM361">
        <v>3054</v>
      </c>
      <c r="EN361">
        <v>4512</v>
      </c>
      <c r="EO361">
        <v>7</v>
      </c>
      <c r="EP361">
        <v>2678</v>
      </c>
      <c r="EQ361">
        <v>0</v>
      </c>
      <c r="ER361">
        <v>156</v>
      </c>
      <c r="ES361">
        <v>14852</v>
      </c>
      <c r="ET361">
        <v>15260</v>
      </c>
      <c r="EU361">
        <v>0</v>
      </c>
      <c r="EV361">
        <v>-1</v>
      </c>
      <c r="EW361">
        <v>68</v>
      </c>
      <c r="EX361">
        <v>274</v>
      </c>
      <c r="EY361">
        <v>829</v>
      </c>
      <c r="EZ361">
        <v>-12</v>
      </c>
      <c r="FA361">
        <v>0</v>
      </c>
      <c r="FB361">
        <v>2</v>
      </c>
      <c r="FC361">
        <v>300</v>
      </c>
      <c r="FD361">
        <v>50</v>
      </c>
      <c r="FE361">
        <v>0</v>
      </c>
      <c r="FF361">
        <v>127</v>
      </c>
      <c r="FG361">
        <v>0</v>
      </c>
      <c r="FH361">
        <v>1637</v>
      </c>
      <c r="FI361">
        <v>72</v>
      </c>
      <c r="FJ361">
        <v>0</v>
      </c>
      <c r="FK361">
        <v>0</v>
      </c>
      <c r="FL361">
        <v>122</v>
      </c>
      <c r="FM361">
        <v>62</v>
      </c>
      <c r="FN361">
        <v>0</v>
      </c>
      <c r="FO361">
        <v>0</v>
      </c>
      <c r="FP361">
        <v>0</v>
      </c>
      <c r="FQ361">
        <v>0</v>
      </c>
      <c r="FR361">
        <v>6</v>
      </c>
      <c r="FS361">
        <v>16</v>
      </c>
      <c r="FT361">
        <v>107</v>
      </c>
      <c r="FU361">
        <v>154</v>
      </c>
      <c r="FV361">
        <v>73</v>
      </c>
      <c r="FW361">
        <v>52</v>
      </c>
      <c r="FX361">
        <v>194</v>
      </c>
      <c r="FY361">
        <v>85</v>
      </c>
      <c r="FZ361">
        <v>0</v>
      </c>
      <c r="GA361">
        <v>0</v>
      </c>
      <c r="GB361">
        <v>0</v>
      </c>
      <c r="GC361">
        <v>0</v>
      </c>
      <c r="GD361">
        <v>-37</v>
      </c>
      <c r="GE361">
        <v>481</v>
      </c>
      <c r="GF361">
        <v>0</v>
      </c>
      <c r="GG361">
        <v>0</v>
      </c>
      <c r="GH361">
        <v>722</v>
      </c>
      <c r="GI361">
        <v>0</v>
      </c>
      <c r="GJ361">
        <v>0</v>
      </c>
      <c r="GK361">
        <v>2109</v>
      </c>
      <c r="GL361">
        <v>38</v>
      </c>
      <c r="GM361">
        <v>31</v>
      </c>
      <c r="GN361">
        <v>14</v>
      </c>
      <c r="GO361">
        <v>154</v>
      </c>
      <c r="GP361">
        <v>0</v>
      </c>
      <c r="GQ361">
        <v>450</v>
      </c>
      <c r="GR361">
        <v>0</v>
      </c>
      <c r="GS361">
        <v>0</v>
      </c>
      <c r="GT361">
        <v>314</v>
      </c>
      <c r="GU361">
        <v>1001</v>
      </c>
      <c r="GV361">
        <v>4747</v>
      </c>
      <c r="GW361">
        <v>0</v>
      </c>
      <c r="GX361">
        <v>0</v>
      </c>
      <c r="GY361">
        <v>0</v>
      </c>
      <c r="GZ361">
        <v>0</v>
      </c>
      <c r="HA361">
        <v>0</v>
      </c>
      <c r="HB361">
        <v>783</v>
      </c>
      <c r="HC361">
        <v>175</v>
      </c>
      <c r="HD361">
        <v>0</v>
      </c>
      <c r="HE361">
        <v>0</v>
      </c>
      <c r="HF361">
        <v>432</v>
      </c>
      <c r="HG361">
        <v>61</v>
      </c>
      <c r="HH361">
        <v>0</v>
      </c>
      <c r="HI361">
        <v>0</v>
      </c>
      <c r="HJ361">
        <v>45</v>
      </c>
      <c r="HK361">
        <v>211</v>
      </c>
      <c r="HL361">
        <v>24</v>
      </c>
      <c r="HM361">
        <v>4</v>
      </c>
      <c r="HN361">
        <v>0</v>
      </c>
      <c r="HO361">
        <v>0</v>
      </c>
      <c r="HP361">
        <v>0</v>
      </c>
      <c r="HQ361">
        <v>0</v>
      </c>
      <c r="HR361">
        <v>63</v>
      </c>
      <c r="HS361">
        <v>0</v>
      </c>
      <c r="HT361">
        <v>0</v>
      </c>
      <c r="HU361">
        <v>637</v>
      </c>
      <c r="HV361">
        <v>2435</v>
      </c>
      <c r="HW361">
        <v>409</v>
      </c>
      <c r="HX361">
        <v>5400</v>
      </c>
      <c r="HY361">
        <v>0</v>
      </c>
      <c r="HZ361">
        <v>0</v>
      </c>
      <c r="IA361">
        <v>0</v>
      </c>
      <c r="IB361">
        <v>0</v>
      </c>
      <c r="IC361">
        <v>0</v>
      </c>
      <c r="ID361">
        <v>-315</v>
      </c>
      <c r="IE361">
        <v>0</v>
      </c>
      <c r="IF361">
        <v>0</v>
      </c>
      <c r="IG361">
        <v>0</v>
      </c>
      <c r="IH361">
        <v>1436</v>
      </c>
      <c r="II361">
        <v>1637</v>
      </c>
      <c r="IJ361">
        <v>2109</v>
      </c>
      <c r="IK361">
        <v>1001</v>
      </c>
      <c r="IL361">
        <v>0</v>
      </c>
      <c r="IM361">
        <v>0</v>
      </c>
      <c r="IN361">
        <v>2435</v>
      </c>
      <c r="IO361">
        <v>0</v>
      </c>
      <c r="IP361">
        <v>8303</v>
      </c>
      <c r="IQ361">
        <v>4706</v>
      </c>
      <c r="IR361">
        <v>20</v>
      </c>
      <c r="IS361">
        <v>6577</v>
      </c>
      <c r="IT361">
        <v>0</v>
      </c>
      <c r="IU361">
        <v>230</v>
      </c>
      <c r="IV361">
        <v>0</v>
      </c>
      <c r="IW361">
        <v>0</v>
      </c>
      <c r="IX361">
        <v>0</v>
      </c>
      <c r="IY361">
        <v>0</v>
      </c>
      <c r="IZ361">
        <v>0</v>
      </c>
      <c r="JA361">
        <v>-3046</v>
      </c>
      <c r="JB361">
        <v>0</v>
      </c>
      <c r="JC361">
        <v>1683</v>
      </c>
      <c r="JD361">
        <v>0</v>
      </c>
      <c r="JE361">
        <v>-1</v>
      </c>
      <c r="JF361">
        <v>0</v>
      </c>
      <c r="JG361">
        <v>18472</v>
      </c>
      <c r="JH361">
        <v>0</v>
      </c>
      <c r="JI361">
        <v>231</v>
      </c>
      <c r="JJ361">
        <v>0</v>
      </c>
      <c r="JK361">
        <v>0</v>
      </c>
      <c r="JL361">
        <v>0</v>
      </c>
      <c r="JM361">
        <v>-218</v>
      </c>
      <c r="JN361">
        <v>158</v>
      </c>
      <c r="JO361">
        <v>0</v>
      </c>
      <c r="JP361">
        <v>3863</v>
      </c>
      <c r="JQ361">
        <v>-2625</v>
      </c>
      <c r="JR361">
        <v>19881</v>
      </c>
      <c r="JS361">
        <v>-2686</v>
      </c>
      <c r="JT361">
        <v>0</v>
      </c>
      <c r="JU361">
        <v>0</v>
      </c>
      <c r="JV361">
        <v>0</v>
      </c>
      <c r="JW361">
        <v>-11268</v>
      </c>
      <c r="JX361">
        <v>0</v>
      </c>
      <c r="JY361">
        <v>-7</v>
      </c>
      <c r="JZ361">
        <v>0</v>
      </c>
      <c r="KA361">
        <v>0</v>
      </c>
      <c r="KB361">
        <v>0</v>
      </c>
      <c r="KC361">
        <v>5920</v>
      </c>
      <c r="KD361">
        <v>-73</v>
      </c>
      <c r="KE361">
        <v>-2189</v>
      </c>
      <c r="KF361">
        <v>3658</v>
      </c>
      <c r="KG361">
        <v>0</v>
      </c>
      <c r="KH361">
        <v>0</v>
      </c>
      <c r="KI361">
        <v>0</v>
      </c>
      <c r="KJ361">
        <v>0</v>
      </c>
      <c r="KK361">
        <v>-2601</v>
      </c>
      <c r="KL361">
        <v>1154</v>
      </c>
      <c r="KM361">
        <v>-189</v>
      </c>
      <c r="KN361">
        <v>0</v>
      </c>
      <c r="KO361">
        <v>5107</v>
      </c>
      <c r="KP361">
        <v>-60</v>
      </c>
      <c r="KQ361">
        <v>0</v>
      </c>
      <c r="KR361">
        <v>4180</v>
      </c>
      <c r="KS361">
        <v>0</v>
      </c>
      <c r="KT361">
        <v>0</v>
      </c>
      <c r="KU361">
        <v>0</v>
      </c>
      <c r="KV361">
        <v>18108</v>
      </c>
      <c r="KW361">
        <v>8000</v>
      </c>
      <c r="KX361">
        <v>0</v>
      </c>
      <c r="KY361">
        <v>0</v>
      </c>
      <c r="KZ361">
        <v>0</v>
      </c>
      <c r="LA361">
        <v>15507</v>
      </c>
      <c r="LB361">
        <v>9154</v>
      </c>
      <c r="LC361">
        <v>0</v>
      </c>
      <c r="LD361">
        <v>496</v>
      </c>
      <c r="LE361">
        <v>-1042</v>
      </c>
      <c r="LF361">
        <v>0</v>
      </c>
      <c r="LG361">
        <v>-3274</v>
      </c>
      <c r="LH361">
        <v>641</v>
      </c>
      <c r="LI361">
        <v>-3179</v>
      </c>
      <c r="LJ361">
        <v>2126</v>
      </c>
      <c r="LK361">
        <v>2581</v>
      </c>
      <c r="LL361">
        <v>4707</v>
      </c>
      <c r="LM361">
        <v>0</v>
      </c>
      <c r="LN361">
        <v>0</v>
      </c>
      <c r="LO361">
        <v>0</v>
      </c>
      <c r="LP361">
        <v>21736</v>
      </c>
      <c r="LQ361">
        <v>21328</v>
      </c>
      <c r="LR361">
        <v>408</v>
      </c>
      <c r="LS361">
        <v>14852</v>
      </c>
      <c r="LT361">
        <v>15260</v>
      </c>
      <c r="LU361">
        <v>0</v>
      </c>
      <c r="LV361">
        <v>-315</v>
      </c>
      <c r="LW361">
        <v>0</v>
      </c>
      <c r="LX361">
        <v>0</v>
      </c>
      <c r="LY361">
        <v>0</v>
      </c>
      <c r="LZ361">
        <v>1436</v>
      </c>
      <c r="MA361">
        <v>1637</v>
      </c>
      <c r="MB361">
        <v>2109</v>
      </c>
      <c r="MC361">
        <v>1001</v>
      </c>
      <c r="MD361">
        <v>0</v>
      </c>
      <c r="ME361">
        <v>0</v>
      </c>
      <c r="MF361">
        <v>2435</v>
      </c>
      <c r="MG361">
        <v>0</v>
      </c>
      <c r="MH361">
        <v>8303</v>
      </c>
      <c r="MI361">
        <v>0</v>
      </c>
      <c r="MJ361">
        <v>0</v>
      </c>
      <c r="MK361">
        <v>0</v>
      </c>
      <c r="ML361">
        <v>0</v>
      </c>
      <c r="MM361">
        <v>0</v>
      </c>
      <c r="MN361">
        <v>0</v>
      </c>
      <c r="MO361">
        <v>0</v>
      </c>
      <c r="MP361">
        <v>0</v>
      </c>
      <c r="MQ361">
        <v>0</v>
      </c>
      <c r="MR361">
        <v>0</v>
      </c>
      <c r="MS361">
        <v>0</v>
      </c>
      <c r="MT361">
        <v>0</v>
      </c>
      <c r="MU361">
        <v>0</v>
      </c>
      <c r="MV361">
        <v>0</v>
      </c>
      <c r="MW361">
        <v>0</v>
      </c>
      <c r="MX361">
        <v>0</v>
      </c>
      <c r="MY361">
        <v>-1363</v>
      </c>
      <c r="MZ361">
        <v>0</v>
      </c>
      <c r="NA361">
        <v>-1363</v>
      </c>
      <c r="NB361">
        <v>-1683</v>
      </c>
      <c r="NC361">
        <v>-3046</v>
      </c>
      <c r="ND361">
        <v>0</v>
      </c>
      <c r="NE361">
        <v>0</v>
      </c>
      <c r="NF361">
        <v>0</v>
      </c>
      <c r="NG361">
        <v>0</v>
      </c>
      <c r="NH361">
        <v>0</v>
      </c>
      <c r="NI361">
        <v>0</v>
      </c>
      <c r="NJ361">
        <v>0</v>
      </c>
      <c r="NK361">
        <v>0</v>
      </c>
      <c r="NL361">
        <v>0</v>
      </c>
      <c r="NM361">
        <v>0</v>
      </c>
      <c r="NN361">
        <v>0</v>
      </c>
      <c r="NO361">
        <v>0</v>
      </c>
      <c r="NP361">
        <v>0</v>
      </c>
      <c r="NQ361">
        <v>0</v>
      </c>
      <c r="NR361">
        <v>0</v>
      </c>
      <c r="NS361">
        <v>0</v>
      </c>
      <c r="NT361">
        <v>0</v>
      </c>
      <c r="NU361">
        <v>0</v>
      </c>
      <c r="NV361">
        <v>0</v>
      </c>
      <c r="NW361">
        <v>0</v>
      </c>
      <c r="NX361">
        <v>0</v>
      </c>
      <c r="NY361">
        <v>0</v>
      </c>
      <c r="NZ361">
        <v>0</v>
      </c>
      <c r="OA361">
        <v>0</v>
      </c>
      <c r="OB361">
        <v>0</v>
      </c>
      <c r="OC361">
        <v>0</v>
      </c>
      <c r="OD361">
        <v>0</v>
      </c>
      <c r="OE361">
        <v>-1683</v>
      </c>
      <c r="OF361">
        <v>0</v>
      </c>
      <c r="OG361">
        <v>0</v>
      </c>
      <c r="OH361">
        <v>-1683</v>
      </c>
      <c r="OI361">
        <v>0</v>
      </c>
      <c r="OJ361">
        <v>0</v>
      </c>
      <c r="OK361">
        <v>0</v>
      </c>
      <c r="OL361">
        <v>0</v>
      </c>
      <c r="OM361">
        <v>0</v>
      </c>
      <c r="ON361">
        <v>0</v>
      </c>
    </row>
    <row r="362" spans="1:404" x14ac:dyDescent="0.25">
      <c r="A362" t="s">
        <v>1157</v>
      </c>
      <c r="B362" t="s">
        <v>1158</v>
      </c>
      <c r="C362" t="s">
        <v>1156</v>
      </c>
      <c r="E362" t="s">
        <v>61</v>
      </c>
      <c r="F362">
        <v>0</v>
      </c>
      <c r="G362">
        <v>0</v>
      </c>
      <c r="H362">
        <v>0</v>
      </c>
      <c r="I362">
        <v>0</v>
      </c>
      <c r="J362">
        <v>0</v>
      </c>
      <c r="K362">
        <v>0</v>
      </c>
      <c r="L362">
        <v>0</v>
      </c>
      <c r="M362">
        <v>0</v>
      </c>
      <c r="N362">
        <v>0</v>
      </c>
      <c r="O362">
        <v>0</v>
      </c>
      <c r="P362">
        <v>0</v>
      </c>
      <c r="Q362">
        <v>0</v>
      </c>
      <c r="R362">
        <v>0</v>
      </c>
      <c r="S362">
        <v>0</v>
      </c>
      <c r="T362">
        <v>0</v>
      </c>
      <c r="U362">
        <v>0</v>
      </c>
      <c r="V362">
        <v>0</v>
      </c>
      <c r="W362">
        <v>0</v>
      </c>
      <c r="X362">
        <v>0</v>
      </c>
      <c r="Y362">
        <v>0</v>
      </c>
      <c r="Z362">
        <v>-34</v>
      </c>
      <c r="AA362">
        <v>28</v>
      </c>
      <c r="AB362">
        <v>0</v>
      </c>
      <c r="AC362">
        <v>0</v>
      </c>
      <c r="AD362">
        <v>0</v>
      </c>
      <c r="AE362">
        <v>0</v>
      </c>
      <c r="AF362">
        <v>38</v>
      </c>
      <c r="AG362">
        <v>0</v>
      </c>
      <c r="AH362">
        <v>0</v>
      </c>
      <c r="AI362">
        <v>32</v>
      </c>
      <c r="AJ362">
        <v>0</v>
      </c>
      <c r="AK362">
        <v>0</v>
      </c>
      <c r="AL362">
        <v>0</v>
      </c>
      <c r="AM362">
        <v>0</v>
      </c>
      <c r="AN362">
        <v>0</v>
      </c>
      <c r="AO362">
        <v>0</v>
      </c>
      <c r="AP362">
        <v>0</v>
      </c>
      <c r="AQ362">
        <v>0</v>
      </c>
      <c r="AR362">
        <v>0</v>
      </c>
      <c r="AS362">
        <v>0</v>
      </c>
      <c r="AT362">
        <v>0</v>
      </c>
      <c r="AU362">
        <v>0</v>
      </c>
      <c r="AV362">
        <v>0</v>
      </c>
      <c r="AW362">
        <v>0</v>
      </c>
      <c r="AX362">
        <v>0</v>
      </c>
      <c r="AY362">
        <v>0</v>
      </c>
      <c r="AZ362">
        <v>0</v>
      </c>
      <c r="BA362">
        <v>0</v>
      </c>
      <c r="BB362">
        <v>0</v>
      </c>
      <c r="BC362">
        <v>0</v>
      </c>
      <c r="BD362">
        <v>0</v>
      </c>
      <c r="BE362">
        <v>0</v>
      </c>
      <c r="BF362">
        <v>63</v>
      </c>
      <c r="BG362">
        <v>0</v>
      </c>
      <c r="BH362">
        <v>0</v>
      </c>
      <c r="BI362">
        <v>0</v>
      </c>
      <c r="BJ362">
        <v>0</v>
      </c>
      <c r="BK362">
        <v>0</v>
      </c>
      <c r="BL362">
        <v>0</v>
      </c>
      <c r="BM362">
        <v>0</v>
      </c>
      <c r="BN362">
        <v>0</v>
      </c>
      <c r="BO362">
        <v>0</v>
      </c>
      <c r="BP362">
        <v>0</v>
      </c>
      <c r="BQ362">
        <v>0</v>
      </c>
      <c r="BR362">
        <v>0</v>
      </c>
      <c r="BS362">
        <v>9</v>
      </c>
      <c r="BT362">
        <v>2</v>
      </c>
      <c r="BU362">
        <v>0</v>
      </c>
      <c r="BV362">
        <v>0</v>
      </c>
      <c r="BW362">
        <v>74</v>
      </c>
      <c r="BX362">
        <v>0</v>
      </c>
      <c r="BY362">
        <v>0</v>
      </c>
      <c r="BZ362">
        <v>0</v>
      </c>
      <c r="CA362">
        <v>0</v>
      </c>
      <c r="CB362">
        <v>123</v>
      </c>
      <c r="CC362">
        <v>0</v>
      </c>
      <c r="CD362">
        <v>0</v>
      </c>
      <c r="CE362">
        <v>0</v>
      </c>
      <c r="CF362">
        <v>0</v>
      </c>
      <c r="CG362">
        <v>0</v>
      </c>
      <c r="CH362">
        <v>0</v>
      </c>
      <c r="CI362">
        <v>0</v>
      </c>
      <c r="CJ362">
        <v>0</v>
      </c>
      <c r="CK362">
        <v>0</v>
      </c>
      <c r="CL362">
        <v>0</v>
      </c>
      <c r="CM362">
        <v>0</v>
      </c>
      <c r="CN362">
        <v>0</v>
      </c>
      <c r="CO362">
        <v>0</v>
      </c>
      <c r="CP362">
        <v>0</v>
      </c>
      <c r="CQ362">
        <v>0</v>
      </c>
      <c r="CR362">
        <v>0</v>
      </c>
      <c r="CS362">
        <v>0</v>
      </c>
      <c r="CT362">
        <v>0</v>
      </c>
      <c r="CU362">
        <v>0</v>
      </c>
      <c r="CV362">
        <v>123</v>
      </c>
      <c r="CW362">
        <v>0</v>
      </c>
      <c r="CX362">
        <v>0</v>
      </c>
      <c r="CY362">
        <v>0</v>
      </c>
      <c r="CZ362">
        <v>0</v>
      </c>
      <c r="DA362">
        <v>0</v>
      </c>
      <c r="DB362">
        <v>0</v>
      </c>
      <c r="DC362">
        <v>0</v>
      </c>
      <c r="DD362">
        <v>0</v>
      </c>
      <c r="DE362">
        <v>534</v>
      </c>
      <c r="DF362">
        <v>158</v>
      </c>
      <c r="DG362">
        <v>0</v>
      </c>
      <c r="DH362">
        <v>0</v>
      </c>
      <c r="DI362">
        <v>0</v>
      </c>
      <c r="DJ362">
        <v>0</v>
      </c>
      <c r="DK362">
        <v>0</v>
      </c>
      <c r="DL362">
        <v>0</v>
      </c>
      <c r="DM362">
        <v>0</v>
      </c>
      <c r="DN362">
        <v>378</v>
      </c>
      <c r="DO362">
        <v>0</v>
      </c>
      <c r="DP362">
        <v>378</v>
      </c>
      <c r="DQ362">
        <v>-1</v>
      </c>
      <c r="DR362">
        <v>0</v>
      </c>
      <c r="DS362">
        <v>0</v>
      </c>
      <c r="DT362">
        <v>398</v>
      </c>
      <c r="DU362">
        <v>-142</v>
      </c>
      <c r="DV362">
        <v>0</v>
      </c>
      <c r="DW362">
        <v>0</v>
      </c>
      <c r="DX362">
        <v>1325</v>
      </c>
      <c r="DY362">
        <v>13710</v>
      </c>
      <c r="DZ362">
        <v>296</v>
      </c>
      <c r="EA362">
        <v>1521</v>
      </c>
      <c r="EB362">
        <v>55</v>
      </c>
      <c r="EC362">
        <v>0</v>
      </c>
      <c r="ED362">
        <v>0</v>
      </c>
      <c r="EE362">
        <v>26</v>
      </c>
      <c r="EF362">
        <v>0</v>
      </c>
      <c r="EG362">
        <v>0</v>
      </c>
      <c r="EH362">
        <v>2094</v>
      </c>
      <c r="EI362">
        <v>4329</v>
      </c>
      <c r="EJ362">
        <v>474</v>
      </c>
      <c r="EK362">
        <v>0</v>
      </c>
      <c r="EL362">
        <v>0</v>
      </c>
      <c r="EM362">
        <v>0</v>
      </c>
      <c r="EN362">
        <v>0</v>
      </c>
      <c r="EO362">
        <v>1632</v>
      </c>
      <c r="EP362">
        <v>6238</v>
      </c>
      <c r="EQ362">
        <v>0</v>
      </c>
      <c r="ER362">
        <v>0</v>
      </c>
      <c r="ES362">
        <v>4721</v>
      </c>
      <c r="ET362">
        <v>5562</v>
      </c>
      <c r="EU362">
        <v>0</v>
      </c>
      <c r="EV362">
        <v>0</v>
      </c>
      <c r="EW362">
        <v>0</v>
      </c>
      <c r="EX362">
        <v>0</v>
      </c>
      <c r="EY362">
        <v>0</v>
      </c>
      <c r="EZ362">
        <v>0</v>
      </c>
      <c r="FA362">
        <v>0</v>
      </c>
      <c r="FB362">
        <v>179</v>
      </c>
      <c r="FC362">
        <v>701</v>
      </c>
      <c r="FD362">
        <v>23</v>
      </c>
      <c r="FE362">
        <v>0</v>
      </c>
      <c r="FF362">
        <v>0</v>
      </c>
      <c r="FG362">
        <v>0</v>
      </c>
      <c r="FH362">
        <v>903</v>
      </c>
      <c r="FI362">
        <v>-19</v>
      </c>
      <c r="FJ362">
        <v>0</v>
      </c>
      <c r="FK362">
        <v>0</v>
      </c>
      <c r="FL362">
        <v>74</v>
      </c>
      <c r="FM362">
        <v>123</v>
      </c>
      <c r="FN362">
        <v>0</v>
      </c>
      <c r="FO362">
        <v>21</v>
      </c>
      <c r="FP362">
        <v>0</v>
      </c>
      <c r="FQ362">
        <v>0</v>
      </c>
      <c r="FR362">
        <v>12</v>
      </c>
      <c r="FS362">
        <v>86</v>
      </c>
      <c r="FT362">
        <v>75</v>
      </c>
      <c r="FU362">
        <v>-67</v>
      </c>
      <c r="FV362">
        <v>123</v>
      </c>
      <c r="FW362">
        <v>0</v>
      </c>
      <c r="FX362">
        <v>0</v>
      </c>
      <c r="FY362">
        <v>0</v>
      </c>
      <c r="FZ362">
        <v>12</v>
      </c>
      <c r="GA362">
        <v>0</v>
      </c>
      <c r="GB362">
        <v>0</v>
      </c>
      <c r="GC362">
        <v>0</v>
      </c>
      <c r="GD362">
        <v>695</v>
      </c>
      <c r="GE362">
        <v>2194</v>
      </c>
      <c r="GF362">
        <v>0</v>
      </c>
      <c r="GG362">
        <v>0</v>
      </c>
      <c r="GH362">
        <v>0</v>
      </c>
      <c r="GI362">
        <v>0</v>
      </c>
      <c r="GJ362">
        <v>0</v>
      </c>
      <c r="GK362">
        <v>3329</v>
      </c>
      <c r="GL362">
        <v>-11</v>
      </c>
      <c r="GM362">
        <v>1073</v>
      </c>
      <c r="GN362">
        <v>0</v>
      </c>
      <c r="GO362">
        <v>1150</v>
      </c>
      <c r="GP362">
        <v>0</v>
      </c>
      <c r="GQ362">
        <v>-118</v>
      </c>
      <c r="GR362">
        <v>0</v>
      </c>
      <c r="GS362">
        <v>0</v>
      </c>
      <c r="GT362">
        <v>0</v>
      </c>
      <c r="GU362">
        <v>2094</v>
      </c>
      <c r="GV362">
        <v>6326</v>
      </c>
      <c r="GW362">
        <v>0</v>
      </c>
      <c r="GX362">
        <v>0</v>
      </c>
      <c r="GY362">
        <v>0</v>
      </c>
      <c r="GZ362">
        <v>0</v>
      </c>
      <c r="HA362">
        <v>0</v>
      </c>
      <c r="HB362">
        <v>2062</v>
      </c>
      <c r="HC362">
        <v>89</v>
      </c>
      <c r="HD362">
        <v>0</v>
      </c>
      <c r="HE362">
        <v>189</v>
      </c>
      <c r="HF362">
        <v>16</v>
      </c>
      <c r="HG362">
        <v>480</v>
      </c>
      <c r="HH362">
        <v>0</v>
      </c>
      <c r="HI362">
        <v>0</v>
      </c>
      <c r="HJ362">
        <v>28</v>
      </c>
      <c r="HK362">
        <v>85</v>
      </c>
      <c r="HL362">
        <v>96</v>
      </c>
      <c r="HM362">
        <v>17</v>
      </c>
      <c r="HN362">
        <v>0</v>
      </c>
      <c r="HO362">
        <v>0</v>
      </c>
      <c r="HP362">
        <v>0</v>
      </c>
      <c r="HQ362">
        <v>0</v>
      </c>
      <c r="HR362">
        <v>1252</v>
      </c>
      <c r="HS362">
        <v>0</v>
      </c>
      <c r="HT362">
        <v>0</v>
      </c>
      <c r="HU362">
        <v>47</v>
      </c>
      <c r="HV362">
        <v>4361</v>
      </c>
      <c r="HW362">
        <v>0</v>
      </c>
      <c r="HX362">
        <v>0</v>
      </c>
      <c r="HY362">
        <v>0</v>
      </c>
      <c r="HZ362">
        <v>0</v>
      </c>
      <c r="IA362">
        <v>0</v>
      </c>
      <c r="IB362">
        <v>0</v>
      </c>
      <c r="IC362">
        <v>0</v>
      </c>
      <c r="ID362">
        <v>32</v>
      </c>
      <c r="IE362">
        <v>0</v>
      </c>
      <c r="IF362">
        <v>74</v>
      </c>
      <c r="IG362">
        <v>123</v>
      </c>
      <c r="IH362">
        <v>1325</v>
      </c>
      <c r="II362">
        <v>903</v>
      </c>
      <c r="IJ362">
        <v>3329</v>
      </c>
      <c r="IK362">
        <v>2094</v>
      </c>
      <c r="IL362">
        <v>0</v>
      </c>
      <c r="IM362">
        <v>0</v>
      </c>
      <c r="IN362">
        <v>4361</v>
      </c>
      <c r="IO362">
        <v>0</v>
      </c>
      <c r="IP362">
        <v>12241</v>
      </c>
      <c r="IQ362">
        <v>9578</v>
      </c>
      <c r="IR362">
        <v>0</v>
      </c>
      <c r="IS362">
        <v>4920</v>
      </c>
      <c r="IT362">
        <v>0</v>
      </c>
      <c r="IU362">
        <v>0</v>
      </c>
      <c r="IV362">
        <v>1033</v>
      </c>
      <c r="IW362">
        <v>0</v>
      </c>
      <c r="IX362">
        <v>0</v>
      </c>
      <c r="IY362">
        <v>0</v>
      </c>
      <c r="IZ362">
        <v>0</v>
      </c>
      <c r="JA362">
        <v>1</v>
      </c>
      <c r="JB362">
        <v>4027</v>
      </c>
      <c r="JC362">
        <v>0</v>
      </c>
      <c r="JD362">
        <v>0</v>
      </c>
      <c r="JE362">
        <v>0</v>
      </c>
      <c r="JF362">
        <v>11</v>
      </c>
      <c r="JG362">
        <v>31811</v>
      </c>
      <c r="JH362">
        <v>0</v>
      </c>
      <c r="JI362">
        <v>0</v>
      </c>
      <c r="JJ362">
        <v>0</v>
      </c>
      <c r="JK362">
        <v>0</v>
      </c>
      <c r="JL362">
        <v>0</v>
      </c>
      <c r="JM362">
        <v>0</v>
      </c>
      <c r="JN362">
        <v>845</v>
      </c>
      <c r="JO362">
        <v>0</v>
      </c>
      <c r="JP362">
        <v>2745</v>
      </c>
      <c r="JQ362">
        <v>0</v>
      </c>
      <c r="JR362">
        <v>35401</v>
      </c>
      <c r="JS362">
        <v>-1928</v>
      </c>
      <c r="JT362">
        <v>0</v>
      </c>
      <c r="JU362">
        <v>0</v>
      </c>
      <c r="JV362">
        <v>0</v>
      </c>
      <c r="JW362">
        <v>-14303</v>
      </c>
      <c r="JX362">
        <v>0</v>
      </c>
      <c r="JY362">
        <v>-566</v>
      </c>
      <c r="JZ362">
        <v>0</v>
      </c>
      <c r="KA362">
        <v>0</v>
      </c>
      <c r="KB362">
        <v>0</v>
      </c>
      <c r="KC362">
        <v>18604</v>
      </c>
      <c r="KD362">
        <v>0</v>
      </c>
      <c r="KE362">
        <v>-1362</v>
      </c>
      <c r="KF362">
        <v>17242</v>
      </c>
      <c r="KG362">
        <v>0</v>
      </c>
      <c r="KH362">
        <v>0</v>
      </c>
      <c r="KI362">
        <v>0</v>
      </c>
      <c r="KJ362">
        <v>0</v>
      </c>
      <c r="KK362">
        <v>-1326</v>
      </c>
      <c r="KL362">
        <v>16</v>
      </c>
      <c r="KM362">
        <v>0</v>
      </c>
      <c r="KN362">
        <v>0</v>
      </c>
      <c r="KO362">
        <v>-1459</v>
      </c>
      <c r="KP362">
        <v>32</v>
      </c>
      <c r="KQ362">
        <v>0</v>
      </c>
      <c r="KR362">
        <v>9723</v>
      </c>
      <c r="KS362">
        <v>0</v>
      </c>
      <c r="KT362">
        <v>0</v>
      </c>
      <c r="KU362">
        <v>0</v>
      </c>
      <c r="KV362">
        <v>8800</v>
      </c>
      <c r="KW362">
        <v>2242</v>
      </c>
      <c r="KX362">
        <v>0</v>
      </c>
      <c r="KY362">
        <v>0</v>
      </c>
      <c r="KZ362">
        <v>0</v>
      </c>
      <c r="LA362">
        <v>7474</v>
      </c>
      <c r="LB362">
        <v>2258</v>
      </c>
      <c r="LC362">
        <v>0</v>
      </c>
      <c r="LD362">
        <v>0</v>
      </c>
      <c r="LE362">
        <v>0</v>
      </c>
      <c r="LF362">
        <v>0</v>
      </c>
      <c r="LG362">
        <v>0</v>
      </c>
      <c r="LH362">
        <v>0</v>
      </c>
      <c r="LI362">
        <v>0</v>
      </c>
      <c r="LJ362">
        <v>1833</v>
      </c>
      <c r="LK362">
        <v>3258</v>
      </c>
      <c r="LL362">
        <v>5091</v>
      </c>
      <c r="LM362">
        <v>0</v>
      </c>
      <c r="LN362">
        <v>0</v>
      </c>
      <c r="LO362">
        <v>0</v>
      </c>
      <c r="LP362">
        <v>15608</v>
      </c>
      <c r="LQ362">
        <v>14767</v>
      </c>
      <c r="LR362">
        <v>841</v>
      </c>
      <c r="LS362">
        <v>4721</v>
      </c>
      <c r="LT362">
        <v>5562</v>
      </c>
      <c r="LU362">
        <v>0</v>
      </c>
      <c r="LV362">
        <v>32</v>
      </c>
      <c r="LW362">
        <v>0</v>
      </c>
      <c r="LX362">
        <v>74</v>
      </c>
      <c r="LY362">
        <v>123</v>
      </c>
      <c r="LZ362">
        <v>1325</v>
      </c>
      <c r="MA362">
        <v>903</v>
      </c>
      <c r="MB362">
        <v>3329</v>
      </c>
      <c r="MC362">
        <v>2094</v>
      </c>
      <c r="MD362">
        <v>0</v>
      </c>
      <c r="ME362">
        <v>0</v>
      </c>
      <c r="MF362">
        <v>4361</v>
      </c>
      <c r="MG362">
        <v>0</v>
      </c>
      <c r="MH362">
        <v>12241</v>
      </c>
      <c r="MI362">
        <v>0</v>
      </c>
      <c r="MJ362">
        <v>0</v>
      </c>
      <c r="MK362">
        <v>0</v>
      </c>
      <c r="ML362">
        <v>0</v>
      </c>
      <c r="MM362">
        <v>0</v>
      </c>
      <c r="MN362">
        <v>0</v>
      </c>
      <c r="MO362">
        <v>0</v>
      </c>
      <c r="MP362">
        <v>0</v>
      </c>
      <c r="MQ362">
        <v>0</v>
      </c>
      <c r="MR362">
        <v>0</v>
      </c>
      <c r="MS362">
        <v>0</v>
      </c>
      <c r="MT362">
        <v>0</v>
      </c>
      <c r="MU362">
        <v>0</v>
      </c>
      <c r="MV362">
        <v>0</v>
      </c>
      <c r="MW362">
        <v>0</v>
      </c>
      <c r="MX362">
        <v>0</v>
      </c>
      <c r="MY362">
        <v>0</v>
      </c>
      <c r="MZ362">
        <v>0</v>
      </c>
      <c r="NA362">
        <v>1</v>
      </c>
      <c r="NB362">
        <v>0</v>
      </c>
      <c r="NC362">
        <v>1</v>
      </c>
      <c r="ND362">
        <v>0</v>
      </c>
      <c r="NE362">
        <v>0</v>
      </c>
      <c r="NF362">
        <v>0</v>
      </c>
      <c r="NG362">
        <v>0</v>
      </c>
      <c r="NH362">
        <v>0</v>
      </c>
      <c r="NI362">
        <v>0</v>
      </c>
      <c r="NJ362">
        <v>0</v>
      </c>
      <c r="NK362">
        <v>0</v>
      </c>
      <c r="NL362">
        <v>0</v>
      </c>
      <c r="NM362">
        <v>0</v>
      </c>
      <c r="NN362">
        <v>0</v>
      </c>
      <c r="NO362">
        <v>-111</v>
      </c>
      <c r="NP362">
        <v>0</v>
      </c>
      <c r="NQ362">
        <v>0</v>
      </c>
      <c r="NR362">
        <v>0</v>
      </c>
      <c r="NS362">
        <v>0</v>
      </c>
      <c r="NT362">
        <v>0</v>
      </c>
      <c r="NU362">
        <v>989</v>
      </c>
      <c r="NV362">
        <v>1404</v>
      </c>
      <c r="NW362">
        <v>873</v>
      </c>
      <c r="NX362">
        <v>505</v>
      </c>
      <c r="NY362">
        <v>367</v>
      </c>
      <c r="NZ362">
        <v>4027</v>
      </c>
      <c r="OA362">
        <v>0</v>
      </c>
      <c r="OB362">
        <v>4027</v>
      </c>
      <c r="OC362">
        <v>0</v>
      </c>
      <c r="OD362">
        <v>0</v>
      </c>
      <c r="OE362">
        <v>0</v>
      </c>
      <c r="OF362">
        <v>0</v>
      </c>
      <c r="OG362">
        <v>0</v>
      </c>
      <c r="OH362">
        <v>0</v>
      </c>
      <c r="OI362">
        <v>0</v>
      </c>
      <c r="OJ362">
        <v>0</v>
      </c>
      <c r="OK362">
        <v>0</v>
      </c>
      <c r="OL362">
        <v>0</v>
      </c>
      <c r="OM362">
        <v>0</v>
      </c>
      <c r="ON362">
        <v>0</v>
      </c>
    </row>
    <row r="363" spans="1:404" x14ac:dyDescent="0.25">
      <c r="A363" t="s">
        <v>1160</v>
      </c>
      <c r="B363" t="s">
        <v>1161</v>
      </c>
      <c r="C363" t="s">
        <v>1159</v>
      </c>
      <c r="E363" t="s">
        <v>1390</v>
      </c>
      <c r="F363">
        <v>0</v>
      </c>
      <c r="G363">
        <v>0</v>
      </c>
      <c r="H363">
        <v>0</v>
      </c>
      <c r="I363">
        <v>0</v>
      </c>
      <c r="J363">
        <v>0</v>
      </c>
      <c r="K363">
        <v>34235</v>
      </c>
      <c r="L363">
        <v>34235</v>
      </c>
      <c r="M363">
        <v>0</v>
      </c>
      <c r="N363">
        <v>3468</v>
      </c>
      <c r="O363">
        <v>0</v>
      </c>
      <c r="P363">
        <v>0</v>
      </c>
      <c r="Q363">
        <v>0</v>
      </c>
      <c r="R363">
        <v>0</v>
      </c>
      <c r="S363">
        <v>0</v>
      </c>
      <c r="T363">
        <v>0</v>
      </c>
      <c r="U363">
        <v>0</v>
      </c>
      <c r="V363">
        <v>0</v>
      </c>
      <c r="W363">
        <v>0</v>
      </c>
      <c r="X363">
        <v>0</v>
      </c>
      <c r="Y363">
        <v>0</v>
      </c>
      <c r="Z363">
        <v>0</v>
      </c>
      <c r="AA363">
        <v>4769</v>
      </c>
      <c r="AB363">
        <v>0</v>
      </c>
      <c r="AC363">
        <v>0</v>
      </c>
      <c r="AD363">
        <v>0</v>
      </c>
      <c r="AE363">
        <v>0</v>
      </c>
      <c r="AF363">
        <v>0</v>
      </c>
      <c r="AG363">
        <v>0</v>
      </c>
      <c r="AH363">
        <v>0</v>
      </c>
      <c r="AI363">
        <v>8237</v>
      </c>
      <c r="AJ363">
        <v>0</v>
      </c>
      <c r="AK363">
        <v>0</v>
      </c>
      <c r="AL363">
        <v>0</v>
      </c>
      <c r="AM363">
        <v>0</v>
      </c>
      <c r="AN363">
        <v>0</v>
      </c>
      <c r="AO363">
        <v>0</v>
      </c>
      <c r="AP363">
        <v>0</v>
      </c>
      <c r="AQ363">
        <v>0</v>
      </c>
      <c r="AR363">
        <v>0</v>
      </c>
      <c r="AS363">
        <v>0</v>
      </c>
      <c r="AT363">
        <v>0</v>
      </c>
      <c r="AU363">
        <v>0</v>
      </c>
      <c r="AV363">
        <v>0</v>
      </c>
      <c r="AW363">
        <v>0</v>
      </c>
      <c r="AX363">
        <v>0</v>
      </c>
      <c r="AY363">
        <v>0</v>
      </c>
      <c r="AZ363">
        <v>0</v>
      </c>
      <c r="BA363">
        <v>0</v>
      </c>
      <c r="BB363">
        <v>0</v>
      </c>
      <c r="BC363">
        <v>0</v>
      </c>
      <c r="BD363">
        <v>0</v>
      </c>
      <c r="BE363">
        <v>0</v>
      </c>
      <c r="BF363">
        <v>0</v>
      </c>
      <c r="BG363">
        <v>0</v>
      </c>
      <c r="BH363">
        <v>0</v>
      </c>
      <c r="BI363">
        <v>0</v>
      </c>
      <c r="BJ363">
        <v>0</v>
      </c>
      <c r="BK363">
        <v>0</v>
      </c>
      <c r="BL363">
        <v>0</v>
      </c>
      <c r="BM363">
        <v>0</v>
      </c>
      <c r="BN363">
        <v>0</v>
      </c>
      <c r="BO363">
        <v>0</v>
      </c>
      <c r="BP363">
        <v>0</v>
      </c>
      <c r="BQ363">
        <v>0</v>
      </c>
      <c r="BR363">
        <v>0</v>
      </c>
      <c r="BS363">
        <v>0</v>
      </c>
      <c r="BT363">
        <v>0</v>
      </c>
      <c r="BU363">
        <v>0</v>
      </c>
      <c r="BV363">
        <v>0</v>
      </c>
      <c r="BW363">
        <v>0</v>
      </c>
      <c r="BX363">
        <v>0</v>
      </c>
      <c r="BY363">
        <v>0</v>
      </c>
      <c r="BZ363">
        <v>0</v>
      </c>
      <c r="CA363">
        <v>0</v>
      </c>
      <c r="CB363">
        <v>0</v>
      </c>
      <c r="CC363">
        <v>0</v>
      </c>
      <c r="CD363">
        <v>0</v>
      </c>
      <c r="CE363">
        <v>0</v>
      </c>
      <c r="CF363">
        <v>0</v>
      </c>
      <c r="CG363">
        <v>0</v>
      </c>
      <c r="CH363">
        <v>0</v>
      </c>
      <c r="CI363">
        <v>0</v>
      </c>
      <c r="CJ363">
        <v>0</v>
      </c>
      <c r="CK363">
        <v>0</v>
      </c>
      <c r="CL363">
        <v>0</v>
      </c>
      <c r="CM363">
        <v>0</v>
      </c>
      <c r="CN363">
        <v>0</v>
      </c>
      <c r="CO363">
        <v>0</v>
      </c>
      <c r="CP363">
        <v>0</v>
      </c>
      <c r="CQ363">
        <v>0</v>
      </c>
      <c r="CR363">
        <v>0</v>
      </c>
      <c r="CS363">
        <v>0</v>
      </c>
      <c r="CT363">
        <v>0</v>
      </c>
      <c r="CU363">
        <v>0</v>
      </c>
      <c r="CV363">
        <v>0</v>
      </c>
      <c r="CW363">
        <v>0</v>
      </c>
      <c r="CX363">
        <v>0</v>
      </c>
      <c r="CY363">
        <v>0</v>
      </c>
      <c r="CZ363">
        <v>0</v>
      </c>
      <c r="DA363">
        <v>0</v>
      </c>
      <c r="DB363">
        <v>0</v>
      </c>
      <c r="DC363">
        <v>0</v>
      </c>
      <c r="DD363">
        <v>0</v>
      </c>
      <c r="DE363">
        <v>0</v>
      </c>
      <c r="DF363">
        <v>0</v>
      </c>
      <c r="DG363">
        <v>0</v>
      </c>
      <c r="DH363">
        <v>0</v>
      </c>
      <c r="DI363">
        <v>0</v>
      </c>
      <c r="DJ363">
        <v>0</v>
      </c>
      <c r="DK363">
        <v>0</v>
      </c>
      <c r="DL363">
        <v>0</v>
      </c>
      <c r="DM363">
        <v>0</v>
      </c>
      <c r="DN363">
        <v>0</v>
      </c>
      <c r="DO363">
        <v>0</v>
      </c>
      <c r="DP363">
        <v>0</v>
      </c>
      <c r="DQ363">
        <v>0</v>
      </c>
      <c r="DR363">
        <v>0</v>
      </c>
      <c r="DS363">
        <v>0</v>
      </c>
      <c r="DT363">
        <v>0</v>
      </c>
      <c r="DU363">
        <v>0</v>
      </c>
      <c r="DV363">
        <v>0</v>
      </c>
      <c r="DW363">
        <v>0</v>
      </c>
      <c r="DX363">
        <v>0</v>
      </c>
      <c r="DY363">
        <v>0</v>
      </c>
      <c r="DZ363">
        <v>0</v>
      </c>
      <c r="EA363">
        <v>0</v>
      </c>
      <c r="EB363">
        <v>0</v>
      </c>
      <c r="EC363">
        <v>0</v>
      </c>
      <c r="ED363">
        <v>0</v>
      </c>
      <c r="EE363">
        <v>0</v>
      </c>
      <c r="EF363">
        <v>0</v>
      </c>
      <c r="EG363">
        <v>0</v>
      </c>
      <c r="EH363">
        <v>0</v>
      </c>
      <c r="EI363">
        <v>0</v>
      </c>
      <c r="EJ363">
        <v>0</v>
      </c>
      <c r="EK363">
        <v>0</v>
      </c>
      <c r="EL363">
        <v>0</v>
      </c>
      <c r="EM363">
        <v>0</v>
      </c>
      <c r="EN363">
        <v>0</v>
      </c>
      <c r="EO363">
        <v>0</v>
      </c>
      <c r="EP363">
        <v>0</v>
      </c>
      <c r="EQ363">
        <v>0</v>
      </c>
      <c r="ER363">
        <v>0</v>
      </c>
      <c r="ES363">
        <v>0</v>
      </c>
      <c r="ET363">
        <v>0</v>
      </c>
      <c r="EU363">
        <v>0</v>
      </c>
      <c r="EV363">
        <v>0</v>
      </c>
      <c r="EW363">
        <v>0</v>
      </c>
      <c r="EX363">
        <v>0</v>
      </c>
      <c r="EY363">
        <v>0</v>
      </c>
      <c r="EZ363">
        <v>0</v>
      </c>
      <c r="FA363">
        <v>0</v>
      </c>
      <c r="FB363">
        <v>0</v>
      </c>
      <c r="FC363">
        <v>0</v>
      </c>
      <c r="FD363">
        <v>0</v>
      </c>
      <c r="FE363">
        <v>0</v>
      </c>
      <c r="FF363">
        <v>1154</v>
      </c>
      <c r="FG363">
        <v>0</v>
      </c>
      <c r="FH363">
        <v>1154</v>
      </c>
      <c r="FI363">
        <v>0</v>
      </c>
      <c r="FJ363">
        <v>0</v>
      </c>
      <c r="FK363">
        <v>0</v>
      </c>
      <c r="FL363">
        <v>0</v>
      </c>
      <c r="FM363">
        <v>0</v>
      </c>
      <c r="FN363">
        <v>0</v>
      </c>
      <c r="FO363">
        <v>0</v>
      </c>
      <c r="FP363">
        <v>0</v>
      </c>
      <c r="FQ363">
        <v>0</v>
      </c>
      <c r="FR363">
        <v>0</v>
      </c>
      <c r="FS363">
        <v>0</v>
      </c>
      <c r="FT363">
        <v>0</v>
      </c>
      <c r="FU363">
        <v>0</v>
      </c>
      <c r="FV363">
        <v>0</v>
      </c>
      <c r="FW363">
        <v>0</v>
      </c>
      <c r="FX363">
        <v>0</v>
      </c>
      <c r="FY363">
        <v>0</v>
      </c>
      <c r="FZ363">
        <v>0</v>
      </c>
      <c r="GA363">
        <v>0</v>
      </c>
      <c r="GB363">
        <v>0</v>
      </c>
      <c r="GC363">
        <v>0</v>
      </c>
      <c r="GD363">
        <v>0</v>
      </c>
      <c r="GE363">
        <v>0</v>
      </c>
      <c r="GF363">
        <v>0</v>
      </c>
      <c r="GG363">
        <v>0</v>
      </c>
      <c r="GH363">
        <v>0</v>
      </c>
      <c r="GI363">
        <v>0</v>
      </c>
      <c r="GJ363">
        <v>0</v>
      </c>
      <c r="GK363">
        <v>0</v>
      </c>
      <c r="GL363">
        <v>0</v>
      </c>
      <c r="GM363">
        <v>0</v>
      </c>
      <c r="GN363">
        <v>0</v>
      </c>
      <c r="GO363">
        <v>0</v>
      </c>
      <c r="GP363">
        <v>2524</v>
      </c>
      <c r="GQ363">
        <v>36714</v>
      </c>
      <c r="GR363">
        <v>0</v>
      </c>
      <c r="GS363">
        <v>7776</v>
      </c>
      <c r="GT363">
        <v>0</v>
      </c>
      <c r="GU363">
        <v>47014</v>
      </c>
      <c r="GV363">
        <v>48168</v>
      </c>
      <c r="GW363">
        <v>0</v>
      </c>
      <c r="GX363">
        <v>0</v>
      </c>
      <c r="GY363">
        <v>0</v>
      </c>
      <c r="GZ363">
        <v>0</v>
      </c>
      <c r="HA363">
        <v>0</v>
      </c>
      <c r="HB363">
        <v>969</v>
      </c>
      <c r="HC363">
        <v>0</v>
      </c>
      <c r="HD363">
        <v>0</v>
      </c>
      <c r="HE363">
        <v>0</v>
      </c>
      <c r="HF363">
        <v>0</v>
      </c>
      <c r="HG363">
        <v>0</v>
      </c>
      <c r="HH363">
        <v>0</v>
      </c>
      <c r="HI363">
        <v>0</v>
      </c>
      <c r="HJ363">
        <v>0</v>
      </c>
      <c r="HK363">
        <v>865</v>
      </c>
      <c r="HL363">
        <v>0</v>
      </c>
      <c r="HM363">
        <v>0</v>
      </c>
      <c r="HN363">
        <v>0</v>
      </c>
      <c r="HO363">
        <v>0</v>
      </c>
      <c r="HP363">
        <v>0</v>
      </c>
      <c r="HQ363">
        <v>0</v>
      </c>
      <c r="HR363">
        <v>0</v>
      </c>
      <c r="HS363">
        <v>0</v>
      </c>
      <c r="HT363">
        <v>0</v>
      </c>
      <c r="HU363">
        <v>0</v>
      </c>
      <c r="HV363">
        <v>1834</v>
      </c>
      <c r="HW363">
        <v>0</v>
      </c>
      <c r="HX363">
        <v>0</v>
      </c>
      <c r="HY363">
        <v>0</v>
      </c>
      <c r="HZ363">
        <v>0</v>
      </c>
      <c r="IA363">
        <v>0</v>
      </c>
      <c r="IB363">
        <v>0</v>
      </c>
      <c r="IC363">
        <v>34235</v>
      </c>
      <c r="ID363">
        <v>8237</v>
      </c>
      <c r="IE363">
        <v>0</v>
      </c>
      <c r="IF363">
        <v>0</v>
      </c>
      <c r="IG363">
        <v>0</v>
      </c>
      <c r="IH363">
        <v>0</v>
      </c>
      <c r="II363">
        <v>1154</v>
      </c>
      <c r="IJ363">
        <v>0</v>
      </c>
      <c r="IK363">
        <v>47014</v>
      </c>
      <c r="IL363">
        <v>0</v>
      </c>
      <c r="IM363">
        <v>0</v>
      </c>
      <c r="IN363">
        <v>1834</v>
      </c>
      <c r="IO363">
        <v>0</v>
      </c>
      <c r="IP363">
        <v>92474</v>
      </c>
      <c r="IQ363">
        <v>0</v>
      </c>
      <c r="IR363">
        <v>0</v>
      </c>
      <c r="IS363">
        <v>0</v>
      </c>
      <c r="IT363">
        <v>0</v>
      </c>
      <c r="IU363">
        <v>0</v>
      </c>
      <c r="IV363">
        <v>0</v>
      </c>
      <c r="IW363">
        <v>0</v>
      </c>
      <c r="IX363">
        <v>0</v>
      </c>
      <c r="IY363">
        <v>0</v>
      </c>
      <c r="IZ363">
        <v>0</v>
      </c>
      <c r="JA363">
        <v>0</v>
      </c>
      <c r="JB363">
        <v>0</v>
      </c>
      <c r="JC363">
        <v>0</v>
      </c>
      <c r="JD363">
        <v>0</v>
      </c>
      <c r="JE363">
        <v>0</v>
      </c>
      <c r="JF363">
        <v>0</v>
      </c>
      <c r="JG363">
        <v>92474</v>
      </c>
      <c r="JH363">
        <v>0</v>
      </c>
      <c r="JI363">
        <v>0</v>
      </c>
      <c r="JJ363">
        <v>0</v>
      </c>
      <c r="JK363">
        <v>0</v>
      </c>
      <c r="JL363">
        <v>0</v>
      </c>
      <c r="JM363">
        <v>0</v>
      </c>
      <c r="JN363">
        <v>0</v>
      </c>
      <c r="JO363">
        <v>0</v>
      </c>
      <c r="JP363">
        <v>772</v>
      </c>
      <c r="JQ363">
        <v>0</v>
      </c>
      <c r="JR363">
        <v>93246</v>
      </c>
      <c r="JS363">
        <v>-5535</v>
      </c>
      <c r="JT363">
        <v>0</v>
      </c>
      <c r="JU363">
        <v>0</v>
      </c>
      <c r="JV363">
        <v>0</v>
      </c>
      <c r="JW363">
        <v>-90687</v>
      </c>
      <c r="JX363">
        <v>0</v>
      </c>
      <c r="JY363">
        <v>0</v>
      </c>
      <c r="JZ363">
        <v>0</v>
      </c>
      <c r="KA363">
        <v>0</v>
      </c>
      <c r="KB363">
        <v>0</v>
      </c>
      <c r="KC363">
        <v>-2976</v>
      </c>
      <c r="KD363">
        <v>0</v>
      </c>
      <c r="KE363">
        <v>-450</v>
      </c>
      <c r="KF363">
        <v>-3426</v>
      </c>
      <c r="KG363">
        <v>0</v>
      </c>
      <c r="KH363">
        <v>0</v>
      </c>
      <c r="KI363">
        <v>0</v>
      </c>
      <c r="KJ363">
        <v>0</v>
      </c>
      <c r="KK363">
        <v>3426</v>
      </c>
      <c r="KL363">
        <v>0</v>
      </c>
      <c r="KM363">
        <v>0</v>
      </c>
      <c r="KN363">
        <v>0</v>
      </c>
      <c r="KO363">
        <v>0</v>
      </c>
      <c r="KP363">
        <v>0</v>
      </c>
      <c r="KQ363">
        <v>0</v>
      </c>
      <c r="KR363">
        <v>0</v>
      </c>
      <c r="KS363">
        <v>0</v>
      </c>
      <c r="KT363">
        <v>0</v>
      </c>
      <c r="KU363">
        <v>0</v>
      </c>
      <c r="KV363">
        <v>58641</v>
      </c>
      <c r="KW363">
        <v>1038</v>
      </c>
      <c r="KX363">
        <v>0</v>
      </c>
      <c r="KY363">
        <v>0</v>
      </c>
      <c r="KZ363">
        <v>0</v>
      </c>
      <c r="LA363">
        <v>62067</v>
      </c>
      <c r="LB363">
        <v>1038</v>
      </c>
      <c r="LC363">
        <v>0</v>
      </c>
      <c r="LD363">
        <v>0</v>
      </c>
      <c r="LE363">
        <v>0</v>
      </c>
      <c r="LF363">
        <v>0</v>
      </c>
      <c r="LG363">
        <v>-110684</v>
      </c>
      <c r="LH363">
        <v>124898</v>
      </c>
      <c r="LI363">
        <v>14214</v>
      </c>
      <c r="LJ363">
        <v>0</v>
      </c>
      <c r="LK363">
        <v>0</v>
      </c>
      <c r="LL363">
        <v>0</v>
      </c>
      <c r="LM363">
        <v>0</v>
      </c>
      <c r="LN363">
        <v>0</v>
      </c>
      <c r="LO363">
        <v>0</v>
      </c>
      <c r="LP363">
        <v>0</v>
      </c>
      <c r="LQ363">
        <v>0</v>
      </c>
      <c r="LR363">
        <v>0</v>
      </c>
      <c r="LS363">
        <v>0</v>
      </c>
      <c r="LT363">
        <v>0</v>
      </c>
      <c r="LU363">
        <v>34235</v>
      </c>
      <c r="LV363">
        <v>8237</v>
      </c>
      <c r="LW363">
        <v>0</v>
      </c>
      <c r="LX363">
        <v>0</v>
      </c>
      <c r="LY363">
        <v>0</v>
      </c>
      <c r="LZ363">
        <v>0</v>
      </c>
      <c r="MA363">
        <v>1154</v>
      </c>
      <c r="MB363">
        <v>0</v>
      </c>
      <c r="MC363">
        <v>47014</v>
      </c>
      <c r="MD363">
        <v>0</v>
      </c>
      <c r="ME363">
        <v>0</v>
      </c>
      <c r="MF363">
        <v>1834</v>
      </c>
      <c r="MG363">
        <v>0</v>
      </c>
      <c r="MH363">
        <v>92474</v>
      </c>
      <c r="MI363">
        <v>0</v>
      </c>
      <c r="MJ363">
        <v>0</v>
      </c>
      <c r="MK363">
        <v>0</v>
      </c>
      <c r="ML363">
        <v>0</v>
      </c>
      <c r="MM363">
        <v>0</v>
      </c>
      <c r="MN363">
        <v>0</v>
      </c>
      <c r="MO363">
        <v>0</v>
      </c>
      <c r="MP363">
        <v>0</v>
      </c>
      <c r="MQ363">
        <v>0</v>
      </c>
      <c r="MR363">
        <v>0</v>
      </c>
      <c r="MS363">
        <v>0</v>
      </c>
      <c r="MT363">
        <v>0</v>
      </c>
      <c r="MU363">
        <v>0</v>
      </c>
      <c r="MV363">
        <v>0</v>
      </c>
      <c r="MW363">
        <v>0</v>
      </c>
      <c r="MX363">
        <v>0</v>
      </c>
      <c r="MY363">
        <v>0</v>
      </c>
      <c r="MZ363">
        <v>0</v>
      </c>
      <c r="NA363">
        <v>0</v>
      </c>
      <c r="NB363">
        <v>0</v>
      </c>
      <c r="NC363">
        <v>0</v>
      </c>
      <c r="ND363">
        <v>0</v>
      </c>
      <c r="NE363">
        <v>0</v>
      </c>
      <c r="NF363">
        <v>0</v>
      </c>
      <c r="NG363">
        <v>0</v>
      </c>
      <c r="NH363">
        <v>0</v>
      </c>
      <c r="NI363">
        <v>0</v>
      </c>
      <c r="NJ363">
        <v>0</v>
      </c>
      <c r="NK363">
        <v>0</v>
      </c>
      <c r="NL363">
        <v>0</v>
      </c>
      <c r="NM363">
        <v>0</v>
      </c>
      <c r="NN363">
        <v>0</v>
      </c>
      <c r="NO363">
        <v>0</v>
      </c>
      <c r="NP363">
        <v>0</v>
      </c>
      <c r="NQ363">
        <v>0</v>
      </c>
      <c r="NR363">
        <v>0</v>
      </c>
      <c r="NS363">
        <v>0</v>
      </c>
      <c r="NT363">
        <v>0</v>
      </c>
      <c r="NU363">
        <v>0</v>
      </c>
      <c r="NV363">
        <v>0</v>
      </c>
      <c r="NW363">
        <v>0</v>
      </c>
      <c r="NX363">
        <v>0</v>
      </c>
      <c r="NY363">
        <v>0</v>
      </c>
      <c r="NZ363">
        <v>0</v>
      </c>
      <c r="OA363">
        <v>0</v>
      </c>
      <c r="OB363">
        <v>0</v>
      </c>
      <c r="OC363">
        <v>0</v>
      </c>
      <c r="OD363">
        <v>0</v>
      </c>
      <c r="OE363">
        <v>0</v>
      </c>
      <c r="OF363">
        <v>0</v>
      </c>
      <c r="OG363">
        <v>0</v>
      </c>
      <c r="OH363">
        <v>0</v>
      </c>
      <c r="OI363">
        <v>0</v>
      </c>
      <c r="OJ363">
        <v>0</v>
      </c>
      <c r="OK363">
        <v>0</v>
      </c>
      <c r="OL363">
        <v>0</v>
      </c>
      <c r="OM363">
        <v>0</v>
      </c>
      <c r="ON363">
        <v>0</v>
      </c>
    </row>
    <row r="364" spans="1:404" x14ac:dyDescent="0.25">
      <c r="A364" t="s">
        <v>1164</v>
      </c>
      <c r="B364" t="s">
        <v>1165</v>
      </c>
      <c r="C364" t="s">
        <v>1163</v>
      </c>
      <c r="E364" t="s">
        <v>61</v>
      </c>
      <c r="F364">
        <v>0</v>
      </c>
      <c r="G364">
        <v>0</v>
      </c>
      <c r="H364">
        <v>0</v>
      </c>
      <c r="I364">
        <v>0</v>
      </c>
      <c r="J364">
        <v>0</v>
      </c>
      <c r="K364">
        <v>0</v>
      </c>
      <c r="L364">
        <v>0</v>
      </c>
      <c r="M364">
        <v>0</v>
      </c>
      <c r="N364">
        <v>0</v>
      </c>
      <c r="O364">
        <v>0</v>
      </c>
      <c r="P364">
        <v>0</v>
      </c>
      <c r="Q364">
        <v>0</v>
      </c>
      <c r="R364">
        <v>0</v>
      </c>
      <c r="S364">
        <v>0</v>
      </c>
      <c r="T364">
        <v>0</v>
      </c>
      <c r="U364">
        <v>0</v>
      </c>
      <c r="V364">
        <v>0</v>
      </c>
      <c r="W364">
        <v>0</v>
      </c>
      <c r="X364">
        <v>0</v>
      </c>
      <c r="Y364">
        <v>0</v>
      </c>
      <c r="Z364">
        <v>0</v>
      </c>
      <c r="AA364">
        <v>-2582</v>
      </c>
      <c r="AB364">
        <v>0</v>
      </c>
      <c r="AC364">
        <v>0</v>
      </c>
      <c r="AD364">
        <v>0</v>
      </c>
      <c r="AE364">
        <v>0</v>
      </c>
      <c r="AF364">
        <v>0</v>
      </c>
      <c r="AG364">
        <v>0</v>
      </c>
      <c r="AH364">
        <v>0</v>
      </c>
      <c r="AI364">
        <v>-2582</v>
      </c>
      <c r="AJ364">
        <v>0</v>
      </c>
      <c r="AK364">
        <v>0</v>
      </c>
      <c r="AL364">
        <v>0</v>
      </c>
      <c r="AM364">
        <v>0</v>
      </c>
      <c r="AN364">
        <v>0</v>
      </c>
      <c r="AO364">
        <v>0</v>
      </c>
      <c r="AP364">
        <v>0</v>
      </c>
      <c r="AQ364">
        <v>0</v>
      </c>
      <c r="AR364">
        <v>0</v>
      </c>
      <c r="AS364">
        <v>0</v>
      </c>
      <c r="AT364">
        <v>0</v>
      </c>
      <c r="AU364">
        <v>0</v>
      </c>
      <c r="AV364">
        <v>0</v>
      </c>
      <c r="AW364">
        <v>0</v>
      </c>
      <c r="AX364">
        <v>0</v>
      </c>
      <c r="AY364">
        <v>0</v>
      </c>
      <c r="AZ364">
        <v>0</v>
      </c>
      <c r="BA364">
        <v>0</v>
      </c>
      <c r="BB364">
        <v>0</v>
      </c>
      <c r="BC364">
        <v>0</v>
      </c>
      <c r="BD364">
        <v>0</v>
      </c>
      <c r="BE364">
        <v>0</v>
      </c>
      <c r="BF364">
        <v>0</v>
      </c>
      <c r="BG364">
        <v>0</v>
      </c>
      <c r="BH364">
        <v>0</v>
      </c>
      <c r="BI364">
        <v>0</v>
      </c>
      <c r="BJ364">
        <v>0</v>
      </c>
      <c r="BK364">
        <v>0</v>
      </c>
      <c r="BL364">
        <v>0</v>
      </c>
      <c r="BM364">
        <v>0</v>
      </c>
      <c r="BN364">
        <v>0</v>
      </c>
      <c r="BO364">
        <v>0</v>
      </c>
      <c r="BP364">
        <v>0</v>
      </c>
      <c r="BQ364">
        <v>0</v>
      </c>
      <c r="BR364">
        <v>0</v>
      </c>
      <c r="BS364">
        <v>0</v>
      </c>
      <c r="BT364">
        <v>0</v>
      </c>
      <c r="BU364">
        <v>0</v>
      </c>
      <c r="BV364">
        <v>0</v>
      </c>
      <c r="BW364">
        <v>0</v>
      </c>
      <c r="BX364">
        <v>0</v>
      </c>
      <c r="BY364">
        <v>0</v>
      </c>
      <c r="BZ364">
        <v>0</v>
      </c>
      <c r="CA364">
        <v>0</v>
      </c>
      <c r="CB364">
        <v>0</v>
      </c>
      <c r="CC364">
        <v>0</v>
      </c>
      <c r="CD364">
        <v>0</v>
      </c>
      <c r="CE364">
        <v>0</v>
      </c>
      <c r="CF364">
        <v>0</v>
      </c>
      <c r="CG364">
        <v>0</v>
      </c>
      <c r="CH364">
        <v>0</v>
      </c>
      <c r="CI364">
        <v>0</v>
      </c>
      <c r="CJ364">
        <v>0</v>
      </c>
      <c r="CK364">
        <v>0</v>
      </c>
      <c r="CL364">
        <v>0</v>
      </c>
      <c r="CM364">
        <v>0</v>
      </c>
      <c r="CN364">
        <v>0</v>
      </c>
      <c r="CO364">
        <v>0</v>
      </c>
      <c r="CP364">
        <v>0</v>
      </c>
      <c r="CQ364">
        <v>0</v>
      </c>
      <c r="CR364">
        <v>0</v>
      </c>
      <c r="CS364">
        <v>0</v>
      </c>
      <c r="CT364">
        <v>0</v>
      </c>
      <c r="CU364">
        <v>0</v>
      </c>
      <c r="CV364">
        <v>0</v>
      </c>
      <c r="CW364">
        <v>0</v>
      </c>
      <c r="CX364">
        <v>0</v>
      </c>
      <c r="CY364">
        <v>0</v>
      </c>
      <c r="CZ364">
        <v>0</v>
      </c>
      <c r="DA364">
        <v>0</v>
      </c>
      <c r="DB364">
        <v>0</v>
      </c>
      <c r="DC364">
        <v>321</v>
      </c>
      <c r="DD364">
        <v>4</v>
      </c>
      <c r="DE364">
        <v>166</v>
      </c>
      <c r="DF364">
        <v>80</v>
      </c>
      <c r="DG364">
        <v>825</v>
      </c>
      <c r="DH364">
        <v>160</v>
      </c>
      <c r="DI364">
        <v>0</v>
      </c>
      <c r="DJ364">
        <v>0</v>
      </c>
      <c r="DK364">
        <v>0</v>
      </c>
      <c r="DL364">
        <v>0</v>
      </c>
      <c r="DM364">
        <v>0</v>
      </c>
      <c r="DN364">
        <v>0</v>
      </c>
      <c r="DO364">
        <v>0</v>
      </c>
      <c r="DP364">
        <v>985</v>
      </c>
      <c r="DQ364">
        <v>174</v>
      </c>
      <c r="DR364">
        <v>0</v>
      </c>
      <c r="DS364">
        <v>0</v>
      </c>
      <c r="DT364">
        <v>620</v>
      </c>
      <c r="DU364">
        <v>-6</v>
      </c>
      <c r="DV364">
        <v>0</v>
      </c>
      <c r="DW364">
        <v>0</v>
      </c>
      <c r="DX364">
        <v>2344</v>
      </c>
      <c r="DY364">
        <v>0</v>
      </c>
      <c r="DZ364">
        <v>0</v>
      </c>
      <c r="EA364">
        <v>0</v>
      </c>
      <c r="EB364">
        <v>0</v>
      </c>
      <c r="EC364">
        <v>0</v>
      </c>
      <c r="ED364">
        <v>0</v>
      </c>
      <c r="EE364">
        <v>0</v>
      </c>
      <c r="EF364">
        <v>0</v>
      </c>
      <c r="EG364">
        <v>0</v>
      </c>
      <c r="EH364">
        <v>0</v>
      </c>
      <c r="EI364">
        <v>0</v>
      </c>
      <c r="EJ364">
        <v>0</v>
      </c>
      <c r="EK364">
        <v>0</v>
      </c>
      <c r="EL364">
        <v>0</v>
      </c>
      <c r="EM364">
        <v>0</v>
      </c>
      <c r="EN364">
        <v>0</v>
      </c>
      <c r="EO364">
        <v>0</v>
      </c>
      <c r="EP364">
        <v>0</v>
      </c>
      <c r="EQ364">
        <v>0</v>
      </c>
      <c r="ER364">
        <v>0</v>
      </c>
      <c r="ES364">
        <v>0</v>
      </c>
      <c r="ET364">
        <v>0</v>
      </c>
      <c r="EU364">
        <v>0</v>
      </c>
      <c r="EV364">
        <v>0</v>
      </c>
      <c r="EW364">
        <v>0</v>
      </c>
      <c r="EX364">
        <v>0</v>
      </c>
      <c r="EY364">
        <v>1</v>
      </c>
      <c r="EZ364">
        <v>0</v>
      </c>
      <c r="FA364">
        <v>0</v>
      </c>
      <c r="FB364">
        <v>0</v>
      </c>
      <c r="FC364">
        <v>1034</v>
      </c>
      <c r="FD364">
        <v>926</v>
      </c>
      <c r="FE364">
        <v>0</v>
      </c>
      <c r="FF364">
        <v>3</v>
      </c>
      <c r="FG364">
        <v>0</v>
      </c>
      <c r="FH364">
        <v>1964</v>
      </c>
      <c r="FI364">
        <v>50</v>
      </c>
      <c r="FJ364">
        <v>0</v>
      </c>
      <c r="FK364">
        <v>0</v>
      </c>
      <c r="FL364">
        <v>254</v>
      </c>
      <c r="FM364">
        <v>368</v>
      </c>
      <c r="FN364">
        <v>116</v>
      </c>
      <c r="FO364">
        <v>42</v>
      </c>
      <c r="FP364">
        <v>0</v>
      </c>
      <c r="FQ364">
        <v>0</v>
      </c>
      <c r="FR364">
        <v>33</v>
      </c>
      <c r="FS364">
        <v>525</v>
      </c>
      <c r="FT364">
        <v>69</v>
      </c>
      <c r="FU364">
        <v>10</v>
      </c>
      <c r="FV364">
        <v>122</v>
      </c>
      <c r="FW364">
        <v>0</v>
      </c>
      <c r="FX364">
        <v>0</v>
      </c>
      <c r="FY364">
        <v>208</v>
      </c>
      <c r="FZ364">
        <v>4</v>
      </c>
      <c r="GA364">
        <v>0</v>
      </c>
      <c r="GB364">
        <v>118</v>
      </c>
      <c r="GC364">
        <v>0</v>
      </c>
      <c r="GD364">
        <v>1560</v>
      </c>
      <c r="GE364">
        <v>1905</v>
      </c>
      <c r="GF364">
        <v>0</v>
      </c>
      <c r="GG364">
        <v>0</v>
      </c>
      <c r="GH364">
        <v>1636</v>
      </c>
      <c r="GI364">
        <v>0</v>
      </c>
      <c r="GJ364">
        <v>66</v>
      </c>
      <c r="GK364">
        <v>7086</v>
      </c>
      <c r="GL364">
        <v>-252</v>
      </c>
      <c r="GM364">
        <v>834</v>
      </c>
      <c r="GN364">
        <v>0</v>
      </c>
      <c r="GO364">
        <v>354</v>
      </c>
      <c r="GP364">
        <v>26</v>
      </c>
      <c r="GQ364">
        <v>192</v>
      </c>
      <c r="GR364">
        <v>0</v>
      </c>
      <c r="GS364">
        <v>-830</v>
      </c>
      <c r="GT364">
        <v>0</v>
      </c>
      <c r="GU364">
        <v>324</v>
      </c>
      <c r="GV364">
        <v>9374</v>
      </c>
      <c r="GW364">
        <v>0</v>
      </c>
      <c r="GX364">
        <v>0</v>
      </c>
      <c r="GY364">
        <v>0</v>
      </c>
      <c r="GZ364">
        <v>0</v>
      </c>
      <c r="HA364">
        <v>0</v>
      </c>
      <c r="HB364">
        <v>1822</v>
      </c>
      <c r="HC364">
        <v>483</v>
      </c>
      <c r="HD364">
        <v>0</v>
      </c>
      <c r="HE364">
        <v>0</v>
      </c>
      <c r="HF364">
        <v>529</v>
      </c>
      <c r="HG364">
        <v>-294</v>
      </c>
      <c r="HH364">
        <v>0</v>
      </c>
      <c r="HI364">
        <v>0</v>
      </c>
      <c r="HJ364">
        <v>234</v>
      </c>
      <c r="HK364">
        <v>-78</v>
      </c>
      <c r="HL364">
        <v>29</v>
      </c>
      <c r="HM364">
        <v>-35</v>
      </c>
      <c r="HN364">
        <v>0</v>
      </c>
      <c r="HO364">
        <v>-9</v>
      </c>
      <c r="HP364">
        <v>0</v>
      </c>
      <c r="HQ364">
        <v>0</v>
      </c>
      <c r="HR364">
        <v>1729</v>
      </c>
      <c r="HS364">
        <v>0</v>
      </c>
      <c r="HT364">
        <v>14</v>
      </c>
      <c r="HU364">
        <v>0</v>
      </c>
      <c r="HV364">
        <v>4424</v>
      </c>
      <c r="HW364">
        <v>0</v>
      </c>
      <c r="HX364">
        <v>0</v>
      </c>
      <c r="HY364">
        <v>0</v>
      </c>
      <c r="HZ364">
        <v>0</v>
      </c>
      <c r="IA364">
        <v>0</v>
      </c>
      <c r="IB364">
        <v>1551</v>
      </c>
      <c r="IC364">
        <v>0</v>
      </c>
      <c r="ID364">
        <v>-2582</v>
      </c>
      <c r="IE364">
        <v>0</v>
      </c>
      <c r="IF364">
        <v>0</v>
      </c>
      <c r="IG364">
        <v>0</v>
      </c>
      <c r="IH364">
        <v>2344</v>
      </c>
      <c r="II364">
        <v>1964</v>
      </c>
      <c r="IJ364">
        <v>7086</v>
      </c>
      <c r="IK364">
        <v>324</v>
      </c>
      <c r="IL364">
        <v>0</v>
      </c>
      <c r="IM364">
        <v>0</v>
      </c>
      <c r="IN364">
        <v>4424</v>
      </c>
      <c r="IO364">
        <v>1551</v>
      </c>
      <c r="IP364">
        <v>15111</v>
      </c>
      <c r="IQ364">
        <v>21913</v>
      </c>
      <c r="IR364">
        <v>465</v>
      </c>
      <c r="IS364">
        <v>0</v>
      </c>
      <c r="IT364">
        <v>0</v>
      </c>
      <c r="IU364">
        <v>0</v>
      </c>
      <c r="IV364">
        <v>3943</v>
      </c>
      <c r="IW364">
        <v>0</v>
      </c>
      <c r="IX364">
        <v>0</v>
      </c>
      <c r="IY364">
        <v>0</v>
      </c>
      <c r="IZ364">
        <v>0</v>
      </c>
      <c r="JA364">
        <v>1006</v>
      </c>
      <c r="JB364">
        <v>0</v>
      </c>
      <c r="JC364">
        <v>-1005</v>
      </c>
      <c r="JD364">
        <v>0</v>
      </c>
      <c r="JE364">
        <v>6</v>
      </c>
      <c r="JF364">
        <v>0</v>
      </c>
      <c r="JG364">
        <v>41439</v>
      </c>
      <c r="JH364">
        <v>0</v>
      </c>
      <c r="JI364">
        <v>684</v>
      </c>
      <c r="JJ364">
        <v>0</v>
      </c>
      <c r="JK364">
        <v>0</v>
      </c>
      <c r="JL364">
        <v>0</v>
      </c>
      <c r="JM364">
        <v>70</v>
      </c>
      <c r="JN364">
        <v>0</v>
      </c>
      <c r="JO364">
        <v>0</v>
      </c>
      <c r="JP364">
        <v>0</v>
      </c>
      <c r="JQ364">
        <v>0</v>
      </c>
      <c r="JR364">
        <v>42193</v>
      </c>
      <c r="JS364">
        <v>-32</v>
      </c>
      <c r="JT364">
        <v>0</v>
      </c>
      <c r="JU364">
        <v>0</v>
      </c>
      <c r="JV364">
        <v>0</v>
      </c>
      <c r="JW364">
        <v>-23018</v>
      </c>
      <c r="JX364">
        <v>0</v>
      </c>
      <c r="JY364">
        <v>0</v>
      </c>
      <c r="JZ364">
        <v>0</v>
      </c>
      <c r="KA364">
        <v>0</v>
      </c>
      <c r="KB364">
        <v>0</v>
      </c>
      <c r="KC364">
        <v>19143</v>
      </c>
      <c r="KD364">
        <v>0</v>
      </c>
      <c r="KE364">
        <v>-6208</v>
      </c>
      <c r="KF364">
        <v>12935</v>
      </c>
      <c r="KG364">
        <v>0</v>
      </c>
      <c r="KH364">
        <v>0</v>
      </c>
      <c r="KI364">
        <v>0</v>
      </c>
      <c r="KJ364">
        <v>0</v>
      </c>
      <c r="KK364">
        <v>608</v>
      </c>
      <c r="KL364">
        <v>46</v>
      </c>
      <c r="KM364">
        <v>0</v>
      </c>
      <c r="KN364">
        <v>0</v>
      </c>
      <c r="KO364">
        <v>0</v>
      </c>
      <c r="KP364">
        <v>89</v>
      </c>
      <c r="KQ364">
        <v>4533</v>
      </c>
      <c r="KR364">
        <v>12666</v>
      </c>
      <c r="KS364">
        <v>0</v>
      </c>
      <c r="KT364">
        <v>0</v>
      </c>
      <c r="KU364">
        <v>0</v>
      </c>
      <c r="KV364">
        <v>22948</v>
      </c>
      <c r="KW364">
        <v>2060</v>
      </c>
      <c r="KX364">
        <v>0</v>
      </c>
      <c r="KY364">
        <v>0</v>
      </c>
      <c r="KZ364">
        <v>0</v>
      </c>
      <c r="LA364">
        <v>23556</v>
      </c>
      <c r="LB364">
        <v>2106</v>
      </c>
      <c r="LC364">
        <v>0</v>
      </c>
      <c r="LD364">
        <v>2378</v>
      </c>
      <c r="LE364">
        <v>0</v>
      </c>
      <c r="LF364">
        <v>5170</v>
      </c>
      <c r="LG364">
        <v>-2573</v>
      </c>
      <c r="LH364">
        <v>6833</v>
      </c>
      <c r="LI364">
        <v>11808</v>
      </c>
      <c r="LJ364">
        <v>4819</v>
      </c>
      <c r="LK364">
        <v>6082</v>
      </c>
      <c r="LL364">
        <v>10901</v>
      </c>
      <c r="LM364">
        <v>0</v>
      </c>
      <c r="LN364">
        <v>0</v>
      </c>
      <c r="LO364">
        <v>0</v>
      </c>
      <c r="LP364">
        <v>0</v>
      </c>
      <c r="LQ364">
        <v>0</v>
      </c>
      <c r="LR364">
        <v>0</v>
      </c>
      <c r="LS364">
        <v>0</v>
      </c>
      <c r="LT364">
        <v>0</v>
      </c>
      <c r="LU364">
        <v>0</v>
      </c>
      <c r="LV364">
        <v>-2582</v>
      </c>
      <c r="LW364">
        <v>0</v>
      </c>
      <c r="LX364">
        <v>0</v>
      </c>
      <c r="LY364">
        <v>0</v>
      </c>
      <c r="LZ364">
        <v>2344</v>
      </c>
      <c r="MA364">
        <v>1964</v>
      </c>
      <c r="MB364">
        <v>7086</v>
      </c>
      <c r="MC364">
        <v>324</v>
      </c>
      <c r="MD364">
        <v>0</v>
      </c>
      <c r="ME364">
        <v>0</v>
      </c>
      <c r="MF364">
        <v>4424</v>
      </c>
      <c r="MG364">
        <v>1551</v>
      </c>
      <c r="MH364">
        <v>15111</v>
      </c>
      <c r="MI364">
        <v>0</v>
      </c>
      <c r="MJ364">
        <v>0</v>
      </c>
      <c r="MK364">
        <v>0</v>
      </c>
      <c r="ML364">
        <v>0</v>
      </c>
      <c r="MM364">
        <v>0</v>
      </c>
      <c r="MN364">
        <v>0</v>
      </c>
      <c r="MO364">
        <v>0</v>
      </c>
      <c r="MP364">
        <v>0</v>
      </c>
      <c r="MQ364">
        <v>0</v>
      </c>
      <c r="MR364">
        <v>0</v>
      </c>
      <c r="MS364">
        <v>0</v>
      </c>
      <c r="MT364">
        <v>0</v>
      </c>
      <c r="MU364">
        <v>0</v>
      </c>
      <c r="MV364">
        <v>0</v>
      </c>
      <c r="MW364">
        <v>0</v>
      </c>
      <c r="MX364">
        <v>-234</v>
      </c>
      <c r="MY364">
        <v>0</v>
      </c>
      <c r="MZ364">
        <v>147</v>
      </c>
      <c r="NA364">
        <v>1</v>
      </c>
      <c r="NB364">
        <v>1005</v>
      </c>
      <c r="NC364">
        <v>1006</v>
      </c>
      <c r="ND364">
        <v>0</v>
      </c>
      <c r="NE364">
        <v>0</v>
      </c>
      <c r="NF364">
        <v>0</v>
      </c>
      <c r="NG364">
        <v>0</v>
      </c>
      <c r="NH364">
        <v>0</v>
      </c>
      <c r="NI364">
        <v>0</v>
      </c>
      <c r="NJ364">
        <v>0</v>
      </c>
      <c r="NK364">
        <v>0</v>
      </c>
      <c r="NL364">
        <v>0</v>
      </c>
      <c r="NM364">
        <v>0</v>
      </c>
      <c r="NN364">
        <v>0</v>
      </c>
      <c r="NO364">
        <v>0</v>
      </c>
      <c r="NP364">
        <v>0</v>
      </c>
      <c r="NQ364">
        <v>0</v>
      </c>
      <c r="NR364">
        <v>0</v>
      </c>
      <c r="NS364">
        <v>0</v>
      </c>
      <c r="NT364">
        <v>0</v>
      </c>
      <c r="NU364">
        <v>0</v>
      </c>
      <c r="NV364">
        <v>0</v>
      </c>
      <c r="NW364">
        <v>0</v>
      </c>
      <c r="NX364">
        <v>0</v>
      </c>
      <c r="NY364">
        <v>0</v>
      </c>
      <c r="NZ364">
        <v>0</v>
      </c>
      <c r="OA364">
        <v>0</v>
      </c>
      <c r="OB364">
        <v>0</v>
      </c>
      <c r="OC364">
        <v>410</v>
      </c>
      <c r="OD364">
        <v>0</v>
      </c>
      <c r="OE364">
        <v>595</v>
      </c>
      <c r="OF364">
        <v>0</v>
      </c>
      <c r="OG364">
        <v>0</v>
      </c>
      <c r="OH364">
        <v>1005</v>
      </c>
      <c r="OI364">
        <v>0</v>
      </c>
      <c r="OJ364">
        <v>0</v>
      </c>
      <c r="OK364">
        <v>0</v>
      </c>
      <c r="OL364">
        <v>0</v>
      </c>
      <c r="OM364">
        <v>0</v>
      </c>
      <c r="ON364">
        <v>0</v>
      </c>
    </row>
    <row r="365" spans="1:404" x14ac:dyDescent="0.25">
      <c r="A365" t="s">
        <v>1167</v>
      </c>
      <c r="B365" t="s">
        <v>1168</v>
      </c>
      <c r="C365" t="s">
        <v>5447</v>
      </c>
      <c r="E365" t="s">
        <v>125</v>
      </c>
      <c r="F365">
        <v>12091</v>
      </c>
      <c r="G365">
        <v>69882</v>
      </c>
      <c r="H365">
        <v>11020</v>
      </c>
      <c r="I365">
        <v>16443</v>
      </c>
      <c r="J365">
        <v>2660</v>
      </c>
      <c r="K365">
        <v>10166</v>
      </c>
      <c r="L365">
        <v>122262</v>
      </c>
      <c r="M365">
        <v>-462</v>
      </c>
      <c r="N365">
        <v>76</v>
      </c>
      <c r="O365">
        <v>8</v>
      </c>
      <c r="P365">
        <v>78</v>
      </c>
      <c r="Q365">
        <v>75</v>
      </c>
      <c r="R365">
        <v>711</v>
      </c>
      <c r="S365">
        <v>2048</v>
      </c>
      <c r="T365">
        <v>469</v>
      </c>
      <c r="U365">
        <v>501</v>
      </c>
      <c r="V365">
        <v>0</v>
      </c>
      <c r="W365">
        <v>0</v>
      </c>
      <c r="X365">
        <v>142</v>
      </c>
      <c r="Y365">
        <v>285</v>
      </c>
      <c r="Z365">
        <v>0</v>
      </c>
      <c r="AA365">
        <v>-33</v>
      </c>
      <c r="AB365">
        <v>1906</v>
      </c>
      <c r="AC365">
        <v>0</v>
      </c>
      <c r="AD365">
        <v>741</v>
      </c>
      <c r="AE365">
        <v>0</v>
      </c>
      <c r="AF365">
        <v>0</v>
      </c>
      <c r="AG365">
        <v>-65</v>
      </c>
      <c r="AH365">
        <v>0</v>
      </c>
      <c r="AI365">
        <v>6480</v>
      </c>
      <c r="AJ365">
        <v>0</v>
      </c>
      <c r="AK365">
        <v>0</v>
      </c>
      <c r="AL365">
        <v>0</v>
      </c>
      <c r="AM365">
        <v>0</v>
      </c>
      <c r="AN365">
        <v>0</v>
      </c>
      <c r="AO365">
        <v>0</v>
      </c>
      <c r="AP365">
        <v>0</v>
      </c>
      <c r="AQ365">
        <v>0</v>
      </c>
      <c r="AR365">
        <v>0</v>
      </c>
      <c r="AS365">
        <v>0</v>
      </c>
      <c r="AT365">
        <v>0</v>
      </c>
      <c r="AU365">
        <v>0</v>
      </c>
      <c r="AV365">
        <v>1073</v>
      </c>
      <c r="AW365">
        <v>24587</v>
      </c>
      <c r="AX365">
        <v>613</v>
      </c>
      <c r="AY365">
        <v>5691</v>
      </c>
      <c r="AZ365">
        <v>218</v>
      </c>
      <c r="BA365">
        <v>10685</v>
      </c>
      <c r="BB365">
        <v>435</v>
      </c>
      <c r="BC365">
        <v>1263</v>
      </c>
      <c r="BD365">
        <v>44566</v>
      </c>
      <c r="BE365">
        <v>4185</v>
      </c>
      <c r="BF365">
        <v>14265</v>
      </c>
      <c r="BG365">
        <v>122</v>
      </c>
      <c r="BH365">
        <v>345</v>
      </c>
      <c r="BI365">
        <v>246</v>
      </c>
      <c r="BJ365">
        <v>3268</v>
      </c>
      <c r="BK365">
        <v>20404</v>
      </c>
      <c r="BL365">
        <v>2930</v>
      </c>
      <c r="BM365">
        <v>1779</v>
      </c>
      <c r="BN365">
        <v>1637</v>
      </c>
      <c r="BO365">
        <v>94</v>
      </c>
      <c r="BP365">
        <v>0</v>
      </c>
      <c r="BQ365">
        <v>249</v>
      </c>
      <c r="BR365">
        <v>528</v>
      </c>
      <c r="BS365">
        <v>95</v>
      </c>
      <c r="BT365">
        <v>3483</v>
      </c>
      <c r="BU365">
        <v>-61</v>
      </c>
      <c r="BV365">
        <v>3353</v>
      </c>
      <c r="BW365">
        <v>56921</v>
      </c>
      <c r="BX365">
        <v>609</v>
      </c>
      <c r="BY365">
        <v>474</v>
      </c>
      <c r="BZ365">
        <v>271</v>
      </c>
      <c r="CA365">
        <v>30</v>
      </c>
      <c r="CB365">
        <v>142</v>
      </c>
      <c r="CC365">
        <v>0</v>
      </c>
      <c r="CD365">
        <v>74</v>
      </c>
      <c r="CE365">
        <v>401</v>
      </c>
      <c r="CF365">
        <v>0</v>
      </c>
      <c r="CG365">
        <v>533</v>
      </c>
      <c r="CH365">
        <v>255</v>
      </c>
      <c r="CI365">
        <v>457</v>
      </c>
      <c r="CJ365">
        <v>457</v>
      </c>
      <c r="CK365">
        <v>457</v>
      </c>
      <c r="CL365">
        <v>738</v>
      </c>
      <c r="CM365">
        <v>457</v>
      </c>
      <c r="CN365">
        <v>119</v>
      </c>
      <c r="CO365">
        <v>33</v>
      </c>
      <c r="CP365">
        <v>723</v>
      </c>
      <c r="CQ365">
        <v>2296</v>
      </c>
      <c r="CR365">
        <v>1038</v>
      </c>
      <c r="CS365">
        <v>0</v>
      </c>
      <c r="CT365">
        <v>274</v>
      </c>
      <c r="CU365">
        <v>2783</v>
      </c>
      <c r="CV365">
        <v>17848</v>
      </c>
      <c r="CW365">
        <v>0</v>
      </c>
      <c r="CX365">
        <v>0</v>
      </c>
      <c r="CY365">
        <v>0</v>
      </c>
      <c r="CZ365">
        <v>0</v>
      </c>
      <c r="DA365">
        <v>0</v>
      </c>
      <c r="DB365">
        <v>0</v>
      </c>
      <c r="DC365">
        <v>489</v>
      </c>
      <c r="DD365">
        <v>1</v>
      </c>
      <c r="DE365">
        <v>-1</v>
      </c>
      <c r="DF365">
        <v>172</v>
      </c>
      <c r="DG365">
        <v>0</v>
      </c>
      <c r="DH365">
        <v>-125</v>
      </c>
      <c r="DI365">
        <v>-35</v>
      </c>
      <c r="DJ365">
        <v>97</v>
      </c>
      <c r="DK365">
        <v>309</v>
      </c>
      <c r="DL365">
        <v>0</v>
      </c>
      <c r="DM365">
        <v>0</v>
      </c>
      <c r="DN365">
        <v>715</v>
      </c>
      <c r="DO365">
        <v>9</v>
      </c>
      <c r="DP365">
        <v>970</v>
      </c>
      <c r="DQ365">
        <v>0</v>
      </c>
      <c r="DR365">
        <v>0</v>
      </c>
      <c r="DS365">
        <v>0</v>
      </c>
      <c r="DT365">
        <v>964</v>
      </c>
      <c r="DU365">
        <v>134</v>
      </c>
      <c r="DV365">
        <v>600</v>
      </c>
      <c r="DW365">
        <v>0</v>
      </c>
      <c r="DX365">
        <v>3329</v>
      </c>
      <c r="DY365">
        <v>0</v>
      </c>
      <c r="DZ365">
        <v>0</v>
      </c>
      <c r="EA365">
        <v>0</v>
      </c>
      <c r="EB365">
        <v>0</v>
      </c>
      <c r="EC365">
        <v>0</v>
      </c>
      <c r="ED365">
        <v>0</v>
      </c>
      <c r="EE365">
        <v>0</v>
      </c>
      <c r="EF365">
        <v>0</v>
      </c>
      <c r="EG365">
        <v>0</v>
      </c>
      <c r="EH365">
        <v>0</v>
      </c>
      <c r="EI365">
        <v>0</v>
      </c>
      <c r="EJ365">
        <v>0</v>
      </c>
      <c r="EK365">
        <v>0</v>
      </c>
      <c r="EL365">
        <v>0</v>
      </c>
      <c r="EM365">
        <v>0</v>
      </c>
      <c r="EN365">
        <v>0</v>
      </c>
      <c r="EO365">
        <v>0</v>
      </c>
      <c r="EP365">
        <v>0</v>
      </c>
      <c r="EQ365">
        <v>0</v>
      </c>
      <c r="ER365">
        <v>0</v>
      </c>
      <c r="ES365">
        <v>0</v>
      </c>
      <c r="ET365">
        <v>0</v>
      </c>
      <c r="EU365">
        <v>35</v>
      </c>
      <c r="EV365">
        <v>0</v>
      </c>
      <c r="EW365">
        <v>47</v>
      </c>
      <c r="EX365">
        <v>0</v>
      </c>
      <c r="EY365">
        <v>1002</v>
      </c>
      <c r="EZ365">
        <v>0</v>
      </c>
      <c r="FA365">
        <v>0</v>
      </c>
      <c r="FB365">
        <v>115</v>
      </c>
      <c r="FC365">
        <v>2566</v>
      </c>
      <c r="FD365">
        <v>3128</v>
      </c>
      <c r="FE365">
        <v>0</v>
      </c>
      <c r="FF365">
        <v>178</v>
      </c>
      <c r="FG365">
        <v>1445</v>
      </c>
      <c r="FH365">
        <v>8516</v>
      </c>
      <c r="FI365">
        <v>-65</v>
      </c>
      <c r="FJ365">
        <v>449</v>
      </c>
      <c r="FK365">
        <v>0</v>
      </c>
      <c r="FL365">
        <v>145</v>
      </c>
      <c r="FM365">
        <v>475</v>
      </c>
      <c r="FN365">
        <v>169</v>
      </c>
      <c r="FO365">
        <v>388</v>
      </c>
      <c r="FP365">
        <v>0</v>
      </c>
      <c r="FQ365">
        <v>0</v>
      </c>
      <c r="FR365">
        <v>12</v>
      </c>
      <c r="FS365">
        <v>25</v>
      </c>
      <c r="FT365">
        <v>15</v>
      </c>
      <c r="FU365">
        <v>103</v>
      </c>
      <c r="FV365">
        <v>9</v>
      </c>
      <c r="FW365">
        <v>752</v>
      </c>
      <c r="FX365">
        <v>21</v>
      </c>
      <c r="FY365">
        <v>113</v>
      </c>
      <c r="FZ365">
        <v>4</v>
      </c>
      <c r="GA365">
        <v>0</v>
      </c>
      <c r="GB365">
        <v>0</v>
      </c>
      <c r="GC365">
        <v>0</v>
      </c>
      <c r="GD365">
        <v>1881</v>
      </c>
      <c r="GE365">
        <v>3339</v>
      </c>
      <c r="GF365">
        <v>6602</v>
      </c>
      <c r="GG365">
        <v>0</v>
      </c>
      <c r="GH365">
        <v>3058</v>
      </c>
      <c r="GI365">
        <v>133</v>
      </c>
      <c r="GJ365">
        <v>119</v>
      </c>
      <c r="GK365">
        <v>17748</v>
      </c>
      <c r="GL365">
        <v>163</v>
      </c>
      <c r="GM365">
        <v>818</v>
      </c>
      <c r="GN365">
        <v>0</v>
      </c>
      <c r="GO365">
        <v>480</v>
      </c>
      <c r="GP365">
        <v>-72</v>
      </c>
      <c r="GQ365">
        <v>1583</v>
      </c>
      <c r="GR365">
        <v>0</v>
      </c>
      <c r="GS365">
        <v>404</v>
      </c>
      <c r="GT365">
        <v>906</v>
      </c>
      <c r="GU365">
        <v>4282</v>
      </c>
      <c r="GV365">
        <v>30546</v>
      </c>
      <c r="GW365">
        <v>0</v>
      </c>
      <c r="GX365">
        <v>0</v>
      </c>
      <c r="GY365">
        <v>0</v>
      </c>
      <c r="GZ365">
        <v>0</v>
      </c>
      <c r="HA365">
        <v>0</v>
      </c>
      <c r="HB365">
        <v>5030</v>
      </c>
      <c r="HC365">
        <v>829</v>
      </c>
      <c r="HD365">
        <v>0</v>
      </c>
      <c r="HE365">
        <v>0</v>
      </c>
      <c r="HF365">
        <v>643</v>
      </c>
      <c r="HG365">
        <v>203</v>
      </c>
      <c r="HH365">
        <v>0</v>
      </c>
      <c r="HI365">
        <v>30</v>
      </c>
      <c r="HJ365">
        <v>349</v>
      </c>
      <c r="HK365">
        <v>487</v>
      </c>
      <c r="HL365">
        <v>145</v>
      </c>
      <c r="HM365">
        <v>19</v>
      </c>
      <c r="HN365">
        <v>19</v>
      </c>
      <c r="HO365">
        <v>332</v>
      </c>
      <c r="HP365">
        <v>291</v>
      </c>
      <c r="HQ365">
        <v>4</v>
      </c>
      <c r="HR365">
        <v>988</v>
      </c>
      <c r="HS365">
        <v>0</v>
      </c>
      <c r="HT365">
        <v>0</v>
      </c>
      <c r="HU365">
        <v>1781</v>
      </c>
      <c r="HV365">
        <v>11150</v>
      </c>
      <c r="HW365">
        <v>10791</v>
      </c>
      <c r="HX365">
        <v>18552</v>
      </c>
      <c r="HY365">
        <v>0</v>
      </c>
      <c r="HZ365">
        <v>0</v>
      </c>
      <c r="IA365">
        <v>1904</v>
      </c>
      <c r="IB365">
        <v>3061</v>
      </c>
      <c r="IC365">
        <v>122262</v>
      </c>
      <c r="ID365">
        <v>6480</v>
      </c>
      <c r="IE365">
        <v>44566</v>
      </c>
      <c r="IF365">
        <v>56921</v>
      </c>
      <c r="IG365">
        <v>17848</v>
      </c>
      <c r="IH365">
        <v>3329</v>
      </c>
      <c r="II365">
        <v>8516</v>
      </c>
      <c r="IJ365">
        <v>17748</v>
      </c>
      <c r="IK365">
        <v>4282</v>
      </c>
      <c r="IL365">
        <v>0</v>
      </c>
      <c r="IM365">
        <v>0</v>
      </c>
      <c r="IN365">
        <v>11150</v>
      </c>
      <c r="IO365">
        <v>3061</v>
      </c>
      <c r="IP365">
        <v>296164</v>
      </c>
      <c r="IQ365">
        <v>47357</v>
      </c>
      <c r="IR365">
        <v>857</v>
      </c>
      <c r="IS365">
        <v>0</v>
      </c>
      <c r="IT365">
        <v>0</v>
      </c>
      <c r="IU365">
        <v>0</v>
      </c>
      <c r="IV365">
        <v>5035</v>
      </c>
      <c r="IW365">
        <v>0</v>
      </c>
      <c r="IX365">
        <v>0</v>
      </c>
      <c r="IY365">
        <v>0</v>
      </c>
      <c r="IZ365">
        <v>0</v>
      </c>
      <c r="JA365">
        <v>-4508</v>
      </c>
      <c r="JB365">
        <v>-6554</v>
      </c>
      <c r="JC365">
        <v>0</v>
      </c>
      <c r="JD365">
        <v>5665</v>
      </c>
      <c r="JE365">
        <v>0</v>
      </c>
      <c r="JF365">
        <v>0</v>
      </c>
      <c r="JG365">
        <v>344016</v>
      </c>
      <c r="JH365">
        <v>64</v>
      </c>
      <c r="JI365">
        <v>1847</v>
      </c>
      <c r="JJ365">
        <v>0</v>
      </c>
      <c r="JK365">
        <v>-804</v>
      </c>
      <c r="JL365">
        <v>0</v>
      </c>
      <c r="JM365">
        <v>0</v>
      </c>
      <c r="JN365">
        <v>840</v>
      </c>
      <c r="JO365">
        <v>0</v>
      </c>
      <c r="JP365">
        <v>7671</v>
      </c>
      <c r="JQ365">
        <v>0</v>
      </c>
      <c r="JR365">
        <v>353634</v>
      </c>
      <c r="JS365">
        <v>-2572</v>
      </c>
      <c r="JT365">
        <v>839</v>
      </c>
      <c r="JU365">
        <v>0</v>
      </c>
      <c r="JV365">
        <v>0</v>
      </c>
      <c r="JW365">
        <v>-51577</v>
      </c>
      <c r="JX365">
        <v>0</v>
      </c>
      <c r="JY365">
        <v>0</v>
      </c>
      <c r="JZ365">
        <v>0</v>
      </c>
      <c r="KA365">
        <v>0</v>
      </c>
      <c r="KB365">
        <v>0</v>
      </c>
      <c r="KC365">
        <v>300324</v>
      </c>
      <c r="KD365">
        <v>0</v>
      </c>
      <c r="KE365">
        <v>-159998</v>
      </c>
      <c r="KF365">
        <v>140326</v>
      </c>
      <c r="KG365">
        <v>0</v>
      </c>
      <c r="KH365">
        <v>1486</v>
      </c>
      <c r="KI365">
        <v>0</v>
      </c>
      <c r="KJ365">
        <v>779</v>
      </c>
      <c r="KK365">
        <v>-8427</v>
      </c>
      <c r="KL365">
        <v>20</v>
      </c>
      <c r="KM365">
        <v>-10027</v>
      </c>
      <c r="KN365">
        <v>0</v>
      </c>
      <c r="KO365">
        <v>-29680</v>
      </c>
      <c r="KP365">
        <v>300</v>
      </c>
      <c r="KQ365">
        <v>0</v>
      </c>
      <c r="KR365">
        <v>79465</v>
      </c>
      <c r="KS365">
        <v>8315</v>
      </c>
      <c r="KT365">
        <v>0</v>
      </c>
      <c r="KU365">
        <v>1666</v>
      </c>
      <c r="KV365">
        <v>89606</v>
      </c>
      <c r="KW365">
        <v>26934</v>
      </c>
      <c r="KX365">
        <v>9801</v>
      </c>
      <c r="KY365">
        <v>0</v>
      </c>
      <c r="KZ365">
        <v>2445</v>
      </c>
      <c r="LA365">
        <v>81179</v>
      </c>
      <c r="LB365">
        <v>26954</v>
      </c>
      <c r="LC365">
        <v>0</v>
      </c>
      <c r="LD365">
        <v>16702</v>
      </c>
      <c r="LE365">
        <v>0</v>
      </c>
      <c r="LF365">
        <v>6377</v>
      </c>
      <c r="LG365">
        <v>0</v>
      </c>
      <c r="LH365">
        <v>0</v>
      </c>
      <c r="LI365">
        <v>23079</v>
      </c>
      <c r="LJ365">
        <v>5673</v>
      </c>
      <c r="LK365">
        <v>7215</v>
      </c>
      <c r="LL365">
        <v>12888</v>
      </c>
      <c r="LM365">
        <v>99</v>
      </c>
      <c r="LN365">
        <v>0</v>
      </c>
      <c r="LO365">
        <v>0</v>
      </c>
      <c r="LP365">
        <v>0</v>
      </c>
      <c r="LQ365">
        <v>0</v>
      </c>
      <c r="LR365">
        <v>0</v>
      </c>
      <c r="LS365">
        <v>0</v>
      </c>
      <c r="LT365">
        <v>0</v>
      </c>
      <c r="LU365">
        <v>122262</v>
      </c>
      <c r="LV365">
        <v>6480</v>
      </c>
      <c r="LW365">
        <v>44566</v>
      </c>
      <c r="LX365">
        <v>56921</v>
      </c>
      <c r="LY365">
        <v>17848</v>
      </c>
      <c r="LZ365">
        <v>3329</v>
      </c>
      <c r="MA365">
        <v>8516</v>
      </c>
      <c r="MB365">
        <v>17748</v>
      </c>
      <c r="MC365">
        <v>4282</v>
      </c>
      <c r="MD365">
        <v>0</v>
      </c>
      <c r="ME365">
        <v>0</v>
      </c>
      <c r="MF365">
        <v>11150</v>
      </c>
      <c r="MG365">
        <v>3061</v>
      </c>
      <c r="MH365">
        <v>296164</v>
      </c>
      <c r="MI365">
        <v>0</v>
      </c>
      <c r="MJ365">
        <v>0</v>
      </c>
      <c r="MK365">
        <v>0</v>
      </c>
      <c r="ML365">
        <v>0</v>
      </c>
      <c r="MM365">
        <v>0</v>
      </c>
      <c r="MN365">
        <v>0</v>
      </c>
      <c r="MO365">
        <v>0</v>
      </c>
      <c r="MP365">
        <v>0</v>
      </c>
      <c r="MQ365">
        <v>0</v>
      </c>
      <c r="MR365">
        <v>0</v>
      </c>
      <c r="MS365">
        <v>0</v>
      </c>
      <c r="MT365">
        <v>0</v>
      </c>
      <c r="MU365">
        <v>0</v>
      </c>
      <c r="MV365">
        <v>0</v>
      </c>
      <c r="MW365">
        <v>0</v>
      </c>
      <c r="MX365">
        <v>109</v>
      </c>
      <c r="MY365">
        <v>-6667</v>
      </c>
      <c r="MZ365">
        <v>0</v>
      </c>
      <c r="NA365">
        <v>-4508</v>
      </c>
      <c r="NB365">
        <v>0</v>
      </c>
      <c r="NC365">
        <v>-4508</v>
      </c>
      <c r="ND365">
        <v>0</v>
      </c>
      <c r="NE365">
        <v>0</v>
      </c>
      <c r="NF365">
        <v>0</v>
      </c>
      <c r="NG365">
        <v>84</v>
      </c>
      <c r="NH365">
        <v>0</v>
      </c>
      <c r="NI365">
        <v>0</v>
      </c>
      <c r="NJ365">
        <v>31</v>
      </c>
      <c r="NK365">
        <v>0</v>
      </c>
      <c r="NL365">
        <v>0</v>
      </c>
      <c r="NM365">
        <v>102</v>
      </c>
      <c r="NN365">
        <v>188</v>
      </c>
      <c r="NO365">
        <v>-297</v>
      </c>
      <c r="NP365">
        <v>0</v>
      </c>
      <c r="NQ365">
        <v>0</v>
      </c>
      <c r="NR365">
        <v>128</v>
      </c>
      <c r="NS365">
        <v>0</v>
      </c>
      <c r="NT365">
        <v>406</v>
      </c>
      <c r="NU365">
        <v>0</v>
      </c>
      <c r="NV365">
        <v>14</v>
      </c>
      <c r="NW365">
        <v>0</v>
      </c>
      <c r="NX365">
        <v>0</v>
      </c>
      <c r="NY365">
        <v>0</v>
      </c>
      <c r="NZ365">
        <v>-889</v>
      </c>
      <c r="OA365">
        <v>-5665</v>
      </c>
      <c r="OB365">
        <v>-6554</v>
      </c>
      <c r="OC365">
        <v>0</v>
      </c>
      <c r="OD365">
        <v>0</v>
      </c>
      <c r="OE365">
        <v>0</v>
      </c>
      <c r="OF365">
        <v>0</v>
      </c>
      <c r="OG365">
        <v>0</v>
      </c>
      <c r="OH365">
        <v>0</v>
      </c>
      <c r="OI365">
        <v>377</v>
      </c>
      <c r="OJ365">
        <v>0</v>
      </c>
      <c r="OK365">
        <v>-6042</v>
      </c>
      <c r="OL365">
        <v>0</v>
      </c>
      <c r="OM365">
        <v>0</v>
      </c>
      <c r="ON365">
        <v>-5665</v>
      </c>
    </row>
    <row r="366" spans="1:404" x14ac:dyDescent="0.25">
      <c r="A366" t="s">
        <v>1170</v>
      </c>
      <c r="B366" t="s">
        <v>1171</v>
      </c>
      <c r="C366" t="s">
        <v>1169</v>
      </c>
      <c r="E366" t="s">
        <v>61</v>
      </c>
      <c r="F366">
        <v>0</v>
      </c>
      <c r="G366">
        <v>0</v>
      </c>
      <c r="H366">
        <v>0</v>
      </c>
      <c r="I366">
        <v>0</v>
      </c>
      <c r="J366">
        <v>0</v>
      </c>
      <c r="K366">
        <v>0</v>
      </c>
      <c r="L366">
        <v>0</v>
      </c>
      <c r="M366">
        <v>0</v>
      </c>
      <c r="N366">
        <v>0</v>
      </c>
      <c r="O366">
        <v>0</v>
      </c>
      <c r="P366">
        <v>0</v>
      </c>
      <c r="Q366">
        <v>0</v>
      </c>
      <c r="R366">
        <v>0</v>
      </c>
      <c r="S366">
        <v>27</v>
      </c>
      <c r="T366">
        <v>0</v>
      </c>
      <c r="U366">
        <v>25</v>
      </c>
      <c r="V366">
        <v>0</v>
      </c>
      <c r="W366">
        <v>0</v>
      </c>
      <c r="X366">
        <v>0</v>
      </c>
      <c r="Y366">
        <v>28</v>
      </c>
      <c r="Z366">
        <v>0</v>
      </c>
      <c r="AA366">
        <v>-205</v>
      </c>
      <c r="AB366">
        <v>0</v>
      </c>
      <c r="AC366">
        <v>0</v>
      </c>
      <c r="AD366">
        <v>0</v>
      </c>
      <c r="AE366">
        <v>0</v>
      </c>
      <c r="AF366">
        <v>0</v>
      </c>
      <c r="AG366">
        <v>8</v>
      </c>
      <c r="AH366">
        <v>0</v>
      </c>
      <c r="AI366">
        <v>-117</v>
      </c>
      <c r="AJ366">
        <v>0</v>
      </c>
      <c r="AK366">
        <v>0</v>
      </c>
      <c r="AL366">
        <v>0</v>
      </c>
      <c r="AM366">
        <v>0</v>
      </c>
      <c r="AN366">
        <v>0</v>
      </c>
      <c r="AO366">
        <v>0</v>
      </c>
      <c r="AP366">
        <v>0</v>
      </c>
      <c r="AQ366">
        <v>0</v>
      </c>
      <c r="AR366">
        <v>0</v>
      </c>
      <c r="AS366">
        <v>0</v>
      </c>
      <c r="AT366">
        <v>0</v>
      </c>
      <c r="AU366">
        <v>0</v>
      </c>
      <c r="AV366">
        <v>0</v>
      </c>
      <c r="AW366">
        <v>0</v>
      </c>
      <c r="AX366">
        <v>0</v>
      </c>
      <c r="AY366">
        <v>0</v>
      </c>
      <c r="AZ366">
        <v>0</v>
      </c>
      <c r="BA366">
        <v>0</v>
      </c>
      <c r="BB366">
        <v>0</v>
      </c>
      <c r="BC366">
        <v>0</v>
      </c>
      <c r="BD366">
        <v>0</v>
      </c>
      <c r="BE366">
        <v>0</v>
      </c>
      <c r="BF366">
        <v>0</v>
      </c>
      <c r="BG366">
        <v>0</v>
      </c>
      <c r="BH366">
        <v>0</v>
      </c>
      <c r="BI366">
        <v>0</v>
      </c>
      <c r="BJ366">
        <v>0</v>
      </c>
      <c r="BK366">
        <v>0</v>
      </c>
      <c r="BL366">
        <v>0</v>
      </c>
      <c r="BM366">
        <v>0</v>
      </c>
      <c r="BN366">
        <v>0</v>
      </c>
      <c r="BO366">
        <v>0</v>
      </c>
      <c r="BP366">
        <v>0</v>
      </c>
      <c r="BQ366">
        <v>0</v>
      </c>
      <c r="BR366">
        <v>0</v>
      </c>
      <c r="BS366">
        <v>413</v>
      </c>
      <c r="BT366">
        <v>0</v>
      </c>
      <c r="BU366">
        <v>0</v>
      </c>
      <c r="BV366">
        <v>0</v>
      </c>
      <c r="BW366">
        <v>413</v>
      </c>
      <c r="BX366">
        <v>0</v>
      </c>
      <c r="BY366">
        <v>0</v>
      </c>
      <c r="BZ366">
        <v>0</v>
      </c>
      <c r="CA366">
        <v>0</v>
      </c>
      <c r="CB366">
        <v>0</v>
      </c>
      <c r="CC366">
        <v>0</v>
      </c>
      <c r="CD366">
        <v>0</v>
      </c>
      <c r="CE366">
        <v>0</v>
      </c>
      <c r="CF366">
        <v>0</v>
      </c>
      <c r="CG366">
        <v>0</v>
      </c>
      <c r="CH366">
        <v>0</v>
      </c>
      <c r="CI366">
        <v>0</v>
      </c>
      <c r="CJ366">
        <v>0</v>
      </c>
      <c r="CK366">
        <v>0</v>
      </c>
      <c r="CL366">
        <v>0</v>
      </c>
      <c r="CM366">
        <v>0</v>
      </c>
      <c r="CN366">
        <v>0</v>
      </c>
      <c r="CO366">
        <v>0</v>
      </c>
      <c r="CP366">
        <v>98</v>
      </c>
      <c r="CQ366">
        <v>0</v>
      </c>
      <c r="CR366">
        <v>0</v>
      </c>
      <c r="CS366">
        <v>0</v>
      </c>
      <c r="CT366">
        <v>0</v>
      </c>
      <c r="CU366">
        <v>22</v>
      </c>
      <c r="CV366">
        <v>1157</v>
      </c>
      <c r="CW366">
        <v>0</v>
      </c>
      <c r="CX366">
        <v>0</v>
      </c>
      <c r="CY366">
        <v>0</v>
      </c>
      <c r="CZ366">
        <v>0</v>
      </c>
      <c r="DA366">
        <v>0</v>
      </c>
      <c r="DB366">
        <v>0</v>
      </c>
      <c r="DC366">
        <v>50</v>
      </c>
      <c r="DD366">
        <v>0</v>
      </c>
      <c r="DE366">
        <v>240</v>
      </c>
      <c r="DF366">
        <v>203</v>
      </c>
      <c r="DG366">
        <v>0</v>
      </c>
      <c r="DH366">
        <v>0</v>
      </c>
      <c r="DI366">
        <v>0</v>
      </c>
      <c r="DJ366">
        <v>275</v>
      </c>
      <c r="DK366">
        <v>0</v>
      </c>
      <c r="DL366">
        <v>0</v>
      </c>
      <c r="DM366">
        <v>187</v>
      </c>
      <c r="DN366">
        <v>218</v>
      </c>
      <c r="DO366">
        <v>508</v>
      </c>
      <c r="DP366">
        <v>1188</v>
      </c>
      <c r="DQ366">
        <v>359</v>
      </c>
      <c r="DR366">
        <v>0</v>
      </c>
      <c r="DS366">
        <v>425</v>
      </c>
      <c r="DT366">
        <v>481</v>
      </c>
      <c r="DU366">
        <v>-19</v>
      </c>
      <c r="DV366">
        <v>0</v>
      </c>
      <c r="DW366">
        <v>0</v>
      </c>
      <c r="DX366">
        <v>2927</v>
      </c>
      <c r="DY366">
        <v>12813</v>
      </c>
      <c r="DZ366">
        <v>235</v>
      </c>
      <c r="EA366">
        <v>472</v>
      </c>
      <c r="EB366">
        <v>44</v>
      </c>
      <c r="EC366">
        <v>0</v>
      </c>
      <c r="ED366">
        <v>7</v>
      </c>
      <c r="EE366">
        <v>0</v>
      </c>
      <c r="EF366">
        <v>0</v>
      </c>
      <c r="EG366">
        <v>0</v>
      </c>
      <c r="EH366">
        <v>4117</v>
      </c>
      <c r="EI366">
        <v>1649</v>
      </c>
      <c r="EJ366">
        <v>1023</v>
      </c>
      <c r="EK366">
        <v>426</v>
      </c>
      <c r="EL366">
        <v>1322</v>
      </c>
      <c r="EM366">
        <v>4610</v>
      </c>
      <c r="EN366">
        <v>187</v>
      </c>
      <c r="EO366">
        <v>66</v>
      </c>
      <c r="EP366">
        <v>0</v>
      </c>
      <c r="EQ366">
        <v>215</v>
      </c>
      <c r="ER366">
        <v>64</v>
      </c>
      <c r="ES366">
        <v>5310</v>
      </c>
      <c r="ET366">
        <v>5202</v>
      </c>
      <c r="EU366">
        <v>0</v>
      </c>
      <c r="EV366">
        <v>0</v>
      </c>
      <c r="EW366">
        <v>182</v>
      </c>
      <c r="EX366">
        <v>0</v>
      </c>
      <c r="EY366">
        <v>384</v>
      </c>
      <c r="EZ366">
        <v>36</v>
      </c>
      <c r="FA366">
        <v>210</v>
      </c>
      <c r="FB366">
        <v>244</v>
      </c>
      <c r="FC366">
        <v>2298</v>
      </c>
      <c r="FD366">
        <v>1326</v>
      </c>
      <c r="FE366">
        <v>0</v>
      </c>
      <c r="FF366">
        <v>361</v>
      </c>
      <c r="FG366">
        <v>0</v>
      </c>
      <c r="FH366">
        <v>5041</v>
      </c>
      <c r="FI366">
        <v>70</v>
      </c>
      <c r="FJ366">
        <v>0</v>
      </c>
      <c r="FK366">
        <v>0</v>
      </c>
      <c r="FL366">
        <v>386</v>
      </c>
      <c r="FM366">
        <v>180</v>
      </c>
      <c r="FN366">
        <v>116</v>
      </c>
      <c r="FO366">
        <v>52</v>
      </c>
      <c r="FP366">
        <v>61</v>
      </c>
      <c r="FQ366">
        <v>0</v>
      </c>
      <c r="FR366">
        <v>3</v>
      </c>
      <c r="FS366">
        <v>605</v>
      </c>
      <c r="FT366">
        <v>67</v>
      </c>
      <c r="FU366">
        <v>180</v>
      </c>
      <c r="FV366">
        <v>322</v>
      </c>
      <c r="FW366">
        <v>0</v>
      </c>
      <c r="FX366">
        <v>105</v>
      </c>
      <c r="FY366">
        <v>0</v>
      </c>
      <c r="FZ366">
        <v>36</v>
      </c>
      <c r="GA366">
        <v>0</v>
      </c>
      <c r="GB366">
        <v>547</v>
      </c>
      <c r="GC366">
        <v>0</v>
      </c>
      <c r="GD366">
        <v>1901</v>
      </c>
      <c r="GE366">
        <v>1955</v>
      </c>
      <c r="GF366">
        <v>0</v>
      </c>
      <c r="GG366">
        <v>0</v>
      </c>
      <c r="GH366">
        <v>579</v>
      </c>
      <c r="GI366">
        <v>0</v>
      </c>
      <c r="GJ366">
        <v>0</v>
      </c>
      <c r="GK366">
        <v>7165</v>
      </c>
      <c r="GL366">
        <v>211</v>
      </c>
      <c r="GM366">
        <v>1113</v>
      </c>
      <c r="GN366">
        <v>0</v>
      </c>
      <c r="GO366">
        <v>828</v>
      </c>
      <c r="GP366">
        <v>10</v>
      </c>
      <c r="GQ366">
        <v>431</v>
      </c>
      <c r="GR366">
        <v>0</v>
      </c>
      <c r="GS366">
        <v>5405</v>
      </c>
      <c r="GT366">
        <v>191</v>
      </c>
      <c r="GU366">
        <v>8189</v>
      </c>
      <c r="GV366">
        <v>20395</v>
      </c>
      <c r="GW366">
        <v>0</v>
      </c>
      <c r="GX366">
        <v>0</v>
      </c>
      <c r="GY366">
        <v>0</v>
      </c>
      <c r="GZ366">
        <v>0</v>
      </c>
      <c r="HA366">
        <v>0</v>
      </c>
      <c r="HB366">
        <v>1908</v>
      </c>
      <c r="HC366">
        <v>603</v>
      </c>
      <c r="HD366">
        <v>0</v>
      </c>
      <c r="HE366">
        <v>97</v>
      </c>
      <c r="HF366">
        <v>165</v>
      </c>
      <c r="HG366">
        <v>-128</v>
      </c>
      <c r="HH366">
        <v>0</v>
      </c>
      <c r="HI366">
        <v>0</v>
      </c>
      <c r="HJ366">
        <v>202</v>
      </c>
      <c r="HK366">
        <v>137</v>
      </c>
      <c r="HL366">
        <v>85</v>
      </c>
      <c r="HM366">
        <v>-70</v>
      </c>
      <c r="HN366">
        <v>0</v>
      </c>
      <c r="HO366">
        <v>-208</v>
      </c>
      <c r="HP366">
        <v>0</v>
      </c>
      <c r="HQ366">
        <v>0</v>
      </c>
      <c r="HR366">
        <v>134</v>
      </c>
      <c r="HS366">
        <v>3</v>
      </c>
      <c r="HT366">
        <v>0</v>
      </c>
      <c r="HU366">
        <v>237</v>
      </c>
      <c r="HV366">
        <v>3165</v>
      </c>
      <c r="HW366">
        <v>6818</v>
      </c>
      <c r="HX366">
        <v>14410</v>
      </c>
      <c r="HY366">
        <v>0</v>
      </c>
      <c r="HZ366">
        <v>3220</v>
      </c>
      <c r="IA366">
        <v>85</v>
      </c>
      <c r="IB366">
        <v>0</v>
      </c>
      <c r="IC366">
        <v>0</v>
      </c>
      <c r="ID366">
        <v>-117</v>
      </c>
      <c r="IE366">
        <v>0</v>
      </c>
      <c r="IF366">
        <v>413</v>
      </c>
      <c r="IG366">
        <v>1157</v>
      </c>
      <c r="IH366">
        <v>2927</v>
      </c>
      <c r="II366">
        <v>5041</v>
      </c>
      <c r="IJ366">
        <v>7165</v>
      </c>
      <c r="IK366">
        <v>8189</v>
      </c>
      <c r="IL366">
        <v>0</v>
      </c>
      <c r="IM366">
        <v>0</v>
      </c>
      <c r="IN366">
        <v>3165</v>
      </c>
      <c r="IO366">
        <v>0</v>
      </c>
      <c r="IP366">
        <v>27940</v>
      </c>
      <c r="IQ366">
        <v>31990</v>
      </c>
      <c r="IR366">
        <v>372</v>
      </c>
      <c r="IS366">
        <v>6026</v>
      </c>
      <c r="IT366">
        <v>0</v>
      </c>
      <c r="IU366">
        <v>0</v>
      </c>
      <c r="IV366">
        <v>2100</v>
      </c>
      <c r="IW366">
        <v>0</v>
      </c>
      <c r="IX366">
        <v>0</v>
      </c>
      <c r="IY366">
        <v>0</v>
      </c>
      <c r="IZ366">
        <v>0</v>
      </c>
      <c r="JA366">
        <v>0</v>
      </c>
      <c r="JB366">
        <v>0</v>
      </c>
      <c r="JC366">
        <v>0</v>
      </c>
      <c r="JD366">
        <v>0</v>
      </c>
      <c r="JE366">
        <v>0</v>
      </c>
      <c r="JF366">
        <v>-18</v>
      </c>
      <c r="JG366">
        <v>68410</v>
      </c>
      <c r="JH366">
        <v>0</v>
      </c>
      <c r="JI366">
        <v>3037</v>
      </c>
      <c r="JJ366">
        <v>0</v>
      </c>
      <c r="JK366">
        <v>0</v>
      </c>
      <c r="JL366">
        <v>0</v>
      </c>
      <c r="JM366">
        <v>-84</v>
      </c>
      <c r="JN366">
        <v>209</v>
      </c>
      <c r="JO366">
        <v>0</v>
      </c>
      <c r="JP366">
        <v>1339</v>
      </c>
      <c r="JQ366">
        <v>-1381</v>
      </c>
      <c r="JR366">
        <v>71530</v>
      </c>
      <c r="JS366">
        <v>-466</v>
      </c>
      <c r="JT366">
        <v>0</v>
      </c>
      <c r="JU366">
        <v>0</v>
      </c>
      <c r="JV366">
        <v>0</v>
      </c>
      <c r="JW366">
        <v>-39042</v>
      </c>
      <c r="JX366">
        <v>0</v>
      </c>
      <c r="JY366">
        <v>0</v>
      </c>
      <c r="JZ366">
        <v>0</v>
      </c>
      <c r="KA366">
        <v>0</v>
      </c>
      <c r="KB366">
        <v>0</v>
      </c>
      <c r="KC366">
        <v>32022</v>
      </c>
      <c r="KD366">
        <v>0</v>
      </c>
      <c r="KE366">
        <v>-9003</v>
      </c>
      <c r="KF366">
        <v>23019</v>
      </c>
      <c r="KG366">
        <v>0</v>
      </c>
      <c r="KH366">
        <v>0</v>
      </c>
      <c r="KI366">
        <v>0</v>
      </c>
      <c r="KJ366">
        <v>0</v>
      </c>
      <c r="KK366">
        <v>-5232</v>
      </c>
      <c r="KL366">
        <v>0</v>
      </c>
      <c r="KM366">
        <v>-431</v>
      </c>
      <c r="KN366">
        <v>0</v>
      </c>
      <c r="KO366">
        <v>-2172</v>
      </c>
      <c r="KP366">
        <v>-27</v>
      </c>
      <c r="KQ366">
        <v>0</v>
      </c>
      <c r="KR366">
        <v>10705</v>
      </c>
      <c r="KS366">
        <v>0</v>
      </c>
      <c r="KT366">
        <v>0</v>
      </c>
      <c r="KU366">
        <v>0</v>
      </c>
      <c r="KV366">
        <v>39303</v>
      </c>
      <c r="KW366">
        <v>4000</v>
      </c>
      <c r="KX366">
        <v>0</v>
      </c>
      <c r="KY366">
        <v>0</v>
      </c>
      <c r="KZ366">
        <v>0</v>
      </c>
      <c r="LA366">
        <v>34071</v>
      </c>
      <c r="LB366">
        <v>4000</v>
      </c>
      <c r="LC366">
        <v>0</v>
      </c>
      <c r="LD366">
        <v>4021</v>
      </c>
      <c r="LE366">
        <v>0</v>
      </c>
      <c r="LF366">
        <v>859</v>
      </c>
      <c r="LG366">
        <v>-679</v>
      </c>
      <c r="LH366">
        <v>679</v>
      </c>
      <c r="LI366">
        <v>4757</v>
      </c>
      <c r="LJ366">
        <v>6622</v>
      </c>
      <c r="LK366">
        <v>5118</v>
      </c>
      <c r="LL366">
        <v>11740</v>
      </c>
      <c r="LM366">
        <v>37</v>
      </c>
      <c r="LN366">
        <v>0</v>
      </c>
      <c r="LO366">
        <v>0</v>
      </c>
      <c r="LP366">
        <v>13571</v>
      </c>
      <c r="LQ366">
        <v>13679</v>
      </c>
      <c r="LR366">
        <v>-108</v>
      </c>
      <c r="LS366">
        <v>5310</v>
      </c>
      <c r="LT366">
        <v>5202</v>
      </c>
      <c r="LU366">
        <v>0</v>
      </c>
      <c r="LV366">
        <v>-117</v>
      </c>
      <c r="LW366">
        <v>0</v>
      </c>
      <c r="LX366">
        <v>413</v>
      </c>
      <c r="LY366">
        <v>1157</v>
      </c>
      <c r="LZ366">
        <v>2927</v>
      </c>
      <c r="MA366">
        <v>5041</v>
      </c>
      <c r="MB366">
        <v>7165</v>
      </c>
      <c r="MC366">
        <v>8189</v>
      </c>
      <c r="MD366">
        <v>0</v>
      </c>
      <c r="ME366">
        <v>0</v>
      </c>
      <c r="MF366">
        <v>3165</v>
      </c>
      <c r="MG366">
        <v>0</v>
      </c>
      <c r="MH366">
        <v>27940</v>
      </c>
      <c r="MI366">
        <v>0</v>
      </c>
      <c r="MJ366">
        <v>0</v>
      </c>
      <c r="MK366">
        <v>0</v>
      </c>
      <c r="ML366">
        <v>0</v>
      </c>
      <c r="MM366">
        <v>0</v>
      </c>
      <c r="MN366">
        <v>0</v>
      </c>
      <c r="MO366">
        <v>0</v>
      </c>
      <c r="MP366">
        <v>0</v>
      </c>
      <c r="MQ366">
        <v>0</v>
      </c>
      <c r="MR366">
        <v>0</v>
      </c>
      <c r="MS366">
        <v>0</v>
      </c>
      <c r="MT366">
        <v>0</v>
      </c>
      <c r="MU366">
        <v>0</v>
      </c>
      <c r="MV366">
        <v>0</v>
      </c>
      <c r="MW366">
        <v>0</v>
      </c>
      <c r="MX366">
        <v>0</v>
      </c>
      <c r="MY366">
        <v>0</v>
      </c>
      <c r="MZ366">
        <v>0</v>
      </c>
      <c r="NA366">
        <v>0</v>
      </c>
      <c r="NB366">
        <v>0</v>
      </c>
      <c r="NC366">
        <v>0</v>
      </c>
      <c r="ND366">
        <v>0</v>
      </c>
      <c r="NE366">
        <v>0</v>
      </c>
      <c r="NF366">
        <v>0</v>
      </c>
      <c r="NG366">
        <v>0</v>
      </c>
      <c r="NH366">
        <v>0</v>
      </c>
      <c r="NI366">
        <v>0</v>
      </c>
      <c r="NJ366">
        <v>0</v>
      </c>
      <c r="NK366">
        <v>0</v>
      </c>
      <c r="NL366">
        <v>0</v>
      </c>
      <c r="NM366">
        <v>0</v>
      </c>
      <c r="NN366">
        <v>0</v>
      </c>
      <c r="NO366">
        <v>0</v>
      </c>
      <c r="NP366">
        <v>0</v>
      </c>
      <c r="NQ366">
        <v>0</v>
      </c>
      <c r="NR366">
        <v>0</v>
      </c>
      <c r="NS366">
        <v>0</v>
      </c>
      <c r="NT366">
        <v>0</v>
      </c>
      <c r="NU366">
        <v>0</v>
      </c>
      <c r="NV366">
        <v>0</v>
      </c>
      <c r="NW366">
        <v>0</v>
      </c>
      <c r="NX366">
        <v>0</v>
      </c>
      <c r="NY366">
        <v>0</v>
      </c>
      <c r="NZ366">
        <v>0</v>
      </c>
      <c r="OA366">
        <v>0</v>
      </c>
      <c r="OB366">
        <v>0</v>
      </c>
      <c r="OC366">
        <v>0</v>
      </c>
      <c r="OD366">
        <v>0</v>
      </c>
      <c r="OE366">
        <v>0</v>
      </c>
      <c r="OF366">
        <v>0</v>
      </c>
      <c r="OG366">
        <v>0</v>
      </c>
      <c r="OH366">
        <v>0</v>
      </c>
      <c r="OI366">
        <v>0</v>
      </c>
      <c r="OJ366">
        <v>0</v>
      </c>
      <c r="OK366">
        <v>0</v>
      </c>
      <c r="OL366">
        <v>0</v>
      </c>
      <c r="OM366">
        <v>0</v>
      </c>
      <c r="ON366">
        <v>0</v>
      </c>
    </row>
    <row r="367" spans="1:404" x14ac:dyDescent="0.25">
      <c r="A367" t="s">
        <v>1173</v>
      </c>
      <c r="B367" t="s">
        <v>1174</v>
      </c>
      <c r="C367" t="s">
        <v>1172</v>
      </c>
      <c r="E367" t="s">
        <v>61</v>
      </c>
      <c r="F367">
        <v>0</v>
      </c>
      <c r="G367">
        <v>0</v>
      </c>
      <c r="H367">
        <v>0</v>
      </c>
      <c r="I367">
        <v>0</v>
      </c>
      <c r="J367">
        <v>0</v>
      </c>
      <c r="K367">
        <v>0</v>
      </c>
      <c r="L367">
        <v>0</v>
      </c>
      <c r="M367">
        <v>0</v>
      </c>
      <c r="N367">
        <v>13</v>
      </c>
      <c r="O367">
        <v>0</v>
      </c>
      <c r="P367">
        <v>0</v>
      </c>
      <c r="Q367">
        <v>0</v>
      </c>
      <c r="R367">
        <v>11</v>
      </c>
      <c r="S367">
        <v>40</v>
      </c>
      <c r="T367">
        <v>0</v>
      </c>
      <c r="U367">
        <v>0</v>
      </c>
      <c r="V367">
        <v>0</v>
      </c>
      <c r="W367">
        <v>0</v>
      </c>
      <c r="X367">
        <v>0</v>
      </c>
      <c r="Y367">
        <v>32</v>
      </c>
      <c r="Z367">
        <v>0</v>
      </c>
      <c r="AA367">
        <v>-584</v>
      </c>
      <c r="AB367">
        <v>0</v>
      </c>
      <c r="AC367">
        <v>0</v>
      </c>
      <c r="AD367">
        <v>42</v>
      </c>
      <c r="AE367">
        <v>0</v>
      </c>
      <c r="AF367">
        <v>0</v>
      </c>
      <c r="AG367">
        <v>47</v>
      </c>
      <c r="AH367">
        <v>0</v>
      </c>
      <c r="AI367">
        <v>-399</v>
      </c>
      <c r="AJ367">
        <v>0</v>
      </c>
      <c r="AK367">
        <v>0</v>
      </c>
      <c r="AL367">
        <v>0</v>
      </c>
      <c r="AM367">
        <v>0</v>
      </c>
      <c r="AN367">
        <v>0</v>
      </c>
      <c r="AO367">
        <v>0</v>
      </c>
      <c r="AP367">
        <v>0</v>
      </c>
      <c r="AQ367">
        <v>0</v>
      </c>
      <c r="AR367">
        <v>0</v>
      </c>
      <c r="AS367">
        <v>0</v>
      </c>
      <c r="AT367">
        <v>0</v>
      </c>
      <c r="AU367">
        <v>0</v>
      </c>
      <c r="AV367">
        <v>0</v>
      </c>
      <c r="AW367">
        <v>0</v>
      </c>
      <c r="AX367">
        <v>0</v>
      </c>
      <c r="AY367">
        <v>0</v>
      </c>
      <c r="AZ367">
        <v>0</v>
      </c>
      <c r="BA367">
        <v>0</v>
      </c>
      <c r="BB367">
        <v>0</v>
      </c>
      <c r="BC367">
        <v>0</v>
      </c>
      <c r="BD367">
        <v>0</v>
      </c>
      <c r="BE367">
        <v>0</v>
      </c>
      <c r="BF367">
        <v>0</v>
      </c>
      <c r="BG367">
        <v>0</v>
      </c>
      <c r="BH367">
        <v>0</v>
      </c>
      <c r="BI367">
        <v>0</v>
      </c>
      <c r="BJ367">
        <v>0</v>
      </c>
      <c r="BK367">
        <v>0</v>
      </c>
      <c r="BL367">
        <v>0</v>
      </c>
      <c r="BM367">
        <v>0</v>
      </c>
      <c r="BN367">
        <v>0</v>
      </c>
      <c r="BO367">
        <v>0</v>
      </c>
      <c r="BP367">
        <v>0</v>
      </c>
      <c r="BQ367">
        <v>0</v>
      </c>
      <c r="BR367">
        <v>0</v>
      </c>
      <c r="BS367">
        <v>0</v>
      </c>
      <c r="BT367">
        <v>0</v>
      </c>
      <c r="BU367">
        <v>0</v>
      </c>
      <c r="BV367">
        <v>0</v>
      </c>
      <c r="BW367">
        <v>0</v>
      </c>
      <c r="BX367">
        <v>0</v>
      </c>
      <c r="BY367">
        <v>0</v>
      </c>
      <c r="BZ367">
        <v>0</v>
      </c>
      <c r="CA367">
        <v>0</v>
      </c>
      <c r="CB367">
        <v>0</v>
      </c>
      <c r="CC367">
        <v>0</v>
      </c>
      <c r="CD367">
        <v>0</v>
      </c>
      <c r="CE367">
        <v>0</v>
      </c>
      <c r="CF367">
        <v>0</v>
      </c>
      <c r="CG367">
        <v>0</v>
      </c>
      <c r="CH367">
        <v>0</v>
      </c>
      <c r="CI367">
        <v>0</v>
      </c>
      <c r="CJ367">
        <v>0</v>
      </c>
      <c r="CK367">
        <v>0</v>
      </c>
      <c r="CL367">
        <v>0</v>
      </c>
      <c r="CM367">
        <v>0</v>
      </c>
      <c r="CN367">
        <v>0</v>
      </c>
      <c r="CO367">
        <v>0</v>
      </c>
      <c r="CP367">
        <v>0</v>
      </c>
      <c r="CQ367">
        <v>0</v>
      </c>
      <c r="CR367">
        <v>0</v>
      </c>
      <c r="CS367">
        <v>0</v>
      </c>
      <c r="CT367">
        <v>0</v>
      </c>
      <c r="CU367">
        <v>0</v>
      </c>
      <c r="CV367">
        <v>0</v>
      </c>
      <c r="CW367">
        <v>0</v>
      </c>
      <c r="CX367">
        <v>0</v>
      </c>
      <c r="CY367">
        <v>0</v>
      </c>
      <c r="CZ367">
        <v>0</v>
      </c>
      <c r="DA367">
        <v>0</v>
      </c>
      <c r="DB367">
        <v>0</v>
      </c>
      <c r="DC367">
        <v>1295</v>
      </c>
      <c r="DD367">
        <v>0</v>
      </c>
      <c r="DE367">
        <v>-1229</v>
      </c>
      <c r="DF367">
        <v>0</v>
      </c>
      <c r="DG367">
        <v>18</v>
      </c>
      <c r="DH367">
        <v>0</v>
      </c>
      <c r="DI367">
        <v>17</v>
      </c>
      <c r="DJ367">
        <v>20</v>
      </c>
      <c r="DK367">
        <v>0</v>
      </c>
      <c r="DL367">
        <v>0</v>
      </c>
      <c r="DM367">
        <v>1</v>
      </c>
      <c r="DN367">
        <v>920</v>
      </c>
      <c r="DO367">
        <v>112</v>
      </c>
      <c r="DP367">
        <v>1088</v>
      </c>
      <c r="DQ367">
        <v>0</v>
      </c>
      <c r="DR367">
        <v>0</v>
      </c>
      <c r="DS367">
        <v>0</v>
      </c>
      <c r="DT367">
        <v>683</v>
      </c>
      <c r="DU367">
        <v>0</v>
      </c>
      <c r="DV367">
        <v>0</v>
      </c>
      <c r="DW367">
        <v>0</v>
      </c>
      <c r="DX367">
        <v>1837</v>
      </c>
      <c r="DY367">
        <v>0</v>
      </c>
      <c r="DZ367">
        <v>0</v>
      </c>
      <c r="EA367">
        <v>0</v>
      </c>
      <c r="EB367">
        <v>0</v>
      </c>
      <c r="EC367">
        <v>0</v>
      </c>
      <c r="ED367">
        <v>0</v>
      </c>
      <c r="EE367">
        <v>0</v>
      </c>
      <c r="EF367">
        <v>0</v>
      </c>
      <c r="EG367">
        <v>0</v>
      </c>
      <c r="EH367">
        <v>0</v>
      </c>
      <c r="EI367">
        <v>0</v>
      </c>
      <c r="EJ367">
        <v>0</v>
      </c>
      <c r="EK367">
        <v>0</v>
      </c>
      <c r="EL367">
        <v>0</v>
      </c>
      <c r="EM367">
        <v>0</v>
      </c>
      <c r="EN367">
        <v>0</v>
      </c>
      <c r="EO367">
        <v>0</v>
      </c>
      <c r="EP367">
        <v>0</v>
      </c>
      <c r="EQ367">
        <v>0</v>
      </c>
      <c r="ER367">
        <v>0</v>
      </c>
      <c r="ES367">
        <v>0</v>
      </c>
      <c r="ET367">
        <v>0</v>
      </c>
      <c r="EU367">
        <v>0</v>
      </c>
      <c r="EV367">
        <v>39</v>
      </c>
      <c r="EW367">
        <v>55</v>
      </c>
      <c r="EX367">
        <v>0</v>
      </c>
      <c r="EY367">
        <v>582</v>
      </c>
      <c r="EZ367">
        <v>383</v>
      </c>
      <c r="FA367">
        <v>0</v>
      </c>
      <c r="FB367">
        <v>31</v>
      </c>
      <c r="FC367">
        <v>1408</v>
      </c>
      <c r="FD367">
        <v>634</v>
      </c>
      <c r="FE367">
        <v>0</v>
      </c>
      <c r="FF367">
        <v>101</v>
      </c>
      <c r="FG367">
        <v>0</v>
      </c>
      <c r="FH367">
        <v>3233</v>
      </c>
      <c r="FI367">
        <v>111</v>
      </c>
      <c r="FJ367">
        <v>0</v>
      </c>
      <c r="FK367">
        <v>243</v>
      </c>
      <c r="FL367">
        <v>250</v>
      </c>
      <c r="FM367">
        <v>67</v>
      </c>
      <c r="FN367">
        <v>31</v>
      </c>
      <c r="FO367">
        <v>48</v>
      </c>
      <c r="FP367">
        <v>0</v>
      </c>
      <c r="FQ367">
        <v>0</v>
      </c>
      <c r="FR367">
        <v>77</v>
      </c>
      <c r="FS367">
        <v>112</v>
      </c>
      <c r="FT367">
        <v>166</v>
      </c>
      <c r="FU367">
        <v>-13</v>
      </c>
      <c r="FV367">
        <v>0</v>
      </c>
      <c r="FW367">
        <v>195</v>
      </c>
      <c r="FX367">
        <v>0</v>
      </c>
      <c r="FY367">
        <v>0</v>
      </c>
      <c r="FZ367">
        <v>0</v>
      </c>
      <c r="GA367">
        <v>0</v>
      </c>
      <c r="GB367">
        <v>0</v>
      </c>
      <c r="GC367">
        <v>0</v>
      </c>
      <c r="GD367">
        <v>1535</v>
      </c>
      <c r="GE367">
        <v>640</v>
      </c>
      <c r="GF367">
        <v>0</v>
      </c>
      <c r="GG367">
        <v>0</v>
      </c>
      <c r="GH367">
        <v>1025</v>
      </c>
      <c r="GI367">
        <v>107</v>
      </c>
      <c r="GJ367">
        <v>0</v>
      </c>
      <c r="GK367">
        <v>4594</v>
      </c>
      <c r="GL367">
        <v>122</v>
      </c>
      <c r="GM367">
        <v>2547</v>
      </c>
      <c r="GN367">
        <v>0</v>
      </c>
      <c r="GO367">
        <v>1442</v>
      </c>
      <c r="GP367">
        <v>157</v>
      </c>
      <c r="GQ367">
        <v>122</v>
      </c>
      <c r="GR367">
        <v>0</v>
      </c>
      <c r="GS367">
        <v>0</v>
      </c>
      <c r="GT367">
        <v>1110</v>
      </c>
      <c r="GU367">
        <v>5500</v>
      </c>
      <c r="GV367">
        <v>13327</v>
      </c>
      <c r="GW367">
        <v>0</v>
      </c>
      <c r="GX367">
        <v>0</v>
      </c>
      <c r="GY367">
        <v>0</v>
      </c>
      <c r="GZ367">
        <v>0</v>
      </c>
      <c r="HA367">
        <v>0</v>
      </c>
      <c r="HB367">
        <v>1779</v>
      </c>
      <c r="HC367">
        <v>477</v>
      </c>
      <c r="HD367">
        <v>0</v>
      </c>
      <c r="HE367">
        <v>-7</v>
      </c>
      <c r="HF367">
        <v>533</v>
      </c>
      <c r="HG367">
        <v>1601</v>
      </c>
      <c r="HH367">
        <v>0</v>
      </c>
      <c r="HI367">
        <v>0</v>
      </c>
      <c r="HJ367">
        <v>75</v>
      </c>
      <c r="HK367">
        <v>188</v>
      </c>
      <c r="HL367">
        <v>36</v>
      </c>
      <c r="HM367">
        <v>-77</v>
      </c>
      <c r="HN367">
        <v>0</v>
      </c>
      <c r="HO367">
        <v>0</v>
      </c>
      <c r="HP367">
        <v>0</v>
      </c>
      <c r="HQ367">
        <v>0</v>
      </c>
      <c r="HR367">
        <v>192</v>
      </c>
      <c r="HS367">
        <v>0</v>
      </c>
      <c r="HT367">
        <v>90</v>
      </c>
      <c r="HU367">
        <v>303</v>
      </c>
      <c r="HV367">
        <v>5190</v>
      </c>
      <c r="HW367">
        <v>180</v>
      </c>
      <c r="HX367">
        <v>6691</v>
      </c>
      <c r="HY367">
        <v>0</v>
      </c>
      <c r="HZ367">
        <v>19</v>
      </c>
      <c r="IA367">
        <v>143</v>
      </c>
      <c r="IB367">
        <v>0</v>
      </c>
      <c r="IC367">
        <v>0</v>
      </c>
      <c r="ID367">
        <v>-399</v>
      </c>
      <c r="IE367">
        <v>0</v>
      </c>
      <c r="IF367">
        <v>0</v>
      </c>
      <c r="IG367">
        <v>0</v>
      </c>
      <c r="IH367">
        <v>1837</v>
      </c>
      <c r="II367">
        <v>3233</v>
      </c>
      <c r="IJ367">
        <v>4594</v>
      </c>
      <c r="IK367">
        <v>5500</v>
      </c>
      <c r="IL367">
        <v>0</v>
      </c>
      <c r="IM367">
        <v>0</v>
      </c>
      <c r="IN367">
        <v>5190</v>
      </c>
      <c r="IO367">
        <v>0</v>
      </c>
      <c r="IP367">
        <v>19955</v>
      </c>
      <c r="IQ367">
        <v>18399</v>
      </c>
      <c r="IR367">
        <v>301</v>
      </c>
      <c r="IS367">
        <v>0</v>
      </c>
      <c r="IT367">
        <v>0</v>
      </c>
      <c r="IU367">
        <v>0</v>
      </c>
      <c r="IV367">
        <v>1763</v>
      </c>
      <c r="IW367">
        <v>0</v>
      </c>
      <c r="IX367">
        <v>0</v>
      </c>
      <c r="IY367">
        <v>0</v>
      </c>
      <c r="IZ367">
        <v>62</v>
      </c>
      <c r="JA367">
        <v>-8305</v>
      </c>
      <c r="JB367">
        <v>279</v>
      </c>
      <c r="JC367">
        <v>0</v>
      </c>
      <c r="JD367">
        <v>0</v>
      </c>
      <c r="JE367">
        <v>0</v>
      </c>
      <c r="JF367">
        <v>-3</v>
      </c>
      <c r="JG367">
        <v>32451</v>
      </c>
      <c r="JH367">
        <v>0</v>
      </c>
      <c r="JI367">
        <v>3603</v>
      </c>
      <c r="JJ367">
        <v>0</v>
      </c>
      <c r="JK367">
        <v>0</v>
      </c>
      <c r="JL367">
        <v>0</v>
      </c>
      <c r="JM367">
        <v>0</v>
      </c>
      <c r="JN367">
        <v>196</v>
      </c>
      <c r="JO367">
        <v>0</v>
      </c>
      <c r="JP367">
        <v>156</v>
      </c>
      <c r="JQ367">
        <v>0</v>
      </c>
      <c r="JR367">
        <v>36406</v>
      </c>
      <c r="JS367">
        <v>-448</v>
      </c>
      <c r="JT367">
        <v>0</v>
      </c>
      <c r="JU367">
        <v>0</v>
      </c>
      <c r="JV367">
        <v>0</v>
      </c>
      <c r="JW367">
        <v>-20321</v>
      </c>
      <c r="JX367">
        <v>0</v>
      </c>
      <c r="JY367">
        <v>-46</v>
      </c>
      <c r="JZ367">
        <v>0</v>
      </c>
      <c r="KA367">
        <v>0</v>
      </c>
      <c r="KB367">
        <v>0</v>
      </c>
      <c r="KC367">
        <v>15591</v>
      </c>
      <c r="KD367">
        <v>0</v>
      </c>
      <c r="KE367">
        <v>-5059</v>
      </c>
      <c r="KF367">
        <v>10532</v>
      </c>
      <c r="KG367">
        <v>0</v>
      </c>
      <c r="KH367">
        <v>0</v>
      </c>
      <c r="KI367">
        <v>0</v>
      </c>
      <c r="KJ367">
        <v>0</v>
      </c>
      <c r="KK367">
        <v>968</v>
      </c>
      <c r="KL367">
        <v>0</v>
      </c>
      <c r="KM367">
        <v>0</v>
      </c>
      <c r="KN367">
        <v>0</v>
      </c>
      <c r="KO367">
        <v>2348</v>
      </c>
      <c r="KP367">
        <v>-101</v>
      </c>
      <c r="KQ367">
        <v>0</v>
      </c>
      <c r="KR367">
        <v>9589</v>
      </c>
      <c r="KS367">
        <v>0</v>
      </c>
      <c r="KT367">
        <v>0</v>
      </c>
      <c r="KU367">
        <v>0</v>
      </c>
      <c r="KV367">
        <v>34880</v>
      </c>
      <c r="KW367">
        <v>2604</v>
      </c>
      <c r="KX367">
        <v>0</v>
      </c>
      <c r="KY367">
        <v>0</v>
      </c>
      <c r="KZ367">
        <v>0</v>
      </c>
      <c r="LA367">
        <v>35848</v>
      </c>
      <c r="LB367">
        <v>2604</v>
      </c>
      <c r="LC367">
        <v>0</v>
      </c>
      <c r="LD367">
        <v>3024</v>
      </c>
      <c r="LE367">
        <v>0</v>
      </c>
      <c r="LF367">
        <v>-1285</v>
      </c>
      <c r="LG367">
        <v>0</v>
      </c>
      <c r="LH367">
        <v>2232</v>
      </c>
      <c r="LI367">
        <v>-1216</v>
      </c>
      <c r="LJ367">
        <v>2244</v>
      </c>
      <c r="LK367">
        <v>2968</v>
      </c>
      <c r="LL367">
        <v>5212</v>
      </c>
      <c r="LM367">
        <v>0</v>
      </c>
      <c r="LN367">
        <v>0</v>
      </c>
      <c r="LO367">
        <v>0</v>
      </c>
      <c r="LP367">
        <v>0</v>
      </c>
      <c r="LQ367">
        <v>0</v>
      </c>
      <c r="LR367">
        <v>0</v>
      </c>
      <c r="LS367">
        <v>0</v>
      </c>
      <c r="LT367">
        <v>0</v>
      </c>
      <c r="LU367">
        <v>0</v>
      </c>
      <c r="LV367">
        <v>-399</v>
      </c>
      <c r="LW367">
        <v>0</v>
      </c>
      <c r="LX367">
        <v>0</v>
      </c>
      <c r="LY367">
        <v>0</v>
      </c>
      <c r="LZ367">
        <v>1837</v>
      </c>
      <c r="MA367">
        <v>3233</v>
      </c>
      <c r="MB367">
        <v>4594</v>
      </c>
      <c r="MC367">
        <v>5500</v>
      </c>
      <c r="MD367">
        <v>0</v>
      </c>
      <c r="ME367">
        <v>0</v>
      </c>
      <c r="MF367">
        <v>5190</v>
      </c>
      <c r="MG367">
        <v>0</v>
      </c>
      <c r="MH367">
        <v>19955</v>
      </c>
      <c r="MI367">
        <v>0</v>
      </c>
      <c r="MJ367">
        <v>0</v>
      </c>
      <c r="MK367">
        <v>0</v>
      </c>
      <c r="ML367">
        <v>0</v>
      </c>
      <c r="MM367">
        <v>0</v>
      </c>
      <c r="MN367">
        <v>0</v>
      </c>
      <c r="MO367">
        <v>0</v>
      </c>
      <c r="MP367">
        <v>0</v>
      </c>
      <c r="MQ367">
        <v>0</v>
      </c>
      <c r="MR367">
        <v>0</v>
      </c>
      <c r="MS367">
        <v>0</v>
      </c>
      <c r="MT367">
        <v>0</v>
      </c>
      <c r="MU367">
        <v>0</v>
      </c>
      <c r="MV367">
        <v>0</v>
      </c>
      <c r="MW367">
        <v>-398</v>
      </c>
      <c r="MX367">
        <v>-6184</v>
      </c>
      <c r="MY367">
        <v>-1694</v>
      </c>
      <c r="MZ367">
        <v>-29</v>
      </c>
      <c r="NA367">
        <v>-8305</v>
      </c>
      <c r="NB367">
        <v>0</v>
      </c>
      <c r="NC367">
        <v>-8305</v>
      </c>
      <c r="ND367">
        <v>0</v>
      </c>
      <c r="NE367">
        <v>0</v>
      </c>
      <c r="NF367">
        <v>0</v>
      </c>
      <c r="NG367">
        <v>0</v>
      </c>
      <c r="NH367">
        <v>0</v>
      </c>
      <c r="NI367">
        <v>0</v>
      </c>
      <c r="NJ367">
        <v>0</v>
      </c>
      <c r="NK367">
        <v>0</v>
      </c>
      <c r="NL367">
        <v>0</v>
      </c>
      <c r="NM367">
        <v>0</v>
      </c>
      <c r="NN367">
        <v>6</v>
      </c>
      <c r="NO367">
        <v>111</v>
      </c>
      <c r="NP367">
        <v>0</v>
      </c>
      <c r="NQ367">
        <v>162</v>
      </c>
      <c r="NR367">
        <v>0</v>
      </c>
      <c r="NS367">
        <v>0</v>
      </c>
      <c r="NT367">
        <v>0</v>
      </c>
      <c r="NU367">
        <v>0</v>
      </c>
      <c r="NV367">
        <v>0</v>
      </c>
      <c r="NW367">
        <v>0</v>
      </c>
      <c r="NX367">
        <v>0</v>
      </c>
      <c r="NY367">
        <v>0</v>
      </c>
      <c r="NZ367">
        <v>279</v>
      </c>
      <c r="OA367">
        <v>0</v>
      </c>
      <c r="OB367">
        <v>279</v>
      </c>
      <c r="OC367">
        <v>0</v>
      </c>
      <c r="OD367">
        <v>0</v>
      </c>
      <c r="OE367">
        <v>0</v>
      </c>
      <c r="OF367">
        <v>0</v>
      </c>
      <c r="OG367">
        <v>0</v>
      </c>
      <c r="OH367">
        <v>0</v>
      </c>
      <c r="OI367">
        <v>0</v>
      </c>
      <c r="OJ367">
        <v>0</v>
      </c>
      <c r="OK367">
        <v>0</v>
      </c>
      <c r="OL367">
        <v>0</v>
      </c>
      <c r="OM367">
        <v>0</v>
      </c>
      <c r="ON367">
        <v>0</v>
      </c>
    </row>
    <row r="368" spans="1:404" x14ac:dyDescent="0.25">
      <c r="A368" t="s">
        <v>1176</v>
      </c>
      <c r="B368" t="s">
        <v>1177</v>
      </c>
      <c r="C368" t="s">
        <v>1175</v>
      </c>
      <c r="E368" t="s">
        <v>61</v>
      </c>
      <c r="F368">
        <v>0</v>
      </c>
      <c r="G368">
        <v>0</v>
      </c>
      <c r="H368">
        <v>0</v>
      </c>
      <c r="I368">
        <v>0</v>
      </c>
      <c r="J368">
        <v>0</v>
      </c>
      <c r="K368">
        <v>0</v>
      </c>
      <c r="L368">
        <v>0</v>
      </c>
      <c r="M368">
        <v>0</v>
      </c>
      <c r="N368">
        <v>3</v>
      </c>
      <c r="O368">
        <v>0</v>
      </c>
      <c r="P368">
        <v>0</v>
      </c>
      <c r="Q368">
        <v>0</v>
      </c>
      <c r="R368">
        <v>0</v>
      </c>
      <c r="S368">
        <v>0</v>
      </c>
      <c r="T368">
        <v>0</v>
      </c>
      <c r="U368">
        <v>0</v>
      </c>
      <c r="V368">
        <v>0</v>
      </c>
      <c r="W368">
        <v>0</v>
      </c>
      <c r="X368">
        <v>0</v>
      </c>
      <c r="Y368">
        <v>0</v>
      </c>
      <c r="Z368">
        <v>0</v>
      </c>
      <c r="AA368">
        <v>-247</v>
      </c>
      <c r="AB368">
        <v>0</v>
      </c>
      <c r="AC368">
        <v>0</v>
      </c>
      <c r="AD368">
        <v>0</v>
      </c>
      <c r="AE368">
        <v>0</v>
      </c>
      <c r="AF368">
        <v>0</v>
      </c>
      <c r="AG368">
        <v>0</v>
      </c>
      <c r="AH368">
        <v>0</v>
      </c>
      <c r="AI368">
        <v>-244</v>
      </c>
      <c r="AJ368">
        <v>0</v>
      </c>
      <c r="AK368">
        <v>0</v>
      </c>
      <c r="AL368">
        <v>0</v>
      </c>
      <c r="AM368">
        <v>0</v>
      </c>
      <c r="AN368">
        <v>0</v>
      </c>
      <c r="AO368">
        <v>0</v>
      </c>
      <c r="AP368">
        <v>0</v>
      </c>
      <c r="AQ368">
        <v>0</v>
      </c>
      <c r="AR368">
        <v>0</v>
      </c>
      <c r="AS368">
        <v>0</v>
      </c>
      <c r="AT368">
        <v>0</v>
      </c>
      <c r="AU368">
        <v>0</v>
      </c>
      <c r="AV368">
        <v>0</v>
      </c>
      <c r="AW368">
        <v>0</v>
      </c>
      <c r="AX368">
        <v>0</v>
      </c>
      <c r="AY368">
        <v>0</v>
      </c>
      <c r="AZ368">
        <v>0</v>
      </c>
      <c r="BA368">
        <v>0</v>
      </c>
      <c r="BB368">
        <v>0</v>
      </c>
      <c r="BC368">
        <v>0</v>
      </c>
      <c r="BD368">
        <v>0</v>
      </c>
      <c r="BE368">
        <v>0</v>
      </c>
      <c r="BF368">
        <v>0</v>
      </c>
      <c r="BG368">
        <v>0</v>
      </c>
      <c r="BH368">
        <v>0</v>
      </c>
      <c r="BI368">
        <v>0</v>
      </c>
      <c r="BJ368">
        <v>0</v>
      </c>
      <c r="BK368">
        <v>0</v>
      </c>
      <c r="BL368">
        <v>0</v>
      </c>
      <c r="BM368">
        <v>0</v>
      </c>
      <c r="BN368">
        <v>0</v>
      </c>
      <c r="BO368">
        <v>0</v>
      </c>
      <c r="BP368">
        <v>0</v>
      </c>
      <c r="BQ368">
        <v>0</v>
      </c>
      <c r="BR368">
        <v>0</v>
      </c>
      <c r="BS368">
        <v>0</v>
      </c>
      <c r="BT368">
        <v>0</v>
      </c>
      <c r="BU368">
        <v>0</v>
      </c>
      <c r="BV368">
        <v>0</v>
      </c>
      <c r="BW368">
        <v>0</v>
      </c>
      <c r="BX368">
        <v>0</v>
      </c>
      <c r="BY368">
        <v>0</v>
      </c>
      <c r="BZ368">
        <v>0</v>
      </c>
      <c r="CA368">
        <v>0</v>
      </c>
      <c r="CB368">
        <v>0</v>
      </c>
      <c r="CC368">
        <v>0</v>
      </c>
      <c r="CD368">
        <v>0</v>
      </c>
      <c r="CE368">
        <v>0</v>
      </c>
      <c r="CF368">
        <v>0</v>
      </c>
      <c r="CG368">
        <v>0</v>
      </c>
      <c r="CH368">
        <v>0</v>
      </c>
      <c r="CI368">
        <v>0</v>
      </c>
      <c r="CJ368">
        <v>0</v>
      </c>
      <c r="CK368">
        <v>0</v>
      </c>
      <c r="CL368">
        <v>0</v>
      </c>
      <c r="CM368">
        <v>0</v>
      </c>
      <c r="CN368">
        <v>0</v>
      </c>
      <c r="CO368">
        <v>0</v>
      </c>
      <c r="CP368">
        <v>0</v>
      </c>
      <c r="CQ368">
        <v>0</v>
      </c>
      <c r="CR368">
        <v>0</v>
      </c>
      <c r="CS368">
        <v>0</v>
      </c>
      <c r="CT368">
        <v>0</v>
      </c>
      <c r="CU368">
        <v>0</v>
      </c>
      <c r="CV368">
        <v>0</v>
      </c>
      <c r="CW368">
        <v>0</v>
      </c>
      <c r="CX368">
        <v>0</v>
      </c>
      <c r="CY368">
        <v>0</v>
      </c>
      <c r="CZ368">
        <v>0</v>
      </c>
      <c r="DA368">
        <v>0</v>
      </c>
      <c r="DB368">
        <v>0</v>
      </c>
      <c r="DC368">
        <v>-288</v>
      </c>
      <c r="DD368">
        <v>0</v>
      </c>
      <c r="DE368">
        <v>-5</v>
      </c>
      <c r="DF368">
        <v>0</v>
      </c>
      <c r="DG368">
        <v>0</v>
      </c>
      <c r="DH368">
        <v>0</v>
      </c>
      <c r="DI368">
        <v>0</v>
      </c>
      <c r="DJ368">
        <v>76</v>
      </c>
      <c r="DK368">
        <v>-16</v>
      </c>
      <c r="DL368">
        <v>0</v>
      </c>
      <c r="DM368">
        <v>0</v>
      </c>
      <c r="DN368">
        <v>134</v>
      </c>
      <c r="DO368">
        <v>0</v>
      </c>
      <c r="DP368">
        <v>194</v>
      </c>
      <c r="DQ368">
        <v>-105</v>
      </c>
      <c r="DR368">
        <v>0</v>
      </c>
      <c r="DS368">
        <v>0</v>
      </c>
      <c r="DT368">
        <v>-135</v>
      </c>
      <c r="DU368">
        <v>-14</v>
      </c>
      <c r="DV368">
        <v>0</v>
      </c>
      <c r="DW368">
        <v>0</v>
      </c>
      <c r="DX368">
        <v>-353</v>
      </c>
      <c r="DY368">
        <v>0</v>
      </c>
      <c r="DZ368">
        <v>0</v>
      </c>
      <c r="EA368">
        <v>0</v>
      </c>
      <c r="EB368">
        <v>0</v>
      </c>
      <c r="EC368">
        <v>0</v>
      </c>
      <c r="ED368">
        <v>0</v>
      </c>
      <c r="EE368">
        <v>0</v>
      </c>
      <c r="EF368">
        <v>0</v>
      </c>
      <c r="EG368">
        <v>0</v>
      </c>
      <c r="EH368">
        <v>0</v>
      </c>
      <c r="EI368">
        <v>0</v>
      </c>
      <c r="EJ368">
        <v>0</v>
      </c>
      <c r="EK368">
        <v>0</v>
      </c>
      <c r="EL368">
        <v>0</v>
      </c>
      <c r="EM368">
        <v>0</v>
      </c>
      <c r="EN368">
        <v>0</v>
      </c>
      <c r="EO368">
        <v>0</v>
      </c>
      <c r="EP368">
        <v>0</v>
      </c>
      <c r="EQ368">
        <v>0</v>
      </c>
      <c r="ER368">
        <v>0</v>
      </c>
      <c r="ES368">
        <v>0</v>
      </c>
      <c r="ET368">
        <v>0</v>
      </c>
      <c r="EU368">
        <v>0</v>
      </c>
      <c r="EV368">
        <v>1</v>
      </c>
      <c r="EW368">
        <v>0</v>
      </c>
      <c r="EX368">
        <v>0</v>
      </c>
      <c r="EY368">
        <v>-10</v>
      </c>
      <c r="EZ368">
        <v>570</v>
      </c>
      <c r="FA368">
        <v>0</v>
      </c>
      <c r="FB368">
        <v>-92</v>
      </c>
      <c r="FC368">
        <v>382</v>
      </c>
      <c r="FD368">
        <v>447</v>
      </c>
      <c r="FE368">
        <v>0</v>
      </c>
      <c r="FF368">
        <v>98</v>
      </c>
      <c r="FG368">
        <v>0</v>
      </c>
      <c r="FH368">
        <v>1396</v>
      </c>
      <c r="FI368">
        <v>-41</v>
      </c>
      <c r="FJ368">
        <v>0</v>
      </c>
      <c r="FK368">
        <v>37</v>
      </c>
      <c r="FL368">
        <v>154</v>
      </c>
      <c r="FM368">
        <v>96</v>
      </c>
      <c r="FN368">
        <v>30</v>
      </c>
      <c r="FO368">
        <v>149</v>
      </c>
      <c r="FP368">
        <v>0</v>
      </c>
      <c r="FQ368">
        <v>0</v>
      </c>
      <c r="FR368">
        <v>44</v>
      </c>
      <c r="FS368">
        <v>0</v>
      </c>
      <c r="FT368">
        <v>112</v>
      </c>
      <c r="FU368">
        <v>17</v>
      </c>
      <c r="FV368">
        <v>0</v>
      </c>
      <c r="FW368">
        <v>509</v>
      </c>
      <c r="FX368">
        <v>0</v>
      </c>
      <c r="FY368">
        <v>0</v>
      </c>
      <c r="FZ368">
        <v>155</v>
      </c>
      <c r="GA368">
        <v>0</v>
      </c>
      <c r="GB368">
        <v>0</v>
      </c>
      <c r="GC368">
        <v>0</v>
      </c>
      <c r="GD368">
        <v>499</v>
      </c>
      <c r="GE368">
        <v>1189</v>
      </c>
      <c r="GF368">
        <v>0</v>
      </c>
      <c r="GG368">
        <v>49</v>
      </c>
      <c r="GH368">
        <v>845</v>
      </c>
      <c r="GI368">
        <v>0</v>
      </c>
      <c r="GJ368">
        <v>94</v>
      </c>
      <c r="GK368">
        <v>3938</v>
      </c>
      <c r="GL368">
        <v>69</v>
      </c>
      <c r="GM368">
        <v>530</v>
      </c>
      <c r="GN368">
        <v>0</v>
      </c>
      <c r="GO368">
        <v>-1248</v>
      </c>
      <c r="GP368">
        <v>-1</v>
      </c>
      <c r="GQ368">
        <v>-57</v>
      </c>
      <c r="GR368">
        <v>0</v>
      </c>
      <c r="GS368">
        <v>100</v>
      </c>
      <c r="GT368">
        <v>47</v>
      </c>
      <c r="GU368">
        <v>-560</v>
      </c>
      <c r="GV368">
        <v>4774</v>
      </c>
      <c r="GW368">
        <v>0</v>
      </c>
      <c r="GX368">
        <v>0</v>
      </c>
      <c r="GY368">
        <v>0</v>
      </c>
      <c r="GZ368">
        <v>0</v>
      </c>
      <c r="HA368">
        <v>0</v>
      </c>
      <c r="HB368">
        <v>2953</v>
      </c>
      <c r="HC368">
        <v>78</v>
      </c>
      <c r="HD368">
        <v>0</v>
      </c>
      <c r="HE368">
        <v>0</v>
      </c>
      <c r="HF368">
        <v>128</v>
      </c>
      <c r="HG368">
        <v>385</v>
      </c>
      <c r="HH368">
        <v>0</v>
      </c>
      <c r="HI368">
        <v>0</v>
      </c>
      <c r="HJ368">
        <v>91</v>
      </c>
      <c r="HK368">
        <v>220</v>
      </c>
      <c r="HL368">
        <v>1145</v>
      </c>
      <c r="HM368">
        <v>-52</v>
      </c>
      <c r="HN368">
        <v>0</v>
      </c>
      <c r="HO368">
        <v>59</v>
      </c>
      <c r="HP368">
        <v>0</v>
      </c>
      <c r="HQ368">
        <v>0</v>
      </c>
      <c r="HR368">
        <v>1407</v>
      </c>
      <c r="HS368">
        <v>0</v>
      </c>
      <c r="HT368">
        <v>0</v>
      </c>
      <c r="HU368">
        <v>0</v>
      </c>
      <c r="HV368">
        <v>6414</v>
      </c>
      <c r="HW368">
        <v>0</v>
      </c>
      <c r="HX368">
        <v>0</v>
      </c>
      <c r="HY368">
        <v>0</v>
      </c>
      <c r="HZ368">
        <v>0</v>
      </c>
      <c r="IA368">
        <v>0</v>
      </c>
      <c r="IB368">
        <v>0</v>
      </c>
      <c r="IC368">
        <v>0</v>
      </c>
      <c r="ID368">
        <v>-244</v>
      </c>
      <c r="IE368">
        <v>0</v>
      </c>
      <c r="IF368">
        <v>0</v>
      </c>
      <c r="IG368">
        <v>0</v>
      </c>
      <c r="IH368">
        <v>-353</v>
      </c>
      <c r="II368">
        <v>1396</v>
      </c>
      <c r="IJ368">
        <v>3938</v>
      </c>
      <c r="IK368">
        <v>-560</v>
      </c>
      <c r="IL368">
        <v>0</v>
      </c>
      <c r="IM368">
        <v>0</v>
      </c>
      <c r="IN368">
        <v>6414</v>
      </c>
      <c r="IO368">
        <v>0</v>
      </c>
      <c r="IP368">
        <v>10591</v>
      </c>
      <c r="IQ368">
        <v>11511</v>
      </c>
      <c r="IR368">
        <v>102</v>
      </c>
      <c r="IS368">
        <v>0</v>
      </c>
      <c r="IT368">
        <v>0</v>
      </c>
      <c r="IU368">
        <v>0</v>
      </c>
      <c r="IV368">
        <v>2242</v>
      </c>
      <c r="IW368">
        <v>0</v>
      </c>
      <c r="IX368">
        <v>0</v>
      </c>
      <c r="IY368">
        <v>0</v>
      </c>
      <c r="IZ368">
        <v>0</v>
      </c>
      <c r="JA368">
        <v>-3092</v>
      </c>
      <c r="JB368">
        <v>0</v>
      </c>
      <c r="JC368">
        <v>0</v>
      </c>
      <c r="JD368">
        <v>0</v>
      </c>
      <c r="JE368">
        <v>0</v>
      </c>
      <c r="JF368">
        <v>0</v>
      </c>
      <c r="JG368">
        <v>21354</v>
      </c>
      <c r="JH368">
        <v>0</v>
      </c>
      <c r="JI368">
        <v>0</v>
      </c>
      <c r="JJ368">
        <v>0</v>
      </c>
      <c r="JK368">
        <v>0</v>
      </c>
      <c r="JL368">
        <v>0</v>
      </c>
      <c r="JM368">
        <v>0</v>
      </c>
      <c r="JN368">
        <v>882</v>
      </c>
      <c r="JO368">
        <v>0</v>
      </c>
      <c r="JP368">
        <v>463</v>
      </c>
      <c r="JQ368">
        <v>0</v>
      </c>
      <c r="JR368">
        <v>22699</v>
      </c>
      <c r="JS368">
        <v>-429</v>
      </c>
      <c r="JT368">
        <v>0</v>
      </c>
      <c r="JU368">
        <v>0</v>
      </c>
      <c r="JV368">
        <v>0</v>
      </c>
      <c r="JW368">
        <v>-11984</v>
      </c>
      <c r="JX368">
        <v>0</v>
      </c>
      <c r="JY368">
        <v>-3613</v>
      </c>
      <c r="JZ368">
        <v>0</v>
      </c>
      <c r="KA368">
        <v>0</v>
      </c>
      <c r="KB368">
        <v>0</v>
      </c>
      <c r="KC368">
        <v>6673</v>
      </c>
      <c r="KD368">
        <v>0</v>
      </c>
      <c r="KE368">
        <v>-3888</v>
      </c>
      <c r="KF368">
        <v>2785</v>
      </c>
      <c r="KG368">
        <v>0</v>
      </c>
      <c r="KH368">
        <v>0</v>
      </c>
      <c r="KI368">
        <v>0</v>
      </c>
      <c r="KJ368">
        <v>0</v>
      </c>
      <c r="KK368">
        <v>5109</v>
      </c>
      <c r="KL368">
        <v>200</v>
      </c>
      <c r="KM368">
        <v>-23</v>
      </c>
      <c r="KN368">
        <v>0</v>
      </c>
      <c r="KO368">
        <v>1967</v>
      </c>
      <c r="KP368">
        <v>-35</v>
      </c>
      <c r="KQ368">
        <v>0</v>
      </c>
      <c r="KR368">
        <v>6822</v>
      </c>
      <c r="KS368">
        <v>0</v>
      </c>
      <c r="KT368">
        <v>0</v>
      </c>
      <c r="KU368">
        <v>0</v>
      </c>
      <c r="KV368">
        <v>30810</v>
      </c>
      <c r="KW368">
        <v>800</v>
      </c>
      <c r="KX368">
        <v>0</v>
      </c>
      <c r="KY368">
        <v>0</v>
      </c>
      <c r="KZ368">
        <v>0</v>
      </c>
      <c r="LA368">
        <v>35919</v>
      </c>
      <c r="LB368">
        <v>1000</v>
      </c>
      <c r="LC368">
        <v>0</v>
      </c>
      <c r="LD368">
        <v>1029</v>
      </c>
      <c r="LE368">
        <v>0</v>
      </c>
      <c r="LF368">
        <v>0</v>
      </c>
      <c r="LG368">
        <v>0</v>
      </c>
      <c r="LH368">
        <v>621</v>
      </c>
      <c r="LI368">
        <v>1650</v>
      </c>
      <c r="LJ368">
        <v>1914</v>
      </c>
      <c r="LK368">
        <v>3008</v>
      </c>
      <c r="LL368">
        <v>4922</v>
      </c>
      <c r="LM368">
        <v>0</v>
      </c>
      <c r="LN368">
        <v>0</v>
      </c>
      <c r="LO368">
        <v>0</v>
      </c>
      <c r="LP368">
        <v>0</v>
      </c>
      <c r="LQ368">
        <v>0</v>
      </c>
      <c r="LR368">
        <v>0</v>
      </c>
      <c r="LS368">
        <v>0</v>
      </c>
      <c r="LT368">
        <v>0</v>
      </c>
      <c r="LU368">
        <v>0</v>
      </c>
      <c r="LV368">
        <v>-244</v>
      </c>
      <c r="LW368">
        <v>0</v>
      </c>
      <c r="LX368">
        <v>0</v>
      </c>
      <c r="LY368">
        <v>0</v>
      </c>
      <c r="LZ368">
        <v>-353</v>
      </c>
      <c r="MA368">
        <v>1396</v>
      </c>
      <c r="MB368">
        <v>3938</v>
      </c>
      <c r="MC368">
        <v>-560</v>
      </c>
      <c r="MD368">
        <v>0</v>
      </c>
      <c r="ME368">
        <v>0</v>
      </c>
      <c r="MF368">
        <v>6414</v>
      </c>
      <c r="MG368">
        <v>0</v>
      </c>
      <c r="MH368">
        <v>10591</v>
      </c>
      <c r="MI368">
        <v>0</v>
      </c>
      <c r="MJ368">
        <v>0</v>
      </c>
      <c r="MK368">
        <v>0</v>
      </c>
      <c r="ML368">
        <v>0</v>
      </c>
      <c r="MM368">
        <v>0</v>
      </c>
      <c r="MN368">
        <v>0</v>
      </c>
      <c r="MO368">
        <v>0</v>
      </c>
      <c r="MP368">
        <v>0</v>
      </c>
      <c r="MQ368">
        <v>0</v>
      </c>
      <c r="MR368">
        <v>0</v>
      </c>
      <c r="MS368">
        <v>0</v>
      </c>
      <c r="MT368">
        <v>0</v>
      </c>
      <c r="MU368">
        <v>0</v>
      </c>
      <c r="MV368">
        <v>0</v>
      </c>
      <c r="MW368">
        <v>0</v>
      </c>
      <c r="MX368">
        <v>0</v>
      </c>
      <c r="MY368">
        <v>-3092</v>
      </c>
      <c r="MZ368">
        <v>0</v>
      </c>
      <c r="NA368">
        <v>-3092</v>
      </c>
      <c r="NB368">
        <v>0</v>
      </c>
      <c r="NC368">
        <v>-3092</v>
      </c>
      <c r="ND368">
        <v>0</v>
      </c>
      <c r="NE368">
        <v>0</v>
      </c>
      <c r="NF368">
        <v>0</v>
      </c>
      <c r="NG368">
        <v>0</v>
      </c>
      <c r="NH368">
        <v>0</v>
      </c>
      <c r="NI368">
        <v>0</v>
      </c>
      <c r="NJ368">
        <v>0</v>
      </c>
      <c r="NK368">
        <v>0</v>
      </c>
      <c r="NL368">
        <v>0</v>
      </c>
      <c r="NM368">
        <v>0</v>
      </c>
      <c r="NN368">
        <v>0</v>
      </c>
      <c r="NO368">
        <v>0</v>
      </c>
      <c r="NP368">
        <v>0</v>
      </c>
      <c r="NQ368">
        <v>0</v>
      </c>
      <c r="NR368">
        <v>0</v>
      </c>
      <c r="NS368">
        <v>0</v>
      </c>
      <c r="NT368">
        <v>0</v>
      </c>
      <c r="NU368">
        <v>0</v>
      </c>
      <c r="NV368">
        <v>0</v>
      </c>
      <c r="NW368">
        <v>0</v>
      </c>
      <c r="NX368">
        <v>0</v>
      </c>
      <c r="NY368">
        <v>0</v>
      </c>
      <c r="NZ368">
        <v>0</v>
      </c>
      <c r="OA368">
        <v>0</v>
      </c>
      <c r="OB368">
        <v>0</v>
      </c>
      <c r="OC368">
        <v>0</v>
      </c>
      <c r="OD368">
        <v>0</v>
      </c>
      <c r="OE368">
        <v>0</v>
      </c>
      <c r="OF368">
        <v>0</v>
      </c>
      <c r="OG368">
        <v>0</v>
      </c>
      <c r="OH368">
        <v>0</v>
      </c>
      <c r="OI368">
        <v>0</v>
      </c>
      <c r="OJ368">
        <v>0</v>
      </c>
      <c r="OK368">
        <v>0</v>
      </c>
      <c r="OL368">
        <v>0</v>
      </c>
      <c r="OM368">
        <v>0</v>
      </c>
      <c r="ON368">
        <v>0</v>
      </c>
    </row>
    <row r="369" spans="1:404" x14ac:dyDescent="0.25">
      <c r="A369" t="s">
        <v>1179</v>
      </c>
      <c r="B369" t="s">
        <v>1180</v>
      </c>
      <c r="C369" t="s">
        <v>1178</v>
      </c>
      <c r="E369" t="s">
        <v>71</v>
      </c>
      <c r="F369">
        <v>0</v>
      </c>
      <c r="G369">
        <v>0</v>
      </c>
      <c r="H369">
        <v>0</v>
      </c>
      <c r="I369">
        <v>0</v>
      </c>
      <c r="J369">
        <v>0</v>
      </c>
      <c r="K369">
        <v>0</v>
      </c>
      <c r="L369">
        <v>0</v>
      </c>
      <c r="M369">
        <v>0</v>
      </c>
      <c r="N369">
        <v>0</v>
      </c>
      <c r="O369">
        <v>0</v>
      </c>
      <c r="P369">
        <v>0</v>
      </c>
      <c r="Q369">
        <v>0</v>
      </c>
      <c r="R369">
        <v>0</v>
      </c>
      <c r="S369">
        <v>0</v>
      </c>
      <c r="T369">
        <v>0</v>
      </c>
      <c r="U369">
        <v>0</v>
      </c>
      <c r="V369">
        <v>0</v>
      </c>
      <c r="W369">
        <v>0</v>
      </c>
      <c r="X369">
        <v>0</v>
      </c>
      <c r="Y369">
        <v>0</v>
      </c>
      <c r="Z369">
        <v>0</v>
      </c>
      <c r="AA369">
        <v>0</v>
      </c>
      <c r="AB369">
        <v>0</v>
      </c>
      <c r="AC369">
        <v>0</v>
      </c>
      <c r="AD369">
        <v>0</v>
      </c>
      <c r="AE369">
        <v>0</v>
      </c>
      <c r="AF369">
        <v>0</v>
      </c>
      <c r="AG369">
        <v>0</v>
      </c>
      <c r="AH369">
        <v>0</v>
      </c>
      <c r="AI369">
        <v>0</v>
      </c>
      <c r="AJ369">
        <v>0</v>
      </c>
      <c r="AK369">
        <v>0</v>
      </c>
      <c r="AL369">
        <v>0</v>
      </c>
      <c r="AM369">
        <v>0</v>
      </c>
      <c r="AN369">
        <v>0</v>
      </c>
      <c r="AO369">
        <v>0</v>
      </c>
      <c r="AP369">
        <v>0</v>
      </c>
      <c r="AQ369">
        <v>0</v>
      </c>
      <c r="AR369">
        <v>0</v>
      </c>
      <c r="AS369">
        <v>0</v>
      </c>
      <c r="AT369">
        <v>0</v>
      </c>
      <c r="AU369">
        <v>0</v>
      </c>
      <c r="AV369">
        <v>0</v>
      </c>
      <c r="AW369">
        <v>0</v>
      </c>
      <c r="AX369">
        <v>0</v>
      </c>
      <c r="AY369">
        <v>0</v>
      </c>
      <c r="AZ369">
        <v>0</v>
      </c>
      <c r="BA369">
        <v>0</v>
      </c>
      <c r="BB369">
        <v>0</v>
      </c>
      <c r="BC369">
        <v>0</v>
      </c>
      <c r="BD369">
        <v>0</v>
      </c>
      <c r="BE369">
        <v>0</v>
      </c>
      <c r="BF369">
        <v>0</v>
      </c>
      <c r="BG369">
        <v>0</v>
      </c>
      <c r="BH369">
        <v>0</v>
      </c>
      <c r="BI369">
        <v>0</v>
      </c>
      <c r="BJ369">
        <v>0</v>
      </c>
      <c r="BK369">
        <v>0</v>
      </c>
      <c r="BL369">
        <v>0</v>
      </c>
      <c r="BM369">
        <v>0</v>
      </c>
      <c r="BN369">
        <v>0</v>
      </c>
      <c r="BO369">
        <v>0</v>
      </c>
      <c r="BP369">
        <v>0</v>
      </c>
      <c r="BQ369">
        <v>0</v>
      </c>
      <c r="BR369">
        <v>0</v>
      </c>
      <c r="BS369">
        <v>0</v>
      </c>
      <c r="BT369">
        <v>0</v>
      </c>
      <c r="BU369">
        <v>0</v>
      </c>
      <c r="BV369">
        <v>0</v>
      </c>
      <c r="BW369">
        <v>0</v>
      </c>
      <c r="BX369">
        <v>0</v>
      </c>
      <c r="BY369">
        <v>0</v>
      </c>
      <c r="BZ369">
        <v>0</v>
      </c>
      <c r="CA369">
        <v>0</v>
      </c>
      <c r="CB369">
        <v>0</v>
      </c>
      <c r="CC369">
        <v>0</v>
      </c>
      <c r="CD369">
        <v>0</v>
      </c>
      <c r="CE369">
        <v>0</v>
      </c>
      <c r="CF369">
        <v>0</v>
      </c>
      <c r="CG369">
        <v>0</v>
      </c>
      <c r="CH369">
        <v>0</v>
      </c>
      <c r="CI369">
        <v>0</v>
      </c>
      <c r="CJ369">
        <v>0</v>
      </c>
      <c r="CK369">
        <v>0</v>
      </c>
      <c r="CL369">
        <v>0</v>
      </c>
      <c r="CM369">
        <v>0</v>
      </c>
      <c r="CN369">
        <v>0</v>
      </c>
      <c r="CO369">
        <v>0</v>
      </c>
      <c r="CP369">
        <v>0</v>
      </c>
      <c r="CQ369">
        <v>0</v>
      </c>
      <c r="CR369">
        <v>0</v>
      </c>
      <c r="CS369">
        <v>0</v>
      </c>
      <c r="CT369">
        <v>0</v>
      </c>
      <c r="CU369">
        <v>0</v>
      </c>
      <c r="CV369">
        <v>0</v>
      </c>
      <c r="CW369">
        <v>0</v>
      </c>
      <c r="CX369">
        <v>0</v>
      </c>
      <c r="CY369">
        <v>0</v>
      </c>
      <c r="CZ369">
        <v>0</v>
      </c>
      <c r="DA369">
        <v>0</v>
      </c>
      <c r="DB369">
        <v>0</v>
      </c>
      <c r="DC369">
        <v>0</v>
      </c>
      <c r="DD369">
        <v>0</v>
      </c>
      <c r="DE369">
        <v>0</v>
      </c>
      <c r="DF369">
        <v>0</v>
      </c>
      <c r="DG369">
        <v>0</v>
      </c>
      <c r="DH369">
        <v>0</v>
      </c>
      <c r="DI369">
        <v>0</v>
      </c>
      <c r="DJ369">
        <v>0</v>
      </c>
      <c r="DK369">
        <v>0</v>
      </c>
      <c r="DL369">
        <v>0</v>
      </c>
      <c r="DM369">
        <v>0</v>
      </c>
      <c r="DN369">
        <v>0</v>
      </c>
      <c r="DO369">
        <v>0</v>
      </c>
      <c r="DP369">
        <v>0</v>
      </c>
      <c r="DQ369">
        <v>0</v>
      </c>
      <c r="DR369">
        <v>0</v>
      </c>
      <c r="DS369">
        <v>0</v>
      </c>
      <c r="DT369">
        <v>0</v>
      </c>
      <c r="DU369">
        <v>0</v>
      </c>
      <c r="DV369">
        <v>0</v>
      </c>
      <c r="DW369">
        <v>0</v>
      </c>
      <c r="DX369">
        <v>0</v>
      </c>
      <c r="DY369">
        <v>0</v>
      </c>
      <c r="DZ369">
        <v>0</v>
      </c>
      <c r="EA369">
        <v>0</v>
      </c>
      <c r="EB369">
        <v>0</v>
      </c>
      <c r="EC369">
        <v>0</v>
      </c>
      <c r="ED369">
        <v>0</v>
      </c>
      <c r="EE369">
        <v>0</v>
      </c>
      <c r="EF369">
        <v>0</v>
      </c>
      <c r="EG369">
        <v>0</v>
      </c>
      <c r="EH369">
        <v>0</v>
      </c>
      <c r="EI369">
        <v>0</v>
      </c>
      <c r="EJ369">
        <v>0</v>
      </c>
      <c r="EK369">
        <v>0</v>
      </c>
      <c r="EL369">
        <v>0</v>
      </c>
      <c r="EM369">
        <v>0</v>
      </c>
      <c r="EN369">
        <v>0</v>
      </c>
      <c r="EO369">
        <v>0</v>
      </c>
      <c r="EP369">
        <v>0</v>
      </c>
      <c r="EQ369">
        <v>0</v>
      </c>
      <c r="ER369">
        <v>0</v>
      </c>
      <c r="ES369">
        <v>0</v>
      </c>
      <c r="ET369">
        <v>0</v>
      </c>
      <c r="EU369">
        <v>0</v>
      </c>
      <c r="EV369">
        <v>0</v>
      </c>
      <c r="EW369">
        <v>0</v>
      </c>
      <c r="EX369">
        <v>0</v>
      </c>
      <c r="EY369">
        <v>0</v>
      </c>
      <c r="EZ369">
        <v>0</v>
      </c>
      <c r="FA369">
        <v>0</v>
      </c>
      <c r="FB369">
        <v>0</v>
      </c>
      <c r="FC369">
        <v>0</v>
      </c>
      <c r="FD369">
        <v>0</v>
      </c>
      <c r="FE369">
        <v>0</v>
      </c>
      <c r="FF369">
        <v>0</v>
      </c>
      <c r="FG369">
        <v>0</v>
      </c>
      <c r="FH369">
        <v>0</v>
      </c>
      <c r="FI369">
        <v>0</v>
      </c>
      <c r="FJ369">
        <v>0</v>
      </c>
      <c r="FK369">
        <v>0</v>
      </c>
      <c r="FL369">
        <v>0</v>
      </c>
      <c r="FM369">
        <v>0</v>
      </c>
      <c r="FN369">
        <v>0</v>
      </c>
      <c r="FO369">
        <v>0</v>
      </c>
      <c r="FP369">
        <v>0</v>
      </c>
      <c r="FQ369">
        <v>0</v>
      </c>
      <c r="FR369">
        <v>0</v>
      </c>
      <c r="FS369">
        <v>0</v>
      </c>
      <c r="FT369">
        <v>0</v>
      </c>
      <c r="FU369">
        <v>0</v>
      </c>
      <c r="FV369">
        <v>0</v>
      </c>
      <c r="FW369">
        <v>0</v>
      </c>
      <c r="FX369">
        <v>0</v>
      </c>
      <c r="FY369">
        <v>0</v>
      </c>
      <c r="FZ369">
        <v>0</v>
      </c>
      <c r="GA369">
        <v>0</v>
      </c>
      <c r="GB369">
        <v>0</v>
      </c>
      <c r="GC369">
        <v>0</v>
      </c>
      <c r="GD369">
        <v>0</v>
      </c>
      <c r="GE369">
        <v>0</v>
      </c>
      <c r="GF369">
        <v>0</v>
      </c>
      <c r="GG369">
        <v>0</v>
      </c>
      <c r="GH369">
        <v>0</v>
      </c>
      <c r="GI369">
        <v>0</v>
      </c>
      <c r="GJ369">
        <v>0</v>
      </c>
      <c r="GK369">
        <v>0</v>
      </c>
      <c r="GL369">
        <v>0</v>
      </c>
      <c r="GM369">
        <v>0</v>
      </c>
      <c r="GN369">
        <v>0</v>
      </c>
      <c r="GO369">
        <v>0</v>
      </c>
      <c r="GP369">
        <v>0</v>
      </c>
      <c r="GQ369">
        <v>0</v>
      </c>
      <c r="GR369">
        <v>0</v>
      </c>
      <c r="GS369">
        <v>0</v>
      </c>
      <c r="GT369">
        <v>0</v>
      </c>
      <c r="GU369">
        <v>0</v>
      </c>
      <c r="GV369">
        <v>0</v>
      </c>
      <c r="GW369">
        <v>503184</v>
      </c>
      <c r="GX369">
        <v>0</v>
      </c>
      <c r="GY369">
        <v>0</v>
      </c>
      <c r="GZ369">
        <v>0</v>
      </c>
      <c r="HA369">
        <v>0</v>
      </c>
      <c r="HB369">
        <v>1337</v>
      </c>
      <c r="HC369">
        <v>0</v>
      </c>
      <c r="HD369">
        <v>0</v>
      </c>
      <c r="HE369">
        <v>0</v>
      </c>
      <c r="HF369">
        <v>0</v>
      </c>
      <c r="HG369">
        <v>0</v>
      </c>
      <c r="HH369">
        <v>0</v>
      </c>
      <c r="HI369">
        <v>0</v>
      </c>
      <c r="HJ369">
        <v>0</v>
      </c>
      <c r="HK369">
        <v>0</v>
      </c>
      <c r="HL369">
        <v>0</v>
      </c>
      <c r="HM369">
        <v>0</v>
      </c>
      <c r="HN369">
        <v>0</v>
      </c>
      <c r="HO369">
        <v>0</v>
      </c>
      <c r="HP369">
        <v>0</v>
      </c>
      <c r="HQ369">
        <v>0</v>
      </c>
      <c r="HR369">
        <v>0</v>
      </c>
      <c r="HS369">
        <v>0</v>
      </c>
      <c r="HT369">
        <v>0</v>
      </c>
      <c r="HU369">
        <v>62</v>
      </c>
      <c r="HV369">
        <v>1399</v>
      </c>
      <c r="HW369">
        <v>0</v>
      </c>
      <c r="HX369">
        <v>0</v>
      </c>
      <c r="HY369">
        <v>0</v>
      </c>
      <c r="HZ369">
        <v>0</v>
      </c>
      <c r="IA369">
        <v>0</v>
      </c>
      <c r="IB369">
        <v>0</v>
      </c>
      <c r="IC369">
        <v>0</v>
      </c>
      <c r="ID369">
        <v>0</v>
      </c>
      <c r="IE369">
        <v>0</v>
      </c>
      <c r="IF369">
        <v>0</v>
      </c>
      <c r="IG369">
        <v>0</v>
      </c>
      <c r="IH369">
        <v>0</v>
      </c>
      <c r="II369">
        <v>0</v>
      </c>
      <c r="IJ369">
        <v>0</v>
      </c>
      <c r="IK369">
        <v>0</v>
      </c>
      <c r="IL369">
        <v>503184</v>
      </c>
      <c r="IM369">
        <v>0</v>
      </c>
      <c r="IN369">
        <v>1399</v>
      </c>
      <c r="IO369">
        <v>0</v>
      </c>
      <c r="IP369">
        <v>504583</v>
      </c>
      <c r="IQ369">
        <v>0</v>
      </c>
      <c r="IR369">
        <v>0</v>
      </c>
      <c r="IS369">
        <v>0</v>
      </c>
      <c r="IT369">
        <v>0</v>
      </c>
      <c r="IU369">
        <v>0</v>
      </c>
      <c r="IV369">
        <v>0</v>
      </c>
      <c r="IW369">
        <v>0</v>
      </c>
      <c r="IX369">
        <v>0</v>
      </c>
      <c r="IY369">
        <v>0</v>
      </c>
      <c r="IZ369">
        <v>0</v>
      </c>
      <c r="JA369">
        <v>0</v>
      </c>
      <c r="JB369">
        <v>0</v>
      </c>
      <c r="JC369">
        <v>0</v>
      </c>
      <c r="JD369">
        <v>0</v>
      </c>
      <c r="JE369">
        <v>588</v>
      </c>
      <c r="JF369">
        <v>0</v>
      </c>
      <c r="JG369">
        <v>505171</v>
      </c>
      <c r="JH369">
        <v>0</v>
      </c>
      <c r="JI369">
        <v>6479</v>
      </c>
      <c r="JJ369">
        <v>0</v>
      </c>
      <c r="JK369">
        <v>0</v>
      </c>
      <c r="JL369">
        <v>0</v>
      </c>
      <c r="JM369">
        <v>0</v>
      </c>
      <c r="JN369">
        <v>1123</v>
      </c>
      <c r="JO369">
        <v>1032</v>
      </c>
      <c r="JP369">
        <v>1932</v>
      </c>
      <c r="JQ369">
        <v>0</v>
      </c>
      <c r="JR369">
        <v>515737</v>
      </c>
      <c r="JS369">
        <v>-821</v>
      </c>
      <c r="JT369">
        <v>0</v>
      </c>
      <c r="JU369">
        <v>0</v>
      </c>
      <c r="JV369">
        <v>0</v>
      </c>
      <c r="JW369">
        <v>0</v>
      </c>
      <c r="JX369">
        <v>0</v>
      </c>
      <c r="JY369">
        <v>0</v>
      </c>
      <c r="JZ369">
        <v>0</v>
      </c>
      <c r="KA369">
        <v>0</v>
      </c>
      <c r="KB369">
        <v>0</v>
      </c>
      <c r="KC369">
        <v>514916</v>
      </c>
      <c r="KD369">
        <v>0</v>
      </c>
      <c r="KE369">
        <v>-62046</v>
      </c>
      <c r="KF369">
        <v>452870</v>
      </c>
      <c r="KG369">
        <v>0</v>
      </c>
      <c r="KH369">
        <v>0</v>
      </c>
      <c r="KI369">
        <v>0</v>
      </c>
      <c r="KJ369">
        <v>0</v>
      </c>
      <c r="KK369">
        <v>25263</v>
      </c>
      <c r="KL369">
        <v>498</v>
      </c>
      <c r="KM369">
        <v>0</v>
      </c>
      <c r="KN369">
        <v>-262716</v>
      </c>
      <c r="KO369">
        <v>0</v>
      </c>
      <c r="KP369">
        <v>0</v>
      </c>
      <c r="KQ369">
        <v>-373</v>
      </c>
      <c r="KR369">
        <v>212800</v>
      </c>
      <c r="KS369">
        <v>0</v>
      </c>
      <c r="KT369">
        <v>0</v>
      </c>
      <c r="KU369">
        <v>0</v>
      </c>
      <c r="KV369">
        <v>23158</v>
      </c>
      <c r="KW369">
        <v>19892</v>
      </c>
      <c r="KX369">
        <v>0</v>
      </c>
      <c r="KY369">
        <v>0</v>
      </c>
      <c r="KZ369">
        <v>0</v>
      </c>
      <c r="LA369">
        <v>48421</v>
      </c>
      <c r="LB369">
        <v>20390</v>
      </c>
      <c r="LC369">
        <v>0</v>
      </c>
      <c r="LD369">
        <v>19074</v>
      </c>
      <c r="LE369">
        <v>0</v>
      </c>
      <c r="LF369">
        <v>5789</v>
      </c>
      <c r="LG369">
        <v>0</v>
      </c>
      <c r="LH369">
        <v>0</v>
      </c>
      <c r="LI369">
        <v>24863</v>
      </c>
      <c r="LJ369">
        <v>0</v>
      </c>
      <c r="LK369">
        <v>0</v>
      </c>
      <c r="LL369">
        <v>0</v>
      </c>
      <c r="LM369">
        <v>0</v>
      </c>
      <c r="LN369">
        <v>0</v>
      </c>
      <c r="LO369">
        <v>0</v>
      </c>
      <c r="LP369">
        <v>0</v>
      </c>
      <c r="LQ369">
        <v>0</v>
      </c>
      <c r="LR369">
        <v>0</v>
      </c>
      <c r="LS369">
        <v>0</v>
      </c>
      <c r="LT369">
        <v>0</v>
      </c>
      <c r="LU369">
        <v>0</v>
      </c>
      <c r="LV369">
        <v>0</v>
      </c>
      <c r="LW369">
        <v>0</v>
      </c>
      <c r="LX369">
        <v>0</v>
      </c>
      <c r="LY369">
        <v>0</v>
      </c>
      <c r="LZ369">
        <v>0</v>
      </c>
      <c r="MA369">
        <v>0</v>
      </c>
      <c r="MB369">
        <v>0</v>
      </c>
      <c r="MC369">
        <v>0</v>
      </c>
      <c r="MD369">
        <v>503184</v>
      </c>
      <c r="ME369">
        <v>0</v>
      </c>
      <c r="MF369">
        <v>1399</v>
      </c>
      <c r="MG369">
        <v>0</v>
      </c>
      <c r="MH369">
        <v>504583</v>
      </c>
      <c r="MI369">
        <v>0</v>
      </c>
      <c r="MJ369">
        <v>0</v>
      </c>
      <c r="MK369">
        <v>0</v>
      </c>
      <c r="ML369">
        <v>0</v>
      </c>
      <c r="MM369">
        <v>0</v>
      </c>
      <c r="MN369">
        <v>0</v>
      </c>
      <c r="MO369">
        <v>0</v>
      </c>
      <c r="MP369">
        <v>0</v>
      </c>
      <c r="MQ369">
        <v>0</v>
      </c>
      <c r="MR369">
        <v>0</v>
      </c>
      <c r="MS369">
        <v>0</v>
      </c>
      <c r="MT369">
        <v>0</v>
      </c>
      <c r="MU369">
        <v>0</v>
      </c>
      <c r="MV369">
        <v>0</v>
      </c>
      <c r="MW369">
        <v>0</v>
      </c>
      <c r="MX369">
        <v>0</v>
      </c>
      <c r="MY369">
        <v>0</v>
      </c>
      <c r="MZ369">
        <v>0</v>
      </c>
      <c r="NA369">
        <v>0</v>
      </c>
      <c r="NB369">
        <v>0</v>
      </c>
      <c r="NC369">
        <v>0</v>
      </c>
      <c r="ND369">
        <v>0</v>
      </c>
      <c r="NE369">
        <v>0</v>
      </c>
      <c r="NF369">
        <v>0</v>
      </c>
      <c r="NG369">
        <v>0</v>
      </c>
      <c r="NH369">
        <v>0</v>
      </c>
      <c r="NI369">
        <v>0</v>
      </c>
      <c r="NJ369">
        <v>0</v>
      </c>
      <c r="NK369">
        <v>0</v>
      </c>
      <c r="NL369">
        <v>0</v>
      </c>
      <c r="NM369">
        <v>0</v>
      </c>
      <c r="NN369">
        <v>0</v>
      </c>
      <c r="NO369">
        <v>0</v>
      </c>
      <c r="NP369">
        <v>0</v>
      </c>
      <c r="NQ369">
        <v>0</v>
      </c>
      <c r="NR369">
        <v>0</v>
      </c>
      <c r="NS369">
        <v>0</v>
      </c>
      <c r="NT369">
        <v>0</v>
      </c>
      <c r="NU369">
        <v>0</v>
      </c>
      <c r="NV369">
        <v>0</v>
      </c>
      <c r="NW369">
        <v>0</v>
      </c>
      <c r="NX369">
        <v>0</v>
      </c>
      <c r="NY369">
        <v>0</v>
      </c>
      <c r="NZ369">
        <v>0</v>
      </c>
      <c r="OA369">
        <v>0</v>
      </c>
      <c r="OB369">
        <v>0</v>
      </c>
      <c r="OC369">
        <v>0</v>
      </c>
      <c r="OD369">
        <v>0</v>
      </c>
      <c r="OE369">
        <v>0</v>
      </c>
      <c r="OF369">
        <v>0</v>
      </c>
      <c r="OG369">
        <v>0</v>
      </c>
      <c r="OH369">
        <v>0</v>
      </c>
      <c r="OI369">
        <v>0</v>
      </c>
      <c r="OJ369">
        <v>0</v>
      </c>
      <c r="OK369">
        <v>0</v>
      </c>
      <c r="OL369">
        <v>0</v>
      </c>
      <c r="OM369">
        <v>0</v>
      </c>
      <c r="ON369">
        <v>0</v>
      </c>
    </row>
    <row r="370" spans="1:404" x14ac:dyDescent="0.25">
      <c r="A370" t="s">
        <v>1182</v>
      </c>
      <c r="B370" t="s">
        <v>1183</v>
      </c>
      <c r="C370" t="s">
        <v>1181</v>
      </c>
      <c r="E370" t="s">
        <v>61</v>
      </c>
      <c r="F370">
        <v>0</v>
      </c>
      <c r="G370">
        <v>0</v>
      </c>
      <c r="H370">
        <v>0</v>
      </c>
      <c r="I370">
        <v>0</v>
      </c>
      <c r="J370">
        <v>0</v>
      </c>
      <c r="K370">
        <v>0</v>
      </c>
      <c r="L370">
        <v>0</v>
      </c>
      <c r="M370">
        <v>0</v>
      </c>
      <c r="N370">
        <v>3</v>
      </c>
      <c r="O370">
        <v>0</v>
      </c>
      <c r="P370">
        <v>0</v>
      </c>
      <c r="Q370">
        <v>0</v>
      </c>
      <c r="R370">
        <v>0</v>
      </c>
      <c r="S370">
        <v>0</v>
      </c>
      <c r="T370">
        <v>0</v>
      </c>
      <c r="U370">
        <v>9</v>
      </c>
      <c r="V370">
        <v>0</v>
      </c>
      <c r="W370">
        <v>0</v>
      </c>
      <c r="X370">
        <v>0</v>
      </c>
      <c r="Y370">
        <v>0</v>
      </c>
      <c r="Z370">
        <v>-475</v>
      </c>
      <c r="AA370">
        <v>-1346</v>
      </c>
      <c r="AB370">
        <v>0</v>
      </c>
      <c r="AC370">
        <v>0</v>
      </c>
      <c r="AD370">
        <v>0</v>
      </c>
      <c r="AE370">
        <v>0</v>
      </c>
      <c r="AF370">
        <v>0</v>
      </c>
      <c r="AG370">
        <v>0</v>
      </c>
      <c r="AH370">
        <v>0</v>
      </c>
      <c r="AI370">
        <v>-1809</v>
      </c>
      <c r="AJ370">
        <v>0</v>
      </c>
      <c r="AK370">
        <v>0</v>
      </c>
      <c r="AL370">
        <v>0</v>
      </c>
      <c r="AM370">
        <v>0</v>
      </c>
      <c r="AN370">
        <v>0</v>
      </c>
      <c r="AO370">
        <v>0</v>
      </c>
      <c r="AP370">
        <v>0</v>
      </c>
      <c r="AQ370">
        <v>0</v>
      </c>
      <c r="AR370">
        <v>0</v>
      </c>
      <c r="AS370">
        <v>0</v>
      </c>
      <c r="AT370">
        <v>0</v>
      </c>
      <c r="AU370">
        <v>0</v>
      </c>
      <c r="AV370">
        <v>0</v>
      </c>
      <c r="AW370">
        <v>0</v>
      </c>
      <c r="AX370">
        <v>0</v>
      </c>
      <c r="AY370">
        <v>0</v>
      </c>
      <c r="AZ370">
        <v>0</v>
      </c>
      <c r="BA370">
        <v>0</v>
      </c>
      <c r="BB370">
        <v>0</v>
      </c>
      <c r="BC370">
        <v>0</v>
      </c>
      <c r="BD370">
        <v>0</v>
      </c>
      <c r="BE370">
        <v>0</v>
      </c>
      <c r="BF370">
        <v>0</v>
      </c>
      <c r="BG370">
        <v>0</v>
      </c>
      <c r="BH370">
        <v>0</v>
      </c>
      <c r="BI370">
        <v>0</v>
      </c>
      <c r="BJ370">
        <v>0</v>
      </c>
      <c r="BK370">
        <v>0</v>
      </c>
      <c r="BL370">
        <v>0</v>
      </c>
      <c r="BM370">
        <v>0</v>
      </c>
      <c r="BN370">
        <v>0</v>
      </c>
      <c r="BO370">
        <v>0</v>
      </c>
      <c r="BP370">
        <v>0</v>
      </c>
      <c r="BQ370">
        <v>0</v>
      </c>
      <c r="BR370">
        <v>0</v>
      </c>
      <c r="BS370">
        <v>0</v>
      </c>
      <c r="BT370">
        <v>0</v>
      </c>
      <c r="BU370">
        <v>0</v>
      </c>
      <c r="BV370">
        <v>0</v>
      </c>
      <c r="BW370">
        <v>0</v>
      </c>
      <c r="BX370">
        <v>0</v>
      </c>
      <c r="BY370">
        <v>0</v>
      </c>
      <c r="BZ370">
        <v>0</v>
      </c>
      <c r="CA370">
        <v>0</v>
      </c>
      <c r="CB370">
        <v>0</v>
      </c>
      <c r="CC370">
        <v>0</v>
      </c>
      <c r="CD370">
        <v>0</v>
      </c>
      <c r="CE370">
        <v>0</v>
      </c>
      <c r="CF370">
        <v>0</v>
      </c>
      <c r="CG370">
        <v>0</v>
      </c>
      <c r="CH370">
        <v>0</v>
      </c>
      <c r="CI370">
        <v>0</v>
      </c>
      <c r="CJ370">
        <v>0</v>
      </c>
      <c r="CK370">
        <v>0</v>
      </c>
      <c r="CL370">
        <v>0</v>
      </c>
      <c r="CM370">
        <v>0</v>
      </c>
      <c r="CN370">
        <v>0</v>
      </c>
      <c r="CO370">
        <v>0</v>
      </c>
      <c r="CP370">
        <v>0</v>
      </c>
      <c r="CQ370">
        <v>0</v>
      </c>
      <c r="CR370">
        <v>0</v>
      </c>
      <c r="CS370">
        <v>0</v>
      </c>
      <c r="CT370">
        <v>0</v>
      </c>
      <c r="CU370">
        <v>0</v>
      </c>
      <c r="CV370">
        <v>0</v>
      </c>
      <c r="CW370">
        <v>0</v>
      </c>
      <c r="CX370">
        <v>0</v>
      </c>
      <c r="CY370">
        <v>0</v>
      </c>
      <c r="CZ370">
        <v>0</v>
      </c>
      <c r="DA370">
        <v>0</v>
      </c>
      <c r="DB370">
        <v>0</v>
      </c>
      <c r="DC370">
        <v>450</v>
      </c>
      <c r="DD370">
        <v>1</v>
      </c>
      <c r="DE370">
        <v>2985</v>
      </c>
      <c r="DF370">
        <v>275</v>
      </c>
      <c r="DG370">
        <v>0</v>
      </c>
      <c r="DH370">
        <v>0</v>
      </c>
      <c r="DI370">
        <v>0</v>
      </c>
      <c r="DJ370">
        <v>3483</v>
      </c>
      <c r="DK370">
        <v>0</v>
      </c>
      <c r="DL370">
        <v>0</v>
      </c>
      <c r="DM370">
        <v>10</v>
      </c>
      <c r="DN370">
        <v>0</v>
      </c>
      <c r="DO370">
        <v>0</v>
      </c>
      <c r="DP370">
        <v>3493</v>
      </c>
      <c r="DQ370">
        <v>865</v>
      </c>
      <c r="DR370">
        <v>0</v>
      </c>
      <c r="DS370">
        <v>105</v>
      </c>
      <c r="DT370">
        <v>0</v>
      </c>
      <c r="DU370">
        <v>0</v>
      </c>
      <c r="DV370">
        <v>0</v>
      </c>
      <c r="DW370">
        <v>0</v>
      </c>
      <c r="DX370">
        <v>8174</v>
      </c>
      <c r="DY370">
        <v>13433</v>
      </c>
      <c r="DZ370">
        <v>237</v>
      </c>
      <c r="EA370">
        <v>471</v>
      </c>
      <c r="EB370">
        <v>1063</v>
      </c>
      <c r="EC370">
        <v>0</v>
      </c>
      <c r="ED370">
        <v>0</v>
      </c>
      <c r="EE370">
        <v>0</v>
      </c>
      <c r="EF370">
        <v>0</v>
      </c>
      <c r="EG370">
        <v>0</v>
      </c>
      <c r="EH370">
        <v>5832</v>
      </c>
      <c r="EI370">
        <v>4980</v>
      </c>
      <c r="EJ370">
        <v>604</v>
      </c>
      <c r="EK370">
        <v>252</v>
      </c>
      <c r="EL370">
        <v>0</v>
      </c>
      <c r="EM370">
        <v>8</v>
      </c>
      <c r="EN370">
        <v>599</v>
      </c>
      <c r="EO370">
        <v>0</v>
      </c>
      <c r="EP370">
        <v>0</v>
      </c>
      <c r="EQ370">
        <v>0</v>
      </c>
      <c r="ER370">
        <v>212</v>
      </c>
      <c r="ES370">
        <v>8798</v>
      </c>
      <c r="ET370">
        <v>11515</v>
      </c>
      <c r="EU370">
        <v>0</v>
      </c>
      <c r="EV370">
        <v>0</v>
      </c>
      <c r="EW370">
        <v>18</v>
      </c>
      <c r="EX370">
        <v>58</v>
      </c>
      <c r="EY370">
        <v>0</v>
      </c>
      <c r="EZ370">
        <v>615</v>
      </c>
      <c r="FA370">
        <v>417</v>
      </c>
      <c r="FB370">
        <v>223</v>
      </c>
      <c r="FC370">
        <v>-89</v>
      </c>
      <c r="FD370">
        <v>1445</v>
      </c>
      <c r="FE370">
        <v>0</v>
      </c>
      <c r="FF370">
        <v>441</v>
      </c>
      <c r="FG370">
        <v>0</v>
      </c>
      <c r="FH370">
        <v>3128</v>
      </c>
      <c r="FI370">
        <v>-539</v>
      </c>
      <c r="FJ370">
        <v>0</v>
      </c>
      <c r="FK370">
        <v>0</v>
      </c>
      <c r="FL370">
        <v>278</v>
      </c>
      <c r="FM370">
        <v>339</v>
      </c>
      <c r="FN370">
        <v>430</v>
      </c>
      <c r="FO370">
        <v>357</v>
      </c>
      <c r="FP370">
        <v>1</v>
      </c>
      <c r="FQ370">
        <v>0</v>
      </c>
      <c r="FR370">
        <v>0</v>
      </c>
      <c r="FS370">
        <v>470</v>
      </c>
      <c r="FT370">
        <v>153</v>
      </c>
      <c r="FU370">
        <v>35</v>
      </c>
      <c r="FV370">
        <v>0</v>
      </c>
      <c r="FW370">
        <v>838</v>
      </c>
      <c r="FX370">
        <v>0</v>
      </c>
      <c r="FY370">
        <v>0</v>
      </c>
      <c r="FZ370">
        <v>0</v>
      </c>
      <c r="GA370">
        <v>91</v>
      </c>
      <c r="GB370">
        <v>216</v>
      </c>
      <c r="GC370">
        <v>0</v>
      </c>
      <c r="GD370">
        <v>1918</v>
      </c>
      <c r="GE370">
        <v>1683</v>
      </c>
      <c r="GF370">
        <v>0</v>
      </c>
      <c r="GG370">
        <v>0</v>
      </c>
      <c r="GH370">
        <v>1780</v>
      </c>
      <c r="GI370">
        <v>0</v>
      </c>
      <c r="GJ370">
        <v>0</v>
      </c>
      <c r="GK370">
        <v>8050</v>
      </c>
      <c r="GL370">
        <v>187</v>
      </c>
      <c r="GM370">
        <v>288</v>
      </c>
      <c r="GN370">
        <v>103</v>
      </c>
      <c r="GO370">
        <v>582</v>
      </c>
      <c r="GP370">
        <v>0</v>
      </c>
      <c r="GQ370">
        <v>148</v>
      </c>
      <c r="GR370">
        <v>1156</v>
      </c>
      <c r="GS370">
        <v>0</v>
      </c>
      <c r="GT370">
        <v>17</v>
      </c>
      <c r="GU370">
        <v>2481</v>
      </c>
      <c r="GV370">
        <v>13659</v>
      </c>
      <c r="GW370">
        <v>0</v>
      </c>
      <c r="GX370">
        <v>0</v>
      </c>
      <c r="GY370">
        <v>0</v>
      </c>
      <c r="GZ370">
        <v>0</v>
      </c>
      <c r="HA370">
        <v>0</v>
      </c>
      <c r="HB370">
        <v>1637</v>
      </c>
      <c r="HC370">
        <v>881</v>
      </c>
      <c r="HD370">
        <v>0</v>
      </c>
      <c r="HE370">
        <v>0</v>
      </c>
      <c r="HF370">
        <v>0</v>
      </c>
      <c r="HG370">
        <v>203</v>
      </c>
      <c r="HH370">
        <v>0</v>
      </c>
      <c r="HI370">
        <v>0</v>
      </c>
      <c r="HJ370">
        <v>280</v>
      </c>
      <c r="HK370">
        <v>43</v>
      </c>
      <c r="HL370">
        <v>62</v>
      </c>
      <c r="HM370">
        <v>62</v>
      </c>
      <c r="HN370">
        <v>0</v>
      </c>
      <c r="HO370">
        <v>709</v>
      </c>
      <c r="HP370">
        <v>0</v>
      </c>
      <c r="HQ370">
        <v>0</v>
      </c>
      <c r="HR370">
        <v>2402</v>
      </c>
      <c r="HS370">
        <v>0</v>
      </c>
      <c r="HT370">
        <v>0</v>
      </c>
      <c r="HU370">
        <v>132</v>
      </c>
      <c r="HV370">
        <v>6411</v>
      </c>
      <c r="HW370">
        <v>3462</v>
      </c>
      <c r="HX370">
        <v>14900</v>
      </c>
      <c r="HY370">
        <v>0</v>
      </c>
      <c r="HZ370">
        <v>81</v>
      </c>
      <c r="IA370">
        <v>8096</v>
      </c>
      <c r="IB370">
        <v>0</v>
      </c>
      <c r="IC370">
        <v>0</v>
      </c>
      <c r="ID370">
        <v>-1809</v>
      </c>
      <c r="IE370">
        <v>0</v>
      </c>
      <c r="IF370">
        <v>0</v>
      </c>
      <c r="IG370">
        <v>0</v>
      </c>
      <c r="IH370">
        <v>8174</v>
      </c>
      <c r="II370">
        <v>3128</v>
      </c>
      <c r="IJ370">
        <v>8050</v>
      </c>
      <c r="IK370">
        <v>2481</v>
      </c>
      <c r="IL370">
        <v>0</v>
      </c>
      <c r="IM370">
        <v>0</v>
      </c>
      <c r="IN370">
        <v>6411</v>
      </c>
      <c r="IO370">
        <v>0</v>
      </c>
      <c r="IP370">
        <v>26435</v>
      </c>
      <c r="IQ370">
        <v>31876</v>
      </c>
      <c r="IR370">
        <v>687</v>
      </c>
      <c r="IS370">
        <v>4523</v>
      </c>
      <c r="IT370">
        <v>0</v>
      </c>
      <c r="IU370">
        <v>0</v>
      </c>
      <c r="IV370">
        <v>2150</v>
      </c>
      <c r="IW370">
        <v>0</v>
      </c>
      <c r="IX370">
        <v>0</v>
      </c>
      <c r="IY370">
        <v>0</v>
      </c>
      <c r="IZ370">
        <v>0</v>
      </c>
      <c r="JA370">
        <v>-53</v>
      </c>
      <c r="JB370">
        <v>3232</v>
      </c>
      <c r="JC370">
        <v>-699</v>
      </c>
      <c r="JD370">
        <v>-84</v>
      </c>
      <c r="JE370">
        <v>0</v>
      </c>
      <c r="JF370">
        <v>0</v>
      </c>
      <c r="JG370">
        <v>68067</v>
      </c>
      <c r="JH370">
        <v>0</v>
      </c>
      <c r="JI370">
        <v>0</v>
      </c>
      <c r="JJ370">
        <v>0</v>
      </c>
      <c r="JK370">
        <v>0</v>
      </c>
      <c r="JL370">
        <v>0</v>
      </c>
      <c r="JM370">
        <v>0</v>
      </c>
      <c r="JN370">
        <v>0</v>
      </c>
      <c r="JO370">
        <v>0</v>
      </c>
      <c r="JP370">
        <v>693</v>
      </c>
      <c r="JQ370">
        <v>0</v>
      </c>
      <c r="JR370">
        <v>68760</v>
      </c>
      <c r="JS370">
        <v>0</v>
      </c>
      <c r="JT370">
        <v>0</v>
      </c>
      <c r="JU370">
        <v>0</v>
      </c>
      <c r="JV370">
        <v>0</v>
      </c>
      <c r="JW370">
        <v>-36635</v>
      </c>
      <c r="JX370">
        <v>0</v>
      </c>
      <c r="JY370">
        <v>0</v>
      </c>
      <c r="JZ370">
        <v>0</v>
      </c>
      <c r="KA370">
        <v>0</v>
      </c>
      <c r="KB370">
        <v>0</v>
      </c>
      <c r="KC370">
        <v>32125</v>
      </c>
      <c r="KD370">
        <v>0</v>
      </c>
      <c r="KE370">
        <v>-3628</v>
      </c>
      <c r="KF370">
        <v>28497</v>
      </c>
      <c r="KG370">
        <v>0</v>
      </c>
      <c r="KH370">
        <v>0</v>
      </c>
      <c r="KI370">
        <v>0</v>
      </c>
      <c r="KJ370">
        <v>0</v>
      </c>
      <c r="KK370">
        <v>-4972</v>
      </c>
      <c r="KL370">
        <v>0</v>
      </c>
      <c r="KM370">
        <v>-99</v>
      </c>
      <c r="KN370">
        <v>0</v>
      </c>
      <c r="KO370">
        <v>-18158</v>
      </c>
      <c r="KP370">
        <v>0</v>
      </c>
      <c r="KQ370">
        <v>18559</v>
      </c>
      <c r="KR370">
        <v>12885</v>
      </c>
      <c r="KS370">
        <v>0</v>
      </c>
      <c r="KT370">
        <v>0</v>
      </c>
      <c r="KU370">
        <v>0</v>
      </c>
      <c r="KV370">
        <v>23702</v>
      </c>
      <c r="KW370">
        <v>2011</v>
      </c>
      <c r="KX370">
        <v>0</v>
      </c>
      <c r="KY370">
        <v>0</v>
      </c>
      <c r="KZ370">
        <v>0</v>
      </c>
      <c r="LA370">
        <v>18730</v>
      </c>
      <c r="LB370">
        <v>2011</v>
      </c>
      <c r="LC370">
        <v>0</v>
      </c>
      <c r="LD370">
        <v>3961</v>
      </c>
      <c r="LE370">
        <v>4732</v>
      </c>
      <c r="LF370">
        <v>4554</v>
      </c>
      <c r="LG370">
        <v>0</v>
      </c>
      <c r="LH370">
        <v>0</v>
      </c>
      <c r="LI370">
        <v>11835</v>
      </c>
      <c r="LJ370" t="s">
        <v>5442</v>
      </c>
      <c r="LK370" t="s">
        <v>5442</v>
      </c>
      <c r="LL370" t="s">
        <v>5442</v>
      </c>
      <c r="LM370">
        <v>0</v>
      </c>
      <c r="LN370">
        <v>0</v>
      </c>
      <c r="LO370">
        <v>0</v>
      </c>
      <c r="LP370">
        <v>15204</v>
      </c>
      <c r="LQ370">
        <v>12487</v>
      </c>
      <c r="LR370">
        <v>2717</v>
      </c>
      <c r="LS370">
        <v>8798</v>
      </c>
      <c r="LT370">
        <v>11515</v>
      </c>
      <c r="LU370">
        <v>0</v>
      </c>
      <c r="LV370">
        <v>-1809</v>
      </c>
      <c r="LW370">
        <v>0</v>
      </c>
      <c r="LX370">
        <v>0</v>
      </c>
      <c r="LY370">
        <v>0</v>
      </c>
      <c r="LZ370">
        <v>8174</v>
      </c>
      <c r="MA370">
        <v>3128</v>
      </c>
      <c r="MB370">
        <v>8050</v>
      </c>
      <c r="MC370">
        <v>2481</v>
      </c>
      <c r="MD370">
        <v>0</v>
      </c>
      <c r="ME370">
        <v>0</v>
      </c>
      <c r="MF370">
        <v>6411</v>
      </c>
      <c r="MG370">
        <v>0</v>
      </c>
      <c r="MH370">
        <v>26435</v>
      </c>
      <c r="MI370">
        <v>0</v>
      </c>
      <c r="MJ370">
        <v>0</v>
      </c>
      <c r="MK370">
        <v>0</v>
      </c>
      <c r="ML370">
        <v>0</v>
      </c>
      <c r="MM370">
        <v>0</v>
      </c>
      <c r="MN370">
        <v>0</v>
      </c>
      <c r="MO370">
        <v>0</v>
      </c>
      <c r="MP370">
        <v>0</v>
      </c>
      <c r="MQ370">
        <v>0</v>
      </c>
      <c r="MR370">
        <v>0</v>
      </c>
      <c r="MS370">
        <v>0</v>
      </c>
      <c r="MT370">
        <v>-219</v>
      </c>
      <c r="MU370">
        <v>0</v>
      </c>
      <c r="MV370">
        <v>163</v>
      </c>
      <c r="MW370">
        <v>45</v>
      </c>
      <c r="MX370">
        <v>-457</v>
      </c>
      <c r="MY370">
        <v>-267</v>
      </c>
      <c r="MZ370">
        <v>-17</v>
      </c>
      <c r="NA370">
        <v>-752</v>
      </c>
      <c r="NB370">
        <v>699</v>
      </c>
      <c r="NC370">
        <v>-53</v>
      </c>
      <c r="ND370">
        <v>0</v>
      </c>
      <c r="NE370">
        <v>0</v>
      </c>
      <c r="NF370">
        <v>0</v>
      </c>
      <c r="NG370">
        <v>0</v>
      </c>
      <c r="NH370">
        <v>0</v>
      </c>
      <c r="NI370">
        <v>0</v>
      </c>
      <c r="NJ370">
        <v>0</v>
      </c>
      <c r="NK370">
        <v>0</v>
      </c>
      <c r="NL370">
        <v>0</v>
      </c>
      <c r="NM370">
        <v>0</v>
      </c>
      <c r="NN370">
        <v>0</v>
      </c>
      <c r="NO370">
        <v>0</v>
      </c>
      <c r="NP370">
        <v>1112</v>
      </c>
      <c r="NQ370">
        <v>0</v>
      </c>
      <c r="NR370">
        <v>0</v>
      </c>
      <c r="NS370">
        <v>2036</v>
      </c>
      <c r="NT370">
        <v>0</v>
      </c>
      <c r="NU370">
        <v>0</v>
      </c>
      <c r="NV370">
        <v>0</v>
      </c>
      <c r="NW370">
        <v>0</v>
      </c>
      <c r="NX370">
        <v>0</v>
      </c>
      <c r="NY370">
        <v>0</v>
      </c>
      <c r="NZ370">
        <v>3148</v>
      </c>
      <c r="OA370">
        <v>84</v>
      </c>
      <c r="OB370">
        <v>3232</v>
      </c>
      <c r="OC370">
        <v>699</v>
      </c>
      <c r="OD370">
        <v>0</v>
      </c>
      <c r="OE370">
        <v>0</v>
      </c>
      <c r="OF370">
        <v>0</v>
      </c>
      <c r="OG370">
        <v>0</v>
      </c>
      <c r="OH370">
        <v>699</v>
      </c>
      <c r="OI370">
        <v>84</v>
      </c>
      <c r="OJ370">
        <v>0</v>
      </c>
      <c r="OK370">
        <v>0</v>
      </c>
      <c r="OL370">
        <v>0</v>
      </c>
      <c r="OM370">
        <v>0</v>
      </c>
      <c r="ON370">
        <v>84</v>
      </c>
    </row>
    <row r="371" spans="1:404" x14ac:dyDescent="0.25">
      <c r="A371" t="s">
        <v>1185</v>
      </c>
      <c r="B371" t="s">
        <v>1186</v>
      </c>
      <c r="C371" t="s">
        <v>1184</v>
      </c>
      <c r="E371" t="s">
        <v>5418</v>
      </c>
      <c r="F371">
        <v>0</v>
      </c>
      <c r="G371">
        <v>0</v>
      </c>
      <c r="H371">
        <v>0</v>
      </c>
      <c r="I371">
        <v>0</v>
      </c>
      <c r="J371">
        <v>0</v>
      </c>
      <c r="K371">
        <v>0</v>
      </c>
      <c r="L371">
        <v>0</v>
      </c>
      <c r="M371">
        <v>0</v>
      </c>
      <c r="N371">
        <v>0</v>
      </c>
      <c r="O371">
        <v>0</v>
      </c>
      <c r="P371">
        <v>0</v>
      </c>
      <c r="Q371">
        <v>0</v>
      </c>
      <c r="R371">
        <v>0</v>
      </c>
      <c r="S371">
        <v>0</v>
      </c>
      <c r="T371">
        <v>0</v>
      </c>
      <c r="U371">
        <v>0</v>
      </c>
      <c r="V371">
        <v>0</v>
      </c>
      <c r="W371">
        <v>0</v>
      </c>
      <c r="X371">
        <v>0</v>
      </c>
      <c r="Y371">
        <v>0</v>
      </c>
      <c r="Z371">
        <v>0</v>
      </c>
      <c r="AA371">
        <v>0</v>
      </c>
      <c r="AB371">
        <v>0</v>
      </c>
      <c r="AC371">
        <v>0</v>
      </c>
      <c r="AD371">
        <v>0</v>
      </c>
      <c r="AE371">
        <v>0</v>
      </c>
      <c r="AF371">
        <v>0</v>
      </c>
      <c r="AG371">
        <v>0</v>
      </c>
      <c r="AH371">
        <v>0</v>
      </c>
      <c r="AI371">
        <v>0</v>
      </c>
      <c r="AJ371">
        <v>0</v>
      </c>
      <c r="AK371">
        <v>0</v>
      </c>
      <c r="AL371">
        <v>0</v>
      </c>
      <c r="AM371">
        <v>0</v>
      </c>
      <c r="AN371">
        <v>0</v>
      </c>
      <c r="AO371">
        <v>0</v>
      </c>
      <c r="AP371">
        <v>0</v>
      </c>
      <c r="AQ371">
        <v>0</v>
      </c>
      <c r="AR371">
        <v>0</v>
      </c>
      <c r="AS371">
        <v>0</v>
      </c>
      <c r="AT371">
        <v>0</v>
      </c>
      <c r="AU371">
        <v>0</v>
      </c>
      <c r="AV371">
        <v>0</v>
      </c>
      <c r="AW371">
        <v>0</v>
      </c>
      <c r="AX371">
        <v>0</v>
      </c>
      <c r="AY371">
        <v>0</v>
      </c>
      <c r="AZ371">
        <v>0</v>
      </c>
      <c r="BA371">
        <v>0</v>
      </c>
      <c r="BB371">
        <v>0</v>
      </c>
      <c r="BC371">
        <v>0</v>
      </c>
      <c r="BD371">
        <v>0</v>
      </c>
      <c r="BE371">
        <v>0</v>
      </c>
      <c r="BF371">
        <v>0</v>
      </c>
      <c r="BG371">
        <v>0</v>
      </c>
      <c r="BH371">
        <v>0</v>
      </c>
      <c r="BI371">
        <v>0</v>
      </c>
      <c r="BJ371">
        <v>0</v>
      </c>
      <c r="BK371">
        <v>0</v>
      </c>
      <c r="BL371">
        <v>0</v>
      </c>
      <c r="BM371">
        <v>0</v>
      </c>
      <c r="BN371">
        <v>0</v>
      </c>
      <c r="BO371">
        <v>0</v>
      </c>
      <c r="BP371">
        <v>0</v>
      </c>
      <c r="BQ371">
        <v>0</v>
      </c>
      <c r="BR371">
        <v>0</v>
      </c>
      <c r="BS371">
        <v>0</v>
      </c>
      <c r="BT371">
        <v>0</v>
      </c>
      <c r="BU371">
        <v>0</v>
      </c>
      <c r="BV371">
        <v>0</v>
      </c>
      <c r="BW371">
        <v>0</v>
      </c>
      <c r="BX371">
        <v>0</v>
      </c>
      <c r="BY371">
        <v>0</v>
      </c>
      <c r="BZ371">
        <v>0</v>
      </c>
      <c r="CA371">
        <v>0</v>
      </c>
      <c r="CB371">
        <v>0</v>
      </c>
      <c r="CC371">
        <v>0</v>
      </c>
      <c r="CD371">
        <v>0</v>
      </c>
      <c r="CE371">
        <v>0</v>
      </c>
      <c r="CF371">
        <v>0</v>
      </c>
      <c r="CG371">
        <v>0</v>
      </c>
      <c r="CH371">
        <v>0</v>
      </c>
      <c r="CI371">
        <v>0</v>
      </c>
      <c r="CJ371">
        <v>0</v>
      </c>
      <c r="CK371">
        <v>0</v>
      </c>
      <c r="CL371">
        <v>0</v>
      </c>
      <c r="CM371">
        <v>0</v>
      </c>
      <c r="CN371">
        <v>0</v>
      </c>
      <c r="CO371">
        <v>0</v>
      </c>
      <c r="CP371">
        <v>0</v>
      </c>
      <c r="CQ371">
        <v>0</v>
      </c>
      <c r="CR371">
        <v>0</v>
      </c>
      <c r="CS371">
        <v>0</v>
      </c>
      <c r="CT371">
        <v>0</v>
      </c>
      <c r="CU371">
        <v>0</v>
      </c>
      <c r="CV371">
        <v>0</v>
      </c>
      <c r="CW371">
        <v>0</v>
      </c>
      <c r="CX371">
        <v>0</v>
      </c>
      <c r="CY371">
        <v>0</v>
      </c>
      <c r="CZ371">
        <v>0</v>
      </c>
      <c r="DA371">
        <v>0</v>
      </c>
      <c r="DB371">
        <v>0</v>
      </c>
      <c r="DC371">
        <v>0</v>
      </c>
      <c r="DD371">
        <v>0</v>
      </c>
      <c r="DE371">
        <v>0</v>
      </c>
      <c r="DF371">
        <v>0</v>
      </c>
      <c r="DG371">
        <v>0</v>
      </c>
      <c r="DH371">
        <v>0</v>
      </c>
      <c r="DI371">
        <v>0</v>
      </c>
      <c r="DJ371">
        <v>0</v>
      </c>
      <c r="DK371">
        <v>0</v>
      </c>
      <c r="DL371">
        <v>0</v>
      </c>
      <c r="DM371">
        <v>0</v>
      </c>
      <c r="DN371">
        <v>0</v>
      </c>
      <c r="DO371">
        <v>0</v>
      </c>
      <c r="DP371">
        <v>0</v>
      </c>
      <c r="DQ371">
        <v>0</v>
      </c>
      <c r="DR371">
        <v>0</v>
      </c>
      <c r="DS371">
        <v>0</v>
      </c>
      <c r="DT371">
        <v>0</v>
      </c>
      <c r="DU371">
        <v>0</v>
      </c>
      <c r="DV371">
        <v>0</v>
      </c>
      <c r="DW371">
        <v>0</v>
      </c>
      <c r="DX371">
        <v>0</v>
      </c>
      <c r="DY371">
        <v>0</v>
      </c>
      <c r="DZ371">
        <v>0</v>
      </c>
      <c r="EA371">
        <v>0</v>
      </c>
      <c r="EB371">
        <v>0</v>
      </c>
      <c r="EC371">
        <v>0</v>
      </c>
      <c r="ED371">
        <v>0</v>
      </c>
      <c r="EE371">
        <v>0</v>
      </c>
      <c r="EF371">
        <v>0</v>
      </c>
      <c r="EG371">
        <v>0</v>
      </c>
      <c r="EH371">
        <v>0</v>
      </c>
      <c r="EI371">
        <v>0</v>
      </c>
      <c r="EJ371">
        <v>0</v>
      </c>
      <c r="EK371">
        <v>0</v>
      </c>
      <c r="EL371">
        <v>0</v>
      </c>
      <c r="EM371">
        <v>0</v>
      </c>
      <c r="EN371">
        <v>0</v>
      </c>
      <c r="EO371">
        <v>0</v>
      </c>
      <c r="EP371">
        <v>0</v>
      </c>
      <c r="EQ371">
        <v>0</v>
      </c>
      <c r="ER371">
        <v>0</v>
      </c>
      <c r="ES371">
        <v>0</v>
      </c>
      <c r="ET371">
        <v>0</v>
      </c>
      <c r="EU371">
        <v>0</v>
      </c>
      <c r="EV371">
        <v>0</v>
      </c>
      <c r="EW371">
        <v>0</v>
      </c>
      <c r="EX371">
        <v>0</v>
      </c>
      <c r="EY371">
        <v>0</v>
      </c>
      <c r="EZ371">
        <v>0</v>
      </c>
      <c r="FA371">
        <v>0</v>
      </c>
      <c r="FB371">
        <v>0</v>
      </c>
      <c r="FC371">
        <v>0</v>
      </c>
      <c r="FD371">
        <v>4423</v>
      </c>
      <c r="FE371">
        <v>0</v>
      </c>
      <c r="FF371">
        <v>862</v>
      </c>
      <c r="FG371">
        <v>0</v>
      </c>
      <c r="FH371">
        <v>5285</v>
      </c>
      <c r="FI371">
        <v>0</v>
      </c>
      <c r="FJ371">
        <v>0</v>
      </c>
      <c r="FK371">
        <v>0</v>
      </c>
      <c r="FL371">
        <v>0</v>
      </c>
      <c r="FM371">
        <v>0</v>
      </c>
      <c r="FN371">
        <v>0</v>
      </c>
      <c r="FO371">
        <v>0</v>
      </c>
      <c r="FP371">
        <v>0</v>
      </c>
      <c r="FQ371">
        <v>0</v>
      </c>
      <c r="FR371">
        <v>0</v>
      </c>
      <c r="FS371">
        <v>0</v>
      </c>
      <c r="FT371">
        <v>0</v>
      </c>
      <c r="FU371">
        <v>0</v>
      </c>
      <c r="FV371">
        <v>0</v>
      </c>
      <c r="FW371">
        <v>0</v>
      </c>
      <c r="FX371">
        <v>0</v>
      </c>
      <c r="FY371">
        <v>0</v>
      </c>
      <c r="FZ371">
        <v>91</v>
      </c>
      <c r="GA371">
        <v>0</v>
      </c>
      <c r="GB371">
        <v>0</v>
      </c>
      <c r="GC371">
        <v>0</v>
      </c>
      <c r="GD371">
        <v>0</v>
      </c>
      <c r="GE371">
        <v>0</v>
      </c>
      <c r="GF371">
        <v>0</v>
      </c>
      <c r="GG371">
        <v>0</v>
      </c>
      <c r="GH371">
        <v>0</v>
      </c>
      <c r="GI371">
        <v>0</v>
      </c>
      <c r="GJ371">
        <v>0</v>
      </c>
      <c r="GK371">
        <v>91</v>
      </c>
      <c r="GL371">
        <v>0</v>
      </c>
      <c r="GM371">
        <v>442</v>
      </c>
      <c r="GN371">
        <v>0</v>
      </c>
      <c r="GO371">
        <v>272</v>
      </c>
      <c r="GP371">
        <v>0</v>
      </c>
      <c r="GQ371">
        <v>0</v>
      </c>
      <c r="GR371">
        <v>0</v>
      </c>
      <c r="GS371">
        <v>0</v>
      </c>
      <c r="GT371">
        <v>0</v>
      </c>
      <c r="GU371">
        <v>714</v>
      </c>
      <c r="GV371">
        <v>6090</v>
      </c>
      <c r="GW371">
        <v>0</v>
      </c>
      <c r="GX371">
        <v>0</v>
      </c>
      <c r="GY371">
        <v>0</v>
      </c>
      <c r="GZ371">
        <v>0</v>
      </c>
      <c r="HA371">
        <v>0</v>
      </c>
      <c r="HB371">
        <v>368</v>
      </c>
      <c r="HC371">
        <v>0</v>
      </c>
      <c r="HD371">
        <v>0</v>
      </c>
      <c r="HE371">
        <v>0</v>
      </c>
      <c r="HF371">
        <v>0</v>
      </c>
      <c r="HG371">
        <v>0</v>
      </c>
      <c r="HH371">
        <v>0</v>
      </c>
      <c r="HI371">
        <v>0</v>
      </c>
      <c r="HJ371">
        <v>0</v>
      </c>
      <c r="HK371">
        <v>0</v>
      </c>
      <c r="HL371">
        <v>8</v>
      </c>
      <c r="HM371">
        <v>0</v>
      </c>
      <c r="HN371">
        <v>0</v>
      </c>
      <c r="HO371">
        <v>0</v>
      </c>
      <c r="HP371">
        <v>0</v>
      </c>
      <c r="HQ371">
        <v>0</v>
      </c>
      <c r="HR371">
        <v>0</v>
      </c>
      <c r="HS371">
        <v>0</v>
      </c>
      <c r="HT371">
        <v>0</v>
      </c>
      <c r="HU371">
        <v>0</v>
      </c>
      <c r="HV371">
        <v>376</v>
      </c>
      <c r="HW371">
        <v>87</v>
      </c>
      <c r="HX371">
        <v>1590</v>
      </c>
      <c r="HY371">
        <v>0</v>
      </c>
      <c r="HZ371">
        <v>0</v>
      </c>
      <c r="IA371">
        <v>0</v>
      </c>
      <c r="IB371">
        <v>0</v>
      </c>
      <c r="IC371">
        <v>0</v>
      </c>
      <c r="ID371">
        <v>0</v>
      </c>
      <c r="IE371">
        <v>0</v>
      </c>
      <c r="IF371">
        <v>0</v>
      </c>
      <c r="IG371">
        <v>0</v>
      </c>
      <c r="IH371">
        <v>0</v>
      </c>
      <c r="II371">
        <v>5285</v>
      </c>
      <c r="IJ371">
        <v>91</v>
      </c>
      <c r="IK371">
        <v>714</v>
      </c>
      <c r="IL371">
        <v>0</v>
      </c>
      <c r="IM371">
        <v>0</v>
      </c>
      <c r="IN371">
        <v>376</v>
      </c>
      <c r="IO371">
        <v>0</v>
      </c>
      <c r="IP371">
        <v>6466</v>
      </c>
      <c r="IQ371">
        <v>0</v>
      </c>
      <c r="IR371">
        <v>0</v>
      </c>
      <c r="IS371">
        <v>0</v>
      </c>
      <c r="IT371">
        <v>0</v>
      </c>
      <c r="IU371">
        <v>0</v>
      </c>
      <c r="IV371">
        <v>0</v>
      </c>
      <c r="IW371">
        <v>0</v>
      </c>
      <c r="IX371">
        <v>0</v>
      </c>
      <c r="IY371">
        <v>0</v>
      </c>
      <c r="IZ371">
        <v>-3703</v>
      </c>
      <c r="JA371">
        <v>0</v>
      </c>
      <c r="JB371">
        <v>0</v>
      </c>
      <c r="JC371">
        <v>0</v>
      </c>
      <c r="JD371">
        <v>0</v>
      </c>
      <c r="JE371">
        <v>0</v>
      </c>
      <c r="JF371">
        <v>0</v>
      </c>
      <c r="JG371">
        <v>2763</v>
      </c>
      <c r="JH371">
        <v>0</v>
      </c>
      <c r="JI371">
        <v>122</v>
      </c>
      <c r="JJ371">
        <v>0</v>
      </c>
      <c r="JK371">
        <v>0</v>
      </c>
      <c r="JL371">
        <v>0</v>
      </c>
      <c r="JM371">
        <v>0</v>
      </c>
      <c r="JN371">
        <v>78</v>
      </c>
      <c r="JO371">
        <v>6</v>
      </c>
      <c r="JP371">
        <v>40</v>
      </c>
      <c r="JQ371">
        <v>0</v>
      </c>
      <c r="JR371">
        <v>3009</v>
      </c>
      <c r="JS371">
        <v>-12</v>
      </c>
      <c r="JT371">
        <v>0</v>
      </c>
      <c r="JU371">
        <v>0</v>
      </c>
      <c r="JV371">
        <v>0</v>
      </c>
      <c r="JW371">
        <v>0</v>
      </c>
      <c r="JX371">
        <v>0</v>
      </c>
      <c r="JY371">
        <v>0</v>
      </c>
      <c r="JZ371">
        <v>0</v>
      </c>
      <c r="KA371">
        <v>0</v>
      </c>
      <c r="KB371">
        <v>0</v>
      </c>
      <c r="KC371">
        <v>2997</v>
      </c>
      <c r="KD371">
        <v>0</v>
      </c>
      <c r="KE371">
        <v>-3414</v>
      </c>
      <c r="KF371">
        <v>-417</v>
      </c>
      <c r="KG371">
        <v>0</v>
      </c>
      <c r="KH371">
        <v>0</v>
      </c>
      <c r="KI371">
        <v>0</v>
      </c>
      <c r="KJ371">
        <v>0</v>
      </c>
      <c r="KK371">
        <v>535</v>
      </c>
      <c r="KL371">
        <v>-118</v>
      </c>
      <c r="KM371">
        <v>0</v>
      </c>
      <c r="KN371">
        <v>0</v>
      </c>
      <c r="KO371">
        <v>0</v>
      </c>
      <c r="KP371">
        <v>0</v>
      </c>
      <c r="KQ371">
        <v>0</v>
      </c>
      <c r="KR371">
        <v>0</v>
      </c>
      <c r="KS371">
        <v>0</v>
      </c>
      <c r="KT371">
        <v>0</v>
      </c>
      <c r="KU371">
        <v>0</v>
      </c>
      <c r="KV371">
        <v>2338</v>
      </c>
      <c r="KW371">
        <v>1788</v>
      </c>
      <c r="KX371">
        <v>0</v>
      </c>
      <c r="KY371">
        <v>0</v>
      </c>
      <c r="KZ371">
        <v>0</v>
      </c>
      <c r="LA371">
        <v>2873</v>
      </c>
      <c r="LB371">
        <v>1670</v>
      </c>
      <c r="LC371">
        <v>0</v>
      </c>
      <c r="LD371">
        <v>361</v>
      </c>
      <c r="LE371">
        <v>0</v>
      </c>
      <c r="LF371">
        <v>210</v>
      </c>
      <c r="LG371">
        <v>0</v>
      </c>
      <c r="LH371">
        <v>0</v>
      </c>
      <c r="LI371">
        <v>571</v>
      </c>
      <c r="LJ371">
        <v>0</v>
      </c>
      <c r="LK371">
        <v>0</v>
      </c>
      <c r="LL371">
        <v>0</v>
      </c>
      <c r="LM371">
        <v>0</v>
      </c>
      <c r="LN371">
        <v>0</v>
      </c>
      <c r="LO371">
        <v>0</v>
      </c>
      <c r="LP371">
        <v>0</v>
      </c>
      <c r="LQ371">
        <v>0</v>
      </c>
      <c r="LR371">
        <v>0</v>
      </c>
      <c r="LS371">
        <v>0</v>
      </c>
      <c r="LT371">
        <v>0</v>
      </c>
      <c r="LU371">
        <v>0</v>
      </c>
      <c r="LV371">
        <v>0</v>
      </c>
      <c r="LW371">
        <v>0</v>
      </c>
      <c r="LX371">
        <v>0</v>
      </c>
      <c r="LY371">
        <v>0</v>
      </c>
      <c r="LZ371">
        <v>0</v>
      </c>
      <c r="MA371">
        <v>5285</v>
      </c>
      <c r="MB371">
        <v>91</v>
      </c>
      <c r="MC371">
        <v>714</v>
      </c>
      <c r="MD371">
        <v>0</v>
      </c>
      <c r="ME371">
        <v>0</v>
      </c>
      <c r="MF371">
        <v>376</v>
      </c>
      <c r="MG371">
        <v>0</v>
      </c>
      <c r="MH371">
        <v>6466</v>
      </c>
      <c r="MI371">
        <v>0</v>
      </c>
      <c r="MJ371">
        <v>0</v>
      </c>
      <c r="MK371">
        <v>0</v>
      </c>
      <c r="ML371">
        <v>0</v>
      </c>
      <c r="MM371">
        <v>0</v>
      </c>
      <c r="MN371">
        <v>0</v>
      </c>
      <c r="MO371">
        <v>0</v>
      </c>
      <c r="MP371">
        <v>0</v>
      </c>
      <c r="MQ371">
        <v>0</v>
      </c>
      <c r="MR371">
        <v>0</v>
      </c>
      <c r="MS371">
        <v>0</v>
      </c>
      <c r="MT371">
        <v>0</v>
      </c>
      <c r="MU371">
        <v>0</v>
      </c>
      <c r="MV371">
        <v>0</v>
      </c>
      <c r="MW371">
        <v>0</v>
      </c>
      <c r="MX371">
        <v>0</v>
      </c>
      <c r="MY371">
        <v>0</v>
      </c>
      <c r="MZ371">
        <v>0</v>
      </c>
      <c r="NA371">
        <v>0</v>
      </c>
      <c r="NB371">
        <v>0</v>
      </c>
      <c r="NC371">
        <v>0</v>
      </c>
      <c r="ND371">
        <v>0</v>
      </c>
      <c r="NE371">
        <v>0</v>
      </c>
      <c r="NF371">
        <v>0</v>
      </c>
      <c r="NG371">
        <v>0</v>
      </c>
      <c r="NH371">
        <v>0</v>
      </c>
      <c r="NI371">
        <v>0</v>
      </c>
      <c r="NJ371">
        <v>0</v>
      </c>
      <c r="NK371">
        <v>0</v>
      </c>
      <c r="NL371">
        <v>0</v>
      </c>
      <c r="NM371">
        <v>0</v>
      </c>
      <c r="NN371">
        <v>0</v>
      </c>
      <c r="NO371">
        <v>0</v>
      </c>
      <c r="NP371">
        <v>0</v>
      </c>
      <c r="NQ371">
        <v>0</v>
      </c>
      <c r="NR371">
        <v>0</v>
      </c>
      <c r="NS371">
        <v>0</v>
      </c>
      <c r="NT371">
        <v>0</v>
      </c>
      <c r="NU371">
        <v>0</v>
      </c>
      <c r="NV371">
        <v>0</v>
      </c>
      <c r="NW371">
        <v>0</v>
      </c>
      <c r="NX371">
        <v>0</v>
      </c>
      <c r="NY371">
        <v>0</v>
      </c>
      <c r="NZ371">
        <v>0</v>
      </c>
      <c r="OA371">
        <v>0</v>
      </c>
      <c r="OB371">
        <v>0</v>
      </c>
      <c r="OC371">
        <v>0</v>
      </c>
      <c r="OD371">
        <v>0</v>
      </c>
      <c r="OE371">
        <v>0</v>
      </c>
      <c r="OF371">
        <v>0</v>
      </c>
      <c r="OG371">
        <v>0</v>
      </c>
      <c r="OH371">
        <v>0</v>
      </c>
      <c r="OI371">
        <v>0</v>
      </c>
      <c r="OJ371">
        <v>0</v>
      </c>
      <c r="OK371">
        <v>0</v>
      </c>
      <c r="OL371">
        <v>0</v>
      </c>
      <c r="OM371">
        <v>0</v>
      </c>
      <c r="ON371">
        <v>0</v>
      </c>
    </row>
    <row r="372" spans="1:404" x14ac:dyDescent="0.25">
      <c r="A372" t="s">
        <v>737</v>
      </c>
      <c r="B372" t="s">
        <v>738</v>
      </c>
      <c r="C372" t="s">
        <v>5448</v>
      </c>
      <c r="E372" t="s">
        <v>125</v>
      </c>
      <c r="F372">
        <v>16402</v>
      </c>
      <c r="G372">
        <v>44725</v>
      </c>
      <c r="H372">
        <v>469</v>
      </c>
      <c r="I372">
        <v>1747</v>
      </c>
      <c r="J372">
        <v>7253</v>
      </c>
      <c r="K372">
        <v>46586</v>
      </c>
      <c r="L372">
        <v>117181</v>
      </c>
      <c r="M372">
        <v>-100</v>
      </c>
      <c r="N372">
        <v>607</v>
      </c>
      <c r="O372">
        <v>495</v>
      </c>
      <c r="P372">
        <v>161</v>
      </c>
      <c r="Q372">
        <v>963</v>
      </c>
      <c r="R372">
        <v>1627</v>
      </c>
      <c r="S372">
        <v>1718</v>
      </c>
      <c r="T372">
        <v>265</v>
      </c>
      <c r="U372">
        <v>1383</v>
      </c>
      <c r="V372">
        <v>0</v>
      </c>
      <c r="W372">
        <v>0</v>
      </c>
      <c r="X372">
        <v>99</v>
      </c>
      <c r="Y372">
        <v>256</v>
      </c>
      <c r="Z372">
        <v>-988</v>
      </c>
      <c r="AA372">
        <v>-2341</v>
      </c>
      <c r="AB372">
        <v>4255</v>
      </c>
      <c r="AC372">
        <v>492</v>
      </c>
      <c r="AD372">
        <v>1366</v>
      </c>
      <c r="AE372">
        <v>0</v>
      </c>
      <c r="AF372">
        <v>0</v>
      </c>
      <c r="AG372">
        <v>93</v>
      </c>
      <c r="AH372">
        <v>14</v>
      </c>
      <c r="AI372">
        <v>10363</v>
      </c>
      <c r="AJ372">
        <v>0</v>
      </c>
      <c r="AK372">
        <v>0</v>
      </c>
      <c r="AL372">
        <v>0</v>
      </c>
      <c r="AM372">
        <v>0</v>
      </c>
      <c r="AN372">
        <v>0</v>
      </c>
      <c r="AO372">
        <v>0</v>
      </c>
      <c r="AP372">
        <v>0</v>
      </c>
      <c r="AQ372">
        <v>1268</v>
      </c>
      <c r="AR372">
        <v>1429</v>
      </c>
      <c r="AS372">
        <v>0</v>
      </c>
      <c r="AT372">
        <v>0</v>
      </c>
      <c r="AU372">
        <v>0</v>
      </c>
      <c r="AV372">
        <v>1408</v>
      </c>
      <c r="AW372">
        <v>37932</v>
      </c>
      <c r="AX372">
        <v>0</v>
      </c>
      <c r="AY372">
        <v>3266</v>
      </c>
      <c r="AZ372">
        <v>911</v>
      </c>
      <c r="BA372">
        <v>11454</v>
      </c>
      <c r="BB372">
        <v>0</v>
      </c>
      <c r="BC372">
        <v>0</v>
      </c>
      <c r="BD372">
        <v>54970</v>
      </c>
      <c r="BE372">
        <v>8108</v>
      </c>
      <c r="BF372">
        <v>12313</v>
      </c>
      <c r="BG372">
        <v>3</v>
      </c>
      <c r="BH372">
        <v>60</v>
      </c>
      <c r="BI372">
        <v>228</v>
      </c>
      <c r="BJ372">
        <v>4471</v>
      </c>
      <c r="BK372">
        <v>28114</v>
      </c>
      <c r="BL372">
        <v>1810</v>
      </c>
      <c r="BM372">
        <v>6541</v>
      </c>
      <c r="BN372">
        <v>1035</v>
      </c>
      <c r="BO372">
        <v>0</v>
      </c>
      <c r="BP372">
        <v>0</v>
      </c>
      <c r="BQ372">
        <v>0</v>
      </c>
      <c r="BR372">
        <v>373</v>
      </c>
      <c r="BS372">
        <v>314</v>
      </c>
      <c r="BT372">
        <v>11696</v>
      </c>
      <c r="BU372">
        <v>461</v>
      </c>
      <c r="BV372">
        <v>1457</v>
      </c>
      <c r="BW372">
        <v>81858</v>
      </c>
      <c r="BX372">
        <v>1509</v>
      </c>
      <c r="BY372">
        <v>1010</v>
      </c>
      <c r="BZ372">
        <v>66</v>
      </c>
      <c r="CA372">
        <v>202</v>
      </c>
      <c r="CB372">
        <v>125</v>
      </c>
      <c r="CC372">
        <v>122</v>
      </c>
      <c r="CD372">
        <v>171</v>
      </c>
      <c r="CE372">
        <v>437</v>
      </c>
      <c r="CF372">
        <v>233</v>
      </c>
      <c r="CG372">
        <v>806</v>
      </c>
      <c r="CH372">
        <v>458</v>
      </c>
      <c r="CI372">
        <v>1316</v>
      </c>
      <c r="CJ372">
        <v>787</v>
      </c>
      <c r="CK372">
        <v>0</v>
      </c>
      <c r="CL372">
        <v>178</v>
      </c>
      <c r="CM372">
        <v>170</v>
      </c>
      <c r="CN372">
        <v>546</v>
      </c>
      <c r="CO372">
        <v>354</v>
      </c>
      <c r="CP372">
        <v>466</v>
      </c>
      <c r="CQ372">
        <v>4718</v>
      </c>
      <c r="CR372">
        <v>678</v>
      </c>
      <c r="CS372">
        <v>158</v>
      </c>
      <c r="CT372">
        <v>328</v>
      </c>
      <c r="CU372">
        <v>2338</v>
      </c>
      <c r="CV372">
        <v>22504</v>
      </c>
      <c r="CW372">
        <v>0</v>
      </c>
      <c r="CX372">
        <v>0</v>
      </c>
      <c r="CY372">
        <v>0</v>
      </c>
      <c r="CZ372">
        <v>0</v>
      </c>
      <c r="DA372">
        <v>0</v>
      </c>
      <c r="DB372">
        <v>0</v>
      </c>
      <c r="DC372">
        <v>1109</v>
      </c>
      <c r="DD372">
        <v>0</v>
      </c>
      <c r="DE372">
        <v>75</v>
      </c>
      <c r="DF372">
        <v>75</v>
      </c>
      <c r="DG372">
        <v>0</v>
      </c>
      <c r="DH372">
        <v>0</v>
      </c>
      <c r="DI372">
        <v>0</v>
      </c>
      <c r="DJ372">
        <v>0</v>
      </c>
      <c r="DK372">
        <v>0</v>
      </c>
      <c r="DL372">
        <v>0</v>
      </c>
      <c r="DM372">
        <v>0</v>
      </c>
      <c r="DN372">
        <v>0</v>
      </c>
      <c r="DO372">
        <v>6100</v>
      </c>
      <c r="DP372">
        <v>6100</v>
      </c>
      <c r="DQ372">
        <v>0</v>
      </c>
      <c r="DR372">
        <v>0</v>
      </c>
      <c r="DS372">
        <v>0</v>
      </c>
      <c r="DT372">
        <v>2064</v>
      </c>
      <c r="DU372">
        <v>-317</v>
      </c>
      <c r="DV372">
        <v>668</v>
      </c>
      <c r="DW372">
        <v>0</v>
      </c>
      <c r="DX372">
        <v>9775</v>
      </c>
      <c r="DY372">
        <v>13028</v>
      </c>
      <c r="DZ372">
        <v>238</v>
      </c>
      <c r="EA372">
        <v>1106</v>
      </c>
      <c r="EB372">
        <v>105</v>
      </c>
      <c r="EC372">
        <v>0</v>
      </c>
      <c r="ED372">
        <v>0</v>
      </c>
      <c r="EE372">
        <v>0</v>
      </c>
      <c r="EF372">
        <v>306</v>
      </c>
      <c r="EG372">
        <v>0</v>
      </c>
      <c r="EH372">
        <v>2825</v>
      </c>
      <c r="EI372">
        <v>2711</v>
      </c>
      <c r="EJ372">
        <v>1485</v>
      </c>
      <c r="EK372">
        <v>38</v>
      </c>
      <c r="EL372">
        <v>0</v>
      </c>
      <c r="EM372">
        <v>4038</v>
      </c>
      <c r="EN372">
        <v>1939</v>
      </c>
      <c r="EO372">
        <v>63</v>
      </c>
      <c r="EP372">
        <v>1715</v>
      </c>
      <c r="EQ372">
        <v>0</v>
      </c>
      <c r="ER372">
        <v>80</v>
      </c>
      <c r="ES372">
        <v>5701</v>
      </c>
      <c r="ET372">
        <v>5590</v>
      </c>
      <c r="EU372">
        <v>195</v>
      </c>
      <c r="EV372">
        <v>214</v>
      </c>
      <c r="EW372">
        <v>314</v>
      </c>
      <c r="EX372">
        <v>487</v>
      </c>
      <c r="EY372">
        <v>1764</v>
      </c>
      <c r="EZ372">
        <v>387</v>
      </c>
      <c r="FA372">
        <v>0</v>
      </c>
      <c r="FB372">
        <v>578</v>
      </c>
      <c r="FC372">
        <v>2403</v>
      </c>
      <c r="FD372">
        <v>4988</v>
      </c>
      <c r="FE372">
        <v>-3</v>
      </c>
      <c r="FF372">
        <v>539</v>
      </c>
      <c r="FG372">
        <v>3780</v>
      </c>
      <c r="FH372">
        <v>15643</v>
      </c>
      <c r="FI372">
        <v>-380</v>
      </c>
      <c r="FJ372">
        <v>404</v>
      </c>
      <c r="FK372">
        <v>0</v>
      </c>
      <c r="FL372">
        <v>0</v>
      </c>
      <c r="FM372">
        <v>1575</v>
      </c>
      <c r="FN372">
        <v>75</v>
      </c>
      <c r="FO372">
        <v>0</v>
      </c>
      <c r="FP372">
        <v>0</v>
      </c>
      <c r="FQ372">
        <v>0</v>
      </c>
      <c r="FR372">
        <v>37</v>
      </c>
      <c r="FS372">
        <v>430</v>
      </c>
      <c r="FT372">
        <v>0</v>
      </c>
      <c r="FU372">
        <v>-74</v>
      </c>
      <c r="FV372">
        <v>96</v>
      </c>
      <c r="FW372">
        <v>502</v>
      </c>
      <c r="FX372">
        <v>689</v>
      </c>
      <c r="FY372">
        <v>98</v>
      </c>
      <c r="FZ372">
        <v>0</v>
      </c>
      <c r="GA372">
        <v>0</v>
      </c>
      <c r="GB372">
        <v>0</v>
      </c>
      <c r="GC372">
        <v>0</v>
      </c>
      <c r="GD372">
        <v>5228</v>
      </c>
      <c r="GE372">
        <v>5212</v>
      </c>
      <c r="GF372">
        <v>13473</v>
      </c>
      <c r="GG372">
        <v>0</v>
      </c>
      <c r="GH372">
        <v>96</v>
      </c>
      <c r="GI372">
        <v>0</v>
      </c>
      <c r="GJ372">
        <v>342</v>
      </c>
      <c r="GK372">
        <v>27805</v>
      </c>
      <c r="GL372">
        <v>143</v>
      </c>
      <c r="GM372">
        <v>679</v>
      </c>
      <c r="GN372">
        <v>4</v>
      </c>
      <c r="GO372">
        <v>1259</v>
      </c>
      <c r="GP372">
        <v>3</v>
      </c>
      <c r="GQ372">
        <v>-2060</v>
      </c>
      <c r="GR372">
        <v>114</v>
      </c>
      <c r="GS372">
        <v>691</v>
      </c>
      <c r="GT372">
        <v>91</v>
      </c>
      <c r="GU372">
        <v>924</v>
      </c>
      <c r="GV372">
        <v>44372</v>
      </c>
      <c r="GW372">
        <v>0</v>
      </c>
      <c r="GX372">
        <v>0</v>
      </c>
      <c r="GY372">
        <v>0</v>
      </c>
      <c r="GZ372">
        <v>0</v>
      </c>
      <c r="HA372">
        <v>0</v>
      </c>
      <c r="HB372">
        <v>11109</v>
      </c>
      <c r="HC372">
        <v>1020</v>
      </c>
      <c r="HD372">
        <v>0</v>
      </c>
      <c r="HE372">
        <v>0</v>
      </c>
      <c r="HF372">
        <v>0</v>
      </c>
      <c r="HG372">
        <v>227</v>
      </c>
      <c r="HH372">
        <v>0</v>
      </c>
      <c r="HI372">
        <v>-230</v>
      </c>
      <c r="HJ372">
        <v>438</v>
      </c>
      <c r="HK372">
        <v>244</v>
      </c>
      <c r="HL372">
        <v>102</v>
      </c>
      <c r="HM372">
        <v>-30</v>
      </c>
      <c r="HN372">
        <v>162</v>
      </c>
      <c r="HO372">
        <v>0</v>
      </c>
      <c r="HP372">
        <v>0</v>
      </c>
      <c r="HQ372">
        <v>0</v>
      </c>
      <c r="HR372">
        <v>0</v>
      </c>
      <c r="HS372">
        <v>0</v>
      </c>
      <c r="HT372">
        <v>0</v>
      </c>
      <c r="HU372">
        <v>1279</v>
      </c>
      <c r="HV372">
        <v>14321</v>
      </c>
      <c r="HW372">
        <v>9472</v>
      </c>
      <c r="HX372">
        <v>0</v>
      </c>
      <c r="HY372">
        <v>0</v>
      </c>
      <c r="HZ372">
        <v>194</v>
      </c>
      <c r="IA372">
        <v>0</v>
      </c>
      <c r="IB372">
        <v>0</v>
      </c>
      <c r="IC372">
        <v>117181</v>
      </c>
      <c r="ID372">
        <v>10363</v>
      </c>
      <c r="IE372">
        <v>54970</v>
      </c>
      <c r="IF372">
        <v>81858</v>
      </c>
      <c r="IG372">
        <v>22504</v>
      </c>
      <c r="IH372">
        <v>9775</v>
      </c>
      <c r="II372">
        <v>15643</v>
      </c>
      <c r="IJ372">
        <v>27805</v>
      </c>
      <c r="IK372">
        <v>924</v>
      </c>
      <c r="IL372">
        <v>0</v>
      </c>
      <c r="IM372">
        <v>0</v>
      </c>
      <c r="IN372">
        <v>14321</v>
      </c>
      <c r="IO372">
        <v>0</v>
      </c>
      <c r="IP372">
        <v>355345</v>
      </c>
      <c r="IQ372">
        <v>53508</v>
      </c>
      <c r="IR372">
        <v>2446</v>
      </c>
      <c r="IS372">
        <v>5620</v>
      </c>
      <c r="IT372">
        <v>0</v>
      </c>
      <c r="IU372">
        <v>-58</v>
      </c>
      <c r="IV372">
        <v>524</v>
      </c>
      <c r="IW372">
        <v>0</v>
      </c>
      <c r="IX372">
        <v>0</v>
      </c>
      <c r="IY372">
        <v>0</v>
      </c>
      <c r="IZ372">
        <v>1543</v>
      </c>
      <c r="JA372">
        <v>-9</v>
      </c>
      <c r="JB372">
        <v>-764</v>
      </c>
      <c r="JC372">
        <v>0</v>
      </c>
      <c r="JD372">
        <v>0</v>
      </c>
      <c r="JE372">
        <v>275</v>
      </c>
      <c r="JF372">
        <v>0</v>
      </c>
      <c r="JG372">
        <v>418428</v>
      </c>
      <c r="JH372">
        <v>71</v>
      </c>
      <c r="JI372">
        <v>0</v>
      </c>
      <c r="JJ372">
        <v>0</v>
      </c>
      <c r="JK372">
        <v>-1894</v>
      </c>
      <c r="JL372">
        <v>0</v>
      </c>
      <c r="JM372">
        <v>787</v>
      </c>
      <c r="JN372">
        <v>1612</v>
      </c>
      <c r="JO372">
        <v>0</v>
      </c>
      <c r="JP372">
        <v>9898</v>
      </c>
      <c r="JQ372">
        <v>0</v>
      </c>
      <c r="JR372">
        <v>428902</v>
      </c>
      <c r="JS372">
        <v>-5708</v>
      </c>
      <c r="JT372">
        <v>0</v>
      </c>
      <c r="JU372">
        <v>0</v>
      </c>
      <c r="JV372">
        <v>0</v>
      </c>
      <c r="JW372">
        <v>-63908</v>
      </c>
      <c r="JX372">
        <v>0</v>
      </c>
      <c r="JY372">
        <v>0</v>
      </c>
      <c r="JZ372">
        <v>0</v>
      </c>
      <c r="KA372">
        <v>0</v>
      </c>
      <c r="KB372">
        <v>1199</v>
      </c>
      <c r="KC372">
        <v>360485</v>
      </c>
      <c r="KD372">
        <v>0</v>
      </c>
      <c r="KE372">
        <v>-155046</v>
      </c>
      <c r="KF372">
        <v>205439</v>
      </c>
      <c r="KG372">
        <v>0</v>
      </c>
      <c r="KH372">
        <v>337</v>
      </c>
      <c r="KI372">
        <v>0</v>
      </c>
      <c r="KJ372">
        <v>599</v>
      </c>
      <c r="KK372">
        <v>-5273</v>
      </c>
      <c r="KL372">
        <v>3861</v>
      </c>
      <c r="KM372">
        <v>-6185</v>
      </c>
      <c r="KN372">
        <v>0</v>
      </c>
      <c r="KO372">
        <v>-53351</v>
      </c>
      <c r="KP372">
        <v>2094</v>
      </c>
      <c r="KQ372">
        <v>0</v>
      </c>
      <c r="KR372">
        <v>135101</v>
      </c>
      <c r="KS372">
        <v>1414</v>
      </c>
      <c r="KT372">
        <v>0</v>
      </c>
      <c r="KU372">
        <v>1756</v>
      </c>
      <c r="KV372">
        <v>54054</v>
      </c>
      <c r="KW372">
        <v>22688</v>
      </c>
      <c r="KX372">
        <v>1751</v>
      </c>
      <c r="KY372">
        <v>0</v>
      </c>
      <c r="KZ372">
        <v>2355</v>
      </c>
      <c r="LA372">
        <v>48781</v>
      </c>
      <c r="LB372">
        <v>26549</v>
      </c>
      <c r="LC372">
        <v>0</v>
      </c>
      <c r="LD372">
        <v>22925</v>
      </c>
      <c r="LE372">
        <v>0</v>
      </c>
      <c r="LF372">
        <v>5544</v>
      </c>
      <c r="LG372">
        <v>23168</v>
      </c>
      <c r="LH372">
        <v>31066</v>
      </c>
      <c r="LI372">
        <v>83463</v>
      </c>
      <c r="LJ372">
        <v>6776</v>
      </c>
      <c r="LK372">
        <v>6728</v>
      </c>
      <c r="LL372">
        <v>13504</v>
      </c>
      <c r="LM372">
        <v>33</v>
      </c>
      <c r="LN372">
        <v>0</v>
      </c>
      <c r="LO372">
        <v>0</v>
      </c>
      <c r="LP372">
        <v>14783</v>
      </c>
      <c r="LQ372">
        <v>14894</v>
      </c>
      <c r="LR372">
        <v>-111</v>
      </c>
      <c r="LS372">
        <v>5701</v>
      </c>
      <c r="LT372">
        <v>5590</v>
      </c>
      <c r="LU372">
        <v>117181</v>
      </c>
      <c r="LV372">
        <v>10363</v>
      </c>
      <c r="LW372">
        <v>54970</v>
      </c>
      <c r="LX372">
        <v>81858</v>
      </c>
      <c r="LY372">
        <v>22504</v>
      </c>
      <c r="LZ372">
        <v>9775</v>
      </c>
      <c r="MA372">
        <v>15643</v>
      </c>
      <c r="MB372">
        <v>27805</v>
      </c>
      <c r="MC372">
        <v>924</v>
      </c>
      <c r="MD372">
        <v>0</v>
      </c>
      <c r="ME372">
        <v>0</v>
      </c>
      <c r="MF372">
        <v>14321</v>
      </c>
      <c r="MG372">
        <v>0</v>
      </c>
      <c r="MH372">
        <v>355345</v>
      </c>
      <c r="MI372">
        <v>0</v>
      </c>
      <c r="MJ372">
        <v>0</v>
      </c>
      <c r="MK372">
        <v>0</v>
      </c>
      <c r="ML372">
        <v>0</v>
      </c>
      <c r="MM372">
        <v>0</v>
      </c>
      <c r="MN372">
        <v>0</v>
      </c>
      <c r="MO372">
        <v>0</v>
      </c>
      <c r="MP372">
        <v>0</v>
      </c>
      <c r="MQ372">
        <v>0</v>
      </c>
      <c r="MR372">
        <v>0</v>
      </c>
      <c r="MS372">
        <v>0</v>
      </c>
      <c r="MT372">
        <v>0</v>
      </c>
      <c r="MU372">
        <v>0</v>
      </c>
      <c r="MV372">
        <v>0</v>
      </c>
      <c r="MW372">
        <v>0</v>
      </c>
      <c r="MX372">
        <v>0</v>
      </c>
      <c r="MY372">
        <v>-9</v>
      </c>
      <c r="MZ372">
        <v>0</v>
      </c>
      <c r="NA372">
        <v>-9</v>
      </c>
      <c r="NB372">
        <v>0</v>
      </c>
      <c r="NC372">
        <v>-9</v>
      </c>
      <c r="ND372">
        <v>0</v>
      </c>
      <c r="NE372">
        <v>0</v>
      </c>
      <c r="NF372">
        <v>0</v>
      </c>
      <c r="NG372">
        <v>0</v>
      </c>
      <c r="NH372">
        <v>0</v>
      </c>
      <c r="NI372">
        <v>0</v>
      </c>
      <c r="NJ372">
        <v>0</v>
      </c>
      <c r="NK372">
        <v>0</v>
      </c>
      <c r="NL372">
        <v>0</v>
      </c>
      <c r="NM372">
        <v>259</v>
      </c>
      <c r="NN372">
        <v>0</v>
      </c>
      <c r="NO372">
        <v>0</v>
      </c>
      <c r="NP372">
        <v>0</v>
      </c>
      <c r="NQ372">
        <v>0</v>
      </c>
      <c r="NR372">
        <v>0</v>
      </c>
      <c r="NS372">
        <v>0</v>
      </c>
      <c r="NT372">
        <v>0</v>
      </c>
      <c r="NU372">
        <v>0</v>
      </c>
      <c r="NV372">
        <v>0</v>
      </c>
      <c r="NW372">
        <v>0</v>
      </c>
      <c r="NX372">
        <v>0</v>
      </c>
      <c r="NY372">
        <v>0</v>
      </c>
      <c r="NZ372">
        <v>-764</v>
      </c>
      <c r="OA372">
        <v>0</v>
      </c>
      <c r="OB372">
        <v>-764</v>
      </c>
      <c r="OC372">
        <v>0</v>
      </c>
      <c r="OD372">
        <v>0</v>
      </c>
      <c r="OE372">
        <v>0</v>
      </c>
      <c r="OF372">
        <v>0</v>
      </c>
      <c r="OG372">
        <v>0</v>
      </c>
      <c r="OH372">
        <v>0</v>
      </c>
      <c r="OI372">
        <v>0</v>
      </c>
      <c r="OJ372">
        <v>0</v>
      </c>
      <c r="OK372">
        <v>0</v>
      </c>
      <c r="OL372">
        <v>0</v>
      </c>
      <c r="OM372">
        <v>0</v>
      </c>
      <c r="ON372">
        <v>0</v>
      </c>
    </row>
    <row r="373" spans="1:404" x14ac:dyDescent="0.25">
      <c r="A373" t="s">
        <v>1299</v>
      </c>
      <c r="B373" t="s">
        <v>1300</v>
      </c>
      <c r="C373" t="s">
        <v>5449</v>
      </c>
      <c r="E373" t="s">
        <v>1390</v>
      </c>
      <c r="F373">
        <v>0</v>
      </c>
      <c r="G373">
        <v>0</v>
      </c>
      <c r="H373">
        <v>0</v>
      </c>
      <c r="I373">
        <v>0</v>
      </c>
      <c r="J373">
        <v>0</v>
      </c>
      <c r="K373">
        <v>0</v>
      </c>
      <c r="L373">
        <v>0</v>
      </c>
      <c r="M373">
        <v>0</v>
      </c>
      <c r="N373">
        <v>0</v>
      </c>
      <c r="O373">
        <v>0</v>
      </c>
      <c r="P373">
        <v>0</v>
      </c>
      <c r="Q373">
        <v>0</v>
      </c>
      <c r="R373">
        <v>0</v>
      </c>
      <c r="S373">
        <v>0</v>
      </c>
      <c r="T373">
        <v>0</v>
      </c>
      <c r="U373">
        <v>0</v>
      </c>
      <c r="V373">
        <v>0</v>
      </c>
      <c r="W373">
        <v>0</v>
      </c>
      <c r="X373">
        <v>0</v>
      </c>
      <c r="Y373">
        <v>0</v>
      </c>
      <c r="Z373">
        <v>0</v>
      </c>
      <c r="AA373">
        <v>0</v>
      </c>
      <c r="AB373">
        <v>49876</v>
      </c>
      <c r="AC373">
        <v>0</v>
      </c>
      <c r="AD373">
        <v>25220</v>
      </c>
      <c r="AE373">
        <v>0</v>
      </c>
      <c r="AF373">
        <v>0</v>
      </c>
      <c r="AG373">
        <v>8271</v>
      </c>
      <c r="AH373">
        <v>0</v>
      </c>
      <c r="AI373">
        <v>83367</v>
      </c>
      <c r="AJ373">
        <v>0</v>
      </c>
      <c r="AK373">
        <v>0</v>
      </c>
      <c r="AL373">
        <v>0</v>
      </c>
      <c r="AM373">
        <v>0</v>
      </c>
      <c r="AN373">
        <v>0</v>
      </c>
      <c r="AO373">
        <v>0</v>
      </c>
      <c r="AP373">
        <v>0</v>
      </c>
      <c r="AQ373">
        <v>0</v>
      </c>
      <c r="AR373">
        <v>0</v>
      </c>
      <c r="AS373">
        <v>0</v>
      </c>
      <c r="AT373">
        <v>0</v>
      </c>
      <c r="AU373">
        <v>0</v>
      </c>
      <c r="AV373">
        <v>0</v>
      </c>
      <c r="AW373">
        <v>0</v>
      </c>
      <c r="AX373">
        <v>0</v>
      </c>
      <c r="AY373">
        <v>0</v>
      </c>
      <c r="AZ373">
        <v>0</v>
      </c>
      <c r="BA373">
        <v>0</v>
      </c>
      <c r="BB373">
        <v>0</v>
      </c>
      <c r="BC373">
        <v>0</v>
      </c>
      <c r="BD373">
        <v>0</v>
      </c>
      <c r="BE373">
        <v>0</v>
      </c>
      <c r="BF373">
        <v>0</v>
      </c>
      <c r="BG373">
        <v>0</v>
      </c>
      <c r="BH373">
        <v>0</v>
      </c>
      <c r="BI373">
        <v>0</v>
      </c>
      <c r="BJ373">
        <v>0</v>
      </c>
      <c r="BK373">
        <v>0</v>
      </c>
      <c r="BL373">
        <v>0</v>
      </c>
      <c r="BM373">
        <v>0</v>
      </c>
      <c r="BN373">
        <v>0</v>
      </c>
      <c r="BO373">
        <v>0</v>
      </c>
      <c r="BP373">
        <v>0</v>
      </c>
      <c r="BQ373">
        <v>0</v>
      </c>
      <c r="BR373">
        <v>0</v>
      </c>
      <c r="BS373">
        <v>0</v>
      </c>
      <c r="BT373">
        <v>0</v>
      </c>
      <c r="BU373">
        <v>0</v>
      </c>
      <c r="BV373">
        <v>0</v>
      </c>
      <c r="BW373">
        <v>0</v>
      </c>
      <c r="BX373">
        <v>0</v>
      </c>
      <c r="BY373">
        <v>0</v>
      </c>
      <c r="BZ373">
        <v>0</v>
      </c>
      <c r="CA373">
        <v>0</v>
      </c>
      <c r="CB373">
        <v>0</v>
      </c>
      <c r="CC373">
        <v>0</v>
      </c>
      <c r="CD373">
        <v>0</v>
      </c>
      <c r="CE373">
        <v>0</v>
      </c>
      <c r="CF373">
        <v>0</v>
      </c>
      <c r="CG373">
        <v>0</v>
      </c>
      <c r="CH373">
        <v>0</v>
      </c>
      <c r="CI373">
        <v>0</v>
      </c>
      <c r="CJ373">
        <v>0</v>
      </c>
      <c r="CK373">
        <v>0</v>
      </c>
      <c r="CL373">
        <v>0</v>
      </c>
      <c r="CM373">
        <v>0</v>
      </c>
      <c r="CN373">
        <v>0</v>
      </c>
      <c r="CO373">
        <v>0</v>
      </c>
      <c r="CP373">
        <v>0</v>
      </c>
      <c r="CQ373">
        <v>0</v>
      </c>
      <c r="CR373">
        <v>0</v>
      </c>
      <c r="CS373">
        <v>0</v>
      </c>
      <c r="CT373">
        <v>0</v>
      </c>
      <c r="CU373">
        <v>0</v>
      </c>
      <c r="CV373">
        <v>0</v>
      </c>
      <c r="CW373">
        <v>0</v>
      </c>
      <c r="CX373">
        <v>0</v>
      </c>
      <c r="CY373">
        <v>0</v>
      </c>
      <c r="CZ373">
        <v>0</v>
      </c>
      <c r="DA373">
        <v>0</v>
      </c>
      <c r="DB373">
        <v>0</v>
      </c>
      <c r="DC373">
        <v>0</v>
      </c>
      <c r="DD373">
        <v>0</v>
      </c>
      <c r="DE373">
        <v>0</v>
      </c>
      <c r="DF373">
        <v>0</v>
      </c>
      <c r="DG373">
        <v>0</v>
      </c>
      <c r="DH373">
        <v>0</v>
      </c>
      <c r="DI373">
        <v>0</v>
      </c>
      <c r="DJ373">
        <v>0</v>
      </c>
      <c r="DK373">
        <v>0</v>
      </c>
      <c r="DL373">
        <v>0</v>
      </c>
      <c r="DM373">
        <v>0</v>
      </c>
      <c r="DN373">
        <v>0</v>
      </c>
      <c r="DO373">
        <v>0</v>
      </c>
      <c r="DP373">
        <v>0</v>
      </c>
      <c r="DQ373">
        <v>0</v>
      </c>
      <c r="DR373">
        <v>0</v>
      </c>
      <c r="DS373">
        <v>0</v>
      </c>
      <c r="DT373">
        <v>0</v>
      </c>
      <c r="DU373">
        <v>0</v>
      </c>
      <c r="DV373">
        <v>0</v>
      </c>
      <c r="DW373">
        <v>0</v>
      </c>
      <c r="DX373">
        <v>0</v>
      </c>
      <c r="DY373">
        <v>0</v>
      </c>
      <c r="DZ373">
        <v>0</v>
      </c>
      <c r="EA373">
        <v>0</v>
      </c>
      <c r="EB373">
        <v>0</v>
      </c>
      <c r="EC373">
        <v>0</v>
      </c>
      <c r="ED373">
        <v>0</v>
      </c>
      <c r="EE373">
        <v>0</v>
      </c>
      <c r="EF373">
        <v>0</v>
      </c>
      <c r="EG373">
        <v>0</v>
      </c>
      <c r="EH373">
        <v>0</v>
      </c>
      <c r="EI373">
        <v>0</v>
      </c>
      <c r="EJ373">
        <v>0</v>
      </c>
      <c r="EK373">
        <v>0</v>
      </c>
      <c r="EL373">
        <v>0</v>
      </c>
      <c r="EM373">
        <v>0</v>
      </c>
      <c r="EN373">
        <v>0</v>
      </c>
      <c r="EO373">
        <v>0</v>
      </c>
      <c r="EP373">
        <v>0</v>
      </c>
      <c r="EQ373">
        <v>0</v>
      </c>
      <c r="ER373">
        <v>0</v>
      </c>
      <c r="ES373">
        <v>0</v>
      </c>
      <c r="ET373">
        <v>0</v>
      </c>
      <c r="EU373">
        <v>0</v>
      </c>
      <c r="EV373">
        <v>0</v>
      </c>
      <c r="EW373">
        <v>0</v>
      </c>
      <c r="EX373">
        <v>0</v>
      </c>
      <c r="EY373">
        <v>0</v>
      </c>
      <c r="EZ373">
        <v>0</v>
      </c>
      <c r="FA373">
        <v>0</v>
      </c>
      <c r="FB373">
        <v>0</v>
      </c>
      <c r="FC373">
        <v>0</v>
      </c>
      <c r="FD373">
        <v>0</v>
      </c>
      <c r="FE373">
        <v>0</v>
      </c>
      <c r="FF373">
        <v>0</v>
      </c>
      <c r="FG373">
        <v>0</v>
      </c>
      <c r="FH373">
        <v>0</v>
      </c>
      <c r="FI373">
        <v>0</v>
      </c>
      <c r="FJ373">
        <v>0</v>
      </c>
      <c r="FK373">
        <v>0</v>
      </c>
      <c r="FL373">
        <v>0</v>
      </c>
      <c r="FM373">
        <v>0</v>
      </c>
      <c r="FN373">
        <v>0</v>
      </c>
      <c r="FO373">
        <v>0</v>
      </c>
      <c r="FP373">
        <v>0</v>
      </c>
      <c r="FQ373">
        <v>0</v>
      </c>
      <c r="FR373">
        <v>0</v>
      </c>
      <c r="FS373">
        <v>0</v>
      </c>
      <c r="FT373">
        <v>0</v>
      </c>
      <c r="FU373">
        <v>0</v>
      </c>
      <c r="FV373">
        <v>0</v>
      </c>
      <c r="FW373">
        <v>0</v>
      </c>
      <c r="FX373">
        <v>0</v>
      </c>
      <c r="FY373">
        <v>0</v>
      </c>
      <c r="FZ373">
        <v>0</v>
      </c>
      <c r="GA373">
        <v>0</v>
      </c>
      <c r="GB373">
        <v>0</v>
      </c>
      <c r="GC373">
        <v>0</v>
      </c>
      <c r="GD373">
        <v>0</v>
      </c>
      <c r="GE373">
        <v>0</v>
      </c>
      <c r="GF373">
        <v>0</v>
      </c>
      <c r="GG373">
        <v>0</v>
      </c>
      <c r="GH373">
        <v>0</v>
      </c>
      <c r="GI373">
        <v>0</v>
      </c>
      <c r="GJ373">
        <v>0</v>
      </c>
      <c r="GK373">
        <v>0</v>
      </c>
      <c r="GL373">
        <v>0</v>
      </c>
      <c r="GM373">
        <v>0</v>
      </c>
      <c r="GN373">
        <v>0</v>
      </c>
      <c r="GO373">
        <v>0</v>
      </c>
      <c r="GP373">
        <v>813</v>
      </c>
      <c r="GQ373">
        <v>3725</v>
      </c>
      <c r="GR373">
        <v>1096</v>
      </c>
      <c r="GS373">
        <v>51771</v>
      </c>
      <c r="GT373">
        <v>199</v>
      </c>
      <c r="GU373">
        <v>57604</v>
      </c>
      <c r="GV373">
        <v>57604</v>
      </c>
      <c r="GW373">
        <v>14791</v>
      </c>
      <c r="GX373">
        <v>0</v>
      </c>
      <c r="GY373">
        <v>0</v>
      </c>
      <c r="GZ373">
        <v>0</v>
      </c>
      <c r="HA373">
        <v>0</v>
      </c>
      <c r="HB373">
        <v>16154</v>
      </c>
      <c r="HC373">
        <v>0</v>
      </c>
      <c r="HD373">
        <v>0</v>
      </c>
      <c r="HE373">
        <v>0</v>
      </c>
      <c r="HF373">
        <v>0</v>
      </c>
      <c r="HG373">
        <v>0</v>
      </c>
      <c r="HH373">
        <v>0</v>
      </c>
      <c r="HI373">
        <v>0</v>
      </c>
      <c r="HJ373">
        <v>0</v>
      </c>
      <c r="HK373">
        <v>-43</v>
      </c>
      <c r="HL373">
        <v>0</v>
      </c>
      <c r="HM373">
        <v>0</v>
      </c>
      <c r="HN373">
        <v>0</v>
      </c>
      <c r="HO373">
        <v>0</v>
      </c>
      <c r="HP373">
        <v>0</v>
      </c>
      <c r="HQ373">
        <v>0</v>
      </c>
      <c r="HR373">
        <v>0</v>
      </c>
      <c r="HS373">
        <v>0</v>
      </c>
      <c r="HT373">
        <v>0</v>
      </c>
      <c r="HU373">
        <v>0</v>
      </c>
      <c r="HV373">
        <v>16111</v>
      </c>
      <c r="HW373">
        <v>0</v>
      </c>
      <c r="HX373">
        <v>0</v>
      </c>
      <c r="HY373">
        <v>0</v>
      </c>
      <c r="HZ373">
        <v>0</v>
      </c>
      <c r="IA373">
        <v>0</v>
      </c>
      <c r="IB373">
        <v>0</v>
      </c>
      <c r="IC373">
        <v>0</v>
      </c>
      <c r="ID373">
        <v>83367</v>
      </c>
      <c r="IE373">
        <v>0</v>
      </c>
      <c r="IF373">
        <v>0</v>
      </c>
      <c r="IG373">
        <v>0</v>
      </c>
      <c r="IH373">
        <v>0</v>
      </c>
      <c r="II373">
        <v>0</v>
      </c>
      <c r="IJ373">
        <v>0</v>
      </c>
      <c r="IK373">
        <v>57604</v>
      </c>
      <c r="IL373">
        <v>14791</v>
      </c>
      <c r="IM373">
        <v>0</v>
      </c>
      <c r="IN373">
        <v>16111</v>
      </c>
      <c r="IO373">
        <v>0</v>
      </c>
      <c r="IP373">
        <v>171873</v>
      </c>
      <c r="IQ373">
        <v>0</v>
      </c>
      <c r="IR373">
        <v>0</v>
      </c>
      <c r="IS373">
        <v>0</v>
      </c>
      <c r="IT373">
        <v>0</v>
      </c>
      <c r="IU373">
        <v>0</v>
      </c>
      <c r="IV373">
        <v>0</v>
      </c>
      <c r="IW373">
        <v>-97901</v>
      </c>
      <c r="IX373">
        <v>0</v>
      </c>
      <c r="IY373">
        <v>0</v>
      </c>
      <c r="IZ373">
        <v>0</v>
      </c>
      <c r="JA373">
        <v>0</v>
      </c>
      <c r="JB373">
        <v>0</v>
      </c>
      <c r="JC373">
        <v>0</v>
      </c>
      <c r="JD373">
        <v>0</v>
      </c>
      <c r="JE373">
        <v>0</v>
      </c>
      <c r="JF373">
        <v>0</v>
      </c>
      <c r="JG373">
        <v>73972</v>
      </c>
      <c r="JH373">
        <v>0</v>
      </c>
      <c r="JI373">
        <v>0</v>
      </c>
      <c r="JJ373">
        <v>0</v>
      </c>
      <c r="JK373">
        <v>0</v>
      </c>
      <c r="JL373">
        <v>0</v>
      </c>
      <c r="JM373">
        <v>0</v>
      </c>
      <c r="JN373">
        <v>3660</v>
      </c>
      <c r="JO373">
        <v>0</v>
      </c>
      <c r="JP373">
        <v>3229</v>
      </c>
      <c r="JQ373">
        <v>0</v>
      </c>
      <c r="JR373">
        <v>80861</v>
      </c>
      <c r="JS373">
        <v>-1124</v>
      </c>
      <c r="JT373">
        <v>0</v>
      </c>
      <c r="JU373">
        <v>0</v>
      </c>
      <c r="JV373">
        <v>0</v>
      </c>
      <c r="JW373">
        <v>-43691</v>
      </c>
      <c r="JX373">
        <v>0</v>
      </c>
      <c r="JY373">
        <v>0</v>
      </c>
      <c r="JZ373">
        <v>0</v>
      </c>
      <c r="KA373">
        <v>0</v>
      </c>
      <c r="KB373">
        <v>0</v>
      </c>
      <c r="KC373">
        <v>36046</v>
      </c>
      <c r="KD373">
        <v>0</v>
      </c>
      <c r="KE373">
        <v>-64617</v>
      </c>
      <c r="KF373">
        <v>-28571</v>
      </c>
      <c r="KG373">
        <v>0</v>
      </c>
      <c r="KH373">
        <v>0</v>
      </c>
      <c r="KI373">
        <v>0</v>
      </c>
      <c r="KJ373">
        <v>0</v>
      </c>
      <c r="KK373">
        <v>27822</v>
      </c>
      <c r="KL373">
        <v>750</v>
      </c>
      <c r="KM373">
        <v>0</v>
      </c>
      <c r="KN373">
        <v>0</v>
      </c>
      <c r="KO373">
        <v>0</v>
      </c>
      <c r="KP373">
        <v>0</v>
      </c>
      <c r="KQ373">
        <v>0</v>
      </c>
      <c r="KR373">
        <v>0</v>
      </c>
      <c r="KS373">
        <v>0</v>
      </c>
      <c r="KT373">
        <v>0</v>
      </c>
      <c r="KU373">
        <v>0</v>
      </c>
      <c r="KV373">
        <v>68403</v>
      </c>
      <c r="KW373">
        <v>12951</v>
      </c>
      <c r="KX373">
        <v>0</v>
      </c>
      <c r="KY373">
        <v>0</v>
      </c>
      <c r="KZ373">
        <v>0</v>
      </c>
      <c r="LA373">
        <v>96225</v>
      </c>
      <c r="LB373">
        <v>13701</v>
      </c>
      <c r="LC373">
        <v>27180</v>
      </c>
      <c r="LD373">
        <v>5082</v>
      </c>
      <c r="LE373">
        <v>704</v>
      </c>
      <c r="LF373">
        <v>0</v>
      </c>
      <c r="LG373">
        <v>-320577</v>
      </c>
      <c r="LH373">
        <v>0</v>
      </c>
      <c r="LI373">
        <v>-314791</v>
      </c>
      <c r="LJ373">
        <v>0</v>
      </c>
      <c r="LK373">
        <v>0</v>
      </c>
      <c r="LL373">
        <v>0</v>
      </c>
      <c r="LM373">
        <v>0</v>
      </c>
      <c r="LN373">
        <v>0</v>
      </c>
      <c r="LO373">
        <v>0</v>
      </c>
      <c r="LP373">
        <v>0</v>
      </c>
      <c r="LQ373">
        <v>0</v>
      </c>
      <c r="LR373">
        <v>0</v>
      </c>
      <c r="LS373">
        <v>0</v>
      </c>
      <c r="LT373">
        <v>0</v>
      </c>
      <c r="LU373">
        <v>0</v>
      </c>
      <c r="LV373">
        <v>83367</v>
      </c>
      <c r="LW373">
        <v>0</v>
      </c>
      <c r="LX373">
        <v>0</v>
      </c>
      <c r="LY373">
        <v>0</v>
      </c>
      <c r="LZ373">
        <v>0</v>
      </c>
      <c r="MA373">
        <v>0</v>
      </c>
      <c r="MB373">
        <v>0</v>
      </c>
      <c r="MC373">
        <v>57604</v>
      </c>
      <c r="MD373">
        <v>14791</v>
      </c>
      <c r="ME373">
        <v>0</v>
      </c>
      <c r="MF373">
        <v>16111</v>
      </c>
      <c r="MG373">
        <v>0</v>
      </c>
      <c r="MH373">
        <v>171873</v>
      </c>
      <c r="MI373">
        <v>0</v>
      </c>
      <c r="MJ373">
        <v>0</v>
      </c>
      <c r="MK373">
        <v>0</v>
      </c>
      <c r="ML373">
        <v>0</v>
      </c>
      <c r="MM373">
        <v>0</v>
      </c>
      <c r="MN373">
        <v>0</v>
      </c>
      <c r="MO373">
        <v>0</v>
      </c>
      <c r="MP373">
        <v>0</v>
      </c>
      <c r="MQ373">
        <v>0</v>
      </c>
      <c r="MR373">
        <v>0</v>
      </c>
      <c r="MS373">
        <v>0</v>
      </c>
      <c r="MT373">
        <v>0</v>
      </c>
      <c r="MU373">
        <v>0</v>
      </c>
      <c r="MV373">
        <v>0</v>
      </c>
      <c r="MW373">
        <v>0</v>
      </c>
      <c r="MX373">
        <v>0</v>
      </c>
      <c r="MY373">
        <v>0</v>
      </c>
      <c r="MZ373">
        <v>0</v>
      </c>
      <c r="NA373">
        <v>0</v>
      </c>
      <c r="NB373">
        <v>0</v>
      </c>
      <c r="NC373">
        <v>0</v>
      </c>
      <c r="ND373">
        <v>0</v>
      </c>
      <c r="NE373">
        <v>0</v>
      </c>
      <c r="NF373">
        <v>0</v>
      </c>
      <c r="NG373">
        <v>0</v>
      </c>
      <c r="NH373">
        <v>0</v>
      </c>
      <c r="NI373">
        <v>0</v>
      </c>
      <c r="NJ373">
        <v>0</v>
      </c>
      <c r="NK373">
        <v>0</v>
      </c>
      <c r="NL373">
        <v>0</v>
      </c>
      <c r="NM373">
        <v>0</v>
      </c>
      <c r="NN373">
        <v>0</v>
      </c>
      <c r="NO373">
        <v>0</v>
      </c>
      <c r="NP373">
        <v>0</v>
      </c>
      <c r="NQ373">
        <v>0</v>
      </c>
      <c r="NR373">
        <v>0</v>
      </c>
      <c r="NS373">
        <v>0</v>
      </c>
      <c r="NT373">
        <v>0</v>
      </c>
      <c r="NU373">
        <v>0</v>
      </c>
      <c r="NV373">
        <v>0</v>
      </c>
      <c r="NW373">
        <v>0</v>
      </c>
      <c r="NX373">
        <v>0</v>
      </c>
      <c r="NY373">
        <v>0</v>
      </c>
      <c r="NZ373">
        <v>0</v>
      </c>
      <c r="OA373">
        <v>0</v>
      </c>
      <c r="OB373">
        <v>0</v>
      </c>
      <c r="OC373">
        <v>0</v>
      </c>
      <c r="OD373">
        <v>0</v>
      </c>
      <c r="OE373">
        <v>0</v>
      </c>
      <c r="OF373">
        <v>0</v>
      </c>
      <c r="OG373">
        <v>0</v>
      </c>
      <c r="OH373">
        <v>0</v>
      </c>
      <c r="OI373">
        <v>0</v>
      </c>
      <c r="OJ373">
        <v>0</v>
      </c>
      <c r="OK373">
        <v>0</v>
      </c>
      <c r="OL373">
        <v>0</v>
      </c>
      <c r="OM373">
        <v>0</v>
      </c>
      <c r="ON373">
        <v>0</v>
      </c>
    </row>
    <row r="374" spans="1:404" x14ac:dyDescent="0.25">
      <c r="A374" t="s">
        <v>1188</v>
      </c>
      <c r="B374" t="s">
        <v>1189</v>
      </c>
      <c r="C374" t="s">
        <v>1187</v>
      </c>
      <c r="E374" t="s">
        <v>61</v>
      </c>
      <c r="F374">
        <v>0</v>
      </c>
      <c r="G374">
        <v>0</v>
      </c>
      <c r="H374">
        <v>0</v>
      </c>
      <c r="I374">
        <v>0</v>
      </c>
      <c r="J374">
        <v>0</v>
      </c>
      <c r="K374">
        <v>0</v>
      </c>
      <c r="L374">
        <v>0</v>
      </c>
      <c r="M374">
        <v>0</v>
      </c>
      <c r="N374">
        <v>-2</v>
      </c>
      <c r="O374">
        <v>0</v>
      </c>
      <c r="P374">
        <v>108</v>
      </c>
      <c r="Q374">
        <v>0</v>
      </c>
      <c r="R374">
        <v>0</v>
      </c>
      <c r="S374">
        <v>958</v>
      </c>
      <c r="T374">
        <v>0</v>
      </c>
      <c r="U374">
        <v>0</v>
      </c>
      <c r="V374">
        <v>0</v>
      </c>
      <c r="W374">
        <v>0</v>
      </c>
      <c r="X374">
        <v>0</v>
      </c>
      <c r="Y374">
        <v>0</v>
      </c>
      <c r="Z374">
        <v>-229</v>
      </c>
      <c r="AA374">
        <v>408</v>
      </c>
      <c r="AB374">
        <v>38</v>
      </c>
      <c r="AC374">
        <v>0</v>
      </c>
      <c r="AD374">
        <v>93</v>
      </c>
      <c r="AE374">
        <v>0</v>
      </c>
      <c r="AF374">
        <v>0</v>
      </c>
      <c r="AG374">
        <v>0</v>
      </c>
      <c r="AH374">
        <v>0</v>
      </c>
      <c r="AI374">
        <v>1374</v>
      </c>
      <c r="AJ374">
        <v>0</v>
      </c>
      <c r="AK374">
        <v>0</v>
      </c>
      <c r="AL374">
        <v>0</v>
      </c>
      <c r="AM374">
        <v>0</v>
      </c>
      <c r="AN374">
        <v>0</v>
      </c>
      <c r="AO374">
        <v>0</v>
      </c>
      <c r="AP374">
        <v>0</v>
      </c>
      <c r="AQ374">
        <v>121</v>
      </c>
      <c r="AR374">
        <v>283</v>
      </c>
      <c r="AS374">
        <v>0</v>
      </c>
      <c r="AT374">
        <v>0</v>
      </c>
      <c r="AU374">
        <v>0</v>
      </c>
      <c r="AV374">
        <v>0</v>
      </c>
      <c r="AW374">
        <v>0</v>
      </c>
      <c r="AX374">
        <v>0</v>
      </c>
      <c r="AY374">
        <v>0</v>
      </c>
      <c r="AZ374">
        <v>0</v>
      </c>
      <c r="BA374">
        <v>0</v>
      </c>
      <c r="BB374">
        <v>0</v>
      </c>
      <c r="BC374">
        <v>0</v>
      </c>
      <c r="BD374">
        <v>0</v>
      </c>
      <c r="BE374">
        <v>0</v>
      </c>
      <c r="BF374">
        <v>0</v>
      </c>
      <c r="BG374">
        <v>0</v>
      </c>
      <c r="BH374">
        <v>0</v>
      </c>
      <c r="BI374">
        <v>0</v>
      </c>
      <c r="BJ374">
        <v>0</v>
      </c>
      <c r="BK374">
        <v>0</v>
      </c>
      <c r="BL374">
        <v>0</v>
      </c>
      <c r="BM374">
        <v>0</v>
      </c>
      <c r="BN374">
        <v>0</v>
      </c>
      <c r="BO374">
        <v>0</v>
      </c>
      <c r="BP374">
        <v>0</v>
      </c>
      <c r="BQ374">
        <v>0</v>
      </c>
      <c r="BR374">
        <v>0</v>
      </c>
      <c r="BS374">
        <v>0</v>
      </c>
      <c r="BT374">
        <v>0</v>
      </c>
      <c r="BU374">
        <v>0</v>
      </c>
      <c r="BV374">
        <v>0</v>
      </c>
      <c r="BW374">
        <v>0</v>
      </c>
      <c r="BX374">
        <v>0</v>
      </c>
      <c r="BY374">
        <v>0</v>
      </c>
      <c r="BZ374">
        <v>0</v>
      </c>
      <c r="CA374">
        <v>0</v>
      </c>
      <c r="CB374">
        <v>0</v>
      </c>
      <c r="CC374">
        <v>0</v>
      </c>
      <c r="CD374">
        <v>0</v>
      </c>
      <c r="CE374">
        <v>0</v>
      </c>
      <c r="CF374">
        <v>0</v>
      </c>
      <c r="CG374">
        <v>0</v>
      </c>
      <c r="CH374">
        <v>0</v>
      </c>
      <c r="CI374">
        <v>0</v>
      </c>
      <c r="CJ374">
        <v>0</v>
      </c>
      <c r="CK374">
        <v>0</v>
      </c>
      <c r="CL374">
        <v>0</v>
      </c>
      <c r="CM374">
        <v>0</v>
      </c>
      <c r="CN374">
        <v>0</v>
      </c>
      <c r="CO374">
        <v>0</v>
      </c>
      <c r="CP374">
        <v>0</v>
      </c>
      <c r="CQ374">
        <v>0</v>
      </c>
      <c r="CR374">
        <v>0</v>
      </c>
      <c r="CS374">
        <v>0</v>
      </c>
      <c r="CT374">
        <v>0</v>
      </c>
      <c r="CU374">
        <v>0</v>
      </c>
      <c r="CV374">
        <v>0</v>
      </c>
      <c r="CW374">
        <v>0</v>
      </c>
      <c r="CX374">
        <v>0</v>
      </c>
      <c r="CY374">
        <v>0</v>
      </c>
      <c r="CZ374">
        <v>0</v>
      </c>
      <c r="DA374">
        <v>0</v>
      </c>
      <c r="DB374">
        <v>0</v>
      </c>
      <c r="DC374">
        <v>440</v>
      </c>
      <c r="DD374">
        <v>0</v>
      </c>
      <c r="DE374">
        <v>21</v>
      </c>
      <c r="DF374">
        <v>0</v>
      </c>
      <c r="DG374">
        <v>0</v>
      </c>
      <c r="DH374">
        <v>0</v>
      </c>
      <c r="DI374">
        <v>0</v>
      </c>
      <c r="DJ374">
        <v>0</v>
      </c>
      <c r="DK374">
        <v>0</v>
      </c>
      <c r="DL374">
        <v>0</v>
      </c>
      <c r="DM374">
        <v>0</v>
      </c>
      <c r="DN374">
        <v>-134</v>
      </c>
      <c r="DO374">
        <v>-5</v>
      </c>
      <c r="DP374">
        <v>-139</v>
      </c>
      <c r="DQ374">
        <v>0</v>
      </c>
      <c r="DR374">
        <v>0</v>
      </c>
      <c r="DS374">
        <v>0</v>
      </c>
      <c r="DT374">
        <v>6</v>
      </c>
      <c r="DU374">
        <v>0</v>
      </c>
      <c r="DV374">
        <v>0</v>
      </c>
      <c r="DW374">
        <v>0</v>
      </c>
      <c r="DX374">
        <v>328</v>
      </c>
      <c r="DY374">
        <v>0</v>
      </c>
      <c r="DZ374">
        <v>0</v>
      </c>
      <c r="EA374">
        <v>0</v>
      </c>
      <c r="EB374">
        <v>0</v>
      </c>
      <c r="EC374">
        <v>0</v>
      </c>
      <c r="ED374">
        <v>0</v>
      </c>
      <c r="EE374">
        <v>0</v>
      </c>
      <c r="EF374">
        <v>0</v>
      </c>
      <c r="EG374">
        <v>0</v>
      </c>
      <c r="EH374">
        <v>0</v>
      </c>
      <c r="EI374">
        <v>0</v>
      </c>
      <c r="EJ374">
        <v>0</v>
      </c>
      <c r="EK374">
        <v>0</v>
      </c>
      <c r="EL374">
        <v>0</v>
      </c>
      <c r="EM374">
        <v>0</v>
      </c>
      <c r="EN374">
        <v>0</v>
      </c>
      <c r="EO374">
        <v>0</v>
      </c>
      <c r="EP374">
        <v>0</v>
      </c>
      <c r="EQ374">
        <v>0</v>
      </c>
      <c r="ER374">
        <v>0</v>
      </c>
      <c r="ES374">
        <v>0</v>
      </c>
      <c r="ET374">
        <v>0</v>
      </c>
      <c r="EU374">
        <v>0</v>
      </c>
      <c r="EV374">
        <v>4</v>
      </c>
      <c r="EW374">
        <v>0</v>
      </c>
      <c r="EX374">
        <v>10</v>
      </c>
      <c r="EY374">
        <v>405</v>
      </c>
      <c r="EZ374">
        <v>359</v>
      </c>
      <c r="FA374">
        <v>0</v>
      </c>
      <c r="FB374">
        <v>390</v>
      </c>
      <c r="FC374">
        <v>285</v>
      </c>
      <c r="FD374">
        <v>913</v>
      </c>
      <c r="FE374">
        <v>0</v>
      </c>
      <c r="FF374">
        <v>0</v>
      </c>
      <c r="FG374">
        <v>0</v>
      </c>
      <c r="FH374">
        <v>2366</v>
      </c>
      <c r="FI374">
        <v>-68</v>
      </c>
      <c r="FJ374">
        <v>0</v>
      </c>
      <c r="FK374">
        <v>0</v>
      </c>
      <c r="FL374">
        <v>289</v>
      </c>
      <c r="FM374">
        <v>41</v>
      </c>
      <c r="FN374">
        <v>201</v>
      </c>
      <c r="FO374">
        <v>0</v>
      </c>
      <c r="FP374">
        <v>0</v>
      </c>
      <c r="FQ374">
        <v>0</v>
      </c>
      <c r="FR374">
        <v>77</v>
      </c>
      <c r="FS374">
        <v>4</v>
      </c>
      <c r="FT374">
        <v>64</v>
      </c>
      <c r="FU374">
        <v>91</v>
      </c>
      <c r="FV374">
        <v>382</v>
      </c>
      <c r="FW374">
        <v>51</v>
      </c>
      <c r="FX374">
        <v>0</v>
      </c>
      <c r="FY374">
        <v>0</v>
      </c>
      <c r="FZ374">
        <v>0</v>
      </c>
      <c r="GA374">
        <v>0</v>
      </c>
      <c r="GB374">
        <v>0</v>
      </c>
      <c r="GC374">
        <v>0</v>
      </c>
      <c r="GD374">
        <v>475</v>
      </c>
      <c r="GE374">
        <v>534</v>
      </c>
      <c r="GF374">
        <v>0</v>
      </c>
      <c r="GG374">
        <v>-33</v>
      </c>
      <c r="GH374">
        <v>1236</v>
      </c>
      <c r="GI374">
        <v>0</v>
      </c>
      <c r="GJ374">
        <v>108</v>
      </c>
      <c r="GK374">
        <v>3452</v>
      </c>
      <c r="GL374">
        <v>4</v>
      </c>
      <c r="GM374">
        <v>656</v>
      </c>
      <c r="GN374">
        <v>0</v>
      </c>
      <c r="GO374">
        <v>295</v>
      </c>
      <c r="GP374">
        <v>41</v>
      </c>
      <c r="GQ374">
        <v>27</v>
      </c>
      <c r="GR374">
        <v>0</v>
      </c>
      <c r="GS374">
        <v>0</v>
      </c>
      <c r="GT374">
        <v>4</v>
      </c>
      <c r="GU374">
        <v>1027</v>
      </c>
      <c r="GV374">
        <v>6845</v>
      </c>
      <c r="GW374">
        <v>0</v>
      </c>
      <c r="GX374">
        <v>0</v>
      </c>
      <c r="GY374">
        <v>0</v>
      </c>
      <c r="GZ374">
        <v>0</v>
      </c>
      <c r="HA374">
        <v>0</v>
      </c>
      <c r="HB374">
        <v>780</v>
      </c>
      <c r="HC374">
        <v>958</v>
      </c>
      <c r="HD374">
        <v>0</v>
      </c>
      <c r="HE374">
        <v>0</v>
      </c>
      <c r="HF374">
        <v>39</v>
      </c>
      <c r="HG374">
        <v>18</v>
      </c>
      <c r="HH374">
        <v>0</v>
      </c>
      <c r="HI374">
        <v>0</v>
      </c>
      <c r="HJ374">
        <v>162</v>
      </c>
      <c r="HK374">
        <v>110</v>
      </c>
      <c r="HL374">
        <v>90</v>
      </c>
      <c r="HM374">
        <v>83</v>
      </c>
      <c r="HN374">
        <v>0</v>
      </c>
      <c r="HO374">
        <v>0</v>
      </c>
      <c r="HP374">
        <v>0</v>
      </c>
      <c r="HQ374">
        <v>-103</v>
      </c>
      <c r="HR374">
        <v>291</v>
      </c>
      <c r="HS374">
        <v>0</v>
      </c>
      <c r="HT374">
        <v>0</v>
      </c>
      <c r="HU374">
        <v>5496</v>
      </c>
      <c r="HV374">
        <v>7924</v>
      </c>
      <c r="HW374">
        <v>4426</v>
      </c>
      <c r="HX374">
        <v>0</v>
      </c>
      <c r="HY374">
        <v>0</v>
      </c>
      <c r="HZ374">
        <v>0</v>
      </c>
      <c r="IA374">
        <v>0</v>
      </c>
      <c r="IB374">
        <v>0</v>
      </c>
      <c r="IC374">
        <v>0</v>
      </c>
      <c r="ID374">
        <v>1374</v>
      </c>
      <c r="IE374">
        <v>0</v>
      </c>
      <c r="IF374">
        <v>0</v>
      </c>
      <c r="IG374">
        <v>0</v>
      </c>
      <c r="IH374">
        <v>328</v>
      </c>
      <c r="II374">
        <v>2366</v>
      </c>
      <c r="IJ374">
        <v>3452</v>
      </c>
      <c r="IK374">
        <v>1027</v>
      </c>
      <c r="IL374">
        <v>0</v>
      </c>
      <c r="IM374">
        <v>0</v>
      </c>
      <c r="IN374">
        <v>7924</v>
      </c>
      <c r="IO374">
        <v>0</v>
      </c>
      <c r="IP374">
        <v>16471</v>
      </c>
      <c r="IQ374">
        <v>15004</v>
      </c>
      <c r="IR374">
        <v>0</v>
      </c>
      <c r="IS374">
        <v>0</v>
      </c>
      <c r="IT374">
        <v>0</v>
      </c>
      <c r="IU374">
        <v>0</v>
      </c>
      <c r="IV374">
        <v>2115</v>
      </c>
      <c r="IW374">
        <v>0</v>
      </c>
      <c r="IX374">
        <v>0</v>
      </c>
      <c r="IY374">
        <v>0</v>
      </c>
      <c r="IZ374">
        <v>0</v>
      </c>
      <c r="JA374">
        <v>0</v>
      </c>
      <c r="JB374">
        <v>0</v>
      </c>
      <c r="JC374">
        <v>0</v>
      </c>
      <c r="JD374">
        <v>0</v>
      </c>
      <c r="JE374">
        <v>0</v>
      </c>
      <c r="JF374">
        <v>0</v>
      </c>
      <c r="JG374">
        <v>33590</v>
      </c>
      <c r="JH374">
        <v>0</v>
      </c>
      <c r="JI374">
        <v>0</v>
      </c>
      <c r="JJ374">
        <v>0</v>
      </c>
      <c r="JK374">
        <v>0</v>
      </c>
      <c r="JL374">
        <v>0</v>
      </c>
      <c r="JM374">
        <v>71</v>
      </c>
      <c r="JN374">
        <v>0</v>
      </c>
      <c r="JO374">
        <v>0</v>
      </c>
      <c r="JP374">
        <v>341</v>
      </c>
      <c r="JQ374">
        <v>0</v>
      </c>
      <c r="JR374">
        <v>34002</v>
      </c>
      <c r="JS374">
        <v>-903</v>
      </c>
      <c r="JT374">
        <v>0</v>
      </c>
      <c r="JU374">
        <v>0</v>
      </c>
      <c r="JV374">
        <v>0</v>
      </c>
      <c r="JW374">
        <v>-14146</v>
      </c>
      <c r="JX374">
        <v>0</v>
      </c>
      <c r="JY374">
        <v>-54</v>
      </c>
      <c r="JZ374">
        <v>0</v>
      </c>
      <c r="KA374">
        <v>0</v>
      </c>
      <c r="KB374">
        <v>0</v>
      </c>
      <c r="KC374">
        <v>18899</v>
      </c>
      <c r="KD374">
        <v>0</v>
      </c>
      <c r="KE374">
        <v>-3937</v>
      </c>
      <c r="KF374">
        <v>14962</v>
      </c>
      <c r="KG374">
        <v>0</v>
      </c>
      <c r="KH374">
        <v>0</v>
      </c>
      <c r="KI374">
        <v>0</v>
      </c>
      <c r="KJ374">
        <v>0</v>
      </c>
      <c r="KK374">
        <v>1899</v>
      </c>
      <c r="KL374">
        <v>0</v>
      </c>
      <c r="KM374">
        <v>0</v>
      </c>
      <c r="KN374">
        <v>0</v>
      </c>
      <c r="KO374">
        <v>-3615</v>
      </c>
      <c r="KP374">
        <v>5082</v>
      </c>
      <c r="KQ374">
        <v>-2663</v>
      </c>
      <c r="KR374">
        <v>9245</v>
      </c>
      <c r="KS374">
        <v>0</v>
      </c>
      <c r="KT374">
        <v>0</v>
      </c>
      <c r="KU374">
        <v>0</v>
      </c>
      <c r="KV374">
        <v>8324</v>
      </c>
      <c r="KW374">
        <v>14050</v>
      </c>
      <c r="KX374">
        <v>0</v>
      </c>
      <c r="KY374">
        <v>0</v>
      </c>
      <c r="KZ374">
        <v>0</v>
      </c>
      <c r="LA374">
        <v>10223</v>
      </c>
      <c r="LB374">
        <v>14050</v>
      </c>
      <c r="LC374">
        <v>0</v>
      </c>
      <c r="LD374">
        <v>0</v>
      </c>
      <c r="LE374">
        <v>0</v>
      </c>
      <c r="LF374">
        <v>0</v>
      </c>
      <c r="LG374">
        <v>0</v>
      </c>
      <c r="LH374">
        <v>0</v>
      </c>
      <c r="LI374">
        <v>0</v>
      </c>
      <c r="LJ374">
        <v>1903</v>
      </c>
      <c r="LK374">
        <v>2910</v>
      </c>
      <c r="LL374">
        <v>4813</v>
      </c>
      <c r="LM374">
        <v>0</v>
      </c>
      <c r="LN374">
        <v>0</v>
      </c>
      <c r="LO374">
        <v>0</v>
      </c>
      <c r="LP374">
        <v>0</v>
      </c>
      <c r="LQ374">
        <v>0</v>
      </c>
      <c r="LR374">
        <v>0</v>
      </c>
      <c r="LS374">
        <v>0</v>
      </c>
      <c r="LT374">
        <v>0</v>
      </c>
      <c r="LU374">
        <v>0</v>
      </c>
      <c r="LV374">
        <v>1374</v>
      </c>
      <c r="LW374">
        <v>0</v>
      </c>
      <c r="LX374">
        <v>0</v>
      </c>
      <c r="LY374">
        <v>0</v>
      </c>
      <c r="LZ374">
        <v>328</v>
      </c>
      <c r="MA374">
        <v>2366</v>
      </c>
      <c r="MB374">
        <v>3452</v>
      </c>
      <c r="MC374">
        <v>1027</v>
      </c>
      <c r="MD374">
        <v>0</v>
      </c>
      <c r="ME374">
        <v>0</v>
      </c>
      <c r="MF374">
        <v>7924</v>
      </c>
      <c r="MG374">
        <v>0</v>
      </c>
      <c r="MH374">
        <v>16471</v>
      </c>
      <c r="MI374">
        <v>0</v>
      </c>
      <c r="MJ374">
        <v>0</v>
      </c>
      <c r="MK374">
        <v>0</v>
      </c>
      <c r="ML374">
        <v>0</v>
      </c>
      <c r="MM374">
        <v>0</v>
      </c>
      <c r="MN374">
        <v>0</v>
      </c>
      <c r="MO374">
        <v>0</v>
      </c>
      <c r="MP374">
        <v>0</v>
      </c>
      <c r="MQ374">
        <v>0</v>
      </c>
      <c r="MR374">
        <v>0</v>
      </c>
      <c r="MS374">
        <v>0</v>
      </c>
      <c r="MT374">
        <v>0</v>
      </c>
      <c r="MU374">
        <v>0</v>
      </c>
      <c r="MV374">
        <v>0</v>
      </c>
      <c r="MW374">
        <v>0</v>
      </c>
      <c r="MX374">
        <v>0</v>
      </c>
      <c r="MY374">
        <v>0</v>
      </c>
      <c r="MZ374">
        <v>0</v>
      </c>
      <c r="NA374">
        <v>0</v>
      </c>
      <c r="NB374">
        <v>0</v>
      </c>
      <c r="NC374">
        <v>0</v>
      </c>
      <c r="ND374">
        <v>0</v>
      </c>
      <c r="NE374">
        <v>0</v>
      </c>
      <c r="NF374">
        <v>0</v>
      </c>
      <c r="NG374">
        <v>0</v>
      </c>
      <c r="NH374">
        <v>0</v>
      </c>
      <c r="NI374">
        <v>0</v>
      </c>
      <c r="NJ374">
        <v>0</v>
      </c>
      <c r="NK374">
        <v>0</v>
      </c>
      <c r="NL374">
        <v>0</v>
      </c>
      <c r="NM374">
        <v>0</v>
      </c>
      <c r="NN374">
        <v>0</v>
      </c>
      <c r="NO374">
        <v>0</v>
      </c>
      <c r="NP374">
        <v>0</v>
      </c>
      <c r="NQ374">
        <v>0</v>
      </c>
      <c r="NR374">
        <v>0</v>
      </c>
      <c r="NS374">
        <v>0</v>
      </c>
      <c r="NT374">
        <v>0</v>
      </c>
      <c r="NU374">
        <v>0</v>
      </c>
      <c r="NV374">
        <v>0</v>
      </c>
      <c r="NW374">
        <v>0</v>
      </c>
      <c r="NX374">
        <v>0</v>
      </c>
      <c r="NY374">
        <v>0</v>
      </c>
      <c r="NZ374">
        <v>0</v>
      </c>
      <c r="OA374">
        <v>0</v>
      </c>
      <c r="OB374">
        <v>0</v>
      </c>
      <c r="OC374">
        <v>0</v>
      </c>
      <c r="OD374">
        <v>0</v>
      </c>
      <c r="OE374">
        <v>0</v>
      </c>
      <c r="OF374">
        <v>0</v>
      </c>
      <c r="OG374">
        <v>0</v>
      </c>
      <c r="OH374">
        <v>0</v>
      </c>
      <c r="OI374">
        <v>0</v>
      </c>
      <c r="OJ374">
        <v>0</v>
      </c>
      <c r="OK374">
        <v>0</v>
      </c>
      <c r="OL374">
        <v>0</v>
      </c>
      <c r="OM374">
        <v>0</v>
      </c>
      <c r="ON374">
        <v>0</v>
      </c>
    </row>
    <row r="375" spans="1:404" x14ac:dyDescent="0.25">
      <c r="A375" t="s">
        <v>1191</v>
      </c>
      <c r="B375" t="s">
        <v>1192</v>
      </c>
      <c r="C375" t="s">
        <v>1190</v>
      </c>
      <c r="E375" t="s">
        <v>125</v>
      </c>
      <c r="F375">
        <v>13115</v>
      </c>
      <c r="G375">
        <v>9193</v>
      </c>
      <c r="H375">
        <v>9534</v>
      </c>
      <c r="I375">
        <v>17111</v>
      </c>
      <c r="J375">
        <v>2253</v>
      </c>
      <c r="K375">
        <v>2266</v>
      </c>
      <c r="L375">
        <v>53471</v>
      </c>
      <c r="M375">
        <v>75</v>
      </c>
      <c r="N375">
        <v>179</v>
      </c>
      <c r="O375">
        <v>112</v>
      </c>
      <c r="P375">
        <v>0</v>
      </c>
      <c r="Q375">
        <v>141</v>
      </c>
      <c r="R375">
        <v>106</v>
      </c>
      <c r="S375">
        <v>3130</v>
      </c>
      <c r="T375">
        <v>161</v>
      </c>
      <c r="U375">
        <v>1126</v>
      </c>
      <c r="V375">
        <v>0</v>
      </c>
      <c r="W375">
        <v>0</v>
      </c>
      <c r="X375">
        <v>144</v>
      </c>
      <c r="Y375">
        <v>256</v>
      </c>
      <c r="Z375">
        <v>-322</v>
      </c>
      <c r="AA375">
        <v>403</v>
      </c>
      <c r="AB375">
        <v>1146</v>
      </c>
      <c r="AC375">
        <v>0</v>
      </c>
      <c r="AD375">
        <v>690</v>
      </c>
      <c r="AE375">
        <v>0</v>
      </c>
      <c r="AF375">
        <v>20</v>
      </c>
      <c r="AG375">
        <v>0</v>
      </c>
      <c r="AH375">
        <v>0</v>
      </c>
      <c r="AI375">
        <v>7369</v>
      </c>
      <c r="AJ375">
        <v>0</v>
      </c>
      <c r="AK375">
        <v>0</v>
      </c>
      <c r="AL375">
        <v>0</v>
      </c>
      <c r="AM375">
        <v>0</v>
      </c>
      <c r="AN375">
        <v>26</v>
      </c>
      <c r="AO375">
        <v>0</v>
      </c>
      <c r="AP375">
        <v>947</v>
      </c>
      <c r="AQ375">
        <v>781</v>
      </c>
      <c r="AR375">
        <v>290</v>
      </c>
      <c r="AS375">
        <v>0</v>
      </c>
      <c r="AT375">
        <v>0</v>
      </c>
      <c r="AU375">
        <v>0</v>
      </c>
      <c r="AV375">
        <v>1237</v>
      </c>
      <c r="AW375">
        <v>26942</v>
      </c>
      <c r="AX375">
        <v>3950</v>
      </c>
      <c r="AY375">
        <v>6740</v>
      </c>
      <c r="AZ375">
        <v>1936</v>
      </c>
      <c r="BA375">
        <v>5247</v>
      </c>
      <c r="BB375">
        <v>1963</v>
      </c>
      <c r="BC375">
        <v>305</v>
      </c>
      <c r="BD375">
        <v>48320</v>
      </c>
      <c r="BE375">
        <v>3370</v>
      </c>
      <c r="BF375">
        <v>8869</v>
      </c>
      <c r="BG375">
        <v>212</v>
      </c>
      <c r="BH375">
        <v>118</v>
      </c>
      <c r="BI375">
        <v>265</v>
      </c>
      <c r="BJ375">
        <v>1015</v>
      </c>
      <c r="BK375">
        <v>16388</v>
      </c>
      <c r="BL375">
        <v>730</v>
      </c>
      <c r="BM375">
        <v>5165</v>
      </c>
      <c r="BN375">
        <v>628</v>
      </c>
      <c r="BO375">
        <v>87</v>
      </c>
      <c r="BP375">
        <v>0</v>
      </c>
      <c r="BQ375">
        <v>429</v>
      </c>
      <c r="BR375">
        <v>210</v>
      </c>
      <c r="BS375">
        <v>580</v>
      </c>
      <c r="BT375">
        <v>6297</v>
      </c>
      <c r="BU375">
        <v>1521</v>
      </c>
      <c r="BV375">
        <v>4931</v>
      </c>
      <c r="BW375">
        <v>50815</v>
      </c>
      <c r="BX375">
        <v>553</v>
      </c>
      <c r="BY375">
        <v>553</v>
      </c>
      <c r="BZ375">
        <v>602</v>
      </c>
      <c r="CA375">
        <v>7</v>
      </c>
      <c r="CB375">
        <v>42</v>
      </c>
      <c r="CC375">
        <v>31</v>
      </c>
      <c r="CD375">
        <v>238</v>
      </c>
      <c r="CE375">
        <v>205</v>
      </c>
      <c r="CF375">
        <v>861</v>
      </c>
      <c r="CG375">
        <v>99</v>
      </c>
      <c r="CH375">
        <v>80</v>
      </c>
      <c r="CI375">
        <v>679</v>
      </c>
      <c r="CJ375">
        <v>699</v>
      </c>
      <c r="CK375">
        <v>55</v>
      </c>
      <c r="CL375">
        <v>55</v>
      </c>
      <c r="CM375">
        <v>166</v>
      </c>
      <c r="CN375">
        <v>169</v>
      </c>
      <c r="CO375">
        <v>139</v>
      </c>
      <c r="CP375">
        <v>1786</v>
      </c>
      <c r="CQ375">
        <v>1586</v>
      </c>
      <c r="CR375">
        <v>1268</v>
      </c>
      <c r="CS375">
        <v>142</v>
      </c>
      <c r="CT375">
        <v>415</v>
      </c>
      <c r="CU375">
        <v>767</v>
      </c>
      <c r="CV375">
        <v>14198</v>
      </c>
      <c r="CW375">
        <v>163</v>
      </c>
      <c r="CX375">
        <v>1</v>
      </c>
      <c r="CY375">
        <v>196</v>
      </c>
      <c r="CZ375">
        <v>1</v>
      </c>
      <c r="DA375">
        <v>0</v>
      </c>
      <c r="DB375">
        <v>0</v>
      </c>
      <c r="DC375">
        <v>0</v>
      </c>
      <c r="DD375">
        <v>0</v>
      </c>
      <c r="DE375">
        <v>0</v>
      </c>
      <c r="DF375">
        <v>457</v>
      </c>
      <c r="DG375">
        <v>1537</v>
      </c>
      <c r="DH375">
        <v>0</v>
      </c>
      <c r="DI375">
        <v>562</v>
      </c>
      <c r="DJ375">
        <v>56</v>
      </c>
      <c r="DK375">
        <v>48</v>
      </c>
      <c r="DL375">
        <v>0</v>
      </c>
      <c r="DM375">
        <v>371</v>
      </c>
      <c r="DN375">
        <v>238</v>
      </c>
      <c r="DO375">
        <v>318</v>
      </c>
      <c r="DP375">
        <v>3131</v>
      </c>
      <c r="DQ375">
        <v>0</v>
      </c>
      <c r="DR375">
        <v>0</v>
      </c>
      <c r="DS375">
        <v>0</v>
      </c>
      <c r="DT375">
        <v>0</v>
      </c>
      <c r="DU375">
        <v>-65</v>
      </c>
      <c r="DV375">
        <v>0</v>
      </c>
      <c r="DW375">
        <v>0</v>
      </c>
      <c r="DX375">
        <v>3523</v>
      </c>
      <c r="DY375">
        <v>44875</v>
      </c>
      <c r="DZ375">
        <v>979</v>
      </c>
      <c r="EA375">
        <v>5116</v>
      </c>
      <c r="EB375">
        <v>5276</v>
      </c>
      <c r="EC375">
        <v>0</v>
      </c>
      <c r="ED375">
        <v>0</v>
      </c>
      <c r="EE375">
        <v>0</v>
      </c>
      <c r="EF375">
        <v>0</v>
      </c>
      <c r="EG375">
        <v>0</v>
      </c>
      <c r="EH375">
        <v>13180</v>
      </c>
      <c r="EI375">
        <v>26715</v>
      </c>
      <c r="EJ375">
        <v>0</v>
      </c>
      <c r="EK375">
        <v>44</v>
      </c>
      <c r="EL375">
        <v>2809</v>
      </c>
      <c r="EM375">
        <v>211</v>
      </c>
      <c r="EN375">
        <v>0</v>
      </c>
      <c r="EO375">
        <v>0</v>
      </c>
      <c r="EP375">
        <v>0</v>
      </c>
      <c r="EQ375">
        <v>10540</v>
      </c>
      <c r="ER375">
        <v>206</v>
      </c>
      <c r="ES375">
        <v>3834</v>
      </c>
      <c r="ET375">
        <v>6376</v>
      </c>
      <c r="EU375">
        <v>0</v>
      </c>
      <c r="EV375">
        <v>10</v>
      </c>
      <c r="EW375">
        <v>0</v>
      </c>
      <c r="EX375">
        <v>141</v>
      </c>
      <c r="EY375">
        <v>0</v>
      </c>
      <c r="EZ375">
        <v>174</v>
      </c>
      <c r="FA375">
        <v>0</v>
      </c>
      <c r="FB375">
        <v>468</v>
      </c>
      <c r="FC375">
        <v>114</v>
      </c>
      <c r="FD375">
        <v>1625</v>
      </c>
      <c r="FE375">
        <v>0</v>
      </c>
      <c r="FF375">
        <v>0</v>
      </c>
      <c r="FG375">
        <v>1555</v>
      </c>
      <c r="FH375">
        <v>4086</v>
      </c>
      <c r="FI375">
        <v>332</v>
      </c>
      <c r="FJ375">
        <v>663</v>
      </c>
      <c r="FK375">
        <v>0</v>
      </c>
      <c r="FL375">
        <v>400</v>
      </c>
      <c r="FM375">
        <v>1225</v>
      </c>
      <c r="FN375">
        <v>0</v>
      </c>
      <c r="FO375">
        <v>357</v>
      </c>
      <c r="FP375">
        <v>0</v>
      </c>
      <c r="FQ375">
        <v>0</v>
      </c>
      <c r="FR375">
        <v>0</v>
      </c>
      <c r="FS375">
        <v>0</v>
      </c>
      <c r="FT375">
        <v>0</v>
      </c>
      <c r="FU375">
        <v>119</v>
      </c>
      <c r="FV375">
        <v>220</v>
      </c>
      <c r="FW375">
        <v>229</v>
      </c>
      <c r="FX375">
        <v>0</v>
      </c>
      <c r="FY375">
        <v>0</v>
      </c>
      <c r="FZ375">
        <v>0</v>
      </c>
      <c r="GA375">
        <v>0</v>
      </c>
      <c r="GB375">
        <v>0</v>
      </c>
      <c r="GC375">
        <v>0</v>
      </c>
      <c r="GD375">
        <v>3498</v>
      </c>
      <c r="GE375">
        <v>6385</v>
      </c>
      <c r="GF375">
        <v>6890</v>
      </c>
      <c r="GG375">
        <v>0</v>
      </c>
      <c r="GH375">
        <v>829</v>
      </c>
      <c r="GI375">
        <v>0</v>
      </c>
      <c r="GJ375">
        <v>0</v>
      </c>
      <c r="GK375">
        <v>21145</v>
      </c>
      <c r="GL375">
        <v>0</v>
      </c>
      <c r="GM375">
        <v>-94</v>
      </c>
      <c r="GN375">
        <v>0</v>
      </c>
      <c r="GO375">
        <v>2169</v>
      </c>
      <c r="GP375">
        <v>0</v>
      </c>
      <c r="GQ375">
        <v>2042</v>
      </c>
      <c r="GR375">
        <v>13</v>
      </c>
      <c r="GS375">
        <v>-2217</v>
      </c>
      <c r="GT375">
        <v>785</v>
      </c>
      <c r="GU375">
        <v>2698</v>
      </c>
      <c r="GV375">
        <v>27930</v>
      </c>
      <c r="GW375">
        <v>0</v>
      </c>
      <c r="GX375">
        <v>0</v>
      </c>
      <c r="GY375">
        <v>0</v>
      </c>
      <c r="GZ375">
        <v>0</v>
      </c>
      <c r="HA375">
        <v>0</v>
      </c>
      <c r="HB375">
        <v>2168</v>
      </c>
      <c r="HC375">
        <v>319</v>
      </c>
      <c r="HD375">
        <v>0</v>
      </c>
      <c r="HE375">
        <v>0</v>
      </c>
      <c r="HF375">
        <v>0</v>
      </c>
      <c r="HG375">
        <v>0</v>
      </c>
      <c r="HH375">
        <v>0</v>
      </c>
      <c r="HI375">
        <v>-2</v>
      </c>
      <c r="HJ375">
        <v>287</v>
      </c>
      <c r="HK375">
        <v>115</v>
      </c>
      <c r="HL375">
        <v>321</v>
      </c>
      <c r="HM375">
        <v>-352</v>
      </c>
      <c r="HN375">
        <v>-35</v>
      </c>
      <c r="HO375">
        <v>0</v>
      </c>
      <c r="HP375">
        <v>286</v>
      </c>
      <c r="HQ375">
        <v>0</v>
      </c>
      <c r="HR375">
        <v>361</v>
      </c>
      <c r="HS375">
        <v>0</v>
      </c>
      <c r="HT375">
        <v>0</v>
      </c>
      <c r="HU375">
        <v>4307</v>
      </c>
      <c r="HV375">
        <v>7777</v>
      </c>
      <c r="HW375">
        <v>3800</v>
      </c>
      <c r="HX375">
        <v>12877</v>
      </c>
      <c r="HY375">
        <v>0</v>
      </c>
      <c r="HZ375">
        <v>0</v>
      </c>
      <c r="IA375">
        <v>1276</v>
      </c>
      <c r="IB375">
        <v>1398</v>
      </c>
      <c r="IC375">
        <v>53471</v>
      </c>
      <c r="ID375">
        <v>7369</v>
      </c>
      <c r="IE375">
        <v>48320</v>
      </c>
      <c r="IF375">
        <v>50815</v>
      </c>
      <c r="IG375">
        <v>14198</v>
      </c>
      <c r="IH375">
        <v>3523</v>
      </c>
      <c r="II375">
        <v>4086</v>
      </c>
      <c r="IJ375">
        <v>21145</v>
      </c>
      <c r="IK375">
        <v>2698</v>
      </c>
      <c r="IL375">
        <v>0</v>
      </c>
      <c r="IM375">
        <v>0</v>
      </c>
      <c r="IN375">
        <v>7777</v>
      </c>
      <c r="IO375">
        <v>1398</v>
      </c>
      <c r="IP375">
        <v>214800</v>
      </c>
      <c r="IQ375">
        <v>13863</v>
      </c>
      <c r="IR375">
        <v>0</v>
      </c>
      <c r="IS375">
        <v>16214</v>
      </c>
      <c r="IT375">
        <v>0</v>
      </c>
      <c r="IU375">
        <v>0</v>
      </c>
      <c r="IV375">
        <v>0</v>
      </c>
      <c r="IW375">
        <v>0</v>
      </c>
      <c r="IX375">
        <v>0</v>
      </c>
      <c r="IY375">
        <v>0</v>
      </c>
      <c r="IZ375">
        <v>0</v>
      </c>
      <c r="JA375">
        <v>28</v>
      </c>
      <c r="JB375">
        <v>-181</v>
      </c>
      <c r="JC375">
        <v>0</v>
      </c>
      <c r="JD375">
        <v>0</v>
      </c>
      <c r="JE375">
        <v>0</v>
      </c>
      <c r="JF375">
        <v>0</v>
      </c>
      <c r="JG375">
        <v>244725</v>
      </c>
      <c r="JH375" t="s">
        <v>5442</v>
      </c>
      <c r="JI375">
        <v>0</v>
      </c>
      <c r="JJ375">
        <v>0</v>
      </c>
      <c r="JK375" t="s">
        <v>5442</v>
      </c>
      <c r="JL375">
        <v>0</v>
      </c>
      <c r="JM375">
        <v>0</v>
      </c>
      <c r="JN375" t="s">
        <v>5442</v>
      </c>
      <c r="JO375">
        <v>0</v>
      </c>
      <c r="JP375" t="s">
        <v>5442</v>
      </c>
      <c r="JQ375">
        <v>0</v>
      </c>
      <c r="JR375">
        <v>278379</v>
      </c>
      <c r="JS375" t="s">
        <v>5442</v>
      </c>
      <c r="JT375">
        <v>0</v>
      </c>
      <c r="JU375">
        <v>0</v>
      </c>
      <c r="JV375">
        <v>0</v>
      </c>
      <c r="JW375">
        <v>-30241</v>
      </c>
      <c r="JX375">
        <v>0</v>
      </c>
      <c r="JY375">
        <v>0</v>
      </c>
      <c r="JZ375">
        <v>0</v>
      </c>
      <c r="KA375">
        <v>0</v>
      </c>
      <c r="KB375">
        <v>0</v>
      </c>
      <c r="KC375">
        <v>232598</v>
      </c>
      <c r="KD375">
        <v>0</v>
      </c>
      <c r="KE375">
        <v>-84693</v>
      </c>
      <c r="KF375">
        <v>147905</v>
      </c>
      <c r="KG375">
        <v>0</v>
      </c>
      <c r="KH375" t="s">
        <v>5442</v>
      </c>
      <c r="KI375" t="s">
        <v>5442</v>
      </c>
      <c r="KJ375" t="s">
        <v>5442</v>
      </c>
      <c r="KK375" t="s">
        <v>5442</v>
      </c>
      <c r="KL375" t="s">
        <v>5442</v>
      </c>
      <c r="KM375">
        <v>-6844</v>
      </c>
      <c r="KN375">
        <v>0</v>
      </c>
      <c r="KO375" t="s">
        <v>5442</v>
      </c>
      <c r="KP375" t="s">
        <v>5442</v>
      </c>
      <c r="KQ375">
        <v>0</v>
      </c>
      <c r="KR375">
        <v>71111</v>
      </c>
      <c r="KS375" t="s">
        <v>5442</v>
      </c>
      <c r="KT375" t="s">
        <v>5442</v>
      </c>
      <c r="KU375" t="s">
        <v>5442</v>
      </c>
      <c r="KV375" t="s">
        <v>5442</v>
      </c>
      <c r="KW375" t="s">
        <v>5442</v>
      </c>
      <c r="KX375" t="s">
        <v>5442</v>
      </c>
      <c r="KY375" t="s">
        <v>5442</v>
      </c>
      <c r="KZ375" t="s">
        <v>5442</v>
      </c>
      <c r="LA375" t="s">
        <v>5442</v>
      </c>
      <c r="LB375" t="s">
        <v>5442</v>
      </c>
      <c r="LC375">
        <v>0</v>
      </c>
      <c r="LD375" t="s">
        <v>5442</v>
      </c>
      <c r="LE375">
        <v>0</v>
      </c>
      <c r="LF375" t="s">
        <v>5442</v>
      </c>
      <c r="LG375" t="s">
        <v>5442</v>
      </c>
      <c r="LH375" t="s">
        <v>5442</v>
      </c>
      <c r="LI375" t="s">
        <v>5442</v>
      </c>
      <c r="LJ375">
        <v>3677</v>
      </c>
      <c r="LK375">
        <v>4844</v>
      </c>
      <c r="LL375">
        <v>8521</v>
      </c>
      <c r="LM375">
        <v>0</v>
      </c>
      <c r="LN375">
        <v>0</v>
      </c>
      <c r="LO375">
        <v>0</v>
      </c>
      <c r="LP375">
        <v>56247</v>
      </c>
      <c r="LQ375">
        <v>53705</v>
      </c>
      <c r="LR375">
        <v>2542</v>
      </c>
      <c r="LS375">
        <v>3834</v>
      </c>
      <c r="LT375">
        <v>6376</v>
      </c>
      <c r="LU375">
        <v>53471</v>
      </c>
      <c r="LV375">
        <v>7369</v>
      </c>
      <c r="LW375">
        <v>48320</v>
      </c>
      <c r="LX375">
        <v>50815</v>
      </c>
      <c r="LY375">
        <v>14198</v>
      </c>
      <c r="LZ375">
        <v>3523</v>
      </c>
      <c r="MA375">
        <v>4086</v>
      </c>
      <c r="MB375">
        <v>21145</v>
      </c>
      <c r="MC375">
        <v>2698</v>
      </c>
      <c r="MD375">
        <v>0</v>
      </c>
      <c r="ME375">
        <v>0</v>
      </c>
      <c r="MF375">
        <v>7777</v>
      </c>
      <c r="MG375">
        <v>1398</v>
      </c>
      <c r="MH375">
        <v>214800</v>
      </c>
      <c r="MI375">
        <v>0</v>
      </c>
      <c r="MJ375">
        <v>0</v>
      </c>
      <c r="MK375">
        <v>0</v>
      </c>
      <c r="ML375">
        <v>0</v>
      </c>
      <c r="MM375">
        <v>0</v>
      </c>
      <c r="MN375">
        <v>0</v>
      </c>
      <c r="MO375">
        <v>271</v>
      </c>
      <c r="MP375">
        <v>0</v>
      </c>
      <c r="MQ375">
        <v>0</v>
      </c>
      <c r="MR375">
        <v>0</v>
      </c>
      <c r="MS375">
        <v>0</v>
      </c>
      <c r="MT375">
        <v>0</v>
      </c>
      <c r="MU375">
        <v>-368</v>
      </c>
      <c r="MV375">
        <v>153</v>
      </c>
      <c r="MW375">
        <v>0</v>
      </c>
      <c r="MX375">
        <v>0</v>
      </c>
      <c r="MY375">
        <v>0</v>
      </c>
      <c r="MZ375">
        <v>0</v>
      </c>
      <c r="NA375">
        <v>28</v>
      </c>
      <c r="NB375">
        <v>0</v>
      </c>
      <c r="NC375">
        <v>28</v>
      </c>
      <c r="ND375">
        <v>0</v>
      </c>
      <c r="NE375">
        <v>0</v>
      </c>
      <c r="NF375">
        <v>0</v>
      </c>
      <c r="NG375">
        <v>0</v>
      </c>
      <c r="NH375">
        <v>0</v>
      </c>
      <c r="NI375">
        <v>0</v>
      </c>
      <c r="NJ375">
        <v>0</v>
      </c>
      <c r="NK375">
        <v>-3</v>
      </c>
      <c r="NL375">
        <v>0</v>
      </c>
      <c r="NM375">
        <v>0</v>
      </c>
      <c r="NN375">
        <v>0</v>
      </c>
      <c r="NO375">
        <v>0</v>
      </c>
      <c r="NP375">
        <v>0</v>
      </c>
      <c r="NQ375">
        <v>-198</v>
      </c>
      <c r="NR375">
        <v>-198</v>
      </c>
      <c r="NS375">
        <v>0</v>
      </c>
      <c r="NT375">
        <v>218</v>
      </c>
      <c r="NU375">
        <v>0</v>
      </c>
      <c r="NV375">
        <v>0</v>
      </c>
      <c r="NW375">
        <v>0</v>
      </c>
      <c r="NX375">
        <v>0</v>
      </c>
      <c r="NY375">
        <v>0</v>
      </c>
      <c r="NZ375">
        <v>-181</v>
      </c>
      <c r="OA375">
        <v>0</v>
      </c>
      <c r="OB375">
        <v>-181</v>
      </c>
      <c r="OC375">
        <v>0</v>
      </c>
      <c r="OD375">
        <v>0</v>
      </c>
      <c r="OE375">
        <v>0</v>
      </c>
      <c r="OF375">
        <v>0</v>
      </c>
      <c r="OG375">
        <v>0</v>
      </c>
      <c r="OH375">
        <v>0</v>
      </c>
      <c r="OI375">
        <v>0</v>
      </c>
      <c r="OJ375">
        <v>0</v>
      </c>
      <c r="OK375">
        <v>0</v>
      </c>
      <c r="OL375">
        <v>0</v>
      </c>
      <c r="OM375">
        <v>0</v>
      </c>
      <c r="ON375">
        <v>0</v>
      </c>
    </row>
    <row r="376" spans="1:404" x14ac:dyDescent="0.25">
      <c r="A376" t="s">
        <v>1194</v>
      </c>
      <c r="B376" t="s">
        <v>1195</v>
      </c>
      <c r="C376" t="s">
        <v>1193</v>
      </c>
      <c r="E376" t="s">
        <v>61</v>
      </c>
      <c r="F376">
        <v>0</v>
      </c>
      <c r="G376">
        <v>0</v>
      </c>
      <c r="H376">
        <v>0</v>
      </c>
      <c r="I376">
        <v>0</v>
      </c>
      <c r="J376">
        <v>0</v>
      </c>
      <c r="K376">
        <v>0</v>
      </c>
      <c r="L376">
        <v>0</v>
      </c>
      <c r="M376">
        <v>15</v>
      </c>
      <c r="N376">
        <v>0</v>
      </c>
      <c r="O376">
        <v>0</v>
      </c>
      <c r="P376">
        <v>0</v>
      </c>
      <c r="Q376">
        <v>0</v>
      </c>
      <c r="R376">
        <v>22</v>
      </c>
      <c r="S376">
        <v>50</v>
      </c>
      <c r="T376">
        <v>0</v>
      </c>
      <c r="U376">
        <v>0</v>
      </c>
      <c r="V376">
        <v>0</v>
      </c>
      <c r="W376">
        <v>0</v>
      </c>
      <c r="X376">
        <v>0</v>
      </c>
      <c r="Y376">
        <v>35</v>
      </c>
      <c r="Z376">
        <v>25</v>
      </c>
      <c r="AA376">
        <v>-1018</v>
      </c>
      <c r="AB376">
        <v>0</v>
      </c>
      <c r="AC376">
        <v>0</v>
      </c>
      <c r="AD376">
        <v>0</v>
      </c>
      <c r="AE376">
        <v>0</v>
      </c>
      <c r="AF376">
        <v>0</v>
      </c>
      <c r="AG376">
        <v>0</v>
      </c>
      <c r="AH376">
        <v>0</v>
      </c>
      <c r="AI376">
        <v>-871</v>
      </c>
      <c r="AJ376">
        <v>0</v>
      </c>
      <c r="AK376">
        <v>0</v>
      </c>
      <c r="AL376">
        <v>0</v>
      </c>
      <c r="AM376">
        <v>0</v>
      </c>
      <c r="AN376">
        <v>0</v>
      </c>
      <c r="AO376">
        <v>0</v>
      </c>
      <c r="AP376">
        <v>0</v>
      </c>
      <c r="AQ376">
        <v>185</v>
      </c>
      <c r="AR376">
        <v>256</v>
      </c>
      <c r="AS376">
        <v>0</v>
      </c>
      <c r="AT376">
        <v>0</v>
      </c>
      <c r="AU376">
        <v>0</v>
      </c>
      <c r="AV376">
        <v>0</v>
      </c>
      <c r="AW376">
        <v>0</v>
      </c>
      <c r="AX376">
        <v>0</v>
      </c>
      <c r="AY376">
        <v>0</v>
      </c>
      <c r="AZ376">
        <v>0</v>
      </c>
      <c r="BA376">
        <v>0</v>
      </c>
      <c r="BB376">
        <v>0</v>
      </c>
      <c r="BC376">
        <v>0</v>
      </c>
      <c r="BD376">
        <v>0</v>
      </c>
      <c r="BE376">
        <v>0</v>
      </c>
      <c r="BF376">
        <v>0</v>
      </c>
      <c r="BG376">
        <v>0</v>
      </c>
      <c r="BH376">
        <v>0</v>
      </c>
      <c r="BI376">
        <v>0</v>
      </c>
      <c r="BJ376">
        <v>0</v>
      </c>
      <c r="BK376">
        <v>0</v>
      </c>
      <c r="BL376">
        <v>0</v>
      </c>
      <c r="BM376">
        <v>0</v>
      </c>
      <c r="BN376">
        <v>0</v>
      </c>
      <c r="BO376">
        <v>0</v>
      </c>
      <c r="BP376">
        <v>0</v>
      </c>
      <c r="BQ376">
        <v>0</v>
      </c>
      <c r="BR376">
        <v>0</v>
      </c>
      <c r="BS376">
        <v>0</v>
      </c>
      <c r="BT376">
        <v>0</v>
      </c>
      <c r="BU376">
        <v>0</v>
      </c>
      <c r="BV376">
        <v>0</v>
      </c>
      <c r="BW376">
        <v>0</v>
      </c>
      <c r="BX376">
        <v>0</v>
      </c>
      <c r="BY376">
        <v>0</v>
      </c>
      <c r="BZ376">
        <v>0</v>
      </c>
      <c r="CA376">
        <v>0</v>
      </c>
      <c r="CB376">
        <v>0</v>
      </c>
      <c r="CC376">
        <v>0</v>
      </c>
      <c r="CD376">
        <v>0</v>
      </c>
      <c r="CE376">
        <v>0</v>
      </c>
      <c r="CF376">
        <v>0</v>
      </c>
      <c r="CG376">
        <v>0</v>
      </c>
      <c r="CH376">
        <v>0</v>
      </c>
      <c r="CI376">
        <v>0</v>
      </c>
      <c r="CJ376">
        <v>0</v>
      </c>
      <c r="CK376">
        <v>0</v>
      </c>
      <c r="CL376">
        <v>0</v>
      </c>
      <c r="CM376">
        <v>0</v>
      </c>
      <c r="CN376">
        <v>0</v>
      </c>
      <c r="CO376">
        <v>0</v>
      </c>
      <c r="CP376">
        <v>0</v>
      </c>
      <c r="CQ376">
        <v>0</v>
      </c>
      <c r="CR376">
        <v>0</v>
      </c>
      <c r="CS376">
        <v>0</v>
      </c>
      <c r="CT376">
        <v>0</v>
      </c>
      <c r="CU376">
        <v>102</v>
      </c>
      <c r="CV376">
        <v>102</v>
      </c>
      <c r="CW376">
        <v>0</v>
      </c>
      <c r="CX376">
        <v>0</v>
      </c>
      <c r="CY376">
        <v>0</v>
      </c>
      <c r="CZ376">
        <v>0</v>
      </c>
      <c r="DA376">
        <v>0</v>
      </c>
      <c r="DB376">
        <v>0</v>
      </c>
      <c r="DC376">
        <v>469</v>
      </c>
      <c r="DD376">
        <v>0</v>
      </c>
      <c r="DE376">
        <v>210</v>
      </c>
      <c r="DF376">
        <v>0</v>
      </c>
      <c r="DG376">
        <v>0</v>
      </c>
      <c r="DH376">
        <v>0</v>
      </c>
      <c r="DI376">
        <v>0</v>
      </c>
      <c r="DJ376">
        <v>956</v>
      </c>
      <c r="DK376">
        <v>-88</v>
      </c>
      <c r="DL376">
        <v>0</v>
      </c>
      <c r="DM376">
        <v>0</v>
      </c>
      <c r="DN376">
        <v>1022</v>
      </c>
      <c r="DO376">
        <v>0</v>
      </c>
      <c r="DP376">
        <v>1890</v>
      </c>
      <c r="DQ376">
        <v>298</v>
      </c>
      <c r="DR376">
        <v>0</v>
      </c>
      <c r="DS376">
        <v>0</v>
      </c>
      <c r="DT376">
        <v>409</v>
      </c>
      <c r="DU376">
        <v>0</v>
      </c>
      <c r="DV376">
        <v>0</v>
      </c>
      <c r="DW376">
        <v>0</v>
      </c>
      <c r="DX376">
        <v>3276</v>
      </c>
      <c r="DY376">
        <v>0</v>
      </c>
      <c r="DZ376">
        <v>0</v>
      </c>
      <c r="EA376">
        <v>0</v>
      </c>
      <c r="EB376">
        <v>0</v>
      </c>
      <c r="EC376">
        <v>0</v>
      </c>
      <c r="ED376">
        <v>0</v>
      </c>
      <c r="EE376">
        <v>0</v>
      </c>
      <c r="EF376">
        <v>0</v>
      </c>
      <c r="EG376">
        <v>0</v>
      </c>
      <c r="EH376">
        <v>0</v>
      </c>
      <c r="EI376">
        <v>0</v>
      </c>
      <c r="EJ376">
        <v>0</v>
      </c>
      <c r="EK376">
        <v>0</v>
      </c>
      <c r="EL376">
        <v>0</v>
      </c>
      <c r="EM376">
        <v>0</v>
      </c>
      <c r="EN376">
        <v>0</v>
      </c>
      <c r="EO376">
        <v>0</v>
      </c>
      <c r="EP376">
        <v>0</v>
      </c>
      <c r="EQ376">
        <v>0</v>
      </c>
      <c r="ER376">
        <v>0</v>
      </c>
      <c r="ES376">
        <v>0</v>
      </c>
      <c r="ET376">
        <v>0</v>
      </c>
      <c r="EU376">
        <v>0</v>
      </c>
      <c r="EV376">
        <v>104</v>
      </c>
      <c r="EW376">
        <v>15</v>
      </c>
      <c r="EX376">
        <v>0</v>
      </c>
      <c r="EY376">
        <v>0</v>
      </c>
      <c r="EZ376">
        <v>0</v>
      </c>
      <c r="FA376">
        <v>0</v>
      </c>
      <c r="FB376">
        <v>200</v>
      </c>
      <c r="FC376">
        <v>1693</v>
      </c>
      <c r="FD376">
        <v>682</v>
      </c>
      <c r="FE376">
        <v>6</v>
      </c>
      <c r="FF376">
        <v>0</v>
      </c>
      <c r="FG376">
        <v>0</v>
      </c>
      <c r="FH376">
        <v>2700</v>
      </c>
      <c r="FI376">
        <v>58</v>
      </c>
      <c r="FJ376">
        <v>0</v>
      </c>
      <c r="FK376">
        <v>0</v>
      </c>
      <c r="FL376">
        <v>129</v>
      </c>
      <c r="FM376">
        <v>305</v>
      </c>
      <c r="FN376">
        <v>91</v>
      </c>
      <c r="FO376">
        <v>129</v>
      </c>
      <c r="FP376">
        <v>0</v>
      </c>
      <c r="FQ376">
        <v>0</v>
      </c>
      <c r="FR376">
        <v>19</v>
      </c>
      <c r="FS376">
        <v>176</v>
      </c>
      <c r="FT376">
        <v>68</v>
      </c>
      <c r="FU376">
        <v>101</v>
      </c>
      <c r="FV376">
        <v>105</v>
      </c>
      <c r="FW376">
        <v>32</v>
      </c>
      <c r="FX376">
        <v>57</v>
      </c>
      <c r="FY376">
        <v>0</v>
      </c>
      <c r="FZ376">
        <v>66</v>
      </c>
      <c r="GA376">
        <v>450</v>
      </c>
      <c r="GB376">
        <v>0</v>
      </c>
      <c r="GC376">
        <v>0</v>
      </c>
      <c r="GD376">
        <v>1037</v>
      </c>
      <c r="GE376">
        <v>1337</v>
      </c>
      <c r="GF376">
        <v>0</v>
      </c>
      <c r="GG376">
        <v>0</v>
      </c>
      <c r="GH376">
        <v>1560</v>
      </c>
      <c r="GI376">
        <v>0</v>
      </c>
      <c r="GJ376">
        <v>79</v>
      </c>
      <c r="GK376">
        <v>5799</v>
      </c>
      <c r="GL376">
        <v>-13</v>
      </c>
      <c r="GM376">
        <v>24</v>
      </c>
      <c r="GN376">
        <v>68</v>
      </c>
      <c r="GO376">
        <v>784</v>
      </c>
      <c r="GP376">
        <v>0</v>
      </c>
      <c r="GQ376">
        <v>0</v>
      </c>
      <c r="GR376">
        <v>0</v>
      </c>
      <c r="GS376">
        <v>505</v>
      </c>
      <c r="GT376">
        <v>65</v>
      </c>
      <c r="GU376">
        <v>1433</v>
      </c>
      <c r="GV376">
        <v>9932</v>
      </c>
      <c r="GW376">
        <v>0</v>
      </c>
      <c r="GX376">
        <v>0</v>
      </c>
      <c r="GY376">
        <v>0</v>
      </c>
      <c r="GZ376">
        <v>0</v>
      </c>
      <c r="HA376">
        <v>0</v>
      </c>
      <c r="HB376">
        <v>2254</v>
      </c>
      <c r="HC376">
        <v>344</v>
      </c>
      <c r="HD376">
        <v>0</v>
      </c>
      <c r="HE376">
        <v>0</v>
      </c>
      <c r="HF376">
        <v>365</v>
      </c>
      <c r="HG376">
        <v>154</v>
      </c>
      <c r="HH376">
        <v>0</v>
      </c>
      <c r="HI376">
        <v>0</v>
      </c>
      <c r="HJ376">
        <v>235</v>
      </c>
      <c r="HK376">
        <v>137</v>
      </c>
      <c r="HL376">
        <v>103</v>
      </c>
      <c r="HM376">
        <v>-55</v>
      </c>
      <c r="HN376">
        <v>0</v>
      </c>
      <c r="HO376">
        <v>122</v>
      </c>
      <c r="HP376">
        <v>0</v>
      </c>
      <c r="HQ376">
        <v>0</v>
      </c>
      <c r="HR376">
        <v>1606</v>
      </c>
      <c r="HS376">
        <v>0</v>
      </c>
      <c r="HT376">
        <v>0</v>
      </c>
      <c r="HU376">
        <v>0</v>
      </c>
      <c r="HV376">
        <v>5265</v>
      </c>
      <c r="HW376">
        <v>2022</v>
      </c>
      <c r="HX376">
        <v>3308</v>
      </c>
      <c r="HY376">
        <v>0</v>
      </c>
      <c r="HZ376">
        <v>0</v>
      </c>
      <c r="IA376">
        <v>159</v>
      </c>
      <c r="IB376">
        <v>11</v>
      </c>
      <c r="IC376">
        <v>0</v>
      </c>
      <c r="ID376">
        <v>-871</v>
      </c>
      <c r="IE376">
        <v>0</v>
      </c>
      <c r="IF376">
        <v>0</v>
      </c>
      <c r="IG376">
        <v>102</v>
      </c>
      <c r="IH376">
        <v>3276</v>
      </c>
      <c r="II376">
        <v>2700</v>
      </c>
      <c r="IJ376">
        <v>5799</v>
      </c>
      <c r="IK376">
        <v>1433</v>
      </c>
      <c r="IL376">
        <v>0</v>
      </c>
      <c r="IM376">
        <v>0</v>
      </c>
      <c r="IN376">
        <v>5265</v>
      </c>
      <c r="IO376">
        <v>11</v>
      </c>
      <c r="IP376">
        <v>17715</v>
      </c>
      <c r="IQ376">
        <v>24236</v>
      </c>
      <c r="IR376">
        <v>1098</v>
      </c>
      <c r="IS376">
        <v>0</v>
      </c>
      <c r="IT376">
        <v>0</v>
      </c>
      <c r="IU376">
        <v>0</v>
      </c>
      <c r="IV376">
        <v>3327</v>
      </c>
      <c r="IW376">
        <v>0</v>
      </c>
      <c r="IX376">
        <v>0</v>
      </c>
      <c r="IY376">
        <v>0</v>
      </c>
      <c r="IZ376">
        <v>0</v>
      </c>
      <c r="JA376">
        <v>-314</v>
      </c>
      <c r="JB376">
        <v>0</v>
      </c>
      <c r="JC376">
        <v>0</v>
      </c>
      <c r="JD376">
        <v>0</v>
      </c>
      <c r="JE376">
        <v>-37</v>
      </c>
      <c r="JF376">
        <v>0</v>
      </c>
      <c r="JG376">
        <v>46025</v>
      </c>
      <c r="JH376">
        <v>0</v>
      </c>
      <c r="JI376">
        <v>27</v>
      </c>
      <c r="JJ376">
        <v>0</v>
      </c>
      <c r="JK376">
        <v>0</v>
      </c>
      <c r="JL376">
        <v>0</v>
      </c>
      <c r="JM376">
        <v>44</v>
      </c>
      <c r="JN376">
        <v>0</v>
      </c>
      <c r="JO376">
        <v>0</v>
      </c>
      <c r="JP376">
        <v>0</v>
      </c>
      <c r="JQ376">
        <v>0</v>
      </c>
      <c r="JR376">
        <v>46096</v>
      </c>
      <c r="JS376">
        <v>-356</v>
      </c>
      <c r="JT376">
        <v>0</v>
      </c>
      <c r="JU376">
        <v>0</v>
      </c>
      <c r="JV376">
        <v>0</v>
      </c>
      <c r="JW376">
        <v>-25420</v>
      </c>
      <c r="JX376">
        <v>0</v>
      </c>
      <c r="JY376">
        <v>0</v>
      </c>
      <c r="JZ376">
        <v>0</v>
      </c>
      <c r="KA376">
        <v>0</v>
      </c>
      <c r="KB376">
        <v>0</v>
      </c>
      <c r="KC376">
        <v>20320</v>
      </c>
      <c r="KD376">
        <v>0</v>
      </c>
      <c r="KE376">
        <v>-5205</v>
      </c>
      <c r="KF376">
        <v>15115</v>
      </c>
      <c r="KG376">
        <v>0</v>
      </c>
      <c r="KH376">
        <v>0</v>
      </c>
      <c r="KI376">
        <v>0</v>
      </c>
      <c r="KJ376">
        <v>0</v>
      </c>
      <c r="KK376">
        <v>-1495</v>
      </c>
      <c r="KL376">
        <v>576</v>
      </c>
      <c r="KM376">
        <v>0</v>
      </c>
      <c r="KN376">
        <v>0</v>
      </c>
      <c r="KO376">
        <v>6275</v>
      </c>
      <c r="KP376">
        <v>-20</v>
      </c>
      <c r="KQ376">
        <v>0</v>
      </c>
      <c r="KR376">
        <v>14604</v>
      </c>
      <c r="KS376">
        <v>0</v>
      </c>
      <c r="KT376">
        <v>0</v>
      </c>
      <c r="KU376">
        <v>0</v>
      </c>
      <c r="KV376">
        <v>27491</v>
      </c>
      <c r="KW376">
        <v>8335</v>
      </c>
      <c r="KX376">
        <v>0</v>
      </c>
      <c r="KY376">
        <v>0</v>
      </c>
      <c r="KZ376">
        <v>0</v>
      </c>
      <c r="LA376">
        <v>25996</v>
      </c>
      <c r="LB376">
        <v>8911</v>
      </c>
      <c r="LC376">
        <v>0</v>
      </c>
      <c r="LD376">
        <v>2729</v>
      </c>
      <c r="LE376">
        <v>1533</v>
      </c>
      <c r="LF376">
        <v>0</v>
      </c>
      <c r="LG376">
        <v>0</v>
      </c>
      <c r="LH376">
        <v>27</v>
      </c>
      <c r="LI376">
        <v>4289</v>
      </c>
      <c r="LJ376">
        <v>3099</v>
      </c>
      <c r="LK376">
        <v>3932</v>
      </c>
      <c r="LL376">
        <v>7031</v>
      </c>
      <c r="LM376">
        <v>0</v>
      </c>
      <c r="LN376">
        <v>0</v>
      </c>
      <c r="LO376">
        <v>0</v>
      </c>
      <c r="LP376">
        <v>0</v>
      </c>
      <c r="LQ376">
        <v>0</v>
      </c>
      <c r="LR376">
        <v>0</v>
      </c>
      <c r="LS376">
        <v>0</v>
      </c>
      <c r="LT376">
        <v>0</v>
      </c>
      <c r="LU376">
        <v>0</v>
      </c>
      <c r="LV376">
        <v>-871</v>
      </c>
      <c r="LW376">
        <v>0</v>
      </c>
      <c r="LX376">
        <v>0</v>
      </c>
      <c r="LY376">
        <v>102</v>
      </c>
      <c r="LZ376">
        <v>3276</v>
      </c>
      <c r="MA376">
        <v>2700</v>
      </c>
      <c r="MB376">
        <v>5799</v>
      </c>
      <c r="MC376">
        <v>1433</v>
      </c>
      <c r="MD376">
        <v>0</v>
      </c>
      <c r="ME376">
        <v>0</v>
      </c>
      <c r="MF376">
        <v>5265</v>
      </c>
      <c r="MG376">
        <v>11</v>
      </c>
      <c r="MH376">
        <v>17715</v>
      </c>
      <c r="MI376">
        <v>0</v>
      </c>
      <c r="MJ376">
        <v>0</v>
      </c>
      <c r="MK376">
        <v>0</v>
      </c>
      <c r="ML376">
        <v>0</v>
      </c>
      <c r="MM376">
        <v>0</v>
      </c>
      <c r="MN376">
        <v>0</v>
      </c>
      <c r="MO376">
        <v>0</v>
      </c>
      <c r="MP376">
        <v>0</v>
      </c>
      <c r="MQ376">
        <v>0</v>
      </c>
      <c r="MR376">
        <v>0</v>
      </c>
      <c r="MS376">
        <v>0</v>
      </c>
      <c r="MT376">
        <v>0</v>
      </c>
      <c r="MU376">
        <v>0</v>
      </c>
      <c r="MV376">
        <v>0</v>
      </c>
      <c r="MW376">
        <v>-242</v>
      </c>
      <c r="MX376">
        <v>-72</v>
      </c>
      <c r="MY376">
        <v>0</v>
      </c>
      <c r="MZ376">
        <v>0</v>
      </c>
      <c r="NA376">
        <v>-314</v>
      </c>
      <c r="NB376">
        <v>0</v>
      </c>
      <c r="NC376">
        <v>-314</v>
      </c>
      <c r="ND376">
        <v>0</v>
      </c>
      <c r="NE376">
        <v>0</v>
      </c>
      <c r="NF376">
        <v>0</v>
      </c>
      <c r="NG376">
        <v>0</v>
      </c>
      <c r="NH376">
        <v>0</v>
      </c>
      <c r="NI376">
        <v>0</v>
      </c>
      <c r="NJ376">
        <v>0</v>
      </c>
      <c r="NK376">
        <v>0</v>
      </c>
      <c r="NL376">
        <v>0</v>
      </c>
      <c r="NM376">
        <v>0</v>
      </c>
      <c r="NN376">
        <v>0</v>
      </c>
      <c r="NO376">
        <v>0</v>
      </c>
      <c r="NP376">
        <v>0</v>
      </c>
      <c r="NQ376">
        <v>0</v>
      </c>
      <c r="NR376">
        <v>0</v>
      </c>
      <c r="NS376">
        <v>0</v>
      </c>
      <c r="NT376">
        <v>0</v>
      </c>
      <c r="NU376">
        <v>0</v>
      </c>
      <c r="NV376">
        <v>0</v>
      </c>
      <c r="NW376">
        <v>0</v>
      </c>
      <c r="NX376">
        <v>0</v>
      </c>
      <c r="NY376">
        <v>0</v>
      </c>
      <c r="NZ376">
        <v>0</v>
      </c>
      <c r="OA376">
        <v>0</v>
      </c>
      <c r="OB376">
        <v>0</v>
      </c>
      <c r="OC376">
        <v>0</v>
      </c>
      <c r="OD376">
        <v>0</v>
      </c>
      <c r="OE376">
        <v>0</v>
      </c>
      <c r="OF376">
        <v>0</v>
      </c>
      <c r="OG376">
        <v>0</v>
      </c>
      <c r="OH376">
        <v>0</v>
      </c>
      <c r="OI376">
        <v>0</v>
      </c>
      <c r="OJ376">
        <v>0</v>
      </c>
      <c r="OK376">
        <v>0</v>
      </c>
      <c r="OL376">
        <v>0</v>
      </c>
      <c r="OM376">
        <v>0</v>
      </c>
      <c r="ON376">
        <v>0</v>
      </c>
    </row>
    <row r="377" spans="1:404" x14ac:dyDescent="0.25">
      <c r="A377" t="s">
        <v>1197</v>
      </c>
      <c r="B377" t="s">
        <v>1198</v>
      </c>
      <c r="C377" t="s">
        <v>5450</v>
      </c>
      <c r="E377" t="s">
        <v>125</v>
      </c>
      <c r="F377">
        <v>6411</v>
      </c>
      <c r="G377">
        <v>14938</v>
      </c>
      <c r="H377">
        <v>22002</v>
      </c>
      <c r="I377">
        <v>11562</v>
      </c>
      <c r="J377">
        <v>1974</v>
      </c>
      <c r="K377">
        <v>4748</v>
      </c>
      <c r="L377">
        <v>61635</v>
      </c>
      <c r="M377">
        <v>200</v>
      </c>
      <c r="N377">
        <v>319</v>
      </c>
      <c r="O377">
        <v>1150</v>
      </c>
      <c r="P377">
        <v>-340</v>
      </c>
      <c r="Q377">
        <v>21</v>
      </c>
      <c r="R377">
        <v>1045</v>
      </c>
      <c r="S377">
        <v>152</v>
      </c>
      <c r="T377">
        <v>85</v>
      </c>
      <c r="U377">
        <v>980</v>
      </c>
      <c r="V377">
        <v>0</v>
      </c>
      <c r="W377">
        <v>0</v>
      </c>
      <c r="X377">
        <v>0</v>
      </c>
      <c r="Y377">
        <v>0</v>
      </c>
      <c r="Z377">
        <v>-3426</v>
      </c>
      <c r="AA377">
        <v>-2444</v>
      </c>
      <c r="AB377">
        <v>3439</v>
      </c>
      <c r="AC377">
        <v>0</v>
      </c>
      <c r="AD377">
        <v>367</v>
      </c>
      <c r="AE377">
        <v>0</v>
      </c>
      <c r="AF377">
        <v>14</v>
      </c>
      <c r="AG377">
        <v>0</v>
      </c>
      <c r="AH377">
        <v>-408</v>
      </c>
      <c r="AI377">
        <v>1154</v>
      </c>
      <c r="AJ377">
        <v>0</v>
      </c>
      <c r="AK377">
        <v>0</v>
      </c>
      <c r="AL377">
        <v>0</v>
      </c>
      <c r="AM377">
        <v>0</v>
      </c>
      <c r="AN377">
        <v>0</v>
      </c>
      <c r="AO377">
        <v>0</v>
      </c>
      <c r="AP377">
        <v>0</v>
      </c>
      <c r="AQ377">
        <v>1815</v>
      </c>
      <c r="AR377">
        <v>2239</v>
      </c>
      <c r="AS377">
        <v>0</v>
      </c>
      <c r="AT377">
        <v>0</v>
      </c>
      <c r="AU377">
        <v>0</v>
      </c>
      <c r="AV377">
        <v>403</v>
      </c>
      <c r="AW377">
        <v>21910</v>
      </c>
      <c r="AX377">
        <v>362</v>
      </c>
      <c r="AY377">
        <v>3452</v>
      </c>
      <c r="AZ377">
        <v>535</v>
      </c>
      <c r="BA377">
        <v>18986</v>
      </c>
      <c r="BB377">
        <v>0</v>
      </c>
      <c r="BC377">
        <v>771</v>
      </c>
      <c r="BD377">
        <v>46419</v>
      </c>
      <c r="BE377">
        <v>4625</v>
      </c>
      <c r="BF377">
        <v>10236</v>
      </c>
      <c r="BG377">
        <v>26</v>
      </c>
      <c r="BH377">
        <v>270</v>
      </c>
      <c r="BI377">
        <v>313</v>
      </c>
      <c r="BJ377">
        <v>2543</v>
      </c>
      <c r="BK377">
        <v>12292</v>
      </c>
      <c r="BL377">
        <v>1833</v>
      </c>
      <c r="BM377">
        <v>2317</v>
      </c>
      <c r="BN377">
        <v>2954</v>
      </c>
      <c r="BO377">
        <v>169</v>
      </c>
      <c r="BP377">
        <v>0</v>
      </c>
      <c r="BQ377">
        <v>313</v>
      </c>
      <c r="BR377">
        <v>173</v>
      </c>
      <c r="BS377">
        <v>-83</v>
      </c>
      <c r="BT377">
        <v>695</v>
      </c>
      <c r="BU377">
        <v>444</v>
      </c>
      <c r="BV377">
        <v>5249</v>
      </c>
      <c r="BW377">
        <v>44369</v>
      </c>
      <c r="BX377">
        <v>879</v>
      </c>
      <c r="BY377">
        <v>500</v>
      </c>
      <c r="BZ377">
        <v>20</v>
      </c>
      <c r="CA377">
        <v>32</v>
      </c>
      <c r="CB377">
        <v>84</v>
      </c>
      <c r="CC377">
        <v>10</v>
      </c>
      <c r="CD377">
        <v>167</v>
      </c>
      <c r="CE377">
        <v>30</v>
      </c>
      <c r="CF377">
        <v>40</v>
      </c>
      <c r="CG377">
        <v>0</v>
      </c>
      <c r="CH377">
        <v>0</v>
      </c>
      <c r="CI377">
        <v>1837</v>
      </c>
      <c r="CJ377">
        <v>446</v>
      </c>
      <c r="CK377">
        <v>109</v>
      </c>
      <c r="CL377">
        <v>0</v>
      </c>
      <c r="CM377">
        <v>304</v>
      </c>
      <c r="CN377">
        <v>90</v>
      </c>
      <c r="CO377">
        <v>0</v>
      </c>
      <c r="CP377">
        <v>218</v>
      </c>
      <c r="CQ377">
        <v>2183</v>
      </c>
      <c r="CR377">
        <v>319</v>
      </c>
      <c r="CS377">
        <v>0</v>
      </c>
      <c r="CT377">
        <v>100</v>
      </c>
      <c r="CU377">
        <v>7501</v>
      </c>
      <c r="CV377">
        <v>14779</v>
      </c>
      <c r="CW377">
        <v>150</v>
      </c>
      <c r="CX377">
        <v>0</v>
      </c>
      <c r="CY377">
        <v>216</v>
      </c>
      <c r="CZ377">
        <v>0</v>
      </c>
      <c r="DA377">
        <v>0</v>
      </c>
      <c r="DB377">
        <v>0</v>
      </c>
      <c r="DC377">
        <v>325</v>
      </c>
      <c r="DD377">
        <v>0</v>
      </c>
      <c r="DE377">
        <v>-22</v>
      </c>
      <c r="DF377">
        <v>0</v>
      </c>
      <c r="DG377">
        <v>842</v>
      </c>
      <c r="DH377">
        <v>44</v>
      </c>
      <c r="DI377">
        <v>0</v>
      </c>
      <c r="DJ377">
        <v>-652</v>
      </c>
      <c r="DK377">
        <v>0</v>
      </c>
      <c r="DL377">
        <v>0</v>
      </c>
      <c r="DM377">
        <v>211</v>
      </c>
      <c r="DN377">
        <v>845</v>
      </c>
      <c r="DO377">
        <v>807</v>
      </c>
      <c r="DP377">
        <v>2097</v>
      </c>
      <c r="DQ377">
        <v>439</v>
      </c>
      <c r="DR377">
        <v>0</v>
      </c>
      <c r="DS377">
        <v>0</v>
      </c>
      <c r="DT377">
        <v>1248</v>
      </c>
      <c r="DU377">
        <v>0</v>
      </c>
      <c r="DV377">
        <v>226</v>
      </c>
      <c r="DW377">
        <v>0</v>
      </c>
      <c r="DX377">
        <v>4313</v>
      </c>
      <c r="DY377">
        <v>0</v>
      </c>
      <c r="DZ377">
        <v>0</v>
      </c>
      <c r="EA377">
        <v>0</v>
      </c>
      <c r="EB377">
        <v>0</v>
      </c>
      <c r="EC377">
        <v>0</v>
      </c>
      <c r="ED377">
        <v>0</v>
      </c>
      <c r="EE377">
        <v>0</v>
      </c>
      <c r="EF377">
        <v>0</v>
      </c>
      <c r="EG377">
        <v>0</v>
      </c>
      <c r="EH377">
        <v>0</v>
      </c>
      <c r="EI377">
        <v>0</v>
      </c>
      <c r="EJ377">
        <v>0</v>
      </c>
      <c r="EK377">
        <v>0</v>
      </c>
      <c r="EL377">
        <v>0</v>
      </c>
      <c r="EM377">
        <v>0</v>
      </c>
      <c r="EN377">
        <v>0</v>
      </c>
      <c r="EO377">
        <v>0</v>
      </c>
      <c r="EP377">
        <v>0</v>
      </c>
      <c r="EQ377">
        <v>0</v>
      </c>
      <c r="ER377">
        <v>0</v>
      </c>
      <c r="ES377">
        <v>0</v>
      </c>
      <c r="ET377">
        <v>0</v>
      </c>
      <c r="EU377">
        <v>94</v>
      </c>
      <c r="EV377">
        <v>214</v>
      </c>
      <c r="EW377">
        <v>0</v>
      </c>
      <c r="EX377">
        <v>640</v>
      </c>
      <c r="EY377">
        <v>152</v>
      </c>
      <c r="EZ377">
        <v>-1</v>
      </c>
      <c r="FA377">
        <v>-221</v>
      </c>
      <c r="FB377">
        <v>42</v>
      </c>
      <c r="FC377">
        <v>-90</v>
      </c>
      <c r="FD377">
        <v>707</v>
      </c>
      <c r="FE377">
        <v>2</v>
      </c>
      <c r="FF377">
        <v>676</v>
      </c>
      <c r="FG377">
        <v>1213</v>
      </c>
      <c r="FH377">
        <v>3428</v>
      </c>
      <c r="FI377">
        <v>-783</v>
      </c>
      <c r="FJ377">
        <v>262</v>
      </c>
      <c r="FK377">
        <v>0</v>
      </c>
      <c r="FL377">
        <v>565</v>
      </c>
      <c r="FM377">
        <v>438</v>
      </c>
      <c r="FN377">
        <v>392</v>
      </c>
      <c r="FO377">
        <v>11</v>
      </c>
      <c r="FP377">
        <v>0</v>
      </c>
      <c r="FQ377">
        <v>0</v>
      </c>
      <c r="FR377">
        <v>27</v>
      </c>
      <c r="FS377">
        <v>414</v>
      </c>
      <c r="FT377">
        <v>92</v>
      </c>
      <c r="FU377">
        <v>156</v>
      </c>
      <c r="FV377">
        <v>567</v>
      </c>
      <c r="FW377">
        <v>194</v>
      </c>
      <c r="FX377">
        <v>255</v>
      </c>
      <c r="FY377">
        <v>131</v>
      </c>
      <c r="FZ377">
        <v>0</v>
      </c>
      <c r="GA377">
        <v>0</v>
      </c>
      <c r="GB377">
        <v>286</v>
      </c>
      <c r="GC377">
        <v>-1246</v>
      </c>
      <c r="GD377">
        <v>2040</v>
      </c>
      <c r="GE377">
        <v>3546</v>
      </c>
      <c r="GF377">
        <v>6142</v>
      </c>
      <c r="GG377">
        <v>0</v>
      </c>
      <c r="GH377">
        <v>168</v>
      </c>
      <c r="GI377">
        <v>6</v>
      </c>
      <c r="GJ377">
        <v>0</v>
      </c>
      <c r="GK377">
        <v>13661</v>
      </c>
      <c r="GL377">
        <v>105</v>
      </c>
      <c r="GM377">
        <v>770</v>
      </c>
      <c r="GN377">
        <v>0</v>
      </c>
      <c r="GO377">
        <v>344</v>
      </c>
      <c r="GP377">
        <v>0</v>
      </c>
      <c r="GQ377">
        <v>1302</v>
      </c>
      <c r="GR377">
        <v>0</v>
      </c>
      <c r="GS377">
        <v>1200</v>
      </c>
      <c r="GT377">
        <v>59</v>
      </c>
      <c r="GU377">
        <v>3780</v>
      </c>
      <c r="GV377">
        <v>20869</v>
      </c>
      <c r="GW377">
        <v>0</v>
      </c>
      <c r="GX377">
        <v>0</v>
      </c>
      <c r="GY377">
        <v>0</v>
      </c>
      <c r="GZ377">
        <v>0</v>
      </c>
      <c r="HA377">
        <v>0</v>
      </c>
      <c r="HB377">
        <v>2232</v>
      </c>
      <c r="HC377">
        <v>1053</v>
      </c>
      <c r="HD377">
        <v>0</v>
      </c>
      <c r="HE377">
        <v>0</v>
      </c>
      <c r="HF377">
        <v>9</v>
      </c>
      <c r="HG377">
        <v>120</v>
      </c>
      <c r="HH377">
        <v>0</v>
      </c>
      <c r="HI377">
        <v>93</v>
      </c>
      <c r="HJ377">
        <v>116</v>
      </c>
      <c r="HK377">
        <v>112</v>
      </c>
      <c r="HL377">
        <v>168</v>
      </c>
      <c r="HM377">
        <v>-177</v>
      </c>
      <c r="HN377">
        <v>109</v>
      </c>
      <c r="HO377">
        <v>0</v>
      </c>
      <c r="HP377">
        <v>429</v>
      </c>
      <c r="HQ377">
        <v>0</v>
      </c>
      <c r="HR377">
        <v>1526</v>
      </c>
      <c r="HS377">
        <v>0</v>
      </c>
      <c r="HT377">
        <v>82</v>
      </c>
      <c r="HU377">
        <v>-13</v>
      </c>
      <c r="HV377">
        <v>5860</v>
      </c>
      <c r="HW377">
        <v>7530</v>
      </c>
      <c r="HX377">
        <v>14052</v>
      </c>
      <c r="HY377">
        <v>0</v>
      </c>
      <c r="HZ377">
        <v>0</v>
      </c>
      <c r="IA377">
        <v>293</v>
      </c>
      <c r="IB377">
        <v>0</v>
      </c>
      <c r="IC377">
        <v>61635</v>
      </c>
      <c r="ID377">
        <v>1154</v>
      </c>
      <c r="IE377">
        <v>46419</v>
      </c>
      <c r="IF377">
        <v>44369</v>
      </c>
      <c r="IG377">
        <v>14779</v>
      </c>
      <c r="IH377">
        <v>4313</v>
      </c>
      <c r="II377">
        <v>3428</v>
      </c>
      <c r="IJ377">
        <v>13661</v>
      </c>
      <c r="IK377">
        <v>3780</v>
      </c>
      <c r="IL377">
        <v>0</v>
      </c>
      <c r="IM377">
        <v>0</v>
      </c>
      <c r="IN377">
        <v>5860</v>
      </c>
      <c r="IO377">
        <v>0</v>
      </c>
      <c r="IP377">
        <v>199398</v>
      </c>
      <c r="IQ377">
        <v>39260</v>
      </c>
      <c r="IR377">
        <v>940</v>
      </c>
      <c r="IS377">
        <v>0</v>
      </c>
      <c r="IT377">
        <v>0</v>
      </c>
      <c r="IU377">
        <v>0</v>
      </c>
      <c r="IV377">
        <v>355</v>
      </c>
      <c r="IW377">
        <v>0</v>
      </c>
      <c r="IX377">
        <v>0</v>
      </c>
      <c r="IY377">
        <v>0</v>
      </c>
      <c r="IZ377">
        <v>0</v>
      </c>
      <c r="JA377">
        <v>0</v>
      </c>
      <c r="JB377">
        <v>0</v>
      </c>
      <c r="JC377">
        <v>0</v>
      </c>
      <c r="JD377">
        <v>0</v>
      </c>
      <c r="JE377">
        <v>-284</v>
      </c>
      <c r="JF377">
        <v>0</v>
      </c>
      <c r="JG377">
        <v>239669</v>
      </c>
      <c r="JH377">
        <v>98</v>
      </c>
      <c r="JI377">
        <v>1517</v>
      </c>
      <c r="JJ377">
        <v>0</v>
      </c>
      <c r="JK377">
        <v>0</v>
      </c>
      <c r="JL377">
        <v>0</v>
      </c>
      <c r="JM377">
        <v>115</v>
      </c>
      <c r="JN377">
        <v>6840</v>
      </c>
      <c r="JO377">
        <v>0</v>
      </c>
      <c r="JP377">
        <v>11673</v>
      </c>
      <c r="JQ377">
        <v>0</v>
      </c>
      <c r="JR377">
        <v>259912</v>
      </c>
      <c r="JS377">
        <v>-14696</v>
      </c>
      <c r="JT377">
        <v>0</v>
      </c>
      <c r="JU377">
        <v>827</v>
      </c>
      <c r="JV377">
        <v>0</v>
      </c>
      <c r="JW377">
        <v>-42132</v>
      </c>
      <c r="JX377">
        <v>0</v>
      </c>
      <c r="JY377">
        <v>-252</v>
      </c>
      <c r="JZ377">
        <v>0</v>
      </c>
      <c r="KA377">
        <v>0</v>
      </c>
      <c r="KB377">
        <v>0</v>
      </c>
      <c r="KC377">
        <v>203659</v>
      </c>
      <c r="KD377">
        <v>0</v>
      </c>
      <c r="KE377">
        <v>-95204</v>
      </c>
      <c r="KF377">
        <v>108455</v>
      </c>
      <c r="KG377">
        <v>0</v>
      </c>
      <c r="KH377">
        <v>920</v>
      </c>
      <c r="KI377">
        <v>-3174</v>
      </c>
      <c r="KJ377">
        <v>886</v>
      </c>
      <c r="KK377">
        <v>7599</v>
      </c>
      <c r="KL377">
        <v>7599</v>
      </c>
      <c r="KM377">
        <v>-6562</v>
      </c>
      <c r="KN377">
        <v>0</v>
      </c>
      <c r="KO377">
        <v>-34774</v>
      </c>
      <c r="KP377">
        <v>13253</v>
      </c>
      <c r="KQ377">
        <v>582</v>
      </c>
      <c r="KR377">
        <v>74963</v>
      </c>
      <c r="KS377">
        <v>1458</v>
      </c>
      <c r="KT377">
        <v>-5825</v>
      </c>
      <c r="KU377">
        <v>1894</v>
      </c>
      <c r="KV377">
        <v>54348</v>
      </c>
      <c r="KW377">
        <v>5744</v>
      </c>
      <c r="KX377">
        <v>2378</v>
      </c>
      <c r="KY377">
        <v>-8999</v>
      </c>
      <c r="KZ377">
        <v>2780</v>
      </c>
      <c r="LA377">
        <v>61947</v>
      </c>
      <c r="LB377">
        <v>13343</v>
      </c>
      <c r="LC377">
        <v>0</v>
      </c>
      <c r="LD377">
        <v>12875</v>
      </c>
      <c r="LE377">
        <v>0</v>
      </c>
      <c r="LF377">
        <v>22471</v>
      </c>
      <c r="LG377">
        <v>0</v>
      </c>
      <c r="LH377">
        <v>4769</v>
      </c>
      <c r="LI377">
        <v>40115</v>
      </c>
      <c r="LJ377">
        <v>6557</v>
      </c>
      <c r="LK377">
        <v>5751</v>
      </c>
      <c r="LL377">
        <v>12308</v>
      </c>
      <c r="LM377">
        <v>0</v>
      </c>
      <c r="LN377">
        <v>0</v>
      </c>
      <c r="LO377">
        <v>0</v>
      </c>
      <c r="LP377">
        <v>0</v>
      </c>
      <c r="LQ377">
        <v>0</v>
      </c>
      <c r="LR377">
        <v>0</v>
      </c>
      <c r="LS377">
        <v>0</v>
      </c>
      <c r="LT377">
        <v>0</v>
      </c>
      <c r="LU377">
        <v>61635</v>
      </c>
      <c r="LV377">
        <v>1154</v>
      </c>
      <c r="LW377">
        <v>46419</v>
      </c>
      <c r="LX377">
        <v>44369</v>
      </c>
      <c r="LY377">
        <v>14779</v>
      </c>
      <c r="LZ377">
        <v>4313</v>
      </c>
      <c r="MA377">
        <v>3428</v>
      </c>
      <c r="MB377">
        <v>13661</v>
      </c>
      <c r="MC377">
        <v>3780</v>
      </c>
      <c r="MD377">
        <v>0</v>
      </c>
      <c r="ME377">
        <v>0</v>
      </c>
      <c r="MF377">
        <v>5860</v>
      </c>
      <c r="MG377">
        <v>0</v>
      </c>
      <c r="MH377">
        <v>199398</v>
      </c>
      <c r="MI377">
        <v>0</v>
      </c>
      <c r="MJ377">
        <v>0</v>
      </c>
      <c r="MK377">
        <v>0</v>
      </c>
      <c r="ML377">
        <v>0</v>
      </c>
      <c r="MM377">
        <v>0</v>
      </c>
      <c r="MN377">
        <v>0</v>
      </c>
      <c r="MO377">
        <v>0</v>
      </c>
      <c r="MP377">
        <v>0</v>
      </c>
      <c r="MQ377">
        <v>0</v>
      </c>
      <c r="MR377">
        <v>0</v>
      </c>
      <c r="MS377">
        <v>0</v>
      </c>
      <c r="MT377">
        <v>0</v>
      </c>
      <c r="MU377">
        <v>0</v>
      </c>
      <c r="MV377">
        <v>0</v>
      </c>
      <c r="MW377">
        <v>0</v>
      </c>
      <c r="MX377">
        <v>0</v>
      </c>
      <c r="MY377">
        <v>0</v>
      </c>
      <c r="MZ377">
        <v>0</v>
      </c>
      <c r="NA377">
        <v>0</v>
      </c>
      <c r="NB377">
        <v>0</v>
      </c>
      <c r="NC377">
        <v>0</v>
      </c>
      <c r="ND377">
        <v>0</v>
      </c>
      <c r="NE377">
        <v>0</v>
      </c>
      <c r="NF377">
        <v>0</v>
      </c>
      <c r="NG377">
        <v>0</v>
      </c>
      <c r="NH377">
        <v>0</v>
      </c>
      <c r="NI377">
        <v>0</v>
      </c>
      <c r="NJ377">
        <v>0</v>
      </c>
      <c r="NK377">
        <v>0</v>
      </c>
      <c r="NL377">
        <v>0</v>
      </c>
      <c r="NM377">
        <v>0</v>
      </c>
      <c r="NN377">
        <v>0</v>
      </c>
      <c r="NO377">
        <v>0</v>
      </c>
      <c r="NP377">
        <v>0</v>
      </c>
      <c r="NQ377">
        <v>0</v>
      </c>
      <c r="NR377">
        <v>0</v>
      </c>
      <c r="NS377">
        <v>0</v>
      </c>
      <c r="NT377">
        <v>0</v>
      </c>
      <c r="NU377">
        <v>0</v>
      </c>
      <c r="NV377">
        <v>0</v>
      </c>
      <c r="NW377">
        <v>0</v>
      </c>
      <c r="NX377">
        <v>0</v>
      </c>
      <c r="NY377">
        <v>0</v>
      </c>
      <c r="NZ377">
        <v>0</v>
      </c>
      <c r="OA377">
        <v>0</v>
      </c>
      <c r="OB377">
        <v>0</v>
      </c>
      <c r="OC377">
        <v>0</v>
      </c>
      <c r="OD377">
        <v>0</v>
      </c>
      <c r="OE377">
        <v>0</v>
      </c>
      <c r="OF377">
        <v>0</v>
      </c>
      <c r="OG377">
        <v>0</v>
      </c>
      <c r="OH377">
        <v>0</v>
      </c>
      <c r="OI377">
        <v>0</v>
      </c>
      <c r="OJ377">
        <v>0</v>
      </c>
      <c r="OK377">
        <v>0</v>
      </c>
      <c r="OL377">
        <v>0</v>
      </c>
      <c r="OM377">
        <v>0</v>
      </c>
      <c r="ON377">
        <v>0</v>
      </c>
    </row>
    <row r="378" spans="1:404" x14ac:dyDescent="0.25">
      <c r="A378" t="s">
        <v>1200</v>
      </c>
      <c r="B378" t="s">
        <v>1201</v>
      </c>
      <c r="C378" t="s">
        <v>1199</v>
      </c>
      <c r="E378" t="s">
        <v>61</v>
      </c>
      <c r="F378">
        <v>0</v>
      </c>
      <c r="G378">
        <v>0</v>
      </c>
      <c r="H378">
        <v>0</v>
      </c>
      <c r="I378">
        <v>0</v>
      </c>
      <c r="J378">
        <v>0</v>
      </c>
      <c r="K378">
        <v>0</v>
      </c>
      <c r="L378">
        <v>0</v>
      </c>
      <c r="M378">
        <v>0</v>
      </c>
      <c r="N378">
        <v>0</v>
      </c>
      <c r="O378">
        <v>0</v>
      </c>
      <c r="P378">
        <v>0</v>
      </c>
      <c r="Q378">
        <v>0</v>
      </c>
      <c r="R378">
        <v>0</v>
      </c>
      <c r="S378">
        <v>0</v>
      </c>
      <c r="T378">
        <v>0</v>
      </c>
      <c r="U378">
        <v>0</v>
      </c>
      <c r="V378">
        <v>0</v>
      </c>
      <c r="W378">
        <v>0</v>
      </c>
      <c r="X378">
        <v>0</v>
      </c>
      <c r="Y378">
        <v>0</v>
      </c>
      <c r="Z378">
        <v>0</v>
      </c>
      <c r="AA378">
        <v>-740</v>
      </c>
      <c r="AB378">
        <v>0</v>
      </c>
      <c r="AC378">
        <v>0</v>
      </c>
      <c r="AD378">
        <v>0</v>
      </c>
      <c r="AE378">
        <v>0</v>
      </c>
      <c r="AF378">
        <v>0</v>
      </c>
      <c r="AG378">
        <v>19</v>
      </c>
      <c r="AH378">
        <v>101</v>
      </c>
      <c r="AI378">
        <v>-620</v>
      </c>
      <c r="AJ378">
        <v>0</v>
      </c>
      <c r="AK378">
        <v>0</v>
      </c>
      <c r="AL378">
        <v>0</v>
      </c>
      <c r="AM378">
        <v>0</v>
      </c>
      <c r="AN378">
        <v>0</v>
      </c>
      <c r="AO378">
        <v>0</v>
      </c>
      <c r="AP378">
        <v>0</v>
      </c>
      <c r="AQ378">
        <v>0</v>
      </c>
      <c r="AR378">
        <v>0</v>
      </c>
      <c r="AS378">
        <v>0</v>
      </c>
      <c r="AT378">
        <v>0</v>
      </c>
      <c r="AU378">
        <v>0</v>
      </c>
      <c r="AV378">
        <v>0</v>
      </c>
      <c r="AW378">
        <v>0</v>
      </c>
      <c r="AX378">
        <v>0</v>
      </c>
      <c r="AY378">
        <v>0</v>
      </c>
      <c r="AZ378">
        <v>0</v>
      </c>
      <c r="BA378">
        <v>0</v>
      </c>
      <c r="BB378">
        <v>0</v>
      </c>
      <c r="BC378">
        <v>0</v>
      </c>
      <c r="BD378">
        <v>0</v>
      </c>
      <c r="BE378">
        <v>0</v>
      </c>
      <c r="BF378">
        <v>0</v>
      </c>
      <c r="BG378">
        <v>0</v>
      </c>
      <c r="BH378">
        <v>0</v>
      </c>
      <c r="BI378">
        <v>0</v>
      </c>
      <c r="BJ378">
        <v>0</v>
      </c>
      <c r="BK378">
        <v>0</v>
      </c>
      <c r="BL378">
        <v>0</v>
      </c>
      <c r="BM378">
        <v>0</v>
      </c>
      <c r="BN378">
        <v>0</v>
      </c>
      <c r="BO378">
        <v>0</v>
      </c>
      <c r="BP378">
        <v>0</v>
      </c>
      <c r="BQ378">
        <v>0</v>
      </c>
      <c r="BR378">
        <v>0</v>
      </c>
      <c r="BS378">
        <v>0</v>
      </c>
      <c r="BT378">
        <v>0</v>
      </c>
      <c r="BU378">
        <v>0</v>
      </c>
      <c r="BV378">
        <v>0</v>
      </c>
      <c r="BW378">
        <v>0</v>
      </c>
      <c r="BX378">
        <v>0</v>
      </c>
      <c r="BY378">
        <v>0</v>
      </c>
      <c r="BZ378">
        <v>0</v>
      </c>
      <c r="CA378">
        <v>0</v>
      </c>
      <c r="CB378">
        <v>0</v>
      </c>
      <c r="CC378">
        <v>0</v>
      </c>
      <c r="CD378">
        <v>0</v>
      </c>
      <c r="CE378">
        <v>0</v>
      </c>
      <c r="CF378">
        <v>0</v>
      </c>
      <c r="CG378">
        <v>0</v>
      </c>
      <c r="CH378">
        <v>0</v>
      </c>
      <c r="CI378">
        <v>0</v>
      </c>
      <c r="CJ378">
        <v>0</v>
      </c>
      <c r="CK378">
        <v>0</v>
      </c>
      <c r="CL378">
        <v>0</v>
      </c>
      <c r="CM378">
        <v>0</v>
      </c>
      <c r="CN378">
        <v>0</v>
      </c>
      <c r="CO378">
        <v>0</v>
      </c>
      <c r="CP378">
        <v>0</v>
      </c>
      <c r="CQ378">
        <v>0</v>
      </c>
      <c r="CR378">
        <v>0</v>
      </c>
      <c r="CS378">
        <v>0</v>
      </c>
      <c r="CT378">
        <v>0</v>
      </c>
      <c r="CU378">
        <v>0</v>
      </c>
      <c r="CV378">
        <v>0</v>
      </c>
      <c r="CW378">
        <v>0</v>
      </c>
      <c r="CX378">
        <v>0</v>
      </c>
      <c r="CY378">
        <v>0</v>
      </c>
      <c r="CZ378">
        <v>0</v>
      </c>
      <c r="DA378">
        <v>0</v>
      </c>
      <c r="DB378">
        <v>0</v>
      </c>
      <c r="DC378">
        <v>208</v>
      </c>
      <c r="DD378">
        <v>0</v>
      </c>
      <c r="DE378">
        <v>93</v>
      </c>
      <c r="DF378">
        <v>0</v>
      </c>
      <c r="DG378">
        <v>0</v>
      </c>
      <c r="DH378">
        <v>20</v>
      </c>
      <c r="DI378">
        <v>-43</v>
      </c>
      <c r="DJ378">
        <v>431</v>
      </c>
      <c r="DK378">
        <v>0</v>
      </c>
      <c r="DL378">
        <v>0</v>
      </c>
      <c r="DM378">
        <v>37</v>
      </c>
      <c r="DN378">
        <v>110</v>
      </c>
      <c r="DO378">
        <v>0</v>
      </c>
      <c r="DP378">
        <v>555</v>
      </c>
      <c r="DQ378">
        <v>0</v>
      </c>
      <c r="DR378">
        <v>0</v>
      </c>
      <c r="DS378">
        <v>0</v>
      </c>
      <c r="DT378">
        <v>413</v>
      </c>
      <c r="DU378">
        <v>0</v>
      </c>
      <c r="DV378">
        <v>0</v>
      </c>
      <c r="DW378">
        <v>0</v>
      </c>
      <c r="DX378">
        <v>1269</v>
      </c>
      <c r="DY378">
        <v>0</v>
      </c>
      <c r="DZ378">
        <v>0</v>
      </c>
      <c r="EA378">
        <v>0</v>
      </c>
      <c r="EB378">
        <v>0</v>
      </c>
      <c r="EC378">
        <v>0</v>
      </c>
      <c r="ED378">
        <v>0</v>
      </c>
      <c r="EE378">
        <v>0</v>
      </c>
      <c r="EF378">
        <v>0</v>
      </c>
      <c r="EG378">
        <v>0</v>
      </c>
      <c r="EH378">
        <v>0</v>
      </c>
      <c r="EI378">
        <v>0</v>
      </c>
      <c r="EJ378">
        <v>0</v>
      </c>
      <c r="EK378">
        <v>0</v>
      </c>
      <c r="EL378">
        <v>0</v>
      </c>
      <c r="EM378">
        <v>0</v>
      </c>
      <c r="EN378">
        <v>0</v>
      </c>
      <c r="EO378">
        <v>0</v>
      </c>
      <c r="EP378">
        <v>0</v>
      </c>
      <c r="EQ378">
        <v>0</v>
      </c>
      <c r="ER378">
        <v>0</v>
      </c>
      <c r="ES378">
        <v>0</v>
      </c>
      <c r="ET378">
        <v>0</v>
      </c>
      <c r="EU378">
        <v>0</v>
      </c>
      <c r="EV378">
        <v>0</v>
      </c>
      <c r="EW378">
        <v>0</v>
      </c>
      <c r="EX378">
        <v>146</v>
      </c>
      <c r="EY378">
        <v>0</v>
      </c>
      <c r="EZ378">
        <v>9</v>
      </c>
      <c r="FA378">
        <v>0</v>
      </c>
      <c r="FB378">
        <v>77</v>
      </c>
      <c r="FC378">
        <v>529</v>
      </c>
      <c r="FD378">
        <v>279</v>
      </c>
      <c r="FE378">
        <v>0</v>
      </c>
      <c r="FF378">
        <v>5</v>
      </c>
      <c r="FG378">
        <v>0</v>
      </c>
      <c r="FH378">
        <v>1045</v>
      </c>
      <c r="FI378">
        <v>-188</v>
      </c>
      <c r="FJ378">
        <v>0</v>
      </c>
      <c r="FK378">
        <v>-3</v>
      </c>
      <c r="FL378">
        <v>175</v>
      </c>
      <c r="FM378">
        <v>-7</v>
      </c>
      <c r="FN378">
        <v>63</v>
      </c>
      <c r="FO378">
        <v>312</v>
      </c>
      <c r="FP378">
        <v>0</v>
      </c>
      <c r="FQ378">
        <v>0</v>
      </c>
      <c r="FR378">
        <v>29</v>
      </c>
      <c r="FS378">
        <v>223</v>
      </c>
      <c r="FT378">
        <v>51</v>
      </c>
      <c r="FU378">
        <v>5</v>
      </c>
      <c r="FV378">
        <v>0</v>
      </c>
      <c r="FW378">
        <v>162</v>
      </c>
      <c r="FX378">
        <v>95</v>
      </c>
      <c r="FY378">
        <v>0</v>
      </c>
      <c r="FZ378">
        <v>3</v>
      </c>
      <c r="GA378">
        <v>0</v>
      </c>
      <c r="GB378">
        <v>10</v>
      </c>
      <c r="GC378">
        <v>0</v>
      </c>
      <c r="GD378">
        <v>733</v>
      </c>
      <c r="GE378">
        <v>708</v>
      </c>
      <c r="GF378">
        <v>0</v>
      </c>
      <c r="GG378">
        <v>0</v>
      </c>
      <c r="GH378">
        <v>978</v>
      </c>
      <c r="GI378">
        <v>0</v>
      </c>
      <c r="GJ378">
        <v>17</v>
      </c>
      <c r="GK378">
        <v>3366</v>
      </c>
      <c r="GL378">
        <v>60</v>
      </c>
      <c r="GM378">
        <v>-209</v>
      </c>
      <c r="GN378">
        <v>51</v>
      </c>
      <c r="GO378">
        <v>333</v>
      </c>
      <c r="GP378">
        <v>45</v>
      </c>
      <c r="GQ378">
        <v>1590</v>
      </c>
      <c r="GR378">
        <v>0</v>
      </c>
      <c r="GS378">
        <v>0</v>
      </c>
      <c r="GT378">
        <v>17</v>
      </c>
      <c r="GU378">
        <v>1887</v>
      </c>
      <c r="GV378">
        <v>6298</v>
      </c>
      <c r="GW378">
        <v>0</v>
      </c>
      <c r="GX378">
        <v>0</v>
      </c>
      <c r="GY378">
        <v>0</v>
      </c>
      <c r="GZ378">
        <v>0</v>
      </c>
      <c r="HA378">
        <v>0</v>
      </c>
      <c r="HB378">
        <v>1096</v>
      </c>
      <c r="HC378">
        <v>446</v>
      </c>
      <c r="HD378">
        <v>0</v>
      </c>
      <c r="HE378">
        <v>0</v>
      </c>
      <c r="HF378">
        <v>245</v>
      </c>
      <c r="HG378">
        <v>-1</v>
      </c>
      <c r="HH378">
        <v>0</v>
      </c>
      <c r="HI378">
        <v>0</v>
      </c>
      <c r="HJ378">
        <v>137</v>
      </c>
      <c r="HK378">
        <v>93</v>
      </c>
      <c r="HL378">
        <v>23</v>
      </c>
      <c r="HM378">
        <v>5</v>
      </c>
      <c r="HN378">
        <v>127</v>
      </c>
      <c r="HO378">
        <v>139</v>
      </c>
      <c r="HP378">
        <v>0</v>
      </c>
      <c r="HQ378">
        <v>0</v>
      </c>
      <c r="HR378">
        <v>777</v>
      </c>
      <c r="HS378">
        <v>0</v>
      </c>
      <c r="HT378">
        <v>0</v>
      </c>
      <c r="HU378">
        <v>-227</v>
      </c>
      <c r="HV378">
        <v>2860</v>
      </c>
      <c r="HW378">
        <v>3602</v>
      </c>
      <c r="HX378">
        <v>7721</v>
      </c>
      <c r="HY378">
        <v>0</v>
      </c>
      <c r="HZ378">
        <v>0</v>
      </c>
      <c r="IA378">
        <v>0</v>
      </c>
      <c r="IB378">
        <v>0</v>
      </c>
      <c r="IC378">
        <v>0</v>
      </c>
      <c r="ID378">
        <v>-620</v>
      </c>
      <c r="IE378">
        <v>0</v>
      </c>
      <c r="IF378">
        <v>0</v>
      </c>
      <c r="IG378">
        <v>0</v>
      </c>
      <c r="IH378">
        <v>1269</v>
      </c>
      <c r="II378">
        <v>1045</v>
      </c>
      <c r="IJ378">
        <v>3366</v>
      </c>
      <c r="IK378">
        <v>1887</v>
      </c>
      <c r="IL378">
        <v>0</v>
      </c>
      <c r="IM378">
        <v>0</v>
      </c>
      <c r="IN378">
        <v>2860</v>
      </c>
      <c r="IO378">
        <v>0</v>
      </c>
      <c r="IP378">
        <v>9807</v>
      </c>
      <c r="IQ378">
        <v>11815</v>
      </c>
      <c r="IR378">
        <v>260</v>
      </c>
      <c r="IS378">
        <v>0</v>
      </c>
      <c r="IT378">
        <v>0</v>
      </c>
      <c r="IU378">
        <v>0</v>
      </c>
      <c r="IV378">
        <v>1631</v>
      </c>
      <c r="IW378">
        <v>0</v>
      </c>
      <c r="IX378">
        <v>0</v>
      </c>
      <c r="IY378">
        <v>0</v>
      </c>
      <c r="IZ378">
        <v>0</v>
      </c>
      <c r="JA378">
        <v>-105</v>
      </c>
      <c r="JB378">
        <v>0</v>
      </c>
      <c r="JC378">
        <v>0</v>
      </c>
      <c r="JD378">
        <v>0</v>
      </c>
      <c r="JE378">
        <v>4</v>
      </c>
      <c r="JF378">
        <v>0</v>
      </c>
      <c r="JG378">
        <v>23412</v>
      </c>
      <c r="JH378">
        <v>0</v>
      </c>
      <c r="JI378">
        <v>435</v>
      </c>
      <c r="JJ378">
        <v>0</v>
      </c>
      <c r="JK378">
        <v>0</v>
      </c>
      <c r="JL378">
        <v>0</v>
      </c>
      <c r="JM378">
        <v>0</v>
      </c>
      <c r="JN378">
        <v>41</v>
      </c>
      <c r="JO378">
        <v>0</v>
      </c>
      <c r="JP378">
        <v>34</v>
      </c>
      <c r="JQ378">
        <v>0</v>
      </c>
      <c r="JR378">
        <v>23922</v>
      </c>
      <c r="JS378">
        <v>-19</v>
      </c>
      <c r="JT378">
        <v>0</v>
      </c>
      <c r="JU378">
        <v>0</v>
      </c>
      <c r="JV378">
        <v>0</v>
      </c>
      <c r="JW378">
        <v>-11716</v>
      </c>
      <c r="JX378">
        <v>0</v>
      </c>
      <c r="JY378">
        <v>0</v>
      </c>
      <c r="JZ378">
        <v>0</v>
      </c>
      <c r="KA378">
        <v>0</v>
      </c>
      <c r="KB378">
        <v>0</v>
      </c>
      <c r="KC378">
        <v>12187</v>
      </c>
      <c r="KD378">
        <v>0</v>
      </c>
      <c r="KE378">
        <v>-3824</v>
      </c>
      <c r="KF378">
        <v>8363</v>
      </c>
      <c r="KG378">
        <v>0</v>
      </c>
      <c r="KH378">
        <v>0</v>
      </c>
      <c r="KI378">
        <v>0</v>
      </c>
      <c r="KJ378">
        <v>0</v>
      </c>
      <c r="KK378">
        <v>564</v>
      </c>
      <c r="KL378">
        <v>0</v>
      </c>
      <c r="KM378">
        <v>-134</v>
      </c>
      <c r="KN378">
        <v>0</v>
      </c>
      <c r="KO378">
        <v>-983</v>
      </c>
      <c r="KP378">
        <v>-117</v>
      </c>
      <c r="KQ378">
        <v>435</v>
      </c>
      <c r="KR378">
        <v>5805</v>
      </c>
      <c r="KS378">
        <v>0</v>
      </c>
      <c r="KT378">
        <v>0</v>
      </c>
      <c r="KU378">
        <v>0</v>
      </c>
      <c r="KV378">
        <v>13814</v>
      </c>
      <c r="KW378">
        <v>1084</v>
      </c>
      <c r="KX378">
        <v>0</v>
      </c>
      <c r="KY378">
        <v>0</v>
      </c>
      <c r="KZ378">
        <v>0</v>
      </c>
      <c r="LA378">
        <v>14378</v>
      </c>
      <c r="LB378">
        <v>1084</v>
      </c>
      <c r="LC378">
        <v>0</v>
      </c>
      <c r="LD378">
        <v>1908</v>
      </c>
      <c r="LE378">
        <v>22</v>
      </c>
      <c r="LF378">
        <v>598</v>
      </c>
      <c r="LG378">
        <v>-1747</v>
      </c>
      <c r="LH378">
        <v>776</v>
      </c>
      <c r="LI378">
        <v>1557</v>
      </c>
      <c r="LJ378">
        <v>2508</v>
      </c>
      <c r="LK378">
        <v>1559</v>
      </c>
      <c r="LL378">
        <v>4067</v>
      </c>
      <c r="LM378">
        <v>0</v>
      </c>
      <c r="LN378">
        <v>0</v>
      </c>
      <c r="LO378">
        <v>0</v>
      </c>
      <c r="LP378">
        <v>0</v>
      </c>
      <c r="LQ378">
        <v>0</v>
      </c>
      <c r="LR378">
        <v>0</v>
      </c>
      <c r="LS378">
        <v>0</v>
      </c>
      <c r="LT378">
        <v>0</v>
      </c>
      <c r="LU378">
        <v>0</v>
      </c>
      <c r="LV378">
        <v>-620</v>
      </c>
      <c r="LW378">
        <v>0</v>
      </c>
      <c r="LX378">
        <v>0</v>
      </c>
      <c r="LY378">
        <v>0</v>
      </c>
      <c r="LZ378">
        <v>1269</v>
      </c>
      <c r="MA378">
        <v>1045</v>
      </c>
      <c r="MB378">
        <v>3366</v>
      </c>
      <c r="MC378">
        <v>1887</v>
      </c>
      <c r="MD378">
        <v>0</v>
      </c>
      <c r="ME378">
        <v>0</v>
      </c>
      <c r="MF378">
        <v>2860</v>
      </c>
      <c r="MG378">
        <v>0</v>
      </c>
      <c r="MH378">
        <v>9807</v>
      </c>
      <c r="MI378">
        <v>0</v>
      </c>
      <c r="MJ378">
        <v>0</v>
      </c>
      <c r="MK378">
        <v>0</v>
      </c>
      <c r="ML378">
        <v>0</v>
      </c>
      <c r="MM378">
        <v>0</v>
      </c>
      <c r="MN378">
        <v>0</v>
      </c>
      <c r="MO378">
        <v>0</v>
      </c>
      <c r="MP378">
        <v>0</v>
      </c>
      <c r="MQ378">
        <v>0</v>
      </c>
      <c r="MR378">
        <v>0</v>
      </c>
      <c r="MS378">
        <v>0</v>
      </c>
      <c r="MT378">
        <v>0</v>
      </c>
      <c r="MU378">
        <v>0</v>
      </c>
      <c r="MV378">
        <v>0</v>
      </c>
      <c r="MW378">
        <v>0</v>
      </c>
      <c r="MX378">
        <v>0</v>
      </c>
      <c r="MY378">
        <v>-105</v>
      </c>
      <c r="MZ378">
        <v>0</v>
      </c>
      <c r="NA378">
        <v>-105</v>
      </c>
      <c r="NB378">
        <v>0</v>
      </c>
      <c r="NC378">
        <v>-105</v>
      </c>
      <c r="ND378">
        <v>0</v>
      </c>
      <c r="NE378">
        <v>0</v>
      </c>
      <c r="NF378">
        <v>0</v>
      </c>
      <c r="NG378">
        <v>0</v>
      </c>
      <c r="NH378">
        <v>0</v>
      </c>
      <c r="NI378">
        <v>0</v>
      </c>
      <c r="NJ378">
        <v>0</v>
      </c>
      <c r="NK378">
        <v>0</v>
      </c>
      <c r="NL378">
        <v>0</v>
      </c>
      <c r="NM378">
        <v>0</v>
      </c>
      <c r="NN378">
        <v>0</v>
      </c>
      <c r="NO378">
        <v>0</v>
      </c>
      <c r="NP378">
        <v>0</v>
      </c>
      <c r="NQ378">
        <v>0</v>
      </c>
      <c r="NR378">
        <v>0</v>
      </c>
      <c r="NS378">
        <v>0</v>
      </c>
      <c r="NT378">
        <v>0</v>
      </c>
      <c r="NU378">
        <v>0</v>
      </c>
      <c r="NV378">
        <v>0</v>
      </c>
      <c r="NW378">
        <v>0</v>
      </c>
      <c r="NX378">
        <v>0</v>
      </c>
      <c r="NY378">
        <v>0</v>
      </c>
      <c r="NZ378">
        <v>0</v>
      </c>
      <c r="OA378">
        <v>0</v>
      </c>
      <c r="OB378">
        <v>0</v>
      </c>
      <c r="OC378">
        <v>0</v>
      </c>
      <c r="OD378">
        <v>0</v>
      </c>
      <c r="OE378">
        <v>0</v>
      </c>
      <c r="OF378">
        <v>0</v>
      </c>
      <c r="OG378">
        <v>0</v>
      </c>
      <c r="OH378">
        <v>0</v>
      </c>
      <c r="OI378">
        <v>0</v>
      </c>
      <c r="OJ378">
        <v>0</v>
      </c>
      <c r="OK378">
        <v>0</v>
      </c>
      <c r="OL378">
        <v>0</v>
      </c>
      <c r="OM378">
        <v>0</v>
      </c>
      <c r="ON378">
        <v>0</v>
      </c>
    </row>
    <row r="379" spans="1:404" x14ac:dyDescent="0.25">
      <c r="A379" t="s">
        <v>1203</v>
      </c>
      <c r="B379" t="s">
        <v>1204</v>
      </c>
      <c r="C379" t="s">
        <v>1202</v>
      </c>
      <c r="E379" t="s">
        <v>1940</v>
      </c>
      <c r="F379">
        <v>28383</v>
      </c>
      <c r="G379">
        <v>160170</v>
      </c>
      <c r="H379">
        <v>113281</v>
      </c>
      <c r="I379">
        <v>42538</v>
      </c>
      <c r="J379">
        <v>3434</v>
      </c>
      <c r="K379">
        <v>19378</v>
      </c>
      <c r="L379">
        <v>367184</v>
      </c>
      <c r="M379">
        <v>-495</v>
      </c>
      <c r="N379">
        <v>0</v>
      </c>
      <c r="O379">
        <v>0</v>
      </c>
      <c r="P379">
        <v>-64</v>
      </c>
      <c r="Q379">
        <v>301</v>
      </c>
      <c r="R379">
        <v>0</v>
      </c>
      <c r="S379">
        <v>2015</v>
      </c>
      <c r="T379">
        <v>206</v>
      </c>
      <c r="U379">
        <v>1312</v>
      </c>
      <c r="V379">
        <v>0</v>
      </c>
      <c r="W379">
        <v>0</v>
      </c>
      <c r="X379">
        <v>280</v>
      </c>
      <c r="Y379">
        <v>-796</v>
      </c>
      <c r="Z379">
        <v>-15017</v>
      </c>
      <c r="AA379">
        <v>-208</v>
      </c>
      <c r="AB379">
        <v>8492</v>
      </c>
      <c r="AC379">
        <v>0</v>
      </c>
      <c r="AD379">
        <v>0</v>
      </c>
      <c r="AE379">
        <v>0</v>
      </c>
      <c r="AF379">
        <v>0</v>
      </c>
      <c r="AG379">
        <v>0</v>
      </c>
      <c r="AH379">
        <v>0</v>
      </c>
      <c r="AI379">
        <v>-3974</v>
      </c>
      <c r="AJ379">
        <v>0</v>
      </c>
      <c r="AK379">
        <v>0</v>
      </c>
      <c r="AL379">
        <v>0</v>
      </c>
      <c r="AM379">
        <v>0</v>
      </c>
      <c r="AN379">
        <v>0</v>
      </c>
      <c r="AO379">
        <v>0</v>
      </c>
      <c r="AP379">
        <v>0</v>
      </c>
      <c r="AQ379">
        <v>10143</v>
      </c>
      <c r="AR379">
        <v>13472</v>
      </c>
      <c r="AS379">
        <v>0</v>
      </c>
      <c r="AT379">
        <v>0</v>
      </c>
      <c r="AU379">
        <v>0</v>
      </c>
      <c r="AV379">
        <v>5421</v>
      </c>
      <c r="AW379">
        <v>28354</v>
      </c>
      <c r="AX379">
        <v>4923</v>
      </c>
      <c r="AY379">
        <v>7970</v>
      </c>
      <c r="AZ379">
        <v>1197</v>
      </c>
      <c r="BA379">
        <v>13924</v>
      </c>
      <c r="BB379">
        <v>0</v>
      </c>
      <c r="BC379">
        <v>4488</v>
      </c>
      <c r="BD379">
        <v>66277</v>
      </c>
      <c r="BE379">
        <v>3433</v>
      </c>
      <c r="BF379">
        <v>29806</v>
      </c>
      <c r="BG379">
        <v>76</v>
      </c>
      <c r="BH379">
        <v>0</v>
      </c>
      <c r="BI379">
        <v>4046</v>
      </c>
      <c r="BJ379">
        <v>1733</v>
      </c>
      <c r="BK379">
        <v>10828</v>
      </c>
      <c r="BL379">
        <v>19747</v>
      </c>
      <c r="BM379">
        <v>8504</v>
      </c>
      <c r="BN379">
        <v>8219</v>
      </c>
      <c r="BO379">
        <v>222</v>
      </c>
      <c r="BP379">
        <v>111</v>
      </c>
      <c r="BQ379">
        <v>294</v>
      </c>
      <c r="BR379">
        <v>804</v>
      </c>
      <c r="BS379">
        <v>955</v>
      </c>
      <c r="BT379">
        <v>6593</v>
      </c>
      <c r="BU379">
        <v>0</v>
      </c>
      <c r="BV379">
        <v>-10171</v>
      </c>
      <c r="BW379">
        <v>93923</v>
      </c>
      <c r="BX379">
        <v>4466</v>
      </c>
      <c r="BY379">
        <v>1611</v>
      </c>
      <c r="BZ379">
        <v>320</v>
      </c>
      <c r="CA379">
        <v>141</v>
      </c>
      <c r="CB379">
        <v>16</v>
      </c>
      <c r="CC379">
        <v>106</v>
      </c>
      <c r="CD379">
        <v>112</v>
      </c>
      <c r="CE379">
        <v>212</v>
      </c>
      <c r="CF379">
        <v>310</v>
      </c>
      <c r="CG379">
        <v>135</v>
      </c>
      <c r="CH379">
        <v>444</v>
      </c>
      <c r="CI379">
        <v>2856</v>
      </c>
      <c r="CJ379">
        <v>1783</v>
      </c>
      <c r="CK379">
        <v>1009</v>
      </c>
      <c r="CL379">
        <v>533</v>
      </c>
      <c r="CM379">
        <v>435</v>
      </c>
      <c r="CN379">
        <v>523</v>
      </c>
      <c r="CO379">
        <v>21</v>
      </c>
      <c r="CP379">
        <v>3067</v>
      </c>
      <c r="CQ379">
        <v>7077</v>
      </c>
      <c r="CR379">
        <v>4397</v>
      </c>
      <c r="CS379">
        <v>30</v>
      </c>
      <c r="CT379">
        <v>630</v>
      </c>
      <c r="CU379">
        <v>3099</v>
      </c>
      <c r="CV379">
        <v>43601</v>
      </c>
      <c r="CW379">
        <v>932</v>
      </c>
      <c r="CX379">
        <v>140</v>
      </c>
      <c r="CY379">
        <v>344</v>
      </c>
      <c r="CZ379">
        <v>0</v>
      </c>
      <c r="DA379">
        <v>0</v>
      </c>
      <c r="DB379">
        <v>0</v>
      </c>
      <c r="DC379">
        <v>479</v>
      </c>
      <c r="DD379">
        <v>0</v>
      </c>
      <c r="DE379">
        <v>47</v>
      </c>
      <c r="DF379">
        <v>-32</v>
      </c>
      <c r="DG379">
        <v>1673</v>
      </c>
      <c r="DH379">
        <v>1833</v>
      </c>
      <c r="DI379">
        <v>0</v>
      </c>
      <c r="DJ379">
        <v>-1217</v>
      </c>
      <c r="DK379">
        <v>-6996</v>
      </c>
      <c r="DL379">
        <v>0</v>
      </c>
      <c r="DM379">
        <v>2572</v>
      </c>
      <c r="DN379">
        <v>4385</v>
      </c>
      <c r="DO379">
        <v>359</v>
      </c>
      <c r="DP379">
        <v>2609</v>
      </c>
      <c r="DQ379">
        <v>0</v>
      </c>
      <c r="DR379">
        <v>0</v>
      </c>
      <c r="DS379">
        <v>0</v>
      </c>
      <c r="DT379">
        <v>3580</v>
      </c>
      <c r="DU379">
        <v>0</v>
      </c>
      <c r="DV379">
        <v>0</v>
      </c>
      <c r="DW379">
        <v>115</v>
      </c>
      <c r="DX379">
        <v>6798</v>
      </c>
      <c r="DY379">
        <v>67611</v>
      </c>
      <c r="DZ379">
        <v>4369</v>
      </c>
      <c r="EA379">
        <v>25400</v>
      </c>
      <c r="EB379">
        <v>0</v>
      </c>
      <c r="EC379">
        <v>0</v>
      </c>
      <c r="ED379">
        <v>193</v>
      </c>
      <c r="EE379">
        <v>115</v>
      </c>
      <c r="EF379">
        <v>0</v>
      </c>
      <c r="EG379">
        <v>0</v>
      </c>
      <c r="EH379">
        <v>16998</v>
      </c>
      <c r="EI379">
        <v>38665</v>
      </c>
      <c r="EJ379">
        <v>9945</v>
      </c>
      <c r="EK379">
        <v>5734</v>
      </c>
      <c r="EL379">
        <v>0</v>
      </c>
      <c r="EM379">
        <v>17355</v>
      </c>
      <c r="EN379">
        <v>0</v>
      </c>
      <c r="EO379">
        <v>129</v>
      </c>
      <c r="EP379">
        <v>0</v>
      </c>
      <c r="EQ379">
        <v>6758</v>
      </c>
      <c r="ER379">
        <v>-577</v>
      </c>
      <c r="ES379">
        <v>50293</v>
      </c>
      <c r="ET379">
        <v>52974</v>
      </c>
      <c r="EU379">
        <v>0</v>
      </c>
      <c r="EV379">
        <v>-462</v>
      </c>
      <c r="EW379">
        <v>0</v>
      </c>
      <c r="EX379">
        <v>0</v>
      </c>
      <c r="EY379">
        <v>0</v>
      </c>
      <c r="EZ379">
        <v>-23</v>
      </c>
      <c r="FA379">
        <v>0</v>
      </c>
      <c r="FB379">
        <v>193</v>
      </c>
      <c r="FC379">
        <v>1672</v>
      </c>
      <c r="FD379">
        <v>2931</v>
      </c>
      <c r="FE379">
        <v>0</v>
      </c>
      <c r="FF379">
        <v>0</v>
      </c>
      <c r="FG379">
        <v>4252</v>
      </c>
      <c r="FH379">
        <v>8563</v>
      </c>
      <c r="FI379">
        <v>134</v>
      </c>
      <c r="FJ379">
        <v>592</v>
      </c>
      <c r="FK379">
        <v>0</v>
      </c>
      <c r="FL379">
        <v>641</v>
      </c>
      <c r="FM379">
        <v>2507</v>
      </c>
      <c r="FN379">
        <v>-743</v>
      </c>
      <c r="FO379">
        <v>669</v>
      </c>
      <c r="FP379">
        <v>0</v>
      </c>
      <c r="FQ379">
        <v>0</v>
      </c>
      <c r="FR379">
        <v>32</v>
      </c>
      <c r="FS379">
        <v>4</v>
      </c>
      <c r="FT379">
        <v>0</v>
      </c>
      <c r="FU379">
        <v>-568</v>
      </c>
      <c r="FV379">
        <v>2865</v>
      </c>
      <c r="FW379">
        <v>2028</v>
      </c>
      <c r="FX379">
        <v>729</v>
      </c>
      <c r="FY379">
        <v>0</v>
      </c>
      <c r="FZ379">
        <v>0</v>
      </c>
      <c r="GA379">
        <v>0</v>
      </c>
      <c r="GB379">
        <v>0</v>
      </c>
      <c r="GC379">
        <v>0</v>
      </c>
      <c r="GD379">
        <v>9772</v>
      </c>
      <c r="GE379">
        <v>5694</v>
      </c>
      <c r="GF379">
        <v>8747</v>
      </c>
      <c r="GG379">
        <v>-1907</v>
      </c>
      <c r="GH379">
        <v>4731</v>
      </c>
      <c r="GI379">
        <v>349</v>
      </c>
      <c r="GJ379">
        <v>0</v>
      </c>
      <c r="GK379">
        <v>36276</v>
      </c>
      <c r="GL379">
        <v>283</v>
      </c>
      <c r="GM379">
        <v>-392</v>
      </c>
      <c r="GN379">
        <v>448</v>
      </c>
      <c r="GO379">
        <v>1100</v>
      </c>
      <c r="GP379">
        <v>0</v>
      </c>
      <c r="GQ379">
        <v>2743</v>
      </c>
      <c r="GR379">
        <v>0</v>
      </c>
      <c r="GS379">
        <v>0</v>
      </c>
      <c r="GT379">
        <v>3628</v>
      </c>
      <c r="GU379">
        <v>7810</v>
      </c>
      <c r="GV379">
        <v>52649</v>
      </c>
      <c r="GW379">
        <v>0</v>
      </c>
      <c r="GX379">
        <v>0</v>
      </c>
      <c r="GY379">
        <v>0</v>
      </c>
      <c r="GZ379">
        <v>0</v>
      </c>
      <c r="HA379">
        <v>0</v>
      </c>
      <c r="HB379">
        <v>21088</v>
      </c>
      <c r="HC379">
        <v>7709</v>
      </c>
      <c r="HD379">
        <v>0</v>
      </c>
      <c r="HE379">
        <v>0</v>
      </c>
      <c r="HF379">
        <v>-10</v>
      </c>
      <c r="HG379">
        <v>1970</v>
      </c>
      <c r="HH379">
        <v>0</v>
      </c>
      <c r="HI379">
        <v>-216</v>
      </c>
      <c r="HJ379">
        <v>676</v>
      </c>
      <c r="HK379">
        <v>299</v>
      </c>
      <c r="HL379">
        <v>260</v>
      </c>
      <c r="HM379">
        <v>-825</v>
      </c>
      <c r="HN379">
        <v>0</v>
      </c>
      <c r="HO379">
        <v>4550</v>
      </c>
      <c r="HP379">
        <v>510</v>
      </c>
      <c r="HQ379">
        <v>0</v>
      </c>
      <c r="HR379">
        <v>0</v>
      </c>
      <c r="HS379">
        <v>0</v>
      </c>
      <c r="HT379">
        <v>406</v>
      </c>
      <c r="HU379">
        <v>42343</v>
      </c>
      <c r="HV379">
        <v>78760</v>
      </c>
      <c r="HW379">
        <v>14920</v>
      </c>
      <c r="HX379">
        <v>2627</v>
      </c>
      <c r="HY379">
        <v>0</v>
      </c>
      <c r="HZ379">
        <v>0</v>
      </c>
      <c r="IA379">
        <v>2830</v>
      </c>
      <c r="IB379">
        <v>7158</v>
      </c>
      <c r="IC379">
        <v>367184</v>
      </c>
      <c r="ID379">
        <v>-3974</v>
      </c>
      <c r="IE379">
        <v>66277</v>
      </c>
      <c r="IF379">
        <v>93923</v>
      </c>
      <c r="IG379">
        <v>43601</v>
      </c>
      <c r="IH379">
        <v>6798</v>
      </c>
      <c r="II379">
        <v>8563</v>
      </c>
      <c r="IJ379">
        <v>36276</v>
      </c>
      <c r="IK379">
        <v>7810</v>
      </c>
      <c r="IL379">
        <v>0</v>
      </c>
      <c r="IM379">
        <v>0</v>
      </c>
      <c r="IN379">
        <v>78760</v>
      </c>
      <c r="IO379">
        <v>7158</v>
      </c>
      <c r="IP379">
        <v>712377</v>
      </c>
      <c r="IQ379">
        <v>137057</v>
      </c>
      <c r="IR379">
        <v>31018</v>
      </c>
      <c r="IS379">
        <v>27788</v>
      </c>
      <c r="IT379">
        <v>0</v>
      </c>
      <c r="IU379">
        <v>0</v>
      </c>
      <c r="IV379">
        <v>0</v>
      </c>
      <c r="IW379">
        <v>0</v>
      </c>
      <c r="IX379">
        <v>0</v>
      </c>
      <c r="IY379">
        <v>1482</v>
      </c>
      <c r="IZ379">
        <v>247</v>
      </c>
      <c r="JA379">
        <v>613</v>
      </c>
      <c r="JB379">
        <v>88</v>
      </c>
      <c r="JC379">
        <v>0</v>
      </c>
      <c r="JD379">
        <v>0</v>
      </c>
      <c r="JE379">
        <v>1126</v>
      </c>
      <c r="JF379">
        <v>0</v>
      </c>
      <c r="JG379">
        <v>911796</v>
      </c>
      <c r="JH379">
        <v>241</v>
      </c>
      <c r="JI379">
        <v>2408</v>
      </c>
      <c r="JJ379">
        <v>0</v>
      </c>
      <c r="JK379">
        <v>0</v>
      </c>
      <c r="JL379">
        <v>0</v>
      </c>
      <c r="JM379">
        <v>0</v>
      </c>
      <c r="JN379">
        <v>12163</v>
      </c>
      <c r="JO379">
        <v>0</v>
      </c>
      <c r="JP379">
        <v>8996</v>
      </c>
      <c r="JQ379">
        <v>-4480</v>
      </c>
      <c r="JR379">
        <v>931124</v>
      </c>
      <c r="JS379">
        <v>-1609</v>
      </c>
      <c r="JT379">
        <v>1576</v>
      </c>
      <c r="JU379">
        <v>0</v>
      </c>
      <c r="JV379">
        <v>0</v>
      </c>
      <c r="JW379">
        <v>-208337</v>
      </c>
      <c r="JX379">
        <v>0</v>
      </c>
      <c r="JY379">
        <v>-781</v>
      </c>
      <c r="JZ379">
        <v>0</v>
      </c>
      <c r="KA379">
        <v>0</v>
      </c>
      <c r="KB379">
        <v>0</v>
      </c>
      <c r="KC379">
        <v>721973</v>
      </c>
      <c r="KD379">
        <v>0</v>
      </c>
      <c r="KE379">
        <v>-462944</v>
      </c>
      <c r="KF379">
        <v>259029</v>
      </c>
      <c r="KG379">
        <v>0</v>
      </c>
      <c r="KH379">
        <v>2229</v>
      </c>
      <c r="KI379">
        <v>-3527</v>
      </c>
      <c r="KJ379">
        <v>3658</v>
      </c>
      <c r="KK379">
        <v>47496</v>
      </c>
      <c r="KL379">
        <v>-932</v>
      </c>
      <c r="KM379">
        <v>-34010</v>
      </c>
      <c r="KN379">
        <v>0</v>
      </c>
      <c r="KO379">
        <v>-119689</v>
      </c>
      <c r="KP379">
        <v>2444</v>
      </c>
      <c r="KQ379">
        <v>0</v>
      </c>
      <c r="KR379">
        <v>114189</v>
      </c>
      <c r="KS379">
        <v>36786</v>
      </c>
      <c r="KT379">
        <v>-11173</v>
      </c>
      <c r="KU379">
        <v>3321</v>
      </c>
      <c r="KV379">
        <v>174803</v>
      </c>
      <c r="KW379">
        <v>24732</v>
      </c>
      <c r="KX379">
        <v>39015</v>
      </c>
      <c r="KY379">
        <v>-14700</v>
      </c>
      <c r="KZ379">
        <v>6979</v>
      </c>
      <c r="LA379">
        <v>222299</v>
      </c>
      <c r="LB379">
        <v>23800</v>
      </c>
      <c r="LC379">
        <v>0</v>
      </c>
      <c r="LD379">
        <v>29151</v>
      </c>
      <c r="LE379">
        <v>0</v>
      </c>
      <c r="LF379">
        <v>5396</v>
      </c>
      <c r="LG379">
        <v>-22289</v>
      </c>
      <c r="LH379">
        <v>12355</v>
      </c>
      <c r="LI379">
        <v>24613</v>
      </c>
      <c r="LJ379">
        <v>8469</v>
      </c>
      <c r="LK379">
        <v>24246</v>
      </c>
      <c r="LL379">
        <v>32715</v>
      </c>
      <c r="LM379">
        <v>0</v>
      </c>
      <c r="LN379">
        <v>0</v>
      </c>
      <c r="LO379">
        <v>0</v>
      </c>
      <c r="LP379">
        <v>97688</v>
      </c>
      <c r="LQ379">
        <v>95007</v>
      </c>
      <c r="LR379">
        <v>2681</v>
      </c>
      <c r="LS379">
        <v>50293</v>
      </c>
      <c r="LT379">
        <v>52974</v>
      </c>
      <c r="LU379">
        <v>367184</v>
      </c>
      <c r="LV379">
        <v>-3974</v>
      </c>
      <c r="LW379">
        <v>66277</v>
      </c>
      <c r="LX379">
        <v>93923</v>
      </c>
      <c r="LY379">
        <v>43601</v>
      </c>
      <c r="LZ379">
        <v>6798</v>
      </c>
      <c r="MA379">
        <v>8563</v>
      </c>
      <c r="MB379">
        <v>36276</v>
      </c>
      <c r="MC379">
        <v>7810</v>
      </c>
      <c r="MD379">
        <v>0</v>
      </c>
      <c r="ME379">
        <v>0</v>
      </c>
      <c r="MF379">
        <v>78760</v>
      </c>
      <c r="MG379">
        <v>7158</v>
      </c>
      <c r="MH379">
        <v>712377</v>
      </c>
      <c r="MI379">
        <v>0</v>
      </c>
      <c r="MJ379">
        <v>0</v>
      </c>
      <c r="MK379">
        <v>0</v>
      </c>
      <c r="ML379">
        <v>0</v>
      </c>
      <c r="MM379">
        <v>0</v>
      </c>
      <c r="MN379">
        <v>0</v>
      </c>
      <c r="MO379">
        <v>0</v>
      </c>
      <c r="MP379">
        <v>0</v>
      </c>
      <c r="MQ379">
        <v>0</v>
      </c>
      <c r="MR379">
        <v>0</v>
      </c>
      <c r="MS379">
        <v>0</v>
      </c>
      <c r="MT379">
        <v>0</v>
      </c>
      <c r="MU379">
        <v>0</v>
      </c>
      <c r="MV379">
        <v>0</v>
      </c>
      <c r="MW379">
        <v>0</v>
      </c>
      <c r="MX379">
        <v>0</v>
      </c>
      <c r="MY379">
        <v>0</v>
      </c>
      <c r="MZ379">
        <v>613</v>
      </c>
      <c r="NA379">
        <v>613</v>
      </c>
      <c r="NB379">
        <v>0</v>
      </c>
      <c r="NC379">
        <v>613</v>
      </c>
      <c r="ND379">
        <v>0</v>
      </c>
      <c r="NE379">
        <v>0</v>
      </c>
      <c r="NF379">
        <v>0</v>
      </c>
      <c r="NG379">
        <v>0</v>
      </c>
      <c r="NH379">
        <v>0</v>
      </c>
      <c r="NI379">
        <v>0</v>
      </c>
      <c r="NJ379">
        <v>0</v>
      </c>
      <c r="NK379">
        <v>0</v>
      </c>
      <c r="NL379">
        <v>0</v>
      </c>
      <c r="NM379">
        <v>0</v>
      </c>
      <c r="NN379">
        <v>0</v>
      </c>
      <c r="NO379">
        <v>0</v>
      </c>
      <c r="NP379">
        <v>0</v>
      </c>
      <c r="NQ379">
        <v>0</v>
      </c>
      <c r="NR379">
        <v>88</v>
      </c>
      <c r="NS379">
        <v>0</v>
      </c>
      <c r="NT379">
        <v>0</v>
      </c>
      <c r="NU379">
        <v>0</v>
      </c>
      <c r="NV379">
        <v>0</v>
      </c>
      <c r="NW379">
        <v>0</v>
      </c>
      <c r="NX379">
        <v>0</v>
      </c>
      <c r="NY379">
        <v>0</v>
      </c>
      <c r="NZ379">
        <v>88</v>
      </c>
      <c r="OA379">
        <v>0</v>
      </c>
      <c r="OB379">
        <v>88</v>
      </c>
      <c r="OC379">
        <v>0</v>
      </c>
      <c r="OD379">
        <v>0</v>
      </c>
      <c r="OE379">
        <v>0</v>
      </c>
      <c r="OF379">
        <v>0</v>
      </c>
      <c r="OG379">
        <v>0</v>
      </c>
      <c r="OH379">
        <v>0</v>
      </c>
      <c r="OI379">
        <v>0</v>
      </c>
      <c r="OJ379">
        <v>0</v>
      </c>
      <c r="OK379">
        <v>0</v>
      </c>
      <c r="OL379">
        <v>0</v>
      </c>
      <c r="OM379">
        <v>0</v>
      </c>
      <c r="ON379">
        <v>0</v>
      </c>
    </row>
    <row r="380" spans="1:404" x14ac:dyDescent="0.25">
      <c r="A380" t="s">
        <v>1206</v>
      </c>
      <c r="B380" t="s">
        <v>1207</v>
      </c>
      <c r="C380" t="s">
        <v>1205</v>
      </c>
      <c r="E380" t="s">
        <v>97</v>
      </c>
      <c r="F380">
        <v>10990</v>
      </c>
      <c r="G380">
        <v>94391</v>
      </c>
      <c r="H380">
        <v>32982</v>
      </c>
      <c r="I380">
        <v>17084</v>
      </c>
      <c r="J380">
        <v>5384</v>
      </c>
      <c r="K380">
        <v>10634</v>
      </c>
      <c r="L380">
        <v>171465</v>
      </c>
      <c r="M380">
        <v>264</v>
      </c>
      <c r="N380">
        <v>0</v>
      </c>
      <c r="O380">
        <v>-300</v>
      </c>
      <c r="P380">
        <v>446</v>
      </c>
      <c r="Q380">
        <v>183</v>
      </c>
      <c r="R380">
        <v>-142</v>
      </c>
      <c r="S380">
        <v>1351</v>
      </c>
      <c r="T380">
        <v>384</v>
      </c>
      <c r="U380">
        <v>1539</v>
      </c>
      <c r="V380">
        <v>0</v>
      </c>
      <c r="W380">
        <v>0</v>
      </c>
      <c r="X380">
        <v>567</v>
      </c>
      <c r="Y380">
        <v>0</v>
      </c>
      <c r="Z380">
        <v>-460</v>
      </c>
      <c r="AA380">
        <v>-415</v>
      </c>
      <c r="AB380">
        <v>0</v>
      </c>
      <c r="AC380">
        <v>0</v>
      </c>
      <c r="AD380">
        <v>0</v>
      </c>
      <c r="AE380">
        <v>0</v>
      </c>
      <c r="AF380">
        <v>0</v>
      </c>
      <c r="AG380">
        <v>0</v>
      </c>
      <c r="AH380">
        <v>0</v>
      </c>
      <c r="AI380">
        <v>3417</v>
      </c>
      <c r="AJ380">
        <v>0</v>
      </c>
      <c r="AK380">
        <v>0</v>
      </c>
      <c r="AL380">
        <v>0</v>
      </c>
      <c r="AM380">
        <v>0</v>
      </c>
      <c r="AN380">
        <v>0</v>
      </c>
      <c r="AO380">
        <v>0</v>
      </c>
      <c r="AP380">
        <v>0</v>
      </c>
      <c r="AQ380">
        <v>0</v>
      </c>
      <c r="AR380">
        <v>0</v>
      </c>
      <c r="AS380">
        <v>0</v>
      </c>
      <c r="AT380">
        <v>0</v>
      </c>
      <c r="AU380">
        <v>0</v>
      </c>
      <c r="AV380">
        <v>2678</v>
      </c>
      <c r="AW380">
        <v>20707</v>
      </c>
      <c r="AX380">
        <v>983</v>
      </c>
      <c r="AY380">
        <v>3003</v>
      </c>
      <c r="AZ380">
        <v>1264</v>
      </c>
      <c r="BA380">
        <v>13051</v>
      </c>
      <c r="BB380">
        <v>290</v>
      </c>
      <c r="BC380">
        <v>949</v>
      </c>
      <c r="BD380">
        <v>42925</v>
      </c>
      <c r="BE380">
        <v>4422</v>
      </c>
      <c r="BF380">
        <v>16844</v>
      </c>
      <c r="BG380">
        <v>346</v>
      </c>
      <c r="BH380">
        <v>783</v>
      </c>
      <c r="BI380">
        <v>97</v>
      </c>
      <c r="BJ380">
        <v>1598</v>
      </c>
      <c r="BK380">
        <v>25375</v>
      </c>
      <c r="BL380">
        <v>2241</v>
      </c>
      <c r="BM380">
        <v>5440</v>
      </c>
      <c r="BN380">
        <v>4439</v>
      </c>
      <c r="BO380">
        <v>0</v>
      </c>
      <c r="BP380">
        <v>0</v>
      </c>
      <c r="BQ380">
        <v>0</v>
      </c>
      <c r="BR380">
        <v>673</v>
      </c>
      <c r="BS380">
        <v>757</v>
      </c>
      <c r="BT380">
        <v>11335</v>
      </c>
      <c r="BU380">
        <v>1107</v>
      </c>
      <c r="BV380">
        <v>2738</v>
      </c>
      <c r="BW380">
        <v>78195</v>
      </c>
      <c r="BX380">
        <v>1372</v>
      </c>
      <c r="BY380">
        <v>277</v>
      </c>
      <c r="BZ380">
        <v>87</v>
      </c>
      <c r="CA380">
        <v>87</v>
      </c>
      <c r="CB380">
        <v>4</v>
      </c>
      <c r="CC380">
        <v>1</v>
      </c>
      <c r="CD380">
        <v>571</v>
      </c>
      <c r="CE380">
        <v>506</v>
      </c>
      <c r="CF380">
        <v>0</v>
      </c>
      <c r="CG380">
        <v>29</v>
      </c>
      <c r="CH380">
        <v>0</v>
      </c>
      <c r="CI380">
        <v>1072</v>
      </c>
      <c r="CJ380">
        <v>1012</v>
      </c>
      <c r="CK380">
        <v>0</v>
      </c>
      <c r="CL380">
        <v>0</v>
      </c>
      <c r="CM380">
        <v>0</v>
      </c>
      <c r="CN380">
        <v>17</v>
      </c>
      <c r="CO380">
        <v>0</v>
      </c>
      <c r="CP380">
        <v>1339</v>
      </c>
      <c r="CQ380">
        <v>4793</v>
      </c>
      <c r="CR380">
        <v>532</v>
      </c>
      <c r="CS380">
        <v>0</v>
      </c>
      <c r="CT380">
        <v>34</v>
      </c>
      <c r="CU380">
        <v>1863</v>
      </c>
      <c r="CV380">
        <v>13599</v>
      </c>
      <c r="CW380">
        <v>0</v>
      </c>
      <c r="CX380">
        <v>0</v>
      </c>
      <c r="CY380">
        <v>0</v>
      </c>
      <c r="CZ380">
        <v>0</v>
      </c>
      <c r="DA380">
        <v>0</v>
      </c>
      <c r="DB380">
        <v>0</v>
      </c>
      <c r="DC380">
        <v>311</v>
      </c>
      <c r="DD380">
        <v>0</v>
      </c>
      <c r="DE380">
        <v>0</v>
      </c>
      <c r="DF380">
        <v>0</v>
      </c>
      <c r="DG380">
        <v>0</v>
      </c>
      <c r="DH380">
        <v>0</v>
      </c>
      <c r="DI380">
        <v>0</v>
      </c>
      <c r="DJ380">
        <v>0</v>
      </c>
      <c r="DK380">
        <v>0</v>
      </c>
      <c r="DL380">
        <v>0</v>
      </c>
      <c r="DM380">
        <v>0</v>
      </c>
      <c r="DN380">
        <v>1680</v>
      </c>
      <c r="DO380">
        <v>0</v>
      </c>
      <c r="DP380">
        <v>1680</v>
      </c>
      <c r="DQ380">
        <v>0</v>
      </c>
      <c r="DR380">
        <v>0</v>
      </c>
      <c r="DS380">
        <v>0</v>
      </c>
      <c r="DT380">
        <v>871</v>
      </c>
      <c r="DU380">
        <v>0</v>
      </c>
      <c r="DV380">
        <v>0</v>
      </c>
      <c r="DW380">
        <v>0</v>
      </c>
      <c r="DX380">
        <v>2862</v>
      </c>
      <c r="DY380">
        <v>0</v>
      </c>
      <c r="DZ380">
        <v>0</v>
      </c>
      <c r="EA380">
        <v>0</v>
      </c>
      <c r="EB380">
        <v>0</v>
      </c>
      <c r="EC380">
        <v>0</v>
      </c>
      <c r="ED380">
        <v>0</v>
      </c>
      <c r="EE380">
        <v>0</v>
      </c>
      <c r="EF380">
        <v>0</v>
      </c>
      <c r="EG380">
        <v>0</v>
      </c>
      <c r="EH380">
        <v>0</v>
      </c>
      <c r="EI380">
        <v>0</v>
      </c>
      <c r="EJ380">
        <v>0</v>
      </c>
      <c r="EK380">
        <v>0</v>
      </c>
      <c r="EL380">
        <v>0</v>
      </c>
      <c r="EM380">
        <v>0</v>
      </c>
      <c r="EN380">
        <v>0</v>
      </c>
      <c r="EO380">
        <v>0</v>
      </c>
      <c r="EP380">
        <v>0</v>
      </c>
      <c r="EQ380">
        <v>0</v>
      </c>
      <c r="ER380">
        <v>0</v>
      </c>
      <c r="ES380">
        <v>0</v>
      </c>
      <c r="ET380">
        <v>0</v>
      </c>
      <c r="EU380">
        <v>109</v>
      </c>
      <c r="EV380">
        <v>276</v>
      </c>
      <c r="EW380">
        <v>0</v>
      </c>
      <c r="EX380">
        <v>6</v>
      </c>
      <c r="EY380">
        <v>755</v>
      </c>
      <c r="EZ380">
        <v>69</v>
      </c>
      <c r="FA380">
        <v>0</v>
      </c>
      <c r="FB380">
        <v>595</v>
      </c>
      <c r="FC380">
        <v>0</v>
      </c>
      <c r="FD380">
        <v>2453</v>
      </c>
      <c r="FE380">
        <v>0</v>
      </c>
      <c r="FF380">
        <v>190</v>
      </c>
      <c r="FG380">
        <v>3117</v>
      </c>
      <c r="FH380">
        <v>7570</v>
      </c>
      <c r="FI380">
        <v>1235</v>
      </c>
      <c r="FJ380">
        <v>597</v>
      </c>
      <c r="FK380">
        <v>0</v>
      </c>
      <c r="FL380">
        <v>492</v>
      </c>
      <c r="FM380">
        <v>553</v>
      </c>
      <c r="FN380">
        <v>61</v>
      </c>
      <c r="FO380">
        <v>-35</v>
      </c>
      <c r="FP380">
        <v>15</v>
      </c>
      <c r="FQ380">
        <v>0</v>
      </c>
      <c r="FR380">
        <v>159</v>
      </c>
      <c r="FS380">
        <v>21</v>
      </c>
      <c r="FT380">
        <v>108</v>
      </c>
      <c r="FU380">
        <v>92</v>
      </c>
      <c r="FV380">
        <v>306</v>
      </c>
      <c r="FW380">
        <v>320</v>
      </c>
      <c r="FX380">
        <v>494</v>
      </c>
      <c r="FY380">
        <v>0</v>
      </c>
      <c r="FZ380">
        <v>645</v>
      </c>
      <c r="GA380">
        <v>-15</v>
      </c>
      <c r="GB380">
        <v>0</v>
      </c>
      <c r="GC380">
        <v>0</v>
      </c>
      <c r="GD380">
        <v>2631</v>
      </c>
      <c r="GE380">
        <v>1655</v>
      </c>
      <c r="GF380">
        <v>-398</v>
      </c>
      <c r="GG380">
        <v>-196</v>
      </c>
      <c r="GH380">
        <v>3844</v>
      </c>
      <c r="GI380">
        <v>0</v>
      </c>
      <c r="GJ380">
        <v>0</v>
      </c>
      <c r="GK380">
        <v>12584</v>
      </c>
      <c r="GL380">
        <v>191</v>
      </c>
      <c r="GM380">
        <v>1095</v>
      </c>
      <c r="GN380">
        <v>0</v>
      </c>
      <c r="GO380">
        <v>742</v>
      </c>
      <c r="GP380">
        <v>5</v>
      </c>
      <c r="GQ380">
        <v>1227</v>
      </c>
      <c r="GR380">
        <v>0</v>
      </c>
      <c r="GS380">
        <v>-143</v>
      </c>
      <c r="GT380">
        <v>0</v>
      </c>
      <c r="GU380">
        <v>3117</v>
      </c>
      <c r="GV380">
        <v>23271</v>
      </c>
      <c r="GW380">
        <v>0</v>
      </c>
      <c r="GX380">
        <v>0</v>
      </c>
      <c r="GY380">
        <v>0</v>
      </c>
      <c r="GZ380">
        <v>0</v>
      </c>
      <c r="HA380">
        <v>0</v>
      </c>
      <c r="HB380">
        <v>2860</v>
      </c>
      <c r="HC380">
        <v>1254</v>
      </c>
      <c r="HD380">
        <v>0</v>
      </c>
      <c r="HE380">
        <v>0</v>
      </c>
      <c r="HF380">
        <v>866</v>
      </c>
      <c r="HG380">
        <v>592</v>
      </c>
      <c r="HH380">
        <v>0</v>
      </c>
      <c r="HI380">
        <v>-1</v>
      </c>
      <c r="HJ380">
        <v>675</v>
      </c>
      <c r="HK380">
        <v>1</v>
      </c>
      <c r="HL380">
        <v>94</v>
      </c>
      <c r="HM380">
        <v>-99</v>
      </c>
      <c r="HN380">
        <v>2220</v>
      </c>
      <c r="HO380">
        <v>0</v>
      </c>
      <c r="HP380">
        <v>692</v>
      </c>
      <c r="HQ380">
        <v>20</v>
      </c>
      <c r="HR380">
        <v>1084</v>
      </c>
      <c r="HS380">
        <v>-76</v>
      </c>
      <c r="HT380">
        <v>0</v>
      </c>
      <c r="HU380">
        <v>7318</v>
      </c>
      <c r="HV380">
        <v>17500</v>
      </c>
      <c r="HW380">
        <v>880</v>
      </c>
      <c r="HX380">
        <v>11593</v>
      </c>
      <c r="HY380">
        <v>0</v>
      </c>
      <c r="HZ380">
        <v>350</v>
      </c>
      <c r="IA380">
        <v>2804</v>
      </c>
      <c r="IB380">
        <v>-1482</v>
      </c>
      <c r="IC380">
        <v>171465</v>
      </c>
      <c r="ID380">
        <v>3417</v>
      </c>
      <c r="IE380">
        <v>42925</v>
      </c>
      <c r="IF380">
        <v>78195</v>
      </c>
      <c r="IG380">
        <v>13599</v>
      </c>
      <c r="IH380">
        <v>2862</v>
      </c>
      <c r="II380">
        <v>7570</v>
      </c>
      <c r="IJ380">
        <v>12584</v>
      </c>
      <c r="IK380">
        <v>3117</v>
      </c>
      <c r="IL380">
        <v>0</v>
      </c>
      <c r="IM380">
        <v>0</v>
      </c>
      <c r="IN380">
        <v>17500</v>
      </c>
      <c r="IO380">
        <v>-1482</v>
      </c>
      <c r="IP380">
        <v>351752</v>
      </c>
      <c r="IQ380">
        <v>42088</v>
      </c>
      <c r="IR380">
        <v>0</v>
      </c>
      <c r="IS380">
        <v>0</v>
      </c>
      <c r="IT380">
        <v>0</v>
      </c>
      <c r="IU380">
        <v>0</v>
      </c>
      <c r="IV380">
        <v>94</v>
      </c>
      <c r="IW380">
        <v>16110</v>
      </c>
      <c r="IX380">
        <v>15625</v>
      </c>
      <c r="IY380">
        <v>0</v>
      </c>
      <c r="IZ380">
        <v>0</v>
      </c>
      <c r="JA380">
        <v>0</v>
      </c>
      <c r="JB380">
        <v>263</v>
      </c>
      <c r="JC380">
        <v>0</v>
      </c>
      <c r="JD380">
        <v>0</v>
      </c>
      <c r="JE380">
        <v>0</v>
      </c>
      <c r="JF380">
        <v>0</v>
      </c>
      <c r="JG380">
        <v>425932</v>
      </c>
      <c r="JH380">
        <v>146</v>
      </c>
      <c r="JI380">
        <v>229</v>
      </c>
      <c r="JJ380">
        <v>0</v>
      </c>
      <c r="JK380">
        <v>0</v>
      </c>
      <c r="JL380">
        <v>0</v>
      </c>
      <c r="JM380">
        <v>0</v>
      </c>
      <c r="JN380">
        <v>8074</v>
      </c>
      <c r="JO380">
        <v>0</v>
      </c>
      <c r="JP380">
        <v>10123</v>
      </c>
      <c r="JQ380">
        <v>0</v>
      </c>
      <c r="JR380">
        <v>444504</v>
      </c>
      <c r="JS380">
        <v>-11670</v>
      </c>
      <c r="JT380">
        <v>0</v>
      </c>
      <c r="JU380">
        <v>0</v>
      </c>
      <c r="JV380">
        <v>0</v>
      </c>
      <c r="JW380">
        <v>-44324</v>
      </c>
      <c r="JX380">
        <v>0</v>
      </c>
      <c r="JY380">
        <v>-47</v>
      </c>
      <c r="JZ380">
        <v>0</v>
      </c>
      <c r="KA380">
        <v>0</v>
      </c>
      <c r="KB380">
        <v>0</v>
      </c>
      <c r="KC380">
        <v>388463</v>
      </c>
      <c r="KD380">
        <v>0</v>
      </c>
      <c r="KE380">
        <v>-205342</v>
      </c>
      <c r="KF380">
        <v>183121</v>
      </c>
      <c r="KG380">
        <v>0</v>
      </c>
      <c r="KH380">
        <v>889</v>
      </c>
      <c r="KI380">
        <v>-1753</v>
      </c>
      <c r="KJ380">
        <v>0</v>
      </c>
      <c r="KK380">
        <v>4314</v>
      </c>
      <c r="KL380">
        <v>1500</v>
      </c>
      <c r="KM380">
        <v>0</v>
      </c>
      <c r="KN380">
        <v>0</v>
      </c>
      <c r="KO380">
        <v>-20240</v>
      </c>
      <c r="KP380">
        <v>1638</v>
      </c>
      <c r="KQ380">
        <v>1843</v>
      </c>
      <c r="KR380">
        <v>107058</v>
      </c>
      <c r="KS380">
        <v>13414</v>
      </c>
      <c r="KT380">
        <v>1753</v>
      </c>
      <c r="KU380">
        <v>0</v>
      </c>
      <c r="KV380">
        <v>159187</v>
      </c>
      <c r="KW380">
        <v>8000</v>
      </c>
      <c r="KX380">
        <v>14303</v>
      </c>
      <c r="KY380">
        <v>0</v>
      </c>
      <c r="KZ380">
        <v>0</v>
      </c>
      <c r="LA380">
        <v>163501</v>
      </c>
      <c r="LB380">
        <v>9500</v>
      </c>
      <c r="LC380">
        <v>0</v>
      </c>
      <c r="LD380">
        <v>18140</v>
      </c>
      <c r="LE380">
        <v>0</v>
      </c>
      <c r="LF380">
        <v>-9344</v>
      </c>
      <c r="LG380">
        <v>-19710</v>
      </c>
      <c r="LH380">
        <v>136</v>
      </c>
      <c r="LI380">
        <v>-12746</v>
      </c>
      <c r="LJ380">
        <v>5129</v>
      </c>
      <c r="LK380">
        <v>7648</v>
      </c>
      <c r="LL380">
        <v>12777</v>
      </c>
      <c r="LM380">
        <v>10</v>
      </c>
      <c r="LN380">
        <v>0</v>
      </c>
      <c r="LO380">
        <v>1</v>
      </c>
      <c r="LP380">
        <v>0</v>
      </c>
      <c r="LQ380">
        <v>0</v>
      </c>
      <c r="LR380">
        <v>0</v>
      </c>
      <c r="LS380">
        <v>0</v>
      </c>
      <c r="LT380">
        <v>0</v>
      </c>
      <c r="LU380">
        <v>171465</v>
      </c>
      <c r="LV380">
        <v>3417</v>
      </c>
      <c r="LW380">
        <v>42925</v>
      </c>
      <c r="LX380">
        <v>78195</v>
      </c>
      <c r="LY380">
        <v>13599</v>
      </c>
      <c r="LZ380">
        <v>2862</v>
      </c>
      <c r="MA380">
        <v>7570</v>
      </c>
      <c r="MB380">
        <v>12584</v>
      </c>
      <c r="MC380">
        <v>3117</v>
      </c>
      <c r="MD380">
        <v>0</v>
      </c>
      <c r="ME380">
        <v>0</v>
      </c>
      <c r="MF380">
        <v>17500</v>
      </c>
      <c r="MG380">
        <v>-1482</v>
      </c>
      <c r="MH380">
        <v>351752</v>
      </c>
      <c r="MI380">
        <v>0</v>
      </c>
      <c r="MJ380">
        <v>0</v>
      </c>
      <c r="MK380">
        <v>0</v>
      </c>
      <c r="ML380">
        <v>0</v>
      </c>
      <c r="MM380">
        <v>0</v>
      </c>
      <c r="MN380">
        <v>0</v>
      </c>
      <c r="MO380">
        <v>0</v>
      </c>
      <c r="MP380">
        <v>0</v>
      </c>
      <c r="MQ380">
        <v>0</v>
      </c>
      <c r="MR380">
        <v>0</v>
      </c>
      <c r="MS380">
        <v>0</v>
      </c>
      <c r="MT380">
        <v>0</v>
      </c>
      <c r="MU380">
        <v>0</v>
      </c>
      <c r="MV380">
        <v>0</v>
      </c>
      <c r="MW380">
        <v>0</v>
      </c>
      <c r="MX380">
        <v>0</v>
      </c>
      <c r="MY380">
        <v>0</v>
      </c>
      <c r="MZ380">
        <v>0</v>
      </c>
      <c r="NA380">
        <v>0</v>
      </c>
      <c r="NB380">
        <v>0</v>
      </c>
      <c r="NC380">
        <v>0</v>
      </c>
      <c r="ND380">
        <v>0</v>
      </c>
      <c r="NE380">
        <v>0</v>
      </c>
      <c r="NF380">
        <v>0</v>
      </c>
      <c r="NG380">
        <v>0</v>
      </c>
      <c r="NH380">
        <v>0</v>
      </c>
      <c r="NI380">
        <v>0</v>
      </c>
      <c r="NJ380">
        <v>0</v>
      </c>
      <c r="NK380">
        <v>0</v>
      </c>
      <c r="NL380">
        <v>0</v>
      </c>
      <c r="NM380">
        <v>0</v>
      </c>
      <c r="NN380">
        <v>-48</v>
      </c>
      <c r="NO380">
        <v>0</v>
      </c>
      <c r="NP380">
        <v>0</v>
      </c>
      <c r="NQ380">
        <v>0</v>
      </c>
      <c r="NR380">
        <v>0</v>
      </c>
      <c r="NS380">
        <v>0</v>
      </c>
      <c r="NT380">
        <v>311</v>
      </c>
      <c r="NU380">
        <v>0</v>
      </c>
      <c r="NV380">
        <v>0</v>
      </c>
      <c r="NW380">
        <v>0</v>
      </c>
      <c r="NX380">
        <v>0</v>
      </c>
      <c r="NY380">
        <v>0</v>
      </c>
      <c r="NZ380">
        <v>263</v>
      </c>
      <c r="OA380">
        <v>0</v>
      </c>
      <c r="OB380">
        <v>263</v>
      </c>
      <c r="OC380">
        <v>0</v>
      </c>
      <c r="OD380">
        <v>0</v>
      </c>
      <c r="OE380">
        <v>0</v>
      </c>
      <c r="OF380">
        <v>0</v>
      </c>
      <c r="OG380">
        <v>0</v>
      </c>
      <c r="OH380">
        <v>0</v>
      </c>
      <c r="OI380">
        <v>0</v>
      </c>
      <c r="OJ380">
        <v>0</v>
      </c>
      <c r="OK380">
        <v>0</v>
      </c>
      <c r="OL380">
        <v>0</v>
      </c>
      <c r="OM380">
        <v>0</v>
      </c>
      <c r="ON380">
        <v>0</v>
      </c>
    </row>
    <row r="381" spans="1:404" x14ac:dyDescent="0.25">
      <c r="A381" t="s">
        <v>1209</v>
      </c>
      <c r="B381" t="s">
        <v>1210</v>
      </c>
      <c r="C381" t="s">
        <v>1208</v>
      </c>
      <c r="E381" t="s">
        <v>61</v>
      </c>
      <c r="F381">
        <v>0</v>
      </c>
      <c r="G381">
        <v>0</v>
      </c>
      <c r="H381">
        <v>0</v>
      </c>
      <c r="I381">
        <v>0</v>
      </c>
      <c r="J381">
        <v>0</v>
      </c>
      <c r="K381">
        <v>0</v>
      </c>
      <c r="L381">
        <v>0</v>
      </c>
      <c r="M381">
        <v>0</v>
      </c>
      <c r="N381">
        <v>0</v>
      </c>
      <c r="O381">
        <v>0</v>
      </c>
      <c r="P381">
        <v>0</v>
      </c>
      <c r="Q381">
        <v>0</v>
      </c>
      <c r="R381">
        <v>0</v>
      </c>
      <c r="S381">
        <v>0</v>
      </c>
      <c r="T381">
        <v>0</v>
      </c>
      <c r="U381">
        <v>82</v>
      </c>
      <c r="V381">
        <v>0</v>
      </c>
      <c r="W381">
        <v>0</v>
      </c>
      <c r="X381">
        <v>0</v>
      </c>
      <c r="Y381">
        <v>0</v>
      </c>
      <c r="Z381">
        <v>-32</v>
      </c>
      <c r="AA381">
        <v>-2121</v>
      </c>
      <c r="AB381">
        <v>0</v>
      </c>
      <c r="AC381">
        <v>0</v>
      </c>
      <c r="AD381">
        <v>0</v>
      </c>
      <c r="AE381">
        <v>0</v>
      </c>
      <c r="AF381">
        <v>0</v>
      </c>
      <c r="AG381">
        <v>0</v>
      </c>
      <c r="AH381">
        <v>0</v>
      </c>
      <c r="AI381">
        <v>-2071</v>
      </c>
      <c r="AJ381">
        <v>0</v>
      </c>
      <c r="AK381">
        <v>0</v>
      </c>
      <c r="AL381">
        <v>0</v>
      </c>
      <c r="AM381">
        <v>0</v>
      </c>
      <c r="AN381">
        <v>0</v>
      </c>
      <c r="AO381">
        <v>0</v>
      </c>
      <c r="AP381">
        <v>0</v>
      </c>
      <c r="AQ381">
        <v>1385</v>
      </c>
      <c r="AR381">
        <v>23</v>
      </c>
      <c r="AS381">
        <v>0</v>
      </c>
      <c r="AT381">
        <v>0</v>
      </c>
      <c r="AU381">
        <v>0</v>
      </c>
      <c r="AV381">
        <v>0</v>
      </c>
      <c r="AW381">
        <v>0</v>
      </c>
      <c r="AX381">
        <v>0</v>
      </c>
      <c r="AY381">
        <v>0</v>
      </c>
      <c r="AZ381">
        <v>0</v>
      </c>
      <c r="BA381">
        <v>0</v>
      </c>
      <c r="BB381">
        <v>0</v>
      </c>
      <c r="BC381">
        <v>0</v>
      </c>
      <c r="BD381">
        <v>0</v>
      </c>
      <c r="BE381">
        <v>0</v>
      </c>
      <c r="BF381">
        <v>0</v>
      </c>
      <c r="BG381">
        <v>0</v>
      </c>
      <c r="BH381">
        <v>0</v>
      </c>
      <c r="BI381">
        <v>0</v>
      </c>
      <c r="BJ381">
        <v>0</v>
      </c>
      <c r="BK381">
        <v>0</v>
      </c>
      <c r="BL381">
        <v>0</v>
      </c>
      <c r="BM381">
        <v>0</v>
      </c>
      <c r="BN381">
        <v>0</v>
      </c>
      <c r="BO381">
        <v>0</v>
      </c>
      <c r="BP381">
        <v>0</v>
      </c>
      <c r="BQ381">
        <v>0</v>
      </c>
      <c r="BR381">
        <v>0</v>
      </c>
      <c r="BS381">
        <v>0</v>
      </c>
      <c r="BT381">
        <v>0</v>
      </c>
      <c r="BU381">
        <v>0</v>
      </c>
      <c r="BV381">
        <v>0</v>
      </c>
      <c r="BW381">
        <v>0</v>
      </c>
      <c r="BX381">
        <v>0</v>
      </c>
      <c r="BY381">
        <v>0</v>
      </c>
      <c r="BZ381">
        <v>0</v>
      </c>
      <c r="CA381">
        <v>0</v>
      </c>
      <c r="CB381">
        <v>0</v>
      </c>
      <c r="CC381">
        <v>0</v>
      </c>
      <c r="CD381">
        <v>0</v>
      </c>
      <c r="CE381">
        <v>0</v>
      </c>
      <c r="CF381">
        <v>0</v>
      </c>
      <c r="CG381">
        <v>0</v>
      </c>
      <c r="CH381">
        <v>0</v>
      </c>
      <c r="CI381">
        <v>0</v>
      </c>
      <c r="CJ381">
        <v>0</v>
      </c>
      <c r="CK381">
        <v>0</v>
      </c>
      <c r="CL381">
        <v>0</v>
      </c>
      <c r="CM381">
        <v>0</v>
      </c>
      <c r="CN381">
        <v>0</v>
      </c>
      <c r="CO381">
        <v>0</v>
      </c>
      <c r="CP381">
        <v>0</v>
      </c>
      <c r="CQ381">
        <v>0</v>
      </c>
      <c r="CR381">
        <v>0</v>
      </c>
      <c r="CS381">
        <v>0</v>
      </c>
      <c r="CT381">
        <v>0</v>
      </c>
      <c r="CU381">
        <v>0</v>
      </c>
      <c r="CV381">
        <v>0</v>
      </c>
      <c r="CW381">
        <v>0</v>
      </c>
      <c r="CX381">
        <v>0</v>
      </c>
      <c r="CY381">
        <v>0</v>
      </c>
      <c r="CZ381">
        <v>0</v>
      </c>
      <c r="DA381">
        <v>0</v>
      </c>
      <c r="DB381">
        <v>0</v>
      </c>
      <c r="DC381">
        <v>539</v>
      </c>
      <c r="DD381">
        <v>0</v>
      </c>
      <c r="DE381">
        <v>96</v>
      </c>
      <c r="DF381">
        <v>0</v>
      </c>
      <c r="DG381">
        <v>94</v>
      </c>
      <c r="DH381">
        <v>94</v>
      </c>
      <c r="DI381">
        <v>0</v>
      </c>
      <c r="DJ381">
        <v>396</v>
      </c>
      <c r="DK381">
        <v>134</v>
      </c>
      <c r="DL381">
        <v>0</v>
      </c>
      <c r="DM381">
        <v>296</v>
      </c>
      <c r="DN381">
        <v>592</v>
      </c>
      <c r="DO381">
        <v>0</v>
      </c>
      <c r="DP381">
        <v>1606</v>
      </c>
      <c r="DQ381">
        <v>0</v>
      </c>
      <c r="DR381">
        <v>0</v>
      </c>
      <c r="DS381">
        <v>0</v>
      </c>
      <c r="DT381">
        <v>410</v>
      </c>
      <c r="DU381">
        <v>7</v>
      </c>
      <c r="DV381">
        <v>0</v>
      </c>
      <c r="DW381">
        <v>0</v>
      </c>
      <c r="DX381">
        <v>2658</v>
      </c>
      <c r="DY381">
        <v>0</v>
      </c>
      <c r="DZ381">
        <v>0</v>
      </c>
      <c r="EA381">
        <v>0</v>
      </c>
      <c r="EB381">
        <v>0</v>
      </c>
      <c r="EC381">
        <v>0</v>
      </c>
      <c r="ED381">
        <v>0</v>
      </c>
      <c r="EE381">
        <v>0</v>
      </c>
      <c r="EF381">
        <v>0</v>
      </c>
      <c r="EG381">
        <v>0</v>
      </c>
      <c r="EH381">
        <v>0</v>
      </c>
      <c r="EI381">
        <v>0</v>
      </c>
      <c r="EJ381">
        <v>0</v>
      </c>
      <c r="EK381">
        <v>0</v>
      </c>
      <c r="EL381">
        <v>0</v>
      </c>
      <c r="EM381">
        <v>0</v>
      </c>
      <c r="EN381">
        <v>0</v>
      </c>
      <c r="EO381">
        <v>0</v>
      </c>
      <c r="EP381">
        <v>0</v>
      </c>
      <c r="EQ381">
        <v>0</v>
      </c>
      <c r="ER381">
        <v>0</v>
      </c>
      <c r="ES381">
        <v>0</v>
      </c>
      <c r="ET381">
        <v>0</v>
      </c>
      <c r="EU381">
        <v>0</v>
      </c>
      <c r="EV381">
        <v>0</v>
      </c>
      <c r="EW381">
        <v>12</v>
      </c>
      <c r="EX381">
        <v>741</v>
      </c>
      <c r="EY381">
        <v>513</v>
      </c>
      <c r="EZ381">
        <v>184</v>
      </c>
      <c r="FA381">
        <v>0</v>
      </c>
      <c r="FB381">
        <v>0</v>
      </c>
      <c r="FC381">
        <v>-60</v>
      </c>
      <c r="FD381">
        <v>1535</v>
      </c>
      <c r="FE381">
        <v>0</v>
      </c>
      <c r="FF381">
        <v>36</v>
      </c>
      <c r="FG381">
        <v>0</v>
      </c>
      <c r="FH381">
        <v>2961</v>
      </c>
      <c r="FI381">
        <v>-710</v>
      </c>
      <c r="FJ381">
        <v>0</v>
      </c>
      <c r="FK381">
        <v>0</v>
      </c>
      <c r="FL381">
        <v>357</v>
      </c>
      <c r="FM381">
        <v>588</v>
      </c>
      <c r="FN381">
        <v>0</v>
      </c>
      <c r="FO381">
        <v>70</v>
      </c>
      <c r="FP381">
        <v>0</v>
      </c>
      <c r="FQ381">
        <v>0</v>
      </c>
      <c r="FR381">
        <v>0</v>
      </c>
      <c r="FS381">
        <v>190</v>
      </c>
      <c r="FT381">
        <v>269</v>
      </c>
      <c r="FU381">
        <v>74</v>
      </c>
      <c r="FV381">
        <v>0</v>
      </c>
      <c r="FW381">
        <v>140</v>
      </c>
      <c r="FX381">
        <v>222</v>
      </c>
      <c r="FY381">
        <v>0</v>
      </c>
      <c r="FZ381">
        <v>9</v>
      </c>
      <c r="GA381">
        <v>97</v>
      </c>
      <c r="GB381">
        <v>0</v>
      </c>
      <c r="GC381">
        <v>0</v>
      </c>
      <c r="GD381">
        <v>994</v>
      </c>
      <c r="GE381">
        <v>2468</v>
      </c>
      <c r="GF381">
        <v>0</v>
      </c>
      <c r="GG381">
        <v>0</v>
      </c>
      <c r="GH381">
        <v>0</v>
      </c>
      <c r="GI381">
        <v>0</v>
      </c>
      <c r="GJ381">
        <v>0</v>
      </c>
      <c r="GK381">
        <v>4768</v>
      </c>
      <c r="GL381">
        <v>-16</v>
      </c>
      <c r="GM381">
        <v>902</v>
      </c>
      <c r="GN381">
        <v>0</v>
      </c>
      <c r="GO381">
        <v>1183</v>
      </c>
      <c r="GP381">
        <v>82</v>
      </c>
      <c r="GQ381">
        <v>591</v>
      </c>
      <c r="GR381">
        <v>0</v>
      </c>
      <c r="GS381">
        <v>-324</v>
      </c>
      <c r="GT381">
        <v>0</v>
      </c>
      <c r="GU381">
        <v>2418</v>
      </c>
      <c r="GV381">
        <v>10147</v>
      </c>
      <c r="GW381">
        <v>0</v>
      </c>
      <c r="GX381">
        <v>0</v>
      </c>
      <c r="GY381">
        <v>0</v>
      </c>
      <c r="GZ381">
        <v>0</v>
      </c>
      <c r="HA381">
        <v>0</v>
      </c>
      <c r="HB381">
        <v>1733</v>
      </c>
      <c r="HC381">
        <v>279</v>
      </c>
      <c r="HD381">
        <v>0</v>
      </c>
      <c r="HE381">
        <v>0</v>
      </c>
      <c r="HF381">
        <v>410</v>
      </c>
      <c r="HG381">
        <v>78</v>
      </c>
      <c r="HH381">
        <v>0</v>
      </c>
      <c r="HI381">
        <v>0</v>
      </c>
      <c r="HJ381">
        <v>215</v>
      </c>
      <c r="HK381">
        <v>175</v>
      </c>
      <c r="HL381">
        <v>124</v>
      </c>
      <c r="HM381">
        <v>-258</v>
      </c>
      <c r="HN381">
        <v>0</v>
      </c>
      <c r="HO381">
        <v>-303</v>
      </c>
      <c r="HP381">
        <v>0</v>
      </c>
      <c r="HQ381">
        <v>0</v>
      </c>
      <c r="HR381">
        <v>940</v>
      </c>
      <c r="HS381">
        <v>0</v>
      </c>
      <c r="HT381">
        <v>0</v>
      </c>
      <c r="HU381">
        <v>1</v>
      </c>
      <c r="HV381">
        <v>3394</v>
      </c>
      <c r="HW381">
        <v>555</v>
      </c>
      <c r="HX381">
        <v>0</v>
      </c>
      <c r="HY381">
        <v>0</v>
      </c>
      <c r="HZ381">
        <v>0</v>
      </c>
      <c r="IA381">
        <v>0</v>
      </c>
      <c r="IB381">
        <v>0</v>
      </c>
      <c r="IC381">
        <v>0</v>
      </c>
      <c r="ID381">
        <v>-2071</v>
      </c>
      <c r="IE381">
        <v>0</v>
      </c>
      <c r="IF381">
        <v>0</v>
      </c>
      <c r="IG381">
        <v>0</v>
      </c>
      <c r="IH381">
        <v>2658</v>
      </c>
      <c r="II381">
        <v>2961</v>
      </c>
      <c r="IJ381">
        <v>4768</v>
      </c>
      <c r="IK381">
        <v>2418</v>
      </c>
      <c r="IL381">
        <v>0</v>
      </c>
      <c r="IM381">
        <v>0</v>
      </c>
      <c r="IN381">
        <v>3394</v>
      </c>
      <c r="IO381">
        <v>0</v>
      </c>
      <c r="IP381">
        <v>14128</v>
      </c>
      <c r="IQ381">
        <v>23560</v>
      </c>
      <c r="IR381">
        <v>567</v>
      </c>
      <c r="IS381">
        <v>0</v>
      </c>
      <c r="IT381">
        <v>0</v>
      </c>
      <c r="IU381">
        <v>0</v>
      </c>
      <c r="IV381">
        <v>2779</v>
      </c>
      <c r="IW381">
        <v>0</v>
      </c>
      <c r="IX381">
        <v>0</v>
      </c>
      <c r="IY381">
        <v>0</v>
      </c>
      <c r="IZ381">
        <v>0</v>
      </c>
      <c r="JA381">
        <v>0</v>
      </c>
      <c r="JB381">
        <v>0</v>
      </c>
      <c r="JC381">
        <v>0</v>
      </c>
      <c r="JD381">
        <v>0</v>
      </c>
      <c r="JE381">
        <v>0</v>
      </c>
      <c r="JF381">
        <v>0</v>
      </c>
      <c r="JG381">
        <v>41034</v>
      </c>
      <c r="JH381">
        <v>0</v>
      </c>
      <c r="JI381">
        <v>333</v>
      </c>
      <c r="JJ381">
        <v>0</v>
      </c>
      <c r="JK381">
        <v>0</v>
      </c>
      <c r="JL381">
        <v>0</v>
      </c>
      <c r="JM381">
        <v>0</v>
      </c>
      <c r="JN381">
        <v>1442</v>
      </c>
      <c r="JO381">
        <v>0</v>
      </c>
      <c r="JP381">
        <v>0</v>
      </c>
      <c r="JQ381">
        <v>0</v>
      </c>
      <c r="JR381">
        <v>42809</v>
      </c>
      <c r="JS381">
        <v>-596</v>
      </c>
      <c r="JT381">
        <v>0</v>
      </c>
      <c r="JU381">
        <v>0</v>
      </c>
      <c r="JV381">
        <v>0</v>
      </c>
      <c r="JW381">
        <v>-24126</v>
      </c>
      <c r="JX381">
        <v>0</v>
      </c>
      <c r="JY381">
        <v>0</v>
      </c>
      <c r="JZ381">
        <v>0</v>
      </c>
      <c r="KA381">
        <v>0</v>
      </c>
      <c r="KB381">
        <v>0</v>
      </c>
      <c r="KC381">
        <v>18087</v>
      </c>
      <c r="KD381">
        <v>0</v>
      </c>
      <c r="KE381">
        <v>-2917</v>
      </c>
      <c r="KF381">
        <v>15170</v>
      </c>
      <c r="KG381">
        <v>0</v>
      </c>
      <c r="KH381">
        <v>0</v>
      </c>
      <c r="KI381">
        <v>0</v>
      </c>
      <c r="KJ381">
        <v>0</v>
      </c>
      <c r="KK381">
        <v>-6383</v>
      </c>
      <c r="KL381">
        <v>36</v>
      </c>
      <c r="KM381">
        <v>0</v>
      </c>
      <c r="KN381">
        <v>0</v>
      </c>
      <c r="KO381">
        <v>12306</v>
      </c>
      <c r="KP381">
        <v>65</v>
      </c>
      <c r="KQ381">
        <v>0</v>
      </c>
      <c r="KR381">
        <v>11343</v>
      </c>
      <c r="KS381">
        <v>0</v>
      </c>
      <c r="KT381">
        <v>0</v>
      </c>
      <c r="KU381">
        <v>0</v>
      </c>
      <c r="KV381">
        <v>29060</v>
      </c>
      <c r="KW381">
        <v>4301</v>
      </c>
      <c r="KX381">
        <v>0</v>
      </c>
      <c r="KY381">
        <v>0</v>
      </c>
      <c r="KZ381">
        <v>0</v>
      </c>
      <c r="LA381">
        <v>22677</v>
      </c>
      <c r="LB381">
        <v>4337</v>
      </c>
      <c r="LC381">
        <v>0</v>
      </c>
      <c r="LD381">
        <v>3231</v>
      </c>
      <c r="LE381">
        <v>-2195</v>
      </c>
      <c r="LF381">
        <v>0</v>
      </c>
      <c r="LG381">
        <v>0</v>
      </c>
      <c r="LH381">
        <v>0</v>
      </c>
      <c r="LI381">
        <v>1036</v>
      </c>
      <c r="LJ381">
        <v>2556</v>
      </c>
      <c r="LK381">
        <v>3423</v>
      </c>
      <c r="LL381">
        <v>5979</v>
      </c>
      <c r="LM381">
        <v>0</v>
      </c>
      <c r="LN381">
        <v>0</v>
      </c>
      <c r="LO381">
        <v>0</v>
      </c>
      <c r="LP381">
        <v>0</v>
      </c>
      <c r="LQ381">
        <v>0</v>
      </c>
      <c r="LR381">
        <v>0</v>
      </c>
      <c r="LS381">
        <v>0</v>
      </c>
      <c r="LT381">
        <v>0</v>
      </c>
      <c r="LU381">
        <v>0</v>
      </c>
      <c r="LV381">
        <v>-2071</v>
      </c>
      <c r="LW381">
        <v>0</v>
      </c>
      <c r="LX381">
        <v>0</v>
      </c>
      <c r="LY381">
        <v>0</v>
      </c>
      <c r="LZ381">
        <v>2658</v>
      </c>
      <c r="MA381">
        <v>2961</v>
      </c>
      <c r="MB381">
        <v>4768</v>
      </c>
      <c r="MC381">
        <v>2418</v>
      </c>
      <c r="MD381">
        <v>0</v>
      </c>
      <c r="ME381">
        <v>0</v>
      </c>
      <c r="MF381">
        <v>3394</v>
      </c>
      <c r="MG381">
        <v>0</v>
      </c>
      <c r="MH381">
        <v>14128</v>
      </c>
      <c r="MI381">
        <v>0</v>
      </c>
      <c r="MJ381">
        <v>0</v>
      </c>
      <c r="MK381">
        <v>0</v>
      </c>
      <c r="ML381">
        <v>0</v>
      </c>
      <c r="MM381">
        <v>0</v>
      </c>
      <c r="MN381">
        <v>0</v>
      </c>
      <c r="MO381">
        <v>0</v>
      </c>
      <c r="MP381">
        <v>0</v>
      </c>
      <c r="MQ381">
        <v>0</v>
      </c>
      <c r="MR381">
        <v>0</v>
      </c>
      <c r="MS381">
        <v>0</v>
      </c>
      <c r="MT381">
        <v>0</v>
      </c>
      <c r="MU381">
        <v>0</v>
      </c>
      <c r="MV381">
        <v>0</v>
      </c>
      <c r="MW381">
        <v>0</v>
      </c>
      <c r="MX381">
        <v>0</v>
      </c>
      <c r="MY381">
        <v>0</v>
      </c>
      <c r="MZ381">
        <v>0</v>
      </c>
      <c r="NA381">
        <v>0</v>
      </c>
      <c r="NB381">
        <v>0</v>
      </c>
      <c r="NC381">
        <v>0</v>
      </c>
      <c r="ND381">
        <v>0</v>
      </c>
      <c r="NE381">
        <v>0</v>
      </c>
      <c r="NF381">
        <v>0</v>
      </c>
      <c r="NG381">
        <v>0</v>
      </c>
      <c r="NH381">
        <v>0</v>
      </c>
      <c r="NI381">
        <v>0</v>
      </c>
      <c r="NJ381">
        <v>0</v>
      </c>
      <c r="NK381">
        <v>0</v>
      </c>
      <c r="NL381">
        <v>0</v>
      </c>
      <c r="NM381">
        <v>0</v>
      </c>
      <c r="NN381">
        <v>0</v>
      </c>
      <c r="NO381">
        <v>0</v>
      </c>
      <c r="NP381">
        <v>0</v>
      </c>
      <c r="NQ381">
        <v>0</v>
      </c>
      <c r="NR381">
        <v>0</v>
      </c>
      <c r="NS381">
        <v>0</v>
      </c>
      <c r="NT381">
        <v>0</v>
      </c>
      <c r="NU381">
        <v>0</v>
      </c>
      <c r="NV381">
        <v>0</v>
      </c>
      <c r="NW381">
        <v>0</v>
      </c>
      <c r="NX381">
        <v>0</v>
      </c>
      <c r="NY381">
        <v>0</v>
      </c>
      <c r="NZ381">
        <v>0</v>
      </c>
      <c r="OA381">
        <v>0</v>
      </c>
      <c r="OB381">
        <v>0</v>
      </c>
      <c r="OC381">
        <v>0</v>
      </c>
      <c r="OD381">
        <v>0</v>
      </c>
      <c r="OE381">
        <v>0</v>
      </c>
      <c r="OF381">
        <v>0</v>
      </c>
      <c r="OG381">
        <v>0</v>
      </c>
      <c r="OH381">
        <v>0</v>
      </c>
      <c r="OI381">
        <v>0</v>
      </c>
      <c r="OJ381">
        <v>0</v>
      </c>
      <c r="OK381">
        <v>0</v>
      </c>
      <c r="OL381">
        <v>0</v>
      </c>
      <c r="OM381">
        <v>0</v>
      </c>
      <c r="ON381">
        <v>0</v>
      </c>
    </row>
    <row r="382" spans="1:404" x14ac:dyDescent="0.25">
      <c r="A382" t="s">
        <v>1212</v>
      </c>
      <c r="B382" t="s">
        <v>1213</v>
      </c>
      <c r="C382" t="s">
        <v>1211</v>
      </c>
      <c r="E382" t="s">
        <v>5408</v>
      </c>
      <c r="F382">
        <v>0</v>
      </c>
      <c r="G382">
        <v>0</v>
      </c>
      <c r="H382">
        <v>0</v>
      </c>
      <c r="I382">
        <v>0</v>
      </c>
      <c r="J382">
        <v>0</v>
      </c>
      <c r="K382">
        <v>0</v>
      </c>
      <c r="L382">
        <v>0</v>
      </c>
      <c r="M382">
        <v>0</v>
      </c>
      <c r="N382">
        <v>0</v>
      </c>
      <c r="O382">
        <v>0</v>
      </c>
      <c r="P382">
        <v>0</v>
      </c>
      <c r="Q382">
        <v>0</v>
      </c>
      <c r="R382">
        <v>0</v>
      </c>
      <c r="S382">
        <v>0</v>
      </c>
      <c r="T382">
        <v>0</v>
      </c>
      <c r="U382">
        <v>0</v>
      </c>
      <c r="V382">
        <v>0</v>
      </c>
      <c r="W382">
        <v>0</v>
      </c>
      <c r="X382">
        <v>0</v>
      </c>
      <c r="Y382">
        <v>0</v>
      </c>
      <c r="Z382">
        <v>0</v>
      </c>
      <c r="AA382">
        <v>0</v>
      </c>
      <c r="AB382">
        <v>0</v>
      </c>
      <c r="AC382">
        <v>0</v>
      </c>
      <c r="AD382">
        <v>0</v>
      </c>
      <c r="AE382">
        <v>0</v>
      </c>
      <c r="AF382">
        <v>0</v>
      </c>
      <c r="AG382">
        <v>0</v>
      </c>
      <c r="AH382">
        <v>0</v>
      </c>
      <c r="AI382">
        <v>0</v>
      </c>
      <c r="AJ382">
        <v>0</v>
      </c>
      <c r="AK382">
        <v>0</v>
      </c>
      <c r="AL382">
        <v>0</v>
      </c>
      <c r="AM382">
        <v>0</v>
      </c>
      <c r="AN382">
        <v>0</v>
      </c>
      <c r="AO382">
        <v>0</v>
      </c>
      <c r="AP382">
        <v>0</v>
      </c>
      <c r="AQ382">
        <v>0</v>
      </c>
      <c r="AR382">
        <v>0</v>
      </c>
      <c r="AS382">
        <v>0</v>
      </c>
      <c r="AT382">
        <v>0</v>
      </c>
      <c r="AU382">
        <v>0</v>
      </c>
      <c r="AV382">
        <v>0</v>
      </c>
      <c r="AW382">
        <v>0</v>
      </c>
      <c r="AX382">
        <v>0</v>
      </c>
      <c r="AY382">
        <v>0</v>
      </c>
      <c r="AZ382">
        <v>0</v>
      </c>
      <c r="BA382">
        <v>0</v>
      </c>
      <c r="BB382">
        <v>0</v>
      </c>
      <c r="BC382">
        <v>0</v>
      </c>
      <c r="BD382">
        <v>0</v>
      </c>
      <c r="BE382">
        <v>0</v>
      </c>
      <c r="BF382">
        <v>0</v>
      </c>
      <c r="BG382">
        <v>0</v>
      </c>
      <c r="BH382">
        <v>0</v>
      </c>
      <c r="BI382">
        <v>0</v>
      </c>
      <c r="BJ382">
        <v>0</v>
      </c>
      <c r="BK382">
        <v>0</v>
      </c>
      <c r="BL382">
        <v>0</v>
      </c>
      <c r="BM382">
        <v>0</v>
      </c>
      <c r="BN382">
        <v>0</v>
      </c>
      <c r="BO382">
        <v>0</v>
      </c>
      <c r="BP382">
        <v>0</v>
      </c>
      <c r="BQ382">
        <v>0</v>
      </c>
      <c r="BR382">
        <v>0</v>
      </c>
      <c r="BS382">
        <v>0</v>
      </c>
      <c r="BT382">
        <v>0</v>
      </c>
      <c r="BU382">
        <v>0</v>
      </c>
      <c r="BV382">
        <v>0</v>
      </c>
      <c r="BW382">
        <v>0</v>
      </c>
      <c r="BX382">
        <v>0</v>
      </c>
      <c r="BY382">
        <v>0</v>
      </c>
      <c r="BZ382">
        <v>0</v>
      </c>
      <c r="CA382">
        <v>0</v>
      </c>
      <c r="CB382">
        <v>0</v>
      </c>
      <c r="CC382">
        <v>0</v>
      </c>
      <c r="CD382">
        <v>0</v>
      </c>
      <c r="CE382">
        <v>0</v>
      </c>
      <c r="CF382">
        <v>0</v>
      </c>
      <c r="CG382">
        <v>0</v>
      </c>
      <c r="CH382">
        <v>0</v>
      </c>
      <c r="CI382">
        <v>0</v>
      </c>
      <c r="CJ382">
        <v>0</v>
      </c>
      <c r="CK382">
        <v>0</v>
      </c>
      <c r="CL382">
        <v>0</v>
      </c>
      <c r="CM382">
        <v>0</v>
      </c>
      <c r="CN382">
        <v>0</v>
      </c>
      <c r="CO382">
        <v>0</v>
      </c>
      <c r="CP382">
        <v>0</v>
      </c>
      <c r="CQ382">
        <v>0</v>
      </c>
      <c r="CR382">
        <v>0</v>
      </c>
      <c r="CS382">
        <v>0</v>
      </c>
      <c r="CT382">
        <v>0</v>
      </c>
      <c r="CU382">
        <v>0</v>
      </c>
      <c r="CV382">
        <v>0</v>
      </c>
      <c r="CW382">
        <v>0</v>
      </c>
      <c r="CX382">
        <v>0</v>
      </c>
      <c r="CY382">
        <v>0</v>
      </c>
      <c r="CZ382">
        <v>0</v>
      </c>
      <c r="DA382">
        <v>0</v>
      </c>
      <c r="DB382">
        <v>0</v>
      </c>
      <c r="DC382">
        <v>0</v>
      </c>
      <c r="DD382">
        <v>0</v>
      </c>
      <c r="DE382">
        <v>0</v>
      </c>
      <c r="DF382">
        <v>0</v>
      </c>
      <c r="DG382">
        <v>0</v>
      </c>
      <c r="DH382">
        <v>0</v>
      </c>
      <c r="DI382">
        <v>0</v>
      </c>
      <c r="DJ382">
        <v>0</v>
      </c>
      <c r="DK382">
        <v>0</v>
      </c>
      <c r="DL382">
        <v>0</v>
      </c>
      <c r="DM382">
        <v>0</v>
      </c>
      <c r="DN382">
        <v>0</v>
      </c>
      <c r="DO382">
        <v>0</v>
      </c>
      <c r="DP382">
        <v>0</v>
      </c>
      <c r="DQ382">
        <v>0</v>
      </c>
      <c r="DR382">
        <v>0</v>
      </c>
      <c r="DS382">
        <v>0</v>
      </c>
      <c r="DT382">
        <v>0</v>
      </c>
      <c r="DU382">
        <v>0</v>
      </c>
      <c r="DV382">
        <v>0</v>
      </c>
      <c r="DW382">
        <v>0</v>
      </c>
      <c r="DX382">
        <v>0</v>
      </c>
      <c r="DY382">
        <v>0</v>
      </c>
      <c r="DZ382">
        <v>0</v>
      </c>
      <c r="EA382">
        <v>0</v>
      </c>
      <c r="EB382">
        <v>0</v>
      </c>
      <c r="EC382">
        <v>0</v>
      </c>
      <c r="ED382">
        <v>0</v>
      </c>
      <c r="EE382">
        <v>0</v>
      </c>
      <c r="EF382">
        <v>0</v>
      </c>
      <c r="EG382">
        <v>0</v>
      </c>
      <c r="EH382">
        <v>0</v>
      </c>
      <c r="EI382">
        <v>0</v>
      </c>
      <c r="EJ382">
        <v>0</v>
      </c>
      <c r="EK382">
        <v>0</v>
      </c>
      <c r="EL382">
        <v>0</v>
      </c>
      <c r="EM382">
        <v>0</v>
      </c>
      <c r="EN382">
        <v>0</v>
      </c>
      <c r="EO382">
        <v>0</v>
      </c>
      <c r="EP382">
        <v>0</v>
      </c>
      <c r="EQ382">
        <v>0</v>
      </c>
      <c r="ER382">
        <v>0</v>
      </c>
      <c r="ES382">
        <v>0</v>
      </c>
      <c r="ET382">
        <v>0</v>
      </c>
      <c r="EU382">
        <v>0</v>
      </c>
      <c r="EV382">
        <v>0</v>
      </c>
      <c r="EW382">
        <v>0</v>
      </c>
      <c r="EX382">
        <v>0</v>
      </c>
      <c r="EY382">
        <v>0</v>
      </c>
      <c r="EZ382">
        <v>0</v>
      </c>
      <c r="FA382">
        <v>0</v>
      </c>
      <c r="FB382">
        <v>0</v>
      </c>
      <c r="FC382">
        <v>0</v>
      </c>
      <c r="FD382">
        <v>0</v>
      </c>
      <c r="FE382">
        <v>0</v>
      </c>
      <c r="FF382">
        <v>0</v>
      </c>
      <c r="FG382">
        <v>0</v>
      </c>
      <c r="FH382">
        <v>0</v>
      </c>
      <c r="FI382">
        <v>0</v>
      </c>
      <c r="FJ382">
        <v>0</v>
      </c>
      <c r="FK382">
        <v>0</v>
      </c>
      <c r="FL382">
        <v>0</v>
      </c>
      <c r="FM382">
        <v>0</v>
      </c>
      <c r="FN382">
        <v>0</v>
      </c>
      <c r="FO382">
        <v>0</v>
      </c>
      <c r="FP382">
        <v>0</v>
      </c>
      <c r="FQ382">
        <v>0</v>
      </c>
      <c r="FR382">
        <v>0</v>
      </c>
      <c r="FS382">
        <v>0</v>
      </c>
      <c r="FT382">
        <v>0</v>
      </c>
      <c r="FU382">
        <v>0</v>
      </c>
      <c r="FV382">
        <v>0</v>
      </c>
      <c r="FW382">
        <v>0</v>
      </c>
      <c r="FX382">
        <v>0</v>
      </c>
      <c r="FY382">
        <v>0</v>
      </c>
      <c r="FZ382">
        <v>0</v>
      </c>
      <c r="GA382">
        <v>0</v>
      </c>
      <c r="GB382">
        <v>0</v>
      </c>
      <c r="GC382">
        <v>0</v>
      </c>
      <c r="GD382">
        <v>0</v>
      </c>
      <c r="GE382">
        <v>0</v>
      </c>
      <c r="GF382">
        <v>0</v>
      </c>
      <c r="GG382">
        <v>0</v>
      </c>
      <c r="GH382">
        <v>0</v>
      </c>
      <c r="GI382">
        <v>0</v>
      </c>
      <c r="GJ382">
        <v>0</v>
      </c>
      <c r="GK382">
        <v>0</v>
      </c>
      <c r="GL382">
        <v>0</v>
      </c>
      <c r="GM382">
        <v>0</v>
      </c>
      <c r="GN382">
        <v>0</v>
      </c>
      <c r="GO382">
        <v>0</v>
      </c>
      <c r="GP382">
        <v>0</v>
      </c>
      <c r="GQ382">
        <v>0</v>
      </c>
      <c r="GR382">
        <v>0</v>
      </c>
      <c r="GS382">
        <v>0</v>
      </c>
      <c r="GT382">
        <v>0</v>
      </c>
      <c r="GU382">
        <v>0</v>
      </c>
      <c r="GV382">
        <v>0</v>
      </c>
      <c r="GW382">
        <v>0</v>
      </c>
      <c r="GX382">
        <v>7348</v>
      </c>
      <c r="GY382">
        <v>47559</v>
      </c>
      <c r="GZ382">
        <v>0</v>
      </c>
      <c r="HA382">
        <v>54907</v>
      </c>
      <c r="HB382">
        <v>139</v>
      </c>
      <c r="HC382">
        <v>0</v>
      </c>
      <c r="HD382">
        <v>0</v>
      </c>
      <c r="HE382">
        <v>0</v>
      </c>
      <c r="HF382">
        <v>0</v>
      </c>
      <c r="HG382">
        <v>0</v>
      </c>
      <c r="HH382">
        <v>0</v>
      </c>
      <c r="HI382">
        <v>0</v>
      </c>
      <c r="HJ382">
        <v>0</v>
      </c>
      <c r="HK382">
        <v>0</v>
      </c>
      <c r="HL382">
        <v>0</v>
      </c>
      <c r="HM382">
        <v>0</v>
      </c>
      <c r="HN382">
        <v>0</v>
      </c>
      <c r="HO382">
        <v>0</v>
      </c>
      <c r="HP382">
        <v>0</v>
      </c>
      <c r="HQ382">
        <v>0</v>
      </c>
      <c r="HR382">
        <v>12</v>
      </c>
      <c r="HS382">
        <v>0</v>
      </c>
      <c r="HT382">
        <v>0</v>
      </c>
      <c r="HU382">
        <v>0</v>
      </c>
      <c r="HV382">
        <v>151</v>
      </c>
      <c r="HW382">
        <v>0</v>
      </c>
      <c r="HX382">
        <v>0</v>
      </c>
      <c r="HY382">
        <v>0</v>
      </c>
      <c r="HZ382">
        <v>0</v>
      </c>
      <c r="IA382">
        <v>0</v>
      </c>
      <c r="IB382">
        <v>0</v>
      </c>
      <c r="IC382">
        <v>0</v>
      </c>
      <c r="ID382">
        <v>0</v>
      </c>
      <c r="IE382">
        <v>0</v>
      </c>
      <c r="IF382">
        <v>0</v>
      </c>
      <c r="IG382">
        <v>0</v>
      </c>
      <c r="IH382">
        <v>0</v>
      </c>
      <c r="II382">
        <v>0</v>
      </c>
      <c r="IJ382">
        <v>0</v>
      </c>
      <c r="IK382">
        <v>0</v>
      </c>
      <c r="IL382">
        <v>0</v>
      </c>
      <c r="IM382">
        <v>54907</v>
      </c>
      <c r="IN382">
        <v>151</v>
      </c>
      <c r="IO382">
        <v>0</v>
      </c>
      <c r="IP382">
        <v>55058</v>
      </c>
      <c r="IQ382">
        <v>0</v>
      </c>
      <c r="IR382">
        <v>0</v>
      </c>
      <c r="IS382">
        <v>0</v>
      </c>
      <c r="IT382">
        <v>0</v>
      </c>
      <c r="IU382">
        <v>0</v>
      </c>
      <c r="IV382">
        <v>0</v>
      </c>
      <c r="IW382">
        <v>0</v>
      </c>
      <c r="IX382">
        <v>0</v>
      </c>
      <c r="IY382">
        <v>0</v>
      </c>
      <c r="IZ382">
        <v>0</v>
      </c>
      <c r="JA382">
        <v>0</v>
      </c>
      <c r="JB382">
        <v>0</v>
      </c>
      <c r="JC382">
        <v>0</v>
      </c>
      <c r="JD382">
        <v>0</v>
      </c>
      <c r="JE382">
        <v>129</v>
      </c>
      <c r="JF382">
        <v>0</v>
      </c>
      <c r="JG382">
        <v>55187</v>
      </c>
      <c r="JH382">
        <v>0</v>
      </c>
      <c r="JI382">
        <v>3471</v>
      </c>
      <c r="JJ382">
        <v>0</v>
      </c>
      <c r="JK382">
        <v>0</v>
      </c>
      <c r="JL382">
        <v>0</v>
      </c>
      <c r="JM382">
        <v>0</v>
      </c>
      <c r="JN382">
        <v>458</v>
      </c>
      <c r="JO382">
        <v>0</v>
      </c>
      <c r="JP382">
        <v>0</v>
      </c>
      <c r="JQ382">
        <v>-48</v>
      </c>
      <c r="JR382">
        <v>59068</v>
      </c>
      <c r="JS382">
        <v>0</v>
      </c>
      <c r="JT382">
        <v>0</v>
      </c>
      <c r="JU382">
        <v>0</v>
      </c>
      <c r="JV382">
        <v>0</v>
      </c>
      <c r="JW382">
        <v>0</v>
      </c>
      <c r="JX382">
        <v>0</v>
      </c>
      <c r="JY382">
        <v>0</v>
      </c>
      <c r="JZ382">
        <v>0</v>
      </c>
      <c r="KA382">
        <v>0</v>
      </c>
      <c r="KB382">
        <v>0</v>
      </c>
      <c r="KC382">
        <v>59068</v>
      </c>
      <c r="KD382">
        <v>0</v>
      </c>
      <c r="KE382">
        <v>-7406</v>
      </c>
      <c r="KF382">
        <v>51662</v>
      </c>
      <c r="KG382">
        <v>0</v>
      </c>
      <c r="KH382">
        <v>0</v>
      </c>
      <c r="KI382">
        <v>0</v>
      </c>
      <c r="KJ382">
        <v>0</v>
      </c>
      <c r="KK382">
        <v>-1797</v>
      </c>
      <c r="KL382">
        <v>146</v>
      </c>
      <c r="KM382">
        <v>-8989</v>
      </c>
      <c r="KN382">
        <v>0</v>
      </c>
      <c r="KO382">
        <v>-14324</v>
      </c>
      <c r="KP382">
        <v>47</v>
      </c>
      <c r="KQ382">
        <v>-119</v>
      </c>
      <c r="KR382">
        <v>24751</v>
      </c>
      <c r="KS382">
        <v>0</v>
      </c>
      <c r="KT382">
        <v>0</v>
      </c>
      <c r="KU382">
        <v>0</v>
      </c>
      <c r="KV382">
        <v>36668</v>
      </c>
      <c r="KW382">
        <v>3943</v>
      </c>
      <c r="KX382">
        <v>0</v>
      </c>
      <c r="KY382">
        <v>0</v>
      </c>
      <c r="KZ382">
        <v>0</v>
      </c>
      <c r="LA382">
        <v>34871</v>
      </c>
      <c r="LB382">
        <v>4089</v>
      </c>
      <c r="LC382">
        <v>0</v>
      </c>
      <c r="LD382">
        <v>2666</v>
      </c>
      <c r="LE382">
        <v>0</v>
      </c>
      <c r="LF382">
        <v>0</v>
      </c>
      <c r="LG382">
        <v>0</v>
      </c>
      <c r="LH382">
        <v>0</v>
      </c>
      <c r="LI382">
        <v>2666</v>
      </c>
      <c r="LJ382">
        <v>0</v>
      </c>
      <c r="LK382">
        <v>0</v>
      </c>
      <c r="LL382">
        <v>0</v>
      </c>
      <c r="LM382">
        <v>0</v>
      </c>
      <c r="LN382">
        <v>0</v>
      </c>
      <c r="LO382">
        <v>0</v>
      </c>
      <c r="LP382">
        <v>0</v>
      </c>
      <c r="LQ382">
        <v>0</v>
      </c>
      <c r="LR382">
        <v>0</v>
      </c>
      <c r="LS382">
        <v>0</v>
      </c>
      <c r="LT382">
        <v>0</v>
      </c>
      <c r="LU382">
        <v>0</v>
      </c>
      <c r="LV382">
        <v>0</v>
      </c>
      <c r="LW382">
        <v>0</v>
      </c>
      <c r="LX382">
        <v>0</v>
      </c>
      <c r="LY382">
        <v>0</v>
      </c>
      <c r="LZ382">
        <v>0</v>
      </c>
      <c r="MA382">
        <v>0</v>
      </c>
      <c r="MB382">
        <v>0</v>
      </c>
      <c r="MC382">
        <v>0</v>
      </c>
      <c r="MD382">
        <v>0</v>
      </c>
      <c r="ME382">
        <v>54907</v>
      </c>
      <c r="MF382">
        <v>151</v>
      </c>
      <c r="MG382">
        <v>0</v>
      </c>
      <c r="MH382">
        <v>55058</v>
      </c>
      <c r="MI382">
        <v>0</v>
      </c>
      <c r="MJ382">
        <v>0</v>
      </c>
      <c r="MK382">
        <v>0</v>
      </c>
      <c r="ML382">
        <v>0</v>
      </c>
      <c r="MM382">
        <v>0</v>
      </c>
      <c r="MN382">
        <v>0</v>
      </c>
      <c r="MO382">
        <v>0</v>
      </c>
      <c r="MP382">
        <v>0</v>
      </c>
      <c r="MQ382">
        <v>0</v>
      </c>
      <c r="MR382">
        <v>0</v>
      </c>
      <c r="MS382">
        <v>0</v>
      </c>
      <c r="MT382">
        <v>0</v>
      </c>
      <c r="MU382">
        <v>0</v>
      </c>
      <c r="MV382">
        <v>0</v>
      </c>
      <c r="MW382">
        <v>0</v>
      </c>
      <c r="MX382">
        <v>0</v>
      </c>
      <c r="MY382">
        <v>0</v>
      </c>
      <c r="MZ382">
        <v>0</v>
      </c>
      <c r="NA382">
        <v>0</v>
      </c>
      <c r="NB382">
        <v>0</v>
      </c>
      <c r="NC382">
        <v>0</v>
      </c>
      <c r="ND382">
        <v>0</v>
      </c>
      <c r="NE382">
        <v>0</v>
      </c>
      <c r="NF382">
        <v>0</v>
      </c>
      <c r="NG382">
        <v>0</v>
      </c>
      <c r="NH382">
        <v>0</v>
      </c>
      <c r="NI382">
        <v>0</v>
      </c>
      <c r="NJ382">
        <v>0</v>
      </c>
      <c r="NK382">
        <v>0</v>
      </c>
      <c r="NL382">
        <v>0</v>
      </c>
      <c r="NM382">
        <v>0</v>
      </c>
      <c r="NN382">
        <v>0</v>
      </c>
      <c r="NO382">
        <v>0</v>
      </c>
      <c r="NP382">
        <v>0</v>
      </c>
      <c r="NQ382">
        <v>0</v>
      </c>
      <c r="NR382">
        <v>0</v>
      </c>
      <c r="NS382">
        <v>0</v>
      </c>
      <c r="NT382">
        <v>0</v>
      </c>
      <c r="NU382">
        <v>0</v>
      </c>
      <c r="NV382">
        <v>0</v>
      </c>
      <c r="NW382">
        <v>0</v>
      </c>
      <c r="NX382">
        <v>0</v>
      </c>
      <c r="NY382">
        <v>0</v>
      </c>
      <c r="NZ382">
        <v>0</v>
      </c>
      <c r="OA382">
        <v>0</v>
      </c>
      <c r="OB382">
        <v>0</v>
      </c>
      <c r="OC382">
        <v>0</v>
      </c>
      <c r="OD382">
        <v>0</v>
      </c>
      <c r="OE382">
        <v>0</v>
      </c>
      <c r="OF382">
        <v>0</v>
      </c>
      <c r="OG382">
        <v>0</v>
      </c>
      <c r="OH382">
        <v>0</v>
      </c>
      <c r="OI382">
        <v>0</v>
      </c>
      <c r="OJ382">
        <v>0</v>
      </c>
      <c r="OK382">
        <v>0</v>
      </c>
      <c r="OL382">
        <v>0</v>
      </c>
      <c r="OM382">
        <v>0</v>
      </c>
      <c r="ON382">
        <v>0</v>
      </c>
    </row>
    <row r="383" spans="1:404" x14ac:dyDescent="0.25">
      <c r="A383" t="s">
        <v>1215</v>
      </c>
      <c r="B383" t="s">
        <v>1216</v>
      </c>
      <c r="C383" t="s">
        <v>1214</v>
      </c>
      <c r="E383" t="s">
        <v>61</v>
      </c>
      <c r="F383">
        <v>0</v>
      </c>
      <c r="G383">
        <v>0</v>
      </c>
      <c r="H383">
        <v>0</v>
      </c>
      <c r="I383">
        <v>0</v>
      </c>
      <c r="J383">
        <v>0</v>
      </c>
      <c r="K383">
        <v>0</v>
      </c>
      <c r="L383">
        <v>0</v>
      </c>
      <c r="M383">
        <v>0</v>
      </c>
      <c r="N383">
        <v>0</v>
      </c>
      <c r="O383">
        <v>0</v>
      </c>
      <c r="P383">
        <v>0</v>
      </c>
      <c r="Q383">
        <v>0</v>
      </c>
      <c r="R383">
        <v>40</v>
      </c>
      <c r="S383">
        <v>0</v>
      </c>
      <c r="T383">
        <v>0</v>
      </c>
      <c r="U383">
        <v>0</v>
      </c>
      <c r="V383">
        <v>0</v>
      </c>
      <c r="W383">
        <v>0</v>
      </c>
      <c r="X383">
        <v>0</v>
      </c>
      <c r="Y383">
        <v>0</v>
      </c>
      <c r="Z383">
        <v>0</v>
      </c>
      <c r="AA383">
        <v>-316</v>
      </c>
      <c r="AB383">
        <v>0</v>
      </c>
      <c r="AC383">
        <v>0</v>
      </c>
      <c r="AD383">
        <v>0</v>
      </c>
      <c r="AE383">
        <v>0</v>
      </c>
      <c r="AF383">
        <v>0</v>
      </c>
      <c r="AG383">
        <v>0</v>
      </c>
      <c r="AH383">
        <v>0</v>
      </c>
      <c r="AI383">
        <v>-276</v>
      </c>
      <c r="AJ383">
        <v>0</v>
      </c>
      <c r="AK383">
        <v>0</v>
      </c>
      <c r="AL383">
        <v>0</v>
      </c>
      <c r="AM383">
        <v>0</v>
      </c>
      <c r="AN383">
        <v>0</v>
      </c>
      <c r="AO383">
        <v>0</v>
      </c>
      <c r="AP383">
        <v>0</v>
      </c>
      <c r="AQ383">
        <v>0</v>
      </c>
      <c r="AR383">
        <v>0</v>
      </c>
      <c r="AS383">
        <v>0</v>
      </c>
      <c r="AT383">
        <v>0</v>
      </c>
      <c r="AU383">
        <v>0</v>
      </c>
      <c r="AV383">
        <v>0</v>
      </c>
      <c r="AW383">
        <v>0</v>
      </c>
      <c r="AX383">
        <v>0</v>
      </c>
      <c r="AY383">
        <v>0</v>
      </c>
      <c r="AZ383">
        <v>0</v>
      </c>
      <c r="BA383">
        <v>0</v>
      </c>
      <c r="BB383">
        <v>0</v>
      </c>
      <c r="BC383">
        <v>0</v>
      </c>
      <c r="BD383">
        <v>0</v>
      </c>
      <c r="BE383">
        <v>0</v>
      </c>
      <c r="BF383">
        <v>0</v>
      </c>
      <c r="BG383">
        <v>0</v>
      </c>
      <c r="BH383">
        <v>0</v>
      </c>
      <c r="BI383">
        <v>0</v>
      </c>
      <c r="BJ383">
        <v>0</v>
      </c>
      <c r="BK383">
        <v>0</v>
      </c>
      <c r="BL383">
        <v>0</v>
      </c>
      <c r="BM383">
        <v>0</v>
      </c>
      <c r="BN383">
        <v>0</v>
      </c>
      <c r="BO383">
        <v>0</v>
      </c>
      <c r="BP383">
        <v>0</v>
      </c>
      <c r="BQ383">
        <v>0</v>
      </c>
      <c r="BR383">
        <v>0</v>
      </c>
      <c r="BS383">
        <v>43</v>
      </c>
      <c r="BT383">
        <v>0</v>
      </c>
      <c r="BU383">
        <v>0</v>
      </c>
      <c r="BV383">
        <v>0</v>
      </c>
      <c r="BW383">
        <v>43</v>
      </c>
      <c r="BX383">
        <v>0</v>
      </c>
      <c r="BY383">
        <v>0</v>
      </c>
      <c r="BZ383">
        <v>0</v>
      </c>
      <c r="CA383">
        <v>0</v>
      </c>
      <c r="CB383">
        <v>0</v>
      </c>
      <c r="CC383">
        <v>0</v>
      </c>
      <c r="CD383">
        <v>0</v>
      </c>
      <c r="CE383">
        <v>0</v>
      </c>
      <c r="CF383">
        <v>0</v>
      </c>
      <c r="CG383">
        <v>1</v>
      </c>
      <c r="CH383">
        <v>0</v>
      </c>
      <c r="CI383">
        <v>0</v>
      </c>
      <c r="CJ383">
        <v>0</v>
      </c>
      <c r="CK383">
        <v>0</v>
      </c>
      <c r="CL383">
        <v>0</v>
      </c>
      <c r="CM383">
        <v>0</v>
      </c>
      <c r="CN383">
        <v>0</v>
      </c>
      <c r="CO383">
        <v>0</v>
      </c>
      <c r="CP383">
        <v>0</v>
      </c>
      <c r="CQ383">
        <v>0</v>
      </c>
      <c r="CR383">
        <v>0</v>
      </c>
      <c r="CS383">
        <v>0</v>
      </c>
      <c r="CT383">
        <v>0</v>
      </c>
      <c r="CU383">
        <v>0</v>
      </c>
      <c r="CV383">
        <v>183</v>
      </c>
      <c r="CW383">
        <v>0</v>
      </c>
      <c r="CX383">
        <v>0</v>
      </c>
      <c r="CY383">
        <v>0</v>
      </c>
      <c r="CZ383">
        <v>0</v>
      </c>
      <c r="DA383">
        <v>0</v>
      </c>
      <c r="DB383">
        <v>0</v>
      </c>
      <c r="DC383">
        <v>91</v>
      </c>
      <c r="DD383">
        <v>0</v>
      </c>
      <c r="DE383">
        <v>0</v>
      </c>
      <c r="DF383">
        <v>0</v>
      </c>
      <c r="DG383">
        <v>0</v>
      </c>
      <c r="DH383">
        <v>0</v>
      </c>
      <c r="DI383">
        <v>0</v>
      </c>
      <c r="DJ383">
        <v>184</v>
      </c>
      <c r="DK383">
        <v>0</v>
      </c>
      <c r="DL383">
        <v>0</v>
      </c>
      <c r="DM383">
        <v>0</v>
      </c>
      <c r="DN383">
        <v>139</v>
      </c>
      <c r="DO383">
        <v>0</v>
      </c>
      <c r="DP383">
        <v>323</v>
      </c>
      <c r="DQ383">
        <v>5</v>
      </c>
      <c r="DR383">
        <v>61</v>
      </c>
      <c r="DS383">
        <v>0</v>
      </c>
      <c r="DT383">
        <v>405</v>
      </c>
      <c r="DU383">
        <v>0</v>
      </c>
      <c r="DV383">
        <v>0</v>
      </c>
      <c r="DW383">
        <v>0</v>
      </c>
      <c r="DX383">
        <v>885</v>
      </c>
      <c r="DY383">
        <v>14817</v>
      </c>
      <c r="DZ383">
        <v>69</v>
      </c>
      <c r="EA383">
        <v>1143</v>
      </c>
      <c r="EB383">
        <v>22</v>
      </c>
      <c r="EC383">
        <v>0</v>
      </c>
      <c r="ED383">
        <v>2</v>
      </c>
      <c r="EE383">
        <v>0</v>
      </c>
      <c r="EF383">
        <v>2093</v>
      </c>
      <c r="EG383">
        <v>-8</v>
      </c>
      <c r="EH383">
        <v>3087</v>
      </c>
      <c r="EI383">
        <v>2148</v>
      </c>
      <c r="EJ383">
        <v>945</v>
      </c>
      <c r="EK383">
        <v>219</v>
      </c>
      <c r="EL383">
        <v>2574</v>
      </c>
      <c r="EM383">
        <v>2000</v>
      </c>
      <c r="EN383">
        <v>2239</v>
      </c>
      <c r="EO383">
        <v>0</v>
      </c>
      <c r="EP383">
        <v>0</v>
      </c>
      <c r="EQ383">
        <v>4814</v>
      </c>
      <c r="ER383">
        <v>-1</v>
      </c>
      <c r="ES383">
        <v>811</v>
      </c>
      <c r="ET383">
        <v>924</v>
      </c>
      <c r="EU383">
        <v>0</v>
      </c>
      <c r="EV383">
        <v>0</v>
      </c>
      <c r="EW383">
        <v>0</v>
      </c>
      <c r="EX383">
        <v>327</v>
      </c>
      <c r="EY383">
        <v>0</v>
      </c>
      <c r="EZ383">
        <v>125</v>
      </c>
      <c r="FA383">
        <v>0</v>
      </c>
      <c r="FB383">
        <v>0</v>
      </c>
      <c r="FC383">
        <v>811</v>
      </c>
      <c r="FD383">
        <v>262</v>
      </c>
      <c r="FE383">
        <v>0</v>
      </c>
      <c r="FF383">
        <v>0</v>
      </c>
      <c r="FG383">
        <v>0</v>
      </c>
      <c r="FH383">
        <v>1525</v>
      </c>
      <c r="FI383">
        <v>0</v>
      </c>
      <c r="FJ383">
        <v>0</v>
      </c>
      <c r="FK383">
        <v>0</v>
      </c>
      <c r="FL383">
        <v>196</v>
      </c>
      <c r="FM383">
        <v>165</v>
      </c>
      <c r="FN383">
        <v>-25</v>
      </c>
      <c r="FO383">
        <v>0</v>
      </c>
      <c r="FP383">
        <v>9</v>
      </c>
      <c r="FQ383">
        <v>0</v>
      </c>
      <c r="FR383">
        <v>0</v>
      </c>
      <c r="FS383">
        <v>0</v>
      </c>
      <c r="FT383">
        <v>230</v>
      </c>
      <c r="FU383">
        <v>146</v>
      </c>
      <c r="FV383">
        <v>0</v>
      </c>
      <c r="FW383">
        <v>275</v>
      </c>
      <c r="FX383">
        <v>0</v>
      </c>
      <c r="FY383">
        <v>0</v>
      </c>
      <c r="FZ383">
        <v>0</v>
      </c>
      <c r="GA383">
        <v>0</v>
      </c>
      <c r="GB383">
        <v>0</v>
      </c>
      <c r="GC383">
        <v>0</v>
      </c>
      <c r="GD383">
        <v>552</v>
      </c>
      <c r="GE383">
        <v>2496</v>
      </c>
      <c r="GF383">
        <v>0</v>
      </c>
      <c r="GG383">
        <v>-107</v>
      </c>
      <c r="GH383">
        <v>-192</v>
      </c>
      <c r="GI383">
        <v>0</v>
      </c>
      <c r="GJ383">
        <v>72</v>
      </c>
      <c r="GK383">
        <v>3817</v>
      </c>
      <c r="GL383">
        <v>95</v>
      </c>
      <c r="GM383">
        <v>957</v>
      </c>
      <c r="GN383">
        <v>1</v>
      </c>
      <c r="GO383">
        <v>1512</v>
      </c>
      <c r="GP383">
        <v>0</v>
      </c>
      <c r="GQ383">
        <v>349</v>
      </c>
      <c r="GR383">
        <v>0</v>
      </c>
      <c r="GS383">
        <v>0</v>
      </c>
      <c r="GT383">
        <v>0</v>
      </c>
      <c r="GU383">
        <v>2914</v>
      </c>
      <c r="GV383">
        <v>8256</v>
      </c>
      <c r="GW383">
        <v>0</v>
      </c>
      <c r="GX383">
        <v>0</v>
      </c>
      <c r="GY383">
        <v>0</v>
      </c>
      <c r="GZ383">
        <v>0</v>
      </c>
      <c r="HA383">
        <v>0</v>
      </c>
      <c r="HB383">
        <v>2153</v>
      </c>
      <c r="HC383">
        <v>443</v>
      </c>
      <c r="HD383">
        <v>0</v>
      </c>
      <c r="HE383">
        <v>221</v>
      </c>
      <c r="HF383">
        <v>0</v>
      </c>
      <c r="HG383">
        <v>46</v>
      </c>
      <c r="HH383">
        <v>0</v>
      </c>
      <c r="HI383">
        <v>0</v>
      </c>
      <c r="HJ383">
        <v>232</v>
      </c>
      <c r="HK383">
        <v>10</v>
      </c>
      <c r="HL383">
        <v>59</v>
      </c>
      <c r="HM383">
        <v>0</v>
      </c>
      <c r="HN383">
        <v>0</v>
      </c>
      <c r="HO383">
        <v>851</v>
      </c>
      <c r="HP383">
        <v>0</v>
      </c>
      <c r="HQ383">
        <v>0</v>
      </c>
      <c r="HR383">
        <v>102</v>
      </c>
      <c r="HS383">
        <v>0</v>
      </c>
      <c r="HT383">
        <v>0</v>
      </c>
      <c r="HU383">
        <v>488</v>
      </c>
      <c r="HV383">
        <v>4605</v>
      </c>
      <c r="HW383">
        <v>4714</v>
      </c>
      <c r="HX383">
        <v>6433</v>
      </c>
      <c r="HY383">
        <v>0</v>
      </c>
      <c r="HZ383">
        <v>1113</v>
      </c>
      <c r="IA383">
        <v>0</v>
      </c>
      <c r="IB383">
        <v>0</v>
      </c>
      <c r="IC383">
        <v>0</v>
      </c>
      <c r="ID383">
        <v>-276</v>
      </c>
      <c r="IE383">
        <v>0</v>
      </c>
      <c r="IF383">
        <v>43</v>
      </c>
      <c r="IG383">
        <v>183</v>
      </c>
      <c r="IH383">
        <v>885</v>
      </c>
      <c r="II383">
        <v>1525</v>
      </c>
      <c r="IJ383">
        <v>3817</v>
      </c>
      <c r="IK383">
        <v>2914</v>
      </c>
      <c r="IL383">
        <v>0</v>
      </c>
      <c r="IM383">
        <v>0</v>
      </c>
      <c r="IN383">
        <v>4605</v>
      </c>
      <c r="IO383">
        <v>0</v>
      </c>
      <c r="IP383">
        <v>13696</v>
      </c>
      <c r="IQ383">
        <v>6173</v>
      </c>
      <c r="IR383">
        <v>0</v>
      </c>
      <c r="IS383">
        <v>4982</v>
      </c>
      <c r="IT383">
        <v>0</v>
      </c>
      <c r="IU383">
        <v>0</v>
      </c>
      <c r="IV383">
        <v>3803</v>
      </c>
      <c r="IW383">
        <v>0</v>
      </c>
      <c r="IX383">
        <v>0</v>
      </c>
      <c r="IY383">
        <v>0</v>
      </c>
      <c r="IZ383">
        <v>0</v>
      </c>
      <c r="JA383">
        <v>0</v>
      </c>
      <c r="JB383">
        <v>0</v>
      </c>
      <c r="JC383">
        <v>0</v>
      </c>
      <c r="JD383">
        <v>0</v>
      </c>
      <c r="JE383">
        <v>0</v>
      </c>
      <c r="JF383">
        <v>0</v>
      </c>
      <c r="JG383">
        <v>28654</v>
      </c>
      <c r="JH383">
        <v>0</v>
      </c>
      <c r="JI383">
        <v>2149</v>
      </c>
      <c r="JJ383">
        <v>0</v>
      </c>
      <c r="JK383">
        <v>0</v>
      </c>
      <c r="JL383">
        <v>0</v>
      </c>
      <c r="JM383">
        <v>23</v>
      </c>
      <c r="JN383">
        <v>1055</v>
      </c>
      <c r="JO383">
        <v>0</v>
      </c>
      <c r="JP383">
        <v>3917</v>
      </c>
      <c r="JQ383">
        <v>-2574</v>
      </c>
      <c r="JR383">
        <v>33224</v>
      </c>
      <c r="JS383">
        <v>-8192</v>
      </c>
      <c r="JT383">
        <v>0</v>
      </c>
      <c r="JU383">
        <v>0</v>
      </c>
      <c r="JV383">
        <v>0</v>
      </c>
      <c r="JW383">
        <v>-11284</v>
      </c>
      <c r="JX383">
        <v>0</v>
      </c>
      <c r="JY383">
        <v>0</v>
      </c>
      <c r="JZ383">
        <v>0</v>
      </c>
      <c r="KA383">
        <v>0</v>
      </c>
      <c r="KB383">
        <v>0</v>
      </c>
      <c r="KC383">
        <v>13748</v>
      </c>
      <c r="KD383">
        <v>0</v>
      </c>
      <c r="KE383">
        <v>-5095</v>
      </c>
      <c r="KF383">
        <v>8653</v>
      </c>
      <c r="KG383">
        <v>0</v>
      </c>
      <c r="KH383">
        <v>0</v>
      </c>
      <c r="KI383">
        <v>0</v>
      </c>
      <c r="KJ383">
        <v>0</v>
      </c>
      <c r="KK383">
        <v>1304</v>
      </c>
      <c r="KL383">
        <v>78</v>
      </c>
      <c r="KM383">
        <v>0</v>
      </c>
      <c r="KN383">
        <v>0</v>
      </c>
      <c r="KO383">
        <v>-258</v>
      </c>
      <c r="KP383">
        <v>4728</v>
      </c>
      <c r="KQ383">
        <v>0</v>
      </c>
      <c r="KR383">
        <v>9961</v>
      </c>
      <c r="KS383">
        <v>0</v>
      </c>
      <c r="KT383">
        <v>0</v>
      </c>
      <c r="KU383">
        <v>0</v>
      </c>
      <c r="KV383">
        <v>21003</v>
      </c>
      <c r="KW383">
        <v>1438</v>
      </c>
      <c r="KX383">
        <v>0</v>
      </c>
      <c r="KY383">
        <v>0</v>
      </c>
      <c r="KZ383">
        <v>0</v>
      </c>
      <c r="LA383">
        <v>22307</v>
      </c>
      <c r="LB383">
        <v>1516</v>
      </c>
      <c r="LC383">
        <v>0</v>
      </c>
      <c r="LD383">
        <v>1380</v>
      </c>
      <c r="LE383">
        <v>0</v>
      </c>
      <c r="LF383">
        <v>-493</v>
      </c>
      <c r="LG383">
        <v>0</v>
      </c>
      <c r="LH383">
        <v>282</v>
      </c>
      <c r="LI383">
        <v>1169</v>
      </c>
      <c r="LJ383">
        <v>1721</v>
      </c>
      <c r="LK383">
        <v>2118</v>
      </c>
      <c r="LL383">
        <v>3839</v>
      </c>
      <c r="LM383">
        <v>0</v>
      </c>
      <c r="LN383">
        <v>0</v>
      </c>
      <c r="LO383">
        <v>0</v>
      </c>
      <c r="LP383">
        <v>18138</v>
      </c>
      <c r="LQ383">
        <v>18025</v>
      </c>
      <c r="LR383">
        <v>113</v>
      </c>
      <c r="LS383">
        <v>811</v>
      </c>
      <c r="LT383">
        <v>924</v>
      </c>
      <c r="LU383">
        <v>0</v>
      </c>
      <c r="LV383">
        <v>-276</v>
      </c>
      <c r="LW383">
        <v>0</v>
      </c>
      <c r="LX383">
        <v>43</v>
      </c>
      <c r="LY383">
        <v>183</v>
      </c>
      <c r="LZ383">
        <v>885</v>
      </c>
      <c r="MA383">
        <v>1525</v>
      </c>
      <c r="MB383">
        <v>3817</v>
      </c>
      <c r="MC383">
        <v>2914</v>
      </c>
      <c r="MD383">
        <v>0</v>
      </c>
      <c r="ME383">
        <v>0</v>
      </c>
      <c r="MF383">
        <v>4605</v>
      </c>
      <c r="MG383">
        <v>0</v>
      </c>
      <c r="MH383">
        <v>13696</v>
      </c>
      <c r="MI383">
        <v>0</v>
      </c>
      <c r="MJ383">
        <v>0</v>
      </c>
      <c r="MK383">
        <v>0</v>
      </c>
      <c r="ML383">
        <v>0</v>
      </c>
      <c r="MM383">
        <v>0</v>
      </c>
      <c r="MN383">
        <v>0</v>
      </c>
      <c r="MO383">
        <v>0</v>
      </c>
      <c r="MP383">
        <v>0</v>
      </c>
      <c r="MQ383">
        <v>0</v>
      </c>
      <c r="MR383">
        <v>0</v>
      </c>
      <c r="MS383">
        <v>0</v>
      </c>
      <c r="MT383">
        <v>0</v>
      </c>
      <c r="MU383">
        <v>0</v>
      </c>
      <c r="MV383">
        <v>0</v>
      </c>
      <c r="MW383">
        <v>0</v>
      </c>
      <c r="MX383">
        <v>0</v>
      </c>
      <c r="MY383">
        <v>0</v>
      </c>
      <c r="MZ383">
        <v>0</v>
      </c>
      <c r="NA383">
        <v>0</v>
      </c>
      <c r="NB383">
        <v>0</v>
      </c>
      <c r="NC383">
        <v>0</v>
      </c>
      <c r="ND383">
        <v>0</v>
      </c>
      <c r="NE383">
        <v>0</v>
      </c>
      <c r="NF383">
        <v>0</v>
      </c>
      <c r="NG383">
        <v>0</v>
      </c>
      <c r="NH383">
        <v>0</v>
      </c>
      <c r="NI383">
        <v>0</v>
      </c>
      <c r="NJ383">
        <v>0</v>
      </c>
      <c r="NK383">
        <v>0</v>
      </c>
      <c r="NL383">
        <v>0</v>
      </c>
      <c r="NM383">
        <v>0</v>
      </c>
      <c r="NN383">
        <v>0</v>
      </c>
      <c r="NO383">
        <v>0</v>
      </c>
      <c r="NP383">
        <v>0</v>
      </c>
      <c r="NQ383">
        <v>0</v>
      </c>
      <c r="NR383">
        <v>0</v>
      </c>
      <c r="NS383">
        <v>0</v>
      </c>
      <c r="NT383">
        <v>0</v>
      </c>
      <c r="NU383">
        <v>0</v>
      </c>
      <c r="NV383">
        <v>0</v>
      </c>
      <c r="NW383">
        <v>0</v>
      </c>
      <c r="NX383">
        <v>0</v>
      </c>
      <c r="NY383">
        <v>0</v>
      </c>
      <c r="NZ383">
        <v>0</v>
      </c>
      <c r="OA383">
        <v>0</v>
      </c>
      <c r="OB383">
        <v>0</v>
      </c>
      <c r="OC383">
        <v>0</v>
      </c>
      <c r="OD383">
        <v>0</v>
      </c>
      <c r="OE383">
        <v>0</v>
      </c>
      <c r="OF383">
        <v>0</v>
      </c>
      <c r="OG383">
        <v>0</v>
      </c>
      <c r="OH383">
        <v>0</v>
      </c>
      <c r="OI383">
        <v>0</v>
      </c>
      <c r="OJ383">
        <v>0</v>
      </c>
      <c r="OK383">
        <v>0</v>
      </c>
      <c r="OL383">
        <v>0</v>
      </c>
      <c r="OM383">
        <v>0</v>
      </c>
      <c r="ON383">
        <v>0</v>
      </c>
    </row>
    <row r="384" spans="1:404" x14ac:dyDescent="0.25">
      <c r="A384" t="s">
        <v>1218</v>
      </c>
      <c r="B384" t="s">
        <v>1219</v>
      </c>
      <c r="C384" t="s">
        <v>1217</v>
      </c>
      <c r="E384" t="s">
        <v>61</v>
      </c>
      <c r="F384">
        <v>0</v>
      </c>
      <c r="G384">
        <v>0</v>
      </c>
      <c r="H384">
        <v>0</v>
      </c>
      <c r="I384">
        <v>0</v>
      </c>
      <c r="J384">
        <v>0</v>
      </c>
      <c r="K384">
        <v>0</v>
      </c>
      <c r="L384">
        <v>0</v>
      </c>
      <c r="M384">
        <v>0</v>
      </c>
      <c r="N384">
        <v>0</v>
      </c>
      <c r="O384">
        <v>0</v>
      </c>
      <c r="P384">
        <v>0</v>
      </c>
      <c r="Q384">
        <v>0</v>
      </c>
      <c r="R384">
        <v>0</v>
      </c>
      <c r="S384">
        <v>-57</v>
      </c>
      <c r="T384">
        <v>0</v>
      </c>
      <c r="U384">
        <v>0</v>
      </c>
      <c r="V384">
        <v>0</v>
      </c>
      <c r="W384">
        <v>0</v>
      </c>
      <c r="X384">
        <v>0</v>
      </c>
      <c r="Y384">
        <v>-1</v>
      </c>
      <c r="Z384">
        <v>0</v>
      </c>
      <c r="AA384">
        <v>177</v>
      </c>
      <c r="AB384">
        <v>0</v>
      </c>
      <c r="AC384">
        <v>0</v>
      </c>
      <c r="AD384">
        <v>0</v>
      </c>
      <c r="AE384">
        <v>0</v>
      </c>
      <c r="AF384">
        <v>0</v>
      </c>
      <c r="AG384">
        <v>0</v>
      </c>
      <c r="AH384">
        <v>0</v>
      </c>
      <c r="AI384">
        <v>118</v>
      </c>
      <c r="AJ384">
        <v>0</v>
      </c>
      <c r="AK384">
        <v>0</v>
      </c>
      <c r="AL384">
        <v>0</v>
      </c>
      <c r="AM384">
        <v>0</v>
      </c>
      <c r="AN384">
        <v>0</v>
      </c>
      <c r="AO384">
        <v>0</v>
      </c>
      <c r="AP384">
        <v>0</v>
      </c>
      <c r="AQ384">
        <v>0</v>
      </c>
      <c r="AR384">
        <v>0</v>
      </c>
      <c r="AS384">
        <v>0</v>
      </c>
      <c r="AT384">
        <v>0</v>
      </c>
      <c r="AU384">
        <v>0</v>
      </c>
      <c r="AV384">
        <v>0</v>
      </c>
      <c r="AW384">
        <v>0</v>
      </c>
      <c r="AX384">
        <v>0</v>
      </c>
      <c r="AY384">
        <v>0</v>
      </c>
      <c r="AZ384">
        <v>0</v>
      </c>
      <c r="BA384">
        <v>0</v>
      </c>
      <c r="BB384">
        <v>0</v>
      </c>
      <c r="BC384">
        <v>0</v>
      </c>
      <c r="BD384">
        <v>0</v>
      </c>
      <c r="BE384">
        <v>0</v>
      </c>
      <c r="BF384">
        <v>0</v>
      </c>
      <c r="BG384">
        <v>0</v>
      </c>
      <c r="BH384">
        <v>0</v>
      </c>
      <c r="BI384">
        <v>0</v>
      </c>
      <c r="BJ384">
        <v>0</v>
      </c>
      <c r="BK384">
        <v>0</v>
      </c>
      <c r="BL384">
        <v>0</v>
      </c>
      <c r="BM384">
        <v>0</v>
      </c>
      <c r="BN384">
        <v>0</v>
      </c>
      <c r="BO384">
        <v>0</v>
      </c>
      <c r="BP384">
        <v>0</v>
      </c>
      <c r="BQ384">
        <v>0</v>
      </c>
      <c r="BR384">
        <v>0</v>
      </c>
      <c r="BS384">
        <v>0</v>
      </c>
      <c r="BT384">
        <v>0</v>
      </c>
      <c r="BU384">
        <v>0</v>
      </c>
      <c r="BV384">
        <v>0</v>
      </c>
      <c r="BW384">
        <v>0</v>
      </c>
      <c r="BX384">
        <v>0</v>
      </c>
      <c r="BY384">
        <v>0</v>
      </c>
      <c r="BZ384">
        <v>0</v>
      </c>
      <c r="CA384">
        <v>0</v>
      </c>
      <c r="CB384">
        <v>0</v>
      </c>
      <c r="CC384">
        <v>0</v>
      </c>
      <c r="CD384">
        <v>0</v>
      </c>
      <c r="CE384">
        <v>0</v>
      </c>
      <c r="CF384">
        <v>0</v>
      </c>
      <c r="CG384">
        <v>0</v>
      </c>
      <c r="CH384">
        <v>0</v>
      </c>
      <c r="CI384">
        <v>0</v>
      </c>
      <c r="CJ384">
        <v>0</v>
      </c>
      <c r="CK384">
        <v>0</v>
      </c>
      <c r="CL384">
        <v>0</v>
      </c>
      <c r="CM384">
        <v>0</v>
      </c>
      <c r="CN384">
        <v>0</v>
      </c>
      <c r="CO384">
        <v>0</v>
      </c>
      <c r="CP384">
        <v>0</v>
      </c>
      <c r="CQ384">
        <v>0</v>
      </c>
      <c r="CR384">
        <v>0</v>
      </c>
      <c r="CS384">
        <v>0</v>
      </c>
      <c r="CT384">
        <v>0</v>
      </c>
      <c r="CU384">
        <v>0</v>
      </c>
      <c r="CV384">
        <v>0</v>
      </c>
      <c r="CW384">
        <v>0</v>
      </c>
      <c r="CX384">
        <v>0</v>
      </c>
      <c r="CY384">
        <v>0</v>
      </c>
      <c r="CZ384">
        <v>0</v>
      </c>
      <c r="DA384">
        <v>0</v>
      </c>
      <c r="DB384">
        <v>0</v>
      </c>
      <c r="DC384">
        <v>1167</v>
      </c>
      <c r="DD384">
        <v>0</v>
      </c>
      <c r="DE384">
        <v>103</v>
      </c>
      <c r="DF384">
        <v>202</v>
      </c>
      <c r="DG384">
        <v>32</v>
      </c>
      <c r="DH384">
        <v>0</v>
      </c>
      <c r="DI384">
        <v>0</v>
      </c>
      <c r="DJ384">
        <v>0</v>
      </c>
      <c r="DK384">
        <v>0</v>
      </c>
      <c r="DL384">
        <v>0</v>
      </c>
      <c r="DM384">
        <v>0</v>
      </c>
      <c r="DN384">
        <v>316</v>
      </c>
      <c r="DO384">
        <v>0</v>
      </c>
      <c r="DP384">
        <v>348</v>
      </c>
      <c r="DQ384">
        <v>0</v>
      </c>
      <c r="DR384">
        <v>0</v>
      </c>
      <c r="DS384">
        <v>0</v>
      </c>
      <c r="DT384">
        <v>0</v>
      </c>
      <c r="DU384">
        <v>0</v>
      </c>
      <c r="DV384">
        <v>0</v>
      </c>
      <c r="DW384">
        <v>0</v>
      </c>
      <c r="DX384">
        <v>1820</v>
      </c>
      <c r="DY384">
        <v>0</v>
      </c>
      <c r="DZ384">
        <v>0</v>
      </c>
      <c r="EA384">
        <v>0</v>
      </c>
      <c r="EB384">
        <v>0</v>
      </c>
      <c r="EC384">
        <v>0</v>
      </c>
      <c r="ED384">
        <v>0</v>
      </c>
      <c r="EE384">
        <v>0</v>
      </c>
      <c r="EF384">
        <v>0</v>
      </c>
      <c r="EG384">
        <v>0</v>
      </c>
      <c r="EH384">
        <v>0</v>
      </c>
      <c r="EI384">
        <v>0</v>
      </c>
      <c r="EJ384">
        <v>0</v>
      </c>
      <c r="EK384">
        <v>0</v>
      </c>
      <c r="EL384">
        <v>0</v>
      </c>
      <c r="EM384">
        <v>0</v>
      </c>
      <c r="EN384">
        <v>0</v>
      </c>
      <c r="EO384">
        <v>0</v>
      </c>
      <c r="EP384">
        <v>0</v>
      </c>
      <c r="EQ384">
        <v>0</v>
      </c>
      <c r="ER384">
        <v>0</v>
      </c>
      <c r="ES384">
        <v>0</v>
      </c>
      <c r="ET384">
        <v>0</v>
      </c>
      <c r="EU384">
        <v>0</v>
      </c>
      <c r="EV384">
        <v>62</v>
      </c>
      <c r="EW384">
        <v>0</v>
      </c>
      <c r="EX384">
        <v>0</v>
      </c>
      <c r="EY384">
        <v>0</v>
      </c>
      <c r="EZ384">
        <v>288</v>
      </c>
      <c r="FA384">
        <v>0</v>
      </c>
      <c r="FB384">
        <v>238</v>
      </c>
      <c r="FC384">
        <v>348</v>
      </c>
      <c r="FD384">
        <v>1078</v>
      </c>
      <c r="FE384">
        <v>0</v>
      </c>
      <c r="FF384">
        <v>0</v>
      </c>
      <c r="FG384">
        <v>0</v>
      </c>
      <c r="FH384">
        <v>2013</v>
      </c>
      <c r="FI384">
        <v>0</v>
      </c>
      <c r="FJ384">
        <v>0</v>
      </c>
      <c r="FK384">
        <v>0</v>
      </c>
      <c r="FL384">
        <v>-1</v>
      </c>
      <c r="FM384">
        <v>-14</v>
      </c>
      <c r="FN384">
        <v>0</v>
      </c>
      <c r="FO384">
        <v>-1</v>
      </c>
      <c r="FP384">
        <v>0</v>
      </c>
      <c r="FQ384">
        <v>0</v>
      </c>
      <c r="FR384">
        <v>0</v>
      </c>
      <c r="FS384">
        <v>244</v>
      </c>
      <c r="FT384">
        <v>-1</v>
      </c>
      <c r="FU384">
        <v>98</v>
      </c>
      <c r="FV384">
        <v>0</v>
      </c>
      <c r="FW384">
        <v>0</v>
      </c>
      <c r="FX384">
        <v>95</v>
      </c>
      <c r="FY384">
        <v>0</v>
      </c>
      <c r="FZ384">
        <v>100</v>
      </c>
      <c r="GA384">
        <v>0</v>
      </c>
      <c r="GB384">
        <v>0</v>
      </c>
      <c r="GC384">
        <v>0</v>
      </c>
      <c r="GD384">
        <v>1018</v>
      </c>
      <c r="GE384">
        <v>1421</v>
      </c>
      <c r="GF384">
        <v>0</v>
      </c>
      <c r="GG384">
        <v>0</v>
      </c>
      <c r="GH384">
        <v>1459</v>
      </c>
      <c r="GI384">
        <v>0</v>
      </c>
      <c r="GJ384">
        <v>91</v>
      </c>
      <c r="GK384">
        <v>4506</v>
      </c>
      <c r="GL384">
        <v>16</v>
      </c>
      <c r="GM384">
        <v>2135</v>
      </c>
      <c r="GN384">
        <v>70</v>
      </c>
      <c r="GO384">
        <v>774</v>
      </c>
      <c r="GP384">
        <v>0</v>
      </c>
      <c r="GQ384">
        <v>88</v>
      </c>
      <c r="GR384">
        <v>0</v>
      </c>
      <c r="GS384">
        <v>0</v>
      </c>
      <c r="GT384">
        <v>124</v>
      </c>
      <c r="GU384">
        <v>3208</v>
      </c>
      <c r="GV384">
        <v>9727</v>
      </c>
      <c r="GW384">
        <v>0</v>
      </c>
      <c r="GX384">
        <v>0</v>
      </c>
      <c r="GY384">
        <v>0</v>
      </c>
      <c r="GZ384">
        <v>0</v>
      </c>
      <c r="HA384">
        <v>0</v>
      </c>
      <c r="HB384">
        <v>2518</v>
      </c>
      <c r="HC384">
        <v>478</v>
      </c>
      <c r="HD384">
        <v>0</v>
      </c>
      <c r="HE384">
        <v>0</v>
      </c>
      <c r="HF384">
        <v>0</v>
      </c>
      <c r="HG384">
        <v>0</v>
      </c>
      <c r="HH384">
        <v>0</v>
      </c>
      <c r="HI384">
        <v>0</v>
      </c>
      <c r="HJ384">
        <v>176</v>
      </c>
      <c r="HK384">
        <v>103</v>
      </c>
      <c r="HL384">
        <v>12</v>
      </c>
      <c r="HM384">
        <v>-215</v>
      </c>
      <c r="HN384">
        <v>0</v>
      </c>
      <c r="HO384">
        <v>344</v>
      </c>
      <c r="HP384">
        <v>0</v>
      </c>
      <c r="HQ384">
        <v>0</v>
      </c>
      <c r="HR384">
        <v>0</v>
      </c>
      <c r="HS384">
        <v>0</v>
      </c>
      <c r="HT384">
        <v>0</v>
      </c>
      <c r="HU384">
        <v>5610</v>
      </c>
      <c r="HV384">
        <v>9025</v>
      </c>
      <c r="HW384">
        <v>286</v>
      </c>
      <c r="HX384">
        <v>0</v>
      </c>
      <c r="HY384">
        <v>0</v>
      </c>
      <c r="HZ384">
        <v>0</v>
      </c>
      <c r="IA384">
        <v>0</v>
      </c>
      <c r="IB384">
        <v>0</v>
      </c>
      <c r="IC384">
        <v>0</v>
      </c>
      <c r="ID384">
        <v>118</v>
      </c>
      <c r="IE384">
        <v>0</v>
      </c>
      <c r="IF384">
        <v>0</v>
      </c>
      <c r="IG384">
        <v>0</v>
      </c>
      <c r="IH384">
        <v>1820</v>
      </c>
      <c r="II384">
        <v>2013</v>
      </c>
      <c r="IJ384">
        <v>4506</v>
      </c>
      <c r="IK384">
        <v>3208</v>
      </c>
      <c r="IL384">
        <v>0</v>
      </c>
      <c r="IM384">
        <v>0</v>
      </c>
      <c r="IN384">
        <v>9025</v>
      </c>
      <c r="IO384">
        <v>0</v>
      </c>
      <c r="IP384">
        <v>20690</v>
      </c>
      <c r="IQ384">
        <v>17485</v>
      </c>
      <c r="IR384">
        <v>121</v>
      </c>
      <c r="IS384">
        <v>0</v>
      </c>
      <c r="IT384">
        <v>0</v>
      </c>
      <c r="IU384">
        <v>0</v>
      </c>
      <c r="IV384">
        <v>4456</v>
      </c>
      <c r="IW384">
        <v>0</v>
      </c>
      <c r="IX384">
        <v>0</v>
      </c>
      <c r="IY384">
        <v>0</v>
      </c>
      <c r="IZ384">
        <v>0</v>
      </c>
      <c r="JA384">
        <v>320</v>
      </c>
      <c r="JB384">
        <v>0</v>
      </c>
      <c r="JC384">
        <v>0</v>
      </c>
      <c r="JD384">
        <v>0</v>
      </c>
      <c r="JE384">
        <v>0</v>
      </c>
      <c r="JF384">
        <v>0</v>
      </c>
      <c r="JG384">
        <v>43072</v>
      </c>
      <c r="JH384">
        <v>0</v>
      </c>
      <c r="JI384">
        <v>0</v>
      </c>
      <c r="JJ384">
        <v>0</v>
      </c>
      <c r="JK384">
        <v>0</v>
      </c>
      <c r="JL384">
        <v>0</v>
      </c>
      <c r="JM384">
        <v>0</v>
      </c>
      <c r="JN384">
        <v>0</v>
      </c>
      <c r="JO384">
        <v>0</v>
      </c>
      <c r="JP384">
        <v>0</v>
      </c>
      <c r="JQ384">
        <v>0</v>
      </c>
      <c r="JR384">
        <v>43072</v>
      </c>
      <c r="JS384">
        <v>-744</v>
      </c>
      <c r="JT384">
        <v>0</v>
      </c>
      <c r="JU384">
        <v>0</v>
      </c>
      <c r="JV384">
        <v>0</v>
      </c>
      <c r="JW384">
        <v>-18053</v>
      </c>
      <c r="JX384">
        <v>0</v>
      </c>
      <c r="JY384">
        <v>-287</v>
      </c>
      <c r="JZ384">
        <v>0</v>
      </c>
      <c r="KA384">
        <v>0</v>
      </c>
      <c r="KB384">
        <v>0</v>
      </c>
      <c r="KC384">
        <v>23988</v>
      </c>
      <c r="KD384">
        <v>0</v>
      </c>
      <c r="KE384">
        <v>-5887</v>
      </c>
      <c r="KF384">
        <v>18101</v>
      </c>
      <c r="KG384">
        <v>0</v>
      </c>
      <c r="KH384">
        <v>0</v>
      </c>
      <c r="KI384">
        <v>0</v>
      </c>
      <c r="KJ384">
        <v>0</v>
      </c>
      <c r="KK384">
        <v>2728</v>
      </c>
      <c r="KL384">
        <v>0</v>
      </c>
      <c r="KM384">
        <v>0</v>
      </c>
      <c r="KN384">
        <v>0</v>
      </c>
      <c r="KO384">
        <v>-2542</v>
      </c>
      <c r="KP384">
        <v>0</v>
      </c>
      <c r="KQ384">
        <v>0</v>
      </c>
      <c r="KR384">
        <v>12096</v>
      </c>
      <c r="KS384">
        <v>0</v>
      </c>
      <c r="KT384">
        <v>0</v>
      </c>
      <c r="KU384">
        <v>0</v>
      </c>
      <c r="KV384">
        <v>19788</v>
      </c>
      <c r="KW384">
        <v>10613</v>
      </c>
      <c r="KX384">
        <v>0</v>
      </c>
      <c r="KY384">
        <v>0</v>
      </c>
      <c r="KZ384">
        <v>0</v>
      </c>
      <c r="LA384">
        <v>22516</v>
      </c>
      <c r="LB384">
        <v>10613</v>
      </c>
      <c r="LC384">
        <v>0</v>
      </c>
      <c r="LD384">
        <v>1736</v>
      </c>
      <c r="LE384">
        <v>0</v>
      </c>
      <c r="LF384">
        <v>103</v>
      </c>
      <c r="LG384">
        <v>-4039</v>
      </c>
      <c r="LH384">
        <v>4107</v>
      </c>
      <c r="LI384">
        <v>1907</v>
      </c>
      <c r="LJ384">
        <v>2409</v>
      </c>
      <c r="LK384">
        <v>3890</v>
      </c>
      <c r="LL384">
        <v>6299</v>
      </c>
      <c r="LM384">
        <v>0</v>
      </c>
      <c r="LN384">
        <v>0</v>
      </c>
      <c r="LO384">
        <v>0</v>
      </c>
      <c r="LP384">
        <v>0</v>
      </c>
      <c r="LQ384">
        <v>0</v>
      </c>
      <c r="LR384">
        <v>0</v>
      </c>
      <c r="LS384">
        <v>0</v>
      </c>
      <c r="LT384">
        <v>0</v>
      </c>
      <c r="LU384">
        <v>0</v>
      </c>
      <c r="LV384">
        <v>118</v>
      </c>
      <c r="LW384">
        <v>0</v>
      </c>
      <c r="LX384">
        <v>0</v>
      </c>
      <c r="LY384">
        <v>0</v>
      </c>
      <c r="LZ384">
        <v>1820</v>
      </c>
      <c r="MA384">
        <v>2013</v>
      </c>
      <c r="MB384">
        <v>4506</v>
      </c>
      <c r="MC384">
        <v>3208</v>
      </c>
      <c r="MD384">
        <v>0</v>
      </c>
      <c r="ME384">
        <v>0</v>
      </c>
      <c r="MF384">
        <v>9025</v>
      </c>
      <c r="MG384">
        <v>0</v>
      </c>
      <c r="MH384">
        <v>20690</v>
      </c>
      <c r="MI384">
        <v>0</v>
      </c>
      <c r="MJ384">
        <v>0</v>
      </c>
      <c r="MK384">
        <v>0</v>
      </c>
      <c r="ML384">
        <v>0</v>
      </c>
      <c r="MM384">
        <v>0</v>
      </c>
      <c r="MN384">
        <v>0</v>
      </c>
      <c r="MO384">
        <v>0</v>
      </c>
      <c r="MP384">
        <v>0</v>
      </c>
      <c r="MQ384">
        <v>0</v>
      </c>
      <c r="MR384">
        <v>0</v>
      </c>
      <c r="MS384">
        <v>0</v>
      </c>
      <c r="MT384">
        <v>0</v>
      </c>
      <c r="MU384">
        <v>0</v>
      </c>
      <c r="MV384">
        <v>0</v>
      </c>
      <c r="MW384">
        <v>0</v>
      </c>
      <c r="MX384">
        <v>0</v>
      </c>
      <c r="MY384">
        <v>320</v>
      </c>
      <c r="MZ384">
        <v>0</v>
      </c>
      <c r="NA384">
        <v>320</v>
      </c>
      <c r="NB384">
        <v>0</v>
      </c>
      <c r="NC384">
        <v>320</v>
      </c>
      <c r="ND384">
        <v>0</v>
      </c>
      <c r="NE384">
        <v>0</v>
      </c>
      <c r="NF384">
        <v>0</v>
      </c>
      <c r="NG384">
        <v>0</v>
      </c>
      <c r="NH384">
        <v>0</v>
      </c>
      <c r="NI384">
        <v>0</v>
      </c>
      <c r="NJ384">
        <v>0</v>
      </c>
      <c r="NK384">
        <v>0</v>
      </c>
      <c r="NL384">
        <v>0</v>
      </c>
      <c r="NM384">
        <v>0</v>
      </c>
      <c r="NN384">
        <v>0</v>
      </c>
      <c r="NO384">
        <v>0</v>
      </c>
      <c r="NP384">
        <v>0</v>
      </c>
      <c r="NQ384">
        <v>0</v>
      </c>
      <c r="NR384">
        <v>0</v>
      </c>
      <c r="NS384">
        <v>0</v>
      </c>
      <c r="NT384">
        <v>0</v>
      </c>
      <c r="NU384">
        <v>0</v>
      </c>
      <c r="NV384">
        <v>0</v>
      </c>
      <c r="NW384">
        <v>0</v>
      </c>
      <c r="NX384">
        <v>0</v>
      </c>
      <c r="NY384">
        <v>0</v>
      </c>
      <c r="NZ384">
        <v>0</v>
      </c>
      <c r="OA384">
        <v>0</v>
      </c>
      <c r="OB384">
        <v>0</v>
      </c>
      <c r="OC384">
        <v>0</v>
      </c>
      <c r="OD384">
        <v>0</v>
      </c>
      <c r="OE384">
        <v>0</v>
      </c>
      <c r="OF384">
        <v>0</v>
      </c>
      <c r="OG384">
        <v>0</v>
      </c>
      <c r="OH384">
        <v>0</v>
      </c>
      <c r="OI384">
        <v>0</v>
      </c>
      <c r="OJ384">
        <v>0</v>
      </c>
      <c r="OK384">
        <v>0</v>
      </c>
      <c r="OL384">
        <v>0</v>
      </c>
      <c r="OM384">
        <v>0</v>
      </c>
      <c r="ON384">
        <v>0</v>
      </c>
    </row>
    <row r="385" spans="1:404" x14ac:dyDescent="0.25">
      <c r="A385" t="s">
        <v>1221</v>
      </c>
      <c r="B385" t="s">
        <v>1222</v>
      </c>
      <c r="C385" t="s">
        <v>1220</v>
      </c>
      <c r="E385" t="s">
        <v>97</v>
      </c>
      <c r="F385">
        <v>25695</v>
      </c>
      <c r="G385">
        <v>74990</v>
      </c>
      <c r="H385">
        <v>21839</v>
      </c>
      <c r="I385">
        <v>19957</v>
      </c>
      <c r="J385">
        <v>1658</v>
      </c>
      <c r="K385">
        <v>7252</v>
      </c>
      <c r="L385">
        <v>151391</v>
      </c>
      <c r="M385">
        <v>653</v>
      </c>
      <c r="N385">
        <v>0</v>
      </c>
      <c r="O385">
        <v>10</v>
      </c>
      <c r="P385">
        <v>87</v>
      </c>
      <c r="Q385">
        <v>163</v>
      </c>
      <c r="R385">
        <v>3451</v>
      </c>
      <c r="S385">
        <v>0</v>
      </c>
      <c r="T385">
        <v>887</v>
      </c>
      <c r="U385">
        <v>4692</v>
      </c>
      <c r="V385">
        <v>0</v>
      </c>
      <c r="W385">
        <v>0</v>
      </c>
      <c r="X385">
        <v>209</v>
      </c>
      <c r="Y385">
        <v>440</v>
      </c>
      <c r="Z385">
        <v>-106</v>
      </c>
      <c r="AA385">
        <v>681</v>
      </c>
      <c r="AB385">
        <v>0</v>
      </c>
      <c r="AC385">
        <v>0</v>
      </c>
      <c r="AD385">
        <v>0</v>
      </c>
      <c r="AE385">
        <v>0</v>
      </c>
      <c r="AF385">
        <v>0</v>
      </c>
      <c r="AG385">
        <v>0</v>
      </c>
      <c r="AH385">
        <v>0</v>
      </c>
      <c r="AI385">
        <v>11167</v>
      </c>
      <c r="AJ385">
        <v>0</v>
      </c>
      <c r="AK385">
        <v>0</v>
      </c>
      <c r="AL385">
        <v>0</v>
      </c>
      <c r="AM385">
        <v>0</v>
      </c>
      <c r="AN385">
        <v>0</v>
      </c>
      <c r="AO385">
        <v>0</v>
      </c>
      <c r="AP385">
        <v>0</v>
      </c>
      <c r="AQ385">
        <v>317</v>
      </c>
      <c r="AR385">
        <v>453</v>
      </c>
      <c r="AS385">
        <v>0</v>
      </c>
      <c r="AT385">
        <v>0</v>
      </c>
      <c r="AU385">
        <v>0</v>
      </c>
      <c r="AV385">
        <v>2470</v>
      </c>
      <c r="AW385">
        <v>37254</v>
      </c>
      <c r="AX385">
        <v>158</v>
      </c>
      <c r="AY385">
        <v>12024</v>
      </c>
      <c r="AZ385">
        <v>1659</v>
      </c>
      <c r="BA385">
        <v>20824</v>
      </c>
      <c r="BB385">
        <v>519</v>
      </c>
      <c r="BC385">
        <v>2519</v>
      </c>
      <c r="BD385">
        <v>77427</v>
      </c>
      <c r="BE385">
        <v>6204</v>
      </c>
      <c r="BF385">
        <v>28119</v>
      </c>
      <c r="BG385">
        <v>159</v>
      </c>
      <c r="BH385">
        <v>885</v>
      </c>
      <c r="BI385">
        <v>334</v>
      </c>
      <c r="BJ385">
        <v>1536</v>
      </c>
      <c r="BK385">
        <v>33261</v>
      </c>
      <c r="BL385">
        <v>4498</v>
      </c>
      <c r="BM385">
        <v>3264</v>
      </c>
      <c r="BN385">
        <v>3673</v>
      </c>
      <c r="BO385">
        <v>47</v>
      </c>
      <c r="BP385">
        <v>344</v>
      </c>
      <c r="BQ385">
        <v>0</v>
      </c>
      <c r="BR385">
        <v>489</v>
      </c>
      <c r="BS385">
        <v>-153</v>
      </c>
      <c r="BT385">
        <v>13408</v>
      </c>
      <c r="BU385">
        <v>478</v>
      </c>
      <c r="BV385">
        <v>91</v>
      </c>
      <c r="BW385">
        <v>102032</v>
      </c>
      <c r="BX385">
        <v>621</v>
      </c>
      <c r="BY385">
        <v>1215</v>
      </c>
      <c r="BZ385">
        <v>1176</v>
      </c>
      <c r="CA385">
        <v>186</v>
      </c>
      <c r="CB385">
        <v>232</v>
      </c>
      <c r="CC385">
        <v>69</v>
      </c>
      <c r="CD385">
        <v>279</v>
      </c>
      <c r="CE385">
        <v>722</v>
      </c>
      <c r="CF385">
        <v>120</v>
      </c>
      <c r="CG385">
        <v>633</v>
      </c>
      <c r="CH385">
        <v>410</v>
      </c>
      <c r="CI385">
        <v>2232</v>
      </c>
      <c r="CJ385">
        <v>1201</v>
      </c>
      <c r="CK385">
        <v>1011</v>
      </c>
      <c r="CL385">
        <v>622</v>
      </c>
      <c r="CM385">
        <v>166</v>
      </c>
      <c r="CN385">
        <v>981</v>
      </c>
      <c r="CO385">
        <v>161</v>
      </c>
      <c r="CP385">
        <v>1521</v>
      </c>
      <c r="CQ385">
        <v>5845</v>
      </c>
      <c r="CR385">
        <v>1766</v>
      </c>
      <c r="CS385">
        <v>43</v>
      </c>
      <c r="CT385">
        <v>1331</v>
      </c>
      <c r="CU385">
        <v>5759</v>
      </c>
      <c r="CV385">
        <v>32403</v>
      </c>
      <c r="CW385">
        <v>0</v>
      </c>
      <c r="CX385">
        <v>0</v>
      </c>
      <c r="CY385">
        <v>0</v>
      </c>
      <c r="CZ385">
        <v>0</v>
      </c>
      <c r="DA385">
        <v>0</v>
      </c>
      <c r="DB385">
        <v>0</v>
      </c>
      <c r="DC385">
        <v>607</v>
      </c>
      <c r="DD385">
        <v>246</v>
      </c>
      <c r="DE385">
        <v>0</v>
      </c>
      <c r="DF385">
        <v>491</v>
      </c>
      <c r="DG385">
        <v>0</v>
      </c>
      <c r="DH385">
        <v>0</v>
      </c>
      <c r="DI385">
        <v>0</v>
      </c>
      <c r="DJ385">
        <v>2316</v>
      </c>
      <c r="DK385">
        <v>816</v>
      </c>
      <c r="DL385">
        <v>462</v>
      </c>
      <c r="DM385">
        <v>642</v>
      </c>
      <c r="DN385">
        <v>2232</v>
      </c>
      <c r="DO385">
        <v>407</v>
      </c>
      <c r="DP385">
        <v>6875</v>
      </c>
      <c r="DQ385">
        <v>764</v>
      </c>
      <c r="DR385">
        <v>0</v>
      </c>
      <c r="DS385">
        <v>0</v>
      </c>
      <c r="DT385">
        <v>1847</v>
      </c>
      <c r="DU385">
        <v>87</v>
      </c>
      <c r="DV385">
        <v>2353</v>
      </c>
      <c r="DW385">
        <v>104</v>
      </c>
      <c r="DX385">
        <v>13374</v>
      </c>
      <c r="DY385">
        <v>0</v>
      </c>
      <c r="DZ385">
        <v>0</v>
      </c>
      <c r="EA385">
        <v>0</v>
      </c>
      <c r="EB385">
        <v>0</v>
      </c>
      <c r="EC385">
        <v>0</v>
      </c>
      <c r="ED385">
        <v>0</v>
      </c>
      <c r="EE385">
        <v>0</v>
      </c>
      <c r="EF385">
        <v>0</v>
      </c>
      <c r="EG385">
        <v>0</v>
      </c>
      <c r="EH385">
        <v>0</v>
      </c>
      <c r="EI385">
        <v>0</v>
      </c>
      <c r="EJ385">
        <v>0</v>
      </c>
      <c r="EK385">
        <v>0</v>
      </c>
      <c r="EL385">
        <v>0</v>
      </c>
      <c r="EM385">
        <v>0</v>
      </c>
      <c r="EN385">
        <v>0</v>
      </c>
      <c r="EO385">
        <v>0</v>
      </c>
      <c r="EP385">
        <v>0</v>
      </c>
      <c r="EQ385">
        <v>0</v>
      </c>
      <c r="ER385">
        <v>0</v>
      </c>
      <c r="ES385">
        <v>0</v>
      </c>
      <c r="ET385">
        <v>0</v>
      </c>
      <c r="EU385">
        <v>189</v>
      </c>
      <c r="EV385">
        <v>609</v>
      </c>
      <c r="EW385">
        <v>294</v>
      </c>
      <c r="EX385">
        <v>2657</v>
      </c>
      <c r="EY385">
        <v>1460</v>
      </c>
      <c r="EZ385">
        <v>650</v>
      </c>
      <c r="FA385">
        <v>0</v>
      </c>
      <c r="FB385">
        <v>684</v>
      </c>
      <c r="FC385">
        <v>5707</v>
      </c>
      <c r="FD385">
        <v>6199</v>
      </c>
      <c r="FE385">
        <v>-74</v>
      </c>
      <c r="FF385">
        <v>869</v>
      </c>
      <c r="FG385">
        <v>4103</v>
      </c>
      <c r="FH385">
        <v>23347</v>
      </c>
      <c r="FI385">
        <v>-1023</v>
      </c>
      <c r="FJ385">
        <v>356</v>
      </c>
      <c r="FK385">
        <v>0</v>
      </c>
      <c r="FL385">
        <v>580</v>
      </c>
      <c r="FM385">
        <v>2690</v>
      </c>
      <c r="FN385">
        <v>295</v>
      </c>
      <c r="FO385">
        <v>574</v>
      </c>
      <c r="FP385">
        <v>0</v>
      </c>
      <c r="FQ385">
        <v>0</v>
      </c>
      <c r="FR385">
        <v>106</v>
      </c>
      <c r="FS385">
        <v>0</v>
      </c>
      <c r="FT385">
        <v>320</v>
      </c>
      <c r="FU385">
        <v>-154</v>
      </c>
      <c r="FV385">
        <v>994</v>
      </c>
      <c r="FW385">
        <v>0</v>
      </c>
      <c r="FX385">
        <v>755</v>
      </c>
      <c r="FY385">
        <v>0</v>
      </c>
      <c r="FZ385">
        <v>676</v>
      </c>
      <c r="GA385">
        <v>111</v>
      </c>
      <c r="GB385">
        <v>0</v>
      </c>
      <c r="GC385">
        <v>0</v>
      </c>
      <c r="GD385">
        <v>4872</v>
      </c>
      <c r="GE385">
        <v>3463</v>
      </c>
      <c r="GF385">
        <v>17475</v>
      </c>
      <c r="GG385">
        <v>-826</v>
      </c>
      <c r="GH385">
        <v>5717</v>
      </c>
      <c r="GI385">
        <v>139</v>
      </c>
      <c r="GJ385">
        <v>351</v>
      </c>
      <c r="GK385">
        <v>37471</v>
      </c>
      <c r="GL385">
        <v>148</v>
      </c>
      <c r="GM385">
        <v>986</v>
      </c>
      <c r="GN385">
        <v>0</v>
      </c>
      <c r="GO385">
        <v>725</v>
      </c>
      <c r="GP385">
        <v>14</v>
      </c>
      <c r="GQ385">
        <v>6464</v>
      </c>
      <c r="GR385">
        <v>393</v>
      </c>
      <c r="GS385">
        <v>1135</v>
      </c>
      <c r="GT385">
        <v>1220</v>
      </c>
      <c r="GU385">
        <v>11085</v>
      </c>
      <c r="GV385">
        <v>71903</v>
      </c>
      <c r="GW385">
        <v>0</v>
      </c>
      <c r="GX385">
        <v>0</v>
      </c>
      <c r="GY385">
        <v>0</v>
      </c>
      <c r="GZ385">
        <v>0</v>
      </c>
      <c r="HA385">
        <v>0</v>
      </c>
      <c r="HB385">
        <v>6331</v>
      </c>
      <c r="HC385">
        <v>848</v>
      </c>
      <c r="HD385">
        <v>0</v>
      </c>
      <c r="HE385">
        <v>293</v>
      </c>
      <c r="HF385">
        <v>1840</v>
      </c>
      <c r="HG385">
        <v>-81</v>
      </c>
      <c r="HH385">
        <v>0</v>
      </c>
      <c r="HI385">
        <v>179</v>
      </c>
      <c r="HJ385">
        <v>563</v>
      </c>
      <c r="HK385">
        <v>1085</v>
      </c>
      <c r="HL385">
        <v>132</v>
      </c>
      <c r="HM385">
        <v>62</v>
      </c>
      <c r="HN385">
        <v>4642</v>
      </c>
      <c r="HO385">
        <v>125</v>
      </c>
      <c r="HP385">
        <v>756</v>
      </c>
      <c r="HQ385">
        <v>0</v>
      </c>
      <c r="HR385">
        <v>4817</v>
      </c>
      <c r="HS385">
        <v>281</v>
      </c>
      <c r="HT385">
        <v>0</v>
      </c>
      <c r="HU385">
        <v>-2123</v>
      </c>
      <c r="HV385">
        <v>19750</v>
      </c>
      <c r="HW385">
        <v>19922</v>
      </c>
      <c r="HX385">
        <v>63268</v>
      </c>
      <c r="HY385">
        <v>0</v>
      </c>
      <c r="HZ385">
        <v>0</v>
      </c>
      <c r="IA385">
        <v>0</v>
      </c>
      <c r="IB385">
        <v>0</v>
      </c>
      <c r="IC385">
        <v>151391</v>
      </c>
      <c r="ID385">
        <v>11167</v>
      </c>
      <c r="IE385">
        <v>77427</v>
      </c>
      <c r="IF385">
        <v>102032</v>
      </c>
      <c r="IG385">
        <v>32403</v>
      </c>
      <c r="IH385">
        <v>13374</v>
      </c>
      <c r="II385">
        <v>23347</v>
      </c>
      <c r="IJ385">
        <v>37471</v>
      </c>
      <c r="IK385">
        <v>11085</v>
      </c>
      <c r="IL385">
        <v>0</v>
      </c>
      <c r="IM385">
        <v>0</v>
      </c>
      <c r="IN385">
        <v>19750</v>
      </c>
      <c r="IO385">
        <v>0</v>
      </c>
      <c r="IP385">
        <v>479447</v>
      </c>
      <c r="IQ385">
        <v>75938</v>
      </c>
      <c r="IR385">
        <v>230</v>
      </c>
      <c r="IS385">
        <v>0</v>
      </c>
      <c r="IT385">
        <v>0</v>
      </c>
      <c r="IU385">
        <v>0</v>
      </c>
      <c r="IV385">
        <v>3353</v>
      </c>
      <c r="IW385">
        <v>15213</v>
      </c>
      <c r="IX385">
        <v>0</v>
      </c>
      <c r="IY385">
        <v>0</v>
      </c>
      <c r="IZ385">
        <v>0</v>
      </c>
      <c r="JA385">
        <v>0</v>
      </c>
      <c r="JB385">
        <v>102</v>
      </c>
      <c r="JC385">
        <v>0</v>
      </c>
      <c r="JD385">
        <v>0</v>
      </c>
      <c r="JE385">
        <v>-520</v>
      </c>
      <c r="JF385">
        <v>0</v>
      </c>
      <c r="JG385">
        <v>573763</v>
      </c>
      <c r="JH385">
        <v>179</v>
      </c>
      <c r="JI385">
        <v>0</v>
      </c>
      <c r="JJ385">
        <v>0</v>
      </c>
      <c r="JK385">
        <v>-468</v>
      </c>
      <c r="JL385">
        <v>0</v>
      </c>
      <c r="JM385">
        <v>596</v>
      </c>
      <c r="JN385">
        <v>0</v>
      </c>
      <c r="JO385">
        <v>0</v>
      </c>
      <c r="JP385">
        <v>8819</v>
      </c>
      <c r="JQ385">
        <v>0</v>
      </c>
      <c r="JR385">
        <v>582889</v>
      </c>
      <c r="JS385">
        <v>-2919</v>
      </c>
      <c r="JT385">
        <v>12390</v>
      </c>
      <c r="JU385">
        <v>887</v>
      </c>
      <c r="JV385">
        <v>0</v>
      </c>
      <c r="JW385">
        <v>-78099</v>
      </c>
      <c r="JX385">
        <v>0</v>
      </c>
      <c r="JY385">
        <v>-44</v>
      </c>
      <c r="JZ385">
        <v>0</v>
      </c>
      <c r="KA385">
        <v>0</v>
      </c>
      <c r="KB385">
        <v>0</v>
      </c>
      <c r="KC385">
        <v>515104</v>
      </c>
      <c r="KD385">
        <v>-454</v>
      </c>
      <c r="KE385">
        <v>-240801</v>
      </c>
      <c r="KF385">
        <v>273850</v>
      </c>
      <c r="KG385">
        <v>0</v>
      </c>
      <c r="KH385">
        <v>27</v>
      </c>
      <c r="KI385">
        <v>-892</v>
      </c>
      <c r="KJ385">
        <v>773</v>
      </c>
      <c r="KK385">
        <v>-1406</v>
      </c>
      <c r="KL385">
        <v>881</v>
      </c>
      <c r="KM385">
        <v>-14384</v>
      </c>
      <c r="KN385">
        <v>0</v>
      </c>
      <c r="KO385">
        <v>-75119</v>
      </c>
      <c r="KP385">
        <v>1156</v>
      </c>
      <c r="KQ385">
        <v>-2499</v>
      </c>
      <c r="KR385">
        <v>156191</v>
      </c>
      <c r="KS385">
        <v>8029</v>
      </c>
      <c r="KT385">
        <v>2517</v>
      </c>
      <c r="KU385">
        <v>2098</v>
      </c>
      <c r="KV385">
        <v>150376</v>
      </c>
      <c r="KW385">
        <v>15402</v>
      </c>
      <c r="KX385">
        <v>8056</v>
      </c>
      <c r="KY385">
        <v>1625</v>
      </c>
      <c r="KZ385">
        <v>2871</v>
      </c>
      <c r="LA385">
        <v>148970</v>
      </c>
      <c r="LB385">
        <v>16283</v>
      </c>
      <c r="LC385">
        <v>0</v>
      </c>
      <c r="LD385">
        <v>33976</v>
      </c>
      <c r="LE385">
        <v>836</v>
      </c>
      <c r="LF385">
        <v>5715</v>
      </c>
      <c r="LG385">
        <v>-42372</v>
      </c>
      <c r="LH385">
        <v>19837</v>
      </c>
      <c r="LI385">
        <v>13668</v>
      </c>
      <c r="LJ385">
        <v>9213</v>
      </c>
      <c r="LK385">
        <v>13023</v>
      </c>
      <c r="LL385">
        <v>22236</v>
      </c>
      <c r="LM385">
        <v>0</v>
      </c>
      <c r="LN385">
        <v>0</v>
      </c>
      <c r="LO385">
        <v>0</v>
      </c>
      <c r="LP385">
        <v>0</v>
      </c>
      <c r="LQ385">
        <v>0</v>
      </c>
      <c r="LR385">
        <v>0</v>
      </c>
      <c r="LS385">
        <v>0</v>
      </c>
      <c r="LT385">
        <v>0</v>
      </c>
      <c r="LU385">
        <v>151391</v>
      </c>
      <c r="LV385">
        <v>11167</v>
      </c>
      <c r="LW385">
        <v>77427</v>
      </c>
      <c r="LX385">
        <v>102032</v>
      </c>
      <c r="LY385">
        <v>32403</v>
      </c>
      <c r="LZ385">
        <v>13374</v>
      </c>
      <c r="MA385">
        <v>23347</v>
      </c>
      <c r="MB385">
        <v>37471</v>
      </c>
      <c r="MC385">
        <v>11085</v>
      </c>
      <c r="MD385">
        <v>0</v>
      </c>
      <c r="ME385">
        <v>0</v>
      </c>
      <c r="MF385">
        <v>19750</v>
      </c>
      <c r="MG385">
        <v>0</v>
      </c>
      <c r="MH385">
        <v>479447</v>
      </c>
      <c r="MI385">
        <v>0</v>
      </c>
      <c r="MJ385">
        <v>0</v>
      </c>
      <c r="MK385">
        <v>0</v>
      </c>
      <c r="ML385">
        <v>0</v>
      </c>
      <c r="MM385">
        <v>0</v>
      </c>
      <c r="MN385">
        <v>0</v>
      </c>
      <c r="MO385">
        <v>0</v>
      </c>
      <c r="MP385">
        <v>0</v>
      </c>
      <c r="MQ385">
        <v>0</v>
      </c>
      <c r="MR385">
        <v>0</v>
      </c>
      <c r="MS385">
        <v>0</v>
      </c>
      <c r="MT385">
        <v>0</v>
      </c>
      <c r="MU385">
        <v>0</v>
      </c>
      <c r="MV385">
        <v>0</v>
      </c>
      <c r="MW385">
        <v>0</v>
      </c>
      <c r="MX385">
        <v>0</v>
      </c>
      <c r="MY385">
        <v>0</v>
      </c>
      <c r="MZ385">
        <v>0</v>
      </c>
      <c r="NA385">
        <v>0</v>
      </c>
      <c r="NB385">
        <v>0</v>
      </c>
      <c r="NC385">
        <v>0</v>
      </c>
      <c r="ND385">
        <v>0</v>
      </c>
      <c r="NE385">
        <v>0</v>
      </c>
      <c r="NF385">
        <v>0</v>
      </c>
      <c r="NG385">
        <v>0</v>
      </c>
      <c r="NH385">
        <v>0</v>
      </c>
      <c r="NI385">
        <v>0</v>
      </c>
      <c r="NJ385">
        <v>0</v>
      </c>
      <c r="NK385">
        <v>0</v>
      </c>
      <c r="NL385">
        <v>0</v>
      </c>
      <c r="NM385">
        <v>0</v>
      </c>
      <c r="NN385">
        <v>0</v>
      </c>
      <c r="NO385">
        <v>0</v>
      </c>
      <c r="NP385">
        <v>0</v>
      </c>
      <c r="NQ385">
        <v>0</v>
      </c>
      <c r="NR385">
        <v>0</v>
      </c>
      <c r="NS385">
        <v>0</v>
      </c>
      <c r="NT385">
        <v>0</v>
      </c>
      <c r="NU385">
        <v>0</v>
      </c>
      <c r="NV385">
        <v>0</v>
      </c>
      <c r="NW385">
        <v>0</v>
      </c>
      <c r="NX385">
        <v>0</v>
      </c>
      <c r="NY385">
        <v>0</v>
      </c>
      <c r="NZ385">
        <v>102</v>
      </c>
      <c r="OA385">
        <v>0</v>
      </c>
      <c r="OB385">
        <v>102</v>
      </c>
      <c r="OC385">
        <v>0</v>
      </c>
      <c r="OD385">
        <v>0</v>
      </c>
      <c r="OE385">
        <v>0</v>
      </c>
      <c r="OF385">
        <v>0</v>
      </c>
      <c r="OG385">
        <v>0</v>
      </c>
      <c r="OH385">
        <v>0</v>
      </c>
      <c r="OI385">
        <v>0</v>
      </c>
      <c r="OJ385">
        <v>0</v>
      </c>
      <c r="OK385">
        <v>0</v>
      </c>
      <c r="OL385">
        <v>0</v>
      </c>
      <c r="OM385">
        <v>0</v>
      </c>
      <c r="ON385">
        <v>0</v>
      </c>
    </row>
    <row r="386" spans="1:404" x14ac:dyDescent="0.25">
      <c r="A386" t="s">
        <v>1224</v>
      </c>
      <c r="B386" t="s">
        <v>1225</v>
      </c>
      <c r="C386" t="s">
        <v>1223</v>
      </c>
      <c r="E386" t="s">
        <v>97</v>
      </c>
      <c r="F386">
        <v>22066</v>
      </c>
      <c r="G386">
        <v>119563</v>
      </c>
      <c r="H386">
        <v>10395</v>
      </c>
      <c r="I386">
        <v>27700</v>
      </c>
      <c r="J386">
        <v>695</v>
      </c>
      <c r="K386">
        <v>12991</v>
      </c>
      <c r="L386">
        <v>193410</v>
      </c>
      <c r="M386">
        <v>498</v>
      </c>
      <c r="N386">
        <v>151</v>
      </c>
      <c r="O386">
        <v>139</v>
      </c>
      <c r="P386">
        <v>142</v>
      </c>
      <c r="Q386">
        <v>304</v>
      </c>
      <c r="R386">
        <v>3407</v>
      </c>
      <c r="S386">
        <v>632</v>
      </c>
      <c r="T386">
        <v>333</v>
      </c>
      <c r="U386">
        <v>5244</v>
      </c>
      <c r="V386">
        <v>0</v>
      </c>
      <c r="W386">
        <v>-716</v>
      </c>
      <c r="X386">
        <v>750</v>
      </c>
      <c r="Y386">
        <v>589</v>
      </c>
      <c r="Z386">
        <v>-188</v>
      </c>
      <c r="AA386">
        <v>330</v>
      </c>
      <c r="AB386">
        <v>0</v>
      </c>
      <c r="AC386">
        <v>0</v>
      </c>
      <c r="AD386">
        <v>0</v>
      </c>
      <c r="AE386">
        <v>0</v>
      </c>
      <c r="AF386">
        <v>0</v>
      </c>
      <c r="AG386">
        <v>0</v>
      </c>
      <c r="AH386">
        <v>0</v>
      </c>
      <c r="AI386">
        <v>11616</v>
      </c>
      <c r="AJ386">
        <v>0</v>
      </c>
      <c r="AK386">
        <v>0</v>
      </c>
      <c r="AL386">
        <v>0</v>
      </c>
      <c r="AM386">
        <v>0</v>
      </c>
      <c r="AN386">
        <v>0</v>
      </c>
      <c r="AO386">
        <v>0</v>
      </c>
      <c r="AP386">
        <v>0</v>
      </c>
      <c r="AQ386">
        <v>156</v>
      </c>
      <c r="AR386">
        <v>105</v>
      </c>
      <c r="AS386">
        <v>0</v>
      </c>
      <c r="AT386">
        <v>0</v>
      </c>
      <c r="AU386">
        <v>0</v>
      </c>
      <c r="AV386">
        <v>433</v>
      </c>
      <c r="AW386">
        <v>51115</v>
      </c>
      <c r="AX386">
        <v>6</v>
      </c>
      <c r="AY386">
        <v>4675</v>
      </c>
      <c r="AZ386">
        <v>557</v>
      </c>
      <c r="BA386">
        <v>12430</v>
      </c>
      <c r="BB386">
        <v>0</v>
      </c>
      <c r="BC386">
        <v>969</v>
      </c>
      <c r="BD386">
        <v>70185</v>
      </c>
      <c r="BE386">
        <v>4682</v>
      </c>
      <c r="BF386">
        <v>24337</v>
      </c>
      <c r="BG386">
        <v>135</v>
      </c>
      <c r="BH386">
        <v>270</v>
      </c>
      <c r="BI386">
        <v>289</v>
      </c>
      <c r="BJ386">
        <v>2416</v>
      </c>
      <c r="BK386">
        <v>18513</v>
      </c>
      <c r="BL386">
        <v>2164</v>
      </c>
      <c r="BM386">
        <v>2584</v>
      </c>
      <c r="BN386">
        <v>2399</v>
      </c>
      <c r="BO386">
        <v>0</v>
      </c>
      <c r="BP386">
        <v>0</v>
      </c>
      <c r="BQ386">
        <v>3077</v>
      </c>
      <c r="BR386">
        <v>10</v>
      </c>
      <c r="BS386">
        <v>890</v>
      </c>
      <c r="BT386">
        <v>12903</v>
      </c>
      <c r="BU386">
        <v>819</v>
      </c>
      <c r="BV386">
        <v>4639</v>
      </c>
      <c r="BW386">
        <v>86986</v>
      </c>
      <c r="BX386">
        <v>1375</v>
      </c>
      <c r="BY386">
        <v>569</v>
      </c>
      <c r="BZ386">
        <v>423</v>
      </c>
      <c r="CA386">
        <v>286</v>
      </c>
      <c r="CB386">
        <v>119</v>
      </c>
      <c r="CC386">
        <v>4</v>
      </c>
      <c r="CD386">
        <v>103</v>
      </c>
      <c r="CE386">
        <v>529</v>
      </c>
      <c r="CF386">
        <v>623</v>
      </c>
      <c r="CG386">
        <v>447</v>
      </c>
      <c r="CH386">
        <v>253</v>
      </c>
      <c r="CI386">
        <v>1491</v>
      </c>
      <c r="CJ386">
        <v>748</v>
      </c>
      <c r="CK386">
        <v>209</v>
      </c>
      <c r="CL386">
        <v>243</v>
      </c>
      <c r="CM386">
        <v>317</v>
      </c>
      <c r="CN386">
        <v>241</v>
      </c>
      <c r="CO386">
        <v>15</v>
      </c>
      <c r="CP386">
        <v>1401</v>
      </c>
      <c r="CQ386">
        <v>3351</v>
      </c>
      <c r="CR386">
        <v>386</v>
      </c>
      <c r="CS386">
        <v>107</v>
      </c>
      <c r="CT386">
        <v>715</v>
      </c>
      <c r="CU386">
        <v>2655</v>
      </c>
      <c r="CV386">
        <v>24760</v>
      </c>
      <c r="CW386">
        <v>169</v>
      </c>
      <c r="CX386">
        <v>0</v>
      </c>
      <c r="CY386">
        <v>32</v>
      </c>
      <c r="CZ386">
        <v>0</v>
      </c>
      <c r="DA386">
        <v>0</v>
      </c>
      <c r="DB386">
        <v>0</v>
      </c>
      <c r="DC386">
        <v>2881</v>
      </c>
      <c r="DD386">
        <v>0</v>
      </c>
      <c r="DE386">
        <v>0</v>
      </c>
      <c r="DF386">
        <v>317</v>
      </c>
      <c r="DG386">
        <v>0</v>
      </c>
      <c r="DH386">
        <v>0</v>
      </c>
      <c r="DI386">
        <v>191</v>
      </c>
      <c r="DJ386">
        <v>-30</v>
      </c>
      <c r="DK386">
        <v>52</v>
      </c>
      <c r="DL386">
        <v>0</v>
      </c>
      <c r="DM386">
        <v>612</v>
      </c>
      <c r="DN386">
        <v>604</v>
      </c>
      <c r="DO386">
        <v>0</v>
      </c>
      <c r="DP386">
        <v>1429</v>
      </c>
      <c r="DQ386">
        <v>762</v>
      </c>
      <c r="DR386">
        <v>-2808</v>
      </c>
      <c r="DS386">
        <v>0</v>
      </c>
      <c r="DT386">
        <v>3001</v>
      </c>
      <c r="DU386">
        <v>-7</v>
      </c>
      <c r="DV386">
        <v>0</v>
      </c>
      <c r="DW386">
        <v>4456</v>
      </c>
      <c r="DX386">
        <v>10031</v>
      </c>
      <c r="DY386">
        <v>0</v>
      </c>
      <c r="DZ386">
        <v>0</v>
      </c>
      <c r="EA386">
        <v>0</v>
      </c>
      <c r="EB386">
        <v>0</v>
      </c>
      <c r="EC386">
        <v>0</v>
      </c>
      <c r="ED386">
        <v>0</v>
      </c>
      <c r="EE386">
        <v>0</v>
      </c>
      <c r="EF386">
        <v>0</v>
      </c>
      <c r="EG386">
        <v>0</v>
      </c>
      <c r="EH386">
        <v>0</v>
      </c>
      <c r="EI386">
        <v>0</v>
      </c>
      <c r="EJ386">
        <v>0</v>
      </c>
      <c r="EK386">
        <v>0</v>
      </c>
      <c r="EL386">
        <v>0</v>
      </c>
      <c r="EM386">
        <v>0</v>
      </c>
      <c r="EN386">
        <v>0</v>
      </c>
      <c r="EO386">
        <v>0</v>
      </c>
      <c r="EP386">
        <v>0</v>
      </c>
      <c r="EQ386">
        <v>0</v>
      </c>
      <c r="ER386">
        <v>0</v>
      </c>
      <c r="ES386">
        <v>0</v>
      </c>
      <c r="ET386">
        <v>0</v>
      </c>
      <c r="EU386">
        <v>164</v>
      </c>
      <c r="EV386">
        <v>464</v>
      </c>
      <c r="EW386">
        <v>11</v>
      </c>
      <c r="EX386">
        <v>2421</v>
      </c>
      <c r="EY386">
        <v>556</v>
      </c>
      <c r="EZ386">
        <v>251</v>
      </c>
      <c r="FA386">
        <v>0</v>
      </c>
      <c r="FB386">
        <v>1337</v>
      </c>
      <c r="FC386">
        <v>2373</v>
      </c>
      <c r="FD386">
        <v>2869</v>
      </c>
      <c r="FE386">
        <v>-9</v>
      </c>
      <c r="FF386">
        <v>0</v>
      </c>
      <c r="FG386">
        <v>2879</v>
      </c>
      <c r="FH386">
        <v>13316</v>
      </c>
      <c r="FI386">
        <v>-1014</v>
      </c>
      <c r="FJ386">
        <v>730</v>
      </c>
      <c r="FK386">
        <v>0</v>
      </c>
      <c r="FL386">
        <v>537</v>
      </c>
      <c r="FM386">
        <v>870</v>
      </c>
      <c r="FN386">
        <v>0</v>
      </c>
      <c r="FO386">
        <v>0</v>
      </c>
      <c r="FP386">
        <v>0</v>
      </c>
      <c r="FQ386">
        <v>0</v>
      </c>
      <c r="FR386">
        <v>169</v>
      </c>
      <c r="FS386">
        <v>1</v>
      </c>
      <c r="FT386">
        <v>126</v>
      </c>
      <c r="FU386">
        <v>-7</v>
      </c>
      <c r="FV386">
        <v>506</v>
      </c>
      <c r="FW386">
        <v>615</v>
      </c>
      <c r="FX386">
        <v>429</v>
      </c>
      <c r="FY386">
        <v>44</v>
      </c>
      <c r="FZ386">
        <v>0</v>
      </c>
      <c r="GA386">
        <v>0</v>
      </c>
      <c r="GB386">
        <v>0</v>
      </c>
      <c r="GC386">
        <v>0</v>
      </c>
      <c r="GD386">
        <v>2740</v>
      </c>
      <c r="GE386">
        <v>1923</v>
      </c>
      <c r="GF386">
        <v>7494</v>
      </c>
      <c r="GG386">
        <v>854</v>
      </c>
      <c r="GH386">
        <v>2861</v>
      </c>
      <c r="GI386">
        <v>0</v>
      </c>
      <c r="GJ386">
        <v>0</v>
      </c>
      <c r="GK386">
        <v>18878</v>
      </c>
      <c r="GL386">
        <v>212</v>
      </c>
      <c r="GM386">
        <v>687</v>
      </c>
      <c r="GN386">
        <v>0</v>
      </c>
      <c r="GO386">
        <v>1963</v>
      </c>
      <c r="GP386">
        <v>0</v>
      </c>
      <c r="GQ386">
        <v>3061</v>
      </c>
      <c r="GR386">
        <v>183</v>
      </c>
      <c r="GS386">
        <v>-4282</v>
      </c>
      <c r="GT386">
        <v>2829</v>
      </c>
      <c r="GU386">
        <v>4653</v>
      </c>
      <c r="GV386">
        <v>36847</v>
      </c>
      <c r="GW386">
        <v>0</v>
      </c>
      <c r="GX386">
        <v>0</v>
      </c>
      <c r="GY386">
        <v>0</v>
      </c>
      <c r="GZ386">
        <v>0</v>
      </c>
      <c r="HA386">
        <v>0</v>
      </c>
      <c r="HB386">
        <v>-3914</v>
      </c>
      <c r="HC386">
        <v>407</v>
      </c>
      <c r="HD386">
        <v>0</v>
      </c>
      <c r="HE386">
        <v>0</v>
      </c>
      <c r="HF386">
        <v>1323</v>
      </c>
      <c r="HG386">
        <v>283</v>
      </c>
      <c r="HH386">
        <v>0</v>
      </c>
      <c r="HI386">
        <v>754</v>
      </c>
      <c r="HJ386">
        <v>585</v>
      </c>
      <c r="HK386">
        <v>551</v>
      </c>
      <c r="HL386">
        <v>224</v>
      </c>
      <c r="HM386">
        <v>-13</v>
      </c>
      <c r="HN386">
        <v>181</v>
      </c>
      <c r="HO386">
        <v>0</v>
      </c>
      <c r="HP386">
        <v>504</v>
      </c>
      <c r="HQ386">
        <v>0</v>
      </c>
      <c r="HR386">
        <v>22876</v>
      </c>
      <c r="HS386">
        <v>22</v>
      </c>
      <c r="HT386">
        <v>0</v>
      </c>
      <c r="HU386">
        <v>0</v>
      </c>
      <c r="HV386">
        <v>23783</v>
      </c>
      <c r="HW386">
        <v>0</v>
      </c>
      <c r="HX386">
        <v>0</v>
      </c>
      <c r="HY386">
        <v>0</v>
      </c>
      <c r="HZ386">
        <v>0</v>
      </c>
      <c r="IA386">
        <v>0</v>
      </c>
      <c r="IB386">
        <v>2672</v>
      </c>
      <c r="IC386">
        <v>193410</v>
      </c>
      <c r="ID386">
        <v>11616</v>
      </c>
      <c r="IE386">
        <v>70185</v>
      </c>
      <c r="IF386">
        <v>86986</v>
      </c>
      <c r="IG386">
        <v>24760</v>
      </c>
      <c r="IH386">
        <v>10031</v>
      </c>
      <c r="II386">
        <v>13316</v>
      </c>
      <c r="IJ386">
        <v>18878</v>
      </c>
      <c r="IK386">
        <v>4653</v>
      </c>
      <c r="IL386">
        <v>0</v>
      </c>
      <c r="IM386">
        <v>0</v>
      </c>
      <c r="IN386">
        <v>23783</v>
      </c>
      <c r="IO386">
        <v>2672</v>
      </c>
      <c r="IP386">
        <v>460290</v>
      </c>
      <c r="IQ386">
        <v>64264</v>
      </c>
      <c r="IR386">
        <v>872</v>
      </c>
      <c r="IS386">
        <v>0</v>
      </c>
      <c r="IT386">
        <v>0</v>
      </c>
      <c r="IU386">
        <v>0</v>
      </c>
      <c r="IV386">
        <v>0</v>
      </c>
      <c r="IW386">
        <v>11183</v>
      </c>
      <c r="IX386">
        <v>0</v>
      </c>
      <c r="IY386">
        <v>0</v>
      </c>
      <c r="IZ386">
        <v>1605</v>
      </c>
      <c r="JA386">
        <v>117</v>
      </c>
      <c r="JB386">
        <v>1110</v>
      </c>
      <c r="JC386">
        <v>0</v>
      </c>
      <c r="JD386">
        <v>0</v>
      </c>
      <c r="JE386">
        <v>1225</v>
      </c>
      <c r="JF386">
        <v>0</v>
      </c>
      <c r="JG386">
        <v>540666</v>
      </c>
      <c r="JH386">
        <v>84</v>
      </c>
      <c r="JI386">
        <v>2555</v>
      </c>
      <c r="JJ386">
        <v>0</v>
      </c>
      <c r="JK386">
        <v>-10</v>
      </c>
      <c r="JL386">
        <v>0</v>
      </c>
      <c r="JM386">
        <v>0</v>
      </c>
      <c r="JN386">
        <v>11530</v>
      </c>
      <c r="JO386">
        <v>42</v>
      </c>
      <c r="JP386">
        <v>12361</v>
      </c>
      <c r="JQ386">
        <v>0</v>
      </c>
      <c r="JR386">
        <v>567228</v>
      </c>
      <c r="JS386">
        <v>-2474</v>
      </c>
      <c r="JT386">
        <v>52</v>
      </c>
      <c r="JU386">
        <v>0</v>
      </c>
      <c r="JV386">
        <v>0</v>
      </c>
      <c r="JW386">
        <v>-72632</v>
      </c>
      <c r="JX386">
        <v>0</v>
      </c>
      <c r="JY386">
        <v>0</v>
      </c>
      <c r="JZ386">
        <v>0</v>
      </c>
      <c r="KA386">
        <v>0</v>
      </c>
      <c r="KB386">
        <v>0</v>
      </c>
      <c r="KC386">
        <v>492174</v>
      </c>
      <c r="KD386">
        <v>0</v>
      </c>
      <c r="KE386">
        <v>-266008</v>
      </c>
      <c r="KF386">
        <v>226166</v>
      </c>
      <c r="KG386">
        <v>0</v>
      </c>
      <c r="KH386">
        <v>146</v>
      </c>
      <c r="KI386">
        <v>-1596</v>
      </c>
      <c r="KJ386">
        <v>1865</v>
      </c>
      <c r="KK386">
        <v>6783</v>
      </c>
      <c r="KL386">
        <v>1495</v>
      </c>
      <c r="KM386">
        <v>0</v>
      </c>
      <c r="KN386">
        <v>0</v>
      </c>
      <c r="KO386">
        <v>-75309</v>
      </c>
      <c r="KP386">
        <v>-1323</v>
      </c>
      <c r="KQ386">
        <v>0</v>
      </c>
      <c r="KR386">
        <v>132546</v>
      </c>
      <c r="KS386">
        <v>12581</v>
      </c>
      <c r="KT386">
        <v>1737</v>
      </c>
      <c r="KU386">
        <v>2184</v>
      </c>
      <c r="KV386">
        <v>206200</v>
      </c>
      <c r="KW386">
        <v>17693</v>
      </c>
      <c r="KX386">
        <v>12727</v>
      </c>
      <c r="KY386">
        <v>141</v>
      </c>
      <c r="KZ386">
        <v>4049</v>
      </c>
      <c r="LA386">
        <v>212983</v>
      </c>
      <c r="LB386">
        <v>19188</v>
      </c>
      <c r="LC386">
        <v>0</v>
      </c>
      <c r="LD386">
        <v>16054</v>
      </c>
      <c r="LE386">
        <v>2045</v>
      </c>
      <c r="LF386">
        <v>4059</v>
      </c>
      <c r="LG386">
        <v>-26071</v>
      </c>
      <c r="LH386">
        <v>33993</v>
      </c>
      <c r="LI386">
        <v>30080</v>
      </c>
      <c r="LJ386">
        <v>11809</v>
      </c>
      <c r="LK386">
        <v>14560</v>
      </c>
      <c r="LL386">
        <v>26369</v>
      </c>
      <c r="LM386">
        <v>0</v>
      </c>
      <c r="LN386">
        <v>0</v>
      </c>
      <c r="LO386">
        <v>0</v>
      </c>
      <c r="LP386">
        <v>0</v>
      </c>
      <c r="LQ386">
        <v>0</v>
      </c>
      <c r="LR386">
        <v>0</v>
      </c>
      <c r="LS386">
        <v>0</v>
      </c>
      <c r="LT386">
        <v>0</v>
      </c>
      <c r="LU386">
        <v>193410</v>
      </c>
      <c r="LV386">
        <v>11616</v>
      </c>
      <c r="LW386">
        <v>70185</v>
      </c>
      <c r="LX386">
        <v>86986</v>
      </c>
      <c r="LY386">
        <v>24760</v>
      </c>
      <c r="LZ386">
        <v>10031</v>
      </c>
      <c r="MA386">
        <v>13316</v>
      </c>
      <c r="MB386">
        <v>18878</v>
      </c>
      <c r="MC386">
        <v>4653</v>
      </c>
      <c r="MD386">
        <v>0</v>
      </c>
      <c r="ME386">
        <v>0</v>
      </c>
      <c r="MF386">
        <v>23783</v>
      </c>
      <c r="MG386">
        <v>2672</v>
      </c>
      <c r="MH386">
        <v>460290</v>
      </c>
      <c r="MI386">
        <v>0</v>
      </c>
      <c r="MJ386">
        <v>0</v>
      </c>
      <c r="MK386">
        <v>0</v>
      </c>
      <c r="ML386">
        <v>0</v>
      </c>
      <c r="MM386">
        <v>0</v>
      </c>
      <c r="MN386">
        <v>0</v>
      </c>
      <c r="MO386">
        <v>0</v>
      </c>
      <c r="MP386">
        <v>0</v>
      </c>
      <c r="MQ386">
        <v>0</v>
      </c>
      <c r="MR386">
        <v>0</v>
      </c>
      <c r="MS386">
        <v>0</v>
      </c>
      <c r="MT386">
        <v>0</v>
      </c>
      <c r="MU386">
        <v>0</v>
      </c>
      <c r="MV386">
        <v>0</v>
      </c>
      <c r="MW386">
        <v>0</v>
      </c>
      <c r="MX386">
        <v>0</v>
      </c>
      <c r="MY386">
        <v>0</v>
      </c>
      <c r="MZ386">
        <v>0</v>
      </c>
      <c r="NA386">
        <v>117</v>
      </c>
      <c r="NB386">
        <v>0</v>
      </c>
      <c r="NC386">
        <v>117</v>
      </c>
      <c r="ND386">
        <v>0</v>
      </c>
      <c r="NE386">
        <v>0</v>
      </c>
      <c r="NF386">
        <v>0</v>
      </c>
      <c r="NG386">
        <v>0</v>
      </c>
      <c r="NH386">
        <v>0</v>
      </c>
      <c r="NI386">
        <v>0</v>
      </c>
      <c r="NJ386">
        <v>0</v>
      </c>
      <c r="NK386">
        <v>0</v>
      </c>
      <c r="NL386">
        <v>0</v>
      </c>
      <c r="NM386">
        <v>0</v>
      </c>
      <c r="NN386">
        <v>0</v>
      </c>
      <c r="NO386">
        <v>0</v>
      </c>
      <c r="NP386">
        <v>0</v>
      </c>
      <c r="NQ386">
        <v>0</v>
      </c>
      <c r="NR386">
        <v>0</v>
      </c>
      <c r="NS386">
        <v>0</v>
      </c>
      <c r="NT386">
        <v>0</v>
      </c>
      <c r="NU386">
        <v>0</v>
      </c>
      <c r="NV386">
        <v>0</v>
      </c>
      <c r="NW386">
        <v>0</v>
      </c>
      <c r="NX386">
        <v>0</v>
      </c>
      <c r="NY386">
        <v>0</v>
      </c>
      <c r="NZ386">
        <v>1110</v>
      </c>
      <c r="OA386">
        <v>0</v>
      </c>
      <c r="OB386">
        <v>1110</v>
      </c>
      <c r="OC386">
        <v>0</v>
      </c>
      <c r="OD386">
        <v>0</v>
      </c>
      <c r="OE386">
        <v>0</v>
      </c>
      <c r="OF386">
        <v>0</v>
      </c>
      <c r="OG386">
        <v>0</v>
      </c>
      <c r="OH386">
        <v>0</v>
      </c>
      <c r="OI386">
        <v>0</v>
      </c>
      <c r="OJ386">
        <v>0</v>
      </c>
      <c r="OK386">
        <v>0</v>
      </c>
      <c r="OL386">
        <v>0</v>
      </c>
      <c r="OM386">
        <v>0</v>
      </c>
      <c r="ON386">
        <v>0</v>
      </c>
    </row>
    <row r="387" spans="1:404" x14ac:dyDescent="0.25">
      <c r="A387" t="s">
        <v>1227</v>
      </c>
      <c r="B387" t="s">
        <v>1228</v>
      </c>
      <c r="C387" t="s">
        <v>1226</v>
      </c>
      <c r="E387" t="s">
        <v>1940</v>
      </c>
      <c r="F387">
        <v>19001</v>
      </c>
      <c r="G387">
        <v>83094</v>
      </c>
      <c r="H387">
        <v>58161</v>
      </c>
      <c r="I387">
        <v>22850</v>
      </c>
      <c r="J387">
        <v>2630</v>
      </c>
      <c r="K387">
        <v>17875</v>
      </c>
      <c r="L387">
        <v>203612</v>
      </c>
      <c r="M387">
        <v>981</v>
      </c>
      <c r="N387">
        <v>548</v>
      </c>
      <c r="O387">
        <v>177</v>
      </c>
      <c r="P387">
        <v>2235</v>
      </c>
      <c r="Q387">
        <v>2</v>
      </c>
      <c r="R387">
        <v>635</v>
      </c>
      <c r="S387">
        <v>1825</v>
      </c>
      <c r="T387">
        <v>172</v>
      </c>
      <c r="U387">
        <v>3351</v>
      </c>
      <c r="V387">
        <v>0</v>
      </c>
      <c r="W387">
        <v>-413</v>
      </c>
      <c r="X387">
        <v>80</v>
      </c>
      <c r="Y387">
        <v>1419</v>
      </c>
      <c r="Z387">
        <v>-12604</v>
      </c>
      <c r="AA387">
        <v>-414</v>
      </c>
      <c r="AB387">
        <v>8673</v>
      </c>
      <c r="AC387">
        <v>0</v>
      </c>
      <c r="AD387">
        <v>0</v>
      </c>
      <c r="AE387">
        <v>0</v>
      </c>
      <c r="AF387">
        <v>0</v>
      </c>
      <c r="AG387">
        <v>0</v>
      </c>
      <c r="AH387">
        <v>0</v>
      </c>
      <c r="AI387">
        <v>6667</v>
      </c>
      <c r="AJ387">
        <v>0</v>
      </c>
      <c r="AK387">
        <v>0</v>
      </c>
      <c r="AL387">
        <v>0</v>
      </c>
      <c r="AM387">
        <v>0</v>
      </c>
      <c r="AN387">
        <v>0</v>
      </c>
      <c r="AO387">
        <v>0</v>
      </c>
      <c r="AP387">
        <v>0</v>
      </c>
      <c r="AQ387">
        <v>16353</v>
      </c>
      <c r="AR387">
        <v>9076</v>
      </c>
      <c r="AS387">
        <v>0</v>
      </c>
      <c r="AT387">
        <v>0</v>
      </c>
      <c r="AU387">
        <v>0</v>
      </c>
      <c r="AV387">
        <v>3215</v>
      </c>
      <c r="AW387">
        <v>27608</v>
      </c>
      <c r="AX387">
        <v>0</v>
      </c>
      <c r="AY387">
        <v>4528</v>
      </c>
      <c r="AZ387">
        <v>853</v>
      </c>
      <c r="BA387">
        <v>13487</v>
      </c>
      <c r="BB387">
        <v>0</v>
      </c>
      <c r="BC387">
        <v>8666</v>
      </c>
      <c r="BD387">
        <v>58356</v>
      </c>
      <c r="BE387">
        <v>6908</v>
      </c>
      <c r="BF387">
        <v>19122</v>
      </c>
      <c r="BG387">
        <v>244</v>
      </c>
      <c r="BH387">
        <v>5</v>
      </c>
      <c r="BI387">
        <v>324</v>
      </c>
      <c r="BJ387">
        <v>1216</v>
      </c>
      <c r="BK387">
        <v>25459</v>
      </c>
      <c r="BL387">
        <v>2281</v>
      </c>
      <c r="BM387">
        <v>7698</v>
      </c>
      <c r="BN387">
        <v>3427</v>
      </c>
      <c r="BO387">
        <v>0</v>
      </c>
      <c r="BP387">
        <v>0</v>
      </c>
      <c r="BQ387">
        <v>178</v>
      </c>
      <c r="BR387">
        <v>374</v>
      </c>
      <c r="BS387">
        <v>1058</v>
      </c>
      <c r="BT387">
        <v>8187</v>
      </c>
      <c r="BU387">
        <v>817</v>
      </c>
      <c r="BV387">
        <v>7004</v>
      </c>
      <c r="BW387">
        <v>87476</v>
      </c>
      <c r="BX387">
        <v>2925</v>
      </c>
      <c r="BY387">
        <v>421</v>
      </c>
      <c r="BZ387">
        <v>94</v>
      </c>
      <c r="CA387">
        <v>184</v>
      </c>
      <c r="CB387">
        <v>119</v>
      </c>
      <c r="CC387">
        <v>59</v>
      </c>
      <c r="CD387">
        <v>118</v>
      </c>
      <c r="CE387">
        <v>98</v>
      </c>
      <c r="CF387">
        <v>251</v>
      </c>
      <c r="CG387">
        <v>98</v>
      </c>
      <c r="CH387">
        <v>60</v>
      </c>
      <c r="CI387">
        <v>794</v>
      </c>
      <c r="CJ387">
        <v>875</v>
      </c>
      <c r="CK387">
        <v>693</v>
      </c>
      <c r="CL387">
        <v>693</v>
      </c>
      <c r="CM387">
        <v>60</v>
      </c>
      <c r="CN387">
        <v>309</v>
      </c>
      <c r="CO387">
        <v>60</v>
      </c>
      <c r="CP387">
        <v>2361</v>
      </c>
      <c r="CQ387">
        <v>2849</v>
      </c>
      <c r="CR387">
        <v>2849</v>
      </c>
      <c r="CS387">
        <v>83</v>
      </c>
      <c r="CT387">
        <v>302</v>
      </c>
      <c r="CU387">
        <v>208</v>
      </c>
      <c r="CV387">
        <v>24956</v>
      </c>
      <c r="CW387">
        <v>0</v>
      </c>
      <c r="CX387">
        <v>0</v>
      </c>
      <c r="CY387">
        <v>0</v>
      </c>
      <c r="CZ387">
        <v>0</v>
      </c>
      <c r="DA387">
        <v>0</v>
      </c>
      <c r="DB387">
        <v>0</v>
      </c>
      <c r="DC387">
        <v>-53</v>
      </c>
      <c r="DD387">
        <v>0</v>
      </c>
      <c r="DE387">
        <v>12</v>
      </c>
      <c r="DF387">
        <v>1301</v>
      </c>
      <c r="DG387">
        <v>3609</v>
      </c>
      <c r="DH387">
        <v>3359</v>
      </c>
      <c r="DI387">
        <v>0</v>
      </c>
      <c r="DJ387">
        <v>1237</v>
      </c>
      <c r="DK387">
        <v>0</v>
      </c>
      <c r="DL387">
        <v>488</v>
      </c>
      <c r="DM387">
        <v>1112</v>
      </c>
      <c r="DN387">
        <v>4645</v>
      </c>
      <c r="DO387">
        <v>280</v>
      </c>
      <c r="DP387">
        <v>14730</v>
      </c>
      <c r="DQ387">
        <v>-20</v>
      </c>
      <c r="DR387">
        <v>0</v>
      </c>
      <c r="DS387">
        <v>0</v>
      </c>
      <c r="DT387">
        <v>2932</v>
      </c>
      <c r="DU387">
        <v>362</v>
      </c>
      <c r="DV387">
        <v>58</v>
      </c>
      <c r="DW387">
        <v>3312</v>
      </c>
      <c r="DX387">
        <v>22634</v>
      </c>
      <c r="DY387">
        <v>54875</v>
      </c>
      <c r="DZ387">
        <v>708</v>
      </c>
      <c r="EA387">
        <v>5838</v>
      </c>
      <c r="EB387">
        <v>3087</v>
      </c>
      <c r="EC387">
        <v>0</v>
      </c>
      <c r="ED387">
        <v>211</v>
      </c>
      <c r="EE387">
        <v>0</v>
      </c>
      <c r="EF387">
        <v>1742</v>
      </c>
      <c r="EG387">
        <v>16</v>
      </c>
      <c r="EH387">
        <v>10028</v>
      </c>
      <c r="EI387">
        <v>22875</v>
      </c>
      <c r="EJ387">
        <v>5838</v>
      </c>
      <c r="EK387">
        <v>186</v>
      </c>
      <c r="EL387">
        <v>7966</v>
      </c>
      <c r="EM387">
        <v>0</v>
      </c>
      <c r="EN387">
        <v>5799</v>
      </c>
      <c r="EO387">
        <v>324</v>
      </c>
      <c r="EP387">
        <v>0</v>
      </c>
      <c r="EQ387">
        <v>12987</v>
      </c>
      <c r="ER387">
        <v>-1746</v>
      </c>
      <c r="ES387">
        <v>3258</v>
      </c>
      <c r="ET387">
        <v>5480</v>
      </c>
      <c r="EU387">
        <v>0</v>
      </c>
      <c r="EV387">
        <v>-65</v>
      </c>
      <c r="EW387">
        <v>0</v>
      </c>
      <c r="EX387">
        <v>1593</v>
      </c>
      <c r="EY387">
        <v>988</v>
      </c>
      <c r="EZ387">
        <v>920</v>
      </c>
      <c r="FA387">
        <v>0</v>
      </c>
      <c r="FB387">
        <v>142</v>
      </c>
      <c r="FC387">
        <v>-191</v>
      </c>
      <c r="FD387">
        <v>2882</v>
      </c>
      <c r="FE387">
        <v>226</v>
      </c>
      <c r="FF387">
        <v>0</v>
      </c>
      <c r="FG387">
        <v>4082</v>
      </c>
      <c r="FH387">
        <v>10577</v>
      </c>
      <c r="FI387">
        <v>89</v>
      </c>
      <c r="FJ387">
        <v>310</v>
      </c>
      <c r="FK387">
        <v>0</v>
      </c>
      <c r="FL387">
        <v>311</v>
      </c>
      <c r="FM387">
        <v>725</v>
      </c>
      <c r="FN387">
        <v>90</v>
      </c>
      <c r="FO387">
        <v>113</v>
      </c>
      <c r="FP387">
        <v>0</v>
      </c>
      <c r="FQ387">
        <v>0</v>
      </c>
      <c r="FR387">
        <v>254</v>
      </c>
      <c r="FS387">
        <v>16</v>
      </c>
      <c r="FT387">
        <v>285</v>
      </c>
      <c r="FU387">
        <v>32</v>
      </c>
      <c r="FV387">
        <v>553</v>
      </c>
      <c r="FW387">
        <v>11</v>
      </c>
      <c r="FX387">
        <v>-125</v>
      </c>
      <c r="FY387">
        <v>0</v>
      </c>
      <c r="FZ387">
        <v>0</v>
      </c>
      <c r="GA387">
        <v>0</v>
      </c>
      <c r="GB387">
        <v>0</v>
      </c>
      <c r="GC387">
        <v>0</v>
      </c>
      <c r="GD387">
        <v>6876</v>
      </c>
      <c r="GE387">
        <v>10190</v>
      </c>
      <c r="GF387">
        <v>44</v>
      </c>
      <c r="GG387">
        <v>-468</v>
      </c>
      <c r="GH387">
        <v>63</v>
      </c>
      <c r="GI387">
        <v>0</v>
      </c>
      <c r="GJ387">
        <v>-32</v>
      </c>
      <c r="GK387">
        <v>19337</v>
      </c>
      <c r="GL387">
        <v>-88</v>
      </c>
      <c r="GM387">
        <v>697</v>
      </c>
      <c r="GN387">
        <v>55</v>
      </c>
      <c r="GO387">
        <v>971</v>
      </c>
      <c r="GP387">
        <v>140</v>
      </c>
      <c r="GQ387">
        <v>454</v>
      </c>
      <c r="GR387">
        <v>0</v>
      </c>
      <c r="GS387">
        <v>1193</v>
      </c>
      <c r="GT387">
        <v>598</v>
      </c>
      <c r="GU387">
        <v>4020</v>
      </c>
      <c r="GV387">
        <v>33934</v>
      </c>
      <c r="GW387">
        <v>0</v>
      </c>
      <c r="GX387">
        <v>0</v>
      </c>
      <c r="GY387">
        <v>0</v>
      </c>
      <c r="GZ387">
        <v>0</v>
      </c>
      <c r="HA387">
        <v>0</v>
      </c>
      <c r="HB387">
        <v>6443</v>
      </c>
      <c r="HC387">
        <v>1681</v>
      </c>
      <c r="HD387">
        <v>0</v>
      </c>
      <c r="HE387">
        <v>0</v>
      </c>
      <c r="HF387">
        <v>1258</v>
      </c>
      <c r="HG387">
        <v>301</v>
      </c>
      <c r="HH387">
        <v>0</v>
      </c>
      <c r="HI387">
        <v>-450</v>
      </c>
      <c r="HJ387">
        <v>677</v>
      </c>
      <c r="HK387">
        <v>558</v>
      </c>
      <c r="HL387">
        <v>75</v>
      </c>
      <c r="HM387">
        <v>-136</v>
      </c>
      <c r="HN387">
        <v>0</v>
      </c>
      <c r="HO387">
        <v>0</v>
      </c>
      <c r="HP387">
        <v>189</v>
      </c>
      <c r="HQ387">
        <v>0</v>
      </c>
      <c r="HR387">
        <v>4388</v>
      </c>
      <c r="HS387">
        <v>0</v>
      </c>
      <c r="HT387">
        <v>0</v>
      </c>
      <c r="HU387">
        <v>8667</v>
      </c>
      <c r="HV387">
        <v>23651</v>
      </c>
      <c r="HW387">
        <v>10328</v>
      </c>
      <c r="HX387">
        <v>40152</v>
      </c>
      <c r="HY387">
        <v>413</v>
      </c>
      <c r="HZ387">
        <v>9759</v>
      </c>
      <c r="IA387">
        <v>1946</v>
      </c>
      <c r="IB387">
        <v>0</v>
      </c>
      <c r="IC387">
        <v>203612</v>
      </c>
      <c r="ID387">
        <v>6667</v>
      </c>
      <c r="IE387">
        <v>58356</v>
      </c>
      <c r="IF387">
        <v>87476</v>
      </c>
      <c r="IG387">
        <v>24956</v>
      </c>
      <c r="IH387">
        <v>22634</v>
      </c>
      <c r="II387">
        <v>10577</v>
      </c>
      <c r="IJ387">
        <v>19337</v>
      </c>
      <c r="IK387">
        <v>4020</v>
      </c>
      <c r="IL387">
        <v>0</v>
      </c>
      <c r="IM387">
        <v>0</v>
      </c>
      <c r="IN387">
        <v>23651</v>
      </c>
      <c r="IO387">
        <v>0</v>
      </c>
      <c r="IP387">
        <v>461287</v>
      </c>
      <c r="IQ387">
        <v>74043</v>
      </c>
      <c r="IR387">
        <v>11227</v>
      </c>
      <c r="IS387">
        <v>22204</v>
      </c>
      <c r="IT387">
        <v>0</v>
      </c>
      <c r="IU387">
        <v>0</v>
      </c>
      <c r="IV387">
        <v>0</v>
      </c>
      <c r="IW387">
        <v>0</v>
      </c>
      <c r="IX387">
        <v>9565</v>
      </c>
      <c r="IY387">
        <v>262</v>
      </c>
      <c r="IZ387">
        <v>619</v>
      </c>
      <c r="JA387">
        <v>3021</v>
      </c>
      <c r="JB387">
        <v>0</v>
      </c>
      <c r="JC387">
        <v>0</v>
      </c>
      <c r="JD387">
        <v>0</v>
      </c>
      <c r="JE387">
        <v>-252</v>
      </c>
      <c r="JF387">
        <v>0</v>
      </c>
      <c r="JG387">
        <v>581976</v>
      </c>
      <c r="JH387">
        <v>180</v>
      </c>
      <c r="JI387">
        <v>4536</v>
      </c>
      <c r="JJ387">
        <v>0</v>
      </c>
      <c r="JK387">
        <v>0</v>
      </c>
      <c r="JL387">
        <v>0</v>
      </c>
      <c r="JM387">
        <v>2908</v>
      </c>
      <c r="JN387">
        <v>6511</v>
      </c>
      <c r="JO387">
        <v>0</v>
      </c>
      <c r="JP387">
        <v>17034</v>
      </c>
      <c r="JQ387">
        <v>-8228</v>
      </c>
      <c r="JR387">
        <v>604917</v>
      </c>
      <c r="JS387">
        <v>-1546</v>
      </c>
      <c r="JT387">
        <v>0</v>
      </c>
      <c r="JU387">
        <v>545</v>
      </c>
      <c r="JV387">
        <v>0</v>
      </c>
      <c r="JW387">
        <v>-116162</v>
      </c>
      <c r="JX387">
        <v>0</v>
      </c>
      <c r="JY387">
        <v>-373</v>
      </c>
      <c r="JZ387">
        <v>0</v>
      </c>
      <c r="KA387">
        <v>0</v>
      </c>
      <c r="KB387">
        <v>0</v>
      </c>
      <c r="KC387">
        <v>487381</v>
      </c>
      <c r="KD387">
        <v>0</v>
      </c>
      <c r="KE387">
        <v>-259827</v>
      </c>
      <c r="KF387">
        <v>227554</v>
      </c>
      <c r="KG387">
        <v>0</v>
      </c>
      <c r="KH387">
        <v>2195</v>
      </c>
      <c r="KI387">
        <v>132</v>
      </c>
      <c r="KJ387">
        <v>2187</v>
      </c>
      <c r="KK387">
        <v>-12158</v>
      </c>
      <c r="KL387">
        <v>0</v>
      </c>
      <c r="KM387">
        <v>-18908</v>
      </c>
      <c r="KN387">
        <v>0</v>
      </c>
      <c r="KO387">
        <v>-66931</v>
      </c>
      <c r="KP387">
        <v>859</v>
      </c>
      <c r="KQ387">
        <v>473</v>
      </c>
      <c r="KR387">
        <v>115014</v>
      </c>
      <c r="KS387">
        <v>7620</v>
      </c>
      <c r="KT387">
        <v>2631</v>
      </c>
      <c r="KU387">
        <v>1280</v>
      </c>
      <c r="KV387">
        <v>112564</v>
      </c>
      <c r="KW387">
        <v>14914</v>
      </c>
      <c r="KX387">
        <v>9815</v>
      </c>
      <c r="KY387">
        <v>2763</v>
      </c>
      <c r="KZ387">
        <v>3467</v>
      </c>
      <c r="LA387">
        <v>100406</v>
      </c>
      <c r="LB387">
        <v>14914</v>
      </c>
      <c r="LC387">
        <v>0</v>
      </c>
      <c r="LD387">
        <v>28048</v>
      </c>
      <c r="LE387">
        <v>24735</v>
      </c>
      <c r="LF387">
        <v>0</v>
      </c>
      <c r="LG387">
        <v>4376</v>
      </c>
      <c r="LH387">
        <v>7139</v>
      </c>
      <c r="LI387">
        <v>64298</v>
      </c>
      <c r="LJ387">
        <v>7518</v>
      </c>
      <c r="LK387">
        <v>10223</v>
      </c>
      <c r="LL387">
        <v>17741</v>
      </c>
      <c r="LM387">
        <v>0</v>
      </c>
      <c r="LN387">
        <v>0</v>
      </c>
      <c r="LO387">
        <v>0</v>
      </c>
      <c r="LP387">
        <v>66478</v>
      </c>
      <c r="LQ387">
        <v>64257</v>
      </c>
      <c r="LR387">
        <v>2222</v>
      </c>
      <c r="LS387">
        <v>3258</v>
      </c>
      <c r="LT387">
        <v>5480</v>
      </c>
      <c r="LU387">
        <v>203612</v>
      </c>
      <c r="LV387">
        <v>6667</v>
      </c>
      <c r="LW387">
        <v>58356</v>
      </c>
      <c r="LX387">
        <v>87476</v>
      </c>
      <c r="LY387">
        <v>24956</v>
      </c>
      <c r="LZ387">
        <v>22634</v>
      </c>
      <c r="MA387">
        <v>10577</v>
      </c>
      <c r="MB387">
        <v>19337</v>
      </c>
      <c r="MC387">
        <v>4020</v>
      </c>
      <c r="MD387">
        <v>0</v>
      </c>
      <c r="ME387">
        <v>0</v>
      </c>
      <c r="MF387">
        <v>23651</v>
      </c>
      <c r="MG387">
        <v>0</v>
      </c>
      <c r="MH387">
        <v>461287</v>
      </c>
      <c r="MI387">
        <v>0</v>
      </c>
      <c r="MJ387">
        <v>3274</v>
      </c>
      <c r="MK387">
        <v>0</v>
      </c>
      <c r="ML387">
        <v>0</v>
      </c>
      <c r="MM387">
        <v>0</v>
      </c>
      <c r="MN387">
        <v>0</v>
      </c>
      <c r="MO387">
        <v>0</v>
      </c>
      <c r="MP387">
        <v>0</v>
      </c>
      <c r="MQ387">
        <v>0</v>
      </c>
      <c r="MR387">
        <v>0</v>
      </c>
      <c r="MS387">
        <v>0</v>
      </c>
      <c r="MT387">
        <v>0</v>
      </c>
      <c r="MU387">
        <v>0</v>
      </c>
      <c r="MV387">
        <v>0</v>
      </c>
      <c r="MW387">
        <v>0</v>
      </c>
      <c r="MX387">
        <v>0</v>
      </c>
      <c r="MY387">
        <v>-253</v>
      </c>
      <c r="MZ387">
        <v>0</v>
      </c>
      <c r="NA387">
        <v>3021</v>
      </c>
      <c r="NB387">
        <v>0</v>
      </c>
      <c r="NC387">
        <v>3021</v>
      </c>
      <c r="ND387">
        <v>0</v>
      </c>
      <c r="NE387">
        <v>0</v>
      </c>
      <c r="NF387">
        <v>0</v>
      </c>
      <c r="NG387">
        <v>0</v>
      </c>
      <c r="NH387">
        <v>0</v>
      </c>
      <c r="NI387">
        <v>0</v>
      </c>
      <c r="NJ387">
        <v>0</v>
      </c>
      <c r="NK387">
        <v>0</v>
      </c>
      <c r="NL387">
        <v>0</v>
      </c>
      <c r="NM387">
        <v>0</v>
      </c>
      <c r="NN387">
        <v>0</v>
      </c>
      <c r="NO387">
        <v>0</v>
      </c>
      <c r="NP387">
        <v>0</v>
      </c>
      <c r="NQ387">
        <v>0</v>
      </c>
      <c r="NR387">
        <v>0</v>
      </c>
      <c r="NS387">
        <v>0</v>
      </c>
      <c r="NT387">
        <v>0</v>
      </c>
      <c r="NU387">
        <v>0</v>
      </c>
      <c r="NV387">
        <v>0</v>
      </c>
      <c r="NW387">
        <v>0</v>
      </c>
      <c r="NX387">
        <v>0</v>
      </c>
      <c r="NY387">
        <v>0</v>
      </c>
      <c r="NZ387">
        <v>0</v>
      </c>
      <c r="OA387">
        <v>0</v>
      </c>
      <c r="OB387">
        <v>0</v>
      </c>
      <c r="OC387">
        <v>0</v>
      </c>
      <c r="OD387">
        <v>0</v>
      </c>
      <c r="OE387">
        <v>0</v>
      </c>
      <c r="OF387">
        <v>0</v>
      </c>
      <c r="OG387">
        <v>0</v>
      </c>
      <c r="OH387">
        <v>0</v>
      </c>
      <c r="OI387">
        <v>0</v>
      </c>
      <c r="OJ387">
        <v>0</v>
      </c>
      <c r="OK387">
        <v>0</v>
      </c>
      <c r="OL387">
        <v>0</v>
      </c>
      <c r="OM387">
        <v>0</v>
      </c>
      <c r="ON387">
        <v>0</v>
      </c>
    </row>
    <row r="388" spans="1:404" x14ac:dyDescent="0.25">
      <c r="A388" t="s">
        <v>1230</v>
      </c>
      <c r="B388" t="s">
        <v>1231</v>
      </c>
      <c r="C388" t="s">
        <v>1229</v>
      </c>
      <c r="E388" t="s">
        <v>1940</v>
      </c>
      <c r="F388">
        <v>20117</v>
      </c>
      <c r="G388">
        <v>97740</v>
      </c>
      <c r="H388">
        <v>17007</v>
      </c>
      <c r="I388">
        <v>42628</v>
      </c>
      <c r="J388">
        <v>3492</v>
      </c>
      <c r="K388">
        <v>15283</v>
      </c>
      <c r="L388">
        <v>196267</v>
      </c>
      <c r="M388">
        <v>644</v>
      </c>
      <c r="N388">
        <v>25</v>
      </c>
      <c r="O388">
        <v>0</v>
      </c>
      <c r="P388">
        <v>1473</v>
      </c>
      <c r="Q388">
        <v>188</v>
      </c>
      <c r="R388">
        <v>85</v>
      </c>
      <c r="S388">
        <v>279</v>
      </c>
      <c r="T388">
        <v>157</v>
      </c>
      <c r="U388">
        <v>1262</v>
      </c>
      <c r="V388">
        <v>0</v>
      </c>
      <c r="W388">
        <v>0</v>
      </c>
      <c r="X388">
        <v>936</v>
      </c>
      <c r="Y388">
        <v>681</v>
      </c>
      <c r="Z388">
        <v>-29730</v>
      </c>
      <c r="AA388">
        <v>0</v>
      </c>
      <c r="AB388">
        <v>12572</v>
      </c>
      <c r="AC388">
        <v>0</v>
      </c>
      <c r="AD388">
        <v>0</v>
      </c>
      <c r="AE388">
        <v>0</v>
      </c>
      <c r="AF388">
        <v>0</v>
      </c>
      <c r="AG388">
        <v>0</v>
      </c>
      <c r="AH388">
        <v>0</v>
      </c>
      <c r="AI388">
        <v>-11428</v>
      </c>
      <c r="AJ388">
        <v>0</v>
      </c>
      <c r="AK388">
        <v>0</v>
      </c>
      <c r="AL388">
        <v>0</v>
      </c>
      <c r="AM388">
        <v>0</v>
      </c>
      <c r="AN388">
        <v>0</v>
      </c>
      <c r="AO388">
        <v>0</v>
      </c>
      <c r="AP388">
        <v>0</v>
      </c>
      <c r="AQ388">
        <v>7518</v>
      </c>
      <c r="AR388">
        <v>30079</v>
      </c>
      <c r="AS388">
        <v>0</v>
      </c>
      <c r="AT388">
        <v>0</v>
      </c>
      <c r="AU388">
        <v>0</v>
      </c>
      <c r="AV388">
        <v>2518</v>
      </c>
      <c r="AW388">
        <v>27394</v>
      </c>
      <c r="AX388">
        <v>5283</v>
      </c>
      <c r="AY388">
        <v>5838</v>
      </c>
      <c r="AZ388">
        <v>1127</v>
      </c>
      <c r="BA388">
        <v>9739</v>
      </c>
      <c r="BB388">
        <v>2215</v>
      </c>
      <c r="BC388">
        <v>1819</v>
      </c>
      <c r="BD388">
        <v>55933</v>
      </c>
      <c r="BE388">
        <v>6379</v>
      </c>
      <c r="BF388">
        <v>24776</v>
      </c>
      <c r="BG388">
        <v>174</v>
      </c>
      <c r="BH388">
        <v>316</v>
      </c>
      <c r="BI388">
        <v>160</v>
      </c>
      <c r="BJ388">
        <v>4938</v>
      </c>
      <c r="BK388">
        <v>31812</v>
      </c>
      <c r="BL388">
        <v>5318</v>
      </c>
      <c r="BM388">
        <v>6179</v>
      </c>
      <c r="BN388">
        <v>4399</v>
      </c>
      <c r="BO388">
        <v>127</v>
      </c>
      <c r="BP388">
        <v>3903</v>
      </c>
      <c r="BQ388">
        <v>51</v>
      </c>
      <c r="BR388">
        <v>63</v>
      </c>
      <c r="BS388">
        <v>472</v>
      </c>
      <c r="BT388">
        <v>559</v>
      </c>
      <c r="BU388">
        <v>1411</v>
      </c>
      <c r="BV388">
        <v>4279</v>
      </c>
      <c r="BW388">
        <v>95316</v>
      </c>
      <c r="BX388">
        <v>7037</v>
      </c>
      <c r="BY388">
        <v>400</v>
      </c>
      <c r="BZ388">
        <v>11</v>
      </c>
      <c r="CA388">
        <v>283</v>
      </c>
      <c r="CB388">
        <v>64</v>
      </c>
      <c r="CC388">
        <v>663</v>
      </c>
      <c r="CD388">
        <v>670</v>
      </c>
      <c r="CE388">
        <v>44</v>
      </c>
      <c r="CF388">
        <v>311</v>
      </c>
      <c r="CG388">
        <v>658</v>
      </c>
      <c r="CH388">
        <v>607</v>
      </c>
      <c r="CI388">
        <v>30</v>
      </c>
      <c r="CJ388">
        <v>3686</v>
      </c>
      <c r="CK388">
        <v>74</v>
      </c>
      <c r="CL388">
        <v>28</v>
      </c>
      <c r="CM388">
        <v>28</v>
      </c>
      <c r="CN388">
        <v>155</v>
      </c>
      <c r="CO388">
        <v>28</v>
      </c>
      <c r="CP388">
        <v>2170</v>
      </c>
      <c r="CQ388">
        <v>5817</v>
      </c>
      <c r="CR388">
        <v>1090</v>
      </c>
      <c r="CS388">
        <v>436</v>
      </c>
      <c r="CT388">
        <v>1922</v>
      </c>
      <c r="CU388">
        <v>4160</v>
      </c>
      <c r="CV388">
        <v>30372</v>
      </c>
      <c r="CW388">
        <v>0</v>
      </c>
      <c r="CX388">
        <v>0</v>
      </c>
      <c r="CY388">
        <v>0</v>
      </c>
      <c r="CZ388">
        <v>0</v>
      </c>
      <c r="DA388">
        <v>0</v>
      </c>
      <c r="DB388">
        <v>0</v>
      </c>
      <c r="DC388">
        <v>528</v>
      </c>
      <c r="DD388">
        <v>-21</v>
      </c>
      <c r="DE388">
        <v>15</v>
      </c>
      <c r="DF388">
        <v>482</v>
      </c>
      <c r="DG388">
        <v>5526</v>
      </c>
      <c r="DH388">
        <v>3785</v>
      </c>
      <c r="DI388">
        <v>59</v>
      </c>
      <c r="DJ388">
        <v>1034</v>
      </c>
      <c r="DK388">
        <v>0</v>
      </c>
      <c r="DL388">
        <v>68</v>
      </c>
      <c r="DM388">
        <v>0</v>
      </c>
      <c r="DN388">
        <v>2853</v>
      </c>
      <c r="DO388">
        <v>2029</v>
      </c>
      <c r="DP388">
        <v>15354</v>
      </c>
      <c r="DQ388">
        <v>44</v>
      </c>
      <c r="DR388">
        <v>0</v>
      </c>
      <c r="DS388">
        <v>999</v>
      </c>
      <c r="DT388">
        <v>939</v>
      </c>
      <c r="DU388">
        <v>-4444</v>
      </c>
      <c r="DV388">
        <v>-263</v>
      </c>
      <c r="DW388">
        <v>513</v>
      </c>
      <c r="DX388">
        <v>14146</v>
      </c>
      <c r="DY388">
        <v>113540</v>
      </c>
      <c r="DZ388">
        <v>5146</v>
      </c>
      <c r="EA388">
        <v>25401</v>
      </c>
      <c r="EB388">
        <v>0</v>
      </c>
      <c r="EC388">
        <v>0</v>
      </c>
      <c r="ED388">
        <v>4788</v>
      </c>
      <c r="EE388">
        <v>0</v>
      </c>
      <c r="EF388">
        <v>0</v>
      </c>
      <c r="EG388">
        <v>0</v>
      </c>
      <c r="EH388">
        <v>29237</v>
      </c>
      <c r="EI388">
        <v>32763</v>
      </c>
      <c r="EJ388">
        <v>15994</v>
      </c>
      <c r="EK388">
        <v>586</v>
      </c>
      <c r="EL388">
        <v>3167</v>
      </c>
      <c r="EM388">
        <v>57641</v>
      </c>
      <c r="EN388">
        <v>0</v>
      </c>
      <c r="EO388">
        <v>0</v>
      </c>
      <c r="EP388">
        <v>0</v>
      </c>
      <c r="EQ388">
        <v>0</v>
      </c>
      <c r="ER388">
        <v>1021</v>
      </c>
      <c r="ES388">
        <v>139331</v>
      </c>
      <c r="ET388">
        <v>147797</v>
      </c>
      <c r="EU388">
        <v>0</v>
      </c>
      <c r="EV388">
        <v>932</v>
      </c>
      <c r="EW388">
        <v>0</v>
      </c>
      <c r="EX388">
        <v>0</v>
      </c>
      <c r="EY388">
        <v>0</v>
      </c>
      <c r="EZ388">
        <v>138</v>
      </c>
      <c r="FA388">
        <v>0</v>
      </c>
      <c r="FB388">
        <v>0</v>
      </c>
      <c r="FC388">
        <v>771</v>
      </c>
      <c r="FD388">
        <v>2384</v>
      </c>
      <c r="FE388">
        <v>0</v>
      </c>
      <c r="FF388">
        <v>0</v>
      </c>
      <c r="FG388">
        <v>4112</v>
      </c>
      <c r="FH388">
        <v>8337</v>
      </c>
      <c r="FI388">
        <v>26</v>
      </c>
      <c r="FJ388">
        <v>394</v>
      </c>
      <c r="FK388">
        <v>0</v>
      </c>
      <c r="FL388">
        <v>460</v>
      </c>
      <c r="FM388">
        <v>706</v>
      </c>
      <c r="FN388">
        <v>24</v>
      </c>
      <c r="FO388">
        <v>8</v>
      </c>
      <c r="FP388">
        <v>0</v>
      </c>
      <c r="FQ388">
        <v>0</v>
      </c>
      <c r="FR388">
        <v>74</v>
      </c>
      <c r="FS388">
        <v>8</v>
      </c>
      <c r="FT388">
        <v>39</v>
      </c>
      <c r="FU388">
        <v>84</v>
      </c>
      <c r="FV388">
        <v>5</v>
      </c>
      <c r="FW388">
        <v>319</v>
      </c>
      <c r="FX388">
        <v>899</v>
      </c>
      <c r="FY388">
        <v>4</v>
      </c>
      <c r="FZ388">
        <v>0</v>
      </c>
      <c r="GA388">
        <v>0</v>
      </c>
      <c r="GB388">
        <v>0</v>
      </c>
      <c r="GC388">
        <v>0</v>
      </c>
      <c r="GD388">
        <v>4392</v>
      </c>
      <c r="GE388">
        <v>5577</v>
      </c>
      <c r="GF388">
        <v>0</v>
      </c>
      <c r="GG388">
        <v>0</v>
      </c>
      <c r="GH388">
        <v>878</v>
      </c>
      <c r="GI388">
        <v>0</v>
      </c>
      <c r="GJ388">
        <v>137</v>
      </c>
      <c r="GK388">
        <v>14034</v>
      </c>
      <c r="GL388">
        <v>329</v>
      </c>
      <c r="GM388">
        <v>74</v>
      </c>
      <c r="GN388">
        <v>1174</v>
      </c>
      <c r="GO388">
        <v>38</v>
      </c>
      <c r="GP388">
        <v>53</v>
      </c>
      <c r="GQ388">
        <v>2163</v>
      </c>
      <c r="GR388">
        <v>0</v>
      </c>
      <c r="GS388">
        <v>124</v>
      </c>
      <c r="GT388">
        <v>59</v>
      </c>
      <c r="GU388">
        <v>4014</v>
      </c>
      <c r="GV388">
        <v>26385</v>
      </c>
      <c r="GW388">
        <v>0</v>
      </c>
      <c r="GX388">
        <v>0</v>
      </c>
      <c r="GY388">
        <v>0</v>
      </c>
      <c r="GZ388">
        <v>0</v>
      </c>
      <c r="HA388">
        <v>0</v>
      </c>
      <c r="HB388">
        <v>6989</v>
      </c>
      <c r="HC388">
        <v>1234</v>
      </c>
      <c r="HD388">
        <v>18</v>
      </c>
      <c r="HE388">
        <v>8</v>
      </c>
      <c r="HF388">
        <v>217</v>
      </c>
      <c r="HG388">
        <v>-60</v>
      </c>
      <c r="HH388">
        <v>0</v>
      </c>
      <c r="HI388">
        <v>-67</v>
      </c>
      <c r="HJ388">
        <v>696</v>
      </c>
      <c r="HK388">
        <v>100</v>
      </c>
      <c r="HL388">
        <v>217</v>
      </c>
      <c r="HM388">
        <v>-206</v>
      </c>
      <c r="HN388">
        <v>2527</v>
      </c>
      <c r="HO388">
        <v>1070</v>
      </c>
      <c r="HP388">
        <v>589</v>
      </c>
      <c r="HQ388">
        <v>0</v>
      </c>
      <c r="HR388">
        <v>229</v>
      </c>
      <c r="HS388">
        <v>0</v>
      </c>
      <c r="HT388">
        <v>47</v>
      </c>
      <c r="HU388">
        <v>0</v>
      </c>
      <c r="HV388">
        <v>13608</v>
      </c>
      <c r="HW388">
        <v>0</v>
      </c>
      <c r="HX388">
        <v>33635</v>
      </c>
      <c r="HY388">
        <v>0</v>
      </c>
      <c r="HZ388">
        <v>0</v>
      </c>
      <c r="IA388">
        <v>0</v>
      </c>
      <c r="IB388">
        <v>0</v>
      </c>
      <c r="IC388">
        <v>196267</v>
      </c>
      <c r="ID388">
        <v>-11428</v>
      </c>
      <c r="IE388">
        <v>55933</v>
      </c>
      <c r="IF388">
        <v>95316</v>
      </c>
      <c r="IG388">
        <v>30372</v>
      </c>
      <c r="IH388">
        <v>14146</v>
      </c>
      <c r="II388">
        <v>8337</v>
      </c>
      <c r="IJ388">
        <v>14034</v>
      </c>
      <c r="IK388">
        <v>4014</v>
      </c>
      <c r="IL388">
        <v>0</v>
      </c>
      <c r="IM388">
        <v>0</v>
      </c>
      <c r="IN388">
        <v>13608</v>
      </c>
      <c r="IO388">
        <v>0</v>
      </c>
      <c r="IP388">
        <v>420599</v>
      </c>
      <c r="IQ388">
        <v>76320</v>
      </c>
      <c r="IR388">
        <v>18571</v>
      </c>
      <c r="IS388">
        <v>49778</v>
      </c>
      <c r="IT388">
        <v>0</v>
      </c>
      <c r="IU388">
        <v>0</v>
      </c>
      <c r="IV388">
        <v>0</v>
      </c>
      <c r="IW388">
        <v>0</v>
      </c>
      <c r="IX388">
        <v>14830</v>
      </c>
      <c r="IY388">
        <v>1965</v>
      </c>
      <c r="IZ388">
        <v>2255</v>
      </c>
      <c r="JA388">
        <v>0</v>
      </c>
      <c r="JB388">
        <v>-1509</v>
      </c>
      <c r="JC388">
        <v>0</v>
      </c>
      <c r="JD388">
        <v>0</v>
      </c>
      <c r="JE388">
        <v>0</v>
      </c>
      <c r="JF388">
        <v>0</v>
      </c>
      <c r="JG388">
        <v>582809</v>
      </c>
      <c r="JH388">
        <v>320</v>
      </c>
      <c r="JI388">
        <v>0</v>
      </c>
      <c r="JJ388">
        <v>0</v>
      </c>
      <c r="JK388">
        <v>0</v>
      </c>
      <c r="JL388">
        <v>0</v>
      </c>
      <c r="JM388">
        <v>4109</v>
      </c>
      <c r="JN388">
        <v>0</v>
      </c>
      <c r="JO388">
        <v>0</v>
      </c>
      <c r="JP388">
        <v>2892</v>
      </c>
      <c r="JQ388">
        <v>-3167</v>
      </c>
      <c r="JR388">
        <v>586963</v>
      </c>
      <c r="JS388">
        <v>-4434</v>
      </c>
      <c r="JT388">
        <v>0</v>
      </c>
      <c r="JU388">
        <v>0</v>
      </c>
      <c r="JV388">
        <v>0</v>
      </c>
      <c r="JW388">
        <v>-148296</v>
      </c>
      <c r="JX388">
        <v>0</v>
      </c>
      <c r="JY388">
        <v>0</v>
      </c>
      <c r="JZ388">
        <v>0</v>
      </c>
      <c r="KA388">
        <v>0</v>
      </c>
      <c r="KB388">
        <v>0</v>
      </c>
      <c r="KC388">
        <v>434233</v>
      </c>
      <c r="KD388">
        <v>0</v>
      </c>
      <c r="KE388">
        <v>-285784</v>
      </c>
      <c r="KF388">
        <v>148449</v>
      </c>
      <c r="KG388">
        <v>0</v>
      </c>
      <c r="KH388">
        <v>2218</v>
      </c>
      <c r="KI388">
        <v>-4611</v>
      </c>
      <c r="KJ388">
        <v>0</v>
      </c>
      <c r="KK388">
        <v>22452</v>
      </c>
      <c r="KL388">
        <v>702</v>
      </c>
      <c r="KM388">
        <v>-23582</v>
      </c>
      <c r="KN388">
        <v>0</v>
      </c>
      <c r="KO388">
        <v>-67143</v>
      </c>
      <c r="KP388">
        <v>-564</v>
      </c>
      <c r="KQ388">
        <v>0</v>
      </c>
      <c r="KR388">
        <v>65553</v>
      </c>
      <c r="KS388">
        <v>13921</v>
      </c>
      <c r="KT388">
        <v>10</v>
      </c>
      <c r="KU388">
        <v>0</v>
      </c>
      <c r="KV388">
        <v>218909</v>
      </c>
      <c r="KW388">
        <v>15519</v>
      </c>
      <c r="KX388">
        <v>16139</v>
      </c>
      <c r="KY388">
        <v>-4601</v>
      </c>
      <c r="KZ388">
        <v>0</v>
      </c>
      <c r="LA388">
        <v>241361</v>
      </c>
      <c r="LB388">
        <v>16221</v>
      </c>
      <c r="LC388">
        <v>0</v>
      </c>
      <c r="LD388">
        <v>16745</v>
      </c>
      <c r="LE388">
        <v>0</v>
      </c>
      <c r="LF388">
        <v>0</v>
      </c>
      <c r="LG388">
        <v>78107</v>
      </c>
      <c r="LH388">
        <v>32771</v>
      </c>
      <c r="LI388">
        <v>127623</v>
      </c>
      <c r="LJ388">
        <v>3106</v>
      </c>
      <c r="LK388">
        <v>5226</v>
      </c>
      <c r="LL388">
        <v>8332</v>
      </c>
      <c r="LM388">
        <v>0</v>
      </c>
      <c r="LN388">
        <v>0</v>
      </c>
      <c r="LO388">
        <v>0</v>
      </c>
      <c r="LP388">
        <v>148875</v>
      </c>
      <c r="LQ388">
        <v>140409</v>
      </c>
      <c r="LR388">
        <v>8466</v>
      </c>
      <c r="LS388">
        <v>139331</v>
      </c>
      <c r="LT388">
        <v>147797</v>
      </c>
      <c r="LU388">
        <v>196267</v>
      </c>
      <c r="LV388">
        <v>-11428</v>
      </c>
      <c r="LW388">
        <v>55933</v>
      </c>
      <c r="LX388">
        <v>95316</v>
      </c>
      <c r="LY388">
        <v>30372</v>
      </c>
      <c r="LZ388">
        <v>14146</v>
      </c>
      <c r="MA388">
        <v>8337</v>
      </c>
      <c r="MB388">
        <v>14034</v>
      </c>
      <c r="MC388">
        <v>4014</v>
      </c>
      <c r="MD388">
        <v>0</v>
      </c>
      <c r="ME388">
        <v>0</v>
      </c>
      <c r="MF388">
        <v>13608</v>
      </c>
      <c r="MG388">
        <v>0</v>
      </c>
      <c r="MH388">
        <v>420599</v>
      </c>
      <c r="MI388">
        <v>0</v>
      </c>
      <c r="MJ388">
        <v>0</v>
      </c>
      <c r="MK388">
        <v>0</v>
      </c>
      <c r="ML388">
        <v>0</v>
      </c>
      <c r="MM388">
        <v>0</v>
      </c>
      <c r="MN388">
        <v>0</v>
      </c>
      <c r="MO388">
        <v>0</v>
      </c>
      <c r="MP388">
        <v>0</v>
      </c>
      <c r="MQ388">
        <v>0</v>
      </c>
      <c r="MR388">
        <v>0</v>
      </c>
      <c r="MS388">
        <v>0</v>
      </c>
      <c r="MT388">
        <v>0</v>
      </c>
      <c r="MU388">
        <v>0</v>
      </c>
      <c r="MV388">
        <v>0</v>
      </c>
      <c r="MW388">
        <v>0</v>
      </c>
      <c r="MX388">
        <v>0</v>
      </c>
      <c r="MY388">
        <v>0</v>
      </c>
      <c r="MZ388">
        <v>0</v>
      </c>
      <c r="NA388">
        <v>0</v>
      </c>
      <c r="NB388">
        <v>0</v>
      </c>
      <c r="NC388">
        <v>0</v>
      </c>
      <c r="ND388">
        <v>0</v>
      </c>
      <c r="NE388">
        <v>0</v>
      </c>
      <c r="NF388">
        <v>-956</v>
      </c>
      <c r="NG388">
        <v>0</v>
      </c>
      <c r="NH388">
        <v>0</v>
      </c>
      <c r="NI388">
        <v>0</v>
      </c>
      <c r="NJ388">
        <v>0</v>
      </c>
      <c r="NK388">
        <v>0</v>
      </c>
      <c r="NL388">
        <v>0</v>
      </c>
      <c r="NM388">
        <v>0</v>
      </c>
      <c r="NN388">
        <v>0</v>
      </c>
      <c r="NO388">
        <v>70</v>
      </c>
      <c r="NP388">
        <v>0</v>
      </c>
      <c r="NQ388">
        <v>-738</v>
      </c>
      <c r="NR388">
        <v>-23</v>
      </c>
      <c r="NS388">
        <v>0</v>
      </c>
      <c r="NT388">
        <v>0</v>
      </c>
      <c r="NU388">
        <v>0</v>
      </c>
      <c r="NV388">
        <v>0</v>
      </c>
      <c r="NW388">
        <v>0</v>
      </c>
      <c r="NX388">
        <v>0</v>
      </c>
      <c r="NY388">
        <v>0</v>
      </c>
      <c r="NZ388">
        <v>-1509</v>
      </c>
      <c r="OA388">
        <v>0</v>
      </c>
      <c r="OB388">
        <v>-1509</v>
      </c>
      <c r="OC388">
        <v>0</v>
      </c>
      <c r="OD388">
        <v>0</v>
      </c>
      <c r="OE388">
        <v>0</v>
      </c>
      <c r="OF388">
        <v>0</v>
      </c>
      <c r="OG388">
        <v>0</v>
      </c>
      <c r="OH388">
        <v>0</v>
      </c>
      <c r="OI388">
        <v>0</v>
      </c>
      <c r="OJ388">
        <v>0</v>
      </c>
      <c r="OK388">
        <v>0</v>
      </c>
      <c r="OL388">
        <v>0</v>
      </c>
      <c r="OM388">
        <v>0</v>
      </c>
      <c r="ON388">
        <v>0</v>
      </c>
    </row>
    <row r="389" spans="1:404" x14ac:dyDescent="0.25">
      <c r="A389" t="s">
        <v>1233</v>
      </c>
      <c r="B389" t="s">
        <v>1234</v>
      </c>
      <c r="C389" t="s">
        <v>1232</v>
      </c>
      <c r="E389" t="s">
        <v>125</v>
      </c>
      <c r="F389">
        <v>13627</v>
      </c>
      <c r="G389">
        <v>60881</v>
      </c>
      <c r="H389">
        <v>18159</v>
      </c>
      <c r="I389">
        <v>7347</v>
      </c>
      <c r="J389">
        <v>4270</v>
      </c>
      <c r="K389">
        <v>19615</v>
      </c>
      <c r="L389">
        <v>123898</v>
      </c>
      <c r="M389">
        <v>-96</v>
      </c>
      <c r="N389">
        <v>28</v>
      </c>
      <c r="O389">
        <v>12</v>
      </c>
      <c r="P389">
        <v>96</v>
      </c>
      <c r="Q389">
        <v>96</v>
      </c>
      <c r="R389">
        <v>0</v>
      </c>
      <c r="S389">
        <v>2163</v>
      </c>
      <c r="T389">
        <v>314</v>
      </c>
      <c r="U389">
        <v>1020</v>
      </c>
      <c r="V389">
        <v>0</v>
      </c>
      <c r="W389">
        <v>0</v>
      </c>
      <c r="X389">
        <v>369</v>
      </c>
      <c r="Y389">
        <v>785</v>
      </c>
      <c r="Z389">
        <v>-372</v>
      </c>
      <c r="AA389">
        <v>347</v>
      </c>
      <c r="AB389">
        <v>2746</v>
      </c>
      <c r="AC389">
        <v>0</v>
      </c>
      <c r="AD389">
        <v>581</v>
      </c>
      <c r="AE389">
        <v>0</v>
      </c>
      <c r="AF389">
        <v>0</v>
      </c>
      <c r="AG389">
        <v>-1</v>
      </c>
      <c r="AH389">
        <v>14</v>
      </c>
      <c r="AI389">
        <v>8102</v>
      </c>
      <c r="AJ389">
        <v>0</v>
      </c>
      <c r="AK389">
        <v>0</v>
      </c>
      <c r="AL389">
        <v>0</v>
      </c>
      <c r="AM389">
        <v>0</v>
      </c>
      <c r="AN389">
        <v>0</v>
      </c>
      <c r="AO389">
        <v>0</v>
      </c>
      <c r="AP389">
        <v>0</v>
      </c>
      <c r="AQ389">
        <v>1292</v>
      </c>
      <c r="AR389">
        <v>0</v>
      </c>
      <c r="AS389">
        <v>0</v>
      </c>
      <c r="AT389">
        <v>0</v>
      </c>
      <c r="AU389">
        <v>0</v>
      </c>
      <c r="AV389">
        <v>1951</v>
      </c>
      <c r="AW389">
        <v>16604</v>
      </c>
      <c r="AX389">
        <v>9738</v>
      </c>
      <c r="AY389">
        <v>7617</v>
      </c>
      <c r="AZ389">
        <v>385</v>
      </c>
      <c r="BA389">
        <v>1393</v>
      </c>
      <c r="BB389">
        <v>821</v>
      </c>
      <c r="BC389">
        <v>30</v>
      </c>
      <c r="BD389">
        <v>38538</v>
      </c>
      <c r="BE389">
        <v>4069</v>
      </c>
      <c r="BF389">
        <v>20208</v>
      </c>
      <c r="BG389">
        <v>160</v>
      </c>
      <c r="BH389">
        <v>654</v>
      </c>
      <c r="BI389">
        <v>376</v>
      </c>
      <c r="BJ389">
        <v>4439</v>
      </c>
      <c r="BK389">
        <v>18695</v>
      </c>
      <c r="BL389">
        <v>2909</v>
      </c>
      <c r="BM389">
        <v>4381</v>
      </c>
      <c r="BN389">
        <v>2569</v>
      </c>
      <c r="BO389">
        <v>132</v>
      </c>
      <c r="BP389">
        <v>0</v>
      </c>
      <c r="BQ389">
        <v>11</v>
      </c>
      <c r="BR389">
        <v>451</v>
      </c>
      <c r="BS389">
        <v>650</v>
      </c>
      <c r="BT389">
        <v>7517</v>
      </c>
      <c r="BU389">
        <v>3307</v>
      </c>
      <c r="BV389">
        <v>3461</v>
      </c>
      <c r="BW389">
        <v>79668</v>
      </c>
      <c r="BX389">
        <v>586</v>
      </c>
      <c r="BY389">
        <v>438</v>
      </c>
      <c r="BZ389">
        <v>417</v>
      </c>
      <c r="CA389">
        <v>326</v>
      </c>
      <c r="CB389">
        <v>685</v>
      </c>
      <c r="CC389">
        <v>62</v>
      </c>
      <c r="CD389">
        <v>191</v>
      </c>
      <c r="CE389">
        <v>269</v>
      </c>
      <c r="CF389">
        <v>88</v>
      </c>
      <c r="CG389">
        <v>573</v>
      </c>
      <c r="CH389">
        <v>89</v>
      </c>
      <c r="CI389">
        <v>889</v>
      </c>
      <c r="CJ389">
        <v>694</v>
      </c>
      <c r="CK389">
        <v>221</v>
      </c>
      <c r="CL389">
        <v>260</v>
      </c>
      <c r="CM389">
        <v>125</v>
      </c>
      <c r="CN389">
        <v>544</v>
      </c>
      <c r="CO389">
        <v>229</v>
      </c>
      <c r="CP389">
        <v>828</v>
      </c>
      <c r="CQ389">
        <v>1393</v>
      </c>
      <c r="CR389">
        <v>651</v>
      </c>
      <c r="CS389">
        <v>188</v>
      </c>
      <c r="CT389">
        <v>186</v>
      </c>
      <c r="CU389">
        <v>1499</v>
      </c>
      <c r="CV389">
        <v>11431</v>
      </c>
      <c r="CW389">
        <v>0</v>
      </c>
      <c r="CX389">
        <v>0</v>
      </c>
      <c r="CY389">
        <v>0</v>
      </c>
      <c r="CZ389">
        <v>0</v>
      </c>
      <c r="DA389">
        <v>0</v>
      </c>
      <c r="DB389">
        <v>0</v>
      </c>
      <c r="DC389">
        <v>56</v>
      </c>
      <c r="DD389">
        <v>0</v>
      </c>
      <c r="DE389">
        <v>0</v>
      </c>
      <c r="DF389">
        <v>0</v>
      </c>
      <c r="DG389">
        <v>0</v>
      </c>
      <c r="DH389">
        <v>0</v>
      </c>
      <c r="DI389">
        <v>0</v>
      </c>
      <c r="DJ389">
        <v>0</v>
      </c>
      <c r="DK389">
        <v>0</v>
      </c>
      <c r="DL389">
        <v>0</v>
      </c>
      <c r="DM389">
        <v>0</v>
      </c>
      <c r="DN389">
        <v>472</v>
      </c>
      <c r="DO389">
        <v>0</v>
      </c>
      <c r="DP389">
        <v>472</v>
      </c>
      <c r="DQ389">
        <v>0</v>
      </c>
      <c r="DR389">
        <v>29</v>
      </c>
      <c r="DS389">
        <v>0</v>
      </c>
      <c r="DT389">
        <v>1092</v>
      </c>
      <c r="DU389">
        <v>0</v>
      </c>
      <c r="DV389">
        <v>2605</v>
      </c>
      <c r="DW389">
        <v>0</v>
      </c>
      <c r="DX389">
        <v>4254</v>
      </c>
      <c r="DY389">
        <v>0</v>
      </c>
      <c r="DZ389">
        <v>0</v>
      </c>
      <c r="EA389">
        <v>0</v>
      </c>
      <c r="EB389">
        <v>0</v>
      </c>
      <c r="EC389">
        <v>0</v>
      </c>
      <c r="ED389">
        <v>0</v>
      </c>
      <c r="EE389">
        <v>0</v>
      </c>
      <c r="EF389">
        <v>0</v>
      </c>
      <c r="EG389">
        <v>0</v>
      </c>
      <c r="EH389">
        <v>0</v>
      </c>
      <c r="EI389">
        <v>0</v>
      </c>
      <c r="EJ389">
        <v>0</v>
      </c>
      <c r="EK389">
        <v>0</v>
      </c>
      <c r="EL389">
        <v>0</v>
      </c>
      <c r="EM389">
        <v>0</v>
      </c>
      <c r="EN389">
        <v>0</v>
      </c>
      <c r="EO389">
        <v>0</v>
      </c>
      <c r="EP389">
        <v>0</v>
      </c>
      <c r="EQ389">
        <v>0</v>
      </c>
      <c r="ER389">
        <v>0</v>
      </c>
      <c r="ES389">
        <v>0</v>
      </c>
      <c r="ET389">
        <v>0</v>
      </c>
      <c r="EU389">
        <v>0</v>
      </c>
      <c r="EV389">
        <v>59</v>
      </c>
      <c r="EW389">
        <v>0</v>
      </c>
      <c r="EX389">
        <v>565</v>
      </c>
      <c r="EY389">
        <v>660</v>
      </c>
      <c r="EZ389">
        <v>446</v>
      </c>
      <c r="FA389">
        <v>0</v>
      </c>
      <c r="FB389">
        <v>70</v>
      </c>
      <c r="FC389">
        <v>1963</v>
      </c>
      <c r="FD389">
        <v>3094</v>
      </c>
      <c r="FE389">
        <v>39</v>
      </c>
      <c r="FF389">
        <v>0</v>
      </c>
      <c r="FG389">
        <v>2135</v>
      </c>
      <c r="FH389">
        <v>9031</v>
      </c>
      <c r="FI389">
        <v>-1153</v>
      </c>
      <c r="FJ389">
        <v>818</v>
      </c>
      <c r="FK389">
        <v>0</v>
      </c>
      <c r="FL389">
        <v>0</v>
      </c>
      <c r="FM389">
        <v>0</v>
      </c>
      <c r="FN389">
        <v>0</v>
      </c>
      <c r="FO389">
        <v>0</v>
      </c>
      <c r="FP389">
        <v>0</v>
      </c>
      <c r="FQ389">
        <v>0</v>
      </c>
      <c r="FR389">
        <v>67</v>
      </c>
      <c r="FS389">
        <v>7</v>
      </c>
      <c r="FT389">
        <v>0</v>
      </c>
      <c r="FU389">
        <v>-89</v>
      </c>
      <c r="FV389">
        <v>0</v>
      </c>
      <c r="FW389">
        <v>0</v>
      </c>
      <c r="FX389">
        <v>284</v>
      </c>
      <c r="FY389">
        <v>0</v>
      </c>
      <c r="FZ389">
        <v>334</v>
      </c>
      <c r="GA389">
        <v>0</v>
      </c>
      <c r="GB389">
        <v>0</v>
      </c>
      <c r="GC389">
        <v>0</v>
      </c>
      <c r="GD389">
        <v>1095</v>
      </c>
      <c r="GE389">
        <v>2520</v>
      </c>
      <c r="GF389">
        <v>6255</v>
      </c>
      <c r="GG389">
        <v>-78</v>
      </c>
      <c r="GH389">
        <v>3520</v>
      </c>
      <c r="GI389">
        <v>0</v>
      </c>
      <c r="GJ389">
        <v>0</v>
      </c>
      <c r="GK389">
        <v>13580</v>
      </c>
      <c r="GL389">
        <v>-24</v>
      </c>
      <c r="GM389">
        <v>277</v>
      </c>
      <c r="GN389">
        <v>0</v>
      </c>
      <c r="GO389">
        <v>768</v>
      </c>
      <c r="GP389">
        <v>0</v>
      </c>
      <c r="GQ389">
        <v>1016</v>
      </c>
      <c r="GR389">
        <v>0</v>
      </c>
      <c r="GS389">
        <v>0</v>
      </c>
      <c r="GT389">
        <v>362</v>
      </c>
      <c r="GU389">
        <v>2399</v>
      </c>
      <c r="GV389">
        <v>25010</v>
      </c>
      <c r="GW389">
        <v>0</v>
      </c>
      <c r="GX389">
        <v>0</v>
      </c>
      <c r="GY389">
        <v>0</v>
      </c>
      <c r="GZ389">
        <v>0</v>
      </c>
      <c r="HA389">
        <v>0</v>
      </c>
      <c r="HB389">
        <v>4553</v>
      </c>
      <c r="HC389">
        <v>1304</v>
      </c>
      <c r="HD389">
        <v>0</v>
      </c>
      <c r="HE389">
        <v>0</v>
      </c>
      <c r="HF389">
        <v>0</v>
      </c>
      <c r="HG389">
        <v>-247</v>
      </c>
      <c r="HH389">
        <v>0</v>
      </c>
      <c r="HI389">
        <v>178</v>
      </c>
      <c r="HJ389">
        <v>81</v>
      </c>
      <c r="HK389">
        <v>302</v>
      </c>
      <c r="HL389">
        <v>0</v>
      </c>
      <c r="HM389">
        <v>-106</v>
      </c>
      <c r="HN389">
        <v>425</v>
      </c>
      <c r="HO389">
        <v>0</v>
      </c>
      <c r="HP389">
        <v>357</v>
      </c>
      <c r="HQ389">
        <v>0</v>
      </c>
      <c r="HR389">
        <v>0</v>
      </c>
      <c r="HS389">
        <v>0</v>
      </c>
      <c r="HT389">
        <v>0</v>
      </c>
      <c r="HU389">
        <v>22621</v>
      </c>
      <c r="HV389">
        <v>29468</v>
      </c>
      <c r="HW389">
        <v>0</v>
      </c>
      <c r="HX389">
        <v>5542</v>
      </c>
      <c r="HY389">
        <v>0</v>
      </c>
      <c r="HZ389">
        <v>30119</v>
      </c>
      <c r="IA389">
        <v>38</v>
      </c>
      <c r="IB389">
        <v>199</v>
      </c>
      <c r="IC389">
        <v>123898</v>
      </c>
      <c r="ID389">
        <v>8102</v>
      </c>
      <c r="IE389">
        <v>38538</v>
      </c>
      <c r="IF389">
        <v>79668</v>
      </c>
      <c r="IG389">
        <v>11431</v>
      </c>
      <c r="IH389">
        <v>4254</v>
      </c>
      <c r="II389">
        <v>9031</v>
      </c>
      <c r="IJ389">
        <v>13580</v>
      </c>
      <c r="IK389">
        <v>2399</v>
      </c>
      <c r="IL389">
        <v>0</v>
      </c>
      <c r="IM389">
        <v>0</v>
      </c>
      <c r="IN389">
        <v>29468</v>
      </c>
      <c r="IO389">
        <v>199</v>
      </c>
      <c r="IP389">
        <v>320568</v>
      </c>
      <c r="IQ389">
        <v>32862</v>
      </c>
      <c r="IR389">
        <v>271</v>
      </c>
      <c r="IS389">
        <v>0</v>
      </c>
      <c r="IT389">
        <v>0</v>
      </c>
      <c r="IU389">
        <v>0</v>
      </c>
      <c r="IV389">
        <v>2426</v>
      </c>
      <c r="IW389">
        <v>0</v>
      </c>
      <c r="IX389">
        <v>0</v>
      </c>
      <c r="IY389">
        <v>0</v>
      </c>
      <c r="IZ389">
        <v>0</v>
      </c>
      <c r="JA389">
        <v>-2082</v>
      </c>
      <c r="JB389">
        <v>0</v>
      </c>
      <c r="JC389">
        <v>0</v>
      </c>
      <c r="JD389">
        <v>0</v>
      </c>
      <c r="JE389">
        <v>0</v>
      </c>
      <c r="JF389">
        <v>0</v>
      </c>
      <c r="JG389">
        <v>354046</v>
      </c>
      <c r="JH389">
        <v>134</v>
      </c>
      <c r="JI389">
        <v>0</v>
      </c>
      <c r="JJ389">
        <v>0</v>
      </c>
      <c r="JK389">
        <v>0</v>
      </c>
      <c r="JL389">
        <v>0</v>
      </c>
      <c r="JM389">
        <v>122</v>
      </c>
      <c r="JN389">
        <v>2518</v>
      </c>
      <c r="JO389">
        <v>0</v>
      </c>
      <c r="JP389">
        <v>31759</v>
      </c>
      <c r="JQ389">
        <v>0</v>
      </c>
      <c r="JR389">
        <v>388579</v>
      </c>
      <c r="JS389">
        <v>-36480</v>
      </c>
      <c r="JT389">
        <v>0</v>
      </c>
      <c r="JU389">
        <v>0</v>
      </c>
      <c r="JV389">
        <v>0</v>
      </c>
      <c r="JW389">
        <v>-32392</v>
      </c>
      <c r="JX389">
        <v>0</v>
      </c>
      <c r="JY389">
        <v>0</v>
      </c>
      <c r="JZ389">
        <v>0</v>
      </c>
      <c r="KA389">
        <v>0</v>
      </c>
      <c r="KB389">
        <v>0</v>
      </c>
      <c r="KC389">
        <v>319707</v>
      </c>
      <c r="KD389">
        <v>0</v>
      </c>
      <c r="KE389">
        <v>-166075</v>
      </c>
      <c r="KF389">
        <v>153632</v>
      </c>
      <c r="KG389">
        <v>0</v>
      </c>
      <c r="KH389">
        <v>1007</v>
      </c>
      <c r="KI389">
        <v>935</v>
      </c>
      <c r="KJ389">
        <v>1119</v>
      </c>
      <c r="KK389">
        <v>3058</v>
      </c>
      <c r="KL389">
        <v>4444</v>
      </c>
      <c r="KM389">
        <v>-1372</v>
      </c>
      <c r="KN389">
        <v>0</v>
      </c>
      <c r="KO389">
        <v>-31331</v>
      </c>
      <c r="KP389">
        <v>2576</v>
      </c>
      <c r="KQ389">
        <v>0</v>
      </c>
      <c r="KR389">
        <v>110638</v>
      </c>
      <c r="KS389">
        <v>8920</v>
      </c>
      <c r="KT389">
        <v>-938</v>
      </c>
      <c r="KU389">
        <v>2320</v>
      </c>
      <c r="KV389">
        <v>102562</v>
      </c>
      <c r="KW389">
        <v>159</v>
      </c>
      <c r="KX389">
        <v>9927</v>
      </c>
      <c r="KY389">
        <v>-3</v>
      </c>
      <c r="KZ389">
        <v>3439</v>
      </c>
      <c r="LA389">
        <v>105620</v>
      </c>
      <c r="LB389">
        <v>4603</v>
      </c>
      <c r="LC389">
        <v>0</v>
      </c>
      <c r="LD389">
        <v>20600</v>
      </c>
      <c r="LE389">
        <v>0</v>
      </c>
      <c r="LF389">
        <v>0</v>
      </c>
      <c r="LG389">
        <v>-26067</v>
      </c>
      <c r="LH389">
        <v>12393</v>
      </c>
      <c r="LI389">
        <v>6926</v>
      </c>
      <c r="LJ389">
        <v>5449</v>
      </c>
      <c r="LK389">
        <v>7682</v>
      </c>
      <c r="LL389">
        <v>13131</v>
      </c>
      <c r="LM389">
        <v>0</v>
      </c>
      <c r="LN389">
        <v>0</v>
      </c>
      <c r="LO389">
        <v>0</v>
      </c>
      <c r="LP389">
        <v>0</v>
      </c>
      <c r="LQ389">
        <v>0</v>
      </c>
      <c r="LR389">
        <v>0</v>
      </c>
      <c r="LS389">
        <v>0</v>
      </c>
      <c r="LT389">
        <v>0</v>
      </c>
      <c r="LU389">
        <v>123898</v>
      </c>
      <c r="LV389">
        <v>8102</v>
      </c>
      <c r="LW389">
        <v>38538</v>
      </c>
      <c r="LX389">
        <v>79668</v>
      </c>
      <c r="LY389">
        <v>11431</v>
      </c>
      <c r="LZ389">
        <v>4254</v>
      </c>
      <c r="MA389">
        <v>9031</v>
      </c>
      <c r="MB389">
        <v>13580</v>
      </c>
      <c r="MC389">
        <v>2399</v>
      </c>
      <c r="MD389">
        <v>0</v>
      </c>
      <c r="ME389">
        <v>0</v>
      </c>
      <c r="MF389">
        <v>29468</v>
      </c>
      <c r="MG389">
        <v>199</v>
      </c>
      <c r="MH389">
        <v>320568</v>
      </c>
      <c r="MI389">
        <v>0</v>
      </c>
      <c r="MJ389">
        <v>0</v>
      </c>
      <c r="MK389">
        <v>0</v>
      </c>
      <c r="ML389">
        <v>0</v>
      </c>
      <c r="MM389">
        <v>0</v>
      </c>
      <c r="MN389">
        <v>0</v>
      </c>
      <c r="MO389">
        <v>0</v>
      </c>
      <c r="MP389">
        <v>0</v>
      </c>
      <c r="MQ389">
        <v>0</v>
      </c>
      <c r="MR389">
        <v>0</v>
      </c>
      <c r="MS389">
        <v>0</v>
      </c>
      <c r="MT389">
        <v>0</v>
      </c>
      <c r="MU389">
        <v>0</v>
      </c>
      <c r="MV389">
        <v>0</v>
      </c>
      <c r="MW389">
        <v>0</v>
      </c>
      <c r="MX389">
        <v>-1314</v>
      </c>
      <c r="MY389">
        <v>-770</v>
      </c>
      <c r="MZ389">
        <v>395</v>
      </c>
      <c r="NA389">
        <v>-2082</v>
      </c>
      <c r="NB389">
        <v>0</v>
      </c>
      <c r="NC389">
        <v>-2082</v>
      </c>
      <c r="ND389">
        <v>0</v>
      </c>
      <c r="NE389">
        <v>0</v>
      </c>
      <c r="NF389">
        <v>0</v>
      </c>
      <c r="NG389">
        <v>0</v>
      </c>
      <c r="NH389">
        <v>0</v>
      </c>
      <c r="NI389">
        <v>0</v>
      </c>
      <c r="NJ389">
        <v>0</v>
      </c>
      <c r="NK389">
        <v>0</v>
      </c>
      <c r="NL389">
        <v>0</v>
      </c>
      <c r="NM389">
        <v>0</v>
      </c>
      <c r="NN389">
        <v>0</v>
      </c>
      <c r="NO389">
        <v>0</v>
      </c>
      <c r="NP389">
        <v>0</v>
      </c>
      <c r="NQ389">
        <v>0</v>
      </c>
      <c r="NR389">
        <v>0</v>
      </c>
      <c r="NS389">
        <v>0</v>
      </c>
      <c r="NT389">
        <v>0</v>
      </c>
      <c r="NU389">
        <v>0</v>
      </c>
      <c r="NV389">
        <v>0</v>
      </c>
      <c r="NW389">
        <v>0</v>
      </c>
      <c r="NX389">
        <v>0</v>
      </c>
      <c r="NY389">
        <v>0</v>
      </c>
      <c r="NZ389">
        <v>0</v>
      </c>
      <c r="OA389">
        <v>0</v>
      </c>
      <c r="OB389">
        <v>0</v>
      </c>
      <c r="OC389">
        <v>0</v>
      </c>
      <c r="OD389">
        <v>0</v>
      </c>
      <c r="OE389">
        <v>0</v>
      </c>
      <c r="OF389">
        <v>0</v>
      </c>
      <c r="OG389">
        <v>0</v>
      </c>
      <c r="OH389">
        <v>0</v>
      </c>
      <c r="OI389">
        <v>0</v>
      </c>
      <c r="OJ389">
        <v>0</v>
      </c>
      <c r="OK389">
        <v>0</v>
      </c>
      <c r="OL389">
        <v>0</v>
      </c>
      <c r="OM389">
        <v>0</v>
      </c>
      <c r="ON389">
        <v>0</v>
      </c>
    </row>
    <row r="390" spans="1:404" x14ac:dyDescent="0.25">
      <c r="A390" t="s">
        <v>1236</v>
      </c>
      <c r="B390" t="s">
        <v>1237</v>
      </c>
      <c r="C390" t="s">
        <v>1235</v>
      </c>
      <c r="E390" t="s">
        <v>61</v>
      </c>
      <c r="F390">
        <v>0</v>
      </c>
      <c r="G390">
        <v>0</v>
      </c>
      <c r="H390">
        <v>0</v>
      </c>
      <c r="I390">
        <v>0</v>
      </c>
      <c r="J390">
        <v>0</v>
      </c>
      <c r="K390">
        <v>0</v>
      </c>
      <c r="L390">
        <v>0</v>
      </c>
      <c r="M390">
        <v>0</v>
      </c>
      <c r="N390">
        <v>0</v>
      </c>
      <c r="O390">
        <v>-1</v>
      </c>
      <c r="P390">
        <v>0</v>
      </c>
      <c r="Q390">
        <v>0</v>
      </c>
      <c r="R390">
        <v>90</v>
      </c>
      <c r="S390">
        <v>-3</v>
      </c>
      <c r="T390">
        <v>0</v>
      </c>
      <c r="U390">
        <v>196</v>
      </c>
      <c r="V390">
        <v>0</v>
      </c>
      <c r="W390">
        <v>0</v>
      </c>
      <c r="X390">
        <v>0</v>
      </c>
      <c r="Y390">
        <v>0</v>
      </c>
      <c r="Z390">
        <v>0</v>
      </c>
      <c r="AA390">
        <v>-891</v>
      </c>
      <c r="AB390">
        <v>0</v>
      </c>
      <c r="AC390">
        <v>0</v>
      </c>
      <c r="AD390">
        <v>0</v>
      </c>
      <c r="AE390">
        <v>0</v>
      </c>
      <c r="AF390">
        <v>0</v>
      </c>
      <c r="AG390">
        <v>0</v>
      </c>
      <c r="AH390">
        <v>0</v>
      </c>
      <c r="AI390">
        <v>-609</v>
      </c>
      <c r="AJ390">
        <v>0</v>
      </c>
      <c r="AK390">
        <v>0</v>
      </c>
      <c r="AL390">
        <v>0</v>
      </c>
      <c r="AM390">
        <v>0</v>
      </c>
      <c r="AN390">
        <v>0</v>
      </c>
      <c r="AO390">
        <v>0</v>
      </c>
      <c r="AP390">
        <v>0</v>
      </c>
      <c r="AQ390">
        <v>0</v>
      </c>
      <c r="AR390">
        <v>0</v>
      </c>
      <c r="AS390">
        <v>0</v>
      </c>
      <c r="AT390">
        <v>0</v>
      </c>
      <c r="AU390">
        <v>0</v>
      </c>
      <c r="AV390">
        <v>0</v>
      </c>
      <c r="AW390">
        <v>0</v>
      </c>
      <c r="AX390">
        <v>0</v>
      </c>
      <c r="AY390">
        <v>0</v>
      </c>
      <c r="AZ390">
        <v>0</v>
      </c>
      <c r="BA390">
        <v>0</v>
      </c>
      <c r="BB390">
        <v>0</v>
      </c>
      <c r="BC390">
        <v>0</v>
      </c>
      <c r="BD390">
        <v>0</v>
      </c>
      <c r="BE390">
        <v>0</v>
      </c>
      <c r="BF390">
        <v>0</v>
      </c>
      <c r="BG390">
        <v>0</v>
      </c>
      <c r="BH390">
        <v>0</v>
      </c>
      <c r="BI390">
        <v>0</v>
      </c>
      <c r="BJ390">
        <v>0</v>
      </c>
      <c r="BK390">
        <v>0</v>
      </c>
      <c r="BL390">
        <v>0</v>
      </c>
      <c r="BM390">
        <v>0</v>
      </c>
      <c r="BN390">
        <v>0</v>
      </c>
      <c r="BO390">
        <v>0</v>
      </c>
      <c r="BP390">
        <v>0</v>
      </c>
      <c r="BQ390">
        <v>0</v>
      </c>
      <c r="BR390">
        <v>0</v>
      </c>
      <c r="BS390">
        <v>0</v>
      </c>
      <c r="BT390">
        <v>0</v>
      </c>
      <c r="BU390">
        <v>0</v>
      </c>
      <c r="BV390">
        <v>0</v>
      </c>
      <c r="BW390">
        <v>0</v>
      </c>
      <c r="BX390">
        <v>0</v>
      </c>
      <c r="BY390">
        <v>0</v>
      </c>
      <c r="BZ390">
        <v>0</v>
      </c>
      <c r="CA390">
        <v>0</v>
      </c>
      <c r="CB390">
        <v>0</v>
      </c>
      <c r="CC390">
        <v>0</v>
      </c>
      <c r="CD390">
        <v>0</v>
      </c>
      <c r="CE390">
        <v>0</v>
      </c>
      <c r="CF390">
        <v>0</v>
      </c>
      <c r="CG390">
        <v>0</v>
      </c>
      <c r="CH390">
        <v>0</v>
      </c>
      <c r="CI390">
        <v>0</v>
      </c>
      <c r="CJ390">
        <v>0</v>
      </c>
      <c r="CK390">
        <v>0</v>
      </c>
      <c r="CL390">
        <v>0</v>
      </c>
      <c r="CM390">
        <v>0</v>
      </c>
      <c r="CN390">
        <v>0</v>
      </c>
      <c r="CO390">
        <v>0</v>
      </c>
      <c r="CP390">
        <v>0</v>
      </c>
      <c r="CQ390">
        <v>0</v>
      </c>
      <c r="CR390">
        <v>0</v>
      </c>
      <c r="CS390">
        <v>0</v>
      </c>
      <c r="CT390">
        <v>0</v>
      </c>
      <c r="CU390">
        <v>0</v>
      </c>
      <c r="CV390">
        <v>-188</v>
      </c>
      <c r="CW390">
        <v>0</v>
      </c>
      <c r="CX390">
        <v>0</v>
      </c>
      <c r="CY390">
        <v>0</v>
      </c>
      <c r="CZ390">
        <v>0</v>
      </c>
      <c r="DA390">
        <v>0</v>
      </c>
      <c r="DB390">
        <v>0</v>
      </c>
      <c r="DC390">
        <v>213</v>
      </c>
      <c r="DD390">
        <v>0</v>
      </c>
      <c r="DE390">
        <v>247</v>
      </c>
      <c r="DF390">
        <v>-3</v>
      </c>
      <c r="DG390">
        <v>1667</v>
      </c>
      <c r="DH390">
        <v>0</v>
      </c>
      <c r="DI390">
        <v>0</v>
      </c>
      <c r="DJ390">
        <v>0</v>
      </c>
      <c r="DK390">
        <v>0</v>
      </c>
      <c r="DL390">
        <v>0</v>
      </c>
      <c r="DM390">
        <v>0</v>
      </c>
      <c r="DN390">
        <v>0</v>
      </c>
      <c r="DO390">
        <v>0</v>
      </c>
      <c r="DP390">
        <v>1667</v>
      </c>
      <c r="DQ390">
        <v>0</v>
      </c>
      <c r="DR390">
        <v>0</v>
      </c>
      <c r="DS390">
        <v>0</v>
      </c>
      <c r="DT390">
        <v>792</v>
      </c>
      <c r="DU390">
        <v>344</v>
      </c>
      <c r="DV390">
        <v>0</v>
      </c>
      <c r="DW390">
        <v>0</v>
      </c>
      <c r="DX390">
        <v>3260</v>
      </c>
      <c r="DY390">
        <v>25791</v>
      </c>
      <c r="DZ390">
        <v>1082</v>
      </c>
      <c r="EA390">
        <v>601</v>
      </c>
      <c r="EB390">
        <v>7</v>
      </c>
      <c r="EC390">
        <v>0</v>
      </c>
      <c r="ED390">
        <v>15</v>
      </c>
      <c r="EE390">
        <v>39</v>
      </c>
      <c r="EF390">
        <v>0</v>
      </c>
      <c r="EG390">
        <v>-9</v>
      </c>
      <c r="EH390">
        <v>6927</v>
      </c>
      <c r="EI390">
        <v>3349</v>
      </c>
      <c r="EJ390">
        <v>2810</v>
      </c>
      <c r="EK390">
        <v>376</v>
      </c>
      <c r="EL390">
        <v>4766</v>
      </c>
      <c r="EM390">
        <v>6150</v>
      </c>
      <c r="EN390">
        <v>3274</v>
      </c>
      <c r="EO390">
        <v>0</v>
      </c>
      <c r="EP390">
        <v>0</v>
      </c>
      <c r="EQ390">
        <v>0</v>
      </c>
      <c r="ER390">
        <v>-32</v>
      </c>
      <c r="ES390">
        <v>30952</v>
      </c>
      <c r="ET390">
        <v>30858</v>
      </c>
      <c r="EU390">
        <v>0</v>
      </c>
      <c r="EV390">
        <v>21</v>
      </c>
      <c r="EW390">
        <v>0</v>
      </c>
      <c r="EX390">
        <v>785</v>
      </c>
      <c r="EY390">
        <v>511</v>
      </c>
      <c r="EZ390">
        <v>0</v>
      </c>
      <c r="FA390">
        <v>0</v>
      </c>
      <c r="FB390">
        <v>114</v>
      </c>
      <c r="FC390">
        <v>280</v>
      </c>
      <c r="FD390">
        <v>2023</v>
      </c>
      <c r="FE390">
        <v>0</v>
      </c>
      <c r="FF390">
        <v>254</v>
      </c>
      <c r="FG390">
        <v>0</v>
      </c>
      <c r="FH390">
        <v>3988</v>
      </c>
      <c r="FI390">
        <v>-953</v>
      </c>
      <c r="FJ390">
        <v>0</v>
      </c>
      <c r="FK390">
        <v>0</v>
      </c>
      <c r="FL390">
        <v>278</v>
      </c>
      <c r="FM390">
        <v>403</v>
      </c>
      <c r="FN390">
        <v>92</v>
      </c>
      <c r="FO390">
        <v>0</v>
      </c>
      <c r="FP390">
        <v>0</v>
      </c>
      <c r="FQ390">
        <v>0</v>
      </c>
      <c r="FR390">
        <v>81</v>
      </c>
      <c r="FS390">
        <v>250</v>
      </c>
      <c r="FT390">
        <v>99</v>
      </c>
      <c r="FU390">
        <v>12</v>
      </c>
      <c r="FV390">
        <v>206</v>
      </c>
      <c r="FW390">
        <v>0</v>
      </c>
      <c r="FX390">
        <v>87</v>
      </c>
      <c r="FY390">
        <v>-10</v>
      </c>
      <c r="FZ390">
        <v>0</v>
      </c>
      <c r="GA390">
        <v>0</v>
      </c>
      <c r="GB390">
        <v>0</v>
      </c>
      <c r="GC390">
        <v>0</v>
      </c>
      <c r="GD390">
        <v>1651</v>
      </c>
      <c r="GE390">
        <v>4813</v>
      </c>
      <c r="GF390">
        <v>0</v>
      </c>
      <c r="GG390">
        <v>0</v>
      </c>
      <c r="GH390">
        <v>0</v>
      </c>
      <c r="GI390">
        <v>0</v>
      </c>
      <c r="GJ390">
        <v>0</v>
      </c>
      <c r="GK390">
        <v>7009</v>
      </c>
      <c r="GL390">
        <v>-65</v>
      </c>
      <c r="GM390">
        <v>791</v>
      </c>
      <c r="GN390">
        <v>0</v>
      </c>
      <c r="GO390">
        <v>71</v>
      </c>
      <c r="GP390">
        <v>0</v>
      </c>
      <c r="GQ390">
        <v>99</v>
      </c>
      <c r="GR390">
        <v>0</v>
      </c>
      <c r="GS390">
        <v>202</v>
      </c>
      <c r="GT390">
        <v>720</v>
      </c>
      <c r="GU390">
        <v>1818</v>
      </c>
      <c r="GV390">
        <v>12815</v>
      </c>
      <c r="GW390">
        <v>0</v>
      </c>
      <c r="GX390">
        <v>0</v>
      </c>
      <c r="GY390">
        <v>0</v>
      </c>
      <c r="GZ390">
        <v>0</v>
      </c>
      <c r="HA390">
        <v>0</v>
      </c>
      <c r="HB390">
        <v>2384</v>
      </c>
      <c r="HC390">
        <v>415</v>
      </c>
      <c r="HD390">
        <v>0</v>
      </c>
      <c r="HE390">
        <v>0</v>
      </c>
      <c r="HF390">
        <v>0</v>
      </c>
      <c r="HG390">
        <v>0</v>
      </c>
      <c r="HH390">
        <v>0</v>
      </c>
      <c r="HI390">
        <v>0</v>
      </c>
      <c r="HJ390">
        <v>274</v>
      </c>
      <c r="HK390">
        <v>86</v>
      </c>
      <c r="HL390">
        <v>114</v>
      </c>
      <c r="HM390">
        <v>-24</v>
      </c>
      <c r="HN390">
        <v>0</v>
      </c>
      <c r="HO390">
        <v>67</v>
      </c>
      <c r="HP390">
        <v>0</v>
      </c>
      <c r="HQ390">
        <v>0</v>
      </c>
      <c r="HR390">
        <v>336</v>
      </c>
      <c r="HS390">
        <v>0</v>
      </c>
      <c r="HT390">
        <v>0</v>
      </c>
      <c r="HU390">
        <v>493</v>
      </c>
      <c r="HV390">
        <v>4145</v>
      </c>
      <c r="HW390">
        <v>1736</v>
      </c>
      <c r="HX390">
        <v>8287</v>
      </c>
      <c r="HY390">
        <v>0</v>
      </c>
      <c r="HZ390">
        <v>0</v>
      </c>
      <c r="IA390">
        <v>999</v>
      </c>
      <c r="IB390">
        <v>0</v>
      </c>
      <c r="IC390">
        <v>0</v>
      </c>
      <c r="ID390">
        <v>-609</v>
      </c>
      <c r="IE390">
        <v>0</v>
      </c>
      <c r="IF390">
        <v>0</v>
      </c>
      <c r="IG390">
        <v>-188</v>
      </c>
      <c r="IH390">
        <v>3260</v>
      </c>
      <c r="II390">
        <v>3988</v>
      </c>
      <c r="IJ390">
        <v>7009</v>
      </c>
      <c r="IK390">
        <v>1818</v>
      </c>
      <c r="IL390">
        <v>0</v>
      </c>
      <c r="IM390">
        <v>0</v>
      </c>
      <c r="IN390">
        <v>4145</v>
      </c>
      <c r="IO390">
        <v>0</v>
      </c>
      <c r="IP390">
        <v>19423</v>
      </c>
      <c r="IQ390">
        <v>12575</v>
      </c>
      <c r="IR390">
        <v>386</v>
      </c>
      <c r="IS390">
        <v>8231</v>
      </c>
      <c r="IT390">
        <v>0</v>
      </c>
      <c r="IU390">
        <v>39</v>
      </c>
      <c r="IV390">
        <v>1837</v>
      </c>
      <c r="IW390">
        <v>0</v>
      </c>
      <c r="IX390">
        <v>0</v>
      </c>
      <c r="IY390">
        <v>0</v>
      </c>
      <c r="IZ390">
        <v>0</v>
      </c>
      <c r="JA390">
        <v>0</v>
      </c>
      <c r="JB390">
        <v>0</v>
      </c>
      <c r="JC390">
        <v>0</v>
      </c>
      <c r="JD390">
        <v>0</v>
      </c>
      <c r="JE390">
        <v>79</v>
      </c>
      <c r="JF390">
        <v>0</v>
      </c>
      <c r="JG390">
        <v>42570</v>
      </c>
      <c r="JH390">
        <v>0</v>
      </c>
      <c r="JI390">
        <v>5277</v>
      </c>
      <c r="JJ390">
        <v>0</v>
      </c>
      <c r="JK390">
        <v>0</v>
      </c>
      <c r="JL390">
        <v>0</v>
      </c>
      <c r="JM390">
        <v>0</v>
      </c>
      <c r="JN390">
        <v>0</v>
      </c>
      <c r="JO390">
        <v>344</v>
      </c>
      <c r="JP390">
        <v>5238</v>
      </c>
      <c r="JQ390">
        <v>564</v>
      </c>
      <c r="JR390">
        <v>53993</v>
      </c>
      <c r="JS390">
        <v>-1927</v>
      </c>
      <c r="JT390">
        <v>0</v>
      </c>
      <c r="JU390">
        <v>0</v>
      </c>
      <c r="JV390">
        <v>0</v>
      </c>
      <c r="JW390">
        <v>-20805</v>
      </c>
      <c r="JX390">
        <v>0</v>
      </c>
      <c r="JY390">
        <v>-1890</v>
      </c>
      <c r="JZ390">
        <v>0</v>
      </c>
      <c r="KA390">
        <v>0</v>
      </c>
      <c r="KB390">
        <v>0</v>
      </c>
      <c r="KC390">
        <v>29371</v>
      </c>
      <c r="KD390">
        <v>0</v>
      </c>
      <c r="KE390">
        <v>-5564</v>
      </c>
      <c r="KF390">
        <v>23807</v>
      </c>
      <c r="KG390">
        <v>0</v>
      </c>
      <c r="KH390">
        <v>0</v>
      </c>
      <c r="KI390">
        <v>0</v>
      </c>
      <c r="KJ390">
        <v>0</v>
      </c>
      <c r="KK390">
        <v>-132</v>
      </c>
      <c r="KL390">
        <v>45</v>
      </c>
      <c r="KM390">
        <v>0</v>
      </c>
      <c r="KN390">
        <v>0</v>
      </c>
      <c r="KO390">
        <v>-4324</v>
      </c>
      <c r="KP390">
        <v>67</v>
      </c>
      <c r="KQ390">
        <v>0</v>
      </c>
      <c r="KR390">
        <v>11726</v>
      </c>
      <c r="KS390">
        <v>0</v>
      </c>
      <c r="KT390">
        <v>0</v>
      </c>
      <c r="KU390">
        <v>0</v>
      </c>
      <c r="KV390">
        <v>32862</v>
      </c>
      <c r="KW390">
        <v>3042</v>
      </c>
      <c r="KX390">
        <v>0</v>
      </c>
      <c r="KY390">
        <v>0</v>
      </c>
      <c r="KZ390">
        <v>0</v>
      </c>
      <c r="LA390">
        <v>32730</v>
      </c>
      <c r="LB390">
        <v>3087</v>
      </c>
      <c r="LC390">
        <v>0</v>
      </c>
      <c r="LD390">
        <v>2906</v>
      </c>
      <c r="LE390">
        <v>0</v>
      </c>
      <c r="LF390">
        <v>0</v>
      </c>
      <c r="LG390">
        <v>0</v>
      </c>
      <c r="LH390">
        <v>6742</v>
      </c>
      <c r="LI390">
        <v>9648</v>
      </c>
      <c r="LJ390">
        <v>3227</v>
      </c>
      <c r="LK390">
        <v>4499</v>
      </c>
      <c r="LL390">
        <v>7726</v>
      </c>
      <c r="LM390">
        <v>0</v>
      </c>
      <c r="LN390">
        <v>0</v>
      </c>
      <c r="LO390">
        <v>0</v>
      </c>
      <c r="LP390">
        <v>27526</v>
      </c>
      <c r="LQ390">
        <v>27620</v>
      </c>
      <c r="LR390">
        <v>-94</v>
      </c>
      <c r="LS390">
        <v>30952</v>
      </c>
      <c r="LT390">
        <v>30858</v>
      </c>
      <c r="LU390">
        <v>0</v>
      </c>
      <c r="LV390">
        <v>-609</v>
      </c>
      <c r="LW390">
        <v>0</v>
      </c>
      <c r="LX390">
        <v>0</v>
      </c>
      <c r="LY390">
        <v>-188</v>
      </c>
      <c r="LZ390">
        <v>3260</v>
      </c>
      <c r="MA390">
        <v>3988</v>
      </c>
      <c r="MB390">
        <v>7009</v>
      </c>
      <c r="MC390">
        <v>1818</v>
      </c>
      <c r="MD390">
        <v>0</v>
      </c>
      <c r="ME390">
        <v>0</v>
      </c>
      <c r="MF390">
        <v>4145</v>
      </c>
      <c r="MG390">
        <v>0</v>
      </c>
      <c r="MH390">
        <v>19423</v>
      </c>
      <c r="MI390">
        <v>0</v>
      </c>
      <c r="MJ390">
        <v>0</v>
      </c>
      <c r="MK390">
        <v>0</v>
      </c>
      <c r="ML390">
        <v>0</v>
      </c>
      <c r="MM390">
        <v>0</v>
      </c>
      <c r="MN390">
        <v>0</v>
      </c>
      <c r="MO390">
        <v>0</v>
      </c>
      <c r="MP390">
        <v>0</v>
      </c>
      <c r="MQ390">
        <v>0</v>
      </c>
      <c r="MR390">
        <v>0</v>
      </c>
      <c r="MS390">
        <v>0</v>
      </c>
      <c r="MT390">
        <v>0</v>
      </c>
      <c r="MU390">
        <v>0</v>
      </c>
      <c r="MV390">
        <v>0</v>
      </c>
      <c r="MW390">
        <v>0</v>
      </c>
      <c r="MX390">
        <v>0</v>
      </c>
      <c r="MY390">
        <v>0</v>
      </c>
      <c r="MZ390">
        <v>0</v>
      </c>
      <c r="NA390">
        <v>0</v>
      </c>
      <c r="NB390">
        <v>0</v>
      </c>
      <c r="NC390">
        <v>0</v>
      </c>
      <c r="ND390">
        <v>0</v>
      </c>
      <c r="NE390">
        <v>0</v>
      </c>
      <c r="NF390">
        <v>0</v>
      </c>
      <c r="NG390">
        <v>0</v>
      </c>
      <c r="NH390">
        <v>0</v>
      </c>
      <c r="NI390">
        <v>0</v>
      </c>
      <c r="NJ390">
        <v>0</v>
      </c>
      <c r="NK390">
        <v>0</v>
      </c>
      <c r="NL390">
        <v>0</v>
      </c>
      <c r="NM390">
        <v>0</v>
      </c>
      <c r="NN390">
        <v>0</v>
      </c>
      <c r="NO390">
        <v>0</v>
      </c>
      <c r="NP390">
        <v>0</v>
      </c>
      <c r="NQ390">
        <v>0</v>
      </c>
      <c r="NR390">
        <v>0</v>
      </c>
      <c r="NS390">
        <v>0</v>
      </c>
      <c r="NT390">
        <v>0</v>
      </c>
      <c r="NU390">
        <v>0</v>
      </c>
      <c r="NV390">
        <v>0</v>
      </c>
      <c r="NW390">
        <v>0</v>
      </c>
      <c r="NX390">
        <v>0</v>
      </c>
      <c r="NY390">
        <v>0</v>
      </c>
      <c r="NZ390">
        <v>0</v>
      </c>
      <c r="OA390">
        <v>0</v>
      </c>
      <c r="OB390">
        <v>0</v>
      </c>
      <c r="OC390">
        <v>0</v>
      </c>
      <c r="OD390">
        <v>0</v>
      </c>
      <c r="OE390">
        <v>0</v>
      </c>
      <c r="OF390">
        <v>0</v>
      </c>
      <c r="OG390">
        <v>0</v>
      </c>
      <c r="OH390">
        <v>0</v>
      </c>
      <c r="OI390">
        <v>0</v>
      </c>
      <c r="OJ390">
        <v>0</v>
      </c>
      <c r="OK390">
        <v>0</v>
      </c>
      <c r="OL390">
        <v>0</v>
      </c>
      <c r="OM390">
        <v>0</v>
      </c>
      <c r="ON390">
        <v>0</v>
      </c>
    </row>
    <row r="391" spans="1:404" x14ac:dyDescent="0.25">
      <c r="A391" t="s">
        <v>1239</v>
      </c>
      <c r="B391" t="s">
        <v>1240</v>
      </c>
      <c r="C391" t="s">
        <v>1238</v>
      </c>
      <c r="E391" t="s">
        <v>1942</v>
      </c>
      <c r="F391">
        <v>34249</v>
      </c>
      <c r="G391">
        <v>143960</v>
      </c>
      <c r="H391">
        <v>18446</v>
      </c>
      <c r="I391">
        <v>38827</v>
      </c>
      <c r="J391">
        <v>7183</v>
      </c>
      <c r="K391">
        <v>57956</v>
      </c>
      <c r="L391">
        <v>300620</v>
      </c>
      <c r="M391">
        <v>-798</v>
      </c>
      <c r="N391">
        <v>3476</v>
      </c>
      <c r="O391">
        <v>0</v>
      </c>
      <c r="P391">
        <v>750</v>
      </c>
      <c r="Q391">
        <v>632</v>
      </c>
      <c r="R391">
        <v>929</v>
      </c>
      <c r="S391">
        <v>10999</v>
      </c>
      <c r="T391">
        <v>1491</v>
      </c>
      <c r="U391">
        <v>2649</v>
      </c>
      <c r="V391">
        <v>0</v>
      </c>
      <c r="W391">
        <v>0</v>
      </c>
      <c r="X391">
        <v>554</v>
      </c>
      <c r="Y391">
        <v>-724</v>
      </c>
      <c r="Z391">
        <v>-1437</v>
      </c>
      <c r="AA391">
        <v>98</v>
      </c>
      <c r="AB391">
        <v>5574</v>
      </c>
      <c r="AC391">
        <v>0</v>
      </c>
      <c r="AD391">
        <v>4655</v>
      </c>
      <c r="AE391">
        <v>0</v>
      </c>
      <c r="AF391">
        <v>5</v>
      </c>
      <c r="AG391">
        <v>27</v>
      </c>
      <c r="AH391">
        <v>0</v>
      </c>
      <c r="AI391">
        <v>28882</v>
      </c>
      <c r="AJ391">
        <v>0</v>
      </c>
      <c r="AK391">
        <v>0</v>
      </c>
      <c r="AL391">
        <v>0</v>
      </c>
      <c r="AM391">
        <v>0</v>
      </c>
      <c r="AN391">
        <v>0</v>
      </c>
      <c r="AO391">
        <v>0</v>
      </c>
      <c r="AP391">
        <v>0</v>
      </c>
      <c r="AQ391">
        <v>2798</v>
      </c>
      <c r="AR391">
        <v>899</v>
      </c>
      <c r="AS391">
        <v>0</v>
      </c>
      <c r="AT391">
        <v>0</v>
      </c>
      <c r="AU391">
        <v>0</v>
      </c>
      <c r="AV391">
        <v>4240</v>
      </c>
      <c r="AW391">
        <v>62243</v>
      </c>
      <c r="AX391">
        <v>2466</v>
      </c>
      <c r="AY391">
        <v>11837</v>
      </c>
      <c r="AZ391">
        <v>1921</v>
      </c>
      <c r="BA391">
        <v>26183</v>
      </c>
      <c r="BB391">
        <v>3982</v>
      </c>
      <c r="BC391">
        <v>4173</v>
      </c>
      <c r="BD391">
        <v>117045</v>
      </c>
      <c r="BE391">
        <v>10813</v>
      </c>
      <c r="BF391">
        <v>26186</v>
      </c>
      <c r="BG391">
        <v>992</v>
      </c>
      <c r="BH391">
        <v>569</v>
      </c>
      <c r="BI391">
        <v>209</v>
      </c>
      <c r="BJ391">
        <v>13131</v>
      </c>
      <c r="BK391">
        <v>49595</v>
      </c>
      <c r="BL391">
        <v>5607</v>
      </c>
      <c r="BM391">
        <v>7042</v>
      </c>
      <c r="BN391">
        <v>3508</v>
      </c>
      <c r="BO391">
        <v>150</v>
      </c>
      <c r="BP391">
        <v>0</v>
      </c>
      <c r="BQ391">
        <v>475</v>
      </c>
      <c r="BR391">
        <v>1949</v>
      </c>
      <c r="BS391">
        <v>301</v>
      </c>
      <c r="BT391">
        <v>28454</v>
      </c>
      <c r="BU391">
        <v>1129</v>
      </c>
      <c r="BV391">
        <v>-1852</v>
      </c>
      <c r="BW391">
        <v>161370</v>
      </c>
      <c r="BX391">
        <v>2212</v>
      </c>
      <c r="BY391">
        <v>1971</v>
      </c>
      <c r="BZ391">
        <v>450</v>
      </c>
      <c r="CA391">
        <v>282</v>
      </c>
      <c r="CB391">
        <v>67</v>
      </c>
      <c r="CC391">
        <v>50</v>
      </c>
      <c r="CD391">
        <v>310</v>
      </c>
      <c r="CE391">
        <v>533</v>
      </c>
      <c r="CF391">
        <v>91</v>
      </c>
      <c r="CG391">
        <v>282</v>
      </c>
      <c r="CH391">
        <v>0</v>
      </c>
      <c r="CI391">
        <v>1403</v>
      </c>
      <c r="CJ391">
        <v>1870</v>
      </c>
      <c r="CK391">
        <v>291</v>
      </c>
      <c r="CL391">
        <v>582</v>
      </c>
      <c r="CM391">
        <v>564</v>
      </c>
      <c r="CN391">
        <v>183</v>
      </c>
      <c r="CO391">
        <v>0</v>
      </c>
      <c r="CP391">
        <v>3146</v>
      </c>
      <c r="CQ391">
        <v>6779</v>
      </c>
      <c r="CR391">
        <v>219</v>
      </c>
      <c r="CS391">
        <v>0</v>
      </c>
      <c r="CT391">
        <v>1801</v>
      </c>
      <c r="CU391">
        <v>4697</v>
      </c>
      <c r="CV391">
        <v>46603</v>
      </c>
      <c r="CW391">
        <v>0</v>
      </c>
      <c r="CX391">
        <v>0</v>
      </c>
      <c r="CY391">
        <v>0</v>
      </c>
      <c r="CZ391">
        <v>0</v>
      </c>
      <c r="DA391">
        <v>0</v>
      </c>
      <c r="DB391">
        <v>0</v>
      </c>
      <c r="DC391">
        <v>0</v>
      </c>
      <c r="DD391">
        <v>0</v>
      </c>
      <c r="DE391">
        <v>0</v>
      </c>
      <c r="DF391">
        <v>0</v>
      </c>
      <c r="DG391">
        <v>0</v>
      </c>
      <c r="DH391">
        <v>0</v>
      </c>
      <c r="DI391">
        <v>0</v>
      </c>
      <c r="DJ391">
        <v>0</v>
      </c>
      <c r="DK391">
        <v>0</v>
      </c>
      <c r="DL391">
        <v>0</v>
      </c>
      <c r="DM391">
        <v>0</v>
      </c>
      <c r="DN391">
        <v>0</v>
      </c>
      <c r="DO391">
        <v>0</v>
      </c>
      <c r="DP391">
        <v>0</v>
      </c>
      <c r="DQ391">
        <v>0</v>
      </c>
      <c r="DR391">
        <v>0</v>
      </c>
      <c r="DS391">
        <v>0</v>
      </c>
      <c r="DT391">
        <v>0</v>
      </c>
      <c r="DU391">
        <v>271</v>
      </c>
      <c r="DV391">
        <v>3990</v>
      </c>
      <c r="DW391">
        <v>0</v>
      </c>
      <c r="DX391">
        <v>4261</v>
      </c>
      <c r="DY391">
        <v>0</v>
      </c>
      <c r="DZ391">
        <v>0</v>
      </c>
      <c r="EA391">
        <v>0</v>
      </c>
      <c r="EB391">
        <v>0</v>
      </c>
      <c r="EC391">
        <v>0</v>
      </c>
      <c r="ED391">
        <v>0</v>
      </c>
      <c r="EE391">
        <v>0</v>
      </c>
      <c r="EF391">
        <v>0</v>
      </c>
      <c r="EG391">
        <v>0</v>
      </c>
      <c r="EH391">
        <v>0</v>
      </c>
      <c r="EI391">
        <v>0</v>
      </c>
      <c r="EJ391">
        <v>0</v>
      </c>
      <c r="EK391">
        <v>0</v>
      </c>
      <c r="EL391">
        <v>0</v>
      </c>
      <c r="EM391">
        <v>0</v>
      </c>
      <c r="EN391">
        <v>0</v>
      </c>
      <c r="EO391">
        <v>0</v>
      </c>
      <c r="EP391">
        <v>0</v>
      </c>
      <c r="EQ391">
        <v>0</v>
      </c>
      <c r="ER391">
        <v>0</v>
      </c>
      <c r="ES391">
        <v>0</v>
      </c>
      <c r="ET391">
        <v>0</v>
      </c>
      <c r="EU391">
        <v>667</v>
      </c>
      <c r="EV391">
        <v>30</v>
      </c>
      <c r="EW391">
        <v>681</v>
      </c>
      <c r="EX391">
        <v>155</v>
      </c>
      <c r="EY391">
        <v>0</v>
      </c>
      <c r="EZ391">
        <v>0</v>
      </c>
      <c r="FA391">
        <v>0</v>
      </c>
      <c r="FB391">
        <v>0</v>
      </c>
      <c r="FC391">
        <v>0</v>
      </c>
      <c r="FD391">
        <v>1349</v>
      </c>
      <c r="FE391">
        <v>0</v>
      </c>
      <c r="FF391">
        <v>718</v>
      </c>
      <c r="FG391">
        <v>6587</v>
      </c>
      <c r="FH391">
        <v>10187</v>
      </c>
      <c r="FI391">
        <v>0</v>
      </c>
      <c r="FJ391">
        <v>1328</v>
      </c>
      <c r="FK391">
        <v>0</v>
      </c>
      <c r="FL391">
        <v>0</v>
      </c>
      <c r="FM391">
        <v>0</v>
      </c>
      <c r="FN391">
        <v>0</v>
      </c>
      <c r="FO391">
        <v>0</v>
      </c>
      <c r="FP391">
        <v>0</v>
      </c>
      <c r="FQ391">
        <v>0</v>
      </c>
      <c r="FR391">
        <v>0</v>
      </c>
      <c r="FS391">
        <v>0</v>
      </c>
      <c r="FT391">
        <v>0</v>
      </c>
      <c r="FU391">
        <v>0</v>
      </c>
      <c r="FV391">
        <v>486</v>
      </c>
      <c r="FW391">
        <v>0</v>
      </c>
      <c r="FX391">
        <v>0</v>
      </c>
      <c r="FY391">
        <v>282</v>
      </c>
      <c r="FZ391">
        <v>274</v>
      </c>
      <c r="GA391">
        <v>0</v>
      </c>
      <c r="GB391">
        <v>0</v>
      </c>
      <c r="GC391">
        <v>-696</v>
      </c>
      <c r="GD391">
        <v>0</v>
      </c>
      <c r="GE391">
        <v>0</v>
      </c>
      <c r="GF391">
        <v>20267</v>
      </c>
      <c r="GG391">
        <v>-649</v>
      </c>
      <c r="GH391">
        <v>0</v>
      </c>
      <c r="GI391">
        <v>2984</v>
      </c>
      <c r="GJ391">
        <v>0</v>
      </c>
      <c r="GK391">
        <v>24276</v>
      </c>
      <c r="GL391">
        <v>0</v>
      </c>
      <c r="GM391">
        <v>-517</v>
      </c>
      <c r="GN391">
        <v>0</v>
      </c>
      <c r="GO391">
        <v>787</v>
      </c>
      <c r="GP391">
        <v>74</v>
      </c>
      <c r="GQ391">
        <v>377</v>
      </c>
      <c r="GR391">
        <v>0</v>
      </c>
      <c r="GS391">
        <v>3388</v>
      </c>
      <c r="GT391">
        <v>2327</v>
      </c>
      <c r="GU391">
        <v>6436</v>
      </c>
      <c r="GV391">
        <v>40900</v>
      </c>
      <c r="GW391">
        <v>0</v>
      </c>
      <c r="GX391">
        <v>3657</v>
      </c>
      <c r="GY391">
        <v>22984</v>
      </c>
      <c r="GZ391">
        <v>0</v>
      </c>
      <c r="HA391">
        <v>26641</v>
      </c>
      <c r="HB391">
        <v>6076</v>
      </c>
      <c r="HC391">
        <v>0</v>
      </c>
      <c r="HD391">
        <v>0</v>
      </c>
      <c r="HE391">
        <v>0</v>
      </c>
      <c r="HF391">
        <v>0</v>
      </c>
      <c r="HG391">
        <v>0</v>
      </c>
      <c r="HH391">
        <v>0</v>
      </c>
      <c r="HI391">
        <v>-20</v>
      </c>
      <c r="HJ391">
        <v>0</v>
      </c>
      <c r="HK391">
        <v>568</v>
      </c>
      <c r="HL391">
        <v>252</v>
      </c>
      <c r="HM391">
        <v>0</v>
      </c>
      <c r="HN391">
        <v>7570</v>
      </c>
      <c r="HO391">
        <v>84</v>
      </c>
      <c r="HP391">
        <v>908</v>
      </c>
      <c r="HQ391">
        <v>0</v>
      </c>
      <c r="HR391">
        <v>1449</v>
      </c>
      <c r="HS391">
        <v>0</v>
      </c>
      <c r="HT391">
        <v>52</v>
      </c>
      <c r="HU391">
        <v>0</v>
      </c>
      <c r="HV391">
        <v>16939</v>
      </c>
      <c r="HW391">
        <v>0</v>
      </c>
      <c r="HX391">
        <v>0</v>
      </c>
      <c r="HY391">
        <v>0</v>
      </c>
      <c r="HZ391">
        <v>0</v>
      </c>
      <c r="IA391">
        <v>0</v>
      </c>
      <c r="IB391">
        <v>0</v>
      </c>
      <c r="IC391">
        <v>300620</v>
      </c>
      <c r="ID391">
        <v>28882</v>
      </c>
      <c r="IE391">
        <v>117045</v>
      </c>
      <c r="IF391">
        <v>161370</v>
      </c>
      <c r="IG391">
        <v>46603</v>
      </c>
      <c r="IH391">
        <v>4261</v>
      </c>
      <c r="II391">
        <v>10187</v>
      </c>
      <c r="IJ391">
        <v>24276</v>
      </c>
      <c r="IK391">
        <v>6436</v>
      </c>
      <c r="IL391">
        <v>0</v>
      </c>
      <c r="IM391">
        <v>26641</v>
      </c>
      <c r="IN391">
        <v>16939</v>
      </c>
      <c r="IO391">
        <v>0</v>
      </c>
      <c r="IP391">
        <v>743261</v>
      </c>
      <c r="IQ391">
        <v>0</v>
      </c>
      <c r="IR391">
        <v>0</v>
      </c>
      <c r="IS391">
        <v>0</v>
      </c>
      <c r="IT391">
        <v>0</v>
      </c>
      <c r="IU391">
        <v>0</v>
      </c>
      <c r="IV391">
        <v>0</v>
      </c>
      <c r="IW391">
        <v>0</v>
      </c>
      <c r="IX391">
        <v>0</v>
      </c>
      <c r="IY391">
        <v>0</v>
      </c>
      <c r="IZ391">
        <v>0</v>
      </c>
      <c r="JA391">
        <v>0</v>
      </c>
      <c r="JB391">
        <v>1788</v>
      </c>
      <c r="JC391">
        <v>0</v>
      </c>
      <c r="JD391">
        <v>0</v>
      </c>
      <c r="JE391">
        <v>0</v>
      </c>
      <c r="JF391">
        <v>0</v>
      </c>
      <c r="JG391">
        <v>745049</v>
      </c>
      <c r="JH391">
        <v>257</v>
      </c>
      <c r="JI391">
        <v>2524</v>
      </c>
      <c r="JJ391">
        <v>126</v>
      </c>
      <c r="JK391">
        <v>0</v>
      </c>
      <c r="JL391">
        <v>0</v>
      </c>
      <c r="JM391">
        <v>0</v>
      </c>
      <c r="JN391">
        <v>10941</v>
      </c>
      <c r="JO391">
        <v>12</v>
      </c>
      <c r="JP391">
        <v>16012</v>
      </c>
      <c r="JQ391">
        <v>0</v>
      </c>
      <c r="JR391">
        <v>774921</v>
      </c>
      <c r="JS391">
        <v>-2961</v>
      </c>
      <c r="JT391">
        <v>0</v>
      </c>
      <c r="JU391">
        <v>0</v>
      </c>
      <c r="JV391">
        <v>0</v>
      </c>
      <c r="JW391">
        <v>-1957</v>
      </c>
      <c r="JX391">
        <v>0</v>
      </c>
      <c r="JY391">
        <v>0</v>
      </c>
      <c r="JZ391">
        <v>0</v>
      </c>
      <c r="KA391">
        <v>0</v>
      </c>
      <c r="KB391">
        <v>-11097</v>
      </c>
      <c r="KC391">
        <v>758905</v>
      </c>
      <c r="KD391">
        <v>-518</v>
      </c>
      <c r="KE391">
        <v>-363858</v>
      </c>
      <c r="KF391">
        <v>394529</v>
      </c>
      <c r="KG391">
        <v>0</v>
      </c>
      <c r="KH391">
        <v>1761</v>
      </c>
      <c r="KI391">
        <v>8271</v>
      </c>
      <c r="KJ391">
        <v>0</v>
      </c>
      <c r="KK391">
        <v>-31931</v>
      </c>
      <c r="KL391">
        <v>33134</v>
      </c>
      <c r="KM391">
        <v>0</v>
      </c>
      <c r="KN391">
        <v>0</v>
      </c>
      <c r="KO391">
        <v>-65389</v>
      </c>
      <c r="KP391">
        <v>1438</v>
      </c>
      <c r="KQ391">
        <v>0</v>
      </c>
      <c r="KR391">
        <v>323675</v>
      </c>
      <c r="KS391">
        <v>21325</v>
      </c>
      <c r="KT391">
        <v>-8271</v>
      </c>
      <c r="KU391">
        <v>0</v>
      </c>
      <c r="KV391">
        <v>209923</v>
      </c>
      <c r="KW391">
        <v>21417</v>
      </c>
      <c r="KX391">
        <v>23086</v>
      </c>
      <c r="KY391">
        <v>0</v>
      </c>
      <c r="KZ391">
        <v>0</v>
      </c>
      <c r="LA391">
        <v>177992</v>
      </c>
      <c r="LB391">
        <v>54551</v>
      </c>
      <c r="LC391">
        <v>0</v>
      </c>
      <c r="LD391">
        <v>41308</v>
      </c>
      <c r="LE391">
        <v>0</v>
      </c>
      <c r="LF391">
        <v>-86819</v>
      </c>
      <c r="LG391">
        <v>-81160</v>
      </c>
      <c r="LH391">
        <v>22087</v>
      </c>
      <c r="LI391">
        <v>-105357</v>
      </c>
      <c r="LJ391">
        <v>0</v>
      </c>
      <c r="LK391">
        <v>0</v>
      </c>
      <c r="LL391">
        <v>0</v>
      </c>
      <c r="LM391">
        <v>0</v>
      </c>
      <c r="LN391">
        <v>0</v>
      </c>
      <c r="LO391">
        <v>0</v>
      </c>
      <c r="LP391">
        <v>0</v>
      </c>
      <c r="LQ391">
        <v>0</v>
      </c>
      <c r="LR391">
        <v>0</v>
      </c>
      <c r="LS391">
        <v>0</v>
      </c>
      <c r="LT391">
        <v>0</v>
      </c>
      <c r="LU391">
        <v>300620</v>
      </c>
      <c r="LV391">
        <v>28882</v>
      </c>
      <c r="LW391">
        <v>117045</v>
      </c>
      <c r="LX391">
        <v>161370</v>
      </c>
      <c r="LY391">
        <v>46603</v>
      </c>
      <c r="LZ391">
        <v>4261</v>
      </c>
      <c r="MA391">
        <v>10187</v>
      </c>
      <c r="MB391">
        <v>24276</v>
      </c>
      <c r="MC391">
        <v>6436</v>
      </c>
      <c r="MD391">
        <v>0</v>
      </c>
      <c r="ME391">
        <v>26641</v>
      </c>
      <c r="MF391">
        <v>16939</v>
      </c>
      <c r="MG391">
        <v>0</v>
      </c>
      <c r="MH391">
        <v>743261</v>
      </c>
      <c r="MI391">
        <v>0</v>
      </c>
      <c r="MJ391">
        <v>0</v>
      </c>
      <c r="MK391">
        <v>0</v>
      </c>
      <c r="ML391">
        <v>0</v>
      </c>
      <c r="MM391">
        <v>0</v>
      </c>
      <c r="MN391">
        <v>0</v>
      </c>
      <c r="MO391">
        <v>0</v>
      </c>
      <c r="MP391">
        <v>0</v>
      </c>
      <c r="MQ391">
        <v>0</v>
      </c>
      <c r="MR391">
        <v>0</v>
      </c>
      <c r="MS391">
        <v>0</v>
      </c>
      <c r="MT391">
        <v>0</v>
      </c>
      <c r="MU391">
        <v>0</v>
      </c>
      <c r="MV391">
        <v>0</v>
      </c>
      <c r="MW391">
        <v>0</v>
      </c>
      <c r="MX391">
        <v>0</v>
      </c>
      <c r="MY391">
        <v>0</v>
      </c>
      <c r="MZ391">
        <v>0</v>
      </c>
      <c r="NA391">
        <v>0</v>
      </c>
      <c r="NB391">
        <v>0</v>
      </c>
      <c r="NC391">
        <v>0</v>
      </c>
      <c r="ND391">
        <v>0</v>
      </c>
      <c r="NE391">
        <v>32</v>
      </c>
      <c r="NF391">
        <v>0</v>
      </c>
      <c r="NG391">
        <v>0</v>
      </c>
      <c r="NH391">
        <v>0</v>
      </c>
      <c r="NI391">
        <v>0</v>
      </c>
      <c r="NJ391">
        <v>0</v>
      </c>
      <c r="NK391">
        <v>0</v>
      </c>
      <c r="NL391">
        <v>73</v>
      </c>
      <c r="NM391">
        <v>0</v>
      </c>
      <c r="NN391">
        <v>808</v>
      </c>
      <c r="NO391">
        <v>0</v>
      </c>
      <c r="NP391">
        <v>0</v>
      </c>
      <c r="NQ391">
        <v>0</v>
      </c>
      <c r="NR391">
        <v>0</v>
      </c>
      <c r="NS391">
        <v>0</v>
      </c>
      <c r="NT391">
        <v>0</v>
      </c>
      <c r="NU391">
        <v>0</v>
      </c>
      <c r="NV391">
        <v>0</v>
      </c>
      <c r="NW391">
        <v>0</v>
      </c>
      <c r="NX391">
        <v>0</v>
      </c>
      <c r="NY391">
        <v>0</v>
      </c>
      <c r="NZ391">
        <v>1788</v>
      </c>
      <c r="OA391">
        <v>0</v>
      </c>
      <c r="OB391">
        <v>1788</v>
      </c>
      <c r="OC391">
        <v>0</v>
      </c>
      <c r="OD391">
        <v>0</v>
      </c>
      <c r="OE391">
        <v>0</v>
      </c>
      <c r="OF391">
        <v>0</v>
      </c>
      <c r="OG391">
        <v>0</v>
      </c>
      <c r="OH391">
        <v>0</v>
      </c>
      <c r="OI391">
        <v>0</v>
      </c>
      <c r="OJ391">
        <v>0</v>
      </c>
      <c r="OK391">
        <v>0</v>
      </c>
      <c r="OL391">
        <v>0</v>
      </c>
      <c r="OM391">
        <v>0</v>
      </c>
      <c r="ON391">
        <v>0</v>
      </c>
    </row>
    <row r="392" spans="1:404" x14ac:dyDescent="0.25">
      <c r="A392" t="s">
        <v>1242</v>
      </c>
      <c r="B392" t="s">
        <v>1243</v>
      </c>
      <c r="C392" t="s">
        <v>1241</v>
      </c>
      <c r="E392" t="s">
        <v>71</v>
      </c>
      <c r="F392">
        <v>0</v>
      </c>
      <c r="G392">
        <v>0</v>
      </c>
      <c r="H392">
        <v>0</v>
      </c>
      <c r="I392">
        <v>0</v>
      </c>
      <c r="J392">
        <v>0</v>
      </c>
      <c r="K392">
        <v>0</v>
      </c>
      <c r="L392">
        <v>0</v>
      </c>
      <c r="M392">
        <v>0</v>
      </c>
      <c r="N392">
        <v>0</v>
      </c>
      <c r="O392">
        <v>0</v>
      </c>
      <c r="P392">
        <v>0</v>
      </c>
      <c r="Q392">
        <v>0</v>
      </c>
      <c r="R392">
        <v>0</v>
      </c>
      <c r="S392">
        <v>0</v>
      </c>
      <c r="T392">
        <v>0</v>
      </c>
      <c r="U392">
        <v>0</v>
      </c>
      <c r="V392">
        <v>0</v>
      </c>
      <c r="W392">
        <v>0</v>
      </c>
      <c r="X392">
        <v>0</v>
      </c>
      <c r="Y392">
        <v>0</v>
      </c>
      <c r="Z392">
        <v>0</v>
      </c>
      <c r="AA392">
        <v>0</v>
      </c>
      <c r="AB392">
        <v>0</v>
      </c>
      <c r="AC392">
        <v>0</v>
      </c>
      <c r="AD392">
        <v>0</v>
      </c>
      <c r="AE392">
        <v>0</v>
      </c>
      <c r="AF392">
        <v>0</v>
      </c>
      <c r="AG392">
        <v>0</v>
      </c>
      <c r="AH392">
        <v>0</v>
      </c>
      <c r="AI392">
        <v>0</v>
      </c>
      <c r="AJ392">
        <v>0</v>
      </c>
      <c r="AK392">
        <v>0</v>
      </c>
      <c r="AL392">
        <v>0</v>
      </c>
      <c r="AM392">
        <v>0</v>
      </c>
      <c r="AN392">
        <v>0</v>
      </c>
      <c r="AO392">
        <v>0</v>
      </c>
      <c r="AP392">
        <v>0</v>
      </c>
      <c r="AQ392">
        <v>0</v>
      </c>
      <c r="AR392">
        <v>0</v>
      </c>
      <c r="AS392">
        <v>0</v>
      </c>
      <c r="AT392">
        <v>0</v>
      </c>
      <c r="AU392">
        <v>0</v>
      </c>
      <c r="AV392">
        <v>0</v>
      </c>
      <c r="AW392">
        <v>0</v>
      </c>
      <c r="AX392">
        <v>0</v>
      </c>
      <c r="AY392">
        <v>0</v>
      </c>
      <c r="AZ392">
        <v>0</v>
      </c>
      <c r="BA392">
        <v>0</v>
      </c>
      <c r="BB392">
        <v>0</v>
      </c>
      <c r="BC392">
        <v>0</v>
      </c>
      <c r="BD392">
        <v>0</v>
      </c>
      <c r="BE392">
        <v>0</v>
      </c>
      <c r="BF392">
        <v>0</v>
      </c>
      <c r="BG392">
        <v>0</v>
      </c>
      <c r="BH392">
        <v>0</v>
      </c>
      <c r="BI392">
        <v>0</v>
      </c>
      <c r="BJ392">
        <v>0</v>
      </c>
      <c r="BK392">
        <v>0</v>
      </c>
      <c r="BL392">
        <v>0</v>
      </c>
      <c r="BM392">
        <v>0</v>
      </c>
      <c r="BN392">
        <v>0</v>
      </c>
      <c r="BO392">
        <v>0</v>
      </c>
      <c r="BP392">
        <v>0</v>
      </c>
      <c r="BQ392">
        <v>0</v>
      </c>
      <c r="BR392">
        <v>0</v>
      </c>
      <c r="BS392">
        <v>0</v>
      </c>
      <c r="BT392">
        <v>0</v>
      </c>
      <c r="BU392">
        <v>0</v>
      </c>
      <c r="BV392">
        <v>0</v>
      </c>
      <c r="BW392">
        <v>0</v>
      </c>
      <c r="BX392">
        <v>0</v>
      </c>
      <c r="BY392">
        <v>0</v>
      </c>
      <c r="BZ392">
        <v>0</v>
      </c>
      <c r="CA392">
        <v>0</v>
      </c>
      <c r="CB392">
        <v>0</v>
      </c>
      <c r="CC392">
        <v>0</v>
      </c>
      <c r="CD392">
        <v>0</v>
      </c>
      <c r="CE392">
        <v>0</v>
      </c>
      <c r="CF392">
        <v>0</v>
      </c>
      <c r="CG392">
        <v>0</v>
      </c>
      <c r="CH392">
        <v>0</v>
      </c>
      <c r="CI392">
        <v>0</v>
      </c>
      <c r="CJ392">
        <v>0</v>
      </c>
      <c r="CK392">
        <v>0</v>
      </c>
      <c r="CL392">
        <v>0</v>
      </c>
      <c r="CM392">
        <v>0</v>
      </c>
      <c r="CN392">
        <v>0</v>
      </c>
      <c r="CO392">
        <v>0</v>
      </c>
      <c r="CP392">
        <v>0</v>
      </c>
      <c r="CQ392">
        <v>0</v>
      </c>
      <c r="CR392">
        <v>0</v>
      </c>
      <c r="CS392">
        <v>0</v>
      </c>
      <c r="CT392">
        <v>0</v>
      </c>
      <c r="CU392">
        <v>0</v>
      </c>
      <c r="CV392">
        <v>0</v>
      </c>
      <c r="CW392">
        <v>0</v>
      </c>
      <c r="CX392">
        <v>0</v>
      </c>
      <c r="CY392">
        <v>0</v>
      </c>
      <c r="CZ392">
        <v>0</v>
      </c>
      <c r="DA392">
        <v>0</v>
      </c>
      <c r="DB392">
        <v>0</v>
      </c>
      <c r="DC392">
        <v>0</v>
      </c>
      <c r="DD392">
        <v>0</v>
      </c>
      <c r="DE392">
        <v>0</v>
      </c>
      <c r="DF392">
        <v>0</v>
      </c>
      <c r="DG392">
        <v>0</v>
      </c>
      <c r="DH392">
        <v>0</v>
      </c>
      <c r="DI392">
        <v>0</v>
      </c>
      <c r="DJ392">
        <v>0</v>
      </c>
      <c r="DK392">
        <v>0</v>
      </c>
      <c r="DL392">
        <v>0</v>
      </c>
      <c r="DM392">
        <v>0</v>
      </c>
      <c r="DN392">
        <v>0</v>
      </c>
      <c r="DO392">
        <v>0</v>
      </c>
      <c r="DP392">
        <v>0</v>
      </c>
      <c r="DQ392">
        <v>0</v>
      </c>
      <c r="DR392">
        <v>0</v>
      </c>
      <c r="DS392">
        <v>0</v>
      </c>
      <c r="DT392">
        <v>0</v>
      </c>
      <c r="DU392">
        <v>0</v>
      </c>
      <c r="DV392">
        <v>0</v>
      </c>
      <c r="DW392">
        <v>0</v>
      </c>
      <c r="DX392">
        <v>0</v>
      </c>
      <c r="DY392">
        <v>0</v>
      </c>
      <c r="DZ392">
        <v>0</v>
      </c>
      <c r="EA392">
        <v>0</v>
      </c>
      <c r="EB392">
        <v>0</v>
      </c>
      <c r="EC392">
        <v>0</v>
      </c>
      <c r="ED392">
        <v>0</v>
      </c>
      <c r="EE392">
        <v>0</v>
      </c>
      <c r="EF392">
        <v>0</v>
      </c>
      <c r="EG392">
        <v>0</v>
      </c>
      <c r="EH392">
        <v>0</v>
      </c>
      <c r="EI392">
        <v>0</v>
      </c>
      <c r="EJ392">
        <v>0</v>
      </c>
      <c r="EK392">
        <v>0</v>
      </c>
      <c r="EL392">
        <v>0</v>
      </c>
      <c r="EM392">
        <v>0</v>
      </c>
      <c r="EN392">
        <v>0</v>
      </c>
      <c r="EO392">
        <v>0</v>
      </c>
      <c r="EP392">
        <v>0</v>
      </c>
      <c r="EQ392">
        <v>0</v>
      </c>
      <c r="ER392">
        <v>0</v>
      </c>
      <c r="ES392">
        <v>0</v>
      </c>
      <c r="ET392">
        <v>0</v>
      </c>
      <c r="EU392">
        <v>0</v>
      </c>
      <c r="EV392">
        <v>0</v>
      </c>
      <c r="EW392">
        <v>0</v>
      </c>
      <c r="EX392">
        <v>0</v>
      </c>
      <c r="EY392">
        <v>0</v>
      </c>
      <c r="EZ392">
        <v>0</v>
      </c>
      <c r="FA392">
        <v>0</v>
      </c>
      <c r="FB392">
        <v>0</v>
      </c>
      <c r="FC392">
        <v>0</v>
      </c>
      <c r="FD392">
        <v>0</v>
      </c>
      <c r="FE392">
        <v>0</v>
      </c>
      <c r="FF392">
        <v>0</v>
      </c>
      <c r="FG392">
        <v>0</v>
      </c>
      <c r="FH392">
        <v>0</v>
      </c>
      <c r="FI392">
        <v>0</v>
      </c>
      <c r="FJ392">
        <v>0</v>
      </c>
      <c r="FK392">
        <v>0</v>
      </c>
      <c r="FL392">
        <v>0</v>
      </c>
      <c r="FM392">
        <v>0</v>
      </c>
      <c r="FN392">
        <v>0</v>
      </c>
      <c r="FO392">
        <v>0</v>
      </c>
      <c r="FP392">
        <v>0</v>
      </c>
      <c r="FQ392">
        <v>0</v>
      </c>
      <c r="FR392">
        <v>0</v>
      </c>
      <c r="FS392">
        <v>0</v>
      </c>
      <c r="FT392">
        <v>0</v>
      </c>
      <c r="FU392">
        <v>0</v>
      </c>
      <c r="FV392">
        <v>0</v>
      </c>
      <c r="FW392">
        <v>0</v>
      </c>
      <c r="FX392">
        <v>0</v>
      </c>
      <c r="FY392">
        <v>0</v>
      </c>
      <c r="FZ392">
        <v>0</v>
      </c>
      <c r="GA392">
        <v>0</v>
      </c>
      <c r="GB392">
        <v>0</v>
      </c>
      <c r="GC392">
        <v>0</v>
      </c>
      <c r="GD392">
        <v>0</v>
      </c>
      <c r="GE392">
        <v>0</v>
      </c>
      <c r="GF392">
        <v>0</v>
      </c>
      <c r="GG392">
        <v>0</v>
      </c>
      <c r="GH392">
        <v>0</v>
      </c>
      <c r="GI392">
        <v>0</v>
      </c>
      <c r="GJ392">
        <v>0</v>
      </c>
      <c r="GK392">
        <v>0</v>
      </c>
      <c r="GL392">
        <v>0</v>
      </c>
      <c r="GM392">
        <v>0</v>
      </c>
      <c r="GN392">
        <v>0</v>
      </c>
      <c r="GO392">
        <v>0</v>
      </c>
      <c r="GP392">
        <v>0</v>
      </c>
      <c r="GQ392">
        <v>0</v>
      </c>
      <c r="GR392">
        <v>0</v>
      </c>
      <c r="GS392">
        <v>0</v>
      </c>
      <c r="GT392">
        <v>0</v>
      </c>
      <c r="GU392">
        <v>0</v>
      </c>
      <c r="GV392">
        <v>0</v>
      </c>
      <c r="GW392">
        <v>112282</v>
      </c>
      <c r="GX392">
        <v>0</v>
      </c>
      <c r="GY392">
        <v>0</v>
      </c>
      <c r="GZ392">
        <v>0</v>
      </c>
      <c r="HA392">
        <v>0</v>
      </c>
      <c r="HB392">
        <v>4410</v>
      </c>
      <c r="HC392">
        <v>0</v>
      </c>
      <c r="HD392">
        <v>0</v>
      </c>
      <c r="HE392">
        <v>0</v>
      </c>
      <c r="HF392">
        <v>0</v>
      </c>
      <c r="HG392">
        <v>0</v>
      </c>
      <c r="HH392">
        <v>0</v>
      </c>
      <c r="HI392">
        <v>0</v>
      </c>
      <c r="HJ392">
        <v>0</v>
      </c>
      <c r="HK392">
        <v>0</v>
      </c>
      <c r="HL392">
        <v>0</v>
      </c>
      <c r="HM392">
        <v>0</v>
      </c>
      <c r="HN392">
        <v>0</v>
      </c>
      <c r="HO392">
        <v>0</v>
      </c>
      <c r="HP392">
        <v>0</v>
      </c>
      <c r="HQ392">
        <v>0</v>
      </c>
      <c r="HR392">
        <v>-467</v>
      </c>
      <c r="HS392">
        <v>0</v>
      </c>
      <c r="HT392">
        <v>0</v>
      </c>
      <c r="HU392">
        <v>0</v>
      </c>
      <c r="HV392">
        <v>3943</v>
      </c>
      <c r="HW392">
        <v>0</v>
      </c>
      <c r="HX392">
        <v>0</v>
      </c>
      <c r="HY392">
        <v>0</v>
      </c>
      <c r="HZ392">
        <v>0</v>
      </c>
      <c r="IA392">
        <v>0</v>
      </c>
      <c r="IB392">
        <v>0</v>
      </c>
      <c r="IC392">
        <v>0</v>
      </c>
      <c r="ID392">
        <v>0</v>
      </c>
      <c r="IE392">
        <v>0</v>
      </c>
      <c r="IF392">
        <v>0</v>
      </c>
      <c r="IG392">
        <v>0</v>
      </c>
      <c r="IH392">
        <v>0</v>
      </c>
      <c r="II392">
        <v>0</v>
      </c>
      <c r="IJ392">
        <v>0</v>
      </c>
      <c r="IK392">
        <v>0</v>
      </c>
      <c r="IL392">
        <v>112282</v>
      </c>
      <c r="IM392">
        <v>0</v>
      </c>
      <c r="IN392">
        <v>3943</v>
      </c>
      <c r="IO392">
        <v>0</v>
      </c>
      <c r="IP392">
        <v>116225</v>
      </c>
      <c r="IQ392">
        <v>0</v>
      </c>
      <c r="IR392">
        <v>0</v>
      </c>
      <c r="IS392">
        <v>0</v>
      </c>
      <c r="IT392">
        <v>0</v>
      </c>
      <c r="IU392">
        <v>0</v>
      </c>
      <c r="IV392">
        <v>0</v>
      </c>
      <c r="IW392">
        <v>0</v>
      </c>
      <c r="IX392">
        <v>0</v>
      </c>
      <c r="IY392">
        <v>0</v>
      </c>
      <c r="IZ392">
        <v>0</v>
      </c>
      <c r="JA392">
        <v>0</v>
      </c>
      <c r="JB392">
        <v>0</v>
      </c>
      <c r="JC392">
        <v>0</v>
      </c>
      <c r="JD392">
        <v>0</v>
      </c>
      <c r="JE392">
        <v>0</v>
      </c>
      <c r="JF392">
        <v>0</v>
      </c>
      <c r="JG392">
        <v>116225</v>
      </c>
      <c r="JH392">
        <v>0</v>
      </c>
      <c r="JI392">
        <v>754</v>
      </c>
      <c r="JJ392">
        <v>0</v>
      </c>
      <c r="JK392">
        <v>0</v>
      </c>
      <c r="JL392">
        <v>0</v>
      </c>
      <c r="JM392">
        <v>0</v>
      </c>
      <c r="JN392">
        <v>2421</v>
      </c>
      <c r="JO392">
        <v>0</v>
      </c>
      <c r="JP392">
        <v>517</v>
      </c>
      <c r="JQ392">
        <v>0</v>
      </c>
      <c r="JR392">
        <v>119917</v>
      </c>
      <c r="JS392">
        <v>-15</v>
      </c>
      <c r="JT392">
        <v>0</v>
      </c>
      <c r="JU392">
        <v>0</v>
      </c>
      <c r="JV392">
        <v>0</v>
      </c>
      <c r="JW392">
        <v>0</v>
      </c>
      <c r="JX392">
        <v>0</v>
      </c>
      <c r="JY392">
        <v>0</v>
      </c>
      <c r="JZ392">
        <v>0</v>
      </c>
      <c r="KA392">
        <v>0</v>
      </c>
      <c r="KB392">
        <v>0</v>
      </c>
      <c r="KC392">
        <v>119902</v>
      </c>
      <c r="KD392">
        <v>0</v>
      </c>
      <c r="KE392">
        <v>-6321</v>
      </c>
      <c r="KF392">
        <v>113581</v>
      </c>
      <c r="KG392">
        <v>0</v>
      </c>
      <c r="KH392">
        <v>0</v>
      </c>
      <c r="KI392">
        <v>0</v>
      </c>
      <c r="KJ392">
        <v>0</v>
      </c>
      <c r="KK392">
        <v>1618</v>
      </c>
      <c r="KL392">
        <v>0</v>
      </c>
      <c r="KM392">
        <v>0</v>
      </c>
      <c r="KN392">
        <v>-60897</v>
      </c>
      <c r="KO392">
        <v>0</v>
      </c>
      <c r="KP392">
        <v>230</v>
      </c>
      <c r="KQ392">
        <v>71</v>
      </c>
      <c r="KR392">
        <v>53392</v>
      </c>
      <c r="KS392">
        <v>0</v>
      </c>
      <c r="KT392">
        <v>0</v>
      </c>
      <c r="KU392">
        <v>0</v>
      </c>
      <c r="KV392">
        <v>7688</v>
      </c>
      <c r="KW392">
        <v>5000</v>
      </c>
      <c r="KX392">
        <v>0</v>
      </c>
      <c r="KY392">
        <v>0</v>
      </c>
      <c r="KZ392">
        <v>0</v>
      </c>
      <c r="LA392">
        <v>9306</v>
      </c>
      <c r="LB392">
        <v>5000</v>
      </c>
      <c r="LC392">
        <v>0</v>
      </c>
      <c r="LD392">
        <v>0</v>
      </c>
      <c r="LE392">
        <v>0</v>
      </c>
      <c r="LF392">
        <v>0</v>
      </c>
      <c r="LG392">
        <v>0</v>
      </c>
      <c r="LH392">
        <v>0</v>
      </c>
      <c r="LI392">
        <v>0</v>
      </c>
      <c r="LJ392">
        <v>0</v>
      </c>
      <c r="LK392">
        <v>0</v>
      </c>
      <c r="LL392">
        <v>0</v>
      </c>
      <c r="LM392">
        <v>0</v>
      </c>
      <c r="LN392">
        <v>0</v>
      </c>
      <c r="LO392">
        <v>0</v>
      </c>
      <c r="LP392">
        <v>0</v>
      </c>
      <c r="LQ392">
        <v>0</v>
      </c>
      <c r="LR392">
        <v>0</v>
      </c>
      <c r="LS392">
        <v>0</v>
      </c>
      <c r="LT392">
        <v>0</v>
      </c>
      <c r="LU392">
        <v>0</v>
      </c>
      <c r="LV392">
        <v>0</v>
      </c>
      <c r="LW392">
        <v>0</v>
      </c>
      <c r="LX392">
        <v>0</v>
      </c>
      <c r="LY392">
        <v>0</v>
      </c>
      <c r="LZ392">
        <v>0</v>
      </c>
      <c r="MA392">
        <v>0</v>
      </c>
      <c r="MB392">
        <v>0</v>
      </c>
      <c r="MC392">
        <v>0</v>
      </c>
      <c r="MD392">
        <v>112282</v>
      </c>
      <c r="ME392">
        <v>0</v>
      </c>
      <c r="MF392">
        <v>3943</v>
      </c>
      <c r="MG392">
        <v>0</v>
      </c>
      <c r="MH392">
        <v>116225</v>
      </c>
      <c r="MI392">
        <v>0</v>
      </c>
      <c r="MJ392">
        <v>0</v>
      </c>
      <c r="MK392">
        <v>0</v>
      </c>
      <c r="ML392">
        <v>0</v>
      </c>
      <c r="MM392">
        <v>0</v>
      </c>
      <c r="MN392">
        <v>0</v>
      </c>
      <c r="MO392">
        <v>0</v>
      </c>
      <c r="MP392">
        <v>0</v>
      </c>
      <c r="MQ392">
        <v>0</v>
      </c>
      <c r="MR392">
        <v>0</v>
      </c>
      <c r="MS392">
        <v>0</v>
      </c>
      <c r="MT392">
        <v>0</v>
      </c>
      <c r="MU392">
        <v>0</v>
      </c>
      <c r="MV392">
        <v>0</v>
      </c>
      <c r="MW392">
        <v>0</v>
      </c>
      <c r="MX392">
        <v>0</v>
      </c>
      <c r="MY392">
        <v>0</v>
      </c>
      <c r="MZ392">
        <v>0</v>
      </c>
      <c r="NA392">
        <v>0</v>
      </c>
      <c r="NB392">
        <v>0</v>
      </c>
      <c r="NC392">
        <v>0</v>
      </c>
      <c r="ND392">
        <v>0</v>
      </c>
      <c r="NE392">
        <v>0</v>
      </c>
      <c r="NF392">
        <v>0</v>
      </c>
      <c r="NG392">
        <v>0</v>
      </c>
      <c r="NH392">
        <v>0</v>
      </c>
      <c r="NI392">
        <v>0</v>
      </c>
      <c r="NJ392">
        <v>0</v>
      </c>
      <c r="NK392">
        <v>0</v>
      </c>
      <c r="NL392">
        <v>0</v>
      </c>
      <c r="NM392">
        <v>0</v>
      </c>
      <c r="NN392">
        <v>0</v>
      </c>
      <c r="NO392">
        <v>0</v>
      </c>
      <c r="NP392">
        <v>0</v>
      </c>
      <c r="NQ392">
        <v>0</v>
      </c>
      <c r="NR392">
        <v>0</v>
      </c>
      <c r="NS392">
        <v>0</v>
      </c>
      <c r="NT392">
        <v>0</v>
      </c>
      <c r="NU392">
        <v>0</v>
      </c>
      <c r="NV392">
        <v>0</v>
      </c>
      <c r="NW392">
        <v>0</v>
      </c>
      <c r="NX392">
        <v>0</v>
      </c>
      <c r="NY392">
        <v>0</v>
      </c>
      <c r="NZ392">
        <v>0</v>
      </c>
      <c r="OA392">
        <v>0</v>
      </c>
      <c r="OB392">
        <v>0</v>
      </c>
      <c r="OC392">
        <v>0</v>
      </c>
      <c r="OD392">
        <v>0</v>
      </c>
      <c r="OE392">
        <v>0</v>
      </c>
      <c r="OF392">
        <v>0</v>
      </c>
      <c r="OG392">
        <v>0</v>
      </c>
      <c r="OH392">
        <v>0</v>
      </c>
      <c r="OI392">
        <v>0</v>
      </c>
      <c r="OJ392">
        <v>0</v>
      </c>
      <c r="OK392">
        <v>0</v>
      </c>
      <c r="OL392">
        <v>0</v>
      </c>
      <c r="OM392">
        <v>0</v>
      </c>
      <c r="ON392">
        <v>0</v>
      </c>
    </row>
    <row r="393" spans="1:404" x14ac:dyDescent="0.25">
      <c r="A393" t="s">
        <v>1245</v>
      </c>
      <c r="B393" t="s">
        <v>1246</v>
      </c>
      <c r="C393" t="s">
        <v>1244</v>
      </c>
      <c r="E393" t="s">
        <v>61</v>
      </c>
      <c r="F393">
        <v>0</v>
      </c>
      <c r="G393">
        <v>0</v>
      </c>
      <c r="H393">
        <v>0</v>
      </c>
      <c r="I393">
        <v>0</v>
      </c>
      <c r="J393">
        <v>0</v>
      </c>
      <c r="K393">
        <v>0</v>
      </c>
      <c r="L393">
        <v>0</v>
      </c>
      <c r="M393">
        <v>6</v>
      </c>
      <c r="N393">
        <v>0</v>
      </c>
      <c r="O393">
        <v>0</v>
      </c>
      <c r="P393">
        <v>0</v>
      </c>
      <c r="Q393">
        <v>0</v>
      </c>
      <c r="R393">
        <v>2</v>
      </c>
      <c r="S393">
        <v>0</v>
      </c>
      <c r="T393">
        <v>0</v>
      </c>
      <c r="U393">
        <v>0</v>
      </c>
      <c r="V393">
        <v>0</v>
      </c>
      <c r="W393">
        <v>0</v>
      </c>
      <c r="X393">
        <v>0</v>
      </c>
      <c r="Y393">
        <v>0</v>
      </c>
      <c r="Z393">
        <v>85</v>
      </c>
      <c r="AA393">
        <v>-977</v>
      </c>
      <c r="AB393">
        <v>0</v>
      </c>
      <c r="AC393">
        <v>50</v>
      </c>
      <c r="AD393">
        <v>0</v>
      </c>
      <c r="AE393">
        <v>0</v>
      </c>
      <c r="AF393">
        <v>0</v>
      </c>
      <c r="AG393">
        <v>1</v>
      </c>
      <c r="AH393">
        <v>0</v>
      </c>
      <c r="AI393">
        <v>-833</v>
      </c>
      <c r="AJ393">
        <v>0</v>
      </c>
      <c r="AK393">
        <v>0</v>
      </c>
      <c r="AL393">
        <v>0</v>
      </c>
      <c r="AM393">
        <v>0</v>
      </c>
      <c r="AN393">
        <v>0</v>
      </c>
      <c r="AO393">
        <v>0</v>
      </c>
      <c r="AP393">
        <v>0</v>
      </c>
      <c r="AQ393">
        <v>986</v>
      </c>
      <c r="AR393">
        <v>748</v>
      </c>
      <c r="AS393">
        <v>0</v>
      </c>
      <c r="AT393">
        <v>0</v>
      </c>
      <c r="AU393">
        <v>0</v>
      </c>
      <c r="AV393">
        <v>0</v>
      </c>
      <c r="AW393">
        <v>0</v>
      </c>
      <c r="AX393">
        <v>0</v>
      </c>
      <c r="AY393">
        <v>0</v>
      </c>
      <c r="AZ393">
        <v>0</v>
      </c>
      <c r="BA393">
        <v>0</v>
      </c>
      <c r="BB393">
        <v>0</v>
      </c>
      <c r="BC393">
        <v>0</v>
      </c>
      <c r="BD393">
        <v>0</v>
      </c>
      <c r="BE393">
        <v>0</v>
      </c>
      <c r="BF393">
        <v>0</v>
      </c>
      <c r="BG393">
        <v>0</v>
      </c>
      <c r="BH393">
        <v>0</v>
      </c>
      <c r="BI393">
        <v>0</v>
      </c>
      <c r="BJ393">
        <v>0</v>
      </c>
      <c r="BK393">
        <v>0</v>
      </c>
      <c r="BL393">
        <v>0</v>
      </c>
      <c r="BM393">
        <v>0</v>
      </c>
      <c r="BN393">
        <v>0</v>
      </c>
      <c r="BO393">
        <v>0</v>
      </c>
      <c r="BP393">
        <v>0</v>
      </c>
      <c r="BQ393">
        <v>0</v>
      </c>
      <c r="BR393">
        <v>0</v>
      </c>
      <c r="BS393">
        <v>0</v>
      </c>
      <c r="BT393">
        <v>0</v>
      </c>
      <c r="BU393">
        <v>0</v>
      </c>
      <c r="BV393">
        <v>0</v>
      </c>
      <c r="BW393">
        <v>0</v>
      </c>
      <c r="BX393">
        <v>0</v>
      </c>
      <c r="BY393">
        <v>0</v>
      </c>
      <c r="BZ393">
        <v>0</v>
      </c>
      <c r="CA393">
        <v>0</v>
      </c>
      <c r="CB393">
        <v>0</v>
      </c>
      <c r="CC393">
        <v>0</v>
      </c>
      <c r="CD393">
        <v>0</v>
      </c>
      <c r="CE393">
        <v>0</v>
      </c>
      <c r="CF393">
        <v>0</v>
      </c>
      <c r="CG393">
        <v>0</v>
      </c>
      <c r="CH393">
        <v>0</v>
      </c>
      <c r="CI393">
        <v>0</v>
      </c>
      <c r="CJ393">
        <v>0</v>
      </c>
      <c r="CK393">
        <v>0</v>
      </c>
      <c r="CL393">
        <v>0</v>
      </c>
      <c r="CM393">
        <v>0</v>
      </c>
      <c r="CN393">
        <v>0</v>
      </c>
      <c r="CO393">
        <v>0</v>
      </c>
      <c r="CP393">
        <v>0</v>
      </c>
      <c r="CQ393">
        <v>0</v>
      </c>
      <c r="CR393">
        <v>0</v>
      </c>
      <c r="CS393">
        <v>0</v>
      </c>
      <c r="CT393">
        <v>0</v>
      </c>
      <c r="CU393">
        <v>0</v>
      </c>
      <c r="CV393">
        <v>0</v>
      </c>
      <c r="CW393">
        <v>0</v>
      </c>
      <c r="CX393">
        <v>0</v>
      </c>
      <c r="CY393">
        <v>0</v>
      </c>
      <c r="CZ393">
        <v>0</v>
      </c>
      <c r="DA393">
        <v>0</v>
      </c>
      <c r="DB393">
        <v>0</v>
      </c>
      <c r="DC393">
        <v>1611</v>
      </c>
      <c r="DD393">
        <v>0</v>
      </c>
      <c r="DE393">
        <v>0</v>
      </c>
      <c r="DF393">
        <v>0</v>
      </c>
      <c r="DG393">
        <v>0</v>
      </c>
      <c r="DH393">
        <v>0</v>
      </c>
      <c r="DI393">
        <v>0</v>
      </c>
      <c r="DJ393">
        <v>0</v>
      </c>
      <c r="DK393">
        <v>0</v>
      </c>
      <c r="DL393">
        <v>0</v>
      </c>
      <c r="DM393">
        <v>0</v>
      </c>
      <c r="DN393">
        <v>-459</v>
      </c>
      <c r="DO393">
        <v>0</v>
      </c>
      <c r="DP393">
        <v>-459</v>
      </c>
      <c r="DQ393">
        <v>0</v>
      </c>
      <c r="DR393">
        <v>0</v>
      </c>
      <c r="DS393">
        <v>0</v>
      </c>
      <c r="DT393">
        <v>-340</v>
      </c>
      <c r="DU393">
        <v>0</v>
      </c>
      <c r="DV393">
        <v>0</v>
      </c>
      <c r="DW393">
        <v>0</v>
      </c>
      <c r="DX393">
        <v>812</v>
      </c>
      <c r="DY393">
        <v>0</v>
      </c>
      <c r="DZ393">
        <v>0</v>
      </c>
      <c r="EA393">
        <v>0</v>
      </c>
      <c r="EB393">
        <v>0</v>
      </c>
      <c r="EC393">
        <v>0</v>
      </c>
      <c r="ED393">
        <v>0</v>
      </c>
      <c r="EE393">
        <v>0</v>
      </c>
      <c r="EF393">
        <v>0</v>
      </c>
      <c r="EG393">
        <v>0</v>
      </c>
      <c r="EH393">
        <v>0</v>
      </c>
      <c r="EI393">
        <v>0</v>
      </c>
      <c r="EJ393">
        <v>0</v>
      </c>
      <c r="EK393">
        <v>0</v>
      </c>
      <c r="EL393">
        <v>0</v>
      </c>
      <c r="EM393">
        <v>0</v>
      </c>
      <c r="EN393">
        <v>0</v>
      </c>
      <c r="EO393">
        <v>0</v>
      </c>
      <c r="EP393">
        <v>0</v>
      </c>
      <c r="EQ393">
        <v>0</v>
      </c>
      <c r="ER393">
        <v>0</v>
      </c>
      <c r="ES393">
        <v>0</v>
      </c>
      <c r="ET393">
        <v>0</v>
      </c>
      <c r="EU393">
        <v>0</v>
      </c>
      <c r="EV393">
        <v>159</v>
      </c>
      <c r="EW393">
        <v>0</v>
      </c>
      <c r="EX393">
        <v>289</v>
      </c>
      <c r="EY393">
        <v>441</v>
      </c>
      <c r="EZ393">
        <v>470</v>
      </c>
      <c r="FA393">
        <v>0</v>
      </c>
      <c r="FB393">
        <v>170</v>
      </c>
      <c r="FC393">
        <v>24</v>
      </c>
      <c r="FD393">
        <v>3179</v>
      </c>
      <c r="FE393">
        <v>0</v>
      </c>
      <c r="FF393">
        <v>0</v>
      </c>
      <c r="FG393">
        <v>0</v>
      </c>
      <c r="FH393">
        <v>4732</v>
      </c>
      <c r="FI393">
        <v>-194</v>
      </c>
      <c r="FJ393">
        <v>0</v>
      </c>
      <c r="FK393">
        <v>0</v>
      </c>
      <c r="FL393">
        <v>217</v>
      </c>
      <c r="FM393">
        <v>-389</v>
      </c>
      <c r="FN393">
        <v>262</v>
      </c>
      <c r="FO393">
        <v>83</v>
      </c>
      <c r="FP393">
        <v>0</v>
      </c>
      <c r="FQ393">
        <v>0</v>
      </c>
      <c r="FR393">
        <v>-85</v>
      </c>
      <c r="FS393">
        <v>42</v>
      </c>
      <c r="FT393">
        <v>62</v>
      </c>
      <c r="FU393">
        <v>388</v>
      </c>
      <c r="FV393">
        <v>0</v>
      </c>
      <c r="FW393">
        <v>146</v>
      </c>
      <c r="FX393">
        <v>278</v>
      </c>
      <c r="FY393">
        <v>0</v>
      </c>
      <c r="FZ393">
        <v>0</v>
      </c>
      <c r="GA393">
        <v>0</v>
      </c>
      <c r="GB393">
        <v>0</v>
      </c>
      <c r="GC393">
        <v>0</v>
      </c>
      <c r="GD393">
        <v>2603</v>
      </c>
      <c r="GE393">
        <v>415</v>
      </c>
      <c r="GF393">
        <v>0</v>
      </c>
      <c r="GG393">
        <v>-17</v>
      </c>
      <c r="GH393">
        <v>1269</v>
      </c>
      <c r="GI393">
        <v>0</v>
      </c>
      <c r="GJ393">
        <v>0</v>
      </c>
      <c r="GK393">
        <v>5080</v>
      </c>
      <c r="GL393">
        <v>113</v>
      </c>
      <c r="GM393">
        <v>631</v>
      </c>
      <c r="GN393">
        <v>0</v>
      </c>
      <c r="GO393">
        <v>888</v>
      </c>
      <c r="GP393">
        <v>861</v>
      </c>
      <c r="GQ393">
        <v>0</v>
      </c>
      <c r="GR393">
        <v>0</v>
      </c>
      <c r="GS393">
        <v>0</v>
      </c>
      <c r="GT393">
        <v>28</v>
      </c>
      <c r="GU393">
        <v>2521</v>
      </c>
      <c r="GV393">
        <v>12333</v>
      </c>
      <c r="GW393">
        <v>0</v>
      </c>
      <c r="GX393">
        <v>0</v>
      </c>
      <c r="GY393">
        <v>0</v>
      </c>
      <c r="GZ393">
        <v>0</v>
      </c>
      <c r="HA393">
        <v>0</v>
      </c>
      <c r="HB393">
        <v>3954</v>
      </c>
      <c r="HC393">
        <v>1074</v>
      </c>
      <c r="HD393">
        <v>0</v>
      </c>
      <c r="HE393">
        <v>0</v>
      </c>
      <c r="HF393">
        <v>0</v>
      </c>
      <c r="HG393">
        <v>123</v>
      </c>
      <c r="HH393">
        <v>0</v>
      </c>
      <c r="HI393">
        <v>0</v>
      </c>
      <c r="HJ393">
        <v>247</v>
      </c>
      <c r="HK393">
        <v>98</v>
      </c>
      <c r="HL393">
        <v>-1633</v>
      </c>
      <c r="HM393">
        <v>32</v>
      </c>
      <c r="HN393">
        <v>0</v>
      </c>
      <c r="HO393">
        <v>673</v>
      </c>
      <c r="HP393">
        <v>0</v>
      </c>
      <c r="HQ393">
        <v>0</v>
      </c>
      <c r="HR393">
        <v>2585</v>
      </c>
      <c r="HS393">
        <v>0</v>
      </c>
      <c r="HT393">
        <v>0</v>
      </c>
      <c r="HU393">
        <v>2056</v>
      </c>
      <c r="HV393">
        <v>9209</v>
      </c>
      <c r="HW393">
        <v>0</v>
      </c>
      <c r="HX393">
        <v>0</v>
      </c>
      <c r="HY393">
        <v>0</v>
      </c>
      <c r="HZ393">
        <v>0</v>
      </c>
      <c r="IA393">
        <v>246</v>
      </c>
      <c r="IB393">
        <v>0</v>
      </c>
      <c r="IC393">
        <v>0</v>
      </c>
      <c r="ID393">
        <v>-833</v>
      </c>
      <c r="IE393">
        <v>0</v>
      </c>
      <c r="IF393">
        <v>0</v>
      </c>
      <c r="IG393">
        <v>0</v>
      </c>
      <c r="IH393">
        <v>812</v>
      </c>
      <c r="II393">
        <v>4732</v>
      </c>
      <c r="IJ393">
        <v>5080</v>
      </c>
      <c r="IK393">
        <v>2521</v>
      </c>
      <c r="IL393">
        <v>0</v>
      </c>
      <c r="IM393">
        <v>0</v>
      </c>
      <c r="IN393">
        <v>9209</v>
      </c>
      <c r="IO393">
        <v>0</v>
      </c>
      <c r="IP393">
        <v>21521</v>
      </c>
      <c r="IQ393">
        <v>27340</v>
      </c>
      <c r="IR393">
        <v>0</v>
      </c>
      <c r="IS393">
        <v>0</v>
      </c>
      <c r="IT393">
        <v>0</v>
      </c>
      <c r="IU393">
        <v>0</v>
      </c>
      <c r="IV393">
        <v>0</v>
      </c>
      <c r="IW393">
        <v>0</v>
      </c>
      <c r="IX393">
        <v>0</v>
      </c>
      <c r="IY393">
        <v>0</v>
      </c>
      <c r="IZ393">
        <v>0</v>
      </c>
      <c r="JA393">
        <v>-8499</v>
      </c>
      <c r="JB393">
        <v>0</v>
      </c>
      <c r="JC393">
        <v>0</v>
      </c>
      <c r="JD393">
        <v>0</v>
      </c>
      <c r="JE393">
        <v>0</v>
      </c>
      <c r="JF393">
        <v>0</v>
      </c>
      <c r="JG393">
        <v>40362</v>
      </c>
      <c r="JH393">
        <v>0</v>
      </c>
      <c r="JI393">
        <v>0</v>
      </c>
      <c r="JJ393">
        <v>0</v>
      </c>
      <c r="JK393">
        <v>0</v>
      </c>
      <c r="JL393">
        <v>0</v>
      </c>
      <c r="JM393">
        <v>0</v>
      </c>
      <c r="JN393">
        <v>0</v>
      </c>
      <c r="JO393">
        <v>100</v>
      </c>
      <c r="JP393">
        <v>0</v>
      </c>
      <c r="JQ393">
        <v>0</v>
      </c>
      <c r="JR393">
        <v>40462</v>
      </c>
      <c r="JS393">
        <v>-1959</v>
      </c>
      <c r="JT393">
        <v>0</v>
      </c>
      <c r="JU393">
        <v>0</v>
      </c>
      <c r="JV393">
        <v>0</v>
      </c>
      <c r="JW393">
        <v>-26353</v>
      </c>
      <c r="JX393">
        <v>0</v>
      </c>
      <c r="JY393">
        <v>-1266</v>
      </c>
      <c r="JZ393">
        <v>0</v>
      </c>
      <c r="KA393">
        <v>0</v>
      </c>
      <c r="KB393">
        <v>0</v>
      </c>
      <c r="KC393">
        <v>10884</v>
      </c>
      <c r="KD393">
        <v>0</v>
      </c>
      <c r="KE393">
        <v>-2129</v>
      </c>
      <c r="KF393">
        <v>8755</v>
      </c>
      <c r="KG393">
        <v>0</v>
      </c>
      <c r="KH393">
        <v>0</v>
      </c>
      <c r="KI393">
        <v>0</v>
      </c>
      <c r="KJ393">
        <v>0</v>
      </c>
      <c r="KK393">
        <v>-12469</v>
      </c>
      <c r="KL393">
        <v>0</v>
      </c>
      <c r="KM393">
        <v>0</v>
      </c>
      <c r="KN393">
        <v>0</v>
      </c>
      <c r="KO393">
        <v>-2402</v>
      </c>
      <c r="KP393">
        <v>17233</v>
      </c>
      <c r="KQ393">
        <v>6362</v>
      </c>
      <c r="KR393">
        <v>9122</v>
      </c>
      <c r="KS393">
        <v>0</v>
      </c>
      <c r="KT393">
        <v>0</v>
      </c>
      <c r="KU393">
        <v>0</v>
      </c>
      <c r="KV393">
        <v>37522</v>
      </c>
      <c r="KW393">
        <v>2000</v>
      </c>
      <c r="KX393">
        <v>0</v>
      </c>
      <c r="KY393">
        <v>0</v>
      </c>
      <c r="KZ393">
        <v>0</v>
      </c>
      <c r="LA393">
        <v>25053</v>
      </c>
      <c r="LB393">
        <v>2000</v>
      </c>
      <c r="LC393">
        <v>0</v>
      </c>
      <c r="LD393">
        <v>0</v>
      </c>
      <c r="LE393">
        <v>0</v>
      </c>
      <c r="LF393">
        <v>0</v>
      </c>
      <c r="LG393">
        <v>0</v>
      </c>
      <c r="LH393">
        <v>0</v>
      </c>
      <c r="LI393">
        <v>0</v>
      </c>
      <c r="LJ393">
        <v>2125</v>
      </c>
      <c r="LK393">
        <v>4845</v>
      </c>
      <c r="LL393">
        <v>6970</v>
      </c>
      <c r="LM393">
        <v>0</v>
      </c>
      <c r="LN393">
        <v>0</v>
      </c>
      <c r="LO393">
        <v>0</v>
      </c>
      <c r="LP393">
        <v>0</v>
      </c>
      <c r="LQ393">
        <v>0</v>
      </c>
      <c r="LR393">
        <v>0</v>
      </c>
      <c r="LS393">
        <v>0</v>
      </c>
      <c r="LT393">
        <v>0</v>
      </c>
      <c r="LU393">
        <v>0</v>
      </c>
      <c r="LV393">
        <v>-833</v>
      </c>
      <c r="LW393">
        <v>0</v>
      </c>
      <c r="LX393">
        <v>0</v>
      </c>
      <c r="LY393">
        <v>0</v>
      </c>
      <c r="LZ393">
        <v>812</v>
      </c>
      <c r="MA393">
        <v>4732</v>
      </c>
      <c r="MB393">
        <v>5080</v>
      </c>
      <c r="MC393">
        <v>2521</v>
      </c>
      <c r="MD393">
        <v>0</v>
      </c>
      <c r="ME393">
        <v>0</v>
      </c>
      <c r="MF393">
        <v>9209</v>
      </c>
      <c r="MG393">
        <v>0</v>
      </c>
      <c r="MH393">
        <v>21521</v>
      </c>
      <c r="MI393">
        <v>0</v>
      </c>
      <c r="MJ393">
        <v>0</v>
      </c>
      <c r="MK393">
        <v>0</v>
      </c>
      <c r="ML393">
        <v>0</v>
      </c>
      <c r="MM393">
        <v>0</v>
      </c>
      <c r="MN393">
        <v>0</v>
      </c>
      <c r="MO393">
        <v>0</v>
      </c>
      <c r="MP393">
        <v>0</v>
      </c>
      <c r="MQ393">
        <v>0</v>
      </c>
      <c r="MR393">
        <v>0</v>
      </c>
      <c r="MS393">
        <v>0</v>
      </c>
      <c r="MT393">
        <v>0</v>
      </c>
      <c r="MU393">
        <v>0</v>
      </c>
      <c r="MV393">
        <v>0</v>
      </c>
      <c r="MW393">
        <v>0</v>
      </c>
      <c r="MX393">
        <v>0</v>
      </c>
      <c r="MY393">
        <v>-8499</v>
      </c>
      <c r="MZ393">
        <v>0</v>
      </c>
      <c r="NA393">
        <v>-8499</v>
      </c>
      <c r="NB393">
        <v>0</v>
      </c>
      <c r="NC393">
        <v>-8499</v>
      </c>
      <c r="ND393">
        <v>0</v>
      </c>
      <c r="NE393">
        <v>0</v>
      </c>
      <c r="NF393">
        <v>0</v>
      </c>
      <c r="NG393">
        <v>0</v>
      </c>
      <c r="NH393">
        <v>0</v>
      </c>
      <c r="NI393">
        <v>0</v>
      </c>
      <c r="NJ393">
        <v>0</v>
      </c>
      <c r="NK393">
        <v>0</v>
      </c>
      <c r="NL393">
        <v>0</v>
      </c>
      <c r="NM393">
        <v>0</v>
      </c>
      <c r="NN393">
        <v>0</v>
      </c>
      <c r="NO393">
        <v>0</v>
      </c>
      <c r="NP393">
        <v>0</v>
      </c>
      <c r="NQ393">
        <v>0</v>
      </c>
      <c r="NR393">
        <v>0</v>
      </c>
      <c r="NS393">
        <v>0</v>
      </c>
      <c r="NT393">
        <v>0</v>
      </c>
      <c r="NU393">
        <v>0</v>
      </c>
      <c r="NV393">
        <v>0</v>
      </c>
      <c r="NW393">
        <v>0</v>
      </c>
      <c r="NX393">
        <v>0</v>
      </c>
      <c r="NY393">
        <v>0</v>
      </c>
      <c r="NZ393">
        <v>0</v>
      </c>
      <c r="OA393">
        <v>0</v>
      </c>
      <c r="OB393">
        <v>0</v>
      </c>
      <c r="OC393">
        <v>0</v>
      </c>
      <c r="OD393">
        <v>0</v>
      </c>
      <c r="OE393">
        <v>0</v>
      </c>
      <c r="OF393">
        <v>0</v>
      </c>
      <c r="OG393">
        <v>0</v>
      </c>
      <c r="OH393">
        <v>0</v>
      </c>
      <c r="OI393">
        <v>0</v>
      </c>
      <c r="OJ393">
        <v>0</v>
      </c>
      <c r="OK393">
        <v>0</v>
      </c>
      <c r="OL393">
        <v>0</v>
      </c>
      <c r="OM393">
        <v>0</v>
      </c>
      <c r="ON393">
        <v>0</v>
      </c>
    </row>
    <row r="394" spans="1:404" x14ac:dyDescent="0.25">
      <c r="A394" t="s">
        <v>1248</v>
      </c>
      <c r="B394" t="s">
        <v>1249</v>
      </c>
      <c r="C394" t="s">
        <v>1247</v>
      </c>
      <c r="E394" t="s">
        <v>61</v>
      </c>
      <c r="F394">
        <v>0</v>
      </c>
      <c r="G394">
        <v>0</v>
      </c>
      <c r="H394">
        <v>0</v>
      </c>
      <c r="I394">
        <v>0</v>
      </c>
      <c r="J394">
        <v>0</v>
      </c>
      <c r="K394">
        <v>0</v>
      </c>
      <c r="L394">
        <v>0</v>
      </c>
      <c r="M394">
        <v>0</v>
      </c>
      <c r="N394">
        <v>0</v>
      </c>
      <c r="O394">
        <v>0</v>
      </c>
      <c r="P394">
        <v>0</v>
      </c>
      <c r="Q394">
        <v>0</v>
      </c>
      <c r="R394">
        <v>0</v>
      </c>
      <c r="S394">
        <v>0</v>
      </c>
      <c r="T394">
        <v>0</v>
      </c>
      <c r="U394">
        <v>0</v>
      </c>
      <c r="V394">
        <v>0</v>
      </c>
      <c r="W394">
        <v>0</v>
      </c>
      <c r="X394">
        <v>0</v>
      </c>
      <c r="Y394">
        <v>0</v>
      </c>
      <c r="Z394">
        <v>109</v>
      </c>
      <c r="AA394">
        <v>-2969</v>
      </c>
      <c r="AB394">
        <v>0</v>
      </c>
      <c r="AC394">
        <v>0</v>
      </c>
      <c r="AD394">
        <v>142</v>
      </c>
      <c r="AE394">
        <v>0</v>
      </c>
      <c r="AF394">
        <v>0</v>
      </c>
      <c r="AG394">
        <v>30</v>
      </c>
      <c r="AH394">
        <v>0</v>
      </c>
      <c r="AI394">
        <v>-2688</v>
      </c>
      <c r="AJ394">
        <v>0</v>
      </c>
      <c r="AK394">
        <v>0</v>
      </c>
      <c r="AL394">
        <v>0</v>
      </c>
      <c r="AM394">
        <v>0</v>
      </c>
      <c r="AN394">
        <v>0</v>
      </c>
      <c r="AO394">
        <v>0</v>
      </c>
      <c r="AP394">
        <v>0</v>
      </c>
      <c r="AQ394">
        <v>0</v>
      </c>
      <c r="AR394">
        <v>51</v>
      </c>
      <c r="AS394">
        <v>0</v>
      </c>
      <c r="AT394">
        <v>0</v>
      </c>
      <c r="AU394">
        <v>0</v>
      </c>
      <c r="AV394">
        <v>0</v>
      </c>
      <c r="AW394">
        <v>0</v>
      </c>
      <c r="AX394">
        <v>0</v>
      </c>
      <c r="AY394">
        <v>0</v>
      </c>
      <c r="AZ394">
        <v>0</v>
      </c>
      <c r="BA394">
        <v>0</v>
      </c>
      <c r="BB394">
        <v>0</v>
      </c>
      <c r="BC394">
        <v>0</v>
      </c>
      <c r="BD394">
        <v>0</v>
      </c>
      <c r="BE394">
        <v>0</v>
      </c>
      <c r="BF394">
        <v>-132</v>
      </c>
      <c r="BG394">
        <v>0</v>
      </c>
      <c r="BH394">
        <v>0</v>
      </c>
      <c r="BI394">
        <v>0</v>
      </c>
      <c r="BJ394">
        <v>0</v>
      </c>
      <c r="BK394">
        <v>0</v>
      </c>
      <c r="BL394">
        <v>0</v>
      </c>
      <c r="BM394">
        <v>0</v>
      </c>
      <c r="BN394">
        <v>0</v>
      </c>
      <c r="BO394">
        <v>0</v>
      </c>
      <c r="BP394">
        <v>-70</v>
      </c>
      <c r="BQ394">
        <v>0</v>
      </c>
      <c r="BR394">
        <v>0</v>
      </c>
      <c r="BS394">
        <v>0</v>
      </c>
      <c r="BT394">
        <v>0</v>
      </c>
      <c r="BU394">
        <v>449</v>
      </c>
      <c r="BV394">
        <v>0</v>
      </c>
      <c r="BW394">
        <v>247</v>
      </c>
      <c r="BX394">
        <v>0</v>
      </c>
      <c r="BY394">
        <v>0</v>
      </c>
      <c r="BZ394">
        <v>0</v>
      </c>
      <c r="CA394">
        <v>0</v>
      </c>
      <c r="CB394">
        <v>0</v>
      </c>
      <c r="CC394">
        <v>0</v>
      </c>
      <c r="CD394">
        <v>0</v>
      </c>
      <c r="CE394">
        <v>0</v>
      </c>
      <c r="CF394">
        <v>0</v>
      </c>
      <c r="CG394">
        <v>0</v>
      </c>
      <c r="CH394">
        <v>0</v>
      </c>
      <c r="CI394">
        <v>0</v>
      </c>
      <c r="CJ394">
        <v>0</v>
      </c>
      <c r="CK394">
        <v>0</v>
      </c>
      <c r="CL394">
        <v>0</v>
      </c>
      <c r="CM394">
        <v>0</v>
      </c>
      <c r="CN394">
        <v>0</v>
      </c>
      <c r="CO394">
        <v>0</v>
      </c>
      <c r="CP394">
        <v>0</v>
      </c>
      <c r="CQ394">
        <v>0</v>
      </c>
      <c r="CR394">
        <v>0</v>
      </c>
      <c r="CS394">
        <v>5</v>
      </c>
      <c r="CT394">
        <v>0</v>
      </c>
      <c r="CU394">
        <v>0</v>
      </c>
      <c r="CV394">
        <v>5</v>
      </c>
      <c r="CW394">
        <v>0</v>
      </c>
      <c r="CX394">
        <v>0</v>
      </c>
      <c r="CY394">
        <v>0</v>
      </c>
      <c r="CZ394">
        <v>0</v>
      </c>
      <c r="DA394">
        <v>0</v>
      </c>
      <c r="DB394">
        <v>0</v>
      </c>
      <c r="DC394">
        <v>347</v>
      </c>
      <c r="DD394">
        <v>0</v>
      </c>
      <c r="DE394">
        <v>-643</v>
      </c>
      <c r="DF394">
        <v>0</v>
      </c>
      <c r="DG394">
        <v>129</v>
      </c>
      <c r="DH394">
        <v>0</v>
      </c>
      <c r="DI394">
        <v>0</v>
      </c>
      <c r="DJ394">
        <v>10</v>
      </c>
      <c r="DK394">
        <v>0</v>
      </c>
      <c r="DL394">
        <v>0</v>
      </c>
      <c r="DM394">
        <v>0</v>
      </c>
      <c r="DN394">
        <v>582</v>
      </c>
      <c r="DO394">
        <v>0</v>
      </c>
      <c r="DP394">
        <v>721</v>
      </c>
      <c r="DQ394">
        <v>0</v>
      </c>
      <c r="DR394">
        <v>0</v>
      </c>
      <c r="DS394">
        <v>0</v>
      </c>
      <c r="DT394">
        <v>151</v>
      </c>
      <c r="DU394">
        <v>0</v>
      </c>
      <c r="DV394">
        <v>0</v>
      </c>
      <c r="DW394">
        <v>0</v>
      </c>
      <c r="DX394">
        <v>576</v>
      </c>
      <c r="DY394">
        <v>29021</v>
      </c>
      <c r="DZ394">
        <v>530</v>
      </c>
      <c r="EA394">
        <v>748</v>
      </c>
      <c r="EB394">
        <v>68</v>
      </c>
      <c r="EC394">
        <v>0</v>
      </c>
      <c r="ED394">
        <v>206</v>
      </c>
      <c r="EE394">
        <v>0</v>
      </c>
      <c r="EF394">
        <v>5</v>
      </c>
      <c r="EG394">
        <v>0</v>
      </c>
      <c r="EH394">
        <v>8490</v>
      </c>
      <c r="EI394">
        <v>3944</v>
      </c>
      <c r="EJ394">
        <v>984</v>
      </c>
      <c r="EK394">
        <v>736</v>
      </c>
      <c r="EL394">
        <v>0</v>
      </c>
      <c r="EM394">
        <v>4984</v>
      </c>
      <c r="EN394">
        <v>0</v>
      </c>
      <c r="EO394">
        <v>5483</v>
      </c>
      <c r="EP394">
        <v>0</v>
      </c>
      <c r="EQ394">
        <v>9211</v>
      </c>
      <c r="ER394">
        <v>1</v>
      </c>
      <c r="ES394">
        <v>53402</v>
      </c>
      <c r="ET394">
        <v>50147</v>
      </c>
      <c r="EU394">
        <v>0</v>
      </c>
      <c r="EV394">
        <v>114</v>
      </c>
      <c r="EW394">
        <v>0</v>
      </c>
      <c r="EX394">
        <v>122</v>
      </c>
      <c r="EY394">
        <v>0</v>
      </c>
      <c r="EZ394">
        <v>0</v>
      </c>
      <c r="FA394">
        <v>0</v>
      </c>
      <c r="FB394">
        <v>93</v>
      </c>
      <c r="FC394">
        <v>609</v>
      </c>
      <c r="FD394">
        <v>1646</v>
      </c>
      <c r="FE394">
        <v>0</v>
      </c>
      <c r="FF394">
        <v>0</v>
      </c>
      <c r="FG394">
        <v>0</v>
      </c>
      <c r="FH394">
        <v>2584</v>
      </c>
      <c r="FI394">
        <v>102</v>
      </c>
      <c r="FJ394">
        <v>0</v>
      </c>
      <c r="FK394">
        <v>0</v>
      </c>
      <c r="FL394">
        <v>-1</v>
      </c>
      <c r="FM394">
        <v>41</v>
      </c>
      <c r="FN394">
        <v>-11</v>
      </c>
      <c r="FO394">
        <v>0</v>
      </c>
      <c r="FP394">
        <v>0</v>
      </c>
      <c r="FQ394">
        <v>0</v>
      </c>
      <c r="FR394">
        <v>49</v>
      </c>
      <c r="FS394">
        <v>4</v>
      </c>
      <c r="FT394">
        <v>714</v>
      </c>
      <c r="FU394">
        <v>57</v>
      </c>
      <c r="FV394">
        <v>0</v>
      </c>
      <c r="FW394">
        <v>53</v>
      </c>
      <c r="FX394">
        <v>0</v>
      </c>
      <c r="FY394">
        <v>0</v>
      </c>
      <c r="FZ394">
        <v>26</v>
      </c>
      <c r="GA394">
        <v>0</v>
      </c>
      <c r="GB394">
        <v>0</v>
      </c>
      <c r="GC394">
        <v>0</v>
      </c>
      <c r="GD394">
        <v>1298</v>
      </c>
      <c r="GE394">
        <v>1751</v>
      </c>
      <c r="GF394">
        <v>0</v>
      </c>
      <c r="GG394">
        <v>0</v>
      </c>
      <c r="GH394">
        <v>1712</v>
      </c>
      <c r="GI394">
        <v>0</v>
      </c>
      <c r="GJ394">
        <v>0</v>
      </c>
      <c r="GK394">
        <v>5795</v>
      </c>
      <c r="GL394">
        <v>58</v>
      </c>
      <c r="GM394">
        <v>2159</v>
      </c>
      <c r="GN394">
        <v>0</v>
      </c>
      <c r="GO394">
        <v>748</v>
      </c>
      <c r="GP394">
        <v>79</v>
      </c>
      <c r="GQ394">
        <v>320</v>
      </c>
      <c r="GR394">
        <v>0</v>
      </c>
      <c r="GS394">
        <v>0</v>
      </c>
      <c r="GT394">
        <v>0</v>
      </c>
      <c r="GU394">
        <v>3364</v>
      </c>
      <c r="GV394">
        <v>11743</v>
      </c>
      <c r="GW394">
        <v>0</v>
      </c>
      <c r="GX394">
        <v>0</v>
      </c>
      <c r="GY394">
        <v>0</v>
      </c>
      <c r="GZ394">
        <v>0</v>
      </c>
      <c r="HA394">
        <v>0</v>
      </c>
      <c r="HB394">
        <v>3083</v>
      </c>
      <c r="HC394">
        <v>69</v>
      </c>
      <c r="HD394">
        <v>0</v>
      </c>
      <c r="HE394">
        <v>0</v>
      </c>
      <c r="HF394">
        <v>249</v>
      </c>
      <c r="HG394">
        <v>20</v>
      </c>
      <c r="HH394">
        <v>0</v>
      </c>
      <c r="HI394">
        <v>0</v>
      </c>
      <c r="HJ394">
        <v>232</v>
      </c>
      <c r="HK394">
        <v>190</v>
      </c>
      <c r="HL394">
        <v>-168</v>
      </c>
      <c r="HM394">
        <v>-104</v>
      </c>
      <c r="HN394">
        <v>0</v>
      </c>
      <c r="HO394">
        <v>235</v>
      </c>
      <c r="HP394">
        <v>0</v>
      </c>
      <c r="HQ394">
        <v>0</v>
      </c>
      <c r="HR394">
        <v>1184</v>
      </c>
      <c r="HS394">
        <v>0</v>
      </c>
      <c r="HT394">
        <v>0</v>
      </c>
      <c r="HU394">
        <v>178</v>
      </c>
      <c r="HV394">
        <v>5168</v>
      </c>
      <c r="HW394">
        <v>-178</v>
      </c>
      <c r="HX394">
        <v>0</v>
      </c>
      <c r="HY394">
        <v>0</v>
      </c>
      <c r="HZ394">
        <v>0</v>
      </c>
      <c r="IA394">
        <v>0</v>
      </c>
      <c r="IB394">
        <v>-299</v>
      </c>
      <c r="IC394">
        <v>0</v>
      </c>
      <c r="ID394">
        <v>-2688</v>
      </c>
      <c r="IE394">
        <v>0</v>
      </c>
      <c r="IF394">
        <v>247</v>
      </c>
      <c r="IG394">
        <v>5</v>
      </c>
      <c r="IH394">
        <v>576</v>
      </c>
      <c r="II394">
        <v>2584</v>
      </c>
      <c r="IJ394">
        <v>5795</v>
      </c>
      <c r="IK394">
        <v>3364</v>
      </c>
      <c r="IL394">
        <v>0</v>
      </c>
      <c r="IM394">
        <v>0</v>
      </c>
      <c r="IN394">
        <v>5168</v>
      </c>
      <c r="IO394">
        <v>-299</v>
      </c>
      <c r="IP394">
        <v>14752</v>
      </c>
      <c r="IQ394">
        <v>10609</v>
      </c>
      <c r="IR394">
        <v>0</v>
      </c>
      <c r="IS394">
        <v>9682</v>
      </c>
      <c r="IT394">
        <v>0</v>
      </c>
      <c r="IU394">
        <v>0</v>
      </c>
      <c r="IV394">
        <v>3671</v>
      </c>
      <c r="IW394">
        <v>0</v>
      </c>
      <c r="IX394">
        <v>0</v>
      </c>
      <c r="IY394">
        <v>0</v>
      </c>
      <c r="IZ394">
        <v>0</v>
      </c>
      <c r="JA394">
        <v>-571</v>
      </c>
      <c r="JB394">
        <v>0</v>
      </c>
      <c r="JC394">
        <v>0</v>
      </c>
      <c r="JD394">
        <v>0</v>
      </c>
      <c r="JE394">
        <v>0</v>
      </c>
      <c r="JF394">
        <v>0</v>
      </c>
      <c r="JG394">
        <v>38143</v>
      </c>
      <c r="JH394">
        <v>0</v>
      </c>
      <c r="JI394">
        <v>662</v>
      </c>
      <c r="JJ394">
        <v>0</v>
      </c>
      <c r="JK394">
        <v>-203</v>
      </c>
      <c r="JL394">
        <v>0</v>
      </c>
      <c r="JM394">
        <v>289</v>
      </c>
      <c r="JN394">
        <v>200</v>
      </c>
      <c r="JO394">
        <v>0</v>
      </c>
      <c r="JP394">
        <v>23</v>
      </c>
      <c r="JQ394">
        <v>206</v>
      </c>
      <c r="JR394">
        <v>39320</v>
      </c>
      <c r="JS394">
        <v>-593</v>
      </c>
      <c r="JT394">
        <v>0</v>
      </c>
      <c r="JU394">
        <v>0</v>
      </c>
      <c r="JV394">
        <v>0</v>
      </c>
      <c r="JW394">
        <v>-20175</v>
      </c>
      <c r="JX394">
        <v>0</v>
      </c>
      <c r="JY394">
        <v>-5196</v>
      </c>
      <c r="JZ394">
        <v>0</v>
      </c>
      <c r="KA394">
        <v>0</v>
      </c>
      <c r="KB394">
        <v>0</v>
      </c>
      <c r="KC394">
        <v>13356</v>
      </c>
      <c r="KD394">
        <v>0</v>
      </c>
      <c r="KE394">
        <v>-2218</v>
      </c>
      <c r="KF394">
        <v>11138</v>
      </c>
      <c r="KG394">
        <v>0</v>
      </c>
      <c r="KH394">
        <v>0</v>
      </c>
      <c r="KI394">
        <v>0</v>
      </c>
      <c r="KJ394">
        <v>0</v>
      </c>
      <c r="KK394">
        <v>12005</v>
      </c>
      <c r="KL394">
        <v>201</v>
      </c>
      <c r="KM394">
        <v>0</v>
      </c>
      <c r="KN394">
        <v>0</v>
      </c>
      <c r="KO394">
        <v>-1850</v>
      </c>
      <c r="KP394">
        <v>97</v>
      </c>
      <c r="KQ394">
        <v>0</v>
      </c>
      <c r="KR394">
        <v>14281</v>
      </c>
      <c r="KS394">
        <v>0</v>
      </c>
      <c r="KT394">
        <v>0</v>
      </c>
      <c r="KU394">
        <v>0</v>
      </c>
      <c r="KV394">
        <v>16740</v>
      </c>
      <c r="KW394">
        <v>3937</v>
      </c>
      <c r="KX394">
        <v>0</v>
      </c>
      <c r="KY394">
        <v>0</v>
      </c>
      <c r="KZ394">
        <v>0</v>
      </c>
      <c r="LA394">
        <v>28745</v>
      </c>
      <c r="LB394">
        <v>4138</v>
      </c>
      <c r="LC394">
        <v>0</v>
      </c>
      <c r="LD394">
        <v>1783</v>
      </c>
      <c r="LE394">
        <v>0</v>
      </c>
      <c r="LF394">
        <v>535</v>
      </c>
      <c r="LG394">
        <v>0</v>
      </c>
      <c r="LH394">
        <v>67</v>
      </c>
      <c r="LI394">
        <v>2385</v>
      </c>
      <c r="LJ394">
        <v>2748</v>
      </c>
      <c r="LK394">
        <v>3517</v>
      </c>
      <c r="LL394">
        <v>6265</v>
      </c>
      <c r="LM394">
        <v>0</v>
      </c>
      <c r="LN394">
        <v>0</v>
      </c>
      <c r="LO394">
        <v>0</v>
      </c>
      <c r="LP394">
        <v>30578</v>
      </c>
      <c r="LQ394">
        <v>33833</v>
      </c>
      <c r="LR394">
        <v>-3255</v>
      </c>
      <c r="LS394">
        <v>53402</v>
      </c>
      <c r="LT394">
        <v>50147</v>
      </c>
      <c r="LU394">
        <v>0</v>
      </c>
      <c r="LV394">
        <v>-2688</v>
      </c>
      <c r="LW394">
        <v>0</v>
      </c>
      <c r="LX394">
        <v>247</v>
      </c>
      <c r="LY394">
        <v>5</v>
      </c>
      <c r="LZ394">
        <v>576</v>
      </c>
      <c r="MA394">
        <v>2584</v>
      </c>
      <c r="MB394">
        <v>5795</v>
      </c>
      <c r="MC394">
        <v>3364</v>
      </c>
      <c r="MD394">
        <v>0</v>
      </c>
      <c r="ME394">
        <v>0</v>
      </c>
      <c r="MF394">
        <v>5168</v>
      </c>
      <c r="MG394">
        <v>-299</v>
      </c>
      <c r="MH394">
        <v>14752</v>
      </c>
      <c r="MI394">
        <v>0</v>
      </c>
      <c r="MJ394">
        <v>0</v>
      </c>
      <c r="MK394">
        <v>0</v>
      </c>
      <c r="ML394">
        <v>0</v>
      </c>
      <c r="MM394">
        <v>0</v>
      </c>
      <c r="MN394">
        <v>0</v>
      </c>
      <c r="MO394">
        <v>0</v>
      </c>
      <c r="MP394">
        <v>23</v>
      </c>
      <c r="MQ394">
        <v>0</v>
      </c>
      <c r="MR394">
        <v>0</v>
      </c>
      <c r="MS394">
        <v>0</v>
      </c>
      <c r="MT394">
        <v>0</v>
      </c>
      <c r="MU394">
        <v>0</v>
      </c>
      <c r="MV394">
        <v>0</v>
      </c>
      <c r="MW394">
        <v>0</v>
      </c>
      <c r="MX394">
        <v>-594</v>
      </c>
      <c r="MY394">
        <v>0</v>
      </c>
      <c r="MZ394">
        <v>0</v>
      </c>
      <c r="NA394">
        <v>-571</v>
      </c>
      <c r="NB394">
        <v>0</v>
      </c>
      <c r="NC394">
        <v>-571</v>
      </c>
      <c r="ND394">
        <v>0</v>
      </c>
      <c r="NE394">
        <v>0</v>
      </c>
      <c r="NF394">
        <v>0</v>
      </c>
      <c r="NG394">
        <v>0</v>
      </c>
      <c r="NH394">
        <v>0</v>
      </c>
      <c r="NI394">
        <v>0</v>
      </c>
      <c r="NJ394">
        <v>0</v>
      </c>
      <c r="NK394">
        <v>0</v>
      </c>
      <c r="NL394">
        <v>0</v>
      </c>
      <c r="NM394">
        <v>0</v>
      </c>
      <c r="NN394">
        <v>0</v>
      </c>
      <c r="NO394">
        <v>0</v>
      </c>
      <c r="NP394">
        <v>0</v>
      </c>
      <c r="NQ394">
        <v>0</v>
      </c>
      <c r="NR394">
        <v>0</v>
      </c>
      <c r="NS394">
        <v>0</v>
      </c>
      <c r="NT394">
        <v>0</v>
      </c>
      <c r="NU394">
        <v>0</v>
      </c>
      <c r="NV394">
        <v>0</v>
      </c>
      <c r="NW394">
        <v>0</v>
      </c>
      <c r="NX394">
        <v>0</v>
      </c>
      <c r="NY394">
        <v>0</v>
      </c>
      <c r="NZ394">
        <v>0</v>
      </c>
      <c r="OA394">
        <v>0</v>
      </c>
      <c r="OB394">
        <v>0</v>
      </c>
      <c r="OC394">
        <v>0</v>
      </c>
      <c r="OD394">
        <v>0</v>
      </c>
      <c r="OE394">
        <v>0</v>
      </c>
      <c r="OF394">
        <v>0</v>
      </c>
      <c r="OG394">
        <v>0</v>
      </c>
      <c r="OH394">
        <v>0</v>
      </c>
      <c r="OI394">
        <v>0</v>
      </c>
      <c r="OJ394">
        <v>0</v>
      </c>
      <c r="OK394">
        <v>0</v>
      </c>
      <c r="OL394">
        <v>0</v>
      </c>
      <c r="OM394">
        <v>0</v>
      </c>
      <c r="ON394">
        <v>0</v>
      </c>
    </row>
    <row r="395" spans="1:404" x14ac:dyDescent="0.25">
      <c r="A395" t="s">
        <v>1251</v>
      </c>
      <c r="B395" t="s">
        <v>1252</v>
      </c>
      <c r="C395" t="s">
        <v>1250</v>
      </c>
      <c r="E395" t="s">
        <v>61</v>
      </c>
      <c r="F395">
        <v>0</v>
      </c>
      <c r="G395">
        <v>0</v>
      </c>
      <c r="H395">
        <v>0</v>
      </c>
      <c r="I395">
        <v>0</v>
      </c>
      <c r="J395">
        <v>0</v>
      </c>
      <c r="K395">
        <v>0</v>
      </c>
      <c r="L395">
        <v>0</v>
      </c>
      <c r="M395">
        <v>0</v>
      </c>
      <c r="N395">
        <v>0</v>
      </c>
      <c r="O395">
        <v>0</v>
      </c>
      <c r="P395">
        <v>0</v>
      </c>
      <c r="Q395">
        <v>0</v>
      </c>
      <c r="R395">
        <v>0</v>
      </c>
      <c r="S395">
        <v>0</v>
      </c>
      <c r="T395">
        <v>0</v>
      </c>
      <c r="U395">
        <v>0</v>
      </c>
      <c r="V395">
        <v>0</v>
      </c>
      <c r="W395">
        <v>0</v>
      </c>
      <c r="X395">
        <v>0</v>
      </c>
      <c r="Y395">
        <v>0</v>
      </c>
      <c r="Z395">
        <v>0</v>
      </c>
      <c r="AA395">
        <v>335</v>
      </c>
      <c r="AB395">
        <v>0</v>
      </c>
      <c r="AC395">
        <v>0</v>
      </c>
      <c r="AD395">
        <v>0</v>
      </c>
      <c r="AE395">
        <v>0</v>
      </c>
      <c r="AF395">
        <v>11</v>
      </c>
      <c r="AG395">
        <v>0</v>
      </c>
      <c r="AH395">
        <v>0</v>
      </c>
      <c r="AI395">
        <v>346</v>
      </c>
      <c r="AJ395">
        <v>0</v>
      </c>
      <c r="AK395">
        <v>0</v>
      </c>
      <c r="AL395">
        <v>0</v>
      </c>
      <c r="AM395">
        <v>0</v>
      </c>
      <c r="AN395">
        <v>0</v>
      </c>
      <c r="AO395">
        <v>0</v>
      </c>
      <c r="AP395">
        <v>0</v>
      </c>
      <c r="AQ395">
        <v>0</v>
      </c>
      <c r="AR395">
        <v>0</v>
      </c>
      <c r="AS395">
        <v>0</v>
      </c>
      <c r="AT395">
        <v>0</v>
      </c>
      <c r="AU395">
        <v>0</v>
      </c>
      <c r="AV395">
        <v>0</v>
      </c>
      <c r="AW395">
        <v>0</v>
      </c>
      <c r="AX395">
        <v>0</v>
      </c>
      <c r="AY395">
        <v>0</v>
      </c>
      <c r="AZ395">
        <v>0</v>
      </c>
      <c r="BA395">
        <v>0</v>
      </c>
      <c r="BB395">
        <v>172</v>
      </c>
      <c r="BC395">
        <v>0</v>
      </c>
      <c r="BD395">
        <v>172</v>
      </c>
      <c r="BE395">
        <v>0</v>
      </c>
      <c r="BF395">
        <v>0</v>
      </c>
      <c r="BG395">
        <v>0</v>
      </c>
      <c r="BH395">
        <v>0</v>
      </c>
      <c r="BI395">
        <v>0</v>
      </c>
      <c r="BJ395">
        <v>0</v>
      </c>
      <c r="BK395">
        <v>0</v>
      </c>
      <c r="BL395">
        <v>0</v>
      </c>
      <c r="BM395">
        <v>0</v>
      </c>
      <c r="BN395">
        <v>0</v>
      </c>
      <c r="BO395">
        <v>0</v>
      </c>
      <c r="BP395">
        <v>0</v>
      </c>
      <c r="BQ395">
        <v>0</v>
      </c>
      <c r="BR395">
        <v>0</v>
      </c>
      <c r="BS395">
        <v>0</v>
      </c>
      <c r="BT395">
        <v>0</v>
      </c>
      <c r="BU395">
        <v>0</v>
      </c>
      <c r="BV395">
        <v>0</v>
      </c>
      <c r="BW395">
        <v>0</v>
      </c>
      <c r="BX395">
        <v>0</v>
      </c>
      <c r="BY395">
        <v>0</v>
      </c>
      <c r="BZ395">
        <v>0</v>
      </c>
      <c r="CA395">
        <v>0</v>
      </c>
      <c r="CB395">
        <v>0</v>
      </c>
      <c r="CC395">
        <v>0</v>
      </c>
      <c r="CD395">
        <v>0</v>
      </c>
      <c r="CE395">
        <v>0</v>
      </c>
      <c r="CF395">
        <v>0</v>
      </c>
      <c r="CG395">
        <v>0</v>
      </c>
      <c r="CH395">
        <v>0</v>
      </c>
      <c r="CI395">
        <v>0</v>
      </c>
      <c r="CJ395">
        <v>0</v>
      </c>
      <c r="CK395">
        <v>0</v>
      </c>
      <c r="CL395">
        <v>0</v>
      </c>
      <c r="CM395">
        <v>0</v>
      </c>
      <c r="CN395">
        <v>0</v>
      </c>
      <c r="CO395">
        <v>0</v>
      </c>
      <c r="CP395">
        <v>0</v>
      </c>
      <c r="CQ395">
        <v>0</v>
      </c>
      <c r="CR395">
        <v>0</v>
      </c>
      <c r="CS395">
        <v>0</v>
      </c>
      <c r="CT395">
        <v>0</v>
      </c>
      <c r="CU395">
        <v>12</v>
      </c>
      <c r="CV395">
        <v>12</v>
      </c>
      <c r="CW395">
        <v>0</v>
      </c>
      <c r="CX395">
        <v>0</v>
      </c>
      <c r="CY395">
        <v>0</v>
      </c>
      <c r="CZ395">
        <v>0</v>
      </c>
      <c r="DA395">
        <v>0</v>
      </c>
      <c r="DB395">
        <v>0</v>
      </c>
      <c r="DC395">
        <v>285</v>
      </c>
      <c r="DD395">
        <v>0</v>
      </c>
      <c r="DE395">
        <v>72</v>
      </c>
      <c r="DF395">
        <v>171</v>
      </c>
      <c r="DG395">
        <v>0</v>
      </c>
      <c r="DH395">
        <v>0</v>
      </c>
      <c r="DI395">
        <v>0</v>
      </c>
      <c r="DJ395">
        <v>218</v>
      </c>
      <c r="DK395">
        <v>102</v>
      </c>
      <c r="DL395">
        <v>0</v>
      </c>
      <c r="DM395">
        <v>168</v>
      </c>
      <c r="DN395">
        <v>718</v>
      </c>
      <c r="DO395">
        <v>0</v>
      </c>
      <c r="DP395">
        <v>1206</v>
      </c>
      <c r="DQ395">
        <v>248</v>
      </c>
      <c r="DR395">
        <v>230</v>
      </c>
      <c r="DS395">
        <v>6</v>
      </c>
      <c r="DT395">
        <v>1283</v>
      </c>
      <c r="DU395">
        <v>0</v>
      </c>
      <c r="DV395">
        <v>0</v>
      </c>
      <c r="DW395">
        <v>0</v>
      </c>
      <c r="DX395">
        <v>3501</v>
      </c>
      <c r="DY395">
        <v>14004</v>
      </c>
      <c r="DZ395">
        <v>160</v>
      </c>
      <c r="EA395">
        <v>1209</v>
      </c>
      <c r="EB395">
        <v>298</v>
      </c>
      <c r="EC395">
        <v>0</v>
      </c>
      <c r="ED395">
        <v>71</v>
      </c>
      <c r="EE395">
        <v>0</v>
      </c>
      <c r="EF395">
        <v>0</v>
      </c>
      <c r="EG395">
        <v>-5</v>
      </c>
      <c r="EH395">
        <v>3460</v>
      </c>
      <c r="EI395">
        <v>2789</v>
      </c>
      <c r="EJ395">
        <v>1178</v>
      </c>
      <c r="EK395">
        <v>205</v>
      </c>
      <c r="EL395">
        <v>1763</v>
      </c>
      <c r="EM395">
        <v>5959</v>
      </c>
      <c r="EN395">
        <v>561</v>
      </c>
      <c r="EO395">
        <v>48</v>
      </c>
      <c r="EP395">
        <v>0</v>
      </c>
      <c r="EQ395">
        <v>0</v>
      </c>
      <c r="ER395">
        <v>115</v>
      </c>
      <c r="ES395">
        <v>9158</v>
      </c>
      <c r="ET395">
        <v>8817</v>
      </c>
      <c r="EU395">
        <v>0</v>
      </c>
      <c r="EV395">
        <v>22</v>
      </c>
      <c r="EW395">
        <v>0</v>
      </c>
      <c r="EX395">
        <v>0</v>
      </c>
      <c r="EY395">
        <v>0</v>
      </c>
      <c r="EZ395">
        <v>0</v>
      </c>
      <c r="FA395">
        <v>39</v>
      </c>
      <c r="FB395">
        <v>119</v>
      </c>
      <c r="FC395">
        <v>-49</v>
      </c>
      <c r="FD395">
        <v>-1056</v>
      </c>
      <c r="FE395">
        <v>0</v>
      </c>
      <c r="FF395">
        <v>134</v>
      </c>
      <c r="FG395">
        <v>0</v>
      </c>
      <c r="FH395">
        <v>-791</v>
      </c>
      <c r="FI395">
        <v>-120</v>
      </c>
      <c r="FJ395">
        <v>0</v>
      </c>
      <c r="FK395">
        <v>0</v>
      </c>
      <c r="FL395">
        <v>113</v>
      </c>
      <c r="FM395">
        <v>206</v>
      </c>
      <c r="FN395">
        <v>0</v>
      </c>
      <c r="FO395">
        <v>93</v>
      </c>
      <c r="FP395">
        <v>0</v>
      </c>
      <c r="FQ395">
        <v>0</v>
      </c>
      <c r="FR395">
        <v>21</v>
      </c>
      <c r="FS395">
        <v>126</v>
      </c>
      <c r="FT395">
        <v>143</v>
      </c>
      <c r="FU395">
        <v>130</v>
      </c>
      <c r="FV395">
        <v>155</v>
      </c>
      <c r="FW395">
        <v>12</v>
      </c>
      <c r="FX395">
        <v>0</v>
      </c>
      <c r="FY395">
        <v>29</v>
      </c>
      <c r="FZ395">
        <v>0</v>
      </c>
      <c r="GA395">
        <v>83</v>
      </c>
      <c r="GB395">
        <v>0</v>
      </c>
      <c r="GC395">
        <v>0</v>
      </c>
      <c r="GD395">
        <v>1152</v>
      </c>
      <c r="GE395">
        <v>2858</v>
      </c>
      <c r="GF395">
        <v>0</v>
      </c>
      <c r="GG395">
        <v>0</v>
      </c>
      <c r="GH395">
        <v>992</v>
      </c>
      <c r="GI395">
        <v>0</v>
      </c>
      <c r="GJ395">
        <v>55</v>
      </c>
      <c r="GK395">
        <v>6048</v>
      </c>
      <c r="GL395">
        <v>-8</v>
      </c>
      <c r="GM395">
        <v>869</v>
      </c>
      <c r="GN395">
        <v>0</v>
      </c>
      <c r="GO395">
        <v>970</v>
      </c>
      <c r="GP395">
        <v>109</v>
      </c>
      <c r="GQ395">
        <v>398</v>
      </c>
      <c r="GR395">
        <v>0</v>
      </c>
      <c r="GS395">
        <v>-283</v>
      </c>
      <c r="GT395">
        <v>0</v>
      </c>
      <c r="GU395">
        <v>2055</v>
      </c>
      <c r="GV395">
        <v>7312</v>
      </c>
      <c r="GW395">
        <v>0</v>
      </c>
      <c r="GX395">
        <v>0</v>
      </c>
      <c r="GY395">
        <v>0</v>
      </c>
      <c r="GZ395">
        <v>0</v>
      </c>
      <c r="HA395">
        <v>0</v>
      </c>
      <c r="HB395">
        <v>2782</v>
      </c>
      <c r="HC395">
        <v>1297</v>
      </c>
      <c r="HD395">
        <v>0</v>
      </c>
      <c r="HE395">
        <v>0</v>
      </c>
      <c r="HF395">
        <v>0</v>
      </c>
      <c r="HG395">
        <v>92</v>
      </c>
      <c r="HH395">
        <v>0</v>
      </c>
      <c r="HI395">
        <v>0</v>
      </c>
      <c r="HJ395">
        <v>360</v>
      </c>
      <c r="HK395">
        <v>235</v>
      </c>
      <c r="HL395">
        <v>297</v>
      </c>
      <c r="HM395">
        <v>-120</v>
      </c>
      <c r="HN395">
        <v>0</v>
      </c>
      <c r="HO395">
        <v>286</v>
      </c>
      <c r="HP395">
        <v>0</v>
      </c>
      <c r="HQ395">
        <v>0</v>
      </c>
      <c r="HR395">
        <v>713</v>
      </c>
      <c r="HS395">
        <v>0</v>
      </c>
      <c r="HT395">
        <v>0</v>
      </c>
      <c r="HU395">
        <v>0</v>
      </c>
      <c r="HV395">
        <v>5942</v>
      </c>
      <c r="HW395">
        <v>2770</v>
      </c>
      <c r="HX395">
        <v>2562</v>
      </c>
      <c r="HY395">
        <v>0</v>
      </c>
      <c r="HZ395">
        <v>772</v>
      </c>
      <c r="IA395">
        <v>394</v>
      </c>
      <c r="IB395">
        <v>17</v>
      </c>
      <c r="IC395">
        <v>0</v>
      </c>
      <c r="ID395">
        <v>346</v>
      </c>
      <c r="IE395">
        <v>172</v>
      </c>
      <c r="IF395">
        <v>0</v>
      </c>
      <c r="IG395">
        <v>12</v>
      </c>
      <c r="IH395">
        <v>3501</v>
      </c>
      <c r="II395">
        <v>-791</v>
      </c>
      <c r="IJ395">
        <v>6048</v>
      </c>
      <c r="IK395">
        <v>2055</v>
      </c>
      <c r="IL395">
        <v>0</v>
      </c>
      <c r="IM395">
        <v>0</v>
      </c>
      <c r="IN395">
        <v>5942</v>
      </c>
      <c r="IO395">
        <v>17</v>
      </c>
      <c r="IP395">
        <v>17302</v>
      </c>
      <c r="IQ395">
        <v>14155</v>
      </c>
      <c r="IR395">
        <v>245</v>
      </c>
      <c r="IS395">
        <v>5672</v>
      </c>
      <c r="IT395">
        <v>0</v>
      </c>
      <c r="IU395">
        <v>0</v>
      </c>
      <c r="IV395">
        <v>7232</v>
      </c>
      <c r="IW395">
        <v>0</v>
      </c>
      <c r="IX395">
        <v>0</v>
      </c>
      <c r="IY395">
        <v>0</v>
      </c>
      <c r="IZ395">
        <v>0</v>
      </c>
      <c r="JA395">
        <v>-54</v>
      </c>
      <c r="JB395">
        <v>0</v>
      </c>
      <c r="JC395">
        <v>0</v>
      </c>
      <c r="JD395">
        <v>0</v>
      </c>
      <c r="JE395">
        <v>94</v>
      </c>
      <c r="JF395">
        <v>0</v>
      </c>
      <c r="JG395">
        <v>44646</v>
      </c>
      <c r="JH395">
        <v>0</v>
      </c>
      <c r="JI395">
        <v>229</v>
      </c>
      <c r="JJ395">
        <v>0</v>
      </c>
      <c r="JK395">
        <v>0</v>
      </c>
      <c r="JL395">
        <v>0</v>
      </c>
      <c r="JM395">
        <v>-177</v>
      </c>
      <c r="JN395">
        <v>637</v>
      </c>
      <c r="JO395">
        <v>0</v>
      </c>
      <c r="JP395">
        <v>40</v>
      </c>
      <c r="JQ395">
        <v>0</v>
      </c>
      <c r="JR395">
        <v>45375</v>
      </c>
      <c r="JS395">
        <v>-714</v>
      </c>
      <c r="JT395">
        <v>0</v>
      </c>
      <c r="JU395">
        <v>17</v>
      </c>
      <c r="JV395">
        <v>0</v>
      </c>
      <c r="JW395">
        <v>-20655</v>
      </c>
      <c r="JX395">
        <v>0</v>
      </c>
      <c r="JY395">
        <v>0</v>
      </c>
      <c r="JZ395">
        <v>0</v>
      </c>
      <c r="KA395">
        <v>0</v>
      </c>
      <c r="KB395">
        <v>0</v>
      </c>
      <c r="KC395">
        <v>24023</v>
      </c>
      <c r="KD395">
        <v>0</v>
      </c>
      <c r="KE395">
        <v>-4159</v>
      </c>
      <c r="KF395">
        <v>19864</v>
      </c>
      <c r="KG395">
        <v>0</v>
      </c>
      <c r="KH395">
        <v>0</v>
      </c>
      <c r="KI395">
        <v>0</v>
      </c>
      <c r="KJ395">
        <v>0</v>
      </c>
      <c r="KK395">
        <v>7850</v>
      </c>
      <c r="KL395">
        <v>582</v>
      </c>
      <c r="KM395">
        <v>0</v>
      </c>
      <c r="KN395">
        <v>0</v>
      </c>
      <c r="KO395">
        <v>-2452</v>
      </c>
      <c r="KP395">
        <v>-28</v>
      </c>
      <c r="KQ395">
        <v>0</v>
      </c>
      <c r="KR395">
        <v>20348</v>
      </c>
      <c r="KS395">
        <v>0</v>
      </c>
      <c r="KT395">
        <v>0</v>
      </c>
      <c r="KU395">
        <v>0</v>
      </c>
      <c r="KV395">
        <v>42658</v>
      </c>
      <c r="KW395">
        <v>4482</v>
      </c>
      <c r="KX395">
        <v>0</v>
      </c>
      <c r="KY395">
        <v>0</v>
      </c>
      <c r="KZ395">
        <v>0</v>
      </c>
      <c r="LA395">
        <v>50508</v>
      </c>
      <c r="LB395">
        <v>5064</v>
      </c>
      <c r="LC395">
        <v>0</v>
      </c>
      <c r="LD395">
        <v>1029</v>
      </c>
      <c r="LE395">
        <v>0</v>
      </c>
      <c r="LF395">
        <v>868</v>
      </c>
      <c r="LG395">
        <v>-733</v>
      </c>
      <c r="LH395">
        <v>683</v>
      </c>
      <c r="LI395">
        <v>1847</v>
      </c>
      <c r="LJ395">
        <v>4450</v>
      </c>
      <c r="LK395">
        <v>3917</v>
      </c>
      <c r="LL395">
        <v>8367</v>
      </c>
      <c r="LM395">
        <v>0</v>
      </c>
      <c r="LN395">
        <v>0</v>
      </c>
      <c r="LO395">
        <v>0</v>
      </c>
      <c r="LP395">
        <v>15737</v>
      </c>
      <c r="LQ395">
        <v>16078</v>
      </c>
      <c r="LR395">
        <v>-341</v>
      </c>
      <c r="LS395">
        <v>9158</v>
      </c>
      <c r="LT395">
        <v>8817</v>
      </c>
      <c r="LU395">
        <v>0</v>
      </c>
      <c r="LV395">
        <v>346</v>
      </c>
      <c r="LW395">
        <v>172</v>
      </c>
      <c r="LX395">
        <v>0</v>
      </c>
      <c r="LY395">
        <v>12</v>
      </c>
      <c r="LZ395">
        <v>3501</v>
      </c>
      <c r="MA395">
        <v>-791</v>
      </c>
      <c r="MB395">
        <v>6048</v>
      </c>
      <c r="MC395">
        <v>2055</v>
      </c>
      <c r="MD395">
        <v>0</v>
      </c>
      <c r="ME395">
        <v>0</v>
      </c>
      <c r="MF395">
        <v>5942</v>
      </c>
      <c r="MG395">
        <v>17</v>
      </c>
      <c r="MH395">
        <v>17302</v>
      </c>
      <c r="MI395">
        <v>0</v>
      </c>
      <c r="MJ395">
        <v>0</v>
      </c>
      <c r="MK395">
        <v>0</v>
      </c>
      <c r="ML395">
        <v>0</v>
      </c>
      <c r="MM395">
        <v>0</v>
      </c>
      <c r="MN395">
        <v>0</v>
      </c>
      <c r="MO395">
        <v>0</v>
      </c>
      <c r="MP395">
        <v>0</v>
      </c>
      <c r="MQ395">
        <v>0</v>
      </c>
      <c r="MR395">
        <v>0</v>
      </c>
      <c r="MS395">
        <v>0</v>
      </c>
      <c r="MT395">
        <v>0</v>
      </c>
      <c r="MU395">
        <v>0</v>
      </c>
      <c r="MV395">
        <v>0</v>
      </c>
      <c r="MW395">
        <v>0</v>
      </c>
      <c r="MX395">
        <v>0</v>
      </c>
      <c r="MY395">
        <v>-54</v>
      </c>
      <c r="MZ395">
        <v>0</v>
      </c>
      <c r="NA395">
        <v>-54</v>
      </c>
      <c r="NB395">
        <v>0</v>
      </c>
      <c r="NC395">
        <v>-54</v>
      </c>
      <c r="ND395">
        <v>0</v>
      </c>
      <c r="NE395">
        <v>0</v>
      </c>
      <c r="NF395">
        <v>0</v>
      </c>
      <c r="NG395">
        <v>0</v>
      </c>
      <c r="NH395">
        <v>0</v>
      </c>
      <c r="NI395">
        <v>0</v>
      </c>
      <c r="NJ395">
        <v>0</v>
      </c>
      <c r="NK395">
        <v>0</v>
      </c>
      <c r="NL395">
        <v>0</v>
      </c>
      <c r="NM395">
        <v>0</v>
      </c>
      <c r="NN395">
        <v>0</v>
      </c>
      <c r="NO395">
        <v>0</v>
      </c>
      <c r="NP395">
        <v>0</v>
      </c>
      <c r="NQ395">
        <v>0</v>
      </c>
      <c r="NR395">
        <v>0</v>
      </c>
      <c r="NS395">
        <v>0</v>
      </c>
      <c r="NT395">
        <v>0</v>
      </c>
      <c r="NU395">
        <v>0</v>
      </c>
      <c r="NV395">
        <v>0</v>
      </c>
      <c r="NW395">
        <v>0</v>
      </c>
      <c r="NX395">
        <v>0</v>
      </c>
      <c r="NY395">
        <v>0</v>
      </c>
      <c r="NZ395">
        <v>0</v>
      </c>
      <c r="OA395">
        <v>0</v>
      </c>
      <c r="OB395">
        <v>0</v>
      </c>
      <c r="OC395">
        <v>0</v>
      </c>
      <c r="OD395">
        <v>0</v>
      </c>
      <c r="OE395">
        <v>0</v>
      </c>
      <c r="OF395">
        <v>0</v>
      </c>
      <c r="OG395">
        <v>0</v>
      </c>
      <c r="OH395">
        <v>0</v>
      </c>
      <c r="OI395">
        <v>0</v>
      </c>
      <c r="OJ395">
        <v>0</v>
      </c>
      <c r="OK395">
        <v>0</v>
      </c>
      <c r="OL395">
        <v>0</v>
      </c>
      <c r="OM395">
        <v>0</v>
      </c>
      <c r="ON395">
        <v>0</v>
      </c>
    </row>
    <row r="396" spans="1:404" x14ac:dyDescent="0.25">
      <c r="A396" t="s">
        <v>1254</v>
      </c>
      <c r="B396" t="s">
        <v>1255</v>
      </c>
      <c r="C396" t="s">
        <v>1253</v>
      </c>
      <c r="E396" t="s">
        <v>61</v>
      </c>
      <c r="F396">
        <v>0</v>
      </c>
      <c r="G396">
        <v>0</v>
      </c>
      <c r="H396">
        <v>0</v>
      </c>
      <c r="I396">
        <v>0</v>
      </c>
      <c r="J396">
        <v>0</v>
      </c>
      <c r="K396">
        <v>0</v>
      </c>
      <c r="L396">
        <v>0</v>
      </c>
      <c r="M396">
        <v>0</v>
      </c>
      <c r="N396">
        <v>87</v>
      </c>
      <c r="O396">
        <v>0</v>
      </c>
      <c r="P396">
        <v>0</v>
      </c>
      <c r="Q396">
        <v>0</v>
      </c>
      <c r="R396">
        <v>0</v>
      </c>
      <c r="S396">
        <v>0</v>
      </c>
      <c r="T396">
        <v>0</v>
      </c>
      <c r="U396">
        <v>83</v>
      </c>
      <c r="V396">
        <v>0</v>
      </c>
      <c r="W396">
        <v>0</v>
      </c>
      <c r="X396">
        <v>0</v>
      </c>
      <c r="Y396">
        <v>0</v>
      </c>
      <c r="Z396">
        <v>-206</v>
      </c>
      <c r="AA396">
        <v>389</v>
      </c>
      <c r="AB396">
        <v>0</v>
      </c>
      <c r="AC396">
        <v>14</v>
      </c>
      <c r="AD396">
        <v>0</v>
      </c>
      <c r="AE396">
        <v>0</v>
      </c>
      <c r="AF396">
        <v>0</v>
      </c>
      <c r="AG396">
        <v>0</v>
      </c>
      <c r="AH396">
        <v>0</v>
      </c>
      <c r="AI396">
        <v>368</v>
      </c>
      <c r="AJ396">
        <v>0</v>
      </c>
      <c r="AK396">
        <v>0</v>
      </c>
      <c r="AL396">
        <v>0</v>
      </c>
      <c r="AM396">
        <v>0</v>
      </c>
      <c r="AN396">
        <v>0</v>
      </c>
      <c r="AO396">
        <v>0</v>
      </c>
      <c r="AP396">
        <v>0</v>
      </c>
      <c r="AQ396">
        <v>511</v>
      </c>
      <c r="AR396">
        <v>327</v>
      </c>
      <c r="AS396">
        <v>0</v>
      </c>
      <c r="AT396">
        <v>0</v>
      </c>
      <c r="AU396">
        <v>0</v>
      </c>
      <c r="AV396">
        <v>0</v>
      </c>
      <c r="AW396">
        <v>0</v>
      </c>
      <c r="AX396">
        <v>0</v>
      </c>
      <c r="AY396">
        <v>0</v>
      </c>
      <c r="AZ396">
        <v>0</v>
      </c>
      <c r="BA396">
        <v>0</v>
      </c>
      <c r="BB396">
        <v>0</v>
      </c>
      <c r="BC396">
        <v>0</v>
      </c>
      <c r="BD396">
        <v>0</v>
      </c>
      <c r="BE396">
        <v>0</v>
      </c>
      <c r="BF396">
        <v>0</v>
      </c>
      <c r="BG396">
        <v>0</v>
      </c>
      <c r="BH396">
        <v>-40</v>
      </c>
      <c r="BI396">
        <v>0</v>
      </c>
      <c r="BJ396">
        <v>0</v>
      </c>
      <c r="BK396">
        <v>0</v>
      </c>
      <c r="BL396">
        <v>0</v>
      </c>
      <c r="BM396">
        <v>0</v>
      </c>
      <c r="BN396">
        <v>0</v>
      </c>
      <c r="BO396">
        <v>0</v>
      </c>
      <c r="BP396">
        <v>0</v>
      </c>
      <c r="BQ396">
        <v>0</v>
      </c>
      <c r="BR396">
        <v>0</v>
      </c>
      <c r="BS396">
        <v>0</v>
      </c>
      <c r="BT396">
        <v>0</v>
      </c>
      <c r="BU396">
        <v>0</v>
      </c>
      <c r="BV396">
        <v>2</v>
      </c>
      <c r="BW396">
        <v>-37</v>
      </c>
      <c r="BX396">
        <v>0</v>
      </c>
      <c r="BY396">
        <v>0</v>
      </c>
      <c r="BZ396">
        <v>0</v>
      </c>
      <c r="CA396">
        <v>0</v>
      </c>
      <c r="CB396">
        <v>0</v>
      </c>
      <c r="CC396">
        <v>0</v>
      </c>
      <c r="CD396">
        <v>0</v>
      </c>
      <c r="CE396">
        <v>0</v>
      </c>
      <c r="CF396">
        <v>0</v>
      </c>
      <c r="CG396">
        <v>0</v>
      </c>
      <c r="CH396">
        <v>0</v>
      </c>
      <c r="CI396">
        <v>0</v>
      </c>
      <c r="CJ396">
        <v>0</v>
      </c>
      <c r="CK396">
        <v>0</v>
      </c>
      <c r="CL396">
        <v>0</v>
      </c>
      <c r="CM396">
        <v>0</v>
      </c>
      <c r="CN396">
        <v>0</v>
      </c>
      <c r="CO396">
        <v>0</v>
      </c>
      <c r="CP396">
        <v>0</v>
      </c>
      <c r="CQ396">
        <v>0</v>
      </c>
      <c r="CR396">
        <v>0</v>
      </c>
      <c r="CS396">
        <v>0</v>
      </c>
      <c r="CT396">
        <v>0</v>
      </c>
      <c r="CU396">
        <v>0</v>
      </c>
      <c r="CV396">
        <v>0</v>
      </c>
      <c r="CW396">
        <v>0</v>
      </c>
      <c r="CX396">
        <v>0</v>
      </c>
      <c r="CY396">
        <v>0</v>
      </c>
      <c r="CZ396">
        <v>0</v>
      </c>
      <c r="DA396">
        <v>0</v>
      </c>
      <c r="DB396">
        <v>-40</v>
      </c>
      <c r="DC396">
        <v>615</v>
      </c>
      <c r="DD396">
        <v>0</v>
      </c>
      <c r="DE396">
        <v>0</v>
      </c>
      <c r="DF396">
        <v>0</v>
      </c>
      <c r="DG396">
        <v>0</v>
      </c>
      <c r="DH396">
        <v>1001</v>
      </c>
      <c r="DI396">
        <v>0</v>
      </c>
      <c r="DJ396">
        <v>0</v>
      </c>
      <c r="DK396">
        <v>0</v>
      </c>
      <c r="DL396">
        <v>0</v>
      </c>
      <c r="DM396">
        <v>0</v>
      </c>
      <c r="DN396">
        <v>252</v>
      </c>
      <c r="DO396">
        <v>0</v>
      </c>
      <c r="DP396">
        <v>1253</v>
      </c>
      <c r="DQ396">
        <v>0</v>
      </c>
      <c r="DR396">
        <v>-208</v>
      </c>
      <c r="DS396">
        <v>0</v>
      </c>
      <c r="DT396">
        <v>1115</v>
      </c>
      <c r="DU396">
        <v>0</v>
      </c>
      <c r="DV396">
        <v>0</v>
      </c>
      <c r="DW396">
        <v>0</v>
      </c>
      <c r="DX396">
        <v>2775</v>
      </c>
      <c r="DY396">
        <v>49732</v>
      </c>
      <c r="DZ396">
        <v>371</v>
      </c>
      <c r="EA396">
        <v>2358</v>
      </c>
      <c r="EB396">
        <v>581</v>
      </c>
      <c r="EC396">
        <v>0</v>
      </c>
      <c r="ED396">
        <v>2</v>
      </c>
      <c r="EE396">
        <v>0</v>
      </c>
      <c r="EF396">
        <v>0</v>
      </c>
      <c r="EG396">
        <v>0</v>
      </c>
      <c r="EH396">
        <v>12474</v>
      </c>
      <c r="EI396">
        <v>9944</v>
      </c>
      <c r="EJ396">
        <v>3022</v>
      </c>
      <c r="EK396">
        <v>977</v>
      </c>
      <c r="EL396">
        <v>5880</v>
      </c>
      <c r="EM396">
        <v>14951</v>
      </c>
      <c r="EN396">
        <v>5603</v>
      </c>
      <c r="EO396">
        <v>36</v>
      </c>
      <c r="EP396">
        <v>0</v>
      </c>
      <c r="EQ396">
        <v>0</v>
      </c>
      <c r="ER396">
        <v>58</v>
      </c>
      <c r="ES396">
        <v>2552</v>
      </c>
      <c r="ET396">
        <v>2653</v>
      </c>
      <c r="EU396">
        <v>0</v>
      </c>
      <c r="EV396">
        <v>0</v>
      </c>
      <c r="EW396">
        <v>24</v>
      </c>
      <c r="EX396">
        <v>378</v>
      </c>
      <c r="EY396">
        <v>1421</v>
      </c>
      <c r="EZ396">
        <v>61</v>
      </c>
      <c r="FA396">
        <v>0</v>
      </c>
      <c r="FB396">
        <v>10</v>
      </c>
      <c r="FC396">
        <v>667</v>
      </c>
      <c r="FD396">
        <v>1548</v>
      </c>
      <c r="FE396">
        <v>0</v>
      </c>
      <c r="FF396">
        <v>0</v>
      </c>
      <c r="FG396">
        <v>0</v>
      </c>
      <c r="FH396">
        <v>4109</v>
      </c>
      <c r="FI396">
        <v>169</v>
      </c>
      <c r="FJ396">
        <v>0</v>
      </c>
      <c r="FK396">
        <v>0</v>
      </c>
      <c r="FL396">
        <v>158</v>
      </c>
      <c r="FM396">
        <v>158</v>
      </c>
      <c r="FN396">
        <v>158</v>
      </c>
      <c r="FO396">
        <v>158</v>
      </c>
      <c r="FP396">
        <v>0</v>
      </c>
      <c r="FQ396">
        <v>20</v>
      </c>
      <c r="FR396">
        <v>21</v>
      </c>
      <c r="FS396">
        <v>0</v>
      </c>
      <c r="FT396">
        <v>187</v>
      </c>
      <c r="FU396">
        <v>0</v>
      </c>
      <c r="FV396">
        <v>0</v>
      </c>
      <c r="FW396">
        <v>371</v>
      </c>
      <c r="FX396">
        <v>108</v>
      </c>
      <c r="FY396">
        <v>0</v>
      </c>
      <c r="FZ396">
        <v>0</v>
      </c>
      <c r="GA396">
        <v>0</v>
      </c>
      <c r="GB396">
        <v>0</v>
      </c>
      <c r="GC396">
        <v>0</v>
      </c>
      <c r="GD396">
        <v>2019</v>
      </c>
      <c r="GE396">
        <v>2412</v>
      </c>
      <c r="GF396">
        <v>0</v>
      </c>
      <c r="GG396">
        <v>0</v>
      </c>
      <c r="GH396">
        <v>0</v>
      </c>
      <c r="GI396">
        <v>0</v>
      </c>
      <c r="GJ396">
        <v>0</v>
      </c>
      <c r="GK396">
        <v>5940</v>
      </c>
      <c r="GL396">
        <v>26</v>
      </c>
      <c r="GM396">
        <v>1085</v>
      </c>
      <c r="GN396">
        <v>0</v>
      </c>
      <c r="GO396">
        <v>849</v>
      </c>
      <c r="GP396">
        <v>0</v>
      </c>
      <c r="GQ396">
        <v>199</v>
      </c>
      <c r="GR396">
        <v>0</v>
      </c>
      <c r="GS396">
        <v>-4033</v>
      </c>
      <c r="GT396">
        <v>212</v>
      </c>
      <c r="GU396">
        <v>-1662</v>
      </c>
      <c r="GV396">
        <v>8387</v>
      </c>
      <c r="GW396">
        <v>0</v>
      </c>
      <c r="GX396">
        <v>0</v>
      </c>
      <c r="GY396">
        <v>0</v>
      </c>
      <c r="GZ396">
        <v>0</v>
      </c>
      <c r="HA396">
        <v>0</v>
      </c>
      <c r="HB396">
        <v>2177</v>
      </c>
      <c r="HC396">
        <v>63</v>
      </c>
      <c r="HD396">
        <v>0</v>
      </c>
      <c r="HE396">
        <v>0</v>
      </c>
      <c r="HF396">
        <v>-116</v>
      </c>
      <c r="HG396">
        <v>2985</v>
      </c>
      <c r="HH396">
        <v>0</v>
      </c>
      <c r="HI396">
        <v>0</v>
      </c>
      <c r="HJ396">
        <v>150</v>
      </c>
      <c r="HK396">
        <v>160</v>
      </c>
      <c r="HL396">
        <v>189</v>
      </c>
      <c r="HM396">
        <v>-11</v>
      </c>
      <c r="HN396">
        <v>0</v>
      </c>
      <c r="HO396">
        <v>189</v>
      </c>
      <c r="HP396">
        <v>0</v>
      </c>
      <c r="HQ396">
        <v>0</v>
      </c>
      <c r="HR396">
        <v>7</v>
      </c>
      <c r="HS396">
        <v>0</v>
      </c>
      <c r="HT396">
        <v>0</v>
      </c>
      <c r="HU396">
        <v>-256</v>
      </c>
      <c r="HV396">
        <v>5537</v>
      </c>
      <c r="HW396">
        <v>0</v>
      </c>
      <c r="HX396">
        <v>9620</v>
      </c>
      <c r="HY396">
        <v>0</v>
      </c>
      <c r="HZ396">
        <v>3349</v>
      </c>
      <c r="IA396">
        <v>369</v>
      </c>
      <c r="IB396">
        <v>0</v>
      </c>
      <c r="IC396">
        <v>0</v>
      </c>
      <c r="ID396">
        <v>368</v>
      </c>
      <c r="IE396">
        <v>0</v>
      </c>
      <c r="IF396">
        <v>-37</v>
      </c>
      <c r="IG396">
        <v>0</v>
      </c>
      <c r="IH396">
        <v>2775</v>
      </c>
      <c r="II396">
        <v>4109</v>
      </c>
      <c r="IJ396">
        <v>5940</v>
      </c>
      <c r="IK396">
        <v>-1662</v>
      </c>
      <c r="IL396">
        <v>0</v>
      </c>
      <c r="IM396">
        <v>0</v>
      </c>
      <c r="IN396">
        <v>5537</v>
      </c>
      <c r="IO396">
        <v>0</v>
      </c>
      <c r="IP396">
        <v>17030</v>
      </c>
      <c r="IQ396">
        <v>12539</v>
      </c>
      <c r="IR396">
        <v>0</v>
      </c>
      <c r="IS396">
        <v>13479</v>
      </c>
      <c r="IT396">
        <v>0</v>
      </c>
      <c r="IU396">
        <v>0</v>
      </c>
      <c r="IV396">
        <v>1787</v>
      </c>
      <c r="IW396">
        <v>0</v>
      </c>
      <c r="IX396">
        <v>0</v>
      </c>
      <c r="IY396">
        <v>0</v>
      </c>
      <c r="IZ396">
        <v>0</v>
      </c>
      <c r="JA396">
        <v>0</v>
      </c>
      <c r="JB396">
        <v>0</v>
      </c>
      <c r="JC396">
        <v>0</v>
      </c>
      <c r="JD396">
        <v>0</v>
      </c>
      <c r="JE396">
        <v>0</v>
      </c>
      <c r="JF396">
        <v>0</v>
      </c>
      <c r="JG396">
        <v>44835</v>
      </c>
      <c r="JH396">
        <v>0</v>
      </c>
      <c r="JI396">
        <v>174</v>
      </c>
      <c r="JJ396">
        <v>0</v>
      </c>
      <c r="JK396">
        <v>0</v>
      </c>
      <c r="JL396">
        <v>0</v>
      </c>
      <c r="JM396">
        <v>175</v>
      </c>
      <c r="JN396">
        <v>0</v>
      </c>
      <c r="JO396">
        <v>0</v>
      </c>
      <c r="JP396">
        <v>1238</v>
      </c>
      <c r="JQ396">
        <v>0</v>
      </c>
      <c r="JR396">
        <v>46423</v>
      </c>
      <c r="JS396">
        <v>-446</v>
      </c>
      <c r="JT396">
        <v>0</v>
      </c>
      <c r="JU396">
        <v>0</v>
      </c>
      <c r="JV396">
        <v>0</v>
      </c>
      <c r="JW396">
        <v>-25982</v>
      </c>
      <c r="JX396">
        <v>0</v>
      </c>
      <c r="JY396">
        <v>0</v>
      </c>
      <c r="JZ396">
        <v>0</v>
      </c>
      <c r="KA396">
        <v>0</v>
      </c>
      <c r="KB396">
        <v>0</v>
      </c>
      <c r="KC396">
        <v>19995</v>
      </c>
      <c r="KD396">
        <v>0</v>
      </c>
      <c r="KE396">
        <v>-4922</v>
      </c>
      <c r="KF396">
        <v>15073</v>
      </c>
      <c r="KG396">
        <v>0</v>
      </c>
      <c r="KH396">
        <v>0</v>
      </c>
      <c r="KI396">
        <v>0</v>
      </c>
      <c r="KJ396">
        <v>0</v>
      </c>
      <c r="KK396">
        <v>-3977</v>
      </c>
      <c r="KL396">
        <v>-220</v>
      </c>
      <c r="KM396">
        <v>0</v>
      </c>
      <c r="KN396">
        <v>0</v>
      </c>
      <c r="KO396">
        <v>-978</v>
      </c>
      <c r="KP396">
        <v>106</v>
      </c>
      <c r="KQ396">
        <v>8782</v>
      </c>
      <c r="KR396">
        <v>11312</v>
      </c>
      <c r="KS396">
        <v>0</v>
      </c>
      <c r="KT396">
        <v>0</v>
      </c>
      <c r="KU396">
        <v>0</v>
      </c>
      <c r="KV396">
        <v>19760</v>
      </c>
      <c r="KW396">
        <v>6902</v>
      </c>
      <c r="KX396">
        <v>0</v>
      </c>
      <c r="KY396">
        <v>0</v>
      </c>
      <c r="KZ396">
        <v>0</v>
      </c>
      <c r="LA396">
        <v>15783</v>
      </c>
      <c r="LB396">
        <v>6682</v>
      </c>
      <c r="LC396">
        <v>0</v>
      </c>
      <c r="LD396">
        <v>19322</v>
      </c>
      <c r="LE396">
        <v>0</v>
      </c>
      <c r="LF396">
        <v>-3483</v>
      </c>
      <c r="LG396">
        <v>-1057</v>
      </c>
      <c r="LH396">
        <v>1057</v>
      </c>
      <c r="LI396">
        <v>14954</v>
      </c>
      <c r="LJ396">
        <v>2873</v>
      </c>
      <c r="LK396">
        <v>4915</v>
      </c>
      <c r="LL396">
        <v>7788</v>
      </c>
      <c r="LM396">
        <v>0</v>
      </c>
      <c r="LN396">
        <v>0</v>
      </c>
      <c r="LO396">
        <v>0</v>
      </c>
      <c r="LP396">
        <v>53045</v>
      </c>
      <c r="LQ396">
        <v>52945</v>
      </c>
      <c r="LR396">
        <v>101</v>
      </c>
      <c r="LS396">
        <v>2552</v>
      </c>
      <c r="LT396">
        <v>2653</v>
      </c>
      <c r="LU396">
        <v>0</v>
      </c>
      <c r="LV396">
        <v>368</v>
      </c>
      <c r="LW396">
        <v>0</v>
      </c>
      <c r="LX396">
        <v>-37</v>
      </c>
      <c r="LY396">
        <v>0</v>
      </c>
      <c r="LZ396">
        <v>2775</v>
      </c>
      <c r="MA396">
        <v>4109</v>
      </c>
      <c r="MB396">
        <v>5940</v>
      </c>
      <c r="MC396">
        <v>-1662</v>
      </c>
      <c r="MD396">
        <v>0</v>
      </c>
      <c r="ME396">
        <v>0</v>
      </c>
      <c r="MF396">
        <v>5537</v>
      </c>
      <c r="MG396">
        <v>0</v>
      </c>
      <c r="MH396">
        <v>17030</v>
      </c>
      <c r="MI396">
        <v>0</v>
      </c>
      <c r="MJ396">
        <v>0</v>
      </c>
      <c r="MK396">
        <v>0</v>
      </c>
      <c r="ML396">
        <v>0</v>
      </c>
      <c r="MM396">
        <v>0</v>
      </c>
      <c r="MN396">
        <v>0</v>
      </c>
      <c r="MO396">
        <v>0</v>
      </c>
      <c r="MP396">
        <v>0</v>
      </c>
      <c r="MQ396">
        <v>0</v>
      </c>
      <c r="MR396">
        <v>0</v>
      </c>
      <c r="MS396">
        <v>0</v>
      </c>
      <c r="MT396">
        <v>0</v>
      </c>
      <c r="MU396">
        <v>0</v>
      </c>
      <c r="MV396">
        <v>0</v>
      </c>
      <c r="MW396">
        <v>0</v>
      </c>
      <c r="MX396">
        <v>0</v>
      </c>
      <c r="MY396">
        <v>0</v>
      </c>
      <c r="MZ396">
        <v>0</v>
      </c>
      <c r="NA396">
        <v>0</v>
      </c>
      <c r="NB396">
        <v>0</v>
      </c>
      <c r="NC396">
        <v>0</v>
      </c>
      <c r="ND396">
        <v>0</v>
      </c>
      <c r="NE396">
        <v>0</v>
      </c>
      <c r="NF396">
        <v>0</v>
      </c>
      <c r="NG396">
        <v>0</v>
      </c>
      <c r="NH396">
        <v>0</v>
      </c>
      <c r="NI396">
        <v>0</v>
      </c>
      <c r="NJ396">
        <v>0</v>
      </c>
      <c r="NK396">
        <v>0</v>
      </c>
      <c r="NL396">
        <v>0</v>
      </c>
      <c r="NM396">
        <v>0</v>
      </c>
      <c r="NN396">
        <v>0</v>
      </c>
      <c r="NO396">
        <v>0</v>
      </c>
      <c r="NP396">
        <v>0</v>
      </c>
      <c r="NQ396">
        <v>0</v>
      </c>
      <c r="NR396">
        <v>0</v>
      </c>
      <c r="NS396">
        <v>0</v>
      </c>
      <c r="NT396">
        <v>0</v>
      </c>
      <c r="NU396">
        <v>0</v>
      </c>
      <c r="NV396">
        <v>0</v>
      </c>
      <c r="NW396">
        <v>0</v>
      </c>
      <c r="NX396">
        <v>0</v>
      </c>
      <c r="NY396">
        <v>0</v>
      </c>
      <c r="NZ396">
        <v>0</v>
      </c>
      <c r="OA396">
        <v>0</v>
      </c>
      <c r="OB396">
        <v>0</v>
      </c>
      <c r="OC396">
        <v>0</v>
      </c>
      <c r="OD396">
        <v>0</v>
      </c>
      <c r="OE396">
        <v>0</v>
      </c>
      <c r="OF396">
        <v>0</v>
      </c>
      <c r="OG396">
        <v>0</v>
      </c>
      <c r="OH396">
        <v>0</v>
      </c>
      <c r="OI396">
        <v>0</v>
      </c>
      <c r="OJ396">
        <v>0</v>
      </c>
      <c r="OK396">
        <v>0</v>
      </c>
      <c r="OL396">
        <v>0</v>
      </c>
      <c r="OM396">
        <v>0</v>
      </c>
      <c r="ON396">
        <v>0</v>
      </c>
    </row>
    <row r="397" spans="1:404" x14ac:dyDescent="0.25">
      <c r="A397" t="s">
        <v>1257</v>
      </c>
      <c r="B397" t="s">
        <v>1258</v>
      </c>
      <c r="C397" t="s">
        <v>1256</v>
      </c>
      <c r="E397" t="s">
        <v>125</v>
      </c>
      <c r="F397">
        <v>8849</v>
      </c>
      <c r="G397">
        <v>63316</v>
      </c>
      <c r="H397">
        <v>25775</v>
      </c>
      <c r="I397">
        <v>15874</v>
      </c>
      <c r="J397">
        <v>1217</v>
      </c>
      <c r="K397">
        <v>7644</v>
      </c>
      <c r="L397">
        <v>122675</v>
      </c>
      <c r="M397">
        <v>273</v>
      </c>
      <c r="N397">
        <v>0</v>
      </c>
      <c r="O397">
        <v>55</v>
      </c>
      <c r="P397">
        <v>397</v>
      </c>
      <c r="Q397">
        <v>296</v>
      </c>
      <c r="R397">
        <v>278</v>
      </c>
      <c r="S397">
        <v>826</v>
      </c>
      <c r="T397">
        <v>751</v>
      </c>
      <c r="U397">
        <v>1056</v>
      </c>
      <c r="V397">
        <v>0</v>
      </c>
      <c r="W397">
        <v>0</v>
      </c>
      <c r="X397">
        <v>234</v>
      </c>
      <c r="Y397">
        <v>362</v>
      </c>
      <c r="Z397">
        <v>56</v>
      </c>
      <c r="AA397">
        <v>-1863</v>
      </c>
      <c r="AB397">
        <v>474</v>
      </c>
      <c r="AC397">
        <v>0</v>
      </c>
      <c r="AD397">
        <v>1585</v>
      </c>
      <c r="AE397">
        <v>0</v>
      </c>
      <c r="AF397">
        <v>0</v>
      </c>
      <c r="AG397">
        <v>41</v>
      </c>
      <c r="AH397">
        <v>0</v>
      </c>
      <c r="AI397">
        <v>4821</v>
      </c>
      <c r="AJ397">
        <v>0</v>
      </c>
      <c r="AK397">
        <v>0</v>
      </c>
      <c r="AL397">
        <v>0</v>
      </c>
      <c r="AM397">
        <v>0</v>
      </c>
      <c r="AN397">
        <v>0</v>
      </c>
      <c r="AO397">
        <v>0</v>
      </c>
      <c r="AP397">
        <v>0</v>
      </c>
      <c r="AQ397">
        <v>0</v>
      </c>
      <c r="AR397">
        <v>0</v>
      </c>
      <c r="AS397">
        <v>0</v>
      </c>
      <c r="AT397">
        <v>0</v>
      </c>
      <c r="AU397">
        <v>0</v>
      </c>
      <c r="AV397">
        <v>142</v>
      </c>
      <c r="AW397">
        <v>10673</v>
      </c>
      <c r="AX397">
        <v>365</v>
      </c>
      <c r="AY397">
        <v>4380</v>
      </c>
      <c r="AZ397">
        <v>689</v>
      </c>
      <c r="BA397">
        <v>8509</v>
      </c>
      <c r="BB397">
        <v>1400</v>
      </c>
      <c r="BC397">
        <v>245</v>
      </c>
      <c r="BD397">
        <v>26403</v>
      </c>
      <c r="BE397">
        <v>3075</v>
      </c>
      <c r="BF397">
        <v>11023</v>
      </c>
      <c r="BG397">
        <v>55</v>
      </c>
      <c r="BH397">
        <v>151</v>
      </c>
      <c r="BI397">
        <v>92</v>
      </c>
      <c r="BJ397">
        <v>7812</v>
      </c>
      <c r="BK397">
        <v>17708</v>
      </c>
      <c r="BL397">
        <v>2351</v>
      </c>
      <c r="BM397">
        <v>1781</v>
      </c>
      <c r="BN397">
        <v>1040</v>
      </c>
      <c r="BO397">
        <v>67</v>
      </c>
      <c r="BP397">
        <v>50</v>
      </c>
      <c r="BQ397">
        <v>139</v>
      </c>
      <c r="BR397">
        <v>463</v>
      </c>
      <c r="BS397">
        <v>27</v>
      </c>
      <c r="BT397">
        <v>7086</v>
      </c>
      <c r="BU397">
        <v>1889</v>
      </c>
      <c r="BV397">
        <v>4160</v>
      </c>
      <c r="BW397">
        <v>58969</v>
      </c>
      <c r="BX397">
        <v>474</v>
      </c>
      <c r="BY397">
        <v>253</v>
      </c>
      <c r="BZ397">
        <v>106</v>
      </c>
      <c r="CA397">
        <v>59</v>
      </c>
      <c r="CB397">
        <v>32</v>
      </c>
      <c r="CC397">
        <v>231</v>
      </c>
      <c r="CD397">
        <v>32</v>
      </c>
      <c r="CE397">
        <v>116</v>
      </c>
      <c r="CF397">
        <v>43</v>
      </c>
      <c r="CG397">
        <v>100</v>
      </c>
      <c r="CH397">
        <v>43</v>
      </c>
      <c r="CI397">
        <v>710</v>
      </c>
      <c r="CJ397">
        <v>137</v>
      </c>
      <c r="CK397">
        <v>10</v>
      </c>
      <c r="CL397">
        <v>38</v>
      </c>
      <c r="CM397">
        <v>112</v>
      </c>
      <c r="CN397">
        <v>114</v>
      </c>
      <c r="CO397">
        <v>26</v>
      </c>
      <c r="CP397">
        <v>414</v>
      </c>
      <c r="CQ397">
        <v>1410</v>
      </c>
      <c r="CR397">
        <v>370</v>
      </c>
      <c r="CS397">
        <v>0</v>
      </c>
      <c r="CT397">
        <v>211</v>
      </c>
      <c r="CU397">
        <v>5485</v>
      </c>
      <c r="CV397">
        <v>13581</v>
      </c>
      <c r="CW397">
        <v>0</v>
      </c>
      <c r="CX397">
        <v>0</v>
      </c>
      <c r="CY397">
        <v>0</v>
      </c>
      <c r="CZ397">
        <v>0</v>
      </c>
      <c r="DA397">
        <v>0</v>
      </c>
      <c r="DB397">
        <v>0</v>
      </c>
      <c r="DC397">
        <v>458</v>
      </c>
      <c r="DD397">
        <v>0</v>
      </c>
      <c r="DE397">
        <v>8</v>
      </c>
      <c r="DF397">
        <v>3</v>
      </c>
      <c r="DG397">
        <v>0</v>
      </c>
      <c r="DH397">
        <v>53</v>
      </c>
      <c r="DI397">
        <v>223</v>
      </c>
      <c r="DJ397">
        <v>245</v>
      </c>
      <c r="DK397">
        <v>105</v>
      </c>
      <c r="DL397">
        <v>209</v>
      </c>
      <c r="DM397">
        <v>0</v>
      </c>
      <c r="DN397">
        <v>0</v>
      </c>
      <c r="DO397">
        <v>1861</v>
      </c>
      <c r="DP397">
        <v>2696</v>
      </c>
      <c r="DQ397">
        <v>0</v>
      </c>
      <c r="DR397">
        <v>262</v>
      </c>
      <c r="DS397">
        <v>0</v>
      </c>
      <c r="DT397">
        <v>500</v>
      </c>
      <c r="DU397">
        <v>42</v>
      </c>
      <c r="DV397">
        <v>0</v>
      </c>
      <c r="DW397">
        <v>788</v>
      </c>
      <c r="DX397">
        <v>4757</v>
      </c>
      <c r="DY397">
        <v>0</v>
      </c>
      <c r="DZ397">
        <v>0</v>
      </c>
      <c r="EA397">
        <v>0</v>
      </c>
      <c r="EB397">
        <v>0</v>
      </c>
      <c r="EC397">
        <v>0</v>
      </c>
      <c r="ED397">
        <v>0</v>
      </c>
      <c r="EE397">
        <v>0</v>
      </c>
      <c r="EF397">
        <v>0</v>
      </c>
      <c r="EG397">
        <v>0</v>
      </c>
      <c r="EH397">
        <v>0</v>
      </c>
      <c r="EI397">
        <v>0</v>
      </c>
      <c r="EJ397">
        <v>0</v>
      </c>
      <c r="EK397">
        <v>0</v>
      </c>
      <c r="EL397">
        <v>0</v>
      </c>
      <c r="EM397">
        <v>0</v>
      </c>
      <c r="EN397">
        <v>0</v>
      </c>
      <c r="EO397">
        <v>0</v>
      </c>
      <c r="EP397">
        <v>0</v>
      </c>
      <c r="EQ397">
        <v>0</v>
      </c>
      <c r="ER397">
        <v>0</v>
      </c>
      <c r="ES397">
        <v>0</v>
      </c>
      <c r="ET397">
        <v>0</v>
      </c>
      <c r="EU397">
        <v>174</v>
      </c>
      <c r="EV397">
        <v>0</v>
      </c>
      <c r="EW397">
        <v>353</v>
      </c>
      <c r="EX397">
        <v>256</v>
      </c>
      <c r="EY397">
        <v>-1</v>
      </c>
      <c r="EZ397">
        <v>8</v>
      </c>
      <c r="FA397">
        <v>0</v>
      </c>
      <c r="FB397">
        <v>0</v>
      </c>
      <c r="FC397">
        <v>574</v>
      </c>
      <c r="FD397">
        <v>2259</v>
      </c>
      <c r="FE397">
        <v>0</v>
      </c>
      <c r="FF397">
        <v>177</v>
      </c>
      <c r="FG397">
        <v>1346</v>
      </c>
      <c r="FH397">
        <v>5146</v>
      </c>
      <c r="FI397">
        <v>12</v>
      </c>
      <c r="FJ397">
        <v>1152</v>
      </c>
      <c r="FK397">
        <v>48</v>
      </c>
      <c r="FL397">
        <v>277</v>
      </c>
      <c r="FM397">
        <v>514</v>
      </c>
      <c r="FN397">
        <v>225</v>
      </c>
      <c r="FO397">
        <v>147</v>
      </c>
      <c r="FP397">
        <v>0</v>
      </c>
      <c r="FQ397">
        <v>0</v>
      </c>
      <c r="FR397">
        <v>47</v>
      </c>
      <c r="FS397">
        <v>0</v>
      </c>
      <c r="FT397">
        <v>34</v>
      </c>
      <c r="FU397">
        <v>208</v>
      </c>
      <c r="FV397">
        <v>-3</v>
      </c>
      <c r="FW397">
        <v>335</v>
      </c>
      <c r="FX397">
        <v>0</v>
      </c>
      <c r="FY397">
        <v>212</v>
      </c>
      <c r="FZ397">
        <v>0</v>
      </c>
      <c r="GA397">
        <v>0</v>
      </c>
      <c r="GB397">
        <v>0</v>
      </c>
      <c r="GC397">
        <v>-8</v>
      </c>
      <c r="GD397">
        <v>2823</v>
      </c>
      <c r="GE397">
        <v>2976</v>
      </c>
      <c r="GF397">
        <v>8803</v>
      </c>
      <c r="GG397">
        <v>0</v>
      </c>
      <c r="GH397">
        <v>3514</v>
      </c>
      <c r="GI397">
        <v>44</v>
      </c>
      <c r="GJ397">
        <v>122</v>
      </c>
      <c r="GK397">
        <v>21482</v>
      </c>
      <c r="GL397">
        <v>143</v>
      </c>
      <c r="GM397">
        <v>1058</v>
      </c>
      <c r="GN397">
        <v>155</v>
      </c>
      <c r="GO397">
        <v>1209</v>
      </c>
      <c r="GP397">
        <v>107</v>
      </c>
      <c r="GQ397">
        <v>847</v>
      </c>
      <c r="GR397">
        <v>0</v>
      </c>
      <c r="GS397">
        <v>24</v>
      </c>
      <c r="GT397">
        <v>114</v>
      </c>
      <c r="GU397">
        <v>3657</v>
      </c>
      <c r="GV397">
        <v>30285</v>
      </c>
      <c r="GW397">
        <v>0</v>
      </c>
      <c r="GX397">
        <v>0</v>
      </c>
      <c r="GY397">
        <v>0</v>
      </c>
      <c r="GZ397">
        <v>0</v>
      </c>
      <c r="HA397">
        <v>0</v>
      </c>
      <c r="HB397">
        <v>2433</v>
      </c>
      <c r="HC397">
        <v>490</v>
      </c>
      <c r="HD397">
        <v>0</v>
      </c>
      <c r="HE397">
        <v>0</v>
      </c>
      <c r="HF397">
        <v>119</v>
      </c>
      <c r="HG397">
        <v>42</v>
      </c>
      <c r="HH397">
        <v>14</v>
      </c>
      <c r="HI397">
        <v>-9</v>
      </c>
      <c r="HJ397">
        <v>195</v>
      </c>
      <c r="HK397">
        <v>16</v>
      </c>
      <c r="HL397">
        <v>305</v>
      </c>
      <c r="HM397">
        <v>-134</v>
      </c>
      <c r="HN397">
        <v>0</v>
      </c>
      <c r="HO397">
        <v>-21</v>
      </c>
      <c r="HP397">
        <v>317</v>
      </c>
      <c r="HQ397">
        <v>6</v>
      </c>
      <c r="HR397">
        <v>349</v>
      </c>
      <c r="HS397">
        <v>0</v>
      </c>
      <c r="HT397">
        <v>0</v>
      </c>
      <c r="HU397">
        <v>0</v>
      </c>
      <c r="HV397">
        <v>4122</v>
      </c>
      <c r="HW397">
        <v>0</v>
      </c>
      <c r="HX397">
        <v>0</v>
      </c>
      <c r="HY397">
        <v>0</v>
      </c>
      <c r="HZ397">
        <v>0</v>
      </c>
      <c r="IA397">
        <v>0</v>
      </c>
      <c r="IB397">
        <v>0</v>
      </c>
      <c r="IC397">
        <v>122675</v>
      </c>
      <c r="ID397">
        <v>4821</v>
      </c>
      <c r="IE397">
        <v>26403</v>
      </c>
      <c r="IF397">
        <v>58969</v>
      </c>
      <c r="IG397">
        <v>13581</v>
      </c>
      <c r="IH397">
        <v>4757</v>
      </c>
      <c r="II397">
        <v>5146</v>
      </c>
      <c r="IJ397">
        <v>21482</v>
      </c>
      <c r="IK397">
        <v>3657</v>
      </c>
      <c r="IL397">
        <v>0</v>
      </c>
      <c r="IM397">
        <v>0</v>
      </c>
      <c r="IN397">
        <v>4122</v>
      </c>
      <c r="IO397">
        <v>0</v>
      </c>
      <c r="IP397">
        <v>265613</v>
      </c>
      <c r="IQ397">
        <v>24539</v>
      </c>
      <c r="IR397">
        <v>0</v>
      </c>
      <c r="IS397">
        <v>0</v>
      </c>
      <c r="IT397">
        <v>0</v>
      </c>
      <c r="IU397">
        <v>0</v>
      </c>
      <c r="IV397">
        <v>4500</v>
      </c>
      <c r="IW397">
        <v>0</v>
      </c>
      <c r="IX397">
        <v>0</v>
      </c>
      <c r="IY397">
        <v>0</v>
      </c>
      <c r="IZ397">
        <v>0</v>
      </c>
      <c r="JA397">
        <v>-5</v>
      </c>
      <c r="JB397">
        <v>27</v>
      </c>
      <c r="JC397">
        <v>0</v>
      </c>
      <c r="JD397">
        <v>0</v>
      </c>
      <c r="JE397">
        <v>644</v>
      </c>
      <c r="JF397">
        <v>0</v>
      </c>
      <c r="JG397">
        <v>295318</v>
      </c>
      <c r="JH397">
        <v>159</v>
      </c>
      <c r="JI397">
        <v>0</v>
      </c>
      <c r="JJ397">
        <v>0</v>
      </c>
      <c r="JK397">
        <v>-453</v>
      </c>
      <c r="JL397">
        <v>0</v>
      </c>
      <c r="JM397">
        <v>838</v>
      </c>
      <c r="JN397">
        <v>7008</v>
      </c>
      <c r="JO397">
        <v>0</v>
      </c>
      <c r="JP397">
        <v>15969</v>
      </c>
      <c r="JQ397">
        <v>0</v>
      </c>
      <c r="JR397">
        <v>318839</v>
      </c>
      <c r="JS397">
        <v>-3360</v>
      </c>
      <c r="JT397">
        <v>278</v>
      </c>
      <c r="JU397">
        <v>0</v>
      </c>
      <c r="JV397">
        <v>0</v>
      </c>
      <c r="JW397">
        <v>-30449</v>
      </c>
      <c r="JX397">
        <v>0</v>
      </c>
      <c r="JY397">
        <v>0</v>
      </c>
      <c r="JZ397">
        <v>0</v>
      </c>
      <c r="KA397">
        <v>0</v>
      </c>
      <c r="KB397">
        <v>-1504</v>
      </c>
      <c r="KC397">
        <v>283804</v>
      </c>
      <c r="KD397">
        <v>0</v>
      </c>
      <c r="KE397">
        <v>-135344</v>
      </c>
      <c r="KF397">
        <v>148460</v>
      </c>
      <c r="KG397">
        <v>0</v>
      </c>
      <c r="KH397">
        <v>3002</v>
      </c>
      <c r="KI397">
        <v>-4426</v>
      </c>
      <c r="KJ397">
        <v>703</v>
      </c>
      <c r="KK397">
        <v>-15387</v>
      </c>
      <c r="KL397">
        <v>796</v>
      </c>
      <c r="KM397">
        <v>0</v>
      </c>
      <c r="KN397">
        <v>0</v>
      </c>
      <c r="KO397">
        <v>-14256</v>
      </c>
      <c r="KP397">
        <v>794</v>
      </c>
      <c r="KQ397">
        <v>-3500</v>
      </c>
      <c r="KR397">
        <v>108822</v>
      </c>
      <c r="KS397">
        <v>8020</v>
      </c>
      <c r="KT397">
        <v>1461</v>
      </c>
      <c r="KU397">
        <v>838</v>
      </c>
      <c r="KV397">
        <v>37678</v>
      </c>
      <c r="KW397">
        <v>12117</v>
      </c>
      <c r="KX397">
        <v>11022</v>
      </c>
      <c r="KY397">
        <v>-2965</v>
      </c>
      <c r="KZ397">
        <v>1541</v>
      </c>
      <c r="LA397">
        <v>22291</v>
      </c>
      <c r="LB397">
        <v>12913</v>
      </c>
      <c r="LC397">
        <v>0</v>
      </c>
      <c r="LD397">
        <v>13276</v>
      </c>
      <c r="LE397">
        <v>1044</v>
      </c>
      <c r="LF397">
        <v>-5099</v>
      </c>
      <c r="LG397">
        <v>-20855</v>
      </c>
      <c r="LH397">
        <v>5922</v>
      </c>
      <c r="LI397">
        <v>-11454</v>
      </c>
      <c r="LJ397">
        <v>3256</v>
      </c>
      <c r="LK397">
        <v>3182</v>
      </c>
      <c r="LL397">
        <v>6438</v>
      </c>
      <c r="LM397">
        <v>0</v>
      </c>
      <c r="LN397">
        <v>0</v>
      </c>
      <c r="LO397">
        <v>0</v>
      </c>
      <c r="LP397">
        <v>0</v>
      </c>
      <c r="LQ397">
        <v>0</v>
      </c>
      <c r="LR397">
        <v>0</v>
      </c>
      <c r="LS397">
        <v>0</v>
      </c>
      <c r="LT397">
        <v>0</v>
      </c>
      <c r="LU397">
        <v>122675</v>
      </c>
      <c r="LV397">
        <v>4821</v>
      </c>
      <c r="LW397">
        <v>26403</v>
      </c>
      <c r="LX397">
        <v>58969</v>
      </c>
      <c r="LY397">
        <v>13581</v>
      </c>
      <c r="LZ397">
        <v>4757</v>
      </c>
      <c r="MA397">
        <v>5146</v>
      </c>
      <c r="MB397">
        <v>21482</v>
      </c>
      <c r="MC397">
        <v>3657</v>
      </c>
      <c r="MD397">
        <v>0</v>
      </c>
      <c r="ME397">
        <v>0</v>
      </c>
      <c r="MF397">
        <v>4122</v>
      </c>
      <c r="MG397">
        <v>0</v>
      </c>
      <c r="MH397">
        <v>265613</v>
      </c>
      <c r="MI397">
        <v>0</v>
      </c>
      <c r="MJ397">
        <v>0</v>
      </c>
      <c r="MK397">
        <v>0</v>
      </c>
      <c r="ML397">
        <v>0</v>
      </c>
      <c r="MM397">
        <v>0</v>
      </c>
      <c r="MN397">
        <v>0</v>
      </c>
      <c r="MO397">
        <v>0</v>
      </c>
      <c r="MP397">
        <v>0</v>
      </c>
      <c r="MQ397">
        <v>0</v>
      </c>
      <c r="MR397">
        <v>0</v>
      </c>
      <c r="MS397">
        <v>0</v>
      </c>
      <c r="MT397">
        <v>0</v>
      </c>
      <c r="MU397">
        <v>0</v>
      </c>
      <c r="MV397">
        <v>0</v>
      </c>
      <c r="MW397">
        <v>0</v>
      </c>
      <c r="MX397">
        <v>-6</v>
      </c>
      <c r="MY397">
        <v>0</v>
      </c>
      <c r="MZ397">
        <v>0</v>
      </c>
      <c r="NA397">
        <v>-5</v>
      </c>
      <c r="NB397">
        <v>0</v>
      </c>
      <c r="NC397">
        <v>-5</v>
      </c>
      <c r="ND397">
        <v>0</v>
      </c>
      <c r="NE397">
        <v>0</v>
      </c>
      <c r="NF397">
        <v>0</v>
      </c>
      <c r="NG397">
        <v>0</v>
      </c>
      <c r="NH397">
        <v>0</v>
      </c>
      <c r="NI397">
        <v>0</v>
      </c>
      <c r="NJ397">
        <v>0</v>
      </c>
      <c r="NK397">
        <v>0</v>
      </c>
      <c r="NL397">
        <v>0</v>
      </c>
      <c r="NM397">
        <v>0</v>
      </c>
      <c r="NN397">
        <v>0</v>
      </c>
      <c r="NO397">
        <v>0</v>
      </c>
      <c r="NP397">
        <v>-12</v>
      </c>
      <c r="NQ397">
        <v>0</v>
      </c>
      <c r="NR397">
        <v>39</v>
      </c>
      <c r="NS397">
        <v>0</v>
      </c>
      <c r="NT397">
        <v>0</v>
      </c>
      <c r="NU397">
        <v>0</v>
      </c>
      <c r="NV397">
        <v>0</v>
      </c>
      <c r="NW397">
        <v>0</v>
      </c>
      <c r="NX397">
        <v>0</v>
      </c>
      <c r="NY397">
        <v>0</v>
      </c>
      <c r="NZ397">
        <v>27</v>
      </c>
      <c r="OA397">
        <v>0</v>
      </c>
      <c r="OB397">
        <v>27</v>
      </c>
      <c r="OC397">
        <v>0</v>
      </c>
      <c r="OD397">
        <v>0</v>
      </c>
      <c r="OE397">
        <v>0</v>
      </c>
      <c r="OF397">
        <v>0</v>
      </c>
      <c r="OG397">
        <v>0</v>
      </c>
      <c r="OH397">
        <v>0</v>
      </c>
      <c r="OI397">
        <v>0</v>
      </c>
      <c r="OJ397">
        <v>0</v>
      </c>
      <c r="OK397">
        <v>0</v>
      </c>
      <c r="OL397">
        <v>0</v>
      </c>
      <c r="OM397">
        <v>0</v>
      </c>
      <c r="ON397">
        <v>0</v>
      </c>
    </row>
    <row r="398" spans="1:404" x14ac:dyDescent="0.25">
      <c r="A398" t="s">
        <v>1260</v>
      </c>
      <c r="B398" t="s">
        <v>1261</v>
      </c>
      <c r="C398" t="s">
        <v>1259</v>
      </c>
      <c r="E398" t="s">
        <v>61</v>
      </c>
      <c r="F398">
        <v>0</v>
      </c>
      <c r="G398">
        <v>0</v>
      </c>
      <c r="H398">
        <v>0</v>
      </c>
      <c r="I398">
        <v>0</v>
      </c>
      <c r="J398">
        <v>0</v>
      </c>
      <c r="K398">
        <v>0</v>
      </c>
      <c r="L398">
        <v>0</v>
      </c>
      <c r="M398">
        <v>0</v>
      </c>
      <c r="N398">
        <v>0</v>
      </c>
      <c r="O398">
        <v>0</v>
      </c>
      <c r="P398">
        <v>0</v>
      </c>
      <c r="Q398">
        <v>0</v>
      </c>
      <c r="R398">
        <v>0</v>
      </c>
      <c r="S398">
        <v>0</v>
      </c>
      <c r="T398">
        <v>0</v>
      </c>
      <c r="U398">
        <v>0</v>
      </c>
      <c r="V398">
        <v>0</v>
      </c>
      <c r="W398">
        <v>0</v>
      </c>
      <c r="X398">
        <v>0</v>
      </c>
      <c r="Y398">
        <v>0</v>
      </c>
      <c r="Z398">
        <v>0</v>
      </c>
      <c r="AA398">
        <v>-279</v>
      </c>
      <c r="AB398">
        <v>0</v>
      </c>
      <c r="AC398">
        <v>13</v>
      </c>
      <c r="AD398">
        <v>0</v>
      </c>
      <c r="AE398">
        <v>0</v>
      </c>
      <c r="AF398">
        <v>0</v>
      </c>
      <c r="AG398">
        <v>0</v>
      </c>
      <c r="AH398">
        <v>0</v>
      </c>
      <c r="AI398">
        <v>-266</v>
      </c>
      <c r="AJ398">
        <v>0</v>
      </c>
      <c r="AK398">
        <v>0</v>
      </c>
      <c r="AL398">
        <v>0</v>
      </c>
      <c r="AM398">
        <v>0</v>
      </c>
      <c r="AN398">
        <v>0</v>
      </c>
      <c r="AO398">
        <v>0</v>
      </c>
      <c r="AP398">
        <v>0</v>
      </c>
      <c r="AQ398">
        <v>0</v>
      </c>
      <c r="AR398">
        <v>0</v>
      </c>
      <c r="AS398">
        <v>0</v>
      </c>
      <c r="AT398">
        <v>0</v>
      </c>
      <c r="AU398">
        <v>0</v>
      </c>
      <c r="AV398">
        <v>0</v>
      </c>
      <c r="AW398">
        <v>0</v>
      </c>
      <c r="AX398">
        <v>0</v>
      </c>
      <c r="AY398">
        <v>0</v>
      </c>
      <c r="AZ398">
        <v>0</v>
      </c>
      <c r="BA398">
        <v>0</v>
      </c>
      <c r="BB398">
        <v>0</v>
      </c>
      <c r="BC398">
        <v>0</v>
      </c>
      <c r="BD398">
        <v>0</v>
      </c>
      <c r="BE398">
        <v>0</v>
      </c>
      <c r="BF398">
        <v>0</v>
      </c>
      <c r="BG398">
        <v>0</v>
      </c>
      <c r="BH398">
        <v>0</v>
      </c>
      <c r="BI398">
        <v>0</v>
      </c>
      <c r="BJ398">
        <v>0</v>
      </c>
      <c r="BK398">
        <v>0</v>
      </c>
      <c r="BL398">
        <v>0</v>
      </c>
      <c r="BM398">
        <v>0</v>
      </c>
      <c r="BN398">
        <v>0</v>
      </c>
      <c r="BO398">
        <v>0</v>
      </c>
      <c r="BP398">
        <v>0</v>
      </c>
      <c r="BQ398">
        <v>0</v>
      </c>
      <c r="BR398">
        <v>0</v>
      </c>
      <c r="BS398">
        <v>0</v>
      </c>
      <c r="BT398">
        <v>0</v>
      </c>
      <c r="BU398">
        <v>0</v>
      </c>
      <c r="BV398">
        <v>0</v>
      </c>
      <c r="BW398">
        <v>0</v>
      </c>
      <c r="BX398">
        <v>0</v>
      </c>
      <c r="BY398">
        <v>0</v>
      </c>
      <c r="BZ398">
        <v>0</v>
      </c>
      <c r="CA398">
        <v>0</v>
      </c>
      <c r="CB398">
        <v>0</v>
      </c>
      <c r="CC398">
        <v>0</v>
      </c>
      <c r="CD398">
        <v>0</v>
      </c>
      <c r="CE398">
        <v>0</v>
      </c>
      <c r="CF398">
        <v>0</v>
      </c>
      <c r="CG398">
        <v>0</v>
      </c>
      <c r="CH398">
        <v>0</v>
      </c>
      <c r="CI398">
        <v>0</v>
      </c>
      <c r="CJ398">
        <v>0</v>
      </c>
      <c r="CK398">
        <v>0</v>
      </c>
      <c r="CL398">
        <v>0</v>
      </c>
      <c r="CM398">
        <v>0</v>
      </c>
      <c r="CN398">
        <v>0</v>
      </c>
      <c r="CO398">
        <v>0</v>
      </c>
      <c r="CP398">
        <v>0</v>
      </c>
      <c r="CQ398">
        <v>0</v>
      </c>
      <c r="CR398">
        <v>0</v>
      </c>
      <c r="CS398">
        <v>0</v>
      </c>
      <c r="CT398">
        <v>0</v>
      </c>
      <c r="CU398">
        <v>0</v>
      </c>
      <c r="CV398">
        <v>0</v>
      </c>
      <c r="CW398">
        <v>0</v>
      </c>
      <c r="CX398">
        <v>0</v>
      </c>
      <c r="CY398">
        <v>0</v>
      </c>
      <c r="CZ398">
        <v>0</v>
      </c>
      <c r="DA398">
        <v>0</v>
      </c>
      <c r="DB398">
        <v>0</v>
      </c>
      <c r="DC398">
        <v>139</v>
      </c>
      <c r="DD398">
        <v>0</v>
      </c>
      <c r="DE398">
        <v>78</v>
      </c>
      <c r="DF398">
        <v>0</v>
      </c>
      <c r="DG398">
        <v>0</v>
      </c>
      <c r="DH398">
        <v>29</v>
      </c>
      <c r="DI398">
        <v>-6</v>
      </c>
      <c r="DJ398">
        <v>-2</v>
      </c>
      <c r="DK398">
        <v>1</v>
      </c>
      <c r="DL398">
        <v>0</v>
      </c>
      <c r="DM398">
        <v>172</v>
      </c>
      <c r="DN398">
        <v>33</v>
      </c>
      <c r="DO398">
        <v>-91</v>
      </c>
      <c r="DP398">
        <v>136</v>
      </c>
      <c r="DQ398">
        <v>69</v>
      </c>
      <c r="DR398">
        <v>0</v>
      </c>
      <c r="DS398">
        <v>0</v>
      </c>
      <c r="DT398">
        <v>518</v>
      </c>
      <c r="DU398">
        <v>0</v>
      </c>
      <c r="DV398">
        <v>0</v>
      </c>
      <c r="DW398">
        <v>0</v>
      </c>
      <c r="DX398">
        <v>940</v>
      </c>
      <c r="DY398">
        <v>0</v>
      </c>
      <c r="DZ398">
        <v>0</v>
      </c>
      <c r="EA398">
        <v>0</v>
      </c>
      <c r="EB398">
        <v>0</v>
      </c>
      <c r="EC398">
        <v>0</v>
      </c>
      <c r="ED398">
        <v>0</v>
      </c>
      <c r="EE398">
        <v>0</v>
      </c>
      <c r="EF398">
        <v>0</v>
      </c>
      <c r="EG398">
        <v>0</v>
      </c>
      <c r="EH398">
        <v>0</v>
      </c>
      <c r="EI398">
        <v>0</v>
      </c>
      <c r="EJ398">
        <v>0</v>
      </c>
      <c r="EK398">
        <v>0</v>
      </c>
      <c r="EL398">
        <v>0</v>
      </c>
      <c r="EM398">
        <v>0</v>
      </c>
      <c r="EN398">
        <v>0</v>
      </c>
      <c r="EO398">
        <v>0</v>
      </c>
      <c r="EP398">
        <v>0</v>
      </c>
      <c r="EQ398">
        <v>0</v>
      </c>
      <c r="ER398">
        <v>0</v>
      </c>
      <c r="ES398">
        <v>0</v>
      </c>
      <c r="ET398">
        <v>0</v>
      </c>
      <c r="EU398">
        <v>0</v>
      </c>
      <c r="EV398">
        <v>0</v>
      </c>
      <c r="EW398">
        <v>0</v>
      </c>
      <c r="EX398">
        <v>0</v>
      </c>
      <c r="EY398">
        <v>0</v>
      </c>
      <c r="EZ398">
        <v>0</v>
      </c>
      <c r="FA398">
        <v>0</v>
      </c>
      <c r="FB398">
        <v>23</v>
      </c>
      <c r="FC398">
        <v>-84</v>
      </c>
      <c r="FD398">
        <v>226</v>
      </c>
      <c r="FE398">
        <v>0</v>
      </c>
      <c r="FF398">
        <v>0</v>
      </c>
      <c r="FG398">
        <v>0</v>
      </c>
      <c r="FH398">
        <v>165</v>
      </c>
      <c r="FI398">
        <v>0</v>
      </c>
      <c r="FJ398">
        <v>0</v>
      </c>
      <c r="FK398">
        <v>0</v>
      </c>
      <c r="FL398">
        <v>99</v>
      </c>
      <c r="FM398">
        <v>183</v>
      </c>
      <c r="FN398">
        <v>35</v>
      </c>
      <c r="FO398">
        <v>13</v>
      </c>
      <c r="FP398">
        <v>0</v>
      </c>
      <c r="FQ398">
        <v>0</v>
      </c>
      <c r="FR398">
        <v>15</v>
      </c>
      <c r="FS398">
        <v>154</v>
      </c>
      <c r="FT398">
        <v>108</v>
      </c>
      <c r="FU398">
        <v>192</v>
      </c>
      <c r="FV398">
        <v>57</v>
      </c>
      <c r="FW398">
        <v>0</v>
      </c>
      <c r="FX398">
        <v>0</v>
      </c>
      <c r="FY398">
        <v>11</v>
      </c>
      <c r="FZ398">
        <v>0</v>
      </c>
      <c r="GA398">
        <v>0</v>
      </c>
      <c r="GB398">
        <v>0</v>
      </c>
      <c r="GC398">
        <v>0</v>
      </c>
      <c r="GD398">
        <v>511</v>
      </c>
      <c r="GE398">
        <v>1260</v>
      </c>
      <c r="GF398">
        <v>0</v>
      </c>
      <c r="GG398">
        <v>-2</v>
      </c>
      <c r="GH398">
        <v>5</v>
      </c>
      <c r="GI398">
        <v>0</v>
      </c>
      <c r="GJ398">
        <v>8</v>
      </c>
      <c r="GK398">
        <v>2649</v>
      </c>
      <c r="GL398">
        <v>106</v>
      </c>
      <c r="GM398">
        <v>286</v>
      </c>
      <c r="GN398">
        <v>0</v>
      </c>
      <c r="GO398">
        <v>94</v>
      </c>
      <c r="GP398">
        <v>7</v>
      </c>
      <c r="GQ398">
        <v>632</v>
      </c>
      <c r="GR398">
        <v>0</v>
      </c>
      <c r="GS398">
        <v>0</v>
      </c>
      <c r="GT398">
        <v>116</v>
      </c>
      <c r="GU398">
        <v>1241</v>
      </c>
      <c r="GV398">
        <v>4055</v>
      </c>
      <c r="GW398">
        <v>0</v>
      </c>
      <c r="GX398">
        <v>0</v>
      </c>
      <c r="GY398">
        <v>0</v>
      </c>
      <c r="GZ398">
        <v>0</v>
      </c>
      <c r="HA398">
        <v>0</v>
      </c>
      <c r="HB398">
        <v>960</v>
      </c>
      <c r="HC398">
        <v>161</v>
      </c>
      <c r="HD398">
        <v>0</v>
      </c>
      <c r="HE398">
        <v>0</v>
      </c>
      <c r="HF398">
        <v>114</v>
      </c>
      <c r="HG398">
        <v>0</v>
      </c>
      <c r="HH398">
        <v>0</v>
      </c>
      <c r="HI398">
        <v>0</v>
      </c>
      <c r="HJ398">
        <v>195</v>
      </c>
      <c r="HK398">
        <v>60</v>
      </c>
      <c r="HL398">
        <v>63</v>
      </c>
      <c r="HM398">
        <v>33</v>
      </c>
      <c r="HN398">
        <v>0</v>
      </c>
      <c r="HO398">
        <v>0</v>
      </c>
      <c r="HP398">
        <v>0</v>
      </c>
      <c r="HQ398">
        <v>0</v>
      </c>
      <c r="HR398">
        <v>430</v>
      </c>
      <c r="HS398">
        <v>0</v>
      </c>
      <c r="HT398">
        <v>0</v>
      </c>
      <c r="HU398">
        <v>0</v>
      </c>
      <c r="HV398">
        <v>2016</v>
      </c>
      <c r="HW398">
        <v>0</v>
      </c>
      <c r="HX398">
        <v>0</v>
      </c>
      <c r="HY398">
        <v>0</v>
      </c>
      <c r="HZ398">
        <v>0</v>
      </c>
      <c r="IA398">
        <v>0</v>
      </c>
      <c r="IB398">
        <v>1329</v>
      </c>
      <c r="IC398">
        <v>0</v>
      </c>
      <c r="ID398">
        <v>-266</v>
      </c>
      <c r="IE398">
        <v>0</v>
      </c>
      <c r="IF398">
        <v>0</v>
      </c>
      <c r="IG398">
        <v>0</v>
      </c>
      <c r="IH398">
        <v>940</v>
      </c>
      <c r="II398">
        <v>165</v>
      </c>
      <c r="IJ398">
        <v>2649</v>
      </c>
      <c r="IK398">
        <v>1241</v>
      </c>
      <c r="IL398">
        <v>0</v>
      </c>
      <c r="IM398">
        <v>0</v>
      </c>
      <c r="IN398">
        <v>2016</v>
      </c>
      <c r="IO398">
        <v>1329</v>
      </c>
      <c r="IP398">
        <v>8074</v>
      </c>
      <c r="IQ398">
        <v>8636</v>
      </c>
      <c r="IR398">
        <v>62</v>
      </c>
      <c r="IS398">
        <v>0</v>
      </c>
      <c r="IT398">
        <v>0</v>
      </c>
      <c r="IU398">
        <v>0</v>
      </c>
      <c r="IV398">
        <v>1763</v>
      </c>
      <c r="IW398">
        <v>0</v>
      </c>
      <c r="IX398">
        <v>0</v>
      </c>
      <c r="IY398">
        <v>0</v>
      </c>
      <c r="IZ398">
        <v>0</v>
      </c>
      <c r="JA398">
        <v>0</v>
      </c>
      <c r="JB398">
        <v>0</v>
      </c>
      <c r="JC398">
        <v>0</v>
      </c>
      <c r="JD398">
        <v>0</v>
      </c>
      <c r="JE398">
        <v>0</v>
      </c>
      <c r="JF398">
        <v>1537</v>
      </c>
      <c r="JG398">
        <v>20072</v>
      </c>
      <c r="JH398">
        <v>0</v>
      </c>
      <c r="JI398">
        <v>96</v>
      </c>
      <c r="JJ398">
        <v>0</v>
      </c>
      <c r="JK398">
        <v>0</v>
      </c>
      <c r="JL398">
        <v>0</v>
      </c>
      <c r="JM398">
        <v>0</v>
      </c>
      <c r="JN398">
        <v>623</v>
      </c>
      <c r="JO398">
        <v>0</v>
      </c>
      <c r="JP398">
        <v>748</v>
      </c>
      <c r="JQ398">
        <v>0</v>
      </c>
      <c r="JR398">
        <v>21539</v>
      </c>
      <c r="JS398">
        <v>-1210</v>
      </c>
      <c r="JT398">
        <v>0</v>
      </c>
      <c r="JU398">
        <v>0</v>
      </c>
      <c r="JV398">
        <v>0</v>
      </c>
      <c r="JW398">
        <v>-8664</v>
      </c>
      <c r="JX398">
        <v>0</v>
      </c>
      <c r="JY398">
        <v>0</v>
      </c>
      <c r="JZ398">
        <v>0</v>
      </c>
      <c r="KA398">
        <v>0</v>
      </c>
      <c r="KB398">
        <v>0</v>
      </c>
      <c r="KC398">
        <v>11665</v>
      </c>
      <c r="KD398">
        <v>0</v>
      </c>
      <c r="KE398">
        <v>-2464</v>
      </c>
      <c r="KF398">
        <v>9201</v>
      </c>
      <c r="KG398">
        <v>0</v>
      </c>
      <c r="KH398">
        <v>0</v>
      </c>
      <c r="KI398">
        <v>0</v>
      </c>
      <c r="KJ398">
        <v>0</v>
      </c>
      <c r="KK398">
        <v>248</v>
      </c>
      <c r="KL398">
        <v>196</v>
      </c>
      <c r="KM398">
        <v>0</v>
      </c>
      <c r="KN398">
        <v>0</v>
      </c>
      <c r="KO398">
        <v>-1673</v>
      </c>
      <c r="KP398">
        <v>10</v>
      </c>
      <c r="KQ398">
        <v>1105</v>
      </c>
      <c r="KR398">
        <v>6653</v>
      </c>
      <c r="KS398">
        <v>0</v>
      </c>
      <c r="KT398">
        <v>0</v>
      </c>
      <c r="KU398">
        <v>0</v>
      </c>
      <c r="KV398">
        <v>8941</v>
      </c>
      <c r="KW398">
        <v>1294</v>
      </c>
      <c r="KX398">
        <v>0</v>
      </c>
      <c r="KY398">
        <v>0</v>
      </c>
      <c r="KZ398">
        <v>0</v>
      </c>
      <c r="LA398">
        <v>9189</v>
      </c>
      <c r="LB398">
        <v>1490</v>
      </c>
      <c r="LC398">
        <v>0</v>
      </c>
      <c r="LD398">
        <v>929</v>
      </c>
      <c r="LE398">
        <v>0</v>
      </c>
      <c r="LF398">
        <v>0</v>
      </c>
      <c r="LG398">
        <v>-741</v>
      </c>
      <c r="LH398">
        <v>623</v>
      </c>
      <c r="LI398">
        <v>1521</v>
      </c>
      <c r="LJ398">
        <v>1892</v>
      </c>
      <c r="LK398">
        <v>1993</v>
      </c>
      <c r="LL398">
        <v>3885</v>
      </c>
      <c r="LM398">
        <v>0</v>
      </c>
      <c r="LN398">
        <v>0</v>
      </c>
      <c r="LO398">
        <v>0</v>
      </c>
      <c r="LP398">
        <v>0</v>
      </c>
      <c r="LQ398">
        <v>0</v>
      </c>
      <c r="LR398">
        <v>0</v>
      </c>
      <c r="LS398">
        <v>0</v>
      </c>
      <c r="LT398">
        <v>0</v>
      </c>
      <c r="LU398">
        <v>0</v>
      </c>
      <c r="LV398">
        <v>-266</v>
      </c>
      <c r="LW398">
        <v>0</v>
      </c>
      <c r="LX398">
        <v>0</v>
      </c>
      <c r="LY398">
        <v>0</v>
      </c>
      <c r="LZ398">
        <v>940</v>
      </c>
      <c r="MA398">
        <v>165</v>
      </c>
      <c r="MB398">
        <v>2649</v>
      </c>
      <c r="MC398">
        <v>1241</v>
      </c>
      <c r="MD398">
        <v>0</v>
      </c>
      <c r="ME398">
        <v>0</v>
      </c>
      <c r="MF398">
        <v>2016</v>
      </c>
      <c r="MG398">
        <v>1329</v>
      </c>
      <c r="MH398">
        <v>8074</v>
      </c>
      <c r="MI398">
        <v>0</v>
      </c>
      <c r="MJ398">
        <v>0</v>
      </c>
      <c r="MK398">
        <v>0</v>
      </c>
      <c r="ML398">
        <v>0</v>
      </c>
      <c r="MM398">
        <v>0</v>
      </c>
      <c r="MN398">
        <v>0</v>
      </c>
      <c r="MO398">
        <v>0</v>
      </c>
      <c r="MP398">
        <v>0</v>
      </c>
      <c r="MQ398">
        <v>0</v>
      </c>
      <c r="MR398">
        <v>0</v>
      </c>
      <c r="MS398">
        <v>0</v>
      </c>
      <c r="MT398">
        <v>0</v>
      </c>
      <c r="MU398">
        <v>0</v>
      </c>
      <c r="MV398">
        <v>0</v>
      </c>
      <c r="MW398">
        <v>0</v>
      </c>
      <c r="MX398">
        <v>0</v>
      </c>
      <c r="MY398">
        <v>0</v>
      </c>
      <c r="MZ398">
        <v>0</v>
      </c>
      <c r="NA398">
        <v>0</v>
      </c>
      <c r="NB398">
        <v>0</v>
      </c>
      <c r="NC398">
        <v>0</v>
      </c>
      <c r="ND398">
        <v>0</v>
      </c>
      <c r="NE398">
        <v>0</v>
      </c>
      <c r="NF398">
        <v>0</v>
      </c>
      <c r="NG398">
        <v>0</v>
      </c>
      <c r="NH398">
        <v>0</v>
      </c>
      <c r="NI398">
        <v>0</v>
      </c>
      <c r="NJ398">
        <v>0</v>
      </c>
      <c r="NK398">
        <v>0</v>
      </c>
      <c r="NL398">
        <v>0</v>
      </c>
      <c r="NM398">
        <v>0</v>
      </c>
      <c r="NN398">
        <v>0</v>
      </c>
      <c r="NO398">
        <v>0</v>
      </c>
      <c r="NP398">
        <v>0</v>
      </c>
      <c r="NQ398">
        <v>0</v>
      </c>
      <c r="NR398">
        <v>0</v>
      </c>
      <c r="NS398">
        <v>0</v>
      </c>
      <c r="NT398">
        <v>0</v>
      </c>
      <c r="NU398">
        <v>0</v>
      </c>
      <c r="NV398">
        <v>0</v>
      </c>
      <c r="NW398">
        <v>0</v>
      </c>
      <c r="NX398">
        <v>0</v>
      </c>
      <c r="NY398">
        <v>0</v>
      </c>
      <c r="NZ398">
        <v>0</v>
      </c>
      <c r="OA398">
        <v>0</v>
      </c>
      <c r="OB398">
        <v>0</v>
      </c>
      <c r="OC398">
        <v>0</v>
      </c>
      <c r="OD398">
        <v>0</v>
      </c>
      <c r="OE398">
        <v>0</v>
      </c>
      <c r="OF398">
        <v>0</v>
      </c>
      <c r="OG398">
        <v>0</v>
      </c>
      <c r="OH398">
        <v>0</v>
      </c>
      <c r="OI398">
        <v>0</v>
      </c>
      <c r="OJ398">
        <v>0</v>
      </c>
      <c r="OK398">
        <v>0</v>
      </c>
      <c r="OL398">
        <v>0</v>
      </c>
      <c r="OM398">
        <v>0</v>
      </c>
      <c r="ON398">
        <v>0</v>
      </c>
    </row>
    <row r="399" spans="1:404" x14ac:dyDescent="0.25">
      <c r="A399" t="s">
        <v>1263</v>
      </c>
      <c r="B399" t="s">
        <v>1264</v>
      </c>
      <c r="C399" t="s">
        <v>1262</v>
      </c>
      <c r="E399" t="s">
        <v>61</v>
      </c>
      <c r="F399">
        <v>0</v>
      </c>
      <c r="G399">
        <v>0</v>
      </c>
      <c r="H399">
        <v>0</v>
      </c>
      <c r="I399">
        <v>0</v>
      </c>
      <c r="J399">
        <v>0</v>
      </c>
      <c r="K399">
        <v>0</v>
      </c>
      <c r="L399">
        <v>0</v>
      </c>
      <c r="M399">
        <v>0</v>
      </c>
      <c r="N399">
        <v>0</v>
      </c>
      <c r="O399">
        <v>0</v>
      </c>
      <c r="P399">
        <v>0</v>
      </c>
      <c r="Q399">
        <v>0</v>
      </c>
      <c r="R399">
        <v>0</v>
      </c>
      <c r="S399">
        <v>312</v>
      </c>
      <c r="T399">
        <v>0</v>
      </c>
      <c r="U399">
        <v>20</v>
      </c>
      <c r="V399">
        <v>0</v>
      </c>
      <c r="W399">
        <v>0</v>
      </c>
      <c r="X399">
        <v>0</v>
      </c>
      <c r="Y399">
        <v>0</v>
      </c>
      <c r="Z399">
        <v>0</v>
      </c>
      <c r="AA399">
        <v>-273</v>
      </c>
      <c r="AB399">
        <v>0</v>
      </c>
      <c r="AC399">
        <v>0</v>
      </c>
      <c r="AD399">
        <v>0</v>
      </c>
      <c r="AE399">
        <v>0</v>
      </c>
      <c r="AF399">
        <v>0</v>
      </c>
      <c r="AG399">
        <v>8</v>
      </c>
      <c r="AH399">
        <v>0</v>
      </c>
      <c r="AI399">
        <v>67</v>
      </c>
      <c r="AJ399">
        <v>0</v>
      </c>
      <c r="AK399">
        <v>0</v>
      </c>
      <c r="AL399">
        <v>0</v>
      </c>
      <c r="AM399">
        <v>0</v>
      </c>
      <c r="AN399">
        <v>0</v>
      </c>
      <c r="AO399">
        <v>0</v>
      </c>
      <c r="AP399">
        <v>0</v>
      </c>
      <c r="AQ399">
        <v>0</v>
      </c>
      <c r="AR399">
        <v>0</v>
      </c>
      <c r="AS399">
        <v>0</v>
      </c>
      <c r="AT399">
        <v>0</v>
      </c>
      <c r="AU399">
        <v>0</v>
      </c>
      <c r="AV399">
        <v>0</v>
      </c>
      <c r="AW399">
        <v>0</v>
      </c>
      <c r="AX399">
        <v>0</v>
      </c>
      <c r="AY399">
        <v>0</v>
      </c>
      <c r="AZ399">
        <v>0</v>
      </c>
      <c r="BA399">
        <v>0</v>
      </c>
      <c r="BB399">
        <v>0</v>
      </c>
      <c r="BC399">
        <v>0</v>
      </c>
      <c r="BD399">
        <v>0</v>
      </c>
      <c r="BE399">
        <v>0</v>
      </c>
      <c r="BF399">
        <v>0</v>
      </c>
      <c r="BG399">
        <v>0</v>
      </c>
      <c r="BH399">
        <v>0</v>
      </c>
      <c r="BI399">
        <v>0</v>
      </c>
      <c r="BJ399">
        <v>0</v>
      </c>
      <c r="BK399">
        <v>0</v>
      </c>
      <c r="BL399">
        <v>0</v>
      </c>
      <c r="BM399">
        <v>0</v>
      </c>
      <c r="BN399">
        <v>0</v>
      </c>
      <c r="BO399">
        <v>0</v>
      </c>
      <c r="BP399">
        <v>0</v>
      </c>
      <c r="BQ399">
        <v>0</v>
      </c>
      <c r="BR399">
        <v>0</v>
      </c>
      <c r="BS399">
        <v>0</v>
      </c>
      <c r="BT399">
        <v>0</v>
      </c>
      <c r="BU399">
        <v>0</v>
      </c>
      <c r="BV399">
        <v>0</v>
      </c>
      <c r="BW399">
        <v>0</v>
      </c>
      <c r="BX399">
        <v>0</v>
      </c>
      <c r="BY399">
        <v>0</v>
      </c>
      <c r="BZ399">
        <v>0</v>
      </c>
      <c r="CA399">
        <v>0</v>
      </c>
      <c r="CB399">
        <v>0</v>
      </c>
      <c r="CC399">
        <v>0</v>
      </c>
      <c r="CD399">
        <v>0</v>
      </c>
      <c r="CE399">
        <v>0</v>
      </c>
      <c r="CF399">
        <v>0</v>
      </c>
      <c r="CG399">
        <v>0</v>
      </c>
      <c r="CH399">
        <v>0</v>
      </c>
      <c r="CI399">
        <v>0</v>
      </c>
      <c r="CJ399">
        <v>0</v>
      </c>
      <c r="CK399">
        <v>0</v>
      </c>
      <c r="CL399">
        <v>0</v>
      </c>
      <c r="CM399">
        <v>0</v>
      </c>
      <c r="CN399">
        <v>0</v>
      </c>
      <c r="CO399">
        <v>0</v>
      </c>
      <c r="CP399">
        <v>0</v>
      </c>
      <c r="CQ399">
        <v>0</v>
      </c>
      <c r="CR399">
        <v>0</v>
      </c>
      <c r="CS399">
        <v>0</v>
      </c>
      <c r="CT399">
        <v>0</v>
      </c>
      <c r="CU399">
        <v>0</v>
      </c>
      <c r="CV399">
        <v>0</v>
      </c>
      <c r="CW399">
        <v>0</v>
      </c>
      <c r="CX399">
        <v>0</v>
      </c>
      <c r="CY399">
        <v>0</v>
      </c>
      <c r="CZ399">
        <v>0</v>
      </c>
      <c r="DA399">
        <v>0</v>
      </c>
      <c r="DB399">
        <v>0</v>
      </c>
      <c r="DC399">
        <v>58</v>
      </c>
      <c r="DD399">
        <v>0</v>
      </c>
      <c r="DE399">
        <v>86</v>
      </c>
      <c r="DF399">
        <v>-1461</v>
      </c>
      <c r="DG399">
        <v>0</v>
      </c>
      <c r="DH399">
        <v>0</v>
      </c>
      <c r="DI399">
        <v>0</v>
      </c>
      <c r="DJ399">
        <v>0</v>
      </c>
      <c r="DK399">
        <v>12</v>
      </c>
      <c r="DL399">
        <v>0</v>
      </c>
      <c r="DM399">
        <v>0</v>
      </c>
      <c r="DN399">
        <v>292</v>
      </c>
      <c r="DO399">
        <v>0</v>
      </c>
      <c r="DP399">
        <v>304</v>
      </c>
      <c r="DQ399">
        <v>0</v>
      </c>
      <c r="DR399">
        <v>0</v>
      </c>
      <c r="DS399">
        <v>0</v>
      </c>
      <c r="DT399">
        <v>1187</v>
      </c>
      <c r="DU399">
        <v>0</v>
      </c>
      <c r="DV399">
        <v>0</v>
      </c>
      <c r="DW399">
        <v>105</v>
      </c>
      <c r="DX399">
        <v>279</v>
      </c>
      <c r="DY399">
        <v>23397</v>
      </c>
      <c r="DZ399">
        <v>392</v>
      </c>
      <c r="EA399">
        <v>2566</v>
      </c>
      <c r="EB399">
        <v>7</v>
      </c>
      <c r="EC399">
        <v>0</v>
      </c>
      <c r="ED399">
        <v>0</v>
      </c>
      <c r="EE399">
        <v>0</v>
      </c>
      <c r="EF399">
        <v>0</v>
      </c>
      <c r="EG399">
        <v>0</v>
      </c>
      <c r="EH399">
        <v>5577</v>
      </c>
      <c r="EI399">
        <v>8652</v>
      </c>
      <c r="EJ399">
        <v>0</v>
      </c>
      <c r="EK399">
        <v>400</v>
      </c>
      <c r="EL399">
        <v>5028</v>
      </c>
      <c r="EM399">
        <v>0</v>
      </c>
      <c r="EN399">
        <v>0</v>
      </c>
      <c r="EO399">
        <v>0</v>
      </c>
      <c r="EP399">
        <v>0</v>
      </c>
      <c r="EQ399">
        <v>3833</v>
      </c>
      <c r="ER399">
        <v>103</v>
      </c>
      <c r="ES399">
        <v>3901</v>
      </c>
      <c r="ET399">
        <v>6669</v>
      </c>
      <c r="EU399">
        <v>0</v>
      </c>
      <c r="EV399">
        <v>4</v>
      </c>
      <c r="EW399">
        <v>7</v>
      </c>
      <c r="EX399">
        <v>7</v>
      </c>
      <c r="EY399">
        <v>0</v>
      </c>
      <c r="EZ399">
        <v>55</v>
      </c>
      <c r="FA399">
        <v>0</v>
      </c>
      <c r="FB399">
        <v>166</v>
      </c>
      <c r="FC399">
        <v>1449</v>
      </c>
      <c r="FD399">
        <v>987</v>
      </c>
      <c r="FE399">
        <v>0</v>
      </c>
      <c r="FF399">
        <v>0</v>
      </c>
      <c r="FG399">
        <v>0</v>
      </c>
      <c r="FH399">
        <v>2675</v>
      </c>
      <c r="FI399">
        <v>0</v>
      </c>
      <c r="FJ399">
        <v>0</v>
      </c>
      <c r="FK399">
        <v>0</v>
      </c>
      <c r="FL399">
        <v>0</v>
      </c>
      <c r="FM399">
        <v>726</v>
      </c>
      <c r="FN399">
        <v>0</v>
      </c>
      <c r="FO399">
        <v>297</v>
      </c>
      <c r="FP399">
        <v>0</v>
      </c>
      <c r="FQ399">
        <v>0</v>
      </c>
      <c r="FR399">
        <v>108</v>
      </c>
      <c r="FS399">
        <v>71</v>
      </c>
      <c r="FT399">
        <v>0</v>
      </c>
      <c r="FU399">
        <v>53</v>
      </c>
      <c r="FV399">
        <v>91</v>
      </c>
      <c r="FW399">
        <v>135</v>
      </c>
      <c r="FX399">
        <v>293</v>
      </c>
      <c r="FY399">
        <v>26</v>
      </c>
      <c r="FZ399">
        <v>0</v>
      </c>
      <c r="GA399">
        <v>0</v>
      </c>
      <c r="GB399">
        <v>9</v>
      </c>
      <c r="GC399">
        <v>0</v>
      </c>
      <c r="GD399">
        <v>1944</v>
      </c>
      <c r="GE399">
        <v>2512</v>
      </c>
      <c r="GF399">
        <v>0</v>
      </c>
      <c r="GG399">
        <v>0</v>
      </c>
      <c r="GH399">
        <v>1881</v>
      </c>
      <c r="GI399">
        <v>0</v>
      </c>
      <c r="GJ399">
        <v>0</v>
      </c>
      <c r="GK399">
        <v>8146</v>
      </c>
      <c r="GL399">
        <v>0</v>
      </c>
      <c r="GM399">
        <v>0</v>
      </c>
      <c r="GN399">
        <v>71</v>
      </c>
      <c r="GO399">
        <v>516</v>
      </c>
      <c r="GP399">
        <v>-157</v>
      </c>
      <c r="GQ399">
        <v>514</v>
      </c>
      <c r="GR399">
        <v>0</v>
      </c>
      <c r="GS399">
        <v>0</v>
      </c>
      <c r="GT399">
        <v>6</v>
      </c>
      <c r="GU399">
        <v>950</v>
      </c>
      <c r="GV399">
        <v>11771</v>
      </c>
      <c r="GW399">
        <v>0</v>
      </c>
      <c r="GX399">
        <v>0</v>
      </c>
      <c r="GY399">
        <v>0</v>
      </c>
      <c r="GZ399">
        <v>0</v>
      </c>
      <c r="HA399">
        <v>0</v>
      </c>
      <c r="HB399">
        <v>1215</v>
      </c>
      <c r="HC399">
        <v>767</v>
      </c>
      <c r="HD399">
        <v>0</v>
      </c>
      <c r="HE399">
        <v>0</v>
      </c>
      <c r="HF399">
        <v>829</v>
      </c>
      <c r="HG399">
        <v>-116</v>
      </c>
      <c r="HH399">
        <v>0</v>
      </c>
      <c r="HI399">
        <v>0</v>
      </c>
      <c r="HJ399">
        <v>142</v>
      </c>
      <c r="HK399">
        <v>141</v>
      </c>
      <c r="HL399">
        <v>94</v>
      </c>
      <c r="HM399">
        <v>91</v>
      </c>
      <c r="HN399">
        <v>0</v>
      </c>
      <c r="HO399">
        <v>246</v>
      </c>
      <c r="HP399">
        <v>0</v>
      </c>
      <c r="HQ399">
        <v>0</v>
      </c>
      <c r="HR399">
        <v>8</v>
      </c>
      <c r="HS399">
        <v>0</v>
      </c>
      <c r="HT399">
        <v>0</v>
      </c>
      <c r="HU399">
        <v>761</v>
      </c>
      <c r="HV399">
        <v>4178</v>
      </c>
      <c r="HW399">
        <v>912</v>
      </c>
      <c r="HX399">
        <v>143</v>
      </c>
      <c r="HY399">
        <v>0</v>
      </c>
      <c r="HZ399">
        <v>0</v>
      </c>
      <c r="IA399">
        <v>0</v>
      </c>
      <c r="IB399">
        <v>0</v>
      </c>
      <c r="IC399">
        <v>0</v>
      </c>
      <c r="ID399">
        <v>67</v>
      </c>
      <c r="IE399">
        <v>0</v>
      </c>
      <c r="IF399">
        <v>0</v>
      </c>
      <c r="IG399">
        <v>0</v>
      </c>
      <c r="IH399">
        <v>279</v>
      </c>
      <c r="II399">
        <v>2675</v>
      </c>
      <c r="IJ399">
        <v>8146</v>
      </c>
      <c r="IK399">
        <v>950</v>
      </c>
      <c r="IL399">
        <v>0</v>
      </c>
      <c r="IM399">
        <v>0</v>
      </c>
      <c r="IN399">
        <v>4178</v>
      </c>
      <c r="IO399">
        <v>0</v>
      </c>
      <c r="IP399">
        <v>16295</v>
      </c>
      <c r="IQ399">
        <v>8447</v>
      </c>
      <c r="IR399">
        <v>0</v>
      </c>
      <c r="IS399">
        <v>9415</v>
      </c>
      <c r="IT399">
        <v>0</v>
      </c>
      <c r="IU399">
        <v>0</v>
      </c>
      <c r="IV399">
        <v>638</v>
      </c>
      <c r="IW399">
        <v>0</v>
      </c>
      <c r="IX399">
        <v>0</v>
      </c>
      <c r="IY399">
        <v>0</v>
      </c>
      <c r="IZ399">
        <v>0</v>
      </c>
      <c r="JA399">
        <v>-1580</v>
      </c>
      <c r="JB399">
        <v>137</v>
      </c>
      <c r="JC399">
        <v>0</v>
      </c>
      <c r="JD399">
        <v>0</v>
      </c>
      <c r="JE399">
        <v>121</v>
      </c>
      <c r="JF399">
        <v>0</v>
      </c>
      <c r="JG399">
        <v>33473</v>
      </c>
      <c r="JH399">
        <v>0</v>
      </c>
      <c r="JI399">
        <v>39</v>
      </c>
      <c r="JJ399">
        <v>0</v>
      </c>
      <c r="JK399">
        <v>0</v>
      </c>
      <c r="JL399">
        <v>0</v>
      </c>
      <c r="JM399">
        <v>307</v>
      </c>
      <c r="JN399">
        <v>0</v>
      </c>
      <c r="JO399">
        <v>0</v>
      </c>
      <c r="JP399">
        <v>3057</v>
      </c>
      <c r="JQ399">
        <v>0</v>
      </c>
      <c r="JR399">
        <v>36876</v>
      </c>
      <c r="JS399">
        <v>0</v>
      </c>
      <c r="JT399">
        <v>0</v>
      </c>
      <c r="JU399">
        <v>0</v>
      </c>
      <c r="JV399">
        <v>0</v>
      </c>
      <c r="JW399">
        <v>-17905</v>
      </c>
      <c r="JX399">
        <v>0</v>
      </c>
      <c r="JY399">
        <v>-2487</v>
      </c>
      <c r="JZ399">
        <v>0</v>
      </c>
      <c r="KA399">
        <v>0</v>
      </c>
      <c r="KB399">
        <v>0</v>
      </c>
      <c r="KC399">
        <v>16484</v>
      </c>
      <c r="KD399">
        <v>0</v>
      </c>
      <c r="KE399">
        <v>-1363</v>
      </c>
      <c r="KF399">
        <v>15121</v>
      </c>
      <c r="KG399">
        <v>0</v>
      </c>
      <c r="KH399">
        <v>0</v>
      </c>
      <c r="KI399">
        <v>0</v>
      </c>
      <c r="KJ399">
        <v>0</v>
      </c>
      <c r="KK399">
        <v>-864</v>
      </c>
      <c r="KL399">
        <v>0</v>
      </c>
      <c r="KM399">
        <v>0</v>
      </c>
      <c r="KN399">
        <v>0</v>
      </c>
      <c r="KO399">
        <v>-1939</v>
      </c>
      <c r="KP399">
        <v>0</v>
      </c>
      <c r="KQ399">
        <v>0</v>
      </c>
      <c r="KR399">
        <v>8489</v>
      </c>
      <c r="KS399">
        <v>0</v>
      </c>
      <c r="KT399">
        <v>0</v>
      </c>
      <c r="KU399">
        <v>0</v>
      </c>
      <c r="KV399">
        <v>4081</v>
      </c>
      <c r="KW399">
        <v>960</v>
      </c>
      <c r="KX399">
        <v>0</v>
      </c>
      <c r="KY399">
        <v>0</v>
      </c>
      <c r="KZ399">
        <v>0</v>
      </c>
      <c r="LA399">
        <v>3217</v>
      </c>
      <c r="LB399">
        <v>960</v>
      </c>
      <c r="LC399">
        <v>0</v>
      </c>
      <c r="LD399">
        <v>0</v>
      </c>
      <c r="LE399">
        <v>0</v>
      </c>
      <c r="LF399">
        <v>0</v>
      </c>
      <c r="LG399">
        <v>0</v>
      </c>
      <c r="LH399">
        <v>0</v>
      </c>
      <c r="LI399">
        <v>0</v>
      </c>
      <c r="LJ399">
        <v>3930</v>
      </c>
      <c r="LK399">
        <v>7979</v>
      </c>
      <c r="LL399">
        <v>11909</v>
      </c>
      <c r="LM399">
        <v>32</v>
      </c>
      <c r="LN399">
        <v>0</v>
      </c>
      <c r="LO399">
        <v>0</v>
      </c>
      <c r="LP399">
        <v>26361</v>
      </c>
      <c r="LQ399">
        <v>23593</v>
      </c>
      <c r="LR399">
        <v>2768</v>
      </c>
      <c r="LS399">
        <v>3901</v>
      </c>
      <c r="LT399">
        <v>6669</v>
      </c>
      <c r="LU399">
        <v>0</v>
      </c>
      <c r="LV399">
        <v>67</v>
      </c>
      <c r="LW399">
        <v>0</v>
      </c>
      <c r="LX399">
        <v>0</v>
      </c>
      <c r="LY399">
        <v>0</v>
      </c>
      <c r="LZ399">
        <v>279</v>
      </c>
      <c r="MA399">
        <v>2675</v>
      </c>
      <c r="MB399">
        <v>8146</v>
      </c>
      <c r="MC399">
        <v>950</v>
      </c>
      <c r="MD399">
        <v>0</v>
      </c>
      <c r="ME399">
        <v>0</v>
      </c>
      <c r="MF399">
        <v>4178</v>
      </c>
      <c r="MG399">
        <v>0</v>
      </c>
      <c r="MH399">
        <v>16295</v>
      </c>
      <c r="MI399">
        <v>0</v>
      </c>
      <c r="MJ399">
        <v>0</v>
      </c>
      <c r="MK399">
        <v>0</v>
      </c>
      <c r="ML399">
        <v>0</v>
      </c>
      <c r="MM399">
        <v>0</v>
      </c>
      <c r="MN399">
        <v>0</v>
      </c>
      <c r="MO399">
        <v>0</v>
      </c>
      <c r="MP399">
        <v>0</v>
      </c>
      <c r="MQ399">
        <v>0</v>
      </c>
      <c r="MR399">
        <v>0</v>
      </c>
      <c r="MS399">
        <v>0</v>
      </c>
      <c r="MT399">
        <v>0</v>
      </c>
      <c r="MU399">
        <v>0</v>
      </c>
      <c r="MV399">
        <v>0</v>
      </c>
      <c r="MW399">
        <v>0</v>
      </c>
      <c r="MX399">
        <v>0</v>
      </c>
      <c r="MY399">
        <v>-1196</v>
      </c>
      <c r="MZ399">
        <v>-11</v>
      </c>
      <c r="NA399">
        <v>-1580</v>
      </c>
      <c r="NB399">
        <v>0</v>
      </c>
      <c r="NC399">
        <v>-1580</v>
      </c>
      <c r="ND399">
        <v>0</v>
      </c>
      <c r="NE399">
        <v>0</v>
      </c>
      <c r="NF399">
        <v>0</v>
      </c>
      <c r="NG399">
        <v>0</v>
      </c>
      <c r="NH399">
        <v>0</v>
      </c>
      <c r="NI399">
        <v>0</v>
      </c>
      <c r="NJ399">
        <v>0</v>
      </c>
      <c r="NK399">
        <v>0</v>
      </c>
      <c r="NL399">
        <v>0</v>
      </c>
      <c r="NM399">
        <v>0</v>
      </c>
      <c r="NN399">
        <v>0</v>
      </c>
      <c r="NO399">
        <v>0</v>
      </c>
      <c r="NP399">
        <v>137</v>
      </c>
      <c r="NQ399">
        <v>0</v>
      </c>
      <c r="NR399">
        <v>0</v>
      </c>
      <c r="NS399">
        <v>0</v>
      </c>
      <c r="NT399">
        <v>0</v>
      </c>
      <c r="NU399">
        <v>0</v>
      </c>
      <c r="NV399">
        <v>0</v>
      </c>
      <c r="NW399">
        <v>0</v>
      </c>
      <c r="NX399">
        <v>0</v>
      </c>
      <c r="NY399">
        <v>0</v>
      </c>
      <c r="NZ399">
        <v>137</v>
      </c>
      <c r="OA399">
        <v>0</v>
      </c>
      <c r="OB399">
        <v>137</v>
      </c>
      <c r="OC399">
        <v>0</v>
      </c>
      <c r="OD399">
        <v>0</v>
      </c>
      <c r="OE399">
        <v>0</v>
      </c>
      <c r="OF399">
        <v>0</v>
      </c>
      <c r="OG399">
        <v>0</v>
      </c>
      <c r="OH399">
        <v>0</v>
      </c>
      <c r="OI399">
        <v>0</v>
      </c>
      <c r="OJ399">
        <v>0</v>
      </c>
      <c r="OK399">
        <v>0</v>
      </c>
      <c r="OL399">
        <v>0</v>
      </c>
      <c r="OM399">
        <v>0</v>
      </c>
      <c r="ON399">
        <v>0</v>
      </c>
    </row>
    <row r="400" spans="1:404" x14ac:dyDescent="0.25">
      <c r="A400" t="s">
        <v>1266</v>
      </c>
      <c r="B400" t="s">
        <v>1267</v>
      </c>
      <c r="C400" t="s">
        <v>1265</v>
      </c>
      <c r="E400" t="s">
        <v>61</v>
      </c>
      <c r="F400">
        <v>0</v>
      </c>
      <c r="G400">
        <v>0</v>
      </c>
      <c r="H400">
        <v>0</v>
      </c>
      <c r="I400">
        <v>0</v>
      </c>
      <c r="J400">
        <v>0</v>
      </c>
      <c r="K400">
        <v>0</v>
      </c>
      <c r="L400">
        <v>0</v>
      </c>
      <c r="M400">
        <v>0</v>
      </c>
      <c r="N400">
        <v>0</v>
      </c>
      <c r="O400">
        <v>0</v>
      </c>
      <c r="P400">
        <v>0</v>
      </c>
      <c r="Q400">
        <v>0</v>
      </c>
      <c r="R400">
        <v>0</v>
      </c>
      <c r="S400">
        <v>0</v>
      </c>
      <c r="T400">
        <v>0</v>
      </c>
      <c r="U400">
        <v>60</v>
      </c>
      <c r="V400">
        <v>0</v>
      </c>
      <c r="W400">
        <v>0</v>
      </c>
      <c r="X400">
        <v>0</v>
      </c>
      <c r="Y400">
        <v>0</v>
      </c>
      <c r="Z400">
        <v>0</v>
      </c>
      <c r="AA400">
        <v>46</v>
      </c>
      <c r="AB400">
        <v>0</v>
      </c>
      <c r="AC400">
        <v>0</v>
      </c>
      <c r="AD400">
        <v>93</v>
      </c>
      <c r="AE400">
        <v>0</v>
      </c>
      <c r="AF400">
        <v>0</v>
      </c>
      <c r="AG400">
        <v>11</v>
      </c>
      <c r="AH400">
        <v>0</v>
      </c>
      <c r="AI400">
        <v>210</v>
      </c>
      <c r="AJ400">
        <v>0</v>
      </c>
      <c r="AK400">
        <v>0</v>
      </c>
      <c r="AL400">
        <v>0</v>
      </c>
      <c r="AM400">
        <v>0</v>
      </c>
      <c r="AN400">
        <v>0</v>
      </c>
      <c r="AO400">
        <v>0</v>
      </c>
      <c r="AP400">
        <v>0</v>
      </c>
      <c r="AQ400">
        <v>0</v>
      </c>
      <c r="AR400">
        <v>0</v>
      </c>
      <c r="AS400">
        <v>0</v>
      </c>
      <c r="AT400">
        <v>0</v>
      </c>
      <c r="AU400">
        <v>0</v>
      </c>
      <c r="AV400">
        <v>0</v>
      </c>
      <c r="AW400">
        <v>0</v>
      </c>
      <c r="AX400">
        <v>0</v>
      </c>
      <c r="AY400">
        <v>0</v>
      </c>
      <c r="AZ400">
        <v>0</v>
      </c>
      <c r="BA400">
        <v>0</v>
      </c>
      <c r="BB400">
        <v>0</v>
      </c>
      <c r="BC400">
        <v>0</v>
      </c>
      <c r="BD400">
        <v>0</v>
      </c>
      <c r="BE400">
        <v>0</v>
      </c>
      <c r="BF400">
        <v>0</v>
      </c>
      <c r="BG400">
        <v>0</v>
      </c>
      <c r="BH400">
        <v>0</v>
      </c>
      <c r="BI400">
        <v>0</v>
      </c>
      <c r="BJ400">
        <v>0</v>
      </c>
      <c r="BK400">
        <v>0</v>
      </c>
      <c r="BL400">
        <v>0</v>
      </c>
      <c r="BM400">
        <v>0</v>
      </c>
      <c r="BN400">
        <v>0</v>
      </c>
      <c r="BO400">
        <v>0</v>
      </c>
      <c r="BP400">
        <v>0</v>
      </c>
      <c r="BQ400">
        <v>0</v>
      </c>
      <c r="BR400">
        <v>0</v>
      </c>
      <c r="BS400">
        <v>0</v>
      </c>
      <c r="BT400">
        <v>0</v>
      </c>
      <c r="BU400">
        <v>0</v>
      </c>
      <c r="BV400">
        <v>0</v>
      </c>
      <c r="BW400">
        <v>0</v>
      </c>
      <c r="BX400">
        <v>0</v>
      </c>
      <c r="BY400">
        <v>0</v>
      </c>
      <c r="BZ400">
        <v>0</v>
      </c>
      <c r="CA400">
        <v>0</v>
      </c>
      <c r="CB400">
        <v>0</v>
      </c>
      <c r="CC400">
        <v>0</v>
      </c>
      <c r="CD400">
        <v>0</v>
      </c>
      <c r="CE400">
        <v>0</v>
      </c>
      <c r="CF400">
        <v>0</v>
      </c>
      <c r="CG400">
        <v>0</v>
      </c>
      <c r="CH400">
        <v>0</v>
      </c>
      <c r="CI400">
        <v>0</v>
      </c>
      <c r="CJ400">
        <v>0</v>
      </c>
      <c r="CK400">
        <v>0</v>
      </c>
      <c r="CL400">
        <v>0</v>
      </c>
      <c r="CM400">
        <v>0</v>
      </c>
      <c r="CN400">
        <v>0</v>
      </c>
      <c r="CO400">
        <v>0</v>
      </c>
      <c r="CP400">
        <v>0</v>
      </c>
      <c r="CQ400">
        <v>0</v>
      </c>
      <c r="CR400">
        <v>0</v>
      </c>
      <c r="CS400">
        <v>0</v>
      </c>
      <c r="CT400">
        <v>0</v>
      </c>
      <c r="CU400">
        <v>-76</v>
      </c>
      <c r="CV400">
        <v>-76</v>
      </c>
      <c r="CW400">
        <v>0</v>
      </c>
      <c r="CX400">
        <v>0</v>
      </c>
      <c r="CY400">
        <v>0</v>
      </c>
      <c r="CZ400">
        <v>0</v>
      </c>
      <c r="DA400">
        <v>0</v>
      </c>
      <c r="DB400">
        <v>0</v>
      </c>
      <c r="DC400">
        <v>96</v>
      </c>
      <c r="DD400">
        <v>0</v>
      </c>
      <c r="DE400">
        <v>105</v>
      </c>
      <c r="DF400">
        <v>18</v>
      </c>
      <c r="DG400">
        <v>0</v>
      </c>
      <c r="DH400">
        <v>0</v>
      </c>
      <c r="DI400">
        <v>0</v>
      </c>
      <c r="DJ400">
        <v>141</v>
      </c>
      <c r="DK400">
        <v>0</v>
      </c>
      <c r="DL400">
        <v>135</v>
      </c>
      <c r="DM400">
        <v>121</v>
      </c>
      <c r="DN400">
        <v>263</v>
      </c>
      <c r="DO400">
        <v>0</v>
      </c>
      <c r="DP400">
        <v>660</v>
      </c>
      <c r="DQ400">
        <v>-1</v>
      </c>
      <c r="DR400">
        <v>0</v>
      </c>
      <c r="DS400">
        <v>0</v>
      </c>
      <c r="DT400">
        <v>503</v>
      </c>
      <c r="DU400">
        <v>20</v>
      </c>
      <c r="DV400">
        <v>5</v>
      </c>
      <c r="DW400">
        <v>0</v>
      </c>
      <c r="DX400">
        <v>1406</v>
      </c>
      <c r="DY400">
        <v>0</v>
      </c>
      <c r="DZ400">
        <v>0</v>
      </c>
      <c r="EA400">
        <v>0</v>
      </c>
      <c r="EB400">
        <v>0</v>
      </c>
      <c r="EC400">
        <v>0</v>
      </c>
      <c r="ED400">
        <v>0</v>
      </c>
      <c r="EE400">
        <v>0</v>
      </c>
      <c r="EF400">
        <v>0</v>
      </c>
      <c r="EG400">
        <v>0</v>
      </c>
      <c r="EH400">
        <v>0</v>
      </c>
      <c r="EI400">
        <v>0</v>
      </c>
      <c r="EJ400">
        <v>0</v>
      </c>
      <c r="EK400">
        <v>0</v>
      </c>
      <c r="EL400">
        <v>0</v>
      </c>
      <c r="EM400">
        <v>0</v>
      </c>
      <c r="EN400">
        <v>0</v>
      </c>
      <c r="EO400">
        <v>0</v>
      </c>
      <c r="EP400">
        <v>0</v>
      </c>
      <c r="EQ400">
        <v>0</v>
      </c>
      <c r="ER400">
        <v>0</v>
      </c>
      <c r="ES400">
        <v>0</v>
      </c>
      <c r="ET400">
        <v>0</v>
      </c>
      <c r="EU400">
        <v>0</v>
      </c>
      <c r="EV400">
        <v>0</v>
      </c>
      <c r="EW400">
        <v>104</v>
      </c>
      <c r="EX400">
        <v>0</v>
      </c>
      <c r="EY400">
        <v>271</v>
      </c>
      <c r="EZ400">
        <v>0</v>
      </c>
      <c r="FA400">
        <v>0</v>
      </c>
      <c r="FB400">
        <v>0</v>
      </c>
      <c r="FC400">
        <v>-85</v>
      </c>
      <c r="FD400">
        <v>140</v>
      </c>
      <c r="FE400">
        <v>0</v>
      </c>
      <c r="FF400">
        <v>81</v>
      </c>
      <c r="FG400">
        <v>0</v>
      </c>
      <c r="FH400">
        <v>511</v>
      </c>
      <c r="FI400">
        <v>36</v>
      </c>
      <c r="FJ400">
        <v>0</v>
      </c>
      <c r="FK400">
        <v>0</v>
      </c>
      <c r="FL400">
        <v>0</v>
      </c>
      <c r="FM400">
        <v>156</v>
      </c>
      <c r="FN400">
        <v>334</v>
      </c>
      <c r="FO400">
        <v>0</v>
      </c>
      <c r="FP400">
        <v>0</v>
      </c>
      <c r="FQ400">
        <v>0</v>
      </c>
      <c r="FR400">
        <v>0</v>
      </c>
      <c r="FS400">
        <v>94</v>
      </c>
      <c r="FT400">
        <v>50</v>
      </c>
      <c r="FU400">
        <v>74</v>
      </c>
      <c r="FV400">
        <v>131</v>
      </c>
      <c r="FW400">
        <v>220</v>
      </c>
      <c r="FX400">
        <v>119</v>
      </c>
      <c r="FY400">
        <v>0</v>
      </c>
      <c r="FZ400">
        <v>0</v>
      </c>
      <c r="GA400">
        <v>386</v>
      </c>
      <c r="GB400">
        <v>0</v>
      </c>
      <c r="GC400">
        <v>0</v>
      </c>
      <c r="GD400">
        <v>1707</v>
      </c>
      <c r="GE400">
        <v>3938</v>
      </c>
      <c r="GF400">
        <v>0</v>
      </c>
      <c r="GG400">
        <v>-40</v>
      </c>
      <c r="GH400">
        <v>0</v>
      </c>
      <c r="GI400">
        <v>0</v>
      </c>
      <c r="GJ400">
        <v>0</v>
      </c>
      <c r="GK400">
        <v>7205</v>
      </c>
      <c r="GL400">
        <v>206</v>
      </c>
      <c r="GM400">
        <v>528</v>
      </c>
      <c r="GN400">
        <v>0</v>
      </c>
      <c r="GO400">
        <v>225</v>
      </c>
      <c r="GP400">
        <v>0</v>
      </c>
      <c r="GQ400">
        <v>716</v>
      </c>
      <c r="GR400">
        <v>0</v>
      </c>
      <c r="GS400">
        <v>339</v>
      </c>
      <c r="GT400">
        <v>463</v>
      </c>
      <c r="GU400">
        <v>2477</v>
      </c>
      <c r="GV400">
        <v>10193</v>
      </c>
      <c r="GW400">
        <v>0</v>
      </c>
      <c r="GX400">
        <v>0</v>
      </c>
      <c r="GY400">
        <v>0</v>
      </c>
      <c r="GZ400">
        <v>0</v>
      </c>
      <c r="HA400">
        <v>0</v>
      </c>
      <c r="HB400">
        <v>3383</v>
      </c>
      <c r="HC400">
        <v>955</v>
      </c>
      <c r="HD400">
        <v>0</v>
      </c>
      <c r="HE400">
        <v>0</v>
      </c>
      <c r="HF400">
        <v>364</v>
      </c>
      <c r="HG400">
        <v>-6</v>
      </c>
      <c r="HH400">
        <v>0</v>
      </c>
      <c r="HI400">
        <v>0</v>
      </c>
      <c r="HJ400">
        <v>272</v>
      </c>
      <c r="HK400">
        <v>18</v>
      </c>
      <c r="HL400">
        <v>53</v>
      </c>
      <c r="HM400">
        <v>157</v>
      </c>
      <c r="HN400">
        <v>0</v>
      </c>
      <c r="HO400">
        <v>154</v>
      </c>
      <c r="HP400">
        <v>0</v>
      </c>
      <c r="HQ400">
        <v>0</v>
      </c>
      <c r="HR400">
        <v>0</v>
      </c>
      <c r="HS400">
        <v>0</v>
      </c>
      <c r="HT400">
        <v>25</v>
      </c>
      <c r="HU400">
        <v>-3587</v>
      </c>
      <c r="HV400">
        <v>1788</v>
      </c>
      <c r="HW400">
        <v>1383</v>
      </c>
      <c r="HX400">
        <v>7984</v>
      </c>
      <c r="HY400">
        <v>0</v>
      </c>
      <c r="HZ400">
        <v>3</v>
      </c>
      <c r="IA400">
        <v>185</v>
      </c>
      <c r="IB400">
        <v>8</v>
      </c>
      <c r="IC400">
        <v>0</v>
      </c>
      <c r="ID400">
        <v>210</v>
      </c>
      <c r="IE400">
        <v>0</v>
      </c>
      <c r="IF400">
        <v>0</v>
      </c>
      <c r="IG400">
        <v>-76</v>
      </c>
      <c r="IH400">
        <v>1406</v>
      </c>
      <c r="II400">
        <v>511</v>
      </c>
      <c r="IJ400">
        <v>7205</v>
      </c>
      <c r="IK400">
        <v>2477</v>
      </c>
      <c r="IL400">
        <v>0</v>
      </c>
      <c r="IM400">
        <v>0</v>
      </c>
      <c r="IN400">
        <v>1788</v>
      </c>
      <c r="IO400">
        <v>8</v>
      </c>
      <c r="IP400">
        <v>13529</v>
      </c>
      <c r="IQ400">
        <v>14545</v>
      </c>
      <c r="IR400">
        <v>0</v>
      </c>
      <c r="IS400">
        <v>0</v>
      </c>
      <c r="IT400">
        <v>0</v>
      </c>
      <c r="IU400">
        <v>0</v>
      </c>
      <c r="IV400">
        <v>2187</v>
      </c>
      <c r="IW400">
        <v>0</v>
      </c>
      <c r="IX400">
        <v>0</v>
      </c>
      <c r="IY400">
        <v>0</v>
      </c>
      <c r="IZ400">
        <v>24</v>
      </c>
      <c r="JA400">
        <v>0</v>
      </c>
      <c r="JB400">
        <v>0</v>
      </c>
      <c r="JC400">
        <v>0</v>
      </c>
      <c r="JD400">
        <v>0</v>
      </c>
      <c r="JE400">
        <v>31</v>
      </c>
      <c r="JF400">
        <v>0</v>
      </c>
      <c r="JG400">
        <v>30316</v>
      </c>
      <c r="JH400">
        <v>0</v>
      </c>
      <c r="JI400">
        <v>1082</v>
      </c>
      <c r="JJ400">
        <v>0</v>
      </c>
      <c r="JK400">
        <v>0</v>
      </c>
      <c r="JL400">
        <v>0</v>
      </c>
      <c r="JM400">
        <v>-242</v>
      </c>
      <c r="JN400">
        <v>823</v>
      </c>
      <c r="JO400">
        <v>0</v>
      </c>
      <c r="JP400">
        <v>374</v>
      </c>
      <c r="JQ400">
        <v>0</v>
      </c>
      <c r="JR400">
        <v>32353</v>
      </c>
      <c r="JS400">
        <v>-1581</v>
      </c>
      <c r="JT400">
        <v>0</v>
      </c>
      <c r="JU400">
        <v>0</v>
      </c>
      <c r="JV400">
        <v>0</v>
      </c>
      <c r="JW400">
        <v>-14452</v>
      </c>
      <c r="JX400">
        <v>0</v>
      </c>
      <c r="JY400">
        <v>-14</v>
      </c>
      <c r="JZ400">
        <v>0</v>
      </c>
      <c r="KA400">
        <v>0</v>
      </c>
      <c r="KB400">
        <v>0</v>
      </c>
      <c r="KC400">
        <v>16306</v>
      </c>
      <c r="KD400">
        <v>0</v>
      </c>
      <c r="KE400">
        <v>-2946</v>
      </c>
      <c r="KF400">
        <v>13360</v>
      </c>
      <c r="KG400">
        <v>0</v>
      </c>
      <c r="KH400">
        <v>0</v>
      </c>
      <c r="KI400">
        <v>0</v>
      </c>
      <c r="KJ400">
        <v>0</v>
      </c>
      <c r="KK400">
        <v>2484</v>
      </c>
      <c r="KL400">
        <v>-1932</v>
      </c>
      <c r="KM400">
        <v>0</v>
      </c>
      <c r="KN400">
        <v>0</v>
      </c>
      <c r="KO400">
        <v>-2352</v>
      </c>
      <c r="KP400">
        <v>-168</v>
      </c>
      <c r="KQ400">
        <v>0</v>
      </c>
      <c r="KR400">
        <v>8897</v>
      </c>
      <c r="KS400">
        <v>0</v>
      </c>
      <c r="KT400">
        <v>0</v>
      </c>
      <c r="KU400">
        <v>0</v>
      </c>
      <c r="KV400">
        <v>15925</v>
      </c>
      <c r="KW400">
        <v>7327</v>
      </c>
      <c r="KX400">
        <v>0</v>
      </c>
      <c r="KY400">
        <v>0</v>
      </c>
      <c r="KZ400">
        <v>0</v>
      </c>
      <c r="LA400">
        <v>18409</v>
      </c>
      <c r="LB400">
        <v>5395</v>
      </c>
      <c r="LC400">
        <v>0</v>
      </c>
      <c r="LD400">
        <v>1052</v>
      </c>
      <c r="LE400">
        <v>-543</v>
      </c>
      <c r="LF400">
        <v>311</v>
      </c>
      <c r="LG400">
        <v>-3087</v>
      </c>
      <c r="LH400">
        <v>3336</v>
      </c>
      <c r="LI400">
        <v>1845</v>
      </c>
      <c r="LJ400">
        <v>2706</v>
      </c>
      <c r="LK400">
        <v>3915</v>
      </c>
      <c r="LL400">
        <v>6621</v>
      </c>
      <c r="LM400">
        <v>8</v>
      </c>
      <c r="LN400">
        <v>0</v>
      </c>
      <c r="LO400">
        <v>0</v>
      </c>
      <c r="LP400">
        <v>0</v>
      </c>
      <c r="LQ400">
        <v>0</v>
      </c>
      <c r="LR400">
        <v>0</v>
      </c>
      <c r="LS400">
        <v>0</v>
      </c>
      <c r="LT400">
        <v>0</v>
      </c>
      <c r="LU400">
        <v>0</v>
      </c>
      <c r="LV400">
        <v>210</v>
      </c>
      <c r="LW400">
        <v>0</v>
      </c>
      <c r="LX400">
        <v>0</v>
      </c>
      <c r="LY400">
        <v>-76</v>
      </c>
      <c r="LZ400">
        <v>1406</v>
      </c>
      <c r="MA400">
        <v>511</v>
      </c>
      <c r="MB400">
        <v>7205</v>
      </c>
      <c r="MC400">
        <v>2477</v>
      </c>
      <c r="MD400">
        <v>0</v>
      </c>
      <c r="ME400">
        <v>0</v>
      </c>
      <c r="MF400">
        <v>1788</v>
      </c>
      <c r="MG400">
        <v>8</v>
      </c>
      <c r="MH400">
        <v>13529</v>
      </c>
      <c r="MI400">
        <v>0</v>
      </c>
      <c r="MJ400">
        <v>0</v>
      </c>
      <c r="MK400">
        <v>0</v>
      </c>
      <c r="ML400">
        <v>0</v>
      </c>
      <c r="MM400">
        <v>0</v>
      </c>
      <c r="MN400">
        <v>0</v>
      </c>
      <c r="MO400">
        <v>0</v>
      </c>
      <c r="MP400">
        <v>0</v>
      </c>
      <c r="MQ400">
        <v>0</v>
      </c>
      <c r="MR400">
        <v>0</v>
      </c>
      <c r="MS400">
        <v>0</v>
      </c>
      <c r="MT400">
        <v>0</v>
      </c>
      <c r="MU400">
        <v>0</v>
      </c>
      <c r="MV400">
        <v>0</v>
      </c>
      <c r="MW400">
        <v>0</v>
      </c>
      <c r="MX400">
        <v>0</v>
      </c>
      <c r="MY400">
        <v>0</v>
      </c>
      <c r="MZ400">
        <v>0</v>
      </c>
      <c r="NA400">
        <v>0</v>
      </c>
      <c r="NB400">
        <v>0</v>
      </c>
      <c r="NC400">
        <v>0</v>
      </c>
      <c r="ND400">
        <v>0</v>
      </c>
      <c r="NE400">
        <v>0</v>
      </c>
      <c r="NF400">
        <v>0</v>
      </c>
      <c r="NG400">
        <v>0</v>
      </c>
      <c r="NH400">
        <v>0</v>
      </c>
      <c r="NI400">
        <v>0</v>
      </c>
      <c r="NJ400">
        <v>0</v>
      </c>
      <c r="NK400">
        <v>0</v>
      </c>
      <c r="NL400">
        <v>0</v>
      </c>
      <c r="NM400">
        <v>0</v>
      </c>
      <c r="NN400">
        <v>0</v>
      </c>
      <c r="NO400">
        <v>0</v>
      </c>
      <c r="NP400">
        <v>0</v>
      </c>
      <c r="NQ400">
        <v>0</v>
      </c>
      <c r="NR400">
        <v>0</v>
      </c>
      <c r="NS400">
        <v>0</v>
      </c>
      <c r="NT400">
        <v>0</v>
      </c>
      <c r="NU400">
        <v>0</v>
      </c>
      <c r="NV400">
        <v>0</v>
      </c>
      <c r="NW400">
        <v>0</v>
      </c>
      <c r="NX400">
        <v>0</v>
      </c>
      <c r="NY400">
        <v>0</v>
      </c>
      <c r="NZ400">
        <v>0</v>
      </c>
      <c r="OA400">
        <v>0</v>
      </c>
      <c r="OB400">
        <v>0</v>
      </c>
      <c r="OC400">
        <v>0</v>
      </c>
      <c r="OD400">
        <v>0</v>
      </c>
      <c r="OE400">
        <v>0</v>
      </c>
      <c r="OF400">
        <v>0</v>
      </c>
      <c r="OG400">
        <v>0</v>
      </c>
      <c r="OH400">
        <v>0</v>
      </c>
      <c r="OI400">
        <v>0</v>
      </c>
      <c r="OJ400">
        <v>0</v>
      </c>
      <c r="OK400">
        <v>0</v>
      </c>
      <c r="OL400">
        <v>0</v>
      </c>
      <c r="OM400">
        <v>0</v>
      </c>
      <c r="ON400">
        <v>0</v>
      </c>
    </row>
    <row r="401" spans="1:404" x14ac:dyDescent="0.25">
      <c r="A401" t="s">
        <v>1269</v>
      </c>
      <c r="B401" t="s">
        <v>1270</v>
      </c>
      <c r="C401" t="s">
        <v>1268</v>
      </c>
      <c r="E401" t="s">
        <v>5425</v>
      </c>
      <c r="F401">
        <v>0</v>
      </c>
      <c r="G401">
        <v>0</v>
      </c>
      <c r="H401">
        <v>0</v>
      </c>
      <c r="I401">
        <v>0</v>
      </c>
      <c r="J401">
        <v>0</v>
      </c>
      <c r="K401">
        <v>0</v>
      </c>
      <c r="L401">
        <v>0</v>
      </c>
      <c r="M401">
        <v>0</v>
      </c>
      <c r="N401">
        <v>0</v>
      </c>
      <c r="O401">
        <v>0</v>
      </c>
      <c r="P401">
        <v>0</v>
      </c>
      <c r="Q401">
        <v>0</v>
      </c>
      <c r="R401">
        <v>0</v>
      </c>
      <c r="S401">
        <v>0</v>
      </c>
      <c r="T401">
        <v>0</v>
      </c>
      <c r="U401">
        <v>0</v>
      </c>
      <c r="V401">
        <v>0</v>
      </c>
      <c r="W401">
        <v>0</v>
      </c>
      <c r="X401">
        <v>0</v>
      </c>
      <c r="Y401">
        <v>0</v>
      </c>
      <c r="Z401">
        <v>0</v>
      </c>
      <c r="AA401">
        <v>0</v>
      </c>
      <c r="AB401">
        <v>0</v>
      </c>
      <c r="AC401">
        <v>0</v>
      </c>
      <c r="AD401">
        <v>0</v>
      </c>
      <c r="AE401">
        <v>0</v>
      </c>
      <c r="AF401">
        <v>0</v>
      </c>
      <c r="AG401">
        <v>0</v>
      </c>
      <c r="AH401">
        <v>0</v>
      </c>
      <c r="AI401">
        <v>0</v>
      </c>
      <c r="AJ401">
        <v>0</v>
      </c>
      <c r="AK401">
        <v>0</v>
      </c>
      <c r="AL401">
        <v>0</v>
      </c>
      <c r="AM401">
        <v>0</v>
      </c>
      <c r="AN401">
        <v>0</v>
      </c>
      <c r="AO401">
        <v>0</v>
      </c>
      <c r="AP401">
        <v>0</v>
      </c>
      <c r="AQ401">
        <v>0</v>
      </c>
      <c r="AR401">
        <v>0</v>
      </c>
      <c r="AS401">
        <v>0</v>
      </c>
      <c r="AT401">
        <v>0</v>
      </c>
      <c r="AU401">
        <v>0</v>
      </c>
      <c r="AV401">
        <v>0</v>
      </c>
      <c r="AW401">
        <v>0</v>
      </c>
      <c r="AX401">
        <v>0</v>
      </c>
      <c r="AY401">
        <v>0</v>
      </c>
      <c r="AZ401">
        <v>0</v>
      </c>
      <c r="BA401">
        <v>0</v>
      </c>
      <c r="BB401">
        <v>0</v>
      </c>
      <c r="BC401">
        <v>0</v>
      </c>
      <c r="BD401">
        <v>0</v>
      </c>
      <c r="BE401">
        <v>0</v>
      </c>
      <c r="BF401">
        <v>0</v>
      </c>
      <c r="BG401">
        <v>0</v>
      </c>
      <c r="BH401">
        <v>0</v>
      </c>
      <c r="BI401">
        <v>0</v>
      </c>
      <c r="BJ401">
        <v>0</v>
      </c>
      <c r="BK401">
        <v>0</v>
      </c>
      <c r="BL401">
        <v>0</v>
      </c>
      <c r="BM401">
        <v>0</v>
      </c>
      <c r="BN401">
        <v>0</v>
      </c>
      <c r="BO401">
        <v>0</v>
      </c>
      <c r="BP401">
        <v>0</v>
      </c>
      <c r="BQ401">
        <v>0</v>
      </c>
      <c r="BR401">
        <v>0</v>
      </c>
      <c r="BS401">
        <v>0</v>
      </c>
      <c r="BT401">
        <v>0</v>
      </c>
      <c r="BU401">
        <v>0</v>
      </c>
      <c r="BV401">
        <v>0</v>
      </c>
      <c r="BW401">
        <v>0</v>
      </c>
      <c r="BX401">
        <v>0</v>
      </c>
      <c r="BY401">
        <v>0</v>
      </c>
      <c r="BZ401">
        <v>0</v>
      </c>
      <c r="CA401">
        <v>0</v>
      </c>
      <c r="CB401">
        <v>0</v>
      </c>
      <c r="CC401">
        <v>0</v>
      </c>
      <c r="CD401">
        <v>0</v>
      </c>
      <c r="CE401">
        <v>0</v>
      </c>
      <c r="CF401">
        <v>0</v>
      </c>
      <c r="CG401">
        <v>0</v>
      </c>
      <c r="CH401">
        <v>0</v>
      </c>
      <c r="CI401">
        <v>0</v>
      </c>
      <c r="CJ401">
        <v>0</v>
      </c>
      <c r="CK401">
        <v>0</v>
      </c>
      <c r="CL401">
        <v>0</v>
      </c>
      <c r="CM401">
        <v>0</v>
      </c>
      <c r="CN401">
        <v>0</v>
      </c>
      <c r="CO401">
        <v>0</v>
      </c>
      <c r="CP401">
        <v>0</v>
      </c>
      <c r="CQ401">
        <v>0</v>
      </c>
      <c r="CR401">
        <v>0</v>
      </c>
      <c r="CS401">
        <v>0</v>
      </c>
      <c r="CT401">
        <v>0</v>
      </c>
      <c r="CU401">
        <v>0</v>
      </c>
      <c r="CV401">
        <v>0</v>
      </c>
      <c r="CW401">
        <v>0</v>
      </c>
      <c r="CX401">
        <v>0</v>
      </c>
      <c r="CY401">
        <v>0</v>
      </c>
      <c r="CZ401">
        <v>0</v>
      </c>
      <c r="DA401">
        <v>0</v>
      </c>
      <c r="DB401">
        <v>0</v>
      </c>
      <c r="DC401">
        <v>0</v>
      </c>
      <c r="DD401">
        <v>0</v>
      </c>
      <c r="DE401">
        <v>0</v>
      </c>
      <c r="DF401">
        <v>0</v>
      </c>
      <c r="DG401">
        <v>0</v>
      </c>
      <c r="DH401">
        <v>0</v>
      </c>
      <c r="DI401">
        <v>0</v>
      </c>
      <c r="DJ401">
        <v>0</v>
      </c>
      <c r="DK401">
        <v>0</v>
      </c>
      <c r="DL401">
        <v>0</v>
      </c>
      <c r="DM401">
        <v>0</v>
      </c>
      <c r="DN401">
        <v>0</v>
      </c>
      <c r="DO401">
        <v>0</v>
      </c>
      <c r="DP401">
        <v>0</v>
      </c>
      <c r="DQ401">
        <v>0</v>
      </c>
      <c r="DR401">
        <v>0</v>
      </c>
      <c r="DS401">
        <v>0</v>
      </c>
      <c r="DT401">
        <v>0</v>
      </c>
      <c r="DU401">
        <v>0</v>
      </c>
      <c r="DV401">
        <v>0</v>
      </c>
      <c r="DW401">
        <v>0</v>
      </c>
      <c r="DX401">
        <v>0</v>
      </c>
      <c r="DY401">
        <v>0</v>
      </c>
      <c r="DZ401">
        <v>0</v>
      </c>
      <c r="EA401">
        <v>0</v>
      </c>
      <c r="EB401">
        <v>0</v>
      </c>
      <c r="EC401">
        <v>0</v>
      </c>
      <c r="ED401">
        <v>0</v>
      </c>
      <c r="EE401">
        <v>0</v>
      </c>
      <c r="EF401">
        <v>0</v>
      </c>
      <c r="EG401">
        <v>0</v>
      </c>
      <c r="EH401">
        <v>0</v>
      </c>
      <c r="EI401">
        <v>0</v>
      </c>
      <c r="EJ401">
        <v>0</v>
      </c>
      <c r="EK401">
        <v>0</v>
      </c>
      <c r="EL401">
        <v>0</v>
      </c>
      <c r="EM401">
        <v>0</v>
      </c>
      <c r="EN401">
        <v>0</v>
      </c>
      <c r="EO401">
        <v>0</v>
      </c>
      <c r="EP401">
        <v>0</v>
      </c>
      <c r="EQ401">
        <v>0</v>
      </c>
      <c r="ER401">
        <v>0</v>
      </c>
      <c r="ES401">
        <v>0</v>
      </c>
      <c r="ET401">
        <v>0</v>
      </c>
      <c r="EU401">
        <v>0</v>
      </c>
      <c r="EV401">
        <v>0</v>
      </c>
      <c r="EW401">
        <v>0</v>
      </c>
      <c r="EX401">
        <v>0</v>
      </c>
      <c r="EY401">
        <v>0</v>
      </c>
      <c r="EZ401">
        <v>0</v>
      </c>
      <c r="FA401">
        <v>0</v>
      </c>
      <c r="FB401">
        <v>0</v>
      </c>
      <c r="FC401">
        <v>0</v>
      </c>
      <c r="FD401">
        <v>0</v>
      </c>
      <c r="FE401">
        <v>0</v>
      </c>
      <c r="FF401">
        <v>0</v>
      </c>
      <c r="FG401">
        <v>0</v>
      </c>
      <c r="FH401">
        <v>0</v>
      </c>
      <c r="FI401">
        <v>0</v>
      </c>
      <c r="FJ401">
        <v>0</v>
      </c>
      <c r="FK401">
        <v>0</v>
      </c>
      <c r="FL401">
        <v>0</v>
      </c>
      <c r="FM401">
        <v>0</v>
      </c>
      <c r="FN401">
        <v>0</v>
      </c>
      <c r="FO401">
        <v>0</v>
      </c>
      <c r="FP401">
        <v>0</v>
      </c>
      <c r="FQ401">
        <v>0</v>
      </c>
      <c r="FR401">
        <v>0</v>
      </c>
      <c r="FS401">
        <v>0</v>
      </c>
      <c r="FT401">
        <v>0</v>
      </c>
      <c r="FU401">
        <v>0</v>
      </c>
      <c r="FV401">
        <v>0</v>
      </c>
      <c r="FW401">
        <v>0</v>
      </c>
      <c r="FX401">
        <v>0</v>
      </c>
      <c r="FY401">
        <v>0</v>
      </c>
      <c r="FZ401">
        <v>0</v>
      </c>
      <c r="GA401">
        <v>0</v>
      </c>
      <c r="GB401">
        <v>0</v>
      </c>
      <c r="GC401">
        <v>0</v>
      </c>
      <c r="GD401">
        <v>0</v>
      </c>
      <c r="GE401">
        <v>0</v>
      </c>
      <c r="GF401">
        <v>36726</v>
      </c>
      <c r="GG401">
        <v>0</v>
      </c>
      <c r="GH401">
        <v>0</v>
      </c>
      <c r="GI401">
        <v>0</v>
      </c>
      <c r="GJ401">
        <v>0</v>
      </c>
      <c r="GK401">
        <v>36726</v>
      </c>
      <c r="GL401">
        <v>0</v>
      </c>
      <c r="GM401">
        <v>0</v>
      </c>
      <c r="GN401">
        <v>0</v>
      </c>
      <c r="GO401">
        <v>0</v>
      </c>
      <c r="GP401">
        <v>0</v>
      </c>
      <c r="GQ401">
        <v>0</v>
      </c>
      <c r="GR401">
        <v>0</v>
      </c>
      <c r="GS401">
        <v>0</v>
      </c>
      <c r="GT401">
        <v>0</v>
      </c>
      <c r="GU401">
        <v>0</v>
      </c>
      <c r="GV401">
        <v>36726</v>
      </c>
      <c r="GW401">
        <v>0</v>
      </c>
      <c r="GX401">
        <v>0</v>
      </c>
      <c r="GY401">
        <v>0</v>
      </c>
      <c r="GZ401">
        <v>0</v>
      </c>
      <c r="HA401">
        <v>0</v>
      </c>
      <c r="HB401">
        <v>0</v>
      </c>
      <c r="HC401">
        <v>0</v>
      </c>
      <c r="HD401">
        <v>0</v>
      </c>
      <c r="HE401">
        <v>0</v>
      </c>
      <c r="HF401">
        <v>0</v>
      </c>
      <c r="HG401">
        <v>0</v>
      </c>
      <c r="HH401">
        <v>0</v>
      </c>
      <c r="HI401">
        <v>0</v>
      </c>
      <c r="HJ401">
        <v>0</v>
      </c>
      <c r="HK401">
        <v>0</v>
      </c>
      <c r="HL401">
        <v>0</v>
      </c>
      <c r="HM401">
        <v>0</v>
      </c>
      <c r="HN401">
        <v>0</v>
      </c>
      <c r="HO401">
        <v>0</v>
      </c>
      <c r="HP401">
        <v>0</v>
      </c>
      <c r="HQ401">
        <v>0</v>
      </c>
      <c r="HR401">
        <v>0</v>
      </c>
      <c r="HS401">
        <v>0</v>
      </c>
      <c r="HT401">
        <v>0</v>
      </c>
      <c r="HU401">
        <v>0</v>
      </c>
      <c r="HV401">
        <v>0</v>
      </c>
      <c r="HW401">
        <v>0</v>
      </c>
      <c r="HX401">
        <v>0</v>
      </c>
      <c r="HY401">
        <v>0</v>
      </c>
      <c r="HZ401">
        <v>0</v>
      </c>
      <c r="IA401">
        <v>0</v>
      </c>
      <c r="IB401">
        <v>0</v>
      </c>
      <c r="IC401">
        <v>0</v>
      </c>
      <c r="ID401">
        <v>0</v>
      </c>
      <c r="IE401">
        <v>0</v>
      </c>
      <c r="IF401">
        <v>0</v>
      </c>
      <c r="IG401">
        <v>0</v>
      </c>
      <c r="IH401">
        <v>0</v>
      </c>
      <c r="II401">
        <v>0</v>
      </c>
      <c r="IJ401">
        <v>36726</v>
      </c>
      <c r="IK401">
        <v>0</v>
      </c>
      <c r="IL401">
        <v>0</v>
      </c>
      <c r="IM401">
        <v>0</v>
      </c>
      <c r="IN401">
        <v>0</v>
      </c>
      <c r="IO401">
        <v>0</v>
      </c>
      <c r="IP401">
        <v>36726</v>
      </c>
      <c r="IQ401">
        <v>0</v>
      </c>
      <c r="IR401">
        <v>0</v>
      </c>
      <c r="IS401">
        <v>0</v>
      </c>
      <c r="IT401">
        <v>0</v>
      </c>
      <c r="IU401">
        <v>0</v>
      </c>
      <c r="IV401">
        <v>0</v>
      </c>
      <c r="IW401">
        <v>0</v>
      </c>
      <c r="IX401">
        <v>-62890</v>
      </c>
      <c r="IY401">
        <v>0</v>
      </c>
      <c r="IZ401">
        <v>0</v>
      </c>
      <c r="JA401">
        <v>0</v>
      </c>
      <c r="JB401">
        <v>0</v>
      </c>
      <c r="JC401">
        <v>0</v>
      </c>
      <c r="JD401">
        <v>0</v>
      </c>
      <c r="JE401">
        <v>17</v>
      </c>
      <c r="JF401">
        <v>0</v>
      </c>
      <c r="JG401">
        <v>-26147</v>
      </c>
      <c r="JH401">
        <v>0</v>
      </c>
      <c r="JI401">
        <v>102</v>
      </c>
      <c r="JJ401">
        <v>0</v>
      </c>
      <c r="JK401">
        <v>0</v>
      </c>
      <c r="JL401">
        <v>0</v>
      </c>
      <c r="JM401">
        <v>0</v>
      </c>
      <c r="JN401">
        <v>7615</v>
      </c>
      <c r="JO401">
        <v>0</v>
      </c>
      <c r="JP401">
        <v>9377</v>
      </c>
      <c r="JQ401">
        <v>0</v>
      </c>
      <c r="JR401">
        <v>-9053</v>
      </c>
      <c r="JS401">
        <v>0</v>
      </c>
      <c r="JT401">
        <v>-8263</v>
      </c>
      <c r="JU401">
        <v>-19</v>
      </c>
      <c r="JV401">
        <v>0</v>
      </c>
      <c r="JW401">
        <v>0</v>
      </c>
      <c r="JX401">
        <v>0</v>
      </c>
      <c r="JY401">
        <v>0</v>
      </c>
      <c r="JZ401">
        <v>0</v>
      </c>
      <c r="KA401">
        <v>0</v>
      </c>
      <c r="KB401">
        <v>0</v>
      </c>
      <c r="KC401">
        <v>-17335</v>
      </c>
      <c r="KD401">
        <v>0</v>
      </c>
      <c r="KE401">
        <v>0</v>
      </c>
      <c r="KF401">
        <v>-17335</v>
      </c>
      <c r="KG401">
        <v>0</v>
      </c>
      <c r="KH401">
        <v>0</v>
      </c>
      <c r="KI401">
        <v>0</v>
      </c>
      <c r="KJ401">
        <v>0</v>
      </c>
      <c r="KK401">
        <v>0</v>
      </c>
      <c r="KL401">
        <v>17335</v>
      </c>
      <c r="KM401">
        <v>0</v>
      </c>
      <c r="KN401">
        <v>0</v>
      </c>
      <c r="KO401">
        <v>0</v>
      </c>
      <c r="KP401">
        <v>0</v>
      </c>
      <c r="KQ401">
        <v>0</v>
      </c>
      <c r="KR401">
        <v>0</v>
      </c>
      <c r="KS401">
        <v>0</v>
      </c>
      <c r="KT401">
        <v>0</v>
      </c>
      <c r="KU401">
        <v>0</v>
      </c>
      <c r="KV401">
        <v>0</v>
      </c>
      <c r="KW401">
        <v>13227</v>
      </c>
      <c r="KX401">
        <v>0</v>
      </c>
      <c r="KY401">
        <v>0</v>
      </c>
      <c r="KZ401">
        <v>0</v>
      </c>
      <c r="LA401">
        <v>0</v>
      </c>
      <c r="LB401">
        <v>30562</v>
      </c>
      <c r="LC401">
        <v>0</v>
      </c>
      <c r="LD401">
        <v>8943</v>
      </c>
      <c r="LE401">
        <v>0</v>
      </c>
      <c r="LF401">
        <v>-35246</v>
      </c>
      <c r="LG401">
        <v>0</v>
      </c>
      <c r="LH401">
        <v>0</v>
      </c>
      <c r="LI401">
        <v>-26303</v>
      </c>
      <c r="LJ401">
        <v>0</v>
      </c>
      <c r="LK401">
        <v>0</v>
      </c>
      <c r="LL401">
        <v>0</v>
      </c>
      <c r="LM401">
        <v>0</v>
      </c>
      <c r="LN401">
        <v>0</v>
      </c>
      <c r="LO401">
        <v>0</v>
      </c>
      <c r="LP401">
        <v>0</v>
      </c>
      <c r="LQ401">
        <v>0</v>
      </c>
      <c r="LR401">
        <v>0</v>
      </c>
      <c r="LS401">
        <v>0</v>
      </c>
      <c r="LT401">
        <v>0</v>
      </c>
      <c r="LU401">
        <v>0</v>
      </c>
      <c r="LV401">
        <v>0</v>
      </c>
      <c r="LW401">
        <v>0</v>
      </c>
      <c r="LX401">
        <v>0</v>
      </c>
      <c r="LY401">
        <v>0</v>
      </c>
      <c r="LZ401">
        <v>0</v>
      </c>
      <c r="MA401">
        <v>0</v>
      </c>
      <c r="MB401">
        <v>36726</v>
      </c>
      <c r="MC401">
        <v>0</v>
      </c>
      <c r="MD401">
        <v>0</v>
      </c>
      <c r="ME401">
        <v>0</v>
      </c>
      <c r="MF401">
        <v>0</v>
      </c>
      <c r="MG401">
        <v>0</v>
      </c>
      <c r="MH401">
        <v>36726</v>
      </c>
      <c r="MI401">
        <v>0</v>
      </c>
      <c r="MJ401">
        <v>0</v>
      </c>
      <c r="MK401">
        <v>0</v>
      </c>
      <c r="ML401">
        <v>0</v>
      </c>
      <c r="MM401">
        <v>0</v>
      </c>
      <c r="MN401">
        <v>0</v>
      </c>
      <c r="MO401">
        <v>0</v>
      </c>
      <c r="MP401">
        <v>0</v>
      </c>
      <c r="MQ401">
        <v>0</v>
      </c>
      <c r="MR401">
        <v>0</v>
      </c>
      <c r="MS401">
        <v>0</v>
      </c>
      <c r="MT401">
        <v>0</v>
      </c>
      <c r="MU401">
        <v>0</v>
      </c>
      <c r="MV401">
        <v>0</v>
      </c>
      <c r="MW401">
        <v>0</v>
      </c>
      <c r="MX401">
        <v>0</v>
      </c>
      <c r="MY401">
        <v>0</v>
      </c>
      <c r="MZ401">
        <v>0</v>
      </c>
      <c r="NA401">
        <v>0</v>
      </c>
      <c r="NB401">
        <v>0</v>
      </c>
      <c r="NC401">
        <v>0</v>
      </c>
      <c r="ND401">
        <v>0</v>
      </c>
      <c r="NE401">
        <v>0</v>
      </c>
      <c r="NF401">
        <v>0</v>
      </c>
      <c r="NG401">
        <v>0</v>
      </c>
      <c r="NH401">
        <v>0</v>
      </c>
      <c r="NI401">
        <v>0</v>
      </c>
      <c r="NJ401">
        <v>0</v>
      </c>
      <c r="NK401">
        <v>0</v>
      </c>
      <c r="NL401">
        <v>0</v>
      </c>
      <c r="NM401">
        <v>0</v>
      </c>
      <c r="NN401">
        <v>0</v>
      </c>
      <c r="NO401">
        <v>0</v>
      </c>
      <c r="NP401">
        <v>0</v>
      </c>
      <c r="NQ401">
        <v>0</v>
      </c>
      <c r="NR401">
        <v>0</v>
      </c>
      <c r="NS401">
        <v>0</v>
      </c>
      <c r="NT401">
        <v>0</v>
      </c>
      <c r="NU401">
        <v>0</v>
      </c>
      <c r="NV401">
        <v>0</v>
      </c>
      <c r="NW401">
        <v>0</v>
      </c>
      <c r="NX401">
        <v>0</v>
      </c>
      <c r="NY401">
        <v>0</v>
      </c>
      <c r="NZ401">
        <v>0</v>
      </c>
      <c r="OA401">
        <v>0</v>
      </c>
      <c r="OB401">
        <v>0</v>
      </c>
      <c r="OC401">
        <v>0</v>
      </c>
      <c r="OD401">
        <v>0</v>
      </c>
      <c r="OE401">
        <v>0</v>
      </c>
      <c r="OF401">
        <v>0</v>
      </c>
      <c r="OG401">
        <v>0</v>
      </c>
      <c r="OH401">
        <v>0</v>
      </c>
      <c r="OI401">
        <v>0</v>
      </c>
      <c r="OJ401">
        <v>0</v>
      </c>
      <c r="OK401">
        <v>0</v>
      </c>
      <c r="OL401">
        <v>0</v>
      </c>
      <c r="OM401">
        <v>0</v>
      </c>
      <c r="ON401">
        <v>0</v>
      </c>
    </row>
    <row r="402" spans="1:404" x14ac:dyDescent="0.25">
      <c r="A402" t="s">
        <v>1272</v>
      </c>
      <c r="B402" t="s">
        <v>1273</v>
      </c>
      <c r="C402" t="s">
        <v>1271</v>
      </c>
      <c r="E402" t="s">
        <v>71</v>
      </c>
      <c r="F402">
        <v>0</v>
      </c>
      <c r="G402">
        <v>0</v>
      </c>
      <c r="H402">
        <v>0</v>
      </c>
      <c r="I402">
        <v>0</v>
      </c>
      <c r="J402">
        <v>0</v>
      </c>
      <c r="K402">
        <v>0</v>
      </c>
      <c r="L402">
        <v>0</v>
      </c>
      <c r="M402">
        <v>0</v>
      </c>
      <c r="N402">
        <v>0</v>
      </c>
      <c r="O402">
        <v>0</v>
      </c>
      <c r="P402">
        <v>0</v>
      </c>
      <c r="Q402">
        <v>0</v>
      </c>
      <c r="R402">
        <v>0</v>
      </c>
      <c r="S402">
        <v>0</v>
      </c>
      <c r="T402">
        <v>0</v>
      </c>
      <c r="U402">
        <v>0</v>
      </c>
      <c r="V402">
        <v>0</v>
      </c>
      <c r="W402">
        <v>0</v>
      </c>
      <c r="X402">
        <v>0</v>
      </c>
      <c r="Y402">
        <v>0</v>
      </c>
      <c r="Z402">
        <v>0</v>
      </c>
      <c r="AA402">
        <v>0</v>
      </c>
      <c r="AB402">
        <v>0</v>
      </c>
      <c r="AC402">
        <v>0</v>
      </c>
      <c r="AD402">
        <v>0</v>
      </c>
      <c r="AE402">
        <v>0</v>
      </c>
      <c r="AF402">
        <v>0</v>
      </c>
      <c r="AG402">
        <v>0</v>
      </c>
      <c r="AH402">
        <v>0</v>
      </c>
      <c r="AI402">
        <v>0</v>
      </c>
      <c r="AJ402">
        <v>0</v>
      </c>
      <c r="AK402">
        <v>0</v>
      </c>
      <c r="AL402">
        <v>0</v>
      </c>
      <c r="AM402">
        <v>0</v>
      </c>
      <c r="AN402">
        <v>0</v>
      </c>
      <c r="AO402">
        <v>0</v>
      </c>
      <c r="AP402">
        <v>0</v>
      </c>
      <c r="AQ402">
        <v>0</v>
      </c>
      <c r="AR402">
        <v>0</v>
      </c>
      <c r="AS402">
        <v>0</v>
      </c>
      <c r="AT402">
        <v>0</v>
      </c>
      <c r="AU402">
        <v>0</v>
      </c>
      <c r="AV402">
        <v>0</v>
      </c>
      <c r="AW402">
        <v>0</v>
      </c>
      <c r="AX402">
        <v>0</v>
      </c>
      <c r="AY402">
        <v>0</v>
      </c>
      <c r="AZ402">
        <v>0</v>
      </c>
      <c r="BA402">
        <v>0</v>
      </c>
      <c r="BB402">
        <v>0</v>
      </c>
      <c r="BC402">
        <v>0</v>
      </c>
      <c r="BD402">
        <v>0</v>
      </c>
      <c r="BE402">
        <v>0</v>
      </c>
      <c r="BF402">
        <v>0</v>
      </c>
      <c r="BG402">
        <v>0</v>
      </c>
      <c r="BH402">
        <v>0</v>
      </c>
      <c r="BI402">
        <v>0</v>
      </c>
      <c r="BJ402">
        <v>0</v>
      </c>
      <c r="BK402">
        <v>0</v>
      </c>
      <c r="BL402">
        <v>0</v>
      </c>
      <c r="BM402">
        <v>0</v>
      </c>
      <c r="BN402">
        <v>0</v>
      </c>
      <c r="BO402">
        <v>0</v>
      </c>
      <c r="BP402">
        <v>0</v>
      </c>
      <c r="BQ402">
        <v>0</v>
      </c>
      <c r="BR402">
        <v>0</v>
      </c>
      <c r="BS402">
        <v>0</v>
      </c>
      <c r="BT402">
        <v>0</v>
      </c>
      <c r="BU402">
        <v>0</v>
      </c>
      <c r="BV402">
        <v>0</v>
      </c>
      <c r="BW402">
        <v>0</v>
      </c>
      <c r="BX402">
        <v>0</v>
      </c>
      <c r="BY402">
        <v>0</v>
      </c>
      <c r="BZ402">
        <v>0</v>
      </c>
      <c r="CA402">
        <v>0</v>
      </c>
      <c r="CB402">
        <v>0</v>
      </c>
      <c r="CC402">
        <v>0</v>
      </c>
      <c r="CD402">
        <v>0</v>
      </c>
      <c r="CE402">
        <v>0</v>
      </c>
      <c r="CF402">
        <v>0</v>
      </c>
      <c r="CG402">
        <v>0</v>
      </c>
      <c r="CH402">
        <v>0</v>
      </c>
      <c r="CI402">
        <v>0</v>
      </c>
      <c r="CJ402">
        <v>0</v>
      </c>
      <c r="CK402">
        <v>0</v>
      </c>
      <c r="CL402">
        <v>0</v>
      </c>
      <c r="CM402">
        <v>0</v>
      </c>
      <c r="CN402">
        <v>0</v>
      </c>
      <c r="CO402">
        <v>0</v>
      </c>
      <c r="CP402">
        <v>0</v>
      </c>
      <c r="CQ402">
        <v>0</v>
      </c>
      <c r="CR402">
        <v>0</v>
      </c>
      <c r="CS402">
        <v>0</v>
      </c>
      <c r="CT402">
        <v>0</v>
      </c>
      <c r="CU402">
        <v>0</v>
      </c>
      <c r="CV402">
        <v>0</v>
      </c>
      <c r="CW402">
        <v>0</v>
      </c>
      <c r="CX402">
        <v>0</v>
      </c>
      <c r="CY402">
        <v>0</v>
      </c>
      <c r="CZ402">
        <v>0</v>
      </c>
      <c r="DA402">
        <v>0</v>
      </c>
      <c r="DB402">
        <v>0</v>
      </c>
      <c r="DC402">
        <v>0</v>
      </c>
      <c r="DD402">
        <v>0</v>
      </c>
      <c r="DE402">
        <v>0</v>
      </c>
      <c r="DF402">
        <v>0</v>
      </c>
      <c r="DG402">
        <v>0</v>
      </c>
      <c r="DH402">
        <v>0</v>
      </c>
      <c r="DI402">
        <v>0</v>
      </c>
      <c r="DJ402">
        <v>0</v>
      </c>
      <c r="DK402">
        <v>0</v>
      </c>
      <c r="DL402">
        <v>0</v>
      </c>
      <c r="DM402">
        <v>0</v>
      </c>
      <c r="DN402">
        <v>0</v>
      </c>
      <c r="DO402">
        <v>0</v>
      </c>
      <c r="DP402">
        <v>0</v>
      </c>
      <c r="DQ402">
        <v>0</v>
      </c>
      <c r="DR402">
        <v>0</v>
      </c>
      <c r="DS402">
        <v>0</v>
      </c>
      <c r="DT402">
        <v>0</v>
      </c>
      <c r="DU402">
        <v>0</v>
      </c>
      <c r="DV402">
        <v>0</v>
      </c>
      <c r="DW402">
        <v>0</v>
      </c>
      <c r="DX402">
        <v>0</v>
      </c>
      <c r="DY402">
        <v>0</v>
      </c>
      <c r="DZ402">
        <v>0</v>
      </c>
      <c r="EA402">
        <v>0</v>
      </c>
      <c r="EB402">
        <v>0</v>
      </c>
      <c r="EC402">
        <v>0</v>
      </c>
      <c r="ED402">
        <v>0</v>
      </c>
      <c r="EE402">
        <v>0</v>
      </c>
      <c r="EF402">
        <v>0</v>
      </c>
      <c r="EG402">
        <v>0</v>
      </c>
      <c r="EH402">
        <v>0</v>
      </c>
      <c r="EI402">
        <v>0</v>
      </c>
      <c r="EJ402">
        <v>0</v>
      </c>
      <c r="EK402">
        <v>0</v>
      </c>
      <c r="EL402">
        <v>0</v>
      </c>
      <c r="EM402">
        <v>0</v>
      </c>
      <c r="EN402">
        <v>0</v>
      </c>
      <c r="EO402">
        <v>0</v>
      </c>
      <c r="EP402">
        <v>0</v>
      </c>
      <c r="EQ402">
        <v>0</v>
      </c>
      <c r="ER402">
        <v>0</v>
      </c>
      <c r="ES402">
        <v>0</v>
      </c>
      <c r="ET402">
        <v>0</v>
      </c>
      <c r="EU402">
        <v>0</v>
      </c>
      <c r="EV402">
        <v>0</v>
      </c>
      <c r="EW402">
        <v>0</v>
      </c>
      <c r="EX402">
        <v>0</v>
      </c>
      <c r="EY402">
        <v>0</v>
      </c>
      <c r="EZ402">
        <v>0</v>
      </c>
      <c r="FA402">
        <v>0</v>
      </c>
      <c r="FB402">
        <v>0</v>
      </c>
      <c r="FC402">
        <v>0</v>
      </c>
      <c r="FD402">
        <v>0</v>
      </c>
      <c r="FE402">
        <v>0</v>
      </c>
      <c r="FF402">
        <v>0</v>
      </c>
      <c r="FG402">
        <v>0</v>
      </c>
      <c r="FH402">
        <v>0</v>
      </c>
      <c r="FI402">
        <v>0</v>
      </c>
      <c r="FJ402">
        <v>0</v>
      </c>
      <c r="FK402">
        <v>0</v>
      </c>
      <c r="FL402">
        <v>0</v>
      </c>
      <c r="FM402">
        <v>0</v>
      </c>
      <c r="FN402">
        <v>0</v>
      </c>
      <c r="FO402">
        <v>0</v>
      </c>
      <c r="FP402">
        <v>0</v>
      </c>
      <c r="FQ402">
        <v>0</v>
      </c>
      <c r="FR402">
        <v>0</v>
      </c>
      <c r="FS402">
        <v>0</v>
      </c>
      <c r="FT402">
        <v>0</v>
      </c>
      <c r="FU402">
        <v>0</v>
      </c>
      <c r="FV402">
        <v>0</v>
      </c>
      <c r="FW402">
        <v>0</v>
      </c>
      <c r="FX402">
        <v>0</v>
      </c>
      <c r="FY402">
        <v>0</v>
      </c>
      <c r="FZ402">
        <v>0</v>
      </c>
      <c r="GA402">
        <v>0</v>
      </c>
      <c r="GB402">
        <v>0</v>
      </c>
      <c r="GC402">
        <v>0</v>
      </c>
      <c r="GD402">
        <v>0</v>
      </c>
      <c r="GE402">
        <v>0</v>
      </c>
      <c r="GF402">
        <v>0</v>
      </c>
      <c r="GG402">
        <v>0</v>
      </c>
      <c r="GH402">
        <v>0</v>
      </c>
      <c r="GI402">
        <v>0</v>
      </c>
      <c r="GJ402">
        <v>0</v>
      </c>
      <c r="GK402">
        <v>0</v>
      </c>
      <c r="GL402">
        <v>0</v>
      </c>
      <c r="GM402">
        <v>0</v>
      </c>
      <c r="GN402">
        <v>0</v>
      </c>
      <c r="GO402">
        <v>0</v>
      </c>
      <c r="GP402">
        <v>0</v>
      </c>
      <c r="GQ402">
        <v>0</v>
      </c>
      <c r="GR402">
        <v>0</v>
      </c>
      <c r="GS402">
        <v>0</v>
      </c>
      <c r="GT402">
        <v>0</v>
      </c>
      <c r="GU402">
        <v>0</v>
      </c>
      <c r="GV402">
        <v>0</v>
      </c>
      <c r="GW402">
        <v>172141</v>
      </c>
      <c r="GX402">
        <v>0</v>
      </c>
      <c r="GY402">
        <v>0</v>
      </c>
      <c r="GZ402">
        <v>0</v>
      </c>
      <c r="HA402">
        <v>0</v>
      </c>
      <c r="HB402">
        <v>5373</v>
      </c>
      <c r="HC402">
        <v>0</v>
      </c>
      <c r="HD402">
        <v>0</v>
      </c>
      <c r="HE402">
        <v>0</v>
      </c>
      <c r="HF402">
        <v>0</v>
      </c>
      <c r="HG402">
        <v>0</v>
      </c>
      <c r="HH402">
        <v>0</v>
      </c>
      <c r="HI402">
        <v>0</v>
      </c>
      <c r="HJ402">
        <v>0</v>
      </c>
      <c r="HK402">
        <v>0</v>
      </c>
      <c r="HL402">
        <v>0</v>
      </c>
      <c r="HM402">
        <v>0</v>
      </c>
      <c r="HN402">
        <v>0</v>
      </c>
      <c r="HO402">
        <v>0</v>
      </c>
      <c r="HP402">
        <v>0</v>
      </c>
      <c r="HQ402">
        <v>0</v>
      </c>
      <c r="HR402">
        <v>0</v>
      </c>
      <c r="HS402">
        <v>0</v>
      </c>
      <c r="HT402">
        <v>0</v>
      </c>
      <c r="HU402">
        <v>71786</v>
      </c>
      <c r="HV402">
        <v>77159</v>
      </c>
      <c r="HW402">
        <v>0</v>
      </c>
      <c r="HX402">
        <v>0</v>
      </c>
      <c r="HY402">
        <v>1952</v>
      </c>
      <c r="HZ402">
        <v>6470</v>
      </c>
      <c r="IA402">
        <v>0</v>
      </c>
      <c r="IB402">
        <v>0</v>
      </c>
      <c r="IC402">
        <v>0</v>
      </c>
      <c r="ID402">
        <v>0</v>
      </c>
      <c r="IE402">
        <v>0</v>
      </c>
      <c r="IF402">
        <v>0</v>
      </c>
      <c r="IG402">
        <v>0</v>
      </c>
      <c r="IH402">
        <v>0</v>
      </c>
      <c r="II402">
        <v>0</v>
      </c>
      <c r="IJ402">
        <v>0</v>
      </c>
      <c r="IK402">
        <v>0</v>
      </c>
      <c r="IL402">
        <v>172141</v>
      </c>
      <c r="IM402">
        <v>0</v>
      </c>
      <c r="IN402">
        <v>77159</v>
      </c>
      <c r="IO402">
        <v>0</v>
      </c>
      <c r="IP402">
        <v>249300</v>
      </c>
      <c r="IQ402">
        <v>0</v>
      </c>
      <c r="IR402">
        <v>0</v>
      </c>
      <c r="IS402">
        <v>0</v>
      </c>
      <c r="IT402">
        <v>0</v>
      </c>
      <c r="IU402">
        <v>0</v>
      </c>
      <c r="IV402">
        <v>0</v>
      </c>
      <c r="IW402">
        <v>0</v>
      </c>
      <c r="IX402">
        <v>0</v>
      </c>
      <c r="IY402">
        <v>0</v>
      </c>
      <c r="IZ402">
        <v>0</v>
      </c>
      <c r="JA402">
        <v>0</v>
      </c>
      <c r="JB402">
        <v>0</v>
      </c>
      <c r="JC402">
        <v>0</v>
      </c>
      <c r="JD402">
        <v>0</v>
      </c>
      <c r="JE402">
        <v>0</v>
      </c>
      <c r="JF402">
        <v>0</v>
      </c>
      <c r="JG402">
        <v>249300</v>
      </c>
      <c r="JH402">
        <v>0</v>
      </c>
      <c r="JI402">
        <v>3653</v>
      </c>
      <c r="JJ402">
        <v>0</v>
      </c>
      <c r="JK402">
        <v>0</v>
      </c>
      <c r="JL402">
        <v>0</v>
      </c>
      <c r="JM402">
        <v>0</v>
      </c>
      <c r="JN402">
        <v>3578</v>
      </c>
      <c r="JO402">
        <v>0</v>
      </c>
      <c r="JP402">
        <v>792</v>
      </c>
      <c r="JQ402">
        <v>0</v>
      </c>
      <c r="JR402">
        <v>257323</v>
      </c>
      <c r="JS402">
        <v>-34</v>
      </c>
      <c r="JT402">
        <v>0</v>
      </c>
      <c r="JU402">
        <v>0</v>
      </c>
      <c r="JV402">
        <v>0</v>
      </c>
      <c r="JW402">
        <v>0</v>
      </c>
      <c r="JX402">
        <v>0</v>
      </c>
      <c r="JY402">
        <v>0</v>
      </c>
      <c r="JZ402">
        <v>0</v>
      </c>
      <c r="KA402">
        <v>0</v>
      </c>
      <c r="KB402">
        <v>0</v>
      </c>
      <c r="KC402">
        <v>257289</v>
      </c>
      <c r="KD402">
        <v>0</v>
      </c>
      <c r="KE402">
        <v>-15654</v>
      </c>
      <c r="KF402">
        <v>241635</v>
      </c>
      <c r="KG402">
        <v>0</v>
      </c>
      <c r="KH402">
        <v>0</v>
      </c>
      <c r="KI402">
        <v>0</v>
      </c>
      <c r="KJ402">
        <v>0</v>
      </c>
      <c r="KK402">
        <v>4830</v>
      </c>
      <c r="KL402">
        <v>0</v>
      </c>
      <c r="KM402">
        <v>0</v>
      </c>
      <c r="KN402">
        <v>-138202</v>
      </c>
      <c r="KO402">
        <v>0</v>
      </c>
      <c r="KP402">
        <v>95</v>
      </c>
      <c r="KQ402">
        <v>0</v>
      </c>
      <c r="KR402">
        <v>106837</v>
      </c>
      <c r="KS402">
        <v>0</v>
      </c>
      <c r="KT402">
        <v>0</v>
      </c>
      <c r="KU402">
        <v>0</v>
      </c>
      <c r="KV402">
        <v>6901</v>
      </c>
      <c r="KW402">
        <v>7351</v>
      </c>
      <c r="KX402">
        <v>0</v>
      </c>
      <c r="KY402">
        <v>0</v>
      </c>
      <c r="KZ402">
        <v>0</v>
      </c>
      <c r="LA402">
        <v>11731</v>
      </c>
      <c r="LB402">
        <v>7351</v>
      </c>
      <c r="LC402">
        <v>0</v>
      </c>
      <c r="LD402">
        <v>0</v>
      </c>
      <c r="LE402">
        <v>0</v>
      </c>
      <c r="LF402">
        <v>0</v>
      </c>
      <c r="LG402">
        <v>0</v>
      </c>
      <c r="LH402">
        <v>0</v>
      </c>
      <c r="LI402">
        <v>0</v>
      </c>
      <c r="LJ402">
        <v>0</v>
      </c>
      <c r="LK402">
        <v>0</v>
      </c>
      <c r="LL402">
        <v>0</v>
      </c>
      <c r="LM402">
        <v>0</v>
      </c>
      <c r="LN402">
        <v>0</v>
      </c>
      <c r="LO402">
        <v>0</v>
      </c>
      <c r="LP402">
        <v>0</v>
      </c>
      <c r="LQ402">
        <v>0</v>
      </c>
      <c r="LR402">
        <v>0</v>
      </c>
      <c r="LS402">
        <v>0</v>
      </c>
      <c r="LT402">
        <v>0</v>
      </c>
      <c r="LU402">
        <v>0</v>
      </c>
      <c r="LV402">
        <v>0</v>
      </c>
      <c r="LW402">
        <v>0</v>
      </c>
      <c r="LX402">
        <v>0</v>
      </c>
      <c r="LY402">
        <v>0</v>
      </c>
      <c r="LZ402">
        <v>0</v>
      </c>
      <c r="MA402">
        <v>0</v>
      </c>
      <c r="MB402">
        <v>0</v>
      </c>
      <c r="MC402">
        <v>0</v>
      </c>
      <c r="MD402">
        <v>172141</v>
      </c>
      <c r="ME402">
        <v>0</v>
      </c>
      <c r="MF402">
        <v>77159</v>
      </c>
      <c r="MG402">
        <v>0</v>
      </c>
      <c r="MH402">
        <v>249300</v>
      </c>
      <c r="MI402">
        <v>0</v>
      </c>
      <c r="MJ402">
        <v>0</v>
      </c>
      <c r="MK402">
        <v>0</v>
      </c>
      <c r="ML402">
        <v>0</v>
      </c>
      <c r="MM402">
        <v>0</v>
      </c>
      <c r="MN402">
        <v>0</v>
      </c>
      <c r="MO402">
        <v>0</v>
      </c>
      <c r="MP402">
        <v>0</v>
      </c>
      <c r="MQ402">
        <v>0</v>
      </c>
      <c r="MR402">
        <v>0</v>
      </c>
      <c r="MS402">
        <v>0</v>
      </c>
      <c r="MT402">
        <v>0</v>
      </c>
      <c r="MU402">
        <v>0</v>
      </c>
      <c r="MV402">
        <v>0</v>
      </c>
      <c r="MW402">
        <v>0</v>
      </c>
      <c r="MX402">
        <v>0</v>
      </c>
      <c r="MY402">
        <v>0</v>
      </c>
      <c r="MZ402">
        <v>0</v>
      </c>
      <c r="NA402">
        <v>0</v>
      </c>
      <c r="NB402">
        <v>0</v>
      </c>
      <c r="NC402">
        <v>0</v>
      </c>
      <c r="ND402">
        <v>0</v>
      </c>
      <c r="NE402">
        <v>0</v>
      </c>
      <c r="NF402">
        <v>0</v>
      </c>
      <c r="NG402">
        <v>0</v>
      </c>
      <c r="NH402">
        <v>0</v>
      </c>
      <c r="NI402">
        <v>0</v>
      </c>
      <c r="NJ402">
        <v>0</v>
      </c>
      <c r="NK402">
        <v>0</v>
      </c>
      <c r="NL402">
        <v>0</v>
      </c>
      <c r="NM402">
        <v>0</v>
      </c>
      <c r="NN402">
        <v>0</v>
      </c>
      <c r="NO402">
        <v>0</v>
      </c>
      <c r="NP402">
        <v>0</v>
      </c>
      <c r="NQ402">
        <v>0</v>
      </c>
      <c r="NR402">
        <v>0</v>
      </c>
      <c r="NS402">
        <v>0</v>
      </c>
      <c r="NT402">
        <v>0</v>
      </c>
      <c r="NU402">
        <v>0</v>
      </c>
      <c r="NV402">
        <v>0</v>
      </c>
      <c r="NW402">
        <v>0</v>
      </c>
      <c r="NX402">
        <v>0</v>
      </c>
      <c r="NY402">
        <v>0</v>
      </c>
      <c r="NZ402">
        <v>0</v>
      </c>
      <c r="OA402">
        <v>0</v>
      </c>
      <c r="OB402">
        <v>0</v>
      </c>
      <c r="OC402">
        <v>0</v>
      </c>
      <c r="OD402">
        <v>0</v>
      </c>
      <c r="OE402">
        <v>0</v>
      </c>
      <c r="OF402">
        <v>0</v>
      </c>
      <c r="OG402">
        <v>0</v>
      </c>
      <c r="OH402">
        <v>0</v>
      </c>
      <c r="OI402">
        <v>0</v>
      </c>
      <c r="OJ402">
        <v>0</v>
      </c>
      <c r="OK402">
        <v>0</v>
      </c>
      <c r="OL402">
        <v>0</v>
      </c>
      <c r="OM402">
        <v>0</v>
      </c>
      <c r="ON402">
        <v>0</v>
      </c>
    </row>
    <row r="403" spans="1:404" x14ac:dyDescent="0.25">
      <c r="A403" t="s">
        <v>1275</v>
      </c>
      <c r="B403" t="s">
        <v>1276</v>
      </c>
      <c r="C403" t="s">
        <v>1274</v>
      </c>
      <c r="E403" t="s">
        <v>1390</v>
      </c>
      <c r="F403">
        <v>0</v>
      </c>
      <c r="G403">
        <v>0</v>
      </c>
      <c r="H403">
        <v>0</v>
      </c>
      <c r="I403">
        <v>0</v>
      </c>
      <c r="J403">
        <v>0</v>
      </c>
      <c r="K403">
        <v>128628</v>
      </c>
      <c r="L403">
        <v>128628</v>
      </c>
      <c r="M403">
        <v>0</v>
      </c>
      <c r="N403">
        <v>3941</v>
      </c>
      <c r="O403">
        <v>0</v>
      </c>
      <c r="P403">
        <v>0</v>
      </c>
      <c r="Q403">
        <v>0</v>
      </c>
      <c r="R403">
        <v>0</v>
      </c>
      <c r="S403">
        <v>0</v>
      </c>
      <c r="T403">
        <v>0</v>
      </c>
      <c r="U403">
        <v>0</v>
      </c>
      <c r="V403">
        <v>0</v>
      </c>
      <c r="W403">
        <v>0</v>
      </c>
      <c r="X403">
        <v>0</v>
      </c>
      <c r="Y403">
        <v>2417</v>
      </c>
      <c r="Z403">
        <v>0</v>
      </c>
      <c r="AA403">
        <v>2714</v>
      </c>
      <c r="AB403">
        <v>45973</v>
      </c>
      <c r="AC403">
        <v>10080</v>
      </c>
      <c r="AD403">
        <v>17649</v>
      </c>
      <c r="AE403">
        <v>0</v>
      </c>
      <c r="AF403">
        <v>0</v>
      </c>
      <c r="AG403">
        <v>33207</v>
      </c>
      <c r="AH403">
        <v>0</v>
      </c>
      <c r="AI403">
        <v>115980</v>
      </c>
      <c r="AJ403">
        <v>0</v>
      </c>
      <c r="AK403">
        <v>0</v>
      </c>
      <c r="AL403">
        <v>0</v>
      </c>
      <c r="AM403">
        <v>0</v>
      </c>
      <c r="AN403">
        <v>0</v>
      </c>
      <c r="AO403">
        <v>0</v>
      </c>
      <c r="AP403">
        <v>0</v>
      </c>
      <c r="AQ403">
        <v>0</v>
      </c>
      <c r="AR403">
        <v>0</v>
      </c>
      <c r="AS403">
        <v>0</v>
      </c>
      <c r="AT403">
        <v>0</v>
      </c>
      <c r="AU403">
        <v>0</v>
      </c>
      <c r="AV403">
        <v>0</v>
      </c>
      <c r="AW403">
        <v>0</v>
      </c>
      <c r="AX403">
        <v>0</v>
      </c>
      <c r="AY403">
        <v>0</v>
      </c>
      <c r="AZ403">
        <v>0</v>
      </c>
      <c r="BA403">
        <v>0</v>
      </c>
      <c r="BB403">
        <v>0</v>
      </c>
      <c r="BC403">
        <v>0</v>
      </c>
      <c r="BD403">
        <v>0</v>
      </c>
      <c r="BE403">
        <v>0</v>
      </c>
      <c r="BF403">
        <v>0</v>
      </c>
      <c r="BG403">
        <v>0</v>
      </c>
      <c r="BH403">
        <v>0</v>
      </c>
      <c r="BI403">
        <v>0</v>
      </c>
      <c r="BJ403">
        <v>0</v>
      </c>
      <c r="BK403">
        <v>0</v>
      </c>
      <c r="BL403">
        <v>0</v>
      </c>
      <c r="BM403">
        <v>0</v>
      </c>
      <c r="BN403">
        <v>0</v>
      </c>
      <c r="BO403">
        <v>0</v>
      </c>
      <c r="BP403">
        <v>0</v>
      </c>
      <c r="BQ403">
        <v>0</v>
      </c>
      <c r="BR403">
        <v>0</v>
      </c>
      <c r="BS403">
        <v>0</v>
      </c>
      <c r="BT403">
        <v>0</v>
      </c>
      <c r="BU403">
        <v>0</v>
      </c>
      <c r="BV403">
        <v>0</v>
      </c>
      <c r="BW403">
        <v>0</v>
      </c>
      <c r="BX403">
        <v>0</v>
      </c>
      <c r="BY403">
        <v>0</v>
      </c>
      <c r="BZ403">
        <v>0</v>
      </c>
      <c r="CA403">
        <v>0</v>
      </c>
      <c r="CB403">
        <v>0</v>
      </c>
      <c r="CC403">
        <v>0</v>
      </c>
      <c r="CD403">
        <v>0</v>
      </c>
      <c r="CE403">
        <v>0</v>
      </c>
      <c r="CF403">
        <v>0</v>
      </c>
      <c r="CG403">
        <v>0</v>
      </c>
      <c r="CH403">
        <v>0</v>
      </c>
      <c r="CI403">
        <v>0</v>
      </c>
      <c r="CJ403">
        <v>0</v>
      </c>
      <c r="CK403">
        <v>0</v>
      </c>
      <c r="CL403">
        <v>0</v>
      </c>
      <c r="CM403">
        <v>0</v>
      </c>
      <c r="CN403">
        <v>0</v>
      </c>
      <c r="CO403">
        <v>0</v>
      </c>
      <c r="CP403">
        <v>0</v>
      </c>
      <c r="CQ403">
        <v>0</v>
      </c>
      <c r="CR403">
        <v>0</v>
      </c>
      <c r="CS403">
        <v>0</v>
      </c>
      <c r="CT403">
        <v>0</v>
      </c>
      <c r="CU403">
        <v>0</v>
      </c>
      <c r="CV403">
        <v>0</v>
      </c>
      <c r="CW403">
        <v>0</v>
      </c>
      <c r="CX403">
        <v>0</v>
      </c>
      <c r="CY403">
        <v>0</v>
      </c>
      <c r="CZ403">
        <v>0</v>
      </c>
      <c r="DA403">
        <v>0</v>
      </c>
      <c r="DB403">
        <v>0</v>
      </c>
      <c r="DC403">
        <v>1242</v>
      </c>
      <c r="DD403">
        <v>0</v>
      </c>
      <c r="DE403">
        <v>0</v>
      </c>
      <c r="DF403">
        <v>0</v>
      </c>
      <c r="DG403">
        <v>0</v>
      </c>
      <c r="DH403">
        <v>0</v>
      </c>
      <c r="DI403">
        <v>0</v>
      </c>
      <c r="DJ403">
        <v>0</v>
      </c>
      <c r="DK403">
        <v>0</v>
      </c>
      <c r="DL403">
        <v>0</v>
      </c>
      <c r="DM403">
        <v>0</v>
      </c>
      <c r="DN403">
        <v>0</v>
      </c>
      <c r="DO403">
        <v>0</v>
      </c>
      <c r="DP403">
        <v>0</v>
      </c>
      <c r="DQ403">
        <v>0</v>
      </c>
      <c r="DR403">
        <v>0</v>
      </c>
      <c r="DS403">
        <v>0</v>
      </c>
      <c r="DT403">
        <v>0</v>
      </c>
      <c r="DU403">
        <v>0</v>
      </c>
      <c r="DV403">
        <v>0</v>
      </c>
      <c r="DW403">
        <v>0</v>
      </c>
      <c r="DX403">
        <v>1242</v>
      </c>
      <c r="DY403">
        <v>0</v>
      </c>
      <c r="DZ403">
        <v>0</v>
      </c>
      <c r="EA403">
        <v>0</v>
      </c>
      <c r="EB403">
        <v>0</v>
      </c>
      <c r="EC403">
        <v>0</v>
      </c>
      <c r="ED403">
        <v>0</v>
      </c>
      <c r="EE403">
        <v>0</v>
      </c>
      <c r="EF403">
        <v>0</v>
      </c>
      <c r="EG403">
        <v>0</v>
      </c>
      <c r="EH403">
        <v>0</v>
      </c>
      <c r="EI403">
        <v>0</v>
      </c>
      <c r="EJ403">
        <v>0</v>
      </c>
      <c r="EK403">
        <v>0</v>
      </c>
      <c r="EL403">
        <v>0</v>
      </c>
      <c r="EM403">
        <v>0</v>
      </c>
      <c r="EN403">
        <v>0</v>
      </c>
      <c r="EO403">
        <v>0</v>
      </c>
      <c r="EP403">
        <v>0</v>
      </c>
      <c r="EQ403">
        <v>0</v>
      </c>
      <c r="ER403">
        <v>0</v>
      </c>
      <c r="ES403">
        <v>0</v>
      </c>
      <c r="ET403">
        <v>0</v>
      </c>
      <c r="EU403">
        <v>0</v>
      </c>
      <c r="EV403">
        <v>255</v>
      </c>
      <c r="EW403">
        <v>0</v>
      </c>
      <c r="EX403">
        <v>0</v>
      </c>
      <c r="EY403">
        <v>0</v>
      </c>
      <c r="EZ403">
        <v>0</v>
      </c>
      <c r="FA403">
        <v>0</v>
      </c>
      <c r="FB403">
        <v>5279</v>
      </c>
      <c r="FC403">
        <v>0</v>
      </c>
      <c r="FD403">
        <v>0</v>
      </c>
      <c r="FE403">
        <v>0</v>
      </c>
      <c r="FF403">
        <v>0</v>
      </c>
      <c r="FG403">
        <v>0</v>
      </c>
      <c r="FH403">
        <v>5534</v>
      </c>
      <c r="FI403">
        <v>0</v>
      </c>
      <c r="FJ403">
        <v>0</v>
      </c>
      <c r="FK403">
        <v>0</v>
      </c>
      <c r="FL403">
        <v>0</v>
      </c>
      <c r="FM403">
        <v>0</v>
      </c>
      <c r="FN403">
        <v>0</v>
      </c>
      <c r="FO403">
        <v>0</v>
      </c>
      <c r="FP403">
        <v>0</v>
      </c>
      <c r="FQ403">
        <v>0</v>
      </c>
      <c r="FR403">
        <v>0</v>
      </c>
      <c r="FS403">
        <v>0</v>
      </c>
      <c r="FT403">
        <v>0</v>
      </c>
      <c r="FU403">
        <v>0</v>
      </c>
      <c r="FV403">
        <v>0</v>
      </c>
      <c r="FW403">
        <v>0</v>
      </c>
      <c r="FX403">
        <v>0</v>
      </c>
      <c r="FY403">
        <v>0</v>
      </c>
      <c r="FZ403">
        <v>0</v>
      </c>
      <c r="GA403">
        <v>0</v>
      </c>
      <c r="GB403">
        <v>0</v>
      </c>
      <c r="GC403">
        <v>0</v>
      </c>
      <c r="GD403">
        <v>0</v>
      </c>
      <c r="GE403">
        <v>0</v>
      </c>
      <c r="GF403">
        <v>0</v>
      </c>
      <c r="GG403">
        <v>0</v>
      </c>
      <c r="GH403">
        <v>0</v>
      </c>
      <c r="GI403">
        <v>0</v>
      </c>
      <c r="GJ403">
        <v>0</v>
      </c>
      <c r="GK403">
        <v>0</v>
      </c>
      <c r="GL403">
        <v>0</v>
      </c>
      <c r="GM403">
        <v>0</v>
      </c>
      <c r="GN403">
        <v>0</v>
      </c>
      <c r="GO403">
        <v>0</v>
      </c>
      <c r="GP403">
        <v>587</v>
      </c>
      <c r="GQ403">
        <v>9848</v>
      </c>
      <c r="GR403">
        <v>0</v>
      </c>
      <c r="GS403">
        <v>0</v>
      </c>
      <c r="GT403">
        <v>335</v>
      </c>
      <c r="GU403">
        <v>10770</v>
      </c>
      <c r="GV403">
        <v>16304</v>
      </c>
      <c r="GW403">
        <v>0</v>
      </c>
      <c r="GX403">
        <v>0</v>
      </c>
      <c r="GY403">
        <v>0</v>
      </c>
      <c r="GZ403">
        <v>0</v>
      </c>
      <c r="HA403">
        <v>0</v>
      </c>
      <c r="HB403">
        <v>1439</v>
      </c>
      <c r="HC403">
        <v>0</v>
      </c>
      <c r="HD403">
        <v>0</v>
      </c>
      <c r="HE403">
        <v>0</v>
      </c>
      <c r="HF403">
        <v>0</v>
      </c>
      <c r="HG403">
        <v>0</v>
      </c>
      <c r="HH403">
        <v>0</v>
      </c>
      <c r="HI403">
        <v>0</v>
      </c>
      <c r="HJ403">
        <v>0</v>
      </c>
      <c r="HK403">
        <v>0</v>
      </c>
      <c r="HL403">
        <v>0</v>
      </c>
      <c r="HM403">
        <v>0</v>
      </c>
      <c r="HN403">
        <v>0</v>
      </c>
      <c r="HO403">
        <v>0</v>
      </c>
      <c r="HP403">
        <v>0</v>
      </c>
      <c r="HQ403">
        <v>0</v>
      </c>
      <c r="HR403">
        <v>427</v>
      </c>
      <c r="HS403">
        <v>0</v>
      </c>
      <c r="HT403">
        <v>0</v>
      </c>
      <c r="HU403">
        <v>763</v>
      </c>
      <c r="HV403">
        <v>2628</v>
      </c>
      <c r="HW403">
        <v>0</v>
      </c>
      <c r="HX403">
        <v>0</v>
      </c>
      <c r="HY403">
        <v>0</v>
      </c>
      <c r="HZ403">
        <v>0</v>
      </c>
      <c r="IA403">
        <v>0</v>
      </c>
      <c r="IB403">
        <v>0</v>
      </c>
      <c r="IC403">
        <v>128628</v>
      </c>
      <c r="ID403">
        <v>115980</v>
      </c>
      <c r="IE403">
        <v>0</v>
      </c>
      <c r="IF403">
        <v>0</v>
      </c>
      <c r="IG403">
        <v>0</v>
      </c>
      <c r="IH403">
        <v>1242</v>
      </c>
      <c r="II403">
        <v>5534</v>
      </c>
      <c r="IJ403">
        <v>0</v>
      </c>
      <c r="IK403">
        <v>10770</v>
      </c>
      <c r="IL403">
        <v>0</v>
      </c>
      <c r="IM403">
        <v>0</v>
      </c>
      <c r="IN403">
        <v>2628</v>
      </c>
      <c r="IO403">
        <v>0</v>
      </c>
      <c r="IP403">
        <v>264782</v>
      </c>
      <c r="IQ403">
        <v>0</v>
      </c>
      <c r="IR403">
        <v>0</v>
      </c>
      <c r="IS403">
        <v>0</v>
      </c>
      <c r="IT403">
        <v>0</v>
      </c>
      <c r="IU403">
        <v>0</v>
      </c>
      <c r="IV403">
        <v>0</v>
      </c>
      <c r="IW403">
        <v>-114720</v>
      </c>
      <c r="IX403">
        <v>0</v>
      </c>
      <c r="IY403">
        <v>0</v>
      </c>
      <c r="IZ403">
        <v>-14069</v>
      </c>
      <c r="JA403">
        <v>0</v>
      </c>
      <c r="JB403">
        <v>0</v>
      </c>
      <c r="JC403">
        <v>0</v>
      </c>
      <c r="JD403">
        <v>0</v>
      </c>
      <c r="JE403">
        <v>0</v>
      </c>
      <c r="JF403">
        <v>0</v>
      </c>
      <c r="JG403">
        <v>135993</v>
      </c>
      <c r="JH403">
        <v>0</v>
      </c>
      <c r="JI403">
        <v>7185</v>
      </c>
      <c r="JJ403">
        <v>0</v>
      </c>
      <c r="JK403">
        <v>0</v>
      </c>
      <c r="JL403">
        <v>0</v>
      </c>
      <c r="JM403">
        <v>0</v>
      </c>
      <c r="JN403">
        <v>2332</v>
      </c>
      <c r="JO403">
        <v>0</v>
      </c>
      <c r="JP403">
        <v>9114</v>
      </c>
      <c r="JQ403">
        <v>0</v>
      </c>
      <c r="JR403">
        <v>154623</v>
      </c>
      <c r="JS403">
        <v>-3490</v>
      </c>
      <c r="JT403">
        <v>0</v>
      </c>
      <c r="JU403">
        <v>0</v>
      </c>
      <c r="JV403">
        <v>0</v>
      </c>
      <c r="JW403">
        <v>0</v>
      </c>
      <c r="JX403">
        <v>0</v>
      </c>
      <c r="JY403">
        <v>0</v>
      </c>
      <c r="JZ403">
        <v>0</v>
      </c>
      <c r="KA403">
        <v>0</v>
      </c>
      <c r="KB403">
        <v>0</v>
      </c>
      <c r="KC403">
        <v>151133</v>
      </c>
      <c r="KD403">
        <v>0</v>
      </c>
      <c r="KE403">
        <v>-182138</v>
      </c>
      <c r="KF403">
        <v>-31005</v>
      </c>
      <c r="KG403">
        <v>0</v>
      </c>
      <c r="KH403">
        <v>0</v>
      </c>
      <c r="KI403">
        <v>0</v>
      </c>
      <c r="KJ403">
        <v>0</v>
      </c>
      <c r="KK403">
        <v>31771</v>
      </c>
      <c r="KL403">
        <v>-741</v>
      </c>
      <c r="KM403">
        <v>0</v>
      </c>
      <c r="KN403">
        <v>0</v>
      </c>
      <c r="KO403">
        <v>0</v>
      </c>
      <c r="KP403">
        <v>0</v>
      </c>
      <c r="KQ403">
        <v>0</v>
      </c>
      <c r="KR403">
        <v>0</v>
      </c>
      <c r="KS403">
        <v>0</v>
      </c>
      <c r="KT403">
        <v>0</v>
      </c>
      <c r="KU403">
        <v>0</v>
      </c>
      <c r="KV403">
        <v>164409</v>
      </c>
      <c r="KW403">
        <v>2348</v>
      </c>
      <c r="KX403">
        <v>0</v>
      </c>
      <c r="KY403">
        <v>0</v>
      </c>
      <c r="KZ403">
        <v>0</v>
      </c>
      <c r="LA403">
        <v>196180</v>
      </c>
      <c r="LB403">
        <v>1607</v>
      </c>
      <c r="LC403">
        <v>0</v>
      </c>
      <c r="LD403">
        <v>21801</v>
      </c>
      <c r="LE403">
        <v>6226</v>
      </c>
      <c r="LF403">
        <v>0</v>
      </c>
      <c r="LG403">
        <v>-141246</v>
      </c>
      <c r="LH403">
        <v>237301</v>
      </c>
      <c r="LI403">
        <v>124410</v>
      </c>
      <c r="LJ403">
        <v>0</v>
      </c>
      <c r="LK403">
        <v>0</v>
      </c>
      <c r="LL403">
        <v>0</v>
      </c>
      <c r="LM403">
        <v>0</v>
      </c>
      <c r="LN403">
        <v>0</v>
      </c>
      <c r="LO403">
        <v>0</v>
      </c>
      <c r="LP403">
        <v>0</v>
      </c>
      <c r="LQ403">
        <v>0</v>
      </c>
      <c r="LR403">
        <v>0</v>
      </c>
      <c r="LS403">
        <v>0</v>
      </c>
      <c r="LT403">
        <v>0</v>
      </c>
      <c r="LU403">
        <v>128628</v>
      </c>
      <c r="LV403">
        <v>115980</v>
      </c>
      <c r="LW403">
        <v>0</v>
      </c>
      <c r="LX403">
        <v>0</v>
      </c>
      <c r="LY403">
        <v>0</v>
      </c>
      <c r="LZ403">
        <v>1242</v>
      </c>
      <c r="MA403">
        <v>5534</v>
      </c>
      <c r="MB403">
        <v>0</v>
      </c>
      <c r="MC403">
        <v>10770</v>
      </c>
      <c r="MD403">
        <v>0</v>
      </c>
      <c r="ME403">
        <v>0</v>
      </c>
      <c r="MF403">
        <v>2628</v>
      </c>
      <c r="MG403">
        <v>0</v>
      </c>
      <c r="MH403">
        <v>264782</v>
      </c>
      <c r="MI403">
        <v>0</v>
      </c>
      <c r="MJ403">
        <v>0</v>
      </c>
      <c r="MK403">
        <v>0</v>
      </c>
      <c r="ML403">
        <v>0</v>
      </c>
      <c r="MM403">
        <v>0</v>
      </c>
      <c r="MN403">
        <v>0</v>
      </c>
      <c r="MO403">
        <v>0</v>
      </c>
      <c r="MP403">
        <v>0</v>
      </c>
      <c r="MQ403">
        <v>0</v>
      </c>
      <c r="MR403">
        <v>0</v>
      </c>
      <c r="MS403">
        <v>0</v>
      </c>
      <c r="MT403">
        <v>0</v>
      </c>
      <c r="MU403">
        <v>0</v>
      </c>
      <c r="MV403">
        <v>0</v>
      </c>
      <c r="MW403">
        <v>0</v>
      </c>
      <c r="MX403">
        <v>0</v>
      </c>
      <c r="MY403">
        <v>0</v>
      </c>
      <c r="MZ403">
        <v>0</v>
      </c>
      <c r="NA403">
        <v>0</v>
      </c>
      <c r="NB403">
        <v>0</v>
      </c>
      <c r="NC403">
        <v>0</v>
      </c>
      <c r="ND403">
        <v>0</v>
      </c>
      <c r="NE403">
        <v>0</v>
      </c>
      <c r="NF403">
        <v>0</v>
      </c>
      <c r="NG403">
        <v>0</v>
      </c>
      <c r="NH403">
        <v>0</v>
      </c>
      <c r="NI403">
        <v>0</v>
      </c>
      <c r="NJ403">
        <v>0</v>
      </c>
      <c r="NK403">
        <v>0</v>
      </c>
      <c r="NL403">
        <v>0</v>
      </c>
      <c r="NM403">
        <v>0</v>
      </c>
      <c r="NN403">
        <v>0</v>
      </c>
      <c r="NO403">
        <v>0</v>
      </c>
      <c r="NP403">
        <v>0</v>
      </c>
      <c r="NQ403">
        <v>0</v>
      </c>
      <c r="NR403">
        <v>0</v>
      </c>
      <c r="NS403">
        <v>0</v>
      </c>
      <c r="NT403">
        <v>0</v>
      </c>
      <c r="NU403">
        <v>0</v>
      </c>
      <c r="NV403">
        <v>0</v>
      </c>
      <c r="NW403">
        <v>0</v>
      </c>
      <c r="NX403">
        <v>0</v>
      </c>
      <c r="NY403">
        <v>0</v>
      </c>
      <c r="NZ403">
        <v>0</v>
      </c>
      <c r="OA403">
        <v>0</v>
      </c>
      <c r="OB403">
        <v>0</v>
      </c>
      <c r="OC403">
        <v>0</v>
      </c>
      <c r="OD403">
        <v>0</v>
      </c>
      <c r="OE403">
        <v>0</v>
      </c>
      <c r="OF403">
        <v>0</v>
      </c>
      <c r="OG403">
        <v>0</v>
      </c>
      <c r="OH403">
        <v>0</v>
      </c>
      <c r="OI403">
        <v>0</v>
      </c>
      <c r="OJ403">
        <v>0</v>
      </c>
      <c r="OK403">
        <v>0</v>
      </c>
      <c r="OL403">
        <v>0</v>
      </c>
      <c r="OM403">
        <v>0</v>
      </c>
      <c r="ON403">
        <v>0</v>
      </c>
    </row>
    <row r="404" spans="1:404" x14ac:dyDescent="0.25">
      <c r="A404" t="s">
        <v>1278</v>
      </c>
      <c r="B404" t="s">
        <v>1279</v>
      </c>
      <c r="C404" t="s">
        <v>1277</v>
      </c>
      <c r="E404" t="s">
        <v>5408</v>
      </c>
      <c r="F404">
        <v>0</v>
      </c>
      <c r="G404">
        <v>0</v>
      </c>
      <c r="H404">
        <v>0</v>
      </c>
      <c r="I404">
        <v>0</v>
      </c>
      <c r="J404">
        <v>0</v>
      </c>
      <c r="K404">
        <v>0</v>
      </c>
      <c r="L404">
        <v>0</v>
      </c>
      <c r="M404">
        <v>0</v>
      </c>
      <c r="N404">
        <v>0</v>
      </c>
      <c r="O404">
        <v>0</v>
      </c>
      <c r="P404">
        <v>0</v>
      </c>
      <c r="Q404">
        <v>0</v>
      </c>
      <c r="R404">
        <v>0</v>
      </c>
      <c r="S404">
        <v>0</v>
      </c>
      <c r="T404">
        <v>0</v>
      </c>
      <c r="U404">
        <v>0</v>
      </c>
      <c r="V404">
        <v>0</v>
      </c>
      <c r="W404">
        <v>0</v>
      </c>
      <c r="X404">
        <v>0</v>
      </c>
      <c r="Y404">
        <v>0</v>
      </c>
      <c r="Z404">
        <v>0</v>
      </c>
      <c r="AA404">
        <v>0</v>
      </c>
      <c r="AB404">
        <v>0</v>
      </c>
      <c r="AC404">
        <v>0</v>
      </c>
      <c r="AD404">
        <v>0</v>
      </c>
      <c r="AE404">
        <v>0</v>
      </c>
      <c r="AF404">
        <v>0</v>
      </c>
      <c r="AG404">
        <v>0</v>
      </c>
      <c r="AH404">
        <v>0</v>
      </c>
      <c r="AI404">
        <v>0</v>
      </c>
      <c r="AJ404">
        <v>0</v>
      </c>
      <c r="AK404">
        <v>0</v>
      </c>
      <c r="AL404">
        <v>0</v>
      </c>
      <c r="AM404">
        <v>0</v>
      </c>
      <c r="AN404">
        <v>0</v>
      </c>
      <c r="AO404">
        <v>0</v>
      </c>
      <c r="AP404">
        <v>0</v>
      </c>
      <c r="AQ404">
        <v>0</v>
      </c>
      <c r="AR404">
        <v>0</v>
      </c>
      <c r="AS404">
        <v>0</v>
      </c>
      <c r="AT404">
        <v>0</v>
      </c>
      <c r="AU404">
        <v>0</v>
      </c>
      <c r="AV404">
        <v>0</v>
      </c>
      <c r="AW404">
        <v>0</v>
      </c>
      <c r="AX404">
        <v>0</v>
      </c>
      <c r="AY404">
        <v>0</v>
      </c>
      <c r="AZ404">
        <v>0</v>
      </c>
      <c r="BA404">
        <v>0</v>
      </c>
      <c r="BB404">
        <v>0</v>
      </c>
      <c r="BC404">
        <v>0</v>
      </c>
      <c r="BD404">
        <v>0</v>
      </c>
      <c r="BE404">
        <v>0</v>
      </c>
      <c r="BF404">
        <v>0</v>
      </c>
      <c r="BG404">
        <v>0</v>
      </c>
      <c r="BH404">
        <v>0</v>
      </c>
      <c r="BI404">
        <v>0</v>
      </c>
      <c r="BJ404">
        <v>0</v>
      </c>
      <c r="BK404">
        <v>0</v>
      </c>
      <c r="BL404">
        <v>0</v>
      </c>
      <c r="BM404">
        <v>0</v>
      </c>
      <c r="BN404">
        <v>0</v>
      </c>
      <c r="BO404">
        <v>0</v>
      </c>
      <c r="BP404">
        <v>0</v>
      </c>
      <c r="BQ404">
        <v>0</v>
      </c>
      <c r="BR404">
        <v>0</v>
      </c>
      <c r="BS404">
        <v>0</v>
      </c>
      <c r="BT404">
        <v>0</v>
      </c>
      <c r="BU404">
        <v>0</v>
      </c>
      <c r="BV404">
        <v>0</v>
      </c>
      <c r="BW404">
        <v>0</v>
      </c>
      <c r="BX404">
        <v>0</v>
      </c>
      <c r="BY404">
        <v>0</v>
      </c>
      <c r="BZ404">
        <v>0</v>
      </c>
      <c r="CA404">
        <v>0</v>
      </c>
      <c r="CB404">
        <v>0</v>
      </c>
      <c r="CC404">
        <v>0</v>
      </c>
      <c r="CD404">
        <v>0</v>
      </c>
      <c r="CE404">
        <v>0</v>
      </c>
      <c r="CF404">
        <v>0</v>
      </c>
      <c r="CG404">
        <v>0</v>
      </c>
      <c r="CH404">
        <v>0</v>
      </c>
      <c r="CI404">
        <v>0</v>
      </c>
      <c r="CJ404">
        <v>0</v>
      </c>
      <c r="CK404">
        <v>0</v>
      </c>
      <c r="CL404">
        <v>0</v>
      </c>
      <c r="CM404">
        <v>0</v>
      </c>
      <c r="CN404">
        <v>0</v>
      </c>
      <c r="CO404">
        <v>0</v>
      </c>
      <c r="CP404">
        <v>0</v>
      </c>
      <c r="CQ404">
        <v>0</v>
      </c>
      <c r="CR404">
        <v>0</v>
      </c>
      <c r="CS404">
        <v>0</v>
      </c>
      <c r="CT404">
        <v>0</v>
      </c>
      <c r="CU404">
        <v>0</v>
      </c>
      <c r="CV404">
        <v>0</v>
      </c>
      <c r="CW404">
        <v>0</v>
      </c>
      <c r="CX404">
        <v>0</v>
      </c>
      <c r="CY404">
        <v>0</v>
      </c>
      <c r="CZ404">
        <v>0</v>
      </c>
      <c r="DA404">
        <v>0</v>
      </c>
      <c r="DB404">
        <v>0</v>
      </c>
      <c r="DC404">
        <v>0</v>
      </c>
      <c r="DD404">
        <v>0</v>
      </c>
      <c r="DE404">
        <v>0</v>
      </c>
      <c r="DF404">
        <v>0</v>
      </c>
      <c r="DG404">
        <v>0</v>
      </c>
      <c r="DH404">
        <v>0</v>
      </c>
      <c r="DI404">
        <v>0</v>
      </c>
      <c r="DJ404">
        <v>0</v>
      </c>
      <c r="DK404">
        <v>0</v>
      </c>
      <c r="DL404">
        <v>0</v>
      </c>
      <c r="DM404">
        <v>0</v>
      </c>
      <c r="DN404">
        <v>0</v>
      </c>
      <c r="DO404">
        <v>0</v>
      </c>
      <c r="DP404">
        <v>0</v>
      </c>
      <c r="DQ404">
        <v>0</v>
      </c>
      <c r="DR404">
        <v>0</v>
      </c>
      <c r="DS404">
        <v>0</v>
      </c>
      <c r="DT404">
        <v>0</v>
      </c>
      <c r="DU404">
        <v>0</v>
      </c>
      <c r="DV404">
        <v>0</v>
      </c>
      <c r="DW404">
        <v>0</v>
      </c>
      <c r="DX404">
        <v>0</v>
      </c>
      <c r="DY404">
        <v>0</v>
      </c>
      <c r="DZ404">
        <v>0</v>
      </c>
      <c r="EA404">
        <v>0</v>
      </c>
      <c r="EB404">
        <v>0</v>
      </c>
      <c r="EC404">
        <v>0</v>
      </c>
      <c r="ED404">
        <v>0</v>
      </c>
      <c r="EE404">
        <v>0</v>
      </c>
      <c r="EF404">
        <v>0</v>
      </c>
      <c r="EG404">
        <v>0</v>
      </c>
      <c r="EH404">
        <v>0</v>
      </c>
      <c r="EI404">
        <v>0</v>
      </c>
      <c r="EJ404">
        <v>0</v>
      </c>
      <c r="EK404">
        <v>0</v>
      </c>
      <c r="EL404">
        <v>0</v>
      </c>
      <c r="EM404">
        <v>0</v>
      </c>
      <c r="EN404">
        <v>0</v>
      </c>
      <c r="EO404">
        <v>0</v>
      </c>
      <c r="EP404">
        <v>0</v>
      </c>
      <c r="EQ404">
        <v>0</v>
      </c>
      <c r="ER404">
        <v>0</v>
      </c>
      <c r="ES404">
        <v>0</v>
      </c>
      <c r="ET404">
        <v>0</v>
      </c>
      <c r="EU404">
        <v>0</v>
      </c>
      <c r="EV404">
        <v>0</v>
      </c>
      <c r="EW404">
        <v>0</v>
      </c>
      <c r="EX404">
        <v>0</v>
      </c>
      <c r="EY404">
        <v>0</v>
      </c>
      <c r="EZ404">
        <v>0</v>
      </c>
      <c r="FA404">
        <v>0</v>
      </c>
      <c r="FB404">
        <v>0</v>
      </c>
      <c r="FC404">
        <v>0</v>
      </c>
      <c r="FD404">
        <v>0</v>
      </c>
      <c r="FE404">
        <v>0</v>
      </c>
      <c r="FF404">
        <v>0</v>
      </c>
      <c r="FG404">
        <v>0</v>
      </c>
      <c r="FH404">
        <v>0</v>
      </c>
      <c r="FI404">
        <v>0</v>
      </c>
      <c r="FJ404">
        <v>0</v>
      </c>
      <c r="FK404">
        <v>0</v>
      </c>
      <c r="FL404">
        <v>0</v>
      </c>
      <c r="FM404">
        <v>0</v>
      </c>
      <c r="FN404">
        <v>0</v>
      </c>
      <c r="FO404">
        <v>0</v>
      </c>
      <c r="FP404">
        <v>0</v>
      </c>
      <c r="FQ404">
        <v>0</v>
      </c>
      <c r="FR404">
        <v>0</v>
      </c>
      <c r="FS404">
        <v>0</v>
      </c>
      <c r="FT404">
        <v>0</v>
      </c>
      <c r="FU404">
        <v>0</v>
      </c>
      <c r="FV404">
        <v>0</v>
      </c>
      <c r="FW404">
        <v>0</v>
      </c>
      <c r="FX404">
        <v>0</v>
      </c>
      <c r="FY404">
        <v>0</v>
      </c>
      <c r="FZ404">
        <v>0</v>
      </c>
      <c r="GA404">
        <v>0</v>
      </c>
      <c r="GB404">
        <v>0</v>
      </c>
      <c r="GC404">
        <v>0</v>
      </c>
      <c r="GD404">
        <v>0</v>
      </c>
      <c r="GE404">
        <v>0</v>
      </c>
      <c r="GF404">
        <v>0</v>
      </c>
      <c r="GG404">
        <v>0</v>
      </c>
      <c r="GH404">
        <v>0</v>
      </c>
      <c r="GI404">
        <v>0</v>
      </c>
      <c r="GJ404">
        <v>0</v>
      </c>
      <c r="GK404">
        <v>0</v>
      </c>
      <c r="GL404">
        <v>0</v>
      </c>
      <c r="GM404">
        <v>0</v>
      </c>
      <c r="GN404">
        <v>0</v>
      </c>
      <c r="GO404">
        <v>0</v>
      </c>
      <c r="GP404">
        <v>0</v>
      </c>
      <c r="GQ404">
        <v>0</v>
      </c>
      <c r="GR404">
        <v>0</v>
      </c>
      <c r="GS404">
        <v>0</v>
      </c>
      <c r="GT404">
        <v>0</v>
      </c>
      <c r="GU404">
        <v>0</v>
      </c>
      <c r="GV404">
        <v>0</v>
      </c>
      <c r="GW404">
        <v>0</v>
      </c>
      <c r="GX404">
        <v>10576</v>
      </c>
      <c r="GY404">
        <v>96891</v>
      </c>
      <c r="GZ404">
        <v>132</v>
      </c>
      <c r="HA404">
        <v>107599</v>
      </c>
      <c r="HB404">
        <v>2764</v>
      </c>
      <c r="HC404">
        <v>0</v>
      </c>
      <c r="HD404">
        <v>0</v>
      </c>
      <c r="HE404">
        <v>0</v>
      </c>
      <c r="HF404">
        <v>0</v>
      </c>
      <c r="HG404">
        <v>0</v>
      </c>
      <c r="HH404">
        <v>0</v>
      </c>
      <c r="HI404">
        <v>0</v>
      </c>
      <c r="HJ404">
        <v>0</v>
      </c>
      <c r="HK404">
        <v>0</v>
      </c>
      <c r="HL404">
        <v>0</v>
      </c>
      <c r="HM404">
        <v>0</v>
      </c>
      <c r="HN404">
        <v>0</v>
      </c>
      <c r="HO404">
        <v>0</v>
      </c>
      <c r="HP404">
        <v>0</v>
      </c>
      <c r="HQ404">
        <v>0</v>
      </c>
      <c r="HR404">
        <v>0</v>
      </c>
      <c r="HS404">
        <v>0</v>
      </c>
      <c r="HT404">
        <v>0</v>
      </c>
      <c r="HU404">
        <v>0</v>
      </c>
      <c r="HV404">
        <v>2764</v>
      </c>
      <c r="HW404">
        <v>0</v>
      </c>
      <c r="HX404">
        <v>0</v>
      </c>
      <c r="HY404">
        <v>0</v>
      </c>
      <c r="HZ404">
        <v>0</v>
      </c>
      <c r="IA404">
        <v>0</v>
      </c>
      <c r="IB404">
        <v>0</v>
      </c>
      <c r="IC404">
        <v>0</v>
      </c>
      <c r="ID404">
        <v>0</v>
      </c>
      <c r="IE404">
        <v>0</v>
      </c>
      <c r="IF404">
        <v>0</v>
      </c>
      <c r="IG404">
        <v>0</v>
      </c>
      <c r="IH404">
        <v>0</v>
      </c>
      <c r="II404">
        <v>0</v>
      </c>
      <c r="IJ404">
        <v>0</v>
      </c>
      <c r="IK404">
        <v>0</v>
      </c>
      <c r="IL404">
        <v>0</v>
      </c>
      <c r="IM404">
        <v>107599</v>
      </c>
      <c r="IN404">
        <v>2764</v>
      </c>
      <c r="IO404">
        <v>0</v>
      </c>
      <c r="IP404">
        <v>110363</v>
      </c>
      <c r="IQ404">
        <v>0</v>
      </c>
      <c r="IR404">
        <v>0</v>
      </c>
      <c r="IS404">
        <v>0</v>
      </c>
      <c r="IT404">
        <v>0</v>
      </c>
      <c r="IU404">
        <v>0</v>
      </c>
      <c r="IV404">
        <v>0</v>
      </c>
      <c r="IW404">
        <v>0</v>
      </c>
      <c r="IX404">
        <v>0</v>
      </c>
      <c r="IY404">
        <v>0</v>
      </c>
      <c r="IZ404">
        <v>354</v>
      </c>
      <c r="JA404">
        <v>0</v>
      </c>
      <c r="JB404">
        <v>0</v>
      </c>
      <c r="JC404">
        <v>0</v>
      </c>
      <c r="JD404">
        <v>0</v>
      </c>
      <c r="JE404">
        <v>-42</v>
      </c>
      <c r="JF404">
        <v>0</v>
      </c>
      <c r="JG404">
        <v>110675</v>
      </c>
      <c r="JH404">
        <v>0</v>
      </c>
      <c r="JI404">
        <v>3189</v>
      </c>
      <c r="JJ404">
        <v>0</v>
      </c>
      <c r="JK404">
        <v>0</v>
      </c>
      <c r="JL404">
        <v>0</v>
      </c>
      <c r="JM404">
        <v>44</v>
      </c>
      <c r="JN404">
        <v>995</v>
      </c>
      <c r="JO404">
        <v>0</v>
      </c>
      <c r="JP404">
        <v>1681</v>
      </c>
      <c r="JQ404">
        <v>0</v>
      </c>
      <c r="JR404">
        <v>116584</v>
      </c>
      <c r="JS404">
        <v>-73</v>
      </c>
      <c r="JT404">
        <v>0</v>
      </c>
      <c r="JU404">
        <v>0</v>
      </c>
      <c r="JV404">
        <v>0</v>
      </c>
      <c r="JW404">
        <v>0</v>
      </c>
      <c r="JX404">
        <v>0</v>
      </c>
      <c r="JY404">
        <v>0</v>
      </c>
      <c r="JZ404">
        <v>0</v>
      </c>
      <c r="KA404">
        <v>0</v>
      </c>
      <c r="KB404">
        <v>0</v>
      </c>
      <c r="KC404">
        <v>116511</v>
      </c>
      <c r="KD404">
        <v>0</v>
      </c>
      <c r="KE404">
        <v>-7929</v>
      </c>
      <c r="KF404">
        <v>108582</v>
      </c>
      <c r="KG404">
        <v>0</v>
      </c>
      <c r="KH404">
        <v>0</v>
      </c>
      <c r="KI404">
        <v>0</v>
      </c>
      <c r="KJ404">
        <v>0</v>
      </c>
      <c r="KK404">
        <v>-7101</v>
      </c>
      <c r="KL404">
        <v>-1980</v>
      </c>
      <c r="KM404">
        <v>-19270</v>
      </c>
      <c r="KN404">
        <v>0</v>
      </c>
      <c r="KO404">
        <v>-30725</v>
      </c>
      <c r="KP404">
        <v>258</v>
      </c>
      <c r="KQ404">
        <v>-375</v>
      </c>
      <c r="KR404">
        <v>45038</v>
      </c>
      <c r="KS404">
        <v>0</v>
      </c>
      <c r="KT404">
        <v>0</v>
      </c>
      <c r="KU404">
        <v>0</v>
      </c>
      <c r="KV404">
        <v>36917</v>
      </c>
      <c r="KW404">
        <v>5838</v>
      </c>
      <c r="KX404">
        <v>0</v>
      </c>
      <c r="KY404">
        <v>0</v>
      </c>
      <c r="KZ404">
        <v>0</v>
      </c>
      <c r="LA404">
        <v>29816</v>
      </c>
      <c r="LB404">
        <v>3858</v>
      </c>
      <c r="LC404">
        <v>0</v>
      </c>
      <c r="LD404">
        <v>4016</v>
      </c>
      <c r="LE404">
        <v>0</v>
      </c>
      <c r="LF404">
        <v>-3158</v>
      </c>
      <c r="LG404">
        <v>0</v>
      </c>
      <c r="LH404">
        <v>0</v>
      </c>
      <c r="LI404">
        <v>858</v>
      </c>
      <c r="LJ404">
        <v>0</v>
      </c>
      <c r="LK404">
        <v>0</v>
      </c>
      <c r="LL404">
        <v>0</v>
      </c>
      <c r="LM404">
        <v>0</v>
      </c>
      <c r="LN404">
        <v>0</v>
      </c>
      <c r="LO404">
        <v>0</v>
      </c>
      <c r="LP404">
        <v>0</v>
      </c>
      <c r="LQ404">
        <v>0</v>
      </c>
      <c r="LR404">
        <v>0</v>
      </c>
      <c r="LS404">
        <v>0</v>
      </c>
      <c r="LT404">
        <v>0</v>
      </c>
      <c r="LU404">
        <v>0</v>
      </c>
      <c r="LV404">
        <v>0</v>
      </c>
      <c r="LW404">
        <v>0</v>
      </c>
      <c r="LX404">
        <v>0</v>
      </c>
      <c r="LY404">
        <v>0</v>
      </c>
      <c r="LZ404">
        <v>0</v>
      </c>
      <c r="MA404">
        <v>0</v>
      </c>
      <c r="MB404">
        <v>0</v>
      </c>
      <c r="MC404">
        <v>0</v>
      </c>
      <c r="MD404">
        <v>0</v>
      </c>
      <c r="ME404">
        <v>107599</v>
      </c>
      <c r="MF404">
        <v>2764</v>
      </c>
      <c r="MG404">
        <v>0</v>
      </c>
      <c r="MH404">
        <v>110363</v>
      </c>
      <c r="MI404">
        <v>0</v>
      </c>
      <c r="MJ404">
        <v>0</v>
      </c>
      <c r="MK404">
        <v>0</v>
      </c>
      <c r="ML404">
        <v>0</v>
      </c>
      <c r="MM404">
        <v>0</v>
      </c>
      <c r="MN404">
        <v>0</v>
      </c>
      <c r="MO404">
        <v>0</v>
      </c>
      <c r="MP404">
        <v>0</v>
      </c>
      <c r="MQ404">
        <v>0</v>
      </c>
      <c r="MR404">
        <v>0</v>
      </c>
      <c r="MS404">
        <v>0</v>
      </c>
      <c r="MT404">
        <v>0</v>
      </c>
      <c r="MU404">
        <v>0</v>
      </c>
      <c r="MV404">
        <v>0</v>
      </c>
      <c r="MW404">
        <v>0</v>
      </c>
      <c r="MX404">
        <v>0</v>
      </c>
      <c r="MY404">
        <v>0</v>
      </c>
      <c r="MZ404">
        <v>0</v>
      </c>
      <c r="NA404">
        <v>0</v>
      </c>
      <c r="NB404">
        <v>0</v>
      </c>
      <c r="NC404">
        <v>0</v>
      </c>
      <c r="ND404">
        <v>0</v>
      </c>
      <c r="NE404">
        <v>0</v>
      </c>
      <c r="NF404">
        <v>0</v>
      </c>
      <c r="NG404">
        <v>0</v>
      </c>
      <c r="NH404">
        <v>0</v>
      </c>
      <c r="NI404">
        <v>0</v>
      </c>
      <c r="NJ404">
        <v>0</v>
      </c>
      <c r="NK404">
        <v>0</v>
      </c>
      <c r="NL404">
        <v>0</v>
      </c>
      <c r="NM404">
        <v>0</v>
      </c>
      <c r="NN404">
        <v>0</v>
      </c>
      <c r="NO404">
        <v>0</v>
      </c>
      <c r="NP404">
        <v>0</v>
      </c>
      <c r="NQ404">
        <v>0</v>
      </c>
      <c r="NR404">
        <v>0</v>
      </c>
      <c r="NS404">
        <v>0</v>
      </c>
      <c r="NT404">
        <v>0</v>
      </c>
      <c r="NU404">
        <v>0</v>
      </c>
      <c r="NV404">
        <v>0</v>
      </c>
      <c r="NW404">
        <v>0</v>
      </c>
      <c r="NX404">
        <v>0</v>
      </c>
      <c r="NY404">
        <v>0</v>
      </c>
      <c r="NZ404">
        <v>0</v>
      </c>
      <c r="OA404">
        <v>0</v>
      </c>
      <c r="OB404">
        <v>0</v>
      </c>
      <c r="OC404">
        <v>0</v>
      </c>
      <c r="OD404">
        <v>0</v>
      </c>
      <c r="OE404">
        <v>0</v>
      </c>
      <c r="OF404">
        <v>0</v>
      </c>
      <c r="OG404">
        <v>0</v>
      </c>
      <c r="OH404">
        <v>0</v>
      </c>
      <c r="OI404">
        <v>0</v>
      </c>
      <c r="OJ404">
        <v>0</v>
      </c>
      <c r="OK404">
        <v>0</v>
      </c>
      <c r="OL404">
        <v>0</v>
      </c>
      <c r="OM404">
        <v>0</v>
      </c>
      <c r="ON404">
        <v>0</v>
      </c>
    </row>
    <row r="405" spans="1:404" x14ac:dyDescent="0.25">
      <c r="A405" t="s">
        <v>1281</v>
      </c>
      <c r="B405" t="s">
        <v>1282</v>
      </c>
      <c r="C405" t="s">
        <v>1280</v>
      </c>
      <c r="E405" t="s">
        <v>71</v>
      </c>
      <c r="F405">
        <v>0</v>
      </c>
      <c r="G405">
        <v>0</v>
      </c>
      <c r="H405">
        <v>0</v>
      </c>
      <c r="I405">
        <v>0</v>
      </c>
      <c r="J405">
        <v>0</v>
      </c>
      <c r="K405">
        <v>0</v>
      </c>
      <c r="L405">
        <v>0</v>
      </c>
      <c r="M405">
        <v>0</v>
      </c>
      <c r="N405">
        <v>0</v>
      </c>
      <c r="O405">
        <v>0</v>
      </c>
      <c r="P405">
        <v>0</v>
      </c>
      <c r="Q405">
        <v>0</v>
      </c>
      <c r="R405">
        <v>0</v>
      </c>
      <c r="S405">
        <v>0</v>
      </c>
      <c r="T405">
        <v>0</v>
      </c>
      <c r="U405">
        <v>0</v>
      </c>
      <c r="V405">
        <v>0</v>
      </c>
      <c r="W405">
        <v>0</v>
      </c>
      <c r="X405">
        <v>0</v>
      </c>
      <c r="Y405">
        <v>0</v>
      </c>
      <c r="Z405">
        <v>0</v>
      </c>
      <c r="AA405">
        <v>0</v>
      </c>
      <c r="AB405">
        <v>0</v>
      </c>
      <c r="AC405">
        <v>0</v>
      </c>
      <c r="AD405">
        <v>0</v>
      </c>
      <c r="AE405">
        <v>0</v>
      </c>
      <c r="AF405">
        <v>0</v>
      </c>
      <c r="AG405">
        <v>0</v>
      </c>
      <c r="AH405">
        <v>0</v>
      </c>
      <c r="AI405">
        <v>0</v>
      </c>
      <c r="AJ405">
        <v>0</v>
      </c>
      <c r="AK405">
        <v>0</v>
      </c>
      <c r="AL405">
        <v>0</v>
      </c>
      <c r="AM405">
        <v>0</v>
      </c>
      <c r="AN405">
        <v>0</v>
      </c>
      <c r="AO405">
        <v>0</v>
      </c>
      <c r="AP405">
        <v>0</v>
      </c>
      <c r="AQ405">
        <v>0</v>
      </c>
      <c r="AR405">
        <v>0</v>
      </c>
      <c r="AS405">
        <v>0</v>
      </c>
      <c r="AT405">
        <v>0</v>
      </c>
      <c r="AU405">
        <v>0</v>
      </c>
      <c r="AV405">
        <v>0</v>
      </c>
      <c r="AW405">
        <v>0</v>
      </c>
      <c r="AX405">
        <v>0</v>
      </c>
      <c r="AY405">
        <v>0</v>
      </c>
      <c r="AZ405">
        <v>0</v>
      </c>
      <c r="BA405">
        <v>0</v>
      </c>
      <c r="BB405">
        <v>0</v>
      </c>
      <c r="BC405">
        <v>0</v>
      </c>
      <c r="BD405">
        <v>0</v>
      </c>
      <c r="BE405">
        <v>0</v>
      </c>
      <c r="BF405">
        <v>0</v>
      </c>
      <c r="BG405">
        <v>0</v>
      </c>
      <c r="BH405">
        <v>0</v>
      </c>
      <c r="BI405">
        <v>0</v>
      </c>
      <c r="BJ405">
        <v>0</v>
      </c>
      <c r="BK405">
        <v>0</v>
      </c>
      <c r="BL405">
        <v>0</v>
      </c>
      <c r="BM405">
        <v>0</v>
      </c>
      <c r="BN405">
        <v>0</v>
      </c>
      <c r="BO405">
        <v>0</v>
      </c>
      <c r="BP405">
        <v>0</v>
      </c>
      <c r="BQ405">
        <v>0</v>
      </c>
      <c r="BR405">
        <v>0</v>
      </c>
      <c r="BS405">
        <v>0</v>
      </c>
      <c r="BT405">
        <v>0</v>
      </c>
      <c r="BU405">
        <v>0</v>
      </c>
      <c r="BV405">
        <v>0</v>
      </c>
      <c r="BW405">
        <v>0</v>
      </c>
      <c r="BX405">
        <v>0</v>
      </c>
      <c r="BY405">
        <v>0</v>
      </c>
      <c r="BZ405">
        <v>0</v>
      </c>
      <c r="CA405">
        <v>0</v>
      </c>
      <c r="CB405">
        <v>0</v>
      </c>
      <c r="CC405">
        <v>0</v>
      </c>
      <c r="CD405">
        <v>0</v>
      </c>
      <c r="CE405">
        <v>0</v>
      </c>
      <c r="CF405">
        <v>0</v>
      </c>
      <c r="CG405">
        <v>0</v>
      </c>
      <c r="CH405">
        <v>0</v>
      </c>
      <c r="CI405">
        <v>0</v>
      </c>
      <c r="CJ405">
        <v>0</v>
      </c>
      <c r="CK405">
        <v>0</v>
      </c>
      <c r="CL405">
        <v>0</v>
      </c>
      <c r="CM405">
        <v>0</v>
      </c>
      <c r="CN405">
        <v>0</v>
      </c>
      <c r="CO405">
        <v>0</v>
      </c>
      <c r="CP405">
        <v>0</v>
      </c>
      <c r="CQ405">
        <v>0</v>
      </c>
      <c r="CR405">
        <v>0</v>
      </c>
      <c r="CS405">
        <v>0</v>
      </c>
      <c r="CT405">
        <v>0</v>
      </c>
      <c r="CU405">
        <v>0</v>
      </c>
      <c r="CV405">
        <v>0</v>
      </c>
      <c r="CW405">
        <v>0</v>
      </c>
      <c r="CX405">
        <v>0</v>
      </c>
      <c r="CY405">
        <v>0</v>
      </c>
      <c r="CZ405">
        <v>0</v>
      </c>
      <c r="DA405">
        <v>0</v>
      </c>
      <c r="DB405">
        <v>0</v>
      </c>
      <c r="DC405">
        <v>0</v>
      </c>
      <c r="DD405">
        <v>0</v>
      </c>
      <c r="DE405">
        <v>0</v>
      </c>
      <c r="DF405">
        <v>0</v>
      </c>
      <c r="DG405">
        <v>0</v>
      </c>
      <c r="DH405">
        <v>0</v>
      </c>
      <c r="DI405">
        <v>0</v>
      </c>
      <c r="DJ405">
        <v>0</v>
      </c>
      <c r="DK405">
        <v>0</v>
      </c>
      <c r="DL405">
        <v>0</v>
      </c>
      <c r="DM405">
        <v>0</v>
      </c>
      <c r="DN405">
        <v>0</v>
      </c>
      <c r="DO405">
        <v>0</v>
      </c>
      <c r="DP405">
        <v>0</v>
      </c>
      <c r="DQ405">
        <v>0</v>
      </c>
      <c r="DR405">
        <v>0</v>
      </c>
      <c r="DS405">
        <v>0</v>
      </c>
      <c r="DT405">
        <v>0</v>
      </c>
      <c r="DU405">
        <v>0</v>
      </c>
      <c r="DV405">
        <v>0</v>
      </c>
      <c r="DW405">
        <v>0</v>
      </c>
      <c r="DX405">
        <v>0</v>
      </c>
      <c r="DY405">
        <v>0</v>
      </c>
      <c r="DZ405">
        <v>0</v>
      </c>
      <c r="EA405">
        <v>0</v>
      </c>
      <c r="EB405">
        <v>0</v>
      </c>
      <c r="EC405">
        <v>0</v>
      </c>
      <c r="ED405">
        <v>0</v>
      </c>
      <c r="EE405">
        <v>0</v>
      </c>
      <c r="EF405">
        <v>0</v>
      </c>
      <c r="EG405">
        <v>0</v>
      </c>
      <c r="EH405">
        <v>0</v>
      </c>
      <c r="EI405">
        <v>0</v>
      </c>
      <c r="EJ405">
        <v>0</v>
      </c>
      <c r="EK405">
        <v>0</v>
      </c>
      <c r="EL405">
        <v>0</v>
      </c>
      <c r="EM405">
        <v>0</v>
      </c>
      <c r="EN405">
        <v>0</v>
      </c>
      <c r="EO405">
        <v>0</v>
      </c>
      <c r="EP405">
        <v>0</v>
      </c>
      <c r="EQ405">
        <v>0</v>
      </c>
      <c r="ER405">
        <v>0</v>
      </c>
      <c r="ES405">
        <v>0</v>
      </c>
      <c r="ET405">
        <v>0</v>
      </c>
      <c r="EU405">
        <v>0</v>
      </c>
      <c r="EV405">
        <v>0</v>
      </c>
      <c r="EW405">
        <v>0</v>
      </c>
      <c r="EX405">
        <v>0</v>
      </c>
      <c r="EY405">
        <v>0</v>
      </c>
      <c r="EZ405">
        <v>0</v>
      </c>
      <c r="FA405">
        <v>0</v>
      </c>
      <c r="FB405">
        <v>0</v>
      </c>
      <c r="FC405">
        <v>0</v>
      </c>
      <c r="FD405">
        <v>0</v>
      </c>
      <c r="FE405">
        <v>0</v>
      </c>
      <c r="FF405">
        <v>0</v>
      </c>
      <c r="FG405">
        <v>0</v>
      </c>
      <c r="FH405">
        <v>0</v>
      </c>
      <c r="FI405">
        <v>0</v>
      </c>
      <c r="FJ405">
        <v>0</v>
      </c>
      <c r="FK405">
        <v>0</v>
      </c>
      <c r="FL405">
        <v>0</v>
      </c>
      <c r="FM405">
        <v>0</v>
      </c>
      <c r="FN405">
        <v>0</v>
      </c>
      <c r="FO405">
        <v>0</v>
      </c>
      <c r="FP405">
        <v>0</v>
      </c>
      <c r="FQ405">
        <v>0</v>
      </c>
      <c r="FR405">
        <v>0</v>
      </c>
      <c r="FS405">
        <v>0</v>
      </c>
      <c r="FT405">
        <v>0</v>
      </c>
      <c r="FU405">
        <v>0</v>
      </c>
      <c r="FV405">
        <v>0</v>
      </c>
      <c r="FW405">
        <v>0</v>
      </c>
      <c r="FX405">
        <v>0</v>
      </c>
      <c r="FY405">
        <v>0</v>
      </c>
      <c r="FZ405">
        <v>0</v>
      </c>
      <c r="GA405">
        <v>0</v>
      </c>
      <c r="GB405">
        <v>0</v>
      </c>
      <c r="GC405">
        <v>0</v>
      </c>
      <c r="GD405">
        <v>0</v>
      </c>
      <c r="GE405">
        <v>0</v>
      </c>
      <c r="GF405">
        <v>0</v>
      </c>
      <c r="GG405">
        <v>0</v>
      </c>
      <c r="GH405">
        <v>0</v>
      </c>
      <c r="GI405">
        <v>0</v>
      </c>
      <c r="GJ405">
        <v>0</v>
      </c>
      <c r="GK405">
        <v>0</v>
      </c>
      <c r="GL405">
        <v>0</v>
      </c>
      <c r="GM405">
        <v>0</v>
      </c>
      <c r="GN405">
        <v>0</v>
      </c>
      <c r="GO405">
        <v>0</v>
      </c>
      <c r="GP405">
        <v>0</v>
      </c>
      <c r="GQ405">
        <v>0</v>
      </c>
      <c r="GR405">
        <v>0</v>
      </c>
      <c r="GS405">
        <v>0</v>
      </c>
      <c r="GT405">
        <v>0</v>
      </c>
      <c r="GU405">
        <v>0</v>
      </c>
      <c r="GV405">
        <v>0</v>
      </c>
      <c r="GW405">
        <v>724224</v>
      </c>
      <c r="GX405">
        <v>0</v>
      </c>
      <c r="GY405">
        <v>0</v>
      </c>
      <c r="GZ405">
        <v>0</v>
      </c>
      <c r="HA405">
        <v>0</v>
      </c>
      <c r="HB405">
        <v>2799</v>
      </c>
      <c r="HC405">
        <v>0</v>
      </c>
      <c r="HD405">
        <v>0</v>
      </c>
      <c r="HE405">
        <v>0</v>
      </c>
      <c r="HF405">
        <v>0</v>
      </c>
      <c r="HG405">
        <v>0</v>
      </c>
      <c r="HH405">
        <v>0</v>
      </c>
      <c r="HI405">
        <v>0</v>
      </c>
      <c r="HJ405">
        <v>0</v>
      </c>
      <c r="HK405">
        <v>0</v>
      </c>
      <c r="HL405">
        <v>0</v>
      </c>
      <c r="HM405">
        <v>0</v>
      </c>
      <c r="HN405">
        <v>0</v>
      </c>
      <c r="HO405">
        <v>0</v>
      </c>
      <c r="HP405">
        <v>0</v>
      </c>
      <c r="HQ405">
        <v>0</v>
      </c>
      <c r="HR405">
        <v>435</v>
      </c>
      <c r="HS405">
        <v>0</v>
      </c>
      <c r="HT405">
        <v>0</v>
      </c>
      <c r="HU405">
        <v>0</v>
      </c>
      <c r="HV405">
        <v>3234</v>
      </c>
      <c r="HW405">
        <v>0</v>
      </c>
      <c r="HX405">
        <v>0</v>
      </c>
      <c r="HY405">
        <v>0</v>
      </c>
      <c r="HZ405">
        <v>0</v>
      </c>
      <c r="IA405">
        <v>0</v>
      </c>
      <c r="IB405">
        <v>0</v>
      </c>
      <c r="IC405">
        <v>0</v>
      </c>
      <c r="ID405">
        <v>0</v>
      </c>
      <c r="IE405">
        <v>0</v>
      </c>
      <c r="IF405">
        <v>0</v>
      </c>
      <c r="IG405">
        <v>0</v>
      </c>
      <c r="IH405">
        <v>0</v>
      </c>
      <c r="II405">
        <v>0</v>
      </c>
      <c r="IJ405">
        <v>0</v>
      </c>
      <c r="IK405">
        <v>0</v>
      </c>
      <c r="IL405">
        <v>724224</v>
      </c>
      <c r="IM405">
        <v>0</v>
      </c>
      <c r="IN405">
        <v>3234</v>
      </c>
      <c r="IO405">
        <v>0</v>
      </c>
      <c r="IP405">
        <v>727458</v>
      </c>
      <c r="IQ405">
        <v>0</v>
      </c>
      <c r="IR405">
        <v>0</v>
      </c>
      <c r="IS405">
        <v>0</v>
      </c>
      <c r="IT405">
        <v>0</v>
      </c>
      <c r="IU405">
        <v>0</v>
      </c>
      <c r="IV405">
        <v>0</v>
      </c>
      <c r="IW405">
        <v>0</v>
      </c>
      <c r="IX405">
        <v>0</v>
      </c>
      <c r="IY405">
        <v>0</v>
      </c>
      <c r="IZ405">
        <v>0</v>
      </c>
      <c r="JA405">
        <v>0</v>
      </c>
      <c r="JB405">
        <v>0</v>
      </c>
      <c r="JC405">
        <v>0</v>
      </c>
      <c r="JD405">
        <v>0</v>
      </c>
      <c r="JE405">
        <v>2042</v>
      </c>
      <c r="JF405">
        <v>0</v>
      </c>
      <c r="JG405">
        <v>729500</v>
      </c>
      <c r="JH405">
        <v>0</v>
      </c>
      <c r="JI405">
        <v>11721</v>
      </c>
      <c r="JJ405">
        <v>0</v>
      </c>
      <c r="JK405">
        <v>0</v>
      </c>
      <c r="JL405">
        <v>0</v>
      </c>
      <c r="JM405">
        <v>0</v>
      </c>
      <c r="JN405">
        <v>3305</v>
      </c>
      <c r="JO405">
        <v>0</v>
      </c>
      <c r="JP405">
        <v>3432</v>
      </c>
      <c r="JQ405">
        <v>0</v>
      </c>
      <c r="JR405">
        <v>747958</v>
      </c>
      <c r="JS405">
        <v>-570</v>
      </c>
      <c r="JT405">
        <v>0</v>
      </c>
      <c r="JU405">
        <v>0</v>
      </c>
      <c r="JV405">
        <v>0</v>
      </c>
      <c r="JW405">
        <v>-6156</v>
      </c>
      <c r="JX405">
        <v>0</v>
      </c>
      <c r="JY405">
        <v>0</v>
      </c>
      <c r="JZ405">
        <v>0</v>
      </c>
      <c r="KA405">
        <v>0</v>
      </c>
      <c r="KB405">
        <v>0</v>
      </c>
      <c r="KC405">
        <v>741232</v>
      </c>
      <c r="KD405">
        <v>0</v>
      </c>
      <c r="KE405">
        <v>-89651</v>
      </c>
      <c r="KF405">
        <v>651581</v>
      </c>
      <c r="KG405">
        <v>0</v>
      </c>
      <c r="KH405">
        <v>0</v>
      </c>
      <c r="KI405">
        <v>0</v>
      </c>
      <c r="KJ405">
        <v>0</v>
      </c>
      <c r="KK405">
        <v>-6759</v>
      </c>
      <c r="KL405">
        <v>0</v>
      </c>
      <c r="KM405">
        <v>0</v>
      </c>
      <c r="KN405">
        <v>-514908</v>
      </c>
      <c r="KO405">
        <v>0</v>
      </c>
      <c r="KP405">
        <v>674</v>
      </c>
      <c r="KQ405">
        <v>0</v>
      </c>
      <c r="KR405">
        <v>126856</v>
      </c>
      <c r="KS405">
        <v>0</v>
      </c>
      <c r="KT405">
        <v>0</v>
      </c>
      <c r="KU405">
        <v>0</v>
      </c>
      <c r="KV405">
        <v>57650</v>
      </c>
      <c r="KW405">
        <v>12042</v>
      </c>
      <c r="KX405">
        <v>0</v>
      </c>
      <c r="KY405">
        <v>0</v>
      </c>
      <c r="KZ405">
        <v>0</v>
      </c>
      <c r="LA405">
        <v>50891</v>
      </c>
      <c r="LB405">
        <v>12042</v>
      </c>
      <c r="LC405">
        <v>0</v>
      </c>
      <c r="LD405">
        <v>17722</v>
      </c>
      <c r="LE405">
        <v>0</v>
      </c>
      <c r="LF405">
        <v>-1324</v>
      </c>
      <c r="LG405">
        <v>-7876</v>
      </c>
      <c r="LH405">
        <v>0</v>
      </c>
      <c r="LI405">
        <v>8522</v>
      </c>
      <c r="LJ405">
        <v>0</v>
      </c>
      <c r="LK405">
        <v>0</v>
      </c>
      <c r="LL405">
        <v>0</v>
      </c>
      <c r="LM405">
        <v>0</v>
      </c>
      <c r="LN405">
        <v>0</v>
      </c>
      <c r="LO405">
        <v>0</v>
      </c>
      <c r="LP405">
        <v>0</v>
      </c>
      <c r="LQ405">
        <v>0</v>
      </c>
      <c r="LR405">
        <v>0</v>
      </c>
      <c r="LS405">
        <v>0</v>
      </c>
      <c r="LT405">
        <v>0</v>
      </c>
      <c r="LU405">
        <v>0</v>
      </c>
      <c r="LV405">
        <v>0</v>
      </c>
      <c r="LW405">
        <v>0</v>
      </c>
      <c r="LX405">
        <v>0</v>
      </c>
      <c r="LY405">
        <v>0</v>
      </c>
      <c r="LZ405">
        <v>0</v>
      </c>
      <c r="MA405">
        <v>0</v>
      </c>
      <c r="MB405">
        <v>0</v>
      </c>
      <c r="MC405">
        <v>0</v>
      </c>
      <c r="MD405">
        <v>724224</v>
      </c>
      <c r="ME405">
        <v>0</v>
      </c>
      <c r="MF405">
        <v>3234</v>
      </c>
      <c r="MG405">
        <v>0</v>
      </c>
      <c r="MH405">
        <v>727458</v>
      </c>
      <c r="MI405">
        <v>0</v>
      </c>
      <c r="MJ405">
        <v>0</v>
      </c>
      <c r="MK405">
        <v>0</v>
      </c>
      <c r="ML405">
        <v>0</v>
      </c>
      <c r="MM405">
        <v>0</v>
      </c>
      <c r="MN405">
        <v>0</v>
      </c>
      <c r="MO405">
        <v>0</v>
      </c>
      <c r="MP405">
        <v>0</v>
      </c>
      <c r="MQ405">
        <v>0</v>
      </c>
      <c r="MR405">
        <v>0</v>
      </c>
      <c r="MS405">
        <v>0</v>
      </c>
      <c r="MT405">
        <v>0</v>
      </c>
      <c r="MU405">
        <v>0</v>
      </c>
      <c r="MV405">
        <v>0</v>
      </c>
      <c r="MW405">
        <v>0</v>
      </c>
      <c r="MX405">
        <v>0</v>
      </c>
      <c r="MY405">
        <v>0</v>
      </c>
      <c r="MZ405">
        <v>0</v>
      </c>
      <c r="NA405">
        <v>0</v>
      </c>
      <c r="NB405">
        <v>0</v>
      </c>
      <c r="NC405">
        <v>0</v>
      </c>
      <c r="ND405">
        <v>0</v>
      </c>
      <c r="NE405">
        <v>0</v>
      </c>
      <c r="NF405">
        <v>0</v>
      </c>
      <c r="NG405">
        <v>0</v>
      </c>
      <c r="NH405">
        <v>0</v>
      </c>
      <c r="NI405">
        <v>0</v>
      </c>
      <c r="NJ405">
        <v>0</v>
      </c>
      <c r="NK405">
        <v>0</v>
      </c>
      <c r="NL405">
        <v>0</v>
      </c>
      <c r="NM405">
        <v>0</v>
      </c>
      <c r="NN405">
        <v>0</v>
      </c>
      <c r="NO405">
        <v>0</v>
      </c>
      <c r="NP405">
        <v>0</v>
      </c>
      <c r="NQ405">
        <v>0</v>
      </c>
      <c r="NR405">
        <v>0</v>
      </c>
      <c r="NS405">
        <v>0</v>
      </c>
      <c r="NT405">
        <v>0</v>
      </c>
      <c r="NU405">
        <v>0</v>
      </c>
      <c r="NV405">
        <v>0</v>
      </c>
      <c r="NW405">
        <v>0</v>
      </c>
      <c r="NX405">
        <v>0</v>
      </c>
      <c r="NY405">
        <v>0</v>
      </c>
      <c r="NZ405">
        <v>0</v>
      </c>
      <c r="OA405">
        <v>0</v>
      </c>
      <c r="OB405">
        <v>0</v>
      </c>
      <c r="OC405">
        <v>0</v>
      </c>
      <c r="OD405">
        <v>0</v>
      </c>
      <c r="OE405">
        <v>0</v>
      </c>
      <c r="OF405">
        <v>0</v>
      </c>
      <c r="OG405">
        <v>0</v>
      </c>
      <c r="OH405">
        <v>0</v>
      </c>
      <c r="OI405">
        <v>0</v>
      </c>
      <c r="OJ405">
        <v>0</v>
      </c>
      <c r="OK405">
        <v>0</v>
      </c>
      <c r="OL405">
        <v>0</v>
      </c>
      <c r="OM405">
        <v>0</v>
      </c>
      <c r="ON405">
        <v>0</v>
      </c>
    </row>
    <row r="406" spans="1:404" x14ac:dyDescent="0.25">
      <c r="A406" t="s">
        <v>1284</v>
      </c>
      <c r="B406" t="s">
        <v>1285</v>
      </c>
      <c r="C406" t="s">
        <v>1283</v>
      </c>
      <c r="E406" t="s">
        <v>125</v>
      </c>
      <c r="F406">
        <v>25034</v>
      </c>
      <c r="G406">
        <v>81648</v>
      </c>
      <c r="H406">
        <v>8368</v>
      </c>
      <c r="I406">
        <v>24978</v>
      </c>
      <c r="J406">
        <v>1978</v>
      </c>
      <c r="K406">
        <v>33480</v>
      </c>
      <c r="L406">
        <v>175486</v>
      </c>
      <c r="M406">
        <v>971</v>
      </c>
      <c r="N406">
        <v>0</v>
      </c>
      <c r="O406">
        <v>5776</v>
      </c>
      <c r="P406">
        <v>0</v>
      </c>
      <c r="Q406">
        <v>0</v>
      </c>
      <c r="R406">
        <v>75</v>
      </c>
      <c r="S406">
        <v>0</v>
      </c>
      <c r="T406">
        <v>1023</v>
      </c>
      <c r="U406">
        <v>8334</v>
      </c>
      <c r="V406">
        <v>0</v>
      </c>
      <c r="W406">
        <v>-941</v>
      </c>
      <c r="X406">
        <v>85</v>
      </c>
      <c r="Y406">
        <v>567</v>
      </c>
      <c r="Z406">
        <v>-1020</v>
      </c>
      <c r="AA406">
        <v>-1374</v>
      </c>
      <c r="AB406">
        <v>4281</v>
      </c>
      <c r="AC406">
        <v>0</v>
      </c>
      <c r="AD406">
        <v>458</v>
      </c>
      <c r="AE406">
        <v>0</v>
      </c>
      <c r="AF406">
        <v>0</v>
      </c>
      <c r="AG406">
        <v>355</v>
      </c>
      <c r="AH406">
        <v>0</v>
      </c>
      <c r="AI406">
        <v>18591</v>
      </c>
      <c r="AJ406">
        <v>0</v>
      </c>
      <c r="AK406">
        <v>0</v>
      </c>
      <c r="AL406">
        <v>0</v>
      </c>
      <c r="AM406">
        <v>0</v>
      </c>
      <c r="AN406">
        <v>0</v>
      </c>
      <c r="AO406">
        <v>0</v>
      </c>
      <c r="AP406">
        <v>0</v>
      </c>
      <c r="AQ406">
        <v>0</v>
      </c>
      <c r="AR406">
        <v>0</v>
      </c>
      <c r="AS406">
        <v>0</v>
      </c>
      <c r="AT406">
        <v>0</v>
      </c>
      <c r="AU406">
        <v>0</v>
      </c>
      <c r="AV406">
        <v>0</v>
      </c>
      <c r="AW406">
        <v>50203</v>
      </c>
      <c r="AX406">
        <v>-162</v>
      </c>
      <c r="AY406">
        <v>4822</v>
      </c>
      <c r="AZ406">
        <v>1976</v>
      </c>
      <c r="BA406">
        <v>19455</v>
      </c>
      <c r="BB406">
        <v>917</v>
      </c>
      <c r="BC406">
        <v>1404</v>
      </c>
      <c r="BD406">
        <v>78615</v>
      </c>
      <c r="BE406">
        <v>14648</v>
      </c>
      <c r="BF406">
        <v>27203</v>
      </c>
      <c r="BG406">
        <v>122</v>
      </c>
      <c r="BH406">
        <v>90</v>
      </c>
      <c r="BI406">
        <v>1650</v>
      </c>
      <c r="BJ406">
        <v>15718</v>
      </c>
      <c r="BK406">
        <v>40682</v>
      </c>
      <c r="BL406">
        <v>6079</v>
      </c>
      <c r="BM406">
        <v>7184</v>
      </c>
      <c r="BN406">
        <v>798</v>
      </c>
      <c r="BO406">
        <v>0</v>
      </c>
      <c r="BP406">
        <v>0</v>
      </c>
      <c r="BQ406">
        <v>0</v>
      </c>
      <c r="BR406">
        <v>311</v>
      </c>
      <c r="BS406">
        <v>967</v>
      </c>
      <c r="BT406">
        <v>9400</v>
      </c>
      <c r="BU406">
        <v>214</v>
      </c>
      <c r="BV406">
        <v>1234</v>
      </c>
      <c r="BW406">
        <v>136991</v>
      </c>
      <c r="BX406">
        <v>1754</v>
      </c>
      <c r="BY406">
        <v>787</v>
      </c>
      <c r="BZ406">
        <v>0</v>
      </c>
      <c r="CA406">
        <v>113</v>
      </c>
      <c r="CB406">
        <v>3519</v>
      </c>
      <c r="CC406">
        <v>247</v>
      </c>
      <c r="CD406">
        <v>0</v>
      </c>
      <c r="CE406">
        <v>177</v>
      </c>
      <c r="CF406">
        <v>0</v>
      </c>
      <c r="CG406">
        <v>175</v>
      </c>
      <c r="CH406">
        <v>33</v>
      </c>
      <c r="CI406">
        <v>1956</v>
      </c>
      <c r="CJ406">
        <v>364</v>
      </c>
      <c r="CK406">
        <v>474</v>
      </c>
      <c r="CL406">
        <v>316</v>
      </c>
      <c r="CM406">
        <v>133</v>
      </c>
      <c r="CN406">
        <v>378</v>
      </c>
      <c r="CO406">
        <v>0</v>
      </c>
      <c r="CP406">
        <v>364</v>
      </c>
      <c r="CQ406">
        <v>6343</v>
      </c>
      <c r="CR406">
        <v>328</v>
      </c>
      <c r="CS406">
        <v>0</v>
      </c>
      <c r="CT406">
        <v>752</v>
      </c>
      <c r="CU406">
        <v>0</v>
      </c>
      <c r="CV406">
        <v>18213</v>
      </c>
      <c r="CW406">
        <v>0</v>
      </c>
      <c r="CX406">
        <v>0</v>
      </c>
      <c r="CY406">
        <v>0</v>
      </c>
      <c r="CZ406">
        <v>0</v>
      </c>
      <c r="DA406">
        <v>0</v>
      </c>
      <c r="DB406">
        <v>0</v>
      </c>
      <c r="DC406">
        <v>1481</v>
      </c>
      <c r="DD406">
        <v>0</v>
      </c>
      <c r="DE406">
        <v>433</v>
      </c>
      <c r="DF406">
        <v>386</v>
      </c>
      <c r="DG406">
        <v>39</v>
      </c>
      <c r="DH406">
        <v>648</v>
      </c>
      <c r="DI406">
        <v>0</v>
      </c>
      <c r="DJ406">
        <v>0</v>
      </c>
      <c r="DK406">
        <v>-8</v>
      </c>
      <c r="DL406">
        <v>0</v>
      </c>
      <c r="DM406">
        <v>4207</v>
      </c>
      <c r="DN406">
        <v>646</v>
      </c>
      <c r="DO406">
        <v>-35</v>
      </c>
      <c r="DP406">
        <v>5497</v>
      </c>
      <c r="DQ406">
        <v>-433</v>
      </c>
      <c r="DR406">
        <v>0</v>
      </c>
      <c r="DS406">
        <v>0</v>
      </c>
      <c r="DT406">
        <v>2681</v>
      </c>
      <c r="DU406">
        <v>171</v>
      </c>
      <c r="DV406">
        <v>0</v>
      </c>
      <c r="DW406">
        <v>-443</v>
      </c>
      <c r="DX406">
        <v>9773</v>
      </c>
      <c r="DY406">
        <v>0</v>
      </c>
      <c r="DZ406">
        <v>0</v>
      </c>
      <c r="EA406">
        <v>0</v>
      </c>
      <c r="EB406">
        <v>0</v>
      </c>
      <c r="EC406">
        <v>0</v>
      </c>
      <c r="ED406">
        <v>0</v>
      </c>
      <c r="EE406">
        <v>0</v>
      </c>
      <c r="EF406">
        <v>0</v>
      </c>
      <c r="EG406">
        <v>0</v>
      </c>
      <c r="EH406">
        <v>0</v>
      </c>
      <c r="EI406">
        <v>0</v>
      </c>
      <c r="EJ406">
        <v>0</v>
      </c>
      <c r="EK406">
        <v>0</v>
      </c>
      <c r="EL406">
        <v>0</v>
      </c>
      <c r="EM406">
        <v>0</v>
      </c>
      <c r="EN406">
        <v>0</v>
      </c>
      <c r="EO406">
        <v>0</v>
      </c>
      <c r="EP406">
        <v>0</v>
      </c>
      <c r="EQ406">
        <v>0</v>
      </c>
      <c r="ER406">
        <v>0</v>
      </c>
      <c r="ES406">
        <v>0</v>
      </c>
      <c r="ET406">
        <v>0</v>
      </c>
      <c r="EU406">
        <v>203</v>
      </c>
      <c r="EV406">
        <v>2110</v>
      </c>
      <c r="EW406">
        <v>0</v>
      </c>
      <c r="EX406">
        <v>1199</v>
      </c>
      <c r="EY406">
        <v>624</v>
      </c>
      <c r="EZ406">
        <v>762</v>
      </c>
      <c r="FA406">
        <v>0</v>
      </c>
      <c r="FB406">
        <v>0</v>
      </c>
      <c r="FC406">
        <v>3</v>
      </c>
      <c r="FD406">
        <v>3021</v>
      </c>
      <c r="FE406">
        <v>31</v>
      </c>
      <c r="FF406">
        <v>0</v>
      </c>
      <c r="FG406">
        <v>2901</v>
      </c>
      <c r="FH406">
        <v>10853</v>
      </c>
      <c r="FI406">
        <v>-122</v>
      </c>
      <c r="FJ406">
        <v>521</v>
      </c>
      <c r="FK406">
        <v>0</v>
      </c>
      <c r="FL406">
        <v>361</v>
      </c>
      <c r="FM406">
        <v>773</v>
      </c>
      <c r="FN406">
        <v>2</v>
      </c>
      <c r="FO406">
        <v>404</v>
      </c>
      <c r="FP406">
        <v>0</v>
      </c>
      <c r="FQ406">
        <v>0</v>
      </c>
      <c r="FR406">
        <v>-17</v>
      </c>
      <c r="FS406">
        <v>53</v>
      </c>
      <c r="FT406">
        <v>753</v>
      </c>
      <c r="FU406">
        <v>-171</v>
      </c>
      <c r="FV406">
        <v>196</v>
      </c>
      <c r="FW406">
        <v>1329</v>
      </c>
      <c r="FX406">
        <v>200</v>
      </c>
      <c r="FY406">
        <v>200</v>
      </c>
      <c r="FZ406">
        <v>0</v>
      </c>
      <c r="GA406">
        <v>0</v>
      </c>
      <c r="GB406">
        <v>0</v>
      </c>
      <c r="GC406">
        <v>0</v>
      </c>
      <c r="GD406">
        <v>2780</v>
      </c>
      <c r="GE406">
        <v>3847</v>
      </c>
      <c r="GF406">
        <v>17073</v>
      </c>
      <c r="GG406">
        <v>0</v>
      </c>
      <c r="GH406">
        <v>5505</v>
      </c>
      <c r="GI406">
        <v>0</v>
      </c>
      <c r="GJ406">
        <v>0</v>
      </c>
      <c r="GK406">
        <v>33686</v>
      </c>
      <c r="GL406">
        <v>137</v>
      </c>
      <c r="GM406">
        <v>2001</v>
      </c>
      <c r="GN406">
        <v>1708</v>
      </c>
      <c r="GO406">
        <v>101</v>
      </c>
      <c r="GP406">
        <v>28</v>
      </c>
      <c r="GQ406">
        <v>5917</v>
      </c>
      <c r="GR406">
        <v>0</v>
      </c>
      <c r="GS406">
        <v>0</v>
      </c>
      <c r="GT406">
        <v>-1692</v>
      </c>
      <c r="GU406">
        <v>8199</v>
      </c>
      <c r="GV406">
        <v>52738</v>
      </c>
      <c r="GW406">
        <v>0</v>
      </c>
      <c r="GX406">
        <v>0</v>
      </c>
      <c r="GY406">
        <v>0</v>
      </c>
      <c r="GZ406">
        <v>0</v>
      </c>
      <c r="HA406">
        <v>0</v>
      </c>
      <c r="HB406">
        <v>12945</v>
      </c>
      <c r="HC406">
        <v>1650</v>
      </c>
      <c r="HD406">
        <v>0</v>
      </c>
      <c r="HE406">
        <v>0</v>
      </c>
      <c r="HF406">
        <v>529</v>
      </c>
      <c r="HG406">
        <v>-530</v>
      </c>
      <c r="HH406">
        <v>0</v>
      </c>
      <c r="HI406">
        <v>-364</v>
      </c>
      <c r="HJ406">
        <v>76</v>
      </c>
      <c r="HK406">
        <v>1077</v>
      </c>
      <c r="HL406">
        <v>98</v>
      </c>
      <c r="HM406">
        <v>-7</v>
      </c>
      <c r="HN406">
        <v>0</v>
      </c>
      <c r="HO406">
        <v>0</v>
      </c>
      <c r="HP406">
        <v>910</v>
      </c>
      <c r="HQ406">
        <v>0</v>
      </c>
      <c r="HR406">
        <v>11628</v>
      </c>
      <c r="HS406">
        <v>0</v>
      </c>
      <c r="HT406">
        <v>0</v>
      </c>
      <c r="HU406">
        <v>9645</v>
      </c>
      <c r="HV406">
        <v>37658</v>
      </c>
      <c r="HW406">
        <v>0</v>
      </c>
      <c r="HX406">
        <v>20937</v>
      </c>
      <c r="HY406">
        <v>0</v>
      </c>
      <c r="HZ406">
        <v>0</v>
      </c>
      <c r="IA406">
        <v>0</v>
      </c>
      <c r="IB406">
        <v>0</v>
      </c>
      <c r="IC406">
        <v>175486</v>
      </c>
      <c r="ID406">
        <v>18591</v>
      </c>
      <c r="IE406">
        <v>78615</v>
      </c>
      <c r="IF406">
        <v>136991</v>
      </c>
      <c r="IG406">
        <v>18213</v>
      </c>
      <c r="IH406">
        <v>9773</v>
      </c>
      <c r="II406">
        <v>10853</v>
      </c>
      <c r="IJ406">
        <v>33686</v>
      </c>
      <c r="IK406">
        <v>8199</v>
      </c>
      <c r="IL406">
        <v>0</v>
      </c>
      <c r="IM406">
        <v>0</v>
      </c>
      <c r="IN406">
        <v>37658</v>
      </c>
      <c r="IO406">
        <v>0</v>
      </c>
      <c r="IP406">
        <v>528063</v>
      </c>
      <c r="IQ406">
        <v>45171</v>
      </c>
      <c r="IR406">
        <v>2532</v>
      </c>
      <c r="IS406">
        <v>18230</v>
      </c>
      <c r="IT406">
        <v>0</v>
      </c>
      <c r="IU406">
        <v>0</v>
      </c>
      <c r="IV406">
        <v>10642</v>
      </c>
      <c r="IW406">
        <v>0</v>
      </c>
      <c r="IX406">
        <v>0</v>
      </c>
      <c r="IY406">
        <v>0</v>
      </c>
      <c r="IZ406">
        <v>0</v>
      </c>
      <c r="JA406">
        <v>-3979</v>
      </c>
      <c r="JB406">
        <v>0</v>
      </c>
      <c r="JC406">
        <v>0</v>
      </c>
      <c r="JD406">
        <v>0</v>
      </c>
      <c r="JE406">
        <v>0</v>
      </c>
      <c r="JF406">
        <v>0</v>
      </c>
      <c r="JG406">
        <v>600658</v>
      </c>
      <c r="JH406">
        <v>359</v>
      </c>
      <c r="JI406">
        <v>0</v>
      </c>
      <c r="JJ406">
        <v>0</v>
      </c>
      <c r="JK406">
        <v>-5550</v>
      </c>
      <c r="JL406">
        <v>0</v>
      </c>
      <c r="JM406">
        <v>502</v>
      </c>
      <c r="JN406">
        <v>1926</v>
      </c>
      <c r="JO406">
        <v>0</v>
      </c>
      <c r="JP406">
        <v>17865</v>
      </c>
      <c r="JQ406">
        <v>0</v>
      </c>
      <c r="JR406">
        <v>615760</v>
      </c>
      <c r="JS406">
        <v>-8748</v>
      </c>
      <c r="JT406">
        <v>0</v>
      </c>
      <c r="JU406">
        <v>0</v>
      </c>
      <c r="JV406">
        <v>0</v>
      </c>
      <c r="JW406">
        <v>-69427</v>
      </c>
      <c r="JX406">
        <v>0</v>
      </c>
      <c r="JY406">
        <v>0</v>
      </c>
      <c r="JZ406">
        <v>0</v>
      </c>
      <c r="KA406">
        <v>0</v>
      </c>
      <c r="KB406">
        <v>0</v>
      </c>
      <c r="KC406">
        <v>537585</v>
      </c>
      <c r="KD406">
        <v>0</v>
      </c>
      <c r="KE406">
        <v>-234715</v>
      </c>
      <c r="KF406">
        <v>302870</v>
      </c>
      <c r="KG406">
        <v>0</v>
      </c>
      <c r="KH406">
        <v>-331</v>
      </c>
      <c r="KI406">
        <v>1214</v>
      </c>
      <c r="KJ406">
        <v>3287</v>
      </c>
      <c r="KK406">
        <v>-25255</v>
      </c>
      <c r="KL406">
        <v>0</v>
      </c>
      <c r="KM406">
        <v>-3596</v>
      </c>
      <c r="KN406">
        <v>0</v>
      </c>
      <c r="KO406">
        <v>-34903</v>
      </c>
      <c r="KP406">
        <v>1925</v>
      </c>
      <c r="KQ406">
        <v>718</v>
      </c>
      <c r="KR406">
        <v>226052</v>
      </c>
      <c r="KS406">
        <v>9777</v>
      </c>
      <c r="KT406">
        <v>2648</v>
      </c>
      <c r="KU406">
        <v>8469</v>
      </c>
      <c r="KV406">
        <v>123130</v>
      </c>
      <c r="KW406">
        <v>0</v>
      </c>
      <c r="KX406">
        <v>9446</v>
      </c>
      <c r="KY406">
        <v>3862</v>
      </c>
      <c r="KZ406">
        <v>11756</v>
      </c>
      <c r="LA406">
        <v>97875</v>
      </c>
      <c r="LB406">
        <v>0</v>
      </c>
      <c r="LC406">
        <v>0</v>
      </c>
      <c r="LD406">
        <v>0</v>
      </c>
      <c r="LE406">
        <v>0</v>
      </c>
      <c r="LF406">
        <v>0</v>
      </c>
      <c r="LG406">
        <v>0</v>
      </c>
      <c r="LH406">
        <v>0</v>
      </c>
      <c r="LI406">
        <v>0</v>
      </c>
      <c r="LJ406">
        <v>10741</v>
      </c>
      <c r="LK406">
        <v>8346</v>
      </c>
      <c r="LL406">
        <v>19088</v>
      </c>
      <c r="LM406">
        <v>0</v>
      </c>
      <c r="LN406">
        <v>0</v>
      </c>
      <c r="LO406">
        <v>0</v>
      </c>
      <c r="LP406">
        <v>0</v>
      </c>
      <c r="LQ406">
        <v>0</v>
      </c>
      <c r="LR406">
        <v>0</v>
      </c>
      <c r="LS406">
        <v>0</v>
      </c>
      <c r="LT406">
        <v>0</v>
      </c>
      <c r="LU406">
        <v>175486</v>
      </c>
      <c r="LV406">
        <v>18591</v>
      </c>
      <c r="LW406">
        <v>78615</v>
      </c>
      <c r="LX406">
        <v>136991</v>
      </c>
      <c r="LY406">
        <v>18213</v>
      </c>
      <c r="LZ406">
        <v>9773</v>
      </c>
      <c r="MA406">
        <v>10853</v>
      </c>
      <c r="MB406">
        <v>33686</v>
      </c>
      <c r="MC406">
        <v>8199</v>
      </c>
      <c r="MD406">
        <v>0</v>
      </c>
      <c r="ME406">
        <v>0</v>
      </c>
      <c r="MF406">
        <v>37658</v>
      </c>
      <c r="MG406">
        <v>0</v>
      </c>
      <c r="MH406">
        <v>528063</v>
      </c>
      <c r="MI406">
        <v>0</v>
      </c>
      <c r="MJ406">
        <v>0</v>
      </c>
      <c r="MK406">
        <v>0</v>
      </c>
      <c r="ML406">
        <v>0</v>
      </c>
      <c r="MM406">
        <v>0</v>
      </c>
      <c r="MN406">
        <v>0</v>
      </c>
      <c r="MO406">
        <v>0</v>
      </c>
      <c r="MP406">
        <v>0</v>
      </c>
      <c r="MQ406">
        <v>0</v>
      </c>
      <c r="MR406">
        <v>0</v>
      </c>
      <c r="MS406">
        <v>0</v>
      </c>
      <c r="MT406">
        <v>0</v>
      </c>
      <c r="MU406">
        <v>0</v>
      </c>
      <c r="MV406">
        <v>0</v>
      </c>
      <c r="MW406">
        <v>0</v>
      </c>
      <c r="MX406">
        <v>30</v>
      </c>
      <c r="MY406">
        <v>-4009</v>
      </c>
      <c r="MZ406">
        <v>0</v>
      </c>
      <c r="NA406">
        <v>-3979</v>
      </c>
      <c r="NB406">
        <v>0</v>
      </c>
      <c r="NC406">
        <v>-3979</v>
      </c>
      <c r="ND406">
        <v>0</v>
      </c>
      <c r="NE406">
        <v>0</v>
      </c>
      <c r="NF406">
        <v>0</v>
      </c>
      <c r="NG406">
        <v>0</v>
      </c>
      <c r="NH406">
        <v>0</v>
      </c>
      <c r="NI406">
        <v>0</v>
      </c>
      <c r="NJ406">
        <v>0</v>
      </c>
      <c r="NK406">
        <v>0</v>
      </c>
      <c r="NL406">
        <v>0</v>
      </c>
      <c r="NM406">
        <v>0</v>
      </c>
      <c r="NN406">
        <v>0</v>
      </c>
      <c r="NO406">
        <v>0</v>
      </c>
      <c r="NP406">
        <v>0</v>
      </c>
      <c r="NQ406">
        <v>0</v>
      </c>
      <c r="NR406">
        <v>0</v>
      </c>
      <c r="NS406">
        <v>0</v>
      </c>
      <c r="NT406">
        <v>0</v>
      </c>
      <c r="NU406">
        <v>0</v>
      </c>
      <c r="NV406">
        <v>0</v>
      </c>
      <c r="NW406">
        <v>0</v>
      </c>
      <c r="NX406">
        <v>0</v>
      </c>
      <c r="NY406">
        <v>0</v>
      </c>
      <c r="NZ406">
        <v>0</v>
      </c>
      <c r="OA406">
        <v>0</v>
      </c>
      <c r="OB406">
        <v>0</v>
      </c>
      <c r="OC406">
        <v>0</v>
      </c>
      <c r="OD406">
        <v>0</v>
      </c>
      <c r="OE406">
        <v>0</v>
      </c>
      <c r="OF406">
        <v>0</v>
      </c>
      <c r="OG406">
        <v>0</v>
      </c>
      <c r="OH406">
        <v>0</v>
      </c>
      <c r="OI406">
        <v>0</v>
      </c>
      <c r="OJ406">
        <v>0</v>
      </c>
      <c r="OK406">
        <v>0</v>
      </c>
      <c r="OL406">
        <v>0</v>
      </c>
      <c r="OM406">
        <v>0</v>
      </c>
      <c r="ON406">
        <v>0</v>
      </c>
    </row>
    <row r="407" spans="1:404" x14ac:dyDescent="0.25">
      <c r="A407" t="s">
        <v>1287</v>
      </c>
      <c r="B407" t="s">
        <v>1288</v>
      </c>
      <c r="C407" t="s">
        <v>1286</v>
      </c>
      <c r="E407" t="s">
        <v>1390</v>
      </c>
      <c r="F407">
        <v>0</v>
      </c>
      <c r="G407">
        <v>0</v>
      </c>
      <c r="H407">
        <v>0</v>
      </c>
      <c r="I407">
        <v>0</v>
      </c>
      <c r="J407">
        <v>3107</v>
      </c>
      <c r="K407">
        <v>17629</v>
      </c>
      <c r="L407">
        <v>20736</v>
      </c>
      <c r="M407">
        <v>0</v>
      </c>
      <c r="N407">
        <v>6135</v>
      </c>
      <c r="O407">
        <v>572</v>
      </c>
      <c r="P407">
        <v>0</v>
      </c>
      <c r="Q407">
        <v>0</v>
      </c>
      <c r="R407">
        <v>0</v>
      </c>
      <c r="S407">
        <v>0</v>
      </c>
      <c r="T407">
        <v>0</v>
      </c>
      <c r="U407">
        <v>0</v>
      </c>
      <c r="V407">
        <v>0</v>
      </c>
      <c r="W407">
        <v>0</v>
      </c>
      <c r="X407">
        <v>0</v>
      </c>
      <c r="Y407">
        <v>0</v>
      </c>
      <c r="Z407">
        <v>0</v>
      </c>
      <c r="AA407">
        <v>0</v>
      </c>
      <c r="AB407">
        <v>14696</v>
      </c>
      <c r="AC407">
        <v>0</v>
      </c>
      <c r="AD407">
        <v>0</v>
      </c>
      <c r="AE407">
        <v>0</v>
      </c>
      <c r="AF407">
        <v>10809</v>
      </c>
      <c r="AG407">
        <v>929</v>
      </c>
      <c r="AH407">
        <v>0</v>
      </c>
      <c r="AI407">
        <v>33141</v>
      </c>
      <c r="AJ407">
        <v>0</v>
      </c>
      <c r="AK407">
        <v>0</v>
      </c>
      <c r="AL407">
        <v>0</v>
      </c>
      <c r="AM407">
        <v>0</v>
      </c>
      <c r="AN407">
        <v>0</v>
      </c>
      <c r="AO407">
        <v>0</v>
      </c>
      <c r="AP407">
        <v>0</v>
      </c>
      <c r="AQ407">
        <v>0</v>
      </c>
      <c r="AR407">
        <v>0</v>
      </c>
      <c r="AS407">
        <v>0</v>
      </c>
      <c r="AT407">
        <v>0</v>
      </c>
      <c r="AU407">
        <v>0</v>
      </c>
      <c r="AV407">
        <v>0</v>
      </c>
      <c r="AW407">
        <v>0</v>
      </c>
      <c r="AX407">
        <v>0</v>
      </c>
      <c r="AY407">
        <v>0</v>
      </c>
      <c r="AZ407">
        <v>0</v>
      </c>
      <c r="BA407">
        <v>0</v>
      </c>
      <c r="BB407">
        <v>0</v>
      </c>
      <c r="BC407">
        <v>0</v>
      </c>
      <c r="BD407">
        <v>0</v>
      </c>
      <c r="BE407">
        <v>0</v>
      </c>
      <c r="BF407">
        <v>0</v>
      </c>
      <c r="BG407">
        <v>0</v>
      </c>
      <c r="BH407">
        <v>0</v>
      </c>
      <c r="BI407">
        <v>0</v>
      </c>
      <c r="BJ407">
        <v>0</v>
      </c>
      <c r="BK407">
        <v>0</v>
      </c>
      <c r="BL407">
        <v>0</v>
      </c>
      <c r="BM407">
        <v>0</v>
      </c>
      <c r="BN407">
        <v>0</v>
      </c>
      <c r="BO407">
        <v>0</v>
      </c>
      <c r="BP407">
        <v>0</v>
      </c>
      <c r="BQ407">
        <v>0</v>
      </c>
      <c r="BR407">
        <v>0</v>
      </c>
      <c r="BS407">
        <v>0</v>
      </c>
      <c r="BT407">
        <v>0</v>
      </c>
      <c r="BU407">
        <v>0</v>
      </c>
      <c r="BV407">
        <v>0</v>
      </c>
      <c r="BW407">
        <v>0</v>
      </c>
      <c r="BX407">
        <v>0</v>
      </c>
      <c r="BY407">
        <v>0</v>
      </c>
      <c r="BZ407">
        <v>0</v>
      </c>
      <c r="CA407">
        <v>0</v>
      </c>
      <c r="CB407">
        <v>0</v>
      </c>
      <c r="CC407">
        <v>0</v>
      </c>
      <c r="CD407">
        <v>0</v>
      </c>
      <c r="CE407">
        <v>0</v>
      </c>
      <c r="CF407">
        <v>0</v>
      </c>
      <c r="CG407">
        <v>0</v>
      </c>
      <c r="CH407">
        <v>0</v>
      </c>
      <c r="CI407">
        <v>0</v>
      </c>
      <c r="CJ407">
        <v>0</v>
      </c>
      <c r="CK407">
        <v>0</v>
      </c>
      <c r="CL407">
        <v>0</v>
      </c>
      <c r="CM407">
        <v>0</v>
      </c>
      <c r="CN407">
        <v>0</v>
      </c>
      <c r="CO407">
        <v>0</v>
      </c>
      <c r="CP407">
        <v>0</v>
      </c>
      <c r="CQ407">
        <v>0</v>
      </c>
      <c r="CR407">
        <v>0</v>
      </c>
      <c r="CS407">
        <v>0</v>
      </c>
      <c r="CT407">
        <v>0</v>
      </c>
      <c r="CU407">
        <v>0</v>
      </c>
      <c r="CV407">
        <v>0</v>
      </c>
      <c r="CW407">
        <v>0</v>
      </c>
      <c r="CX407">
        <v>0</v>
      </c>
      <c r="CY407">
        <v>0</v>
      </c>
      <c r="CZ407">
        <v>0</v>
      </c>
      <c r="DA407">
        <v>0</v>
      </c>
      <c r="DB407">
        <v>0</v>
      </c>
      <c r="DC407">
        <v>0</v>
      </c>
      <c r="DD407">
        <v>0</v>
      </c>
      <c r="DE407">
        <v>0</v>
      </c>
      <c r="DF407">
        <v>0</v>
      </c>
      <c r="DG407">
        <v>0</v>
      </c>
      <c r="DH407">
        <v>0</v>
      </c>
      <c r="DI407">
        <v>0</v>
      </c>
      <c r="DJ407">
        <v>0</v>
      </c>
      <c r="DK407">
        <v>0</v>
      </c>
      <c r="DL407">
        <v>0</v>
      </c>
      <c r="DM407">
        <v>0</v>
      </c>
      <c r="DN407">
        <v>0</v>
      </c>
      <c r="DO407">
        <v>0</v>
      </c>
      <c r="DP407">
        <v>0</v>
      </c>
      <c r="DQ407">
        <v>0</v>
      </c>
      <c r="DR407">
        <v>0</v>
      </c>
      <c r="DS407">
        <v>0</v>
      </c>
      <c r="DT407">
        <v>0</v>
      </c>
      <c r="DU407">
        <v>0</v>
      </c>
      <c r="DV407">
        <v>0</v>
      </c>
      <c r="DW407">
        <v>0</v>
      </c>
      <c r="DX407">
        <v>0</v>
      </c>
      <c r="DY407">
        <v>0</v>
      </c>
      <c r="DZ407">
        <v>0</v>
      </c>
      <c r="EA407">
        <v>0</v>
      </c>
      <c r="EB407">
        <v>0</v>
      </c>
      <c r="EC407">
        <v>0</v>
      </c>
      <c r="ED407">
        <v>0</v>
      </c>
      <c r="EE407">
        <v>0</v>
      </c>
      <c r="EF407">
        <v>0</v>
      </c>
      <c r="EG407">
        <v>0</v>
      </c>
      <c r="EH407">
        <v>0</v>
      </c>
      <c r="EI407">
        <v>0</v>
      </c>
      <c r="EJ407">
        <v>0</v>
      </c>
      <c r="EK407">
        <v>0</v>
      </c>
      <c r="EL407">
        <v>0</v>
      </c>
      <c r="EM407">
        <v>0</v>
      </c>
      <c r="EN407">
        <v>0</v>
      </c>
      <c r="EO407">
        <v>0</v>
      </c>
      <c r="EP407">
        <v>0</v>
      </c>
      <c r="EQ407">
        <v>0</v>
      </c>
      <c r="ER407">
        <v>0</v>
      </c>
      <c r="ES407">
        <v>0</v>
      </c>
      <c r="ET407">
        <v>0</v>
      </c>
      <c r="EU407">
        <v>0</v>
      </c>
      <c r="EV407">
        <v>51</v>
      </c>
      <c r="EW407">
        <v>0</v>
      </c>
      <c r="EX407">
        <v>0</v>
      </c>
      <c r="EY407">
        <v>0</v>
      </c>
      <c r="EZ407">
        <v>0</v>
      </c>
      <c r="FA407">
        <v>0</v>
      </c>
      <c r="FB407">
        <v>0</v>
      </c>
      <c r="FC407">
        <v>0</v>
      </c>
      <c r="FD407">
        <v>0</v>
      </c>
      <c r="FE407">
        <v>0</v>
      </c>
      <c r="FF407">
        <v>0</v>
      </c>
      <c r="FG407">
        <v>0</v>
      </c>
      <c r="FH407">
        <v>51</v>
      </c>
      <c r="FI407">
        <v>0</v>
      </c>
      <c r="FJ407">
        <v>0</v>
      </c>
      <c r="FK407">
        <v>0</v>
      </c>
      <c r="FL407">
        <v>0</v>
      </c>
      <c r="FM407">
        <v>0</v>
      </c>
      <c r="FN407">
        <v>0</v>
      </c>
      <c r="FO407">
        <v>0</v>
      </c>
      <c r="FP407">
        <v>0</v>
      </c>
      <c r="FQ407">
        <v>0</v>
      </c>
      <c r="FR407">
        <v>0</v>
      </c>
      <c r="FS407">
        <v>0</v>
      </c>
      <c r="FT407">
        <v>0</v>
      </c>
      <c r="FU407">
        <v>0</v>
      </c>
      <c r="FV407">
        <v>0</v>
      </c>
      <c r="FW407">
        <v>0</v>
      </c>
      <c r="FX407">
        <v>0</v>
      </c>
      <c r="FY407">
        <v>0</v>
      </c>
      <c r="FZ407">
        <v>0</v>
      </c>
      <c r="GA407">
        <v>0</v>
      </c>
      <c r="GB407">
        <v>0</v>
      </c>
      <c r="GC407">
        <v>0</v>
      </c>
      <c r="GD407">
        <v>0</v>
      </c>
      <c r="GE407">
        <v>0</v>
      </c>
      <c r="GF407">
        <v>0</v>
      </c>
      <c r="GG407">
        <v>0</v>
      </c>
      <c r="GH407">
        <v>0</v>
      </c>
      <c r="GI407">
        <v>0</v>
      </c>
      <c r="GJ407">
        <v>0</v>
      </c>
      <c r="GK407">
        <v>0</v>
      </c>
      <c r="GL407">
        <v>0</v>
      </c>
      <c r="GM407">
        <v>0</v>
      </c>
      <c r="GN407">
        <v>0</v>
      </c>
      <c r="GO407">
        <v>2529</v>
      </c>
      <c r="GP407">
        <v>115</v>
      </c>
      <c r="GQ407">
        <v>424</v>
      </c>
      <c r="GR407">
        <v>0</v>
      </c>
      <c r="GS407">
        <v>11028</v>
      </c>
      <c r="GT407">
        <v>0</v>
      </c>
      <c r="GU407">
        <v>14096</v>
      </c>
      <c r="GV407">
        <v>14147</v>
      </c>
      <c r="GW407">
        <v>0</v>
      </c>
      <c r="GX407">
        <v>0</v>
      </c>
      <c r="GY407">
        <v>0</v>
      </c>
      <c r="GZ407">
        <v>0</v>
      </c>
      <c r="HA407">
        <v>0</v>
      </c>
      <c r="HB407">
        <v>2074</v>
      </c>
      <c r="HC407">
        <v>0</v>
      </c>
      <c r="HD407">
        <v>0</v>
      </c>
      <c r="HE407">
        <v>0</v>
      </c>
      <c r="HF407">
        <v>0</v>
      </c>
      <c r="HG407">
        <v>0</v>
      </c>
      <c r="HH407">
        <v>0</v>
      </c>
      <c r="HI407">
        <v>0</v>
      </c>
      <c r="HJ407">
        <v>0</v>
      </c>
      <c r="HK407">
        <v>1074</v>
      </c>
      <c r="HL407">
        <v>0</v>
      </c>
      <c r="HM407">
        <v>0</v>
      </c>
      <c r="HN407">
        <v>0</v>
      </c>
      <c r="HO407">
        <v>0</v>
      </c>
      <c r="HP407">
        <v>0</v>
      </c>
      <c r="HQ407">
        <v>0</v>
      </c>
      <c r="HR407">
        <v>0</v>
      </c>
      <c r="HS407">
        <v>0</v>
      </c>
      <c r="HT407">
        <v>0</v>
      </c>
      <c r="HU407">
        <v>0</v>
      </c>
      <c r="HV407">
        <v>3148</v>
      </c>
      <c r="HW407">
        <v>0</v>
      </c>
      <c r="HX407">
        <v>0</v>
      </c>
      <c r="HY407">
        <v>0</v>
      </c>
      <c r="HZ407">
        <v>0</v>
      </c>
      <c r="IA407">
        <v>0</v>
      </c>
      <c r="IB407">
        <v>0</v>
      </c>
      <c r="IC407">
        <v>20736</v>
      </c>
      <c r="ID407">
        <v>33141</v>
      </c>
      <c r="IE407">
        <v>0</v>
      </c>
      <c r="IF407">
        <v>0</v>
      </c>
      <c r="IG407">
        <v>0</v>
      </c>
      <c r="IH407">
        <v>0</v>
      </c>
      <c r="II407">
        <v>51</v>
      </c>
      <c r="IJ407">
        <v>0</v>
      </c>
      <c r="IK407">
        <v>14096</v>
      </c>
      <c r="IL407">
        <v>0</v>
      </c>
      <c r="IM407">
        <v>0</v>
      </c>
      <c r="IN407">
        <v>3148</v>
      </c>
      <c r="IO407">
        <v>0</v>
      </c>
      <c r="IP407">
        <v>71172</v>
      </c>
      <c r="IQ407">
        <v>0</v>
      </c>
      <c r="IR407">
        <v>0</v>
      </c>
      <c r="IS407">
        <v>0</v>
      </c>
      <c r="IT407">
        <v>0</v>
      </c>
      <c r="IU407">
        <v>0</v>
      </c>
      <c r="IV407">
        <v>0</v>
      </c>
      <c r="IW407">
        <v>-21175</v>
      </c>
      <c r="IX407">
        <v>0</v>
      </c>
      <c r="IY407">
        <v>0</v>
      </c>
      <c r="IZ407">
        <v>0</v>
      </c>
      <c r="JA407">
        <v>0</v>
      </c>
      <c r="JB407">
        <v>0</v>
      </c>
      <c r="JC407">
        <v>0</v>
      </c>
      <c r="JD407">
        <v>0</v>
      </c>
      <c r="JE407">
        <v>0</v>
      </c>
      <c r="JF407">
        <v>0</v>
      </c>
      <c r="JG407">
        <v>49997</v>
      </c>
      <c r="JH407">
        <v>0</v>
      </c>
      <c r="JI407">
        <v>14063</v>
      </c>
      <c r="JJ407">
        <v>0</v>
      </c>
      <c r="JK407">
        <v>0</v>
      </c>
      <c r="JL407">
        <v>0</v>
      </c>
      <c r="JM407">
        <v>0</v>
      </c>
      <c r="JN407">
        <v>0</v>
      </c>
      <c r="JO407">
        <v>0</v>
      </c>
      <c r="JP407">
        <v>0</v>
      </c>
      <c r="JQ407">
        <v>0</v>
      </c>
      <c r="JR407">
        <v>64060</v>
      </c>
      <c r="JS407">
        <v>-2428</v>
      </c>
      <c r="JT407">
        <v>0</v>
      </c>
      <c r="JU407">
        <v>0</v>
      </c>
      <c r="JV407">
        <v>0</v>
      </c>
      <c r="JW407">
        <v>0</v>
      </c>
      <c r="JX407">
        <v>0</v>
      </c>
      <c r="JY407">
        <v>0</v>
      </c>
      <c r="JZ407">
        <v>0</v>
      </c>
      <c r="KA407">
        <v>0</v>
      </c>
      <c r="KB407">
        <v>0</v>
      </c>
      <c r="KC407">
        <v>61632</v>
      </c>
      <c r="KD407">
        <v>0</v>
      </c>
      <c r="KE407">
        <v>-47652</v>
      </c>
      <c r="KF407">
        <v>13980</v>
      </c>
      <c r="KG407">
        <v>0</v>
      </c>
      <c r="KH407">
        <v>0</v>
      </c>
      <c r="KI407">
        <v>0</v>
      </c>
      <c r="KJ407">
        <v>0</v>
      </c>
      <c r="KK407">
        <v>-6002</v>
      </c>
      <c r="KL407">
        <v>417</v>
      </c>
      <c r="KM407">
        <v>0</v>
      </c>
      <c r="KN407">
        <v>0</v>
      </c>
      <c r="KO407">
        <v>-14299</v>
      </c>
      <c r="KP407">
        <v>0</v>
      </c>
      <c r="KQ407">
        <v>0</v>
      </c>
      <c r="KR407">
        <v>0</v>
      </c>
      <c r="KS407">
        <v>0</v>
      </c>
      <c r="KT407">
        <v>0</v>
      </c>
      <c r="KU407">
        <v>0</v>
      </c>
      <c r="KV407">
        <v>15641</v>
      </c>
      <c r="KW407">
        <v>1953</v>
      </c>
      <c r="KX407">
        <v>0</v>
      </c>
      <c r="KY407">
        <v>0</v>
      </c>
      <c r="KZ407">
        <v>0</v>
      </c>
      <c r="LA407">
        <v>9639</v>
      </c>
      <c r="LB407">
        <v>2370</v>
      </c>
      <c r="LC407">
        <v>0</v>
      </c>
      <c r="LD407">
        <v>0</v>
      </c>
      <c r="LE407">
        <v>0</v>
      </c>
      <c r="LF407">
        <v>0</v>
      </c>
      <c r="LG407">
        <v>0</v>
      </c>
      <c r="LH407">
        <v>0</v>
      </c>
      <c r="LI407">
        <v>0</v>
      </c>
      <c r="LJ407">
        <v>0</v>
      </c>
      <c r="LK407">
        <v>0</v>
      </c>
      <c r="LL407">
        <v>0</v>
      </c>
      <c r="LM407">
        <v>0</v>
      </c>
      <c r="LN407">
        <v>0</v>
      </c>
      <c r="LO407">
        <v>0</v>
      </c>
      <c r="LP407">
        <v>0</v>
      </c>
      <c r="LQ407">
        <v>0</v>
      </c>
      <c r="LR407">
        <v>0</v>
      </c>
      <c r="LS407">
        <v>0</v>
      </c>
      <c r="LT407">
        <v>0</v>
      </c>
      <c r="LU407">
        <v>20736</v>
      </c>
      <c r="LV407">
        <v>33141</v>
      </c>
      <c r="LW407">
        <v>0</v>
      </c>
      <c r="LX407">
        <v>0</v>
      </c>
      <c r="LY407">
        <v>0</v>
      </c>
      <c r="LZ407">
        <v>0</v>
      </c>
      <c r="MA407">
        <v>51</v>
      </c>
      <c r="MB407">
        <v>0</v>
      </c>
      <c r="MC407">
        <v>14096</v>
      </c>
      <c r="MD407">
        <v>0</v>
      </c>
      <c r="ME407">
        <v>0</v>
      </c>
      <c r="MF407">
        <v>3148</v>
      </c>
      <c r="MG407">
        <v>0</v>
      </c>
      <c r="MH407">
        <v>71172</v>
      </c>
      <c r="MI407">
        <v>0</v>
      </c>
      <c r="MJ407">
        <v>0</v>
      </c>
      <c r="MK407">
        <v>0</v>
      </c>
      <c r="ML407">
        <v>0</v>
      </c>
      <c r="MM407">
        <v>0</v>
      </c>
      <c r="MN407">
        <v>0</v>
      </c>
      <c r="MO407">
        <v>0</v>
      </c>
      <c r="MP407">
        <v>0</v>
      </c>
      <c r="MQ407">
        <v>0</v>
      </c>
      <c r="MR407">
        <v>0</v>
      </c>
      <c r="MS407">
        <v>0</v>
      </c>
      <c r="MT407">
        <v>0</v>
      </c>
      <c r="MU407">
        <v>0</v>
      </c>
      <c r="MV407">
        <v>0</v>
      </c>
      <c r="MW407">
        <v>0</v>
      </c>
      <c r="MX407">
        <v>0</v>
      </c>
      <c r="MY407">
        <v>0</v>
      </c>
      <c r="MZ407">
        <v>0</v>
      </c>
      <c r="NA407">
        <v>0</v>
      </c>
      <c r="NB407">
        <v>0</v>
      </c>
      <c r="NC407">
        <v>0</v>
      </c>
      <c r="ND407">
        <v>0</v>
      </c>
      <c r="NE407">
        <v>0</v>
      </c>
      <c r="NF407">
        <v>0</v>
      </c>
      <c r="NG407">
        <v>0</v>
      </c>
      <c r="NH407">
        <v>0</v>
      </c>
      <c r="NI407">
        <v>0</v>
      </c>
      <c r="NJ407">
        <v>0</v>
      </c>
      <c r="NK407">
        <v>0</v>
      </c>
      <c r="NL407">
        <v>0</v>
      </c>
      <c r="NM407">
        <v>0</v>
      </c>
      <c r="NN407">
        <v>0</v>
      </c>
      <c r="NO407">
        <v>0</v>
      </c>
      <c r="NP407">
        <v>0</v>
      </c>
      <c r="NQ407">
        <v>0</v>
      </c>
      <c r="NR407">
        <v>0</v>
      </c>
      <c r="NS407">
        <v>0</v>
      </c>
      <c r="NT407">
        <v>0</v>
      </c>
      <c r="NU407">
        <v>0</v>
      </c>
      <c r="NV407">
        <v>0</v>
      </c>
      <c r="NW407">
        <v>0</v>
      </c>
      <c r="NX407">
        <v>0</v>
      </c>
      <c r="NY407">
        <v>0</v>
      </c>
      <c r="NZ407">
        <v>0</v>
      </c>
      <c r="OA407">
        <v>0</v>
      </c>
      <c r="OB407">
        <v>0</v>
      </c>
      <c r="OC407">
        <v>0</v>
      </c>
      <c r="OD407">
        <v>0</v>
      </c>
      <c r="OE407">
        <v>0</v>
      </c>
      <c r="OF407">
        <v>0</v>
      </c>
      <c r="OG407">
        <v>0</v>
      </c>
      <c r="OH407">
        <v>0</v>
      </c>
      <c r="OI407">
        <v>0</v>
      </c>
      <c r="OJ407">
        <v>0</v>
      </c>
      <c r="OK407">
        <v>0</v>
      </c>
      <c r="OL407">
        <v>0</v>
      </c>
      <c r="OM407">
        <v>0</v>
      </c>
      <c r="ON407">
        <v>0</v>
      </c>
    </row>
    <row r="408" spans="1:404" x14ac:dyDescent="0.25">
      <c r="A408" t="s">
        <v>1290</v>
      </c>
      <c r="B408" t="s">
        <v>1291</v>
      </c>
      <c r="C408" t="s">
        <v>1289</v>
      </c>
      <c r="E408" t="s">
        <v>61</v>
      </c>
      <c r="F408">
        <v>0</v>
      </c>
      <c r="G408">
        <v>0</v>
      </c>
      <c r="H408">
        <v>0</v>
      </c>
      <c r="I408">
        <v>0</v>
      </c>
      <c r="J408">
        <v>0</v>
      </c>
      <c r="K408">
        <v>0</v>
      </c>
      <c r="L408">
        <v>0</v>
      </c>
      <c r="M408">
        <v>0</v>
      </c>
      <c r="N408">
        <v>0</v>
      </c>
      <c r="O408">
        <v>0</v>
      </c>
      <c r="P408">
        <v>0</v>
      </c>
      <c r="Q408">
        <v>0</v>
      </c>
      <c r="R408">
        <v>0</v>
      </c>
      <c r="S408">
        <v>0</v>
      </c>
      <c r="T408">
        <v>0</v>
      </c>
      <c r="U408">
        <v>0</v>
      </c>
      <c r="V408">
        <v>0</v>
      </c>
      <c r="W408">
        <v>0</v>
      </c>
      <c r="X408">
        <v>0</v>
      </c>
      <c r="Y408">
        <v>0</v>
      </c>
      <c r="Z408">
        <v>114</v>
      </c>
      <c r="AA408">
        <v>84</v>
      </c>
      <c r="AB408">
        <v>0</v>
      </c>
      <c r="AC408">
        <v>0</v>
      </c>
      <c r="AD408">
        <v>0</v>
      </c>
      <c r="AE408">
        <v>0</v>
      </c>
      <c r="AF408">
        <v>0</v>
      </c>
      <c r="AG408">
        <v>0</v>
      </c>
      <c r="AH408">
        <v>0</v>
      </c>
      <c r="AI408">
        <v>198</v>
      </c>
      <c r="AJ408">
        <v>0</v>
      </c>
      <c r="AK408">
        <v>0</v>
      </c>
      <c r="AL408">
        <v>0</v>
      </c>
      <c r="AM408">
        <v>0</v>
      </c>
      <c r="AN408">
        <v>0</v>
      </c>
      <c r="AO408">
        <v>0</v>
      </c>
      <c r="AP408">
        <v>0</v>
      </c>
      <c r="AQ408">
        <v>0</v>
      </c>
      <c r="AR408">
        <v>0</v>
      </c>
      <c r="AS408">
        <v>0</v>
      </c>
      <c r="AT408">
        <v>0</v>
      </c>
      <c r="AU408">
        <v>0</v>
      </c>
      <c r="AV408">
        <v>0</v>
      </c>
      <c r="AW408">
        <v>0</v>
      </c>
      <c r="AX408">
        <v>0</v>
      </c>
      <c r="AY408">
        <v>0</v>
      </c>
      <c r="AZ408">
        <v>0</v>
      </c>
      <c r="BA408">
        <v>0</v>
      </c>
      <c r="BB408">
        <v>0</v>
      </c>
      <c r="BC408">
        <v>0</v>
      </c>
      <c r="BD408">
        <v>0</v>
      </c>
      <c r="BE408">
        <v>0</v>
      </c>
      <c r="BF408">
        <v>0</v>
      </c>
      <c r="BG408">
        <v>0</v>
      </c>
      <c r="BH408">
        <v>0</v>
      </c>
      <c r="BI408">
        <v>0</v>
      </c>
      <c r="BJ408">
        <v>0</v>
      </c>
      <c r="BK408">
        <v>0</v>
      </c>
      <c r="BL408">
        <v>0</v>
      </c>
      <c r="BM408">
        <v>0</v>
      </c>
      <c r="BN408">
        <v>0</v>
      </c>
      <c r="BO408">
        <v>0</v>
      </c>
      <c r="BP408">
        <v>0</v>
      </c>
      <c r="BQ408">
        <v>0</v>
      </c>
      <c r="BR408">
        <v>0</v>
      </c>
      <c r="BS408">
        <v>0</v>
      </c>
      <c r="BT408">
        <v>0</v>
      </c>
      <c r="BU408">
        <v>0</v>
      </c>
      <c r="BV408">
        <v>0</v>
      </c>
      <c r="BW408">
        <v>0</v>
      </c>
      <c r="BX408">
        <v>0</v>
      </c>
      <c r="BY408">
        <v>0</v>
      </c>
      <c r="BZ408">
        <v>0</v>
      </c>
      <c r="CA408">
        <v>0</v>
      </c>
      <c r="CB408">
        <v>0</v>
      </c>
      <c r="CC408">
        <v>0</v>
      </c>
      <c r="CD408">
        <v>0</v>
      </c>
      <c r="CE408">
        <v>0</v>
      </c>
      <c r="CF408">
        <v>0</v>
      </c>
      <c r="CG408">
        <v>0</v>
      </c>
      <c r="CH408">
        <v>0</v>
      </c>
      <c r="CI408">
        <v>0</v>
      </c>
      <c r="CJ408">
        <v>0</v>
      </c>
      <c r="CK408">
        <v>0</v>
      </c>
      <c r="CL408">
        <v>0</v>
      </c>
      <c r="CM408">
        <v>0</v>
      </c>
      <c r="CN408">
        <v>0</v>
      </c>
      <c r="CO408">
        <v>0</v>
      </c>
      <c r="CP408">
        <v>0</v>
      </c>
      <c r="CQ408">
        <v>0</v>
      </c>
      <c r="CR408">
        <v>0</v>
      </c>
      <c r="CS408">
        <v>0</v>
      </c>
      <c r="CT408">
        <v>0</v>
      </c>
      <c r="CU408">
        <v>0</v>
      </c>
      <c r="CV408">
        <v>0</v>
      </c>
      <c r="CW408">
        <v>0</v>
      </c>
      <c r="CX408">
        <v>0</v>
      </c>
      <c r="CY408">
        <v>0</v>
      </c>
      <c r="CZ408">
        <v>0</v>
      </c>
      <c r="DA408">
        <v>0</v>
      </c>
      <c r="DB408">
        <v>0</v>
      </c>
      <c r="DC408">
        <v>96</v>
      </c>
      <c r="DD408">
        <v>0</v>
      </c>
      <c r="DE408">
        <v>0</v>
      </c>
      <c r="DF408">
        <v>0</v>
      </c>
      <c r="DG408">
        <v>0</v>
      </c>
      <c r="DH408">
        <v>0</v>
      </c>
      <c r="DI408">
        <v>89</v>
      </c>
      <c r="DJ408">
        <v>0</v>
      </c>
      <c r="DK408">
        <v>0</v>
      </c>
      <c r="DL408">
        <v>0</v>
      </c>
      <c r="DM408">
        <v>0</v>
      </c>
      <c r="DN408">
        <v>884</v>
      </c>
      <c r="DO408">
        <v>0</v>
      </c>
      <c r="DP408">
        <v>973</v>
      </c>
      <c r="DQ408">
        <v>0</v>
      </c>
      <c r="DR408">
        <v>0</v>
      </c>
      <c r="DS408">
        <v>0</v>
      </c>
      <c r="DT408">
        <v>304</v>
      </c>
      <c r="DU408">
        <v>0</v>
      </c>
      <c r="DV408">
        <v>0</v>
      </c>
      <c r="DW408">
        <v>0</v>
      </c>
      <c r="DX408">
        <v>1373</v>
      </c>
      <c r="DY408">
        <v>0</v>
      </c>
      <c r="DZ408">
        <v>0</v>
      </c>
      <c r="EA408">
        <v>0</v>
      </c>
      <c r="EB408">
        <v>0</v>
      </c>
      <c r="EC408">
        <v>0</v>
      </c>
      <c r="ED408">
        <v>0</v>
      </c>
      <c r="EE408">
        <v>0</v>
      </c>
      <c r="EF408">
        <v>0</v>
      </c>
      <c r="EG408">
        <v>0</v>
      </c>
      <c r="EH408">
        <v>0</v>
      </c>
      <c r="EI408">
        <v>0</v>
      </c>
      <c r="EJ408">
        <v>0</v>
      </c>
      <c r="EK408">
        <v>0</v>
      </c>
      <c r="EL408">
        <v>0</v>
      </c>
      <c r="EM408">
        <v>0</v>
      </c>
      <c r="EN408">
        <v>0</v>
      </c>
      <c r="EO408">
        <v>0</v>
      </c>
      <c r="EP408">
        <v>0</v>
      </c>
      <c r="EQ408">
        <v>0</v>
      </c>
      <c r="ER408">
        <v>0</v>
      </c>
      <c r="ES408">
        <v>0</v>
      </c>
      <c r="ET408">
        <v>0</v>
      </c>
      <c r="EU408">
        <v>0</v>
      </c>
      <c r="EV408">
        <v>0</v>
      </c>
      <c r="EW408">
        <v>128</v>
      </c>
      <c r="EX408">
        <v>0</v>
      </c>
      <c r="EY408">
        <v>0</v>
      </c>
      <c r="EZ408">
        <v>0</v>
      </c>
      <c r="FA408">
        <v>0</v>
      </c>
      <c r="FB408">
        <v>0</v>
      </c>
      <c r="FC408">
        <v>221</v>
      </c>
      <c r="FD408">
        <v>505</v>
      </c>
      <c r="FE408">
        <v>0</v>
      </c>
      <c r="FF408">
        <v>342</v>
      </c>
      <c r="FG408">
        <v>0</v>
      </c>
      <c r="FH408">
        <v>1196</v>
      </c>
      <c r="FI408">
        <v>8</v>
      </c>
      <c r="FJ408">
        <v>0</v>
      </c>
      <c r="FK408">
        <v>1</v>
      </c>
      <c r="FL408">
        <v>131</v>
      </c>
      <c r="FM408">
        <v>354</v>
      </c>
      <c r="FN408">
        <v>0</v>
      </c>
      <c r="FO408">
        <v>0</v>
      </c>
      <c r="FP408">
        <v>0</v>
      </c>
      <c r="FQ408">
        <v>0</v>
      </c>
      <c r="FR408">
        <v>9</v>
      </c>
      <c r="FS408">
        <v>120</v>
      </c>
      <c r="FT408">
        <v>57</v>
      </c>
      <c r="FU408">
        <v>-31</v>
      </c>
      <c r="FV408">
        <v>140</v>
      </c>
      <c r="FW408">
        <v>0</v>
      </c>
      <c r="FX408">
        <v>101</v>
      </c>
      <c r="FY408">
        <v>145</v>
      </c>
      <c r="FZ408">
        <v>0</v>
      </c>
      <c r="GA408">
        <v>0</v>
      </c>
      <c r="GB408">
        <v>0</v>
      </c>
      <c r="GC408">
        <v>0</v>
      </c>
      <c r="GD408">
        <v>1018</v>
      </c>
      <c r="GE408">
        <v>1680</v>
      </c>
      <c r="GF408">
        <v>0</v>
      </c>
      <c r="GG408">
        <v>227</v>
      </c>
      <c r="GH408">
        <v>2425</v>
      </c>
      <c r="GI408">
        <v>0</v>
      </c>
      <c r="GJ408">
        <v>133</v>
      </c>
      <c r="GK408">
        <v>6518</v>
      </c>
      <c r="GL408">
        <v>-57</v>
      </c>
      <c r="GM408">
        <v>20</v>
      </c>
      <c r="GN408">
        <v>0</v>
      </c>
      <c r="GO408">
        <v>462</v>
      </c>
      <c r="GP408">
        <v>0</v>
      </c>
      <c r="GQ408">
        <v>98</v>
      </c>
      <c r="GR408">
        <v>0</v>
      </c>
      <c r="GS408">
        <v>-15</v>
      </c>
      <c r="GT408">
        <v>211</v>
      </c>
      <c r="GU408">
        <v>719</v>
      </c>
      <c r="GV408">
        <v>8433</v>
      </c>
      <c r="GW408">
        <v>0</v>
      </c>
      <c r="GX408">
        <v>0</v>
      </c>
      <c r="GY408">
        <v>0</v>
      </c>
      <c r="GZ408">
        <v>0</v>
      </c>
      <c r="HA408">
        <v>0</v>
      </c>
      <c r="HB408">
        <v>4607</v>
      </c>
      <c r="HC408">
        <v>228</v>
      </c>
      <c r="HD408">
        <v>0</v>
      </c>
      <c r="HE408">
        <v>0</v>
      </c>
      <c r="HF408">
        <v>145</v>
      </c>
      <c r="HG408">
        <v>-49</v>
      </c>
      <c r="HH408">
        <v>0</v>
      </c>
      <c r="HI408">
        <v>0</v>
      </c>
      <c r="HJ408">
        <v>67</v>
      </c>
      <c r="HK408">
        <v>39</v>
      </c>
      <c r="HL408">
        <v>8</v>
      </c>
      <c r="HM408">
        <v>0</v>
      </c>
      <c r="HN408">
        <v>0</v>
      </c>
      <c r="HO408">
        <v>0</v>
      </c>
      <c r="HP408">
        <v>0</v>
      </c>
      <c r="HQ408">
        <v>0</v>
      </c>
      <c r="HR408">
        <v>647</v>
      </c>
      <c r="HS408">
        <v>0</v>
      </c>
      <c r="HT408">
        <v>0</v>
      </c>
      <c r="HU408">
        <v>4003</v>
      </c>
      <c r="HV408">
        <v>9695</v>
      </c>
      <c r="HW408">
        <v>0</v>
      </c>
      <c r="HX408">
        <v>0</v>
      </c>
      <c r="HY408">
        <v>0</v>
      </c>
      <c r="HZ408">
        <v>0</v>
      </c>
      <c r="IA408">
        <v>1169</v>
      </c>
      <c r="IB408">
        <v>0</v>
      </c>
      <c r="IC408">
        <v>0</v>
      </c>
      <c r="ID408">
        <v>198</v>
      </c>
      <c r="IE408">
        <v>0</v>
      </c>
      <c r="IF408">
        <v>0</v>
      </c>
      <c r="IG408">
        <v>0</v>
      </c>
      <c r="IH408">
        <v>1373</v>
      </c>
      <c r="II408">
        <v>1196</v>
      </c>
      <c r="IJ408">
        <v>6518</v>
      </c>
      <c r="IK408">
        <v>719</v>
      </c>
      <c r="IL408">
        <v>0</v>
      </c>
      <c r="IM408">
        <v>0</v>
      </c>
      <c r="IN408">
        <v>9695</v>
      </c>
      <c r="IO408">
        <v>0</v>
      </c>
      <c r="IP408">
        <v>19699</v>
      </c>
      <c r="IQ408">
        <v>15390</v>
      </c>
      <c r="IR408">
        <v>0</v>
      </c>
      <c r="IS408">
        <v>0</v>
      </c>
      <c r="IT408">
        <v>0</v>
      </c>
      <c r="IU408">
        <v>0</v>
      </c>
      <c r="IV408">
        <v>4093</v>
      </c>
      <c r="IW408">
        <v>0</v>
      </c>
      <c r="IX408">
        <v>0</v>
      </c>
      <c r="IY408">
        <v>0</v>
      </c>
      <c r="IZ408">
        <v>0</v>
      </c>
      <c r="JA408">
        <v>-3399</v>
      </c>
      <c r="JB408">
        <v>0</v>
      </c>
      <c r="JC408">
        <v>-311</v>
      </c>
      <c r="JD408">
        <v>0</v>
      </c>
      <c r="JE408">
        <v>0</v>
      </c>
      <c r="JF408">
        <v>0</v>
      </c>
      <c r="JG408">
        <v>35472</v>
      </c>
      <c r="JH408">
        <v>0</v>
      </c>
      <c r="JI408">
        <v>540</v>
      </c>
      <c r="JJ408">
        <v>0</v>
      </c>
      <c r="JK408">
        <v>0</v>
      </c>
      <c r="JL408">
        <v>0</v>
      </c>
      <c r="JM408">
        <v>-208</v>
      </c>
      <c r="JN408">
        <v>345</v>
      </c>
      <c r="JO408">
        <v>0</v>
      </c>
      <c r="JP408">
        <v>0</v>
      </c>
      <c r="JQ408">
        <v>0</v>
      </c>
      <c r="JR408">
        <v>36149</v>
      </c>
      <c r="JS408">
        <v>-1001</v>
      </c>
      <c r="JT408">
        <v>0</v>
      </c>
      <c r="JU408">
        <v>0</v>
      </c>
      <c r="JV408">
        <v>0</v>
      </c>
      <c r="JW408">
        <v>-14944</v>
      </c>
      <c r="JX408">
        <v>0</v>
      </c>
      <c r="JY408">
        <v>0</v>
      </c>
      <c r="JZ408">
        <v>0</v>
      </c>
      <c r="KA408">
        <v>0</v>
      </c>
      <c r="KB408">
        <v>0</v>
      </c>
      <c r="KC408">
        <v>20204</v>
      </c>
      <c r="KD408">
        <v>0</v>
      </c>
      <c r="KE408">
        <v>-3375</v>
      </c>
      <c r="KF408">
        <v>16829</v>
      </c>
      <c r="KG408">
        <v>0</v>
      </c>
      <c r="KH408">
        <v>0</v>
      </c>
      <c r="KI408">
        <v>0</v>
      </c>
      <c r="KJ408">
        <v>0</v>
      </c>
      <c r="KK408">
        <v>-1294</v>
      </c>
      <c r="KL408">
        <v>5</v>
      </c>
      <c r="KM408">
        <v>-79</v>
      </c>
      <c r="KN408">
        <v>0</v>
      </c>
      <c r="KO408">
        <v>0</v>
      </c>
      <c r="KP408">
        <v>-150</v>
      </c>
      <c r="KQ408">
        <v>0</v>
      </c>
      <c r="KR408">
        <v>9006</v>
      </c>
      <c r="KS408">
        <v>0</v>
      </c>
      <c r="KT408">
        <v>0</v>
      </c>
      <c r="KU408">
        <v>0</v>
      </c>
      <c r="KV408">
        <v>19095</v>
      </c>
      <c r="KW408">
        <v>12808</v>
      </c>
      <c r="KX408">
        <v>0</v>
      </c>
      <c r="KY408">
        <v>0</v>
      </c>
      <c r="KZ408">
        <v>0</v>
      </c>
      <c r="LA408">
        <v>17801</v>
      </c>
      <c r="LB408">
        <v>12813</v>
      </c>
      <c r="LC408">
        <v>0</v>
      </c>
      <c r="LD408">
        <v>1723</v>
      </c>
      <c r="LE408">
        <v>202</v>
      </c>
      <c r="LF408">
        <v>-1485</v>
      </c>
      <c r="LG408">
        <v>0</v>
      </c>
      <c r="LH408">
        <v>1159</v>
      </c>
      <c r="LI408">
        <v>751</v>
      </c>
      <c r="LJ408">
        <v>2219</v>
      </c>
      <c r="LK408">
        <v>2832</v>
      </c>
      <c r="LL408">
        <v>5051</v>
      </c>
      <c r="LM408">
        <v>0</v>
      </c>
      <c r="LN408">
        <v>0</v>
      </c>
      <c r="LO408">
        <v>0</v>
      </c>
      <c r="LP408">
        <v>0</v>
      </c>
      <c r="LQ408">
        <v>0</v>
      </c>
      <c r="LR408">
        <v>0</v>
      </c>
      <c r="LS408">
        <v>0</v>
      </c>
      <c r="LT408">
        <v>0</v>
      </c>
      <c r="LU408">
        <v>0</v>
      </c>
      <c r="LV408">
        <v>198</v>
      </c>
      <c r="LW408">
        <v>0</v>
      </c>
      <c r="LX408">
        <v>0</v>
      </c>
      <c r="LY408">
        <v>0</v>
      </c>
      <c r="LZ408">
        <v>1373</v>
      </c>
      <c r="MA408">
        <v>1196</v>
      </c>
      <c r="MB408">
        <v>6518</v>
      </c>
      <c r="MC408">
        <v>719</v>
      </c>
      <c r="MD408">
        <v>0</v>
      </c>
      <c r="ME408">
        <v>0</v>
      </c>
      <c r="MF408">
        <v>9695</v>
      </c>
      <c r="MG408">
        <v>0</v>
      </c>
      <c r="MH408">
        <v>19699</v>
      </c>
      <c r="MI408">
        <v>0</v>
      </c>
      <c r="MJ408">
        <v>0</v>
      </c>
      <c r="MK408">
        <v>0</v>
      </c>
      <c r="ML408">
        <v>0</v>
      </c>
      <c r="MM408">
        <v>0</v>
      </c>
      <c r="MN408">
        <v>0</v>
      </c>
      <c r="MO408">
        <v>0</v>
      </c>
      <c r="MP408">
        <v>0</v>
      </c>
      <c r="MQ408">
        <v>0</v>
      </c>
      <c r="MR408">
        <v>0</v>
      </c>
      <c r="MS408">
        <v>0</v>
      </c>
      <c r="MT408">
        <v>0</v>
      </c>
      <c r="MU408">
        <v>0</v>
      </c>
      <c r="MV408">
        <v>0</v>
      </c>
      <c r="MW408">
        <v>0</v>
      </c>
      <c r="MX408">
        <v>-481</v>
      </c>
      <c r="MY408">
        <v>-3229</v>
      </c>
      <c r="MZ408">
        <v>0</v>
      </c>
      <c r="NA408">
        <v>-3710</v>
      </c>
      <c r="NB408">
        <v>311</v>
      </c>
      <c r="NC408">
        <v>-3399</v>
      </c>
      <c r="ND408">
        <v>0</v>
      </c>
      <c r="NE408">
        <v>0</v>
      </c>
      <c r="NF408">
        <v>0</v>
      </c>
      <c r="NG408">
        <v>0</v>
      </c>
      <c r="NH408">
        <v>0</v>
      </c>
      <c r="NI408">
        <v>0</v>
      </c>
      <c r="NJ408">
        <v>0</v>
      </c>
      <c r="NK408">
        <v>0</v>
      </c>
      <c r="NL408">
        <v>0</v>
      </c>
      <c r="NM408">
        <v>0</v>
      </c>
      <c r="NN408">
        <v>0</v>
      </c>
      <c r="NO408">
        <v>0</v>
      </c>
      <c r="NP408">
        <v>0</v>
      </c>
      <c r="NQ408">
        <v>0</v>
      </c>
      <c r="NR408">
        <v>0</v>
      </c>
      <c r="NS408">
        <v>0</v>
      </c>
      <c r="NT408">
        <v>0</v>
      </c>
      <c r="NU408">
        <v>0</v>
      </c>
      <c r="NV408">
        <v>0</v>
      </c>
      <c r="NW408">
        <v>0</v>
      </c>
      <c r="NX408">
        <v>0</v>
      </c>
      <c r="NY408">
        <v>0</v>
      </c>
      <c r="NZ408">
        <v>0</v>
      </c>
      <c r="OA408">
        <v>0</v>
      </c>
      <c r="OB408">
        <v>0</v>
      </c>
      <c r="OC408">
        <v>0</v>
      </c>
      <c r="OD408">
        <v>0</v>
      </c>
      <c r="OE408">
        <v>-848</v>
      </c>
      <c r="OF408">
        <v>0</v>
      </c>
      <c r="OG408">
        <v>1159</v>
      </c>
      <c r="OH408">
        <v>311</v>
      </c>
      <c r="OI408">
        <v>0</v>
      </c>
      <c r="OJ408">
        <v>0</v>
      </c>
      <c r="OK408">
        <v>0</v>
      </c>
      <c r="OL408">
        <v>0</v>
      </c>
      <c r="OM408">
        <v>0</v>
      </c>
      <c r="ON408">
        <v>0</v>
      </c>
    </row>
    <row r="409" spans="1:404" x14ac:dyDescent="0.25">
      <c r="A409" t="s">
        <v>1293</v>
      </c>
      <c r="B409" t="s">
        <v>1294</v>
      </c>
      <c r="C409" t="s">
        <v>1292</v>
      </c>
      <c r="E409" t="s">
        <v>61</v>
      </c>
      <c r="F409">
        <v>0</v>
      </c>
      <c r="G409">
        <v>0</v>
      </c>
      <c r="H409">
        <v>0</v>
      </c>
      <c r="I409">
        <v>0</v>
      </c>
      <c r="J409">
        <v>0</v>
      </c>
      <c r="K409">
        <v>0</v>
      </c>
      <c r="L409">
        <v>0</v>
      </c>
      <c r="M409">
        <v>0</v>
      </c>
      <c r="N409">
        <v>0</v>
      </c>
      <c r="O409">
        <v>0</v>
      </c>
      <c r="P409">
        <v>0</v>
      </c>
      <c r="Q409">
        <v>0</v>
      </c>
      <c r="R409">
        <v>0</v>
      </c>
      <c r="S409">
        <v>605</v>
      </c>
      <c r="T409">
        <v>0</v>
      </c>
      <c r="U409">
        <v>0</v>
      </c>
      <c r="V409">
        <v>0</v>
      </c>
      <c r="W409">
        <v>0</v>
      </c>
      <c r="X409">
        <v>0</v>
      </c>
      <c r="Y409">
        <v>119</v>
      </c>
      <c r="Z409">
        <v>-500</v>
      </c>
      <c r="AA409">
        <v>-2726</v>
      </c>
      <c r="AB409">
        <v>0</v>
      </c>
      <c r="AC409">
        <v>0</v>
      </c>
      <c r="AD409">
        <v>0</v>
      </c>
      <c r="AE409">
        <v>0</v>
      </c>
      <c r="AF409">
        <v>0</v>
      </c>
      <c r="AG409">
        <v>121</v>
      </c>
      <c r="AH409">
        <v>0</v>
      </c>
      <c r="AI409">
        <v>-2381</v>
      </c>
      <c r="AJ409">
        <v>0</v>
      </c>
      <c r="AK409">
        <v>0</v>
      </c>
      <c r="AL409">
        <v>0</v>
      </c>
      <c r="AM409">
        <v>0</v>
      </c>
      <c r="AN409">
        <v>0</v>
      </c>
      <c r="AO409">
        <v>0</v>
      </c>
      <c r="AP409">
        <v>0</v>
      </c>
      <c r="AQ409">
        <v>597</v>
      </c>
      <c r="AR409">
        <v>0</v>
      </c>
      <c r="AS409">
        <v>0</v>
      </c>
      <c r="AT409">
        <v>0</v>
      </c>
      <c r="AU409">
        <v>0</v>
      </c>
      <c r="AV409">
        <v>0</v>
      </c>
      <c r="AW409">
        <v>0</v>
      </c>
      <c r="AX409">
        <v>0</v>
      </c>
      <c r="AY409">
        <v>0</v>
      </c>
      <c r="AZ409">
        <v>0</v>
      </c>
      <c r="BA409">
        <v>0</v>
      </c>
      <c r="BB409">
        <v>0</v>
      </c>
      <c r="BC409">
        <v>0</v>
      </c>
      <c r="BD409">
        <v>0</v>
      </c>
      <c r="BE409">
        <v>0</v>
      </c>
      <c r="BF409">
        <v>0</v>
      </c>
      <c r="BG409">
        <v>0</v>
      </c>
      <c r="BH409">
        <v>0</v>
      </c>
      <c r="BI409">
        <v>0</v>
      </c>
      <c r="BJ409">
        <v>0</v>
      </c>
      <c r="BK409">
        <v>0</v>
      </c>
      <c r="BL409">
        <v>0</v>
      </c>
      <c r="BM409">
        <v>0</v>
      </c>
      <c r="BN409">
        <v>0</v>
      </c>
      <c r="BO409">
        <v>0</v>
      </c>
      <c r="BP409">
        <v>0</v>
      </c>
      <c r="BQ409">
        <v>0</v>
      </c>
      <c r="BR409">
        <v>0</v>
      </c>
      <c r="BS409">
        <v>0</v>
      </c>
      <c r="BT409">
        <v>0</v>
      </c>
      <c r="BU409">
        <v>0</v>
      </c>
      <c r="BV409">
        <v>0</v>
      </c>
      <c r="BW409">
        <v>0</v>
      </c>
      <c r="BX409">
        <v>0</v>
      </c>
      <c r="BY409">
        <v>0</v>
      </c>
      <c r="BZ409">
        <v>0</v>
      </c>
      <c r="CA409">
        <v>0</v>
      </c>
      <c r="CB409">
        <v>0</v>
      </c>
      <c r="CC409">
        <v>0</v>
      </c>
      <c r="CD409">
        <v>0</v>
      </c>
      <c r="CE409">
        <v>0</v>
      </c>
      <c r="CF409">
        <v>0</v>
      </c>
      <c r="CG409">
        <v>0</v>
      </c>
      <c r="CH409">
        <v>0</v>
      </c>
      <c r="CI409">
        <v>0</v>
      </c>
      <c r="CJ409">
        <v>0</v>
      </c>
      <c r="CK409">
        <v>0</v>
      </c>
      <c r="CL409">
        <v>0</v>
      </c>
      <c r="CM409">
        <v>0</v>
      </c>
      <c r="CN409">
        <v>0</v>
      </c>
      <c r="CO409">
        <v>0</v>
      </c>
      <c r="CP409">
        <v>0</v>
      </c>
      <c r="CQ409">
        <v>0</v>
      </c>
      <c r="CR409">
        <v>0</v>
      </c>
      <c r="CS409">
        <v>0</v>
      </c>
      <c r="CT409">
        <v>0</v>
      </c>
      <c r="CU409">
        <v>0</v>
      </c>
      <c r="CV409">
        <v>0</v>
      </c>
      <c r="CW409">
        <v>0</v>
      </c>
      <c r="CX409">
        <v>0</v>
      </c>
      <c r="CY409">
        <v>0</v>
      </c>
      <c r="CZ409">
        <v>0</v>
      </c>
      <c r="DA409">
        <v>0</v>
      </c>
      <c r="DB409">
        <v>0</v>
      </c>
      <c r="DC409">
        <v>213</v>
      </c>
      <c r="DD409">
        <v>0</v>
      </c>
      <c r="DE409">
        <v>230</v>
      </c>
      <c r="DF409">
        <v>0</v>
      </c>
      <c r="DG409">
        <v>0</v>
      </c>
      <c r="DH409">
        <v>0</v>
      </c>
      <c r="DI409">
        <v>0</v>
      </c>
      <c r="DJ409">
        <v>551</v>
      </c>
      <c r="DK409">
        <v>0</v>
      </c>
      <c r="DL409">
        <v>0</v>
      </c>
      <c r="DM409">
        <v>223</v>
      </c>
      <c r="DN409">
        <v>800</v>
      </c>
      <c r="DO409">
        <v>0</v>
      </c>
      <c r="DP409">
        <v>1574</v>
      </c>
      <c r="DQ409">
        <v>0</v>
      </c>
      <c r="DR409">
        <v>0</v>
      </c>
      <c r="DS409">
        <v>0</v>
      </c>
      <c r="DT409">
        <v>-333</v>
      </c>
      <c r="DU409">
        <v>-5</v>
      </c>
      <c r="DV409">
        <v>0</v>
      </c>
      <c r="DW409">
        <v>0</v>
      </c>
      <c r="DX409">
        <v>1679</v>
      </c>
      <c r="DY409">
        <v>0</v>
      </c>
      <c r="DZ409">
        <v>0</v>
      </c>
      <c r="EA409">
        <v>0</v>
      </c>
      <c r="EB409">
        <v>0</v>
      </c>
      <c r="EC409">
        <v>0</v>
      </c>
      <c r="ED409">
        <v>0</v>
      </c>
      <c r="EE409">
        <v>0</v>
      </c>
      <c r="EF409">
        <v>0</v>
      </c>
      <c r="EG409">
        <v>0</v>
      </c>
      <c r="EH409">
        <v>0</v>
      </c>
      <c r="EI409">
        <v>0</v>
      </c>
      <c r="EJ409">
        <v>0</v>
      </c>
      <c r="EK409">
        <v>0</v>
      </c>
      <c r="EL409">
        <v>0</v>
      </c>
      <c r="EM409">
        <v>0</v>
      </c>
      <c r="EN409">
        <v>0</v>
      </c>
      <c r="EO409">
        <v>0</v>
      </c>
      <c r="EP409">
        <v>0</v>
      </c>
      <c r="EQ409">
        <v>0</v>
      </c>
      <c r="ER409">
        <v>0</v>
      </c>
      <c r="ES409">
        <v>0</v>
      </c>
      <c r="ET409">
        <v>0</v>
      </c>
      <c r="EU409">
        <v>0</v>
      </c>
      <c r="EV409">
        <v>107</v>
      </c>
      <c r="EW409">
        <v>145</v>
      </c>
      <c r="EX409">
        <v>253</v>
      </c>
      <c r="EY409">
        <v>990</v>
      </c>
      <c r="EZ409">
        <v>13</v>
      </c>
      <c r="FA409">
        <v>0</v>
      </c>
      <c r="FB409">
        <v>0</v>
      </c>
      <c r="FC409">
        <v>185</v>
      </c>
      <c r="FD409">
        <v>1295</v>
      </c>
      <c r="FE409">
        <v>-2</v>
      </c>
      <c r="FF409">
        <v>79</v>
      </c>
      <c r="FG409">
        <v>0</v>
      </c>
      <c r="FH409">
        <v>3065</v>
      </c>
      <c r="FI409">
        <v>257</v>
      </c>
      <c r="FJ409">
        <v>0</v>
      </c>
      <c r="FK409">
        <v>50</v>
      </c>
      <c r="FL409">
        <v>142</v>
      </c>
      <c r="FM409">
        <v>-1128</v>
      </c>
      <c r="FN409">
        <v>0</v>
      </c>
      <c r="FO409">
        <v>464</v>
      </c>
      <c r="FP409">
        <v>0</v>
      </c>
      <c r="FQ409">
        <v>0</v>
      </c>
      <c r="FR409">
        <v>0</v>
      </c>
      <c r="FS409">
        <v>197</v>
      </c>
      <c r="FT409">
        <v>334</v>
      </c>
      <c r="FU409">
        <v>67</v>
      </c>
      <c r="FV409">
        <v>0</v>
      </c>
      <c r="FW409">
        <v>0</v>
      </c>
      <c r="FX409">
        <v>0</v>
      </c>
      <c r="FY409">
        <v>0</v>
      </c>
      <c r="FZ409">
        <v>94</v>
      </c>
      <c r="GA409">
        <v>0</v>
      </c>
      <c r="GB409">
        <v>0</v>
      </c>
      <c r="GC409">
        <v>0</v>
      </c>
      <c r="GD409">
        <v>2125</v>
      </c>
      <c r="GE409">
        <v>2969</v>
      </c>
      <c r="GF409">
        <v>0</v>
      </c>
      <c r="GG409">
        <v>-713</v>
      </c>
      <c r="GH409">
        <v>-697</v>
      </c>
      <c r="GI409">
        <v>0</v>
      </c>
      <c r="GJ409">
        <v>85</v>
      </c>
      <c r="GK409">
        <v>4246</v>
      </c>
      <c r="GL409">
        <v>139</v>
      </c>
      <c r="GM409">
        <v>430</v>
      </c>
      <c r="GN409">
        <v>0</v>
      </c>
      <c r="GO409">
        <v>1144</v>
      </c>
      <c r="GP409">
        <v>0</v>
      </c>
      <c r="GQ409">
        <v>224</v>
      </c>
      <c r="GR409">
        <v>580</v>
      </c>
      <c r="GS409">
        <v>-2887</v>
      </c>
      <c r="GT409">
        <v>1149</v>
      </c>
      <c r="GU409">
        <v>779</v>
      </c>
      <c r="GV409">
        <v>8090</v>
      </c>
      <c r="GW409">
        <v>0</v>
      </c>
      <c r="GX409">
        <v>0</v>
      </c>
      <c r="GY409">
        <v>0</v>
      </c>
      <c r="GZ409">
        <v>0</v>
      </c>
      <c r="HA409">
        <v>0</v>
      </c>
      <c r="HB409">
        <v>7470</v>
      </c>
      <c r="HC409">
        <v>-264</v>
      </c>
      <c r="HD409">
        <v>0</v>
      </c>
      <c r="HE409">
        <v>0</v>
      </c>
      <c r="HF409">
        <v>0</v>
      </c>
      <c r="HG409">
        <v>-259</v>
      </c>
      <c r="HH409">
        <v>0</v>
      </c>
      <c r="HI409">
        <v>0</v>
      </c>
      <c r="HJ409">
        <v>315</v>
      </c>
      <c r="HK409">
        <v>9</v>
      </c>
      <c r="HL409">
        <v>54</v>
      </c>
      <c r="HM409">
        <v>-197</v>
      </c>
      <c r="HN409">
        <v>0</v>
      </c>
      <c r="HO409">
        <v>0</v>
      </c>
      <c r="HP409">
        <v>0</v>
      </c>
      <c r="HQ409">
        <v>0</v>
      </c>
      <c r="HR409">
        <v>244</v>
      </c>
      <c r="HS409">
        <v>0</v>
      </c>
      <c r="HT409">
        <v>0</v>
      </c>
      <c r="HU409">
        <v>10476</v>
      </c>
      <c r="HV409">
        <v>17848</v>
      </c>
      <c r="HW409">
        <v>0</v>
      </c>
      <c r="HX409">
        <v>3794</v>
      </c>
      <c r="HY409">
        <v>0</v>
      </c>
      <c r="HZ409">
        <v>0</v>
      </c>
      <c r="IA409">
        <v>2855</v>
      </c>
      <c r="IB409">
        <v>0</v>
      </c>
      <c r="IC409">
        <v>0</v>
      </c>
      <c r="ID409">
        <v>-2381</v>
      </c>
      <c r="IE409">
        <v>0</v>
      </c>
      <c r="IF409">
        <v>0</v>
      </c>
      <c r="IG409">
        <v>0</v>
      </c>
      <c r="IH409">
        <v>1679</v>
      </c>
      <c r="II409">
        <v>3065</v>
      </c>
      <c r="IJ409">
        <v>4246</v>
      </c>
      <c r="IK409">
        <v>779</v>
      </c>
      <c r="IL409">
        <v>0</v>
      </c>
      <c r="IM409">
        <v>0</v>
      </c>
      <c r="IN409">
        <v>17848</v>
      </c>
      <c r="IO409">
        <v>0</v>
      </c>
      <c r="IP409">
        <v>25236</v>
      </c>
      <c r="IQ409">
        <v>27582</v>
      </c>
      <c r="IR409">
        <v>715</v>
      </c>
      <c r="IS409">
        <v>0</v>
      </c>
      <c r="IT409">
        <v>0</v>
      </c>
      <c r="IU409">
        <v>0</v>
      </c>
      <c r="IV409">
        <v>4359</v>
      </c>
      <c r="IW409">
        <v>0</v>
      </c>
      <c r="IX409">
        <v>0</v>
      </c>
      <c r="IY409">
        <v>0</v>
      </c>
      <c r="IZ409">
        <v>0</v>
      </c>
      <c r="JA409">
        <v>-2976</v>
      </c>
      <c r="JB409">
        <v>0</v>
      </c>
      <c r="JC409">
        <v>257</v>
      </c>
      <c r="JD409">
        <v>0</v>
      </c>
      <c r="JE409">
        <v>0</v>
      </c>
      <c r="JF409">
        <v>0</v>
      </c>
      <c r="JG409">
        <v>55173</v>
      </c>
      <c r="JH409">
        <v>0</v>
      </c>
      <c r="JI409">
        <v>4304</v>
      </c>
      <c r="JJ409">
        <v>0</v>
      </c>
      <c r="JK409">
        <v>0</v>
      </c>
      <c r="JL409">
        <v>0</v>
      </c>
      <c r="JM409">
        <v>0</v>
      </c>
      <c r="JN409">
        <v>761</v>
      </c>
      <c r="JO409">
        <v>0</v>
      </c>
      <c r="JP409">
        <v>236</v>
      </c>
      <c r="JQ409">
        <v>0</v>
      </c>
      <c r="JR409">
        <v>60474</v>
      </c>
      <c r="JS409">
        <v>-618</v>
      </c>
      <c r="JT409">
        <v>0</v>
      </c>
      <c r="JU409">
        <v>0</v>
      </c>
      <c r="JV409">
        <v>0</v>
      </c>
      <c r="JW409">
        <v>-27769</v>
      </c>
      <c r="JX409">
        <v>0</v>
      </c>
      <c r="JY409">
        <v>0</v>
      </c>
      <c r="JZ409">
        <v>0</v>
      </c>
      <c r="KA409">
        <v>0</v>
      </c>
      <c r="KB409">
        <v>0</v>
      </c>
      <c r="KC409">
        <v>32087</v>
      </c>
      <c r="KD409">
        <v>0</v>
      </c>
      <c r="KE409">
        <v>-9232</v>
      </c>
      <c r="KF409">
        <v>22855</v>
      </c>
      <c r="KG409">
        <v>0</v>
      </c>
      <c r="KH409">
        <v>0</v>
      </c>
      <c r="KI409">
        <v>0</v>
      </c>
      <c r="KJ409">
        <v>0</v>
      </c>
      <c r="KK409">
        <v>-8273</v>
      </c>
      <c r="KL409">
        <v>1216</v>
      </c>
      <c r="KM409">
        <v>-200</v>
      </c>
      <c r="KN409">
        <v>0</v>
      </c>
      <c r="KO409">
        <v>-6960</v>
      </c>
      <c r="KP409">
        <v>15960</v>
      </c>
      <c r="KQ409">
        <v>0</v>
      </c>
      <c r="KR409">
        <v>14436</v>
      </c>
      <c r="KS409">
        <v>0</v>
      </c>
      <c r="KT409">
        <v>0</v>
      </c>
      <c r="KU409">
        <v>0</v>
      </c>
      <c r="KV409">
        <v>54202</v>
      </c>
      <c r="KW409">
        <v>4759</v>
      </c>
      <c r="KX409">
        <v>0</v>
      </c>
      <c r="KY409">
        <v>0</v>
      </c>
      <c r="KZ409">
        <v>0</v>
      </c>
      <c r="LA409">
        <v>45929</v>
      </c>
      <c r="LB409">
        <v>5975</v>
      </c>
      <c r="LC409">
        <v>0</v>
      </c>
      <c r="LD409">
        <v>0</v>
      </c>
      <c r="LE409">
        <v>0</v>
      </c>
      <c r="LF409">
        <v>0</v>
      </c>
      <c r="LG409">
        <v>0</v>
      </c>
      <c r="LH409">
        <v>0</v>
      </c>
      <c r="LI409">
        <v>0</v>
      </c>
      <c r="LJ409">
        <v>4096</v>
      </c>
      <c r="LK409">
        <v>4979</v>
      </c>
      <c r="LL409">
        <v>9075</v>
      </c>
      <c r="LM409">
        <v>0</v>
      </c>
      <c r="LN409">
        <v>0</v>
      </c>
      <c r="LO409">
        <v>0</v>
      </c>
      <c r="LP409">
        <v>0</v>
      </c>
      <c r="LQ409">
        <v>0</v>
      </c>
      <c r="LR409">
        <v>0</v>
      </c>
      <c r="LS409">
        <v>0</v>
      </c>
      <c r="LT409">
        <v>0</v>
      </c>
      <c r="LU409">
        <v>0</v>
      </c>
      <c r="LV409">
        <v>-2381</v>
      </c>
      <c r="LW409">
        <v>0</v>
      </c>
      <c r="LX409">
        <v>0</v>
      </c>
      <c r="LY409">
        <v>0</v>
      </c>
      <c r="LZ409">
        <v>1679</v>
      </c>
      <c r="MA409">
        <v>3065</v>
      </c>
      <c r="MB409">
        <v>4246</v>
      </c>
      <c r="MC409">
        <v>779</v>
      </c>
      <c r="MD409">
        <v>0</v>
      </c>
      <c r="ME409">
        <v>0</v>
      </c>
      <c r="MF409">
        <v>17848</v>
      </c>
      <c r="MG409">
        <v>0</v>
      </c>
      <c r="MH409">
        <v>25236</v>
      </c>
      <c r="MI409">
        <v>0</v>
      </c>
      <c r="MJ409">
        <v>0</v>
      </c>
      <c r="MK409">
        <v>0</v>
      </c>
      <c r="ML409">
        <v>0</v>
      </c>
      <c r="MM409">
        <v>0</v>
      </c>
      <c r="MN409">
        <v>0</v>
      </c>
      <c r="MO409">
        <v>0</v>
      </c>
      <c r="MP409">
        <v>0</v>
      </c>
      <c r="MQ409">
        <v>0</v>
      </c>
      <c r="MR409">
        <v>0</v>
      </c>
      <c r="MS409">
        <v>0</v>
      </c>
      <c r="MT409">
        <v>0</v>
      </c>
      <c r="MU409">
        <v>0</v>
      </c>
      <c r="MV409">
        <v>0</v>
      </c>
      <c r="MW409">
        <v>0</v>
      </c>
      <c r="MX409">
        <v>0</v>
      </c>
      <c r="MY409">
        <v>-2719</v>
      </c>
      <c r="MZ409">
        <v>0</v>
      </c>
      <c r="NA409">
        <v>-2719</v>
      </c>
      <c r="NB409">
        <v>-257</v>
      </c>
      <c r="NC409">
        <v>-2976</v>
      </c>
      <c r="ND409">
        <v>0</v>
      </c>
      <c r="NE409">
        <v>0</v>
      </c>
      <c r="NF409">
        <v>0</v>
      </c>
      <c r="NG409">
        <v>0</v>
      </c>
      <c r="NH409">
        <v>0</v>
      </c>
      <c r="NI409">
        <v>0</v>
      </c>
      <c r="NJ409">
        <v>0</v>
      </c>
      <c r="NK409">
        <v>0</v>
      </c>
      <c r="NL409">
        <v>0</v>
      </c>
      <c r="NM409">
        <v>0</v>
      </c>
      <c r="NN409">
        <v>0</v>
      </c>
      <c r="NO409">
        <v>0</v>
      </c>
      <c r="NP409">
        <v>0</v>
      </c>
      <c r="NQ409">
        <v>0</v>
      </c>
      <c r="NR409">
        <v>0</v>
      </c>
      <c r="NS409">
        <v>0</v>
      </c>
      <c r="NT409">
        <v>0</v>
      </c>
      <c r="NU409">
        <v>0</v>
      </c>
      <c r="NV409">
        <v>0</v>
      </c>
      <c r="NW409">
        <v>0</v>
      </c>
      <c r="NX409">
        <v>0</v>
      </c>
      <c r="NY409">
        <v>0</v>
      </c>
      <c r="NZ409">
        <v>0</v>
      </c>
      <c r="OA409">
        <v>0</v>
      </c>
      <c r="OB409">
        <v>0</v>
      </c>
      <c r="OC409">
        <v>197</v>
      </c>
      <c r="OD409">
        <v>-539</v>
      </c>
      <c r="OE409">
        <v>85</v>
      </c>
      <c r="OF409">
        <v>0</v>
      </c>
      <c r="OG409">
        <v>0</v>
      </c>
      <c r="OH409">
        <v>-257</v>
      </c>
      <c r="OI409">
        <v>0</v>
      </c>
      <c r="OJ409">
        <v>0</v>
      </c>
      <c r="OK409">
        <v>0</v>
      </c>
      <c r="OL409">
        <v>0</v>
      </c>
      <c r="OM409">
        <v>0</v>
      </c>
      <c r="ON409">
        <v>0</v>
      </c>
    </row>
    <row r="410" spans="1:404" x14ac:dyDescent="0.25">
      <c r="A410" t="s">
        <v>1296</v>
      </c>
      <c r="B410" t="s">
        <v>1297</v>
      </c>
      <c r="C410" t="s">
        <v>1295</v>
      </c>
      <c r="E410" t="s">
        <v>1942</v>
      </c>
      <c r="F410">
        <v>48563</v>
      </c>
      <c r="G410">
        <v>214118</v>
      </c>
      <c r="H410">
        <v>152750</v>
      </c>
      <c r="I410">
        <v>89929</v>
      </c>
      <c r="J410">
        <v>6555</v>
      </c>
      <c r="K410">
        <v>49544</v>
      </c>
      <c r="L410">
        <v>561459</v>
      </c>
      <c r="M410">
        <v>-2273</v>
      </c>
      <c r="N410">
        <v>160</v>
      </c>
      <c r="O410">
        <v>24</v>
      </c>
      <c r="P410">
        <v>149</v>
      </c>
      <c r="Q410">
        <v>870</v>
      </c>
      <c r="R410">
        <v>2171</v>
      </c>
      <c r="S410">
        <v>11868</v>
      </c>
      <c r="T410">
        <v>1542</v>
      </c>
      <c r="U410">
        <v>16814</v>
      </c>
      <c r="V410">
        <v>0</v>
      </c>
      <c r="W410">
        <v>0</v>
      </c>
      <c r="X410">
        <v>644</v>
      </c>
      <c r="Y410">
        <v>301</v>
      </c>
      <c r="Z410">
        <v>151</v>
      </c>
      <c r="AA410">
        <v>0</v>
      </c>
      <c r="AB410">
        <v>11086</v>
      </c>
      <c r="AC410">
        <v>0</v>
      </c>
      <c r="AD410">
        <v>2960</v>
      </c>
      <c r="AE410">
        <v>0</v>
      </c>
      <c r="AF410">
        <v>0</v>
      </c>
      <c r="AG410">
        <v>1681</v>
      </c>
      <c r="AH410">
        <v>0</v>
      </c>
      <c r="AI410">
        <v>48148</v>
      </c>
      <c r="AJ410">
        <v>0</v>
      </c>
      <c r="AK410">
        <v>0</v>
      </c>
      <c r="AL410">
        <v>0</v>
      </c>
      <c r="AM410">
        <v>0</v>
      </c>
      <c r="AN410">
        <v>0</v>
      </c>
      <c r="AO410">
        <v>0</v>
      </c>
      <c r="AP410">
        <v>0</v>
      </c>
      <c r="AQ410">
        <v>698</v>
      </c>
      <c r="AR410">
        <v>3352</v>
      </c>
      <c r="AS410">
        <v>0</v>
      </c>
      <c r="AT410">
        <v>0</v>
      </c>
      <c r="AU410">
        <v>0</v>
      </c>
      <c r="AV410">
        <v>4030</v>
      </c>
      <c r="AW410">
        <v>77772</v>
      </c>
      <c r="AX410">
        <v>215</v>
      </c>
      <c r="AY410">
        <v>17443</v>
      </c>
      <c r="AZ410">
        <v>1564</v>
      </c>
      <c r="BA410">
        <v>50856</v>
      </c>
      <c r="BB410">
        <v>5284</v>
      </c>
      <c r="BC410">
        <v>3226</v>
      </c>
      <c r="BD410">
        <v>160390</v>
      </c>
      <c r="BE410">
        <v>26073</v>
      </c>
      <c r="BF410">
        <v>75714</v>
      </c>
      <c r="BG410">
        <v>830</v>
      </c>
      <c r="BH410">
        <v>5644</v>
      </c>
      <c r="BI410">
        <v>943</v>
      </c>
      <c r="BJ410">
        <v>16187</v>
      </c>
      <c r="BK410">
        <v>81170</v>
      </c>
      <c r="BL410">
        <v>9373</v>
      </c>
      <c r="BM410">
        <v>11182</v>
      </c>
      <c r="BN410">
        <v>12459</v>
      </c>
      <c r="BO410">
        <v>0</v>
      </c>
      <c r="BP410">
        <v>1634</v>
      </c>
      <c r="BQ410">
        <v>0</v>
      </c>
      <c r="BR410">
        <v>4462</v>
      </c>
      <c r="BS410">
        <v>1155</v>
      </c>
      <c r="BT410">
        <v>26242</v>
      </c>
      <c r="BU410">
        <v>328</v>
      </c>
      <c r="BV410">
        <v>5785</v>
      </c>
      <c r="BW410">
        <v>292158</v>
      </c>
      <c r="BX410">
        <v>5183</v>
      </c>
      <c r="BY410">
        <v>486</v>
      </c>
      <c r="BZ410">
        <v>34</v>
      </c>
      <c r="CA410">
        <v>602</v>
      </c>
      <c r="CB410">
        <v>289</v>
      </c>
      <c r="CC410">
        <v>104</v>
      </c>
      <c r="CD410">
        <v>180</v>
      </c>
      <c r="CE410">
        <v>871</v>
      </c>
      <c r="CF410">
        <v>150</v>
      </c>
      <c r="CG410">
        <v>491</v>
      </c>
      <c r="CH410">
        <v>87</v>
      </c>
      <c r="CI410">
        <v>425</v>
      </c>
      <c r="CJ410">
        <v>556</v>
      </c>
      <c r="CK410">
        <v>2008</v>
      </c>
      <c r="CL410">
        <v>3263</v>
      </c>
      <c r="CM410">
        <v>1711</v>
      </c>
      <c r="CN410">
        <v>482</v>
      </c>
      <c r="CO410">
        <v>61</v>
      </c>
      <c r="CP410">
        <v>2254</v>
      </c>
      <c r="CQ410">
        <v>9356</v>
      </c>
      <c r="CR410">
        <v>2277</v>
      </c>
      <c r="CS410">
        <v>75</v>
      </c>
      <c r="CT410">
        <v>227</v>
      </c>
      <c r="CU410">
        <v>4209</v>
      </c>
      <c r="CV410">
        <v>36881</v>
      </c>
      <c r="CW410">
        <v>0</v>
      </c>
      <c r="CX410">
        <v>0</v>
      </c>
      <c r="CY410">
        <v>0</v>
      </c>
      <c r="CZ410">
        <v>0</v>
      </c>
      <c r="DA410">
        <v>0</v>
      </c>
      <c r="DB410">
        <v>0</v>
      </c>
      <c r="DC410">
        <v>0</v>
      </c>
      <c r="DD410">
        <v>0</v>
      </c>
      <c r="DE410">
        <v>0</v>
      </c>
      <c r="DF410">
        <v>0</v>
      </c>
      <c r="DG410">
        <v>0</v>
      </c>
      <c r="DH410">
        <v>0</v>
      </c>
      <c r="DI410">
        <v>0</v>
      </c>
      <c r="DJ410">
        <v>0</v>
      </c>
      <c r="DK410">
        <v>0</v>
      </c>
      <c r="DL410">
        <v>0</v>
      </c>
      <c r="DM410">
        <v>0</v>
      </c>
      <c r="DN410">
        <v>0</v>
      </c>
      <c r="DO410">
        <v>0</v>
      </c>
      <c r="DP410">
        <v>0</v>
      </c>
      <c r="DQ410">
        <v>0</v>
      </c>
      <c r="DR410">
        <v>0</v>
      </c>
      <c r="DS410">
        <v>0</v>
      </c>
      <c r="DT410">
        <v>0</v>
      </c>
      <c r="DU410">
        <v>6</v>
      </c>
      <c r="DV410">
        <v>2875</v>
      </c>
      <c r="DW410">
        <v>0</v>
      </c>
      <c r="DX410">
        <v>2881</v>
      </c>
      <c r="DY410">
        <v>0</v>
      </c>
      <c r="DZ410">
        <v>0</v>
      </c>
      <c r="EA410">
        <v>0</v>
      </c>
      <c r="EB410">
        <v>0</v>
      </c>
      <c r="EC410">
        <v>0</v>
      </c>
      <c r="ED410">
        <v>0</v>
      </c>
      <c r="EE410">
        <v>0</v>
      </c>
      <c r="EF410">
        <v>0</v>
      </c>
      <c r="EG410">
        <v>0</v>
      </c>
      <c r="EH410">
        <v>0</v>
      </c>
      <c r="EI410">
        <v>0</v>
      </c>
      <c r="EJ410">
        <v>0</v>
      </c>
      <c r="EK410">
        <v>0</v>
      </c>
      <c r="EL410">
        <v>0</v>
      </c>
      <c r="EM410">
        <v>0</v>
      </c>
      <c r="EN410">
        <v>0</v>
      </c>
      <c r="EO410">
        <v>0</v>
      </c>
      <c r="EP410">
        <v>0</v>
      </c>
      <c r="EQ410">
        <v>0</v>
      </c>
      <c r="ER410">
        <v>0</v>
      </c>
      <c r="ES410">
        <v>0</v>
      </c>
      <c r="ET410">
        <v>0</v>
      </c>
      <c r="EU410">
        <v>846</v>
      </c>
      <c r="EV410">
        <v>0</v>
      </c>
      <c r="EW410">
        <v>0</v>
      </c>
      <c r="EX410">
        <v>0</v>
      </c>
      <c r="EY410">
        <v>0</v>
      </c>
      <c r="EZ410">
        <v>0</v>
      </c>
      <c r="FA410">
        <v>0</v>
      </c>
      <c r="FB410">
        <v>0</v>
      </c>
      <c r="FC410">
        <v>0</v>
      </c>
      <c r="FD410">
        <v>1581</v>
      </c>
      <c r="FE410">
        <v>0</v>
      </c>
      <c r="FF410">
        <v>0</v>
      </c>
      <c r="FG410">
        <v>7965</v>
      </c>
      <c r="FH410">
        <v>10392</v>
      </c>
      <c r="FI410">
        <v>895</v>
      </c>
      <c r="FJ410">
        <v>1220</v>
      </c>
      <c r="FK410">
        <v>0</v>
      </c>
      <c r="FL410">
        <v>0</v>
      </c>
      <c r="FM410">
        <v>0</v>
      </c>
      <c r="FN410">
        <v>0</v>
      </c>
      <c r="FO410">
        <v>0</v>
      </c>
      <c r="FP410">
        <v>0</v>
      </c>
      <c r="FQ410">
        <v>0</v>
      </c>
      <c r="FR410">
        <v>0</v>
      </c>
      <c r="FS410">
        <v>0</v>
      </c>
      <c r="FT410">
        <v>0</v>
      </c>
      <c r="FU410">
        <v>-649</v>
      </c>
      <c r="FV410">
        <v>735</v>
      </c>
      <c r="FW410">
        <v>236</v>
      </c>
      <c r="FX410">
        <v>0</v>
      </c>
      <c r="FY410">
        <v>364</v>
      </c>
      <c r="FZ410">
        <v>0</v>
      </c>
      <c r="GA410">
        <v>0</v>
      </c>
      <c r="GB410">
        <v>0</v>
      </c>
      <c r="GC410">
        <v>-119</v>
      </c>
      <c r="GD410">
        <v>227</v>
      </c>
      <c r="GE410">
        <v>0</v>
      </c>
      <c r="GF410">
        <v>42609</v>
      </c>
      <c r="GG410">
        <v>0</v>
      </c>
      <c r="GH410">
        <v>20018</v>
      </c>
      <c r="GI410">
        <v>404</v>
      </c>
      <c r="GJ410">
        <v>266</v>
      </c>
      <c r="GK410">
        <v>66206</v>
      </c>
      <c r="GL410">
        <v>0</v>
      </c>
      <c r="GM410">
        <v>-103</v>
      </c>
      <c r="GN410">
        <v>0</v>
      </c>
      <c r="GO410">
        <v>786</v>
      </c>
      <c r="GP410">
        <v>847</v>
      </c>
      <c r="GQ410">
        <v>4512</v>
      </c>
      <c r="GR410">
        <v>0</v>
      </c>
      <c r="GS410">
        <v>0</v>
      </c>
      <c r="GT410">
        <v>1268</v>
      </c>
      <c r="GU410">
        <v>7310</v>
      </c>
      <c r="GV410">
        <v>83908</v>
      </c>
      <c r="GW410">
        <v>0</v>
      </c>
      <c r="GX410">
        <v>5902</v>
      </c>
      <c r="GY410">
        <v>29896</v>
      </c>
      <c r="GZ410">
        <v>410</v>
      </c>
      <c r="HA410">
        <v>36208</v>
      </c>
      <c r="HB410">
        <v>6352</v>
      </c>
      <c r="HC410">
        <v>0</v>
      </c>
      <c r="HD410">
        <v>0</v>
      </c>
      <c r="HE410">
        <v>0</v>
      </c>
      <c r="HF410">
        <v>0</v>
      </c>
      <c r="HG410">
        <v>0</v>
      </c>
      <c r="HH410">
        <v>0</v>
      </c>
      <c r="HI410">
        <v>-987</v>
      </c>
      <c r="HJ410">
        <v>0</v>
      </c>
      <c r="HK410">
        <v>814</v>
      </c>
      <c r="HL410">
        <v>0</v>
      </c>
      <c r="HM410">
        <v>0</v>
      </c>
      <c r="HN410">
        <v>15119</v>
      </c>
      <c r="HO410">
        <v>0</v>
      </c>
      <c r="HP410">
        <v>999</v>
      </c>
      <c r="HQ410">
        <v>0</v>
      </c>
      <c r="HR410">
        <v>0</v>
      </c>
      <c r="HS410">
        <v>0</v>
      </c>
      <c r="HT410">
        <v>0</v>
      </c>
      <c r="HU410">
        <v>0</v>
      </c>
      <c r="HV410">
        <v>22297</v>
      </c>
      <c r="HW410">
        <v>0</v>
      </c>
      <c r="HX410">
        <v>69388</v>
      </c>
      <c r="HY410">
        <v>0</v>
      </c>
      <c r="HZ410">
        <v>0</v>
      </c>
      <c r="IA410">
        <v>5654</v>
      </c>
      <c r="IB410">
        <v>0</v>
      </c>
      <c r="IC410">
        <v>561459</v>
      </c>
      <c r="ID410">
        <v>48148</v>
      </c>
      <c r="IE410">
        <v>160390</v>
      </c>
      <c r="IF410">
        <v>292158</v>
      </c>
      <c r="IG410">
        <v>36881</v>
      </c>
      <c r="IH410">
        <v>2881</v>
      </c>
      <c r="II410">
        <v>10392</v>
      </c>
      <c r="IJ410">
        <v>66206</v>
      </c>
      <c r="IK410">
        <v>7310</v>
      </c>
      <c r="IL410">
        <v>0</v>
      </c>
      <c r="IM410">
        <v>36208</v>
      </c>
      <c r="IN410">
        <v>22297</v>
      </c>
      <c r="IO410">
        <v>0</v>
      </c>
      <c r="IP410">
        <v>1244330</v>
      </c>
      <c r="IQ410">
        <v>0</v>
      </c>
      <c r="IR410">
        <v>0</v>
      </c>
      <c r="IS410">
        <v>0</v>
      </c>
      <c r="IT410">
        <v>0</v>
      </c>
      <c r="IU410">
        <v>0</v>
      </c>
      <c r="IV410">
        <v>0</v>
      </c>
      <c r="IW410">
        <v>0</v>
      </c>
      <c r="IX410">
        <v>0</v>
      </c>
      <c r="IY410">
        <v>0</v>
      </c>
      <c r="IZ410">
        <v>872</v>
      </c>
      <c r="JA410">
        <v>0</v>
      </c>
      <c r="JB410">
        <v>0</v>
      </c>
      <c r="JC410">
        <v>0</v>
      </c>
      <c r="JD410">
        <v>0</v>
      </c>
      <c r="JE410">
        <v>0</v>
      </c>
      <c r="JF410">
        <v>0</v>
      </c>
      <c r="JG410">
        <v>1245202</v>
      </c>
      <c r="JH410">
        <v>340</v>
      </c>
      <c r="JI410">
        <v>6358</v>
      </c>
      <c r="JJ410">
        <v>0</v>
      </c>
      <c r="JK410">
        <v>0</v>
      </c>
      <c r="JL410">
        <v>0</v>
      </c>
      <c r="JM410">
        <v>0</v>
      </c>
      <c r="JN410">
        <v>12373</v>
      </c>
      <c r="JO410">
        <v>0</v>
      </c>
      <c r="JP410">
        <v>19292</v>
      </c>
      <c r="JQ410">
        <v>0</v>
      </c>
      <c r="JR410">
        <v>1283565</v>
      </c>
      <c r="JS410">
        <v>-7491</v>
      </c>
      <c r="JT410">
        <v>-2124</v>
      </c>
      <c r="JU410">
        <v>0</v>
      </c>
      <c r="JV410">
        <v>0</v>
      </c>
      <c r="JW410">
        <v>-16000</v>
      </c>
      <c r="JX410">
        <v>0</v>
      </c>
      <c r="JY410">
        <v>0</v>
      </c>
      <c r="JZ410">
        <v>0</v>
      </c>
      <c r="KA410">
        <v>0</v>
      </c>
      <c r="KB410">
        <v>-15116</v>
      </c>
      <c r="KC410">
        <v>1242834</v>
      </c>
      <c r="KD410">
        <v>0</v>
      </c>
      <c r="KE410">
        <v>-652598</v>
      </c>
      <c r="KF410">
        <v>590236</v>
      </c>
      <c r="KG410">
        <v>0</v>
      </c>
      <c r="KH410">
        <v>2962</v>
      </c>
      <c r="KI410">
        <v>0</v>
      </c>
      <c r="KJ410">
        <v>0</v>
      </c>
      <c r="KK410">
        <v>11924</v>
      </c>
      <c r="KL410">
        <v>0</v>
      </c>
      <c r="KM410">
        <v>0</v>
      </c>
      <c r="KN410">
        <v>0</v>
      </c>
      <c r="KO410">
        <v>-74839</v>
      </c>
      <c r="KP410">
        <v>1602</v>
      </c>
      <c r="KQ410">
        <v>0</v>
      </c>
      <c r="KR410">
        <v>509476</v>
      </c>
      <c r="KS410">
        <v>24778</v>
      </c>
      <c r="KT410">
        <v>0</v>
      </c>
      <c r="KU410">
        <v>0</v>
      </c>
      <c r="KV410">
        <v>191468</v>
      </c>
      <c r="KW410">
        <v>20286</v>
      </c>
      <c r="KX410">
        <v>27740</v>
      </c>
      <c r="KY410">
        <v>0</v>
      </c>
      <c r="KZ410">
        <v>0</v>
      </c>
      <c r="LA410">
        <v>203392</v>
      </c>
      <c r="LB410">
        <v>20286</v>
      </c>
      <c r="LC410">
        <v>0</v>
      </c>
      <c r="LD410">
        <v>72469</v>
      </c>
      <c r="LE410">
        <v>0</v>
      </c>
      <c r="LF410">
        <v>-24349</v>
      </c>
      <c r="LG410">
        <v>-3468</v>
      </c>
      <c r="LH410">
        <v>14019</v>
      </c>
      <c r="LI410">
        <v>42583</v>
      </c>
      <c r="LJ410">
        <v>0</v>
      </c>
      <c r="LK410">
        <v>0</v>
      </c>
      <c r="LL410">
        <v>0</v>
      </c>
      <c r="LM410">
        <v>0</v>
      </c>
      <c r="LN410">
        <v>0</v>
      </c>
      <c r="LO410">
        <v>0</v>
      </c>
      <c r="LP410">
        <v>0</v>
      </c>
      <c r="LQ410">
        <v>0</v>
      </c>
      <c r="LR410">
        <v>0</v>
      </c>
      <c r="LS410">
        <v>0</v>
      </c>
      <c r="LT410">
        <v>0</v>
      </c>
      <c r="LU410">
        <v>561459</v>
      </c>
      <c r="LV410">
        <v>48148</v>
      </c>
      <c r="LW410">
        <v>160390</v>
      </c>
      <c r="LX410">
        <v>292158</v>
      </c>
      <c r="LY410">
        <v>36881</v>
      </c>
      <c r="LZ410">
        <v>2881</v>
      </c>
      <c r="MA410">
        <v>10392</v>
      </c>
      <c r="MB410">
        <v>66206</v>
      </c>
      <c r="MC410">
        <v>7310</v>
      </c>
      <c r="MD410">
        <v>0</v>
      </c>
      <c r="ME410">
        <v>36208</v>
      </c>
      <c r="MF410">
        <v>22297</v>
      </c>
      <c r="MG410">
        <v>0</v>
      </c>
      <c r="MH410">
        <v>1244330</v>
      </c>
      <c r="MI410">
        <v>0</v>
      </c>
      <c r="MJ410">
        <v>0</v>
      </c>
      <c r="MK410">
        <v>0</v>
      </c>
      <c r="ML410">
        <v>0</v>
      </c>
      <c r="MM410">
        <v>0</v>
      </c>
      <c r="MN410">
        <v>0</v>
      </c>
      <c r="MO410">
        <v>0</v>
      </c>
      <c r="MP410">
        <v>0</v>
      </c>
      <c r="MQ410">
        <v>0</v>
      </c>
      <c r="MR410">
        <v>0</v>
      </c>
      <c r="MS410">
        <v>0</v>
      </c>
      <c r="MT410">
        <v>0</v>
      </c>
      <c r="MU410">
        <v>0</v>
      </c>
      <c r="MV410">
        <v>0</v>
      </c>
      <c r="MW410">
        <v>0</v>
      </c>
      <c r="MX410">
        <v>0</v>
      </c>
      <c r="MY410">
        <v>0</v>
      </c>
      <c r="MZ410">
        <v>0</v>
      </c>
      <c r="NA410">
        <v>0</v>
      </c>
      <c r="NB410">
        <v>0</v>
      </c>
      <c r="NC410">
        <v>0</v>
      </c>
      <c r="ND410">
        <v>0</v>
      </c>
      <c r="NE410">
        <v>0</v>
      </c>
      <c r="NF410">
        <v>0</v>
      </c>
      <c r="NG410">
        <v>0</v>
      </c>
      <c r="NH410">
        <v>0</v>
      </c>
      <c r="NI410">
        <v>0</v>
      </c>
      <c r="NJ410">
        <v>0</v>
      </c>
      <c r="NK410">
        <v>0</v>
      </c>
      <c r="NL410">
        <v>0</v>
      </c>
      <c r="NM410">
        <v>0</v>
      </c>
      <c r="NN410">
        <v>0</v>
      </c>
      <c r="NO410">
        <v>0</v>
      </c>
      <c r="NP410">
        <v>0</v>
      </c>
      <c r="NQ410">
        <v>0</v>
      </c>
      <c r="NR410">
        <v>0</v>
      </c>
      <c r="NS410">
        <v>0</v>
      </c>
      <c r="NT410">
        <v>0</v>
      </c>
      <c r="NU410">
        <v>0</v>
      </c>
      <c r="NV410">
        <v>0</v>
      </c>
      <c r="NW410">
        <v>0</v>
      </c>
      <c r="NX410">
        <v>0</v>
      </c>
      <c r="NY410">
        <v>0</v>
      </c>
      <c r="NZ410">
        <v>0</v>
      </c>
      <c r="OA410">
        <v>0</v>
      </c>
      <c r="OB410">
        <v>0</v>
      </c>
      <c r="OC410">
        <v>0</v>
      </c>
      <c r="OD410">
        <v>0</v>
      </c>
      <c r="OE410">
        <v>0</v>
      </c>
      <c r="OF410">
        <v>0</v>
      </c>
      <c r="OG410">
        <v>0</v>
      </c>
      <c r="OH410">
        <v>0</v>
      </c>
      <c r="OI410">
        <v>0</v>
      </c>
      <c r="OJ410">
        <v>0</v>
      </c>
      <c r="OK410">
        <v>0</v>
      </c>
      <c r="OL410">
        <v>0</v>
      </c>
      <c r="OM410">
        <v>0</v>
      </c>
      <c r="ON410">
        <v>0</v>
      </c>
    </row>
    <row r="411" spans="1:404" x14ac:dyDescent="0.25">
      <c r="A411" t="s">
        <v>1302</v>
      </c>
      <c r="B411" t="s">
        <v>1303</v>
      </c>
      <c r="C411" t="s">
        <v>5451</v>
      </c>
      <c r="E411" t="s">
        <v>5408</v>
      </c>
      <c r="F411">
        <v>0</v>
      </c>
      <c r="G411">
        <v>0</v>
      </c>
      <c r="H411">
        <v>0</v>
      </c>
      <c r="I411">
        <v>0</v>
      </c>
      <c r="J411">
        <v>0</v>
      </c>
      <c r="K411">
        <v>0</v>
      </c>
      <c r="L411">
        <v>0</v>
      </c>
      <c r="M411">
        <v>0</v>
      </c>
      <c r="N411">
        <v>0</v>
      </c>
      <c r="O411">
        <v>0</v>
      </c>
      <c r="P411">
        <v>0</v>
      </c>
      <c r="Q411">
        <v>0</v>
      </c>
      <c r="R411">
        <v>0</v>
      </c>
      <c r="S411">
        <v>0</v>
      </c>
      <c r="T411">
        <v>0</v>
      </c>
      <c r="U411">
        <v>0</v>
      </c>
      <c r="V411">
        <v>0</v>
      </c>
      <c r="W411">
        <v>0</v>
      </c>
      <c r="X411">
        <v>0</v>
      </c>
      <c r="Y411">
        <v>0</v>
      </c>
      <c r="Z411">
        <v>0</v>
      </c>
      <c r="AA411">
        <v>0</v>
      </c>
      <c r="AB411">
        <v>0</v>
      </c>
      <c r="AC411">
        <v>0</v>
      </c>
      <c r="AD411">
        <v>0</v>
      </c>
      <c r="AE411">
        <v>0</v>
      </c>
      <c r="AF411">
        <v>0</v>
      </c>
      <c r="AG411">
        <v>0</v>
      </c>
      <c r="AH411">
        <v>0</v>
      </c>
      <c r="AI411">
        <v>0</v>
      </c>
      <c r="AJ411">
        <v>0</v>
      </c>
      <c r="AK411">
        <v>0</v>
      </c>
      <c r="AL411">
        <v>0</v>
      </c>
      <c r="AM411">
        <v>0</v>
      </c>
      <c r="AN411">
        <v>0</v>
      </c>
      <c r="AO411">
        <v>0</v>
      </c>
      <c r="AP411">
        <v>0</v>
      </c>
      <c r="AQ411">
        <v>0</v>
      </c>
      <c r="AR411">
        <v>0</v>
      </c>
      <c r="AS411">
        <v>0</v>
      </c>
      <c r="AT411">
        <v>0</v>
      </c>
      <c r="AU411">
        <v>0</v>
      </c>
      <c r="AV411">
        <v>0</v>
      </c>
      <c r="AW411">
        <v>0</v>
      </c>
      <c r="AX411">
        <v>0</v>
      </c>
      <c r="AY411">
        <v>0</v>
      </c>
      <c r="AZ411">
        <v>0</v>
      </c>
      <c r="BA411">
        <v>0</v>
      </c>
      <c r="BB411">
        <v>0</v>
      </c>
      <c r="BC411">
        <v>0</v>
      </c>
      <c r="BD411">
        <v>0</v>
      </c>
      <c r="BE411">
        <v>0</v>
      </c>
      <c r="BF411">
        <v>0</v>
      </c>
      <c r="BG411">
        <v>0</v>
      </c>
      <c r="BH411">
        <v>0</v>
      </c>
      <c r="BI411">
        <v>0</v>
      </c>
      <c r="BJ411">
        <v>0</v>
      </c>
      <c r="BK411">
        <v>0</v>
      </c>
      <c r="BL411">
        <v>0</v>
      </c>
      <c r="BM411">
        <v>0</v>
      </c>
      <c r="BN411">
        <v>0</v>
      </c>
      <c r="BO411">
        <v>0</v>
      </c>
      <c r="BP411">
        <v>0</v>
      </c>
      <c r="BQ411">
        <v>0</v>
      </c>
      <c r="BR411">
        <v>0</v>
      </c>
      <c r="BS411">
        <v>0</v>
      </c>
      <c r="BT411">
        <v>0</v>
      </c>
      <c r="BU411">
        <v>0</v>
      </c>
      <c r="BV411">
        <v>0</v>
      </c>
      <c r="BW411">
        <v>0</v>
      </c>
      <c r="BX411">
        <v>0</v>
      </c>
      <c r="BY411">
        <v>0</v>
      </c>
      <c r="BZ411">
        <v>0</v>
      </c>
      <c r="CA411">
        <v>0</v>
      </c>
      <c r="CB411">
        <v>0</v>
      </c>
      <c r="CC411">
        <v>0</v>
      </c>
      <c r="CD411">
        <v>0</v>
      </c>
      <c r="CE411">
        <v>0</v>
      </c>
      <c r="CF411">
        <v>0</v>
      </c>
      <c r="CG411">
        <v>0</v>
      </c>
      <c r="CH411">
        <v>0</v>
      </c>
      <c r="CI411">
        <v>0</v>
      </c>
      <c r="CJ411">
        <v>0</v>
      </c>
      <c r="CK411">
        <v>0</v>
      </c>
      <c r="CL411">
        <v>0</v>
      </c>
      <c r="CM411">
        <v>0</v>
      </c>
      <c r="CN411">
        <v>0</v>
      </c>
      <c r="CO411">
        <v>0</v>
      </c>
      <c r="CP411">
        <v>0</v>
      </c>
      <c r="CQ411">
        <v>0</v>
      </c>
      <c r="CR411">
        <v>0</v>
      </c>
      <c r="CS411">
        <v>0</v>
      </c>
      <c r="CT411">
        <v>0</v>
      </c>
      <c r="CU411">
        <v>0</v>
      </c>
      <c r="CV411">
        <v>0</v>
      </c>
      <c r="CW411">
        <v>0</v>
      </c>
      <c r="CX411">
        <v>0</v>
      </c>
      <c r="CY411">
        <v>0</v>
      </c>
      <c r="CZ411">
        <v>0</v>
      </c>
      <c r="DA411">
        <v>0</v>
      </c>
      <c r="DB411">
        <v>0</v>
      </c>
      <c r="DC411">
        <v>0</v>
      </c>
      <c r="DD411">
        <v>0</v>
      </c>
      <c r="DE411">
        <v>0</v>
      </c>
      <c r="DF411">
        <v>0</v>
      </c>
      <c r="DG411">
        <v>0</v>
      </c>
      <c r="DH411">
        <v>0</v>
      </c>
      <c r="DI411">
        <v>0</v>
      </c>
      <c r="DJ411">
        <v>0</v>
      </c>
      <c r="DK411">
        <v>0</v>
      </c>
      <c r="DL411">
        <v>0</v>
      </c>
      <c r="DM411">
        <v>0</v>
      </c>
      <c r="DN411">
        <v>0</v>
      </c>
      <c r="DO411">
        <v>0</v>
      </c>
      <c r="DP411">
        <v>0</v>
      </c>
      <c r="DQ411">
        <v>0</v>
      </c>
      <c r="DR411">
        <v>0</v>
      </c>
      <c r="DS411">
        <v>0</v>
      </c>
      <c r="DT411">
        <v>0</v>
      </c>
      <c r="DU411">
        <v>0</v>
      </c>
      <c r="DV411">
        <v>0</v>
      </c>
      <c r="DW411">
        <v>0</v>
      </c>
      <c r="DX411">
        <v>0</v>
      </c>
      <c r="DY411">
        <v>0</v>
      </c>
      <c r="DZ411">
        <v>0</v>
      </c>
      <c r="EA411">
        <v>0</v>
      </c>
      <c r="EB411">
        <v>0</v>
      </c>
      <c r="EC411">
        <v>0</v>
      </c>
      <c r="ED411">
        <v>0</v>
      </c>
      <c r="EE411">
        <v>0</v>
      </c>
      <c r="EF411">
        <v>0</v>
      </c>
      <c r="EG411">
        <v>0</v>
      </c>
      <c r="EH411">
        <v>0</v>
      </c>
      <c r="EI411">
        <v>0</v>
      </c>
      <c r="EJ411">
        <v>0</v>
      </c>
      <c r="EK411">
        <v>0</v>
      </c>
      <c r="EL411">
        <v>0</v>
      </c>
      <c r="EM411">
        <v>0</v>
      </c>
      <c r="EN411">
        <v>0</v>
      </c>
      <c r="EO411">
        <v>0</v>
      </c>
      <c r="EP411">
        <v>0</v>
      </c>
      <c r="EQ411">
        <v>0</v>
      </c>
      <c r="ER411">
        <v>0</v>
      </c>
      <c r="ES411">
        <v>0</v>
      </c>
      <c r="ET411">
        <v>0</v>
      </c>
      <c r="EU411">
        <v>0</v>
      </c>
      <c r="EV411">
        <v>0</v>
      </c>
      <c r="EW411">
        <v>0</v>
      </c>
      <c r="EX411">
        <v>0</v>
      </c>
      <c r="EY411">
        <v>0</v>
      </c>
      <c r="EZ411">
        <v>0</v>
      </c>
      <c r="FA411">
        <v>0</v>
      </c>
      <c r="FB411">
        <v>0</v>
      </c>
      <c r="FC411">
        <v>0</v>
      </c>
      <c r="FD411">
        <v>0</v>
      </c>
      <c r="FE411">
        <v>0</v>
      </c>
      <c r="FF411">
        <v>0</v>
      </c>
      <c r="FG411">
        <v>0</v>
      </c>
      <c r="FH411">
        <v>0</v>
      </c>
      <c r="FI411">
        <v>0</v>
      </c>
      <c r="FJ411">
        <v>0</v>
      </c>
      <c r="FK411">
        <v>0</v>
      </c>
      <c r="FL411">
        <v>0</v>
      </c>
      <c r="FM411">
        <v>0</v>
      </c>
      <c r="FN411">
        <v>0</v>
      </c>
      <c r="FO411">
        <v>0</v>
      </c>
      <c r="FP411">
        <v>0</v>
      </c>
      <c r="FQ411">
        <v>0</v>
      </c>
      <c r="FR411">
        <v>0</v>
      </c>
      <c r="FS411">
        <v>0</v>
      </c>
      <c r="FT411">
        <v>0</v>
      </c>
      <c r="FU411">
        <v>0</v>
      </c>
      <c r="FV411">
        <v>0</v>
      </c>
      <c r="FW411">
        <v>0</v>
      </c>
      <c r="FX411">
        <v>0</v>
      </c>
      <c r="FY411">
        <v>0</v>
      </c>
      <c r="FZ411">
        <v>0</v>
      </c>
      <c r="GA411">
        <v>0</v>
      </c>
      <c r="GB411">
        <v>0</v>
      </c>
      <c r="GC411">
        <v>0</v>
      </c>
      <c r="GD411">
        <v>0</v>
      </c>
      <c r="GE411">
        <v>0</v>
      </c>
      <c r="GF411">
        <v>0</v>
      </c>
      <c r="GG411">
        <v>0</v>
      </c>
      <c r="GH411">
        <v>0</v>
      </c>
      <c r="GI411">
        <v>0</v>
      </c>
      <c r="GJ411">
        <v>0</v>
      </c>
      <c r="GK411">
        <v>0</v>
      </c>
      <c r="GL411">
        <v>0</v>
      </c>
      <c r="GM411">
        <v>0</v>
      </c>
      <c r="GN411">
        <v>0</v>
      </c>
      <c r="GO411">
        <v>0</v>
      </c>
      <c r="GP411">
        <v>0</v>
      </c>
      <c r="GQ411">
        <v>0</v>
      </c>
      <c r="GR411">
        <v>0</v>
      </c>
      <c r="GS411">
        <v>0</v>
      </c>
      <c r="GT411">
        <v>0</v>
      </c>
      <c r="GU411">
        <v>0</v>
      </c>
      <c r="GV411">
        <v>0</v>
      </c>
      <c r="GW411">
        <v>0</v>
      </c>
      <c r="GX411">
        <v>4189</v>
      </c>
      <c r="GY411">
        <v>75548</v>
      </c>
      <c r="GZ411">
        <v>0</v>
      </c>
      <c r="HA411">
        <v>79737</v>
      </c>
      <c r="HB411">
        <v>1240</v>
      </c>
      <c r="HC411">
        <v>0</v>
      </c>
      <c r="HD411">
        <v>0</v>
      </c>
      <c r="HE411">
        <v>0</v>
      </c>
      <c r="HF411">
        <v>0</v>
      </c>
      <c r="HG411">
        <v>0</v>
      </c>
      <c r="HH411">
        <v>0</v>
      </c>
      <c r="HI411">
        <v>0</v>
      </c>
      <c r="HJ411">
        <v>0</v>
      </c>
      <c r="HK411">
        <v>0</v>
      </c>
      <c r="HL411">
        <v>0</v>
      </c>
      <c r="HM411">
        <v>0</v>
      </c>
      <c r="HN411">
        <v>0</v>
      </c>
      <c r="HO411">
        <v>0</v>
      </c>
      <c r="HP411">
        <v>0</v>
      </c>
      <c r="HQ411">
        <v>0</v>
      </c>
      <c r="HR411">
        <v>0</v>
      </c>
      <c r="HS411">
        <v>0</v>
      </c>
      <c r="HT411">
        <v>0</v>
      </c>
      <c r="HU411">
        <v>0</v>
      </c>
      <c r="HV411">
        <v>1240</v>
      </c>
      <c r="HW411">
        <v>0</v>
      </c>
      <c r="HX411">
        <v>0</v>
      </c>
      <c r="HY411">
        <v>0</v>
      </c>
      <c r="HZ411">
        <v>0</v>
      </c>
      <c r="IA411">
        <v>0</v>
      </c>
      <c r="IB411">
        <v>0</v>
      </c>
      <c r="IC411">
        <v>0</v>
      </c>
      <c r="ID411">
        <v>0</v>
      </c>
      <c r="IE411">
        <v>0</v>
      </c>
      <c r="IF411">
        <v>0</v>
      </c>
      <c r="IG411">
        <v>0</v>
      </c>
      <c r="IH411">
        <v>0</v>
      </c>
      <c r="II411">
        <v>0</v>
      </c>
      <c r="IJ411">
        <v>0</v>
      </c>
      <c r="IK411">
        <v>0</v>
      </c>
      <c r="IL411">
        <v>0</v>
      </c>
      <c r="IM411">
        <v>79737</v>
      </c>
      <c r="IN411">
        <v>1240</v>
      </c>
      <c r="IO411">
        <v>0</v>
      </c>
      <c r="IP411">
        <v>80977</v>
      </c>
      <c r="IQ411">
        <v>0</v>
      </c>
      <c r="IR411">
        <v>0</v>
      </c>
      <c r="IS411">
        <v>0</v>
      </c>
      <c r="IT411">
        <v>0</v>
      </c>
      <c r="IU411">
        <v>0</v>
      </c>
      <c r="IV411">
        <v>0</v>
      </c>
      <c r="IW411">
        <v>0</v>
      </c>
      <c r="IX411">
        <v>0</v>
      </c>
      <c r="IY411">
        <v>0</v>
      </c>
      <c r="IZ411">
        <v>0</v>
      </c>
      <c r="JA411">
        <v>0</v>
      </c>
      <c r="JB411">
        <v>0</v>
      </c>
      <c r="JC411">
        <v>0</v>
      </c>
      <c r="JD411">
        <v>0</v>
      </c>
      <c r="JE411">
        <v>-717</v>
      </c>
      <c r="JF411">
        <v>0</v>
      </c>
      <c r="JG411">
        <v>80260</v>
      </c>
      <c r="JH411">
        <v>0</v>
      </c>
      <c r="JI411">
        <v>3094</v>
      </c>
      <c r="JJ411">
        <v>0</v>
      </c>
      <c r="JK411">
        <v>0</v>
      </c>
      <c r="JL411">
        <v>-375</v>
      </c>
      <c r="JM411">
        <v>-2903</v>
      </c>
      <c r="JN411">
        <v>2927</v>
      </c>
      <c r="JO411">
        <v>0</v>
      </c>
      <c r="JP411">
        <v>2004</v>
      </c>
      <c r="JQ411">
        <v>0</v>
      </c>
      <c r="JR411">
        <v>85007</v>
      </c>
      <c r="JS411">
        <v>-96</v>
      </c>
      <c r="JT411">
        <v>0</v>
      </c>
      <c r="JU411">
        <v>62</v>
      </c>
      <c r="JV411">
        <v>0</v>
      </c>
      <c r="JW411">
        <v>0</v>
      </c>
      <c r="JX411">
        <v>0</v>
      </c>
      <c r="JY411">
        <v>0</v>
      </c>
      <c r="JZ411">
        <v>0</v>
      </c>
      <c r="KA411">
        <v>0</v>
      </c>
      <c r="KB411">
        <v>0</v>
      </c>
      <c r="KC411">
        <v>84973</v>
      </c>
      <c r="KD411">
        <v>0</v>
      </c>
      <c r="KE411">
        <v>-11006</v>
      </c>
      <c r="KF411">
        <v>73967</v>
      </c>
      <c r="KG411">
        <v>0</v>
      </c>
      <c r="KH411">
        <v>0</v>
      </c>
      <c r="KI411">
        <v>0</v>
      </c>
      <c r="KJ411">
        <v>0</v>
      </c>
      <c r="KK411">
        <v>5485</v>
      </c>
      <c r="KL411">
        <v>0</v>
      </c>
      <c r="KM411">
        <v>-13631</v>
      </c>
      <c r="KN411">
        <v>0</v>
      </c>
      <c r="KO411">
        <v>-22341</v>
      </c>
      <c r="KP411">
        <v>4710</v>
      </c>
      <c r="KQ411">
        <v>0</v>
      </c>
      <c r="KR411">
        <v>43952</v>
      </c>
      <c r="KS411">
        <v>0</v>
      </c>
      <c r="KT411">
        <v>0</v>
      </c>
      <c r="KU411">
        <v>0</v>
      </c>
      <c r="KV411">
        <v>32399</v>
      </c>
      <c r="KW411">
        <v>5000</v>
      </c>
      <c r="KX411">
        <v>0</v>
      </c>
      <c r="KY411">
        <v>0</v>
      </c>
      <c r="KZ411">
        <v>0</v>
      </c>
      <c r="LA411">
        <v>37884</v>
      </c>
      <c r="LB411">
        <v>5000</v>
      </c>
      <c r="LC411">
        <v>0</v>
      </c>
      <c r="LD411">
        <v>5309</v>
      </c>
      <c r="LE411">
        <v>0</v>
      </c>
      <c r="LF411">
        <v>-875</v>
      </c>
      <c r="LG411">
        <v>0</v>
      </c>
      <c r="LH411">
        <v>375</v>
      </c>
      <c r="LI411">
        <v>4809</v>
      </c>
      <c r="LJ411">
        <v>0</v>
      </c>
      <c r="LK411">
        <v>0</v>
      </c>
      <c r="LL411">
        <v>0</v>
      </c>
      <c r="LM411">
        <v>0</v>
      </c>
      <c r="LN411">
        <v>0</v>
      </c>
      <c r="LO411">
        <v>0</v>
      </c>
      <c r="LP411">
        <v>0</v>
      </c>
      <c r="LQ411">
        <v>0</v>
      </c>
      <c r="LR411">
        <v>0</v>
      </c>
      <c r="LS411">
        <v>0</v>
      </c>
      <c r="LT411">
        <v>0</v>
      </c>
      <c r="LU411">
        <v>0</v>
      </c>
      <c r="LV411">
        <v>0</v>
      </c>
      <c r="LW411">
        <v>0</v>
      </c>
      <c r="LX411">
        <v>0</v>
      </c>
      <c r="LY411">
        <v>0</v>
      </c>
      <c r="LZ411">
        <v>0</v>
      </c>
      <c r="MA411">
        <v>0</v>
      </c>
      <c r="MB411">
        <v>0</v>
      </c>
      <c r="MC411">
        <v>0</v>
      </c>
      <c r="MD411">
        <v>0</v>
      </c>
      <c r="ME411">
        <v>79737</v>
      </c>
      <c r="MF411">
        <v>1240</v>
      </c>
      <c r="MG411">
        <v>0</v>
      </c>
      <c r="MH411">
        <v>80977</v>
      </c>
      <c r="MI411">
        <v>0</v>
      </c>
      <c r="MJ411">
        <v>0</v>
      </c>
      <c r="MK411">
        <v>0</v>
      </c>
      <c r="ML411">
        <v>0</v>
      </c>
      <c r="MM411">
        <v>0</v>
      </c>
      <c r="MN411">
        <v>0</v>
      </c>
      <c r="MO411">
        <v>0</v>
      </c>
      <c r="MP411">
        <v>0</v>
      </c>
      <c r="MQ411">
        <v>0</v>
      </c>
      <c r="MR411">
        <v>0</v>
      </c>
      <c r="MS411">
        <v>0</v>
      </c>
      <c r="MT411">
        <v>0</v>
      </c>
      <c r="MU411">
        <v>0</v>
      </c>
      <c r="MV411">
        <v>0</v>
      </c>
      <c r="MW411">
        <v>0</v>
      </c>
      <c r="MX411">
        <v>0</v>
      </c>
      <c r="MY411">
        <v>0</v>
      </c>
      <c r="MZ411">
        <v>0</v>
      </c>
      <c r="NA411">
        <v>0</v>
      </c>
      <c r="NB411">
        <v>0</v>
      </c>
      <c r="NC411">
        <v>0</v>
      </c>
      <c r="ND411">
        <v>0</v>
      </c>
      <c r="NE411">
        <v>0</v>
      </c>
      <c r="NF411">
        <v>0</v>
      </c>
      <c r="NG411">
        <v>0</v>
      </c>
      <c r="NH411">
        <v>0</v>
      </c>
      <c r="NI411">
        <v>0</v>
      </c>
      <c r="NJ411">
        <v>0</v>
      </c>
      <c r="NK411">
        <v>0</v>
      </c>
      <c r="NL411">
        <v>0</v>
      </c>
      <c r="NM411">
        <v>0</v>
      </c>
      <c r="NN411">
        <v>0</v>
      </c>
      <c r="NO411">
        <v>0</v>
      </c>
      <c r="NP411">
        <v>0</v>
      </c>
      <c r="NQ411">
        <v>0</v>
      </c>
      <c r="NR411">
        <v>0</v>
      </c>
      <c r="NS411">
        <v>0</v>
      </c>
      <c r="NT411">
        <v>0</v>
      </c>
      <c r="NU411">
        <v>0</v>
      </c>
      <c r="NV411">
        <v>0</v>
      </c>
      <c r="NW411">
        <v>0</v>
      </c>
      <c r="NX411">
        <v>0</v>
      </c>
      <c r="NY411">
        <v>0</v>
      </c>
      <c r="NZ411">
        <v>0</v>
      </c>
      <c r="OA411">
        <v>0</v>
      </c>
      <c r="OB411">
        <v>0</v>
      </c>
      <c r="OC411">
        <v>0</v>
      </c>
      <c r="OD411">
        <v>0</v>
      </c>
      <c r="OE411">
        <v>0</v>
      </c>
      <c r="OF411">
        <v>0</v>
      </c>
      <c r="OG411">
        <v>0</v>
      </c>
      <c r="OH411">
        <v>0</v>
      </c>
      <c r="OI411">
        <v>0</v>
      </c>
      <c r="OJ411">
        <v>0</v>
      </c>
      <c r="OK411">
        <v>0</v>
      </c>
      <c r="OL411">
        <v>0</v>
      </c>
      <c r="OM411">
        <v>0</v>
      </c>
      <c r="ON411">
        <v>0</v>
      </c>
    </row>
    <row r="412" spans="1:404" x14ac:dyDescent="0.25">
      <c r="A412" t="s">
        <v>1305</v>
      </c>
      <c r="B412" t="s">
        <v>1306</v>
      </c>
      <c r="C412" s="425" t="s">
        <v>1304</v>
      </c>
      <c r="E412" t="s">
        <v>71</v>
      </c>
      <c r="F412">
        <v>0</v>
      </c>
      <c r="G412">
        <v>0</v>
      </c>
      <c r="H412">
        <v>0</v>
      </c>
      <c r="I412">
        <v>0</v>
      </c>
      <c r="J412">
        <v>0</v>
      </c>
      <c r="K412">
        <v>0</v>
      </c>
      <c r="L412">
        <v>0</v>
      </c>
      <c r="M412">
        <v>0</v>
      </c>
      <c r="N412">
        <v>0</v>
      </c>
      <c r="O412">
        <v>0</v>
      </c>
      <c r="P412">
        <v>0</v>
      </c>
      <c r="Q412">
        <v>0</v>
      </c>
      <c r="R412">
        <v>0</v>
      </c>
      <c r="S412">
        <v>0</v>
      </c>
      <c r="T412">
        <v>0</v>
      </c>
      <c r="U412">
        <v>0</v>
      </c>
      <c r="V412">
        <v>0</v>
      </c>
      <c r="W412">
        <v>0</v>
      </c>
      <c r="X412">
        <v>0</v>
      </c>
      <c r="Y412">
        <v>0</v>
      </c>
      <c r="Z412">
        <v>0</v>
      </c>
      <c r="AA412">
        <v>0</v>
      </c>
      <c r="AB412">
        <v>0</v>
      </c>
      <c r="AC412">
        <v>0</v>
      </c>
      <c r="AD412">
        <v>0</v>
      </c>
      <c r="AE412">
        <v>0</v>
      </c>
      <c r="AF412">
        <v>0</v>
      </c>
      <c r="AG412">
        <v>0</v>
      </c>
      <c r="AH412">
        <v>0</v>
      </c>
      <c r="AI412">
        <v>0</v>
      </c>
      <c r="AJ412">
        <v>0</v>
      </c>
      <c r="AK412">
        <v>0</v>
      </c>
      <c r="AL412">
        <v>0</v>
      </c>
      <c r="AM412">
        <v>0</v>
      </c>
      <c r="AN412">
        <v>0</v>
      </c>
      <c r="AO412">
        <v>0</v>
      </c>
      <c r="AP412">
        <v>0</v>
      </c>
      <c r="AQ412">
        <v>0</v>
      </c>
      <c r="AR412">
        <v>0</v>
      </c>
      <c r="AS412">
        <v>0</v>
      </c>
      <c r="AT412">
        <v>0</v>
      </c>
      <c r="AU412">
        <v>0</v>
      </c>
      <c r="AV412">
        <v>0</v>
      </c>
      <c r="AW412">
        <v>0</v>
      </c>
      <c r="AX412">
        <v>0</v>
      </c>
      <c r="AY412">
        <v>0</v>
      </c>
      <c r="AZ412">
        <v>0</v>
      </c>
      <c r="BA412">
        <v>0</v>
      </c>
      <c r="BB412">
        <v>0</v>
      </c>
      <c r="BC412">
        <v>0</v>
      </c>
      <c r="BD412">
        <v>0</v>
      </c>
      <c r="BE412">
        <v>0</v>
      </c>
      <c r="BF412">
        <v>0</v>
      </c>
      <c r="BG412">
        <v>0</v>
      </c>
      <c r="BH412">
        <v>0</v>
      </c>
      <c r="BI412">
        <v>0</v>
      </c>
      <c r="BJ412">
        <v>0</v>
      </c>
      <c r="BK412">
        <v>0</v>
      </c>
      <c r="BL412">
        <v>0</v>
      </c>
      <c r="BM412">
        <v>0</v>
      </c>
      <c r="BN412">
        <v>0</v>
      </c>
      <c r="BO412">
        <v>0</v>
      </c>
      <c r="BP412">
        <v>0</v>
      </c>
      <c r="BQ412">
        <v>0</v>
      </c>
      <c r="BR412">
        <v>0</v>
      </c>
      <c r="BS412">
        <v>0</v>
      </c>
      <c r="BT412">
        <v>0</v>
      </c>
      <c r="BU412">
        <v>0</v>
      </c>
      <c r="BV412">
        <v>0</v>
      </c>
      <c r="BW412">
        <v>0</v>
      </c>
      <c r="BX412">
        <v>0</v>
      </c>
      <c r="BY412">
        <v>0</v>
      </c>
      <c r="BZ412">
        <v>0</v>
      </c>
      <c r="CA412">
        <v>0</v>
      </c>
      <c r="CB412">
        <v>0</v>
      </c>
      <c r="CC412">
        <v>0</v>
      </c>
      <c r="CD412">
        <v>0</v>
      </c>
      <c r="CE412">
        <v>0</v>
      </c>
      <c r="CF412">
        <v>0</v>
      </c>
      <c r="CG412">
        <v>0</v>
      </c>
      <c r="CH412">
        <v>0</v>
      </c>
      <c r="CI412">
        <v>0</v>
      </c>
      <c r="CJ412">
        <v>0</v>
      </c>
      <c r="CK412">
        <v>0</v>
      </c>
      <c r="CL412">
        <v>0</v>
      </c>
      <c r="CM412">
        <v>0</v>
      </c>
      <c r="CN412">
        <v>0</v>
      </c>
      <c r="CO412">
        <v>0</v>
      </c>
      <c r="CP412">
        <v>0</v>
      </c>
      <c r="CQ412">
        <v>0</v>
      </c>
      <c r="CR412">
        <v>0</v>
      </c>
      <c r="CS412">
        <v>0</v>
      </c>
      <c r="CT412">
        <v>0</v>
      </c>
      <c r="CU412">
        <v>0</v>
      </c>
      <c r="CV412">
        <v>0</v>
      </c>
      <c r="CW412">
        <v>0</v>
      </c>
      <c r="CX412">
        <v>0</v>
      </c>
      <c r="CY412">
        <v>0</v>
      </c>
      <c r="CZ412">
        <v>0</v>
      </c>
      <c r="DA412">
        <v>0</v>
      </c>
      <c r="DB412">
        <v>0</v>
      </c>
      <c r="DC412">
        <v>0</v>
      </c>
      <c r="DD412">
        <v>0</v>
      </c>
      <c r="DE412">
        <v>0</v>
      </c>
      <c r="DF412">
        <v>0</v>
      </c>
      <c r="DG412">
        <v>0</v>
      </c>
      <c r="DH412">
        <v>0</v>
      </c>
      <c r="DI412">
        <v>0</v>
      </c>
      <c r="DJ412">
        <v>0</v>
      </c>
      <c r="DK412">
        <v>0</v>
      </c>
      <c r="DL412">
        <v>0</v>
      </c>
      <c r="DM412">
        <v>0</v>
      </c>
      <c r="DN412">
        <v>0</v>
      </c>
      <c r="DO412">
        <v>0</v>
      </c>
      <c r="DP412">
        <v>0</v>
      </c>
      <c r="DQ412">
        <v>0</v>
      </c>
      <c r="DR412">
        <v>0</v>
      </c>
      <c r="DS412">
        <v>0</v>
      </c>
      <c r="DT412">
        <v>0</v>
      </c>
      <c r="DU412">
        <v>0</v>
      </c>
      <c r="DV412">
        <v>0</v>
      </c>
      <c r="DW412">
        <v>0</v>
      </c>
      <c r="DX412">
        <v>0</v>
      </c>
      <c r="DY412">
        <v>0</v>
      </c>
      <c r="DZ412">
        <v>0</v>
      </c>
      <c r="EA412">
        <v>0</v>
      </c>
      <c r="EB412">
        <v>0</v>
      </c>
      <c r="EC412">
        <v>0</v>
      </c>
      <c r="ED412">
        <v>0</v>
      </c>
      <c r="EE412">
        <v>0</v>
      </c>
      <c r="EF412">
        <v>0</v>
      </c>
      <c r="EG412">
        <v>0</v>
      </c>
      <c r="EH412">
        <v>0</v>
      </c>
      <c r="EI412">
        <v>0</v>
      </c>
      <c r="EJ412">
        <v>0</v>
      </c>
      <c r="EK412">
        <v>0</v>
      </c>
      <c r="EL412">
        <v>0</v>
      </c>
      <c r="EM412">
        <v>0</v>
      </c>
      <c r="EN412">
        <v>0</v>
      </c>
      <c r="EO412">
        <v>0</v>
      </c>
      <c r="EP412">
        <v>0</v>
      </c>
      <c r="EQ412">
        <v>0</v>
      </c>
      <c r="ER412">
        <v>0</v>
      </c>
      <c r="ES412">
        <v>0</v>
      </c>
      <c r="ET412">
        <v>0</v>
      </c>
      <c r="EU412">
        <v>0</v>
      </c>
      <c r="EV412">
        <v>0</v>
      </c>
      <c r="EW412">
        <v>0</v>
      </c>
      <c r="EX412">
        <v>0</v>
      </c>
      <c r="EY412">
        <v>0</v>
      </c>
      <c r="EZ412">
        <v>0</v>
      </c>
      <c r="FA412">
        <v>0</v>
      </c>
      <c r="FB412">
        <v>0</v>
      </c>
      <c r="FC412">
        <v>0</v>
      </c>
      <c r="FD412">
        <v>0</v>
      </c>
      <c r="FE412">
        <v>0</v>
      </c>
      <c r="FF412">
        <v>0</v>
      </c>
      <c r="FG412">
        <v>0</v>
      </c>
      <c r="FH412">
        <v>0</v>
      </c>
      <c r="FI412">
        <v>0</v>
      </c>
      <c r="FJ412">
        <v>0</v>
      </c>
      <c r="FK412">
        <v>0</v>
      </c>
      <c r="FL412">
        <v>0</v>
      </c>
      <c r="FM412">
        <v>0</v>
      </c>
      <c r="FN412">
        <v>0</v>
      </c>
      <c r="FO412">
        <v>0</v>
      </c>
      <c r="FP412">
        <v>0</v>
      </c>
      <c r="FQ412">
        <v>0</v>
      </c>
      <c r="FR412">
        <v>0</v>
      </c>
      <c r="FS412">
        <v>0</v>
      </c>
      <c r="FT412">
        <v>0</v>
      </c>
      <c r="FU412">
        <v>0</v>
      </c>
      <c r="FV412">
        <v>0</v>
      </c>
      <c r="FW412">
        <v>0</v>
      </c>
      <c r="FX412">
        <v>0</v>
      </c>
      <c r="FY412">
        <v>0</v>
      </c>
      <c r="FZ412">
        <v>0</v>
      </c>
      <c r="GA412">
        <v>0</v>
      </c>
      <c r="GB412">
        <v>0</v>
      </c>
      <c r="GC412">
        <v>0</v>
      </c>
      <c r="GD412">
        <v>0</v>
      </c>
      <c r="GE412">
        <v>0</v>
      </c>
      <c r="GF412">
        <v>0</v>
      </c>
      <c r="GG412">
        <v>0</v>
      </c>
      <c r="GH412">
        <v>0</v>
      </c>
      <c r="GI412">
        <v>0</v>
      </c>
      <c r="GJ412">
        <v>0</v>
      </c>
      <c r="GK412">
        <v>0</v>
      </c>
      <c r="GL412">
        <v>0</v>
      </c>
      <c r="GM412">
        <v>0</v>
      </c>
      <c r="GN412">
        <v>0</v>
      </c>
      <c r="GO412">
        <v>0</v>
      </c>
      <c r="GP412">
        <v>0</v>
      </c>
      <c r="GQ412">
        <v>0</v>
      </c>
      <c r="GR412">
        <v>0</v>
      </c>
      <c r="GS412">
        <v>0</v>
      </c>
      <c r="GT412">
        <v>0</v>
      </c>
      <c r="GU412">
        <v>0</v>
      </c>
      <c r="GV412">
        <v>0</v>
      </c>
      <c r="GW412">
        <v>540489</v>
      </c>
      <c r="GX412">
        <v>0</v>
      </c>
      <c r="GY412">
        <v>0</v>
      </c>
      <c r="GZ412">
        <v>0</v>
      </c>
      <c r="HA412">
        <v>0</v>
      </c>
      <c r="HB412">
        <v>1455</v>
      </c>
      <c r="HC412">
        <v>0</v>
      </c>
      <c r="HD412">
        <v>0</v>
      </c>
      <c r="HE412">
        <v>0</v>
      </c>
      <c r="HF412">
        <v>0</v>
      </c>
      <c r="HG412">
        <v>0</v>
      </c>
      <c r="HH412">
        <v>0</v>
      </c>
      <c r="HI412">
        <v>0</v>
      </c>
      <c r="HJ412">
        <v>0</v>
      </c>
      <c r="HK412">
        <v>0</v>
      </c>
      <c r="HL412">
        <v>0</v>
      </c>
      <c r="HM412">
        <v>0</v>
      </c>
      <c r="HN412">
        <v>0</v>
      </c>
      <c r="HO412">
        <v>0</v>
      </c>
      <c r="HP412">
        <v>0</v>
      </c>
      <c r="HQ412">
        <v>0</v>
      </c>
      <c r="HR412">
        <v>18589</v>
      </c>
      <c r="HS412">
        <v>0</v>
      </c>
      <c r="HT412">
        <v>0</v>
      </c>
      <c r="HU412">
        <v>0</v>
      </c>
      <c r="HV412">
        <v>20044</v>
      </c>
      <c r="HW412">
        <v>0</v>
      </c>
      <c r="HX412">
        <v>0</v>
      </c>
      <c r="HY412">
        <v>0</v>
      </c>
      <c r="HZ412">
        <v>0</v>
      </c>
      <c r="IA412">
        <v>0</v>
      </c>
      <c r="IB412">
        <v>0</v>
      </c>
      <c r="IC412">
        <v>0</v>
      </c>
      <c r="ID412">
        <v>0</v>
      </c>
      <c r="IE412">
        <v>0</v>
      </c>
      <c r="IF412">
        <v>0</v>
      </c>
      <c r="IG412">
        <v>0</v>
      </c>
      <c r="IH412">
        <v>0</v>
      </c>
      <c r="II412">
        <v>0</v>
      </c>
      <c r="IJ412">
        <v>0</v>
      </c>
      <c r="IK412">
        <v>0</v>
      </c>
      <c r="IL412">
        <v>540489</v>
      </c>
      <c r="IM412">
        <v>0</v>
      </c>
      <c r="IN412">
        <v>20044</v>
      </c>
      <c r="IO412">
        <v>0</v>
      </c>
      <c r="IP412">
        <v>560533</v>
      </c>
      <c r="IQ412">
        <v>0</v>
      </c>
      <c r="IR412">
        <v>0</v>
      </c>
      <c r="IS412">
        <v>0</v>
      </c>
      <c r="IT412">
        <v>0</v>
      </c>
      <c r="IU412">
        <v>0</v>
      </c>
      <c r="IV412">
        <v>0</v>
      </c>
      <c r="IW412">
        <v>0</v>
      </c>
      <c r="IX412">
        <v>0</v>
      </c>
      <c r="IY412">
        <v>0</v>
      </c>
      <c r="IZ412">
        <v>0</v>
      </c>
      <c r="JA412">
        <v>0</v>
      </c>
      <c r="JB412">
        <v>0</v>
      </c>
      <c r="JC412">
        <v>0</v>
      </c>
      <c r="JD412">
        <v>0</v>
      </c>
      <c r="JE412">
        <v>-14207</v>
      </c>
      <c r="JF412">
        <v>0</v>
      </c>
      <c r="JG412">
        <v>546326</v>
      </c>
      <c r="JH412">
        <v>0</v>
      </c>
      <c r="JI412">
        <v>8593</v>
      </c>
      <c r="JJ412">
        <v>0</v>
      </c>
      <c r="JK412">
        <v>0</v>
      </c>
      <c r="JL412">
        <v>0</v>
      </c>
      <c r="JM412">
        <v>36</v>
      </c>
      <c r="JN412">
        <v>2370</v>
      </c>
      <c r="JO412">
        <v>0</v>
      </c>
      <c r="JP412">
        <v>3568</v>
      </c>
      <c r="JQ412">
        <v>0</v>
      </c>
      <c r="JR412">
        <v>560893</v>
      </c>
      <c r="JS412">
        <v>-117</v>
      </c>
      <c r="JT412">
        <v>0</v>
      </c>
      <c r="JU412">
        <v>21</v>
      </c>
      <c r="JV412">
        <v>0</v>
      </c>
      <c r="JW412">
        <v>-234</v>
      </c>
      <c r="JX412">
        <v>0</v>
      </c>
      <c r="JY412">
        <v>0</v>
      </c>
      <c r="JZ412">
        <v>0</v>
      </c>
      <c r="KA412">
        <v>0</v>
      </c>
      <c r="KB412">
        <v>0</v>
      </c>
      <c r="KC412">
        <v>560563</v>
      </c>
      <c r="KD412">
        <v>0</v>
      </c>
      <c r="KE412">
        <v>-83736</v>
      </c>
      <c r="KF412">
        <v>476827</v>
      </c>
      <c r="KG412">
        <v>0</v>
      </c>
      <c r="KH412">
        <v>0</v>
      </c>
      <c r="KI412">
        <v>0</v>
      </c>
      <c r="KJ412">
        <v>0</v>
      </c>
      <c r="KK412">
        <v>26085</v>
      </c>
      <c r="KL412">
        <v>50</v>
      </c>
      <c r="KM412">
        <v>0</v>
      </c>
      <c r="KN412">
        <v>-362738</v>
      </c>
      <c r="KO412">
        <v>0</v>
      </c>
      <c r="KP412">
        <v>1512</v>
      </c>
      <c r="KQ412">
        <v>0</v>
      </c>
      <c r="KR412">
        <v>138227</v>
      </c>
      <c r="KS412">
        <v>0</v>
      </c>
      <c r="KT412">
        <v>0</v>
      </c>
      <c r="KU412">
        <v>0</v>
      </c>
      <c r="KV412">
        <v>38607</v>
      </c>
      <c r="KW412">
        <v>13730</v>
      </c>
      <c r="KX412">
        <v>0</v>
      </c>
      <c r="KY412">
        <v>0</v>
      </c>
      <c r="KZ412">
        <v>0</v>
      </c>
      <c r="LA412">
        <v>64692</v>
      </c>
      <c r="LB412">
        <v>13780</v>
      </c>
      <c r="LC412">
        <v>0</v>
      </c>
      <c r="LD412">
        <v>27909</v>
      </c>
      <c r="LE412">
        <v>-2788</v>
      </c>
      <c r="LF412">
        <v>0</v>
      </c>
      <c r="LG412">
        <v>-1023</v>
      </c>
      <c r="LH412">
        <v>0</v>
      </c>
      <c r="LI412">
        <v>24098</v>
      </c>
      <c r="LJ412">
        <v>0</v>
      </c>
      <c r="LK412">
        <v>0</v>
      </c>
      <c r="LL412">
        <v>0</v>
      </c>
      <c r="LM412">
        <v>0</v>
      </c>
      <c r="LN412">
        <v>0</v>
      </c>
      <c r="LO412">
        <v>0</v>
      </c>
      <c r="LP412">
        <v>0</v>
      </c>
      <c r="LQ412">
        <v>0</v>
      </c>
      <c r="LR412">
        <v>0</v>
      </c>
      <c r="LS412">
        <v>0</v>
      </c>
      <c r="LT412">
        <v>0</v>
      </c>
      <c r="LU412">
        <v>0</v>
      </c>
      <c r="LV412">
        <v>0</v>
      </c>
      <c r="LW412">
        <v>0</v>
      </c>
      <c r="LX412">
        <v>0</v>
      </c>
      <c r="LY412">
        <v>0</v>
      </c>
      <c r="LZ412">
        <v>0</v>
      </c>
      <c r="MA412">
        <v>0</v>
      </c>
      <c r="MB412">
        <v>0</v>
      </c>
      <c r="MC412">
        <v>0</v>
      </c>
      <c r="MD412">
        <v>540489</v>
      </c>
      <c r="ME412">
        <v>0</v>
      </c>
      <c r="MF412">
        <v>20044</v>
      </c>
      <c r="MG412">
        <v>0</v>
      </c>
      <c r="MH412">
        <v>560533</v>
      </c>
      <c r="MI412">
        <v>0</v>
      </c>
      <c r="MJ412">
        <v>0</v>
      </c>
      <c r="MK412">
        <v>0</v>
      </c>
      <c r="ML412">
        <v>0</v>
      </c>
      <c r="MM412">
        <v>0</v>
      </c>
      <c r="MN412">
        <v>0</v>
      </c>
      <c r="MO412">
        <v>0</v>
      </c>
      <c r="MP412">
        <v>0</v>
      </c>
      <c r="MQ412">
        <v>0</v>
      </c>
      <c r="MR412">
        <v>0</v>
      </c>
      <c r="MS412">
        <v>0</v>
      </c>
      <c r="MT412">
        <v>0</v>
      </c>
      <c r="MU412">
        <v>0</v>
      </c>
      <c r="MV412">
        <v>0</v>
      </c>
      <c r="MW412">
        <v>0</v>
      </c>
      <c r="MX412">
        <v>0</v>
      </c>
      <c r="MY412">
        <v>0</v>
      </c>
      <c r="MZ412">
        <v>0</v>
      </c>
      <c r="NA412">
        <v>0</v>
      </c>
      <c r="NB412">
        <v>0</v>
      </c>
      <c r="NC412">
        <v>0</v>
      </c>
      <c r="ND412">
        <v>0</v>
      </c>
      <c r="NE412">
        <v>0</v>
      </c>
      <c r="NF412">
        <v>0</v>
      </c>
      <c r="NG412">
        <v>0</v>
      </c>
      <c r="NH412">
        <v>0</v>
      </c>
      <c r="NI412">
        <v>0</v>
      </c>
      <c r="NJ412">
        <v>0</v>
      </c>
      <c r="NK412">
        <v>0</v>
      </c>
      <c r="NL412">
        <v>0</v>
      </c>
      <c r="NM412">
        <v>0</v>
      </c>
      <c r="NN412">
        <v>0</v>
      </c>
      <c r="NO412">
        <v>0</v>
      </c>
      <c r="NP412">
        <v>0</v>
      </c>
      <c r="NQ412">
        <v>0</v>
      </c>
      <c r="NR412">
        <v>0</v>
      </c>
      <c r="NS412">
        <v>0</v>
      </c>
      <c r="NT412">
        <v>0</v>
      </c>
      <c r="NU412">
        <v>0</v>
      </c>
      <c r="NV412">
        <v>0</v>
      </c>
      <c r="NW412">
        <v>0</v>
      </c>
      <c r="NX412">
        <v>0</v>
      </c>
      <c r="NY412">
        <v>0</v>
      </c>
      <c r="NZ412">
        <v>0</v>
      </c>
      <c r="OA412">
        <v>0</v>
      </c>
      <c r="OB412">
        <v>0</v>
      </c>
      <c r="OC412">
        <v>0</v>
      </c>
      <c r="OD412">
        <v>0</v>
      </c>
      <c r="OE412">
        <v>0</v>
      </c>
      <c r="OF412">
        <v>0</v>
      </c>
      <c r="OG412">
        <v>0</v>
      </c>
      <c r="OH412">
        <v>0</v>
      </c>
      <c r="OI412">
        <v>0</v>
      </c>
      <c r="OJ412">
        <v>0</v>
      </c>
      <c r="OK412">
        <v>0</v>
      </c>
      <c r="OL412">
        <v>0</v>
      </c>
      <c r="OM412">
        <v>0</v>
      </c>
      <c r="ON412">
        <v>0</v>
      </c>
    </row>
    <row r="413" spans="1:404" x14ac:dyDescent="0.25">
      <c r="A413" t="s">
        <v>1308</v>
      </c>
      <c r="B413" t="s">
        <v>1309</v>
      </c>
      <c r="C413" t="s">
        <v>1307</v>
      </c>
      <c r="E413" t="s">
        <v>5425</v>
      </c>
      <c r="F413">
        <v>0</v>
      </c>
      <c r="G413">
        <v>0</v>
      </c>
      <c r="H413">
        <v>0</v>
      </c>
      <c r="I413">
        <v>0</v>
      </c>
      <c r="J413">
        <v>0</v>
      </c>
      <c r="K413">
        <v>0</v>
      </c>
      <c r="L413">
        <v>0</v>
      </c>
      <c r="M413">
        <v>0</v>
      </c>
      <c r="N413">
        <v>0</v>
      </c>
      <c r="O413">
        <v>0</v>
      </c>
      <c r="P413">
        <v>0</v>
      </c>
      <c r="Q413">
        <v>0</v>
      </c>
      <c r="R413">
        <v>0</v>
      </c>
      <c r="S413">
        <v>0</v>
      </c>
      <c r="T413">
        <v>0</v>
      </c>
      <c r="U413">
        <v>0</v>
      </c>
      <c r="V413">
        <v>0</v>
      </c>
      <c r="W413">
        <v>0</v>
      </c>
      <c r="X413">
        <v>0</v>
      </c>
      <c r="Y413">
        <v>0</v>
      </c>
      <c r="Z413">
        <v>0</v>
      </c>
      <c r="AA413">
        <v>0</v>
      </c>
      <c r="AB413">
        <v>0</v>
      </c>
      <c r="AC413">
        <v>0</v>
      </c>
      <c r="AD413">
        <v>0</v>
      </c>
      <c r="AE413">
        <v>0</v>
      </c>
      <c r="AF413">
        <v>0</v>
      </c>
      <c r="AG413">
        <v>0</v>
      </c>
      <c r="AH413">
        <v>0</v>
      </c>
      <c r="AI413">
        <v>0</v>
      </c>
      <c r="AJ413">
        <v>0</v>
      </c>
      <c r="AK413">
        <v>0</v>
      </c>
      <c r="AL413">
        <v>0</v>
      </c>
      <c r="AM413">
        <v>0</v>
      </c>
      <c r="AN413">
        <v>0</v>
      </c>
      <c r="AO413">
        <v>0</v>
      </c>
      <c r="AP413">
        <v>0</v>
      </c>
      <c r="AQ413">
        <v>0</v>
      </c>
      <c r="AR413">
        <v>0</v>
      </c>
      <c r="AS413">
        <v>0</v>
      </c>
      <c r="AT413">
        <v>0</v>
      </c>
      <c r="AU413">
        <v>0</v>
      </c>
      <c r="AV413">
        <v>0</v>
      </c>
      <c r="AW413">
        <v>0</v>
      </c>
      <c r="AX413">
        <v>0</v>
      </c>
      <c r="AY413">
        <v>0</v>
      </c>
      <c r="AZ413">
        <v>0</v>
      </c>
      <c r="BA413">
        <v>0</v>
      </c>
      <c r="BB413">
        <v>0</v>
      </c>
      <c r="BC413">
        <v>0</v>
      </c>
      <c r="BD413">
        <v>0</v>
      </c>
      <c r="BE413">
        <v>0</v>
      </c>
      <c r="BF413">
        <v>0</v>
      </c>
      <c r="BG413">
        <v>0</v>
      </c>
      <c r="BH413">
        <v>0</v>
      </c>
      <c r="BI413">
        <v>0</v>
      </c>
      <c r="BJ413">
        <v>0</v>
      </c>
      <c r="BK413">
        <v>0</v>
      </c>
      <c r="BL413">
        <v>0</v>
      </c>
      <c r="BM413">
        <v>0</v>
      </c>
      <c r="BN413">
        <v>0</v>
      </c>
      <c r="BO413">
        <v>0</v>
      </c>
      <c r="BP413">
        <v>0</v>
      </c>
      <c r="BQ413">
        <v>0</v>
      </c>
      <c r="BR413">
        <v>0</v>
      </c>
      <c r="BS413">
        <v>0</v>
      </c>
      <c r="BT413">
        <v>0</v>
      </c>
      <c r="BU413">
        <v>0</v>
      </c>
      <c r="BV413">
        <v>0</v>
      </c>
      <c r="BW413">
        <v>0</v>
      </c>
      <c r="BX413">
        <v>0</v>
      </c>
      <c r="BY413">
        <v>0</v>
      </c>
      <c r="BZ413">
        <v>0</v>
      </c>
      <c r="CA413">
        <v>0</v>
      </c>
      <c r="CB413">
        <v>0</v>
      </c>
      <c r="CC413">
        <v>0</v>
      </c>
      <c r="CD413">
        <v>0</v>
      </c>
      <c r="CE413">
        <v>0</v>
      </c>
      <c r="CF413">
        <v>0</v>
      </c>
      <c r="CG413">
        <v>0</v>
      </c>
      <c r="CH413">
        <v>0</v>
      </c>
      <c r="CI413">
        <v>0</v>
      </c>
      <c r="CJ413">
        <v>0</v>
      </c>
      <c r="CK413">
        <v>0</v>
      </c>
      <c r="CL413">
        <v>0</v>
      </c>
      <c r="CM413">
        <v>0</v>
      </c>
      <c r="CN413">
        <v>0</v>
      </c>
      <c r="CO413">
        <v>0</v>
      </c>
      <c r="CP413">
        <v>0</v>
      </c>
      <c r="CQ413">
        <v>0</v>
      </c>
      <c r="CR413">
        <v>0</v>
      </c>
      <c r="CS413">
        <v>0</v>
      </c>
      <c r="CT413">
        <v>0</v>
      </c>
      <c r="CU413">
        <v>0</v>
      </c>
      <c r="CV413">
        <v>0</v>
      </c>
      <c r="CW413">
        <v>0</v>
      </c>
      <c r="CX413">
        <v>0</v>
      </c>
      <c r="CY413">
        <v>0</v>
      </c>
      <c r="CZ413">
        <v>0</v>
      </c>
      <c r="DA413">
        <v>0</v>
      </c>
      <c r="DB413">
        <v>0</v>
      </c>
      <c r="DC413">
        <v>0</v>
      </c>
      <c r="DD413">
        <v>0</v>
      </c>
      <c r="DE413">
        <v>0</v>
      </c>
      <c r="DF413">
        <v>0</v>
      </c>
      <c r="DG413">
        <v>0</v>
      </c>
      <c r="DH413">
        <v>0</v>
      </c>
      <c r="DI413">
        <v>0</v>
      </c>
      <c r="DJ413">
        <v>0</v>
      </c>
      <c r="DK413">
        <v>0</v>
      </c>
      <c r="DL413">
        <v>0</v>
      </c>
      <c r="DM413">
        <v>0</v>
      </c>
      <c r="DN413">
        <v>0</v>
      </c>
      <c r="DO413">
        <v>0</v>
      </c>
      <c r="DP413">
        <v>0</v>
      </c>
      <c r="DQ413">
        <v>0</v>
      </c>
      <c r="DR413">
        <v>0</v>
      </c>
      <c r="DS413">
        <v>0</v>
      </c>
      <c r="DT413">
        <v>0</v>
      </c>
      <c r="DU413">
        <v>0</v>
      </c>
      <c r="DV413">
        <v>0</v>
      </c>
      <c r="DW413">
        <v>0</v>
      </c>
      <c r="DX413">
        <v>0</v>
      </c>
      <c r="DY413">
        <v>0</v>
      </c>
      <c r="DZ413">
        <v>0</v>
      </c>
      <c r="EA413">
        <v>0</v>
      </c>
      <c r="EB413">
        <v>0</v>
      </c>
      <c r="EC413">
        <v>0</v>
      </c>
      <c r="ED413">
        <v>0</v>
      </c>
      <c r="EE413">
        <v>0</v>
      </c>
      <c r="EF413">
        <v>0</v>
      </c>
      <c r="EG413">
        <v>0</v>
      </c>
      <c r="EH413">
        <v>0</v>
      </c>
      <c r="EI413">
        <v>0</v>
      </c>
      <c r="EJ413">
        <v>0</v>
      </c>
      <c r="EK413">
        <v>0</v>
      </c>
      <c r="EL413">
        <v>0</v>
      </c>
      <c r="EM413">
        <v>0</v>
      </c>
      <c r="EN413">
        <v>0</v>
      </c>
      <c r="EO413">
        <v>0</v>
      </c>
      <c r="EP413">
        <v>0</v>
      </c>
      <c r="EQ413">
        <v>0</v>
      </c>
      <c r="ER413">
        <v>0</v>
      </c>
      <c r="ES413">
        <v>0</v>
      </c>
      <c r="ET413">
        <v>0</v>
      </c>
      <c r="EU413">
        <v>0</v>
      </c>
      <c r="EV413">
        <v>0</v>
      </c>
      <c r="EW413">
        <v>0</v>
      </c>
      <c r="EX413">
        <v>0</v>
      </c>
      <c r="EY413">
        <v>0</v>
      </c>
      <c r="EZ413">
        <v>0</v>
      </c>
      <c r="FA413">
        <v>0</v>
      </c>
      <c r="FB413">
        <v>0</v>
      </c>
      <c r="FC413">
        <v>0</v>
      </c>
      <c r="FD413">
        <v>0</v>
      </c>
      <c r="FE413">
        <v>0</v>
      </c>
      <c r="FF413">
        <v>0</v>
      </c>
      <c r="FG413">
        <v>0</v>
      </c>
      <c r="FH413">
        <v>0</v>
      </c>
      <c r="FI413">
        <v>0</v>
      </c>
      <c r="FJ413">
        <v>0</v>
      </c>
      <c r="FK413">
        <v>0</v>
      </c>
      <c r="FL413">
        <v>0</v>
      </c>
      <c r="FM413">
        <v>0</v>
      </c>
      <c r="FN413">
        <v>0</v>
      </c>
      <c r="FO413">
        <v>0</v>
      </c>
      <c r="FP413">
        <v>0</v>
      </c>
      <c r="FQ413">
        <v>0</v>
      </c>
      <c r="FR413">
        <v>0</v>
      </c>
      <c r="FS413">
        <v>0</v>
      </c>
      <c r="FT413">
        <v>0</v>
      </c>
      <c r="FU413">
        <v>0</v>
      </c>
      <c r="FV413">
        <v>0</v>
      </c>
      <c r="FW413">
        <v>0</v>
      </c>
      <c r="FX413">
        <v>0</v>
      </c>
      <c r="FY413">
        <v>0</v>
      </c>
      <c r="FZ413">
        <v>0</v>
      </c>
      <c r="GA413">
        <v>0</v>
      </c>
      <c r="GB413">
        <v>0</v>
      </c>
      <c r="GC413">
        <v>0</v>
      </c>
      <c r="GD413">
        <v>0</v>
      </c>
      <c r="GE413">
        <v>0</v>
      </c>
      <c r="GF413">
        <v>51050</v>
      </c>
      <c r="GG413">
        <v>0</v>
      </c>
      <c r="GH413">
        <v>0</v>
      </c>
      <c r="GI413">
        <v>0</v>
      </c>
      <c r="GJ413">
        <v>0</v>
      </c>
      <c r="GK413">
        <v>51050</v>
      </c>
      <c r="GL413">
        <v>0</v>
      </c>
      <c r="GM413">
        <v>0</v>
      </c>
      <c r="GN413">
        <v>0</v>
      </c>
      <c r="GO413">
        <v>0</v>
      </c>
      <c r="GP413">
        <v>0</v>
      </c>
      <c r="GQ413">
        <v>0</v>
      </c>
      <c r="GR413">
        <v>0</v>
      </c>
      <c r="GS413">
        <v>0</v>
      </c>
      <c r="GT413">
        <v>0</v>
      </c>
      <c r="GU413">
        <v>0</v>
      </c>
      <c r="GV413">
        <v>51050</v>
      </c>
      <c r="GW413">
        <v>0</v>
      </c>
      <c r="GX413">
        <v>0</v>
      </c>
      <c r="GY413">
        <v>0</v>
      </c>
      <c r="GZ413">
        <v>0</v>
      </c>
      <c r="HA413">
        <v>0</v>
      </c>
      <c r="HB413">
        <v>0</v>
      </c>
      <c r="HC413">
        <v>0</v>
      </c>
      <c r="HD413">
        <v>0</v>
      </c>
      <c r="HE413">
        <v>0</v>
      </c>
      <c r="HF413">
        <v>0</v>
      </c>
      <c r="HG413">
        <v>0</v>
      </c>
      <c r="HH413">
        <v>0</v>
      </c>
      <c r="HI413">
        <v>0</v>
      </c>
      <c r="HJ413">
        <v>0</v>
      </c>
      <c r="HK413">
        <v>0</v>
      </c>
      <c r="HL413">
        <v>0</v>
      </c>
      <c r="HM413">
        <v>0</v>
      </c>
      <c r="HN413">
        <v>0</v>
      </c>
      <c r="HO413">
        <v>0</v>
      </c>
      <c r="HP413">
        <v>0</v>
      </c>
      <c r="HQ413">
        <v>0</v>
      </c>
      <c r="HR413">
        <v>0</v>
      </c>
      <c r="HS413">
        <v>0</v>
      </c>
      <c r="HT413">
        <v>0</v>
      </c>
      <c r="HU413">
        <v>0</v>
      </c>
      <c r="HV413">
        <v>0</v>
      </c>
      <c r="HW413">
        <v>0</v>
      </c>
      <c r="HX413">
        <v>0</v>
      </c>
      <c r="HY413">
        <v>0</v>
      </c>
      <c r="HZ413">
        <v>0</v>
      </c>
      <c r="IA413">
        <v>0</v>
      </c>
      <c r="IB413">
        <v>0</v>
      </c>
      <c r="IC413">
        <v>0</v>
      </c>
      <c r="ID413">
        <v>0</v>
      </c>
      <c r="IE413">
        <v>0</v>
      </c>
      <c r="IF413">
        <v>0</v>
      </c>
      <c r="IG413">
        <v>0</v>
      </c>
      <c r="IH413">
        <v>0</v>
      </c>
      <c r="II413">
        <v>0</v>
      </c>
      <c r="IJ413">
        <v>51050</v>
      </c>
      <c r="IK413">
        <v>0</v>
      </c>
      <c r="IL413">
        <v>0</v>
      </c>
      <c r="IM413">
        <v>0</v>
      </c>
      <c r="IN413">
        <v>0</v>
      </c>
      <c r="IO413">
        <v>0</v>
      </c>
      <c r="IP413">
        <v>51050</v>
      </c>
      <c r="IQ413">
        <v>0</v>
      </c>
      <c r="IR413">
        <v>0</v>
      </c>
      <c r="IS413">
        <v>0</v>
      </c>
      <c r="IT413">
        <v>0</v>
      </c>
      <c r="IU413">
        <v>0</v>
      </c>
      <c r="IV413">
        <v>0</v>
      </c>
      <c r="IW413">
        <v>0</v>
      </c>
      <c r="IX413">
        <v>-51837</v>
      </c>
      <c r="IY413">
        <v>0</v>
      </c>
      <c r="IZ413">
        <v>0</v>
      </c>
      <c r="JA413">
        <v>0</v>
      </c>
      <c r="JB413">
        <v>0</v>
      </c>
      <c r="JC413">
        <v>0</v>
      </c>
      <c r="JD413">
        <v>0</v>
      </c>
      <c r="JE413">
        <v>0</v>
      </c>
      <c r="JF413">
        <v>0</v>
      </c>
      <c r="JG413">
        <v>-787</v>
      </c>
      <c r="JH413">
        <v>0</v>
      </c>
      <c r="JI413">
        <v>0</v>
      </c>
      <c r="JJ413">
        <v>0</v>
      </c>
      <c r="JK413">
        <v>0</v>
      </c>
      <c r="JL413">
        <v>0</v>
      </c>
      <c r="JM413">
        <v>0</v>
      </c>
      <c r="JN413">
        <v>0</v>
      </c>
      <c r="JO413">
        <v>0</v>
      </c>
      <c r="JP413">
        <v>99</v>
      </c>
      <c r="JQ413">
        <v>0</v>
      </c>
      <c r="JR413">
        <v>-688</v>
      </c>
      <c r="JS413">
        <v>-11</v>
      </c>
      <c r="JT413">
        <v>0</v>
      </c>
      <c r="JU413">
        <v>0</v>
      </c>
      <c r="JV413">
        <v>0</v>
      </c>
      <c r="JW413">
        <v>0</v>
      </c>
      <c r="JX413">
        <v>0</v>
      </c>
      <c r="JY413">
        <v>0</v>
      </c>
      <c r="JZ413">
        <v>0</v>
      </c>
      <c r="KA413">
        <v>0</v>
      </c>
      <c r="KB413">
        <v>0</v>
      </c>
      <c r="KC413">
        <v>-699</v>
      </c>
      <c r="KD413">
        <v>0</v>
      </c>
      <c r="KE413">
        <v>0</v>
      </c>
      <c r="KF413">
        <v>-699</v>
      </c>
      <c r="KG413">
        <v>0</v>
      </c>
      <c r="KH413">
        <v>0</v>
      </c>
      <c r="KI413">
        <v>0</v>
      </c>
      <c r="KJ413">
        <v>0</v>
      </c>
      <c r="KK413">
        <v>699</v>
      </c>
      <c r="KL413">
        <v>0</v>
      </c>
      <c r="KM413">
        <v>0</v>
      </c>
      <c r="KN413">
        <v>0</v>
      </c>
      <c r="KO413">
        <v>0</v>
      </c>
      <c r="KP413">
        <v>0</v>
      </c>
      <c r="KQ413">
        <v>0</v>
      </c>
      <c r="KR413">
        <v>0</v>
      </c>
      <c r="KS413">
        <v>0</v>
      </c>
      <c r="KT413">
        <v>0</v>
      </c>
      <c r="KU413">
        <v>0</v>
      </c>
      <c r="KV413">
        <v>17938</v>
      </c>
      <c r="KW413">
        <v>3312</v>
      </c>
      <c r="KX413">
        <v>0</v>
      </c>
      <c r="KY413">
        <v>0</v>
      </c>
      <c r="KZ413">
        <v>0</v>
      </c>
      <c r="LA413">
        <v>18637</v>
      </c>
      <c r="LB413">
        <v>3312</v>
      </c>
      <c r="LC413">
        <v>0</v>
      </c>
      <c r="LD413">
        <v>0</v>
      </c>
      <c r="LE413">
        <v>0</v>
      </c>
      <c r="LF413">
        <v>0</v>
      </c>
      <c r="LG413">
        <v>0</v>
      </c>
      <c r="LH413">
        <v>0</v>
      </c>
      <c r="LI413">
        <v>0</v>
      </c>
      <c r="LJ413">
        <v>0</v>
      </c>
      <c r="LK413">
        <v>0</v>
      </c>
      <c r="LL413">
        <v>0</v>
      </c>
      <c r="LM413">
        <v>0</v>
      </c>
      <c r="LN413">
        <v>0</v>
      </c>
      <c r="LO413">
        <v>0</v>
      </c>
      <c r="LP413">
        <v>0</v>
      </c>
      <c r="LQ413">
        <v>0</v>
      </c>
      <c r="LR413">
        <v>0</v>
      </c>
      <c r="LS413">
        <v>0</v>
      </c>
      <c r="LT413">
        <v>0</v>
      </c>
      <c r="LU413">
        <v>0</v>
      </c>
      <c r="LV413">
        <v>0</v>
      </c>
      <c r="LW413">
        <v>0</v>
      </c>
      <c r="LX413">
        <v>0</v>
      </c>
      <c r="LY413">
        <v>0</v>
      </c>
      <c r="LZ413">
        <v>0</v>
      </c>
      <c r="MA413">
        <v>0</v>
      </c>
      <c r="MB413">
        <v>51050</v>
      </c>
      <c r="MC413">
        <v>0</v>
      </c>
      <c r="MD413">
        <v>0</v>
      </c>
      <c r="ME413">
        <v>0</v>
      </c>
      <c r="MF413">
        <v>0</v>
      </c>
      <c r="MG413">
        <v>0</v>
      </c>
      <c r="MH413">
        <v>51050</v>
      </c>
      <c r="MI413">
        <v>0</v>
      </c>
      <c r="MJ413">
        <v>0</v>
      </c>
      <c r="MK413">
        <v>0</v>
      </c>
      <c r="ML413">
        <v>0</v>
      </c>
      <c r="MM413">
        <v>0</v>
      </c>
      <c r="MN413">
        <v>0</v>
      </c>
      <c r="MO413">
        <v>0</v>
      </c>
      <c r="MP413">
        <v>0</v>
      </c>
      <c r="MQ413">
        <v>0</v>
      </c>
      <c r="MR413">
        <v>0</v>
      </c>
      <c r="MS413">
        <v>0</v>
      </c>
      <c r="MT413">
        <v>0</v>
      </c>
      <c r="MU413">
        <v>0</v>
      </c>
      <c r="MV413">
        <v>0</v>
      </c>
      <c r="MW413">
        <v>0</v>
      </c>
      <c r="MX413">
        <v>0</v>
      </c>
      <c r="MY413">
        <v>0</v>
      </c>
      <c r="MZ413">
        <v>0</v>
      </c>
      <c r="NA413">
        <v>0</v>
      </c>
      <c r="NB413">
        <v>0</v>
      </c>
      <c r="NC413">
        <v>0</v>
      </c>
      <c r="ND413">
        <v>0</v>
      </c>
      <c r="NE413">
        <v>0</v>
      </c>
      <c r="NF413">
        <v>0</v>
      </c>
      <c r="NG413">
        <v>0</v>
      </c>
      <c r="NH413">
        <v>0</v>
      </c>
      <c r="NI413">
        <v>0</v>
      </c>
      <c r="NJ413">
        <v>0</v>
      </c>
      <c r="NK413">
        <v>0</v>
      </c>
      <c r="NL413">
        <v>0</v>
      </c>
      <c r="NM413">
        <v>0</v>
      </c>
      <c r="NN413">
        <v>0</v>
      </c>
      <c r="NO413">
        <v>0</v>
      </c>
      <c r="NP413">
        <v>0</v>
      </c>
      <c r="NQ413">
        <v>0</v>
      </c>
      <c r="NR413">
        <v>0</v>
      </c>
      <c r="NS413">
        <v>0</v>
      </c>
      <c r="NT413">
        <v>0</v>
      </c>
      <c r="NU413">
        <v>0</v>
      </c>
      <c r="NV413">
        <v>0</v>
      </c>
      <c r="NW413">
        <v>0</v>
      </c>
      <c r="NX413">
        <v>0</v>
      </c>
      <c r="NY413">
        <v>0</v>
      </c>
      <c r="NZ413">
        <v>0</v>
      </c>
      <c r="OA413">
        <v>0</v>
      </c>
      <c r="OB413">
        <v>0</v>
      </c>
      <c r="OC413">
        <v>0</v>
      </c>
      <c r="OD413">
        <v>0</v>
      </c>
      <c r="OE413">
        <v>0</v>
      </c>
      <c r="OF413">
        <v>0</v>
      </c>
      <c r="OG413">
        <v>0</v>
      </c>
      <c r="OH413">
        <v>0</v>
      </c>
      <c r="OI413">
        <v>0</v>
      </c>
      <c r="OJ413">
        <v>0</v>
      </c>
      <c r="OK413">
        <v>0</v>
      </c>
      <c r="OL413">
        <v>0</v>
      </c>
      <c r="OM413">
        <v>0</v>
      </c>
      <c r="ON413">
        <v>0</v>
      </c>
    </row>
    <row r="414" spans="1:404" x14ac:dyDescent="0.25">
      <c r="A414" t="s">
        <v>1311</v>
      </c>
      <c r="B414" t="s">
        <v>1312</v>
      </c>
      <c r="C414" t="s">
        <v>1310</v>
      </c>
      <c r="E414" t="s">
        <v>1940</v>
      </c>
      <c r="F414">
        <v>12904</v>
      </c>
      <c r="G414">
        <v>47470</v>
      </c>
      <c r="H414">
        <v>12891</v>
      </c>
      <c r="I414">
        <v>16848</v>
      </c>
      <c r="J414">
        <v>2137</v>
      </c>
      <c r="K414">
        <v>19734</v>
      </c>
      <c r="L414">
        <v>111984</v>
      </c>
      <c r="M414">
        <v>1102</v>
      </c>
      <c r="N414">
        <v>51</v>
      </c>
      <c r="O414">
        <v>1255</v>
      </c>
      <c r="P414">
        <v>2112</v>
      </c>
      <c r="Q414">
        <v>1675</v>
      </c>
      <c r="R414">
        <v>530</v>
      </c>
      <c r="S414">
        <v>0</v>
      </c>
      <c r="T414">
        <v>322</v>
      </c>
      <c r="U414">
        <v>2409</v>
      </c>
      <c r="V414">
        <v>0</v>
      </c>
      <c r="W414">
        <v>0</v>
      </c>
      <c r="X414">
        <v>1492</v>
      </c>
      <c r="Y414">
        <v>0</v>
      </c>
      <c r="Z414">
        <v>-64173</v>
      </c>
      <c r="AA414">
        <v>0</v>
      </c>
      <c r="AB414">
        <v>10627</v>
      </c>
      <c r="AC414">
        <v>0</v>
      </c>
      <c r="AD414">
        <v>0</v>
      </c>
      <c r="AE414">
        <v>0</v>
      </c>
      <c r="AF414">
        <v>0</v>
      </c>
      <c r="AG414">
        <v>0</v>
      </c>
      <c r="AH414">
        <v>0</v>
      </c>
      <c r="AI414">
        <v>-42598</v>
      </c>
      <c r="AJ414">
        <v>0</v>
      </c>
      <c r="AK414">
        <v>0</v>
      </c>
      <c r="AL414">
        <v>0</v>
      </c>
      <c r="AM414">
        <v>0</v>
      </c>
      <c r="AN414">
        <v>0</v>
      </c>
      <c r="AO414">
        <v>0</v>
      </c>
      <c r="AP414">
        <v>0</v>
      </c>
      <c r="AQ414">
        <v>29693</v>
      </c>
      <c r="AR414">
        <v>65119</v>
      </c>
      <c r="AS414">
        <v>0</v>
      </c>
      <c r="AT414">
        <v>0</v>
      </c>
      <c r="AU414">
        <v>0</v>
      </c>
      <c r="AV414">
        <v>122</v>
      </c>
      <c r="AW414">
        <v>19415</v>
      </c>
      <c r="AX414">
        <v>1533</v>
      </c>
      <c r="AY414">
        <v>3326</v>
      </c>
      <c r="AZ414">
        <v>914</v>
      </c>
      <c r="BA414">
        <v>16325</v>
      </c>
      <c r="BB414">
        <v>1195</v>
      </c>
      <c r="BC414">
        <v>2586</v>
      </c>
      <c r="BD414">
        <v>45415</v>
      </c>
      <c r="BE414">
        <v>7004</v>
      </c>
      <c r="BF414">
        <v>21114</v>
      </c>
      <c r="BG414">
        <v>21</v>
      </c>
      <c r="BH414">
        <v>19</v>
      </c>
      <c r="BI414">
        <v>303</v>
      </c>
      <c r="BJ414">
        <v>2787</v>
      </c>
      <c r="BK414">
        <v>12120</v>
      </c>
      <c r="BL414">
        <v>8576</v>
      </c>
      <c r="BM414">
        <v>2962</v>
      </c>
      <c r="BN414">
        <v>2327</v>
      </c>
      <c r="BO414">
        <v>0</v>
      </c>
      <c r="BP414">
        <v>28</v>
      </c>
      <c r="BQ414">
        <v>0</v>
      </c>
      <c r="BR414">
        <v>-451</v>
      </c>
      <c r="BS414">
        <v>230</v>
      </c>
      <c r="BT414">
        <v>10040</v>
      </c>
      <c r="BU414">
        <v>-77</v>
      </c>
      <c r="BV414">
        <v>15455</v>
      </c>
      <c r="BW414">
        <v>82459</v>
      </c>
      <c r="BX414">
        <v>4063</v>
      </c>
      <c r="BY414">
        <v>398</v>
      </c>
      <c r="BZ414">
        <v>326</v>
      </c>
      <c r="CA414">
        <v>280</v>
      </c>
      <c r="CB414">
        <v>30</v>
      </c>
      <c r="CC414">
        <v>163</v>
      </c>
      <c r="CD414">
        <v>139</v>
      </c>
      <c r="CE414">
        <v>2086</v>
      </c>
      <c r="CF414">
        <v>1099</v>
      </c>
      <c r="CG414">
        <v>1094</v>
      </c>
      <c r="CH414">
        <v>1277</v>
      </c>
      <c r="CI414">
        <v>2303</v>
      </c>
      <c r="CJ414">
        <v>768</v>
      </c>
      <c r="CK414">
        <v>1264</v>
      </c>
      <c r="CL414">
        <v>410</v>
      </c>
      <c r="CM414">
        <v>146</v>
      </c>
      <c r="CN414">
        <v>654</v>
      </c>
      <c r="CO414">
        <v>11</v>
      </c>
      <c r="CP414">
        <v>1773</v>
      </c>
      <c r="CQ414">
        <v>3130</v>
      </c>
      <c r="CR414">
        <v>958</v>
      </c>
      <c r="CS414">
        <v>0</v>
      </c>
      <c r="CT414">
        <v>899</v>
      </c>
      <c r="CU414">
        <v>6632</v>
      </c>
      <c r="CV414">
        <v>33486</v>
      </c>
      <c r="CW414">
        <v>362</v>
      </c>
      <c r="CX414">
        <v>15</v>
      </c>
      <c r="CY414">
        <v>5</v>
      </c>
      <c r="CZ414">
        <v>0</v>
      </c>
      <c r="DA414">
        <v>0</v>
      </c>
      <c r="DB414">
        <v>0</v>
      </c>
      <c r="DC414">
        <v>8772</v>
      </c>
      <c r="DD414">
        <v>0</v>
      </c>
      <c r="DE414">
        <v>0</v>
      </c>
      <c r="DF414">
        <v>0</v>
      </c>
      <c r="DG414">
        <v>-1209</v>
      </c>
      <c r="DH414">
        <v>6414</v>
      </c>
      <c r="DI414">
        <v>0</v>
      </c>
      <c r="DJ414">
        <v>309</v>
      </c>
      <c r="DK414">
        <v>-4378</v>
      </c>
      <c r="DL414">
        <v>0</v>
      </c>
      <c r="DM414">
        <v>0</v>
      </c>
      <c r="DN414">
        <v>0</v>
      </c>
      <c r="DO414">
        <v>7828</v>
      </c>
      <c r="DP414">
        <v>8963</v>
      </c>
      <c r="DQ414">
        <v>0</v>
      </c>
      <c r="DR414">
        <v>0</v>
      </c>
      <c r="DS414">
        <v>1316</v>
      </c>
      <c r="DT414">
        <v>6814</v>
      </c>
      <c r="DU414">
        <v>0</v>
      </c>
      <c r="DV414">
        <v>21475</v>
      </c>
      <c r="DW414">
        <v>0</v>
      </c>
      <c r="DX414">
        <v>47341</v>
      </c>
      <c r="DY414">
        <v>75342</v>
      </c>
      <c r="DZ414">
        <v>9174</v>
      </c>
      <c r="EA414">
        <v>24681</v>
      </c>
      <c r="EB414">
        <v>2972</v>
      </c>
      <c r="EC414">
        <v>0</v>
      </c>
      <c r="ED414">
        <v>60</v>
      </c>
      <c r="EE414">
        <v>0</v>
      </c>
      <c r="EF414">
        <v>0</v>
      </c>
      <c r="EG414">
        <v>0</v>
      </c>
      <c r="EH414">
        <v>21572</v>
      </c>
      <c r="EI414">
        <v>38458</v>
      </c>
      <c r="EJ414">
        <v>14252</v>
      </c>
      <c r="EK414">
        <v>1489</v>
      </c>
      <c r="EL414">
        <v>8577</v>
      </c>
      <c r="EM414">
        <v>0</v>
      </c>
      <c r="EN414">
        <v>0</v>
      </c>
      <c r="EO414">
        <v>152</v>
      </c>
      <c r="EP414">
        <v>0</v>
      </c>
      <c r="EQ414">
        <v>25842</v>
      </c>
      <c r="ER414">
        <v>1886</v>
      </c>
      <c r="ES414">
        <v>19384</v>
      </c>
      <c r="ET414">
        <v>19384</v>
      </c>
      <c r="EU414">
        <v>322</v>
      </c>
      <c r="EV414">
        <v>0</v>
      </c>
      <c r="EW414">
        <v>48</v>
      </c>
      <c r="EX414">
        <v>0</v>
      </c>
      <c r="EY414">
        <v>-36</v>
      </c>
      <c r="EZ414">
        <v>0</v>
      </c>
      <c r="FA414">
        <v>0</v>
      </c>
      <c r="FB414">
        <v>1113</v>
      </c>
      <c r="FC414">
        <v>1123</v>
      </c>
      <c r="FD414">
        <v>3338</v>
      </c>
      <c r="FE414">
        <v>0</v>
      </c>
      <c r="FF414">
        <v>0</v>
      </c>
      <c r="FG414">
        <v>6399</v>
      </c>
      <c r="FH414">
        <v>12308</v>
      </c>
      <c r="FI414">
        <v>373</v>
      </c>
      <c r="FJ414">
        <v>5369</v>
      </c>
      <c r="FK414">
        <v>0</v>
      </c>
      <c r="FL414">
        <v>4</v>
      </c>
      <c r="FM414">
        <v>3282</v>
      </c>
      <c r="FN414">
        <v>4377</v>
      </c>
      <c r="FO414">
        <v>56</v>
      </c>
      <c r="FP414">
        <v>0</v>
      </c>
      <c r="FQ414">
        <v>0</v>
      </c>
      <c r="FR414">
        <v>25</v>
      </c>
      <c r="FS414">
        <v>1125</v>
      </c>
      <c r="FT414">
        <v>38</v>
      </c>
      <c r="FU414">
        <v>-5953</v>
      </c>
      <c r="FV414">
        <v>-312</v>
      </c>
      <c r="FW414">
        <v>2780</v>
      </c>
      <c r="FX414">
        <v>0</v>
      </c>
      <c r="FY414">
        <v>180</v>
      </c>
      <c r="FZ414">
        <v>0</v>
      </c>
      <c r="GA414">
        <v>0</v>
      </c>
      <c r="GB414">
        <v>0</v>
      </c>
      <c r="GC414">
        <v>0</v>
      </c>
      <c r="GD414">
        <v>26145</v>
      </c>
      <c r="GE414">
        <v>6029</v>
      </c>
      <c r="GF414">
        <v>6881</v>
      </c>
      <c r="GG414">
        <v>2913</v>
      </c>
      <c r="GH414">
        <v>7997</v>
      </c>
      <c r="GI414">
        <v>0</v>
      </c>
      <c r="GJ414">
        <v>533</v>
      </c>
      <c r="GK414">
        <v>61843</v>
      </c>
      <c r="GL414">
        <v>720</v>
      </c>
      <c r="GM414">
        <v>6204</v>
      </c>
      <c r="GN414">
        <v>0</v>
      </c>
      <c r="GO414">
        <v>0</v>
      </c>
      <c r="GP414">
        <v>0</v>
      </c>
      <c r="GQ414">
        <v>875</v>
      </c>
      <c r="GR414">
        <v>0</v>
      </c>
      <c r="GS414">
        <v>509</v>
      </c>
      <c r="GT414">
        <v>0</v>
      </c>
      <c r="GU414">
        <v>8309</v>
      </c>
      <c r="GV414">
        <v>82459</v>
      </c>
      <c r="GW414">
        <v>0</v>
      </c>
      <c r="GX414">
        <v>0</v>
      </c>
      <c r="GY414">
        <v>0</v>
      </c>
      <c r="GZ414">
        <v>0</v>
      </c>
      <c r="HA414">
        <v>0</v>
      </c>
      <c r="HB414">
        <v>2059</v>
      </c>
      <c r="HC414">
        <v>1370</v>
      </c>
      <c r="HD414">
        <v>0</v>
      </c>
      <c r="HE414">
        <v>0</v>
      </c>
      <c r="HF414">
        <v>1858</v>
      </c>
      <c r="HG414">
        <v>-8417</v>
      </c>
      <c r="HH414">
        <v>0</v>
      </c>
      <c r="HI414">
        <v>-968</v>
      </c>
      <c r="HJ414">
        <v>635</v>
      </c>
      <c r="HK414">
        <v>27</v>
      </c>
      <c r="HL414">
        <v>77</v>
      </c>
      <c r="HM414">
        <v>-1323</v>
      </c>
      <c r="HN414">
        <v>0</v>
      </c>
      <c r="HO414">
        <v>0</v>
      </c>
      <c r="HP414">
        <v>296</v>
      </c>
      <c r="HQ414">
        <v>0</v>
      </c>
      <c r="HR414">
        <v>0</v>
      </c>
      <c r="HS414">
        <v>0</v>
      </c>
      <c r="HT414">
        <v>0</v>
      </c>
      <c r="HU414">
        <v>21785</v>
      </c>
      <c r="HV414">
        <v>17400</v>
      </c>
      <c r="HW414">
        <v>13376</v>
      </c>
      <c r="HX414">
        <v>42491</v>
      </c>
      <c r="HY414">
        <v>0</v>
      </c>
      <c r="HZ414">
        <v>1360</v>
      </c>
      <c r="IA414">
        <v>5152</v>
      </c>
      <c r="IB414">
        <v>0</v>
      </c>
      <c r="IC414">
        <v>111984</v>
      </c>
      <c r="ID414">
        <v>-42598</v>
      </c>
      <c r="IE414">
        <v>45415</v>
      </c>
      <c r="IF414">
        <v>82459</v>
      </c>
      <c r="IG414">
        <v>33486</v>
      </c>
      <c r="IH414">
        <v>47341</v>
      </c>
      <c r="II414">
        <v>12308</v>
      </c>
      <c r="IJ414">
        <v>61843</v>
      </c>
      <c r="IK414">
        <v>8309</v>
      </c>
      <c r="IL414">
        <v>0</v>
      </c>
      <c r="IM414">
        <v>0</v>
      </c>
      <c r="IN414">
        <v>17400</v>
      </c>
      <c r="IO414">
        <v>0</v>
      </c>
      <c r="IP414">
        <v>377945</v>
      </c>
      <c r="IQ414">
        <v>94080</v>
      </c>
      <c r="IR414">
        <v>40257</v>
      </c>
      <c r="IS414">
        <v>38089</v>
      </c>
      <c r="IT414">
        <v>0</v>
      </c>
      <c r="IU414">
        <v>0</v>
      </c>
      <c r="IV414">
        <v>166</v>
      </c>
      <c r="IW414">
        <v>0</v>
      </c>
      <c r="IX414">
        <v>2913</v>
      </c>
      <c r="IY414">
        <v>1933</v>
      </c>
      <c r="IZ414">
        <v>778</v>
      </c>
      <c r="JA414">
        <v>0</v>
      </c>
      <c r="JB414">
        <v>0</v>
      </c>
      <c r="JC414">
        <v>0</v>
      </c>
      <c r="JD414">
        <v>0</v>
      </c>
      <c r="JE414">
        <v>0</v>
      </c>
      <c r="JF414">
        <v>0</v>
      </c>
      <c r="JG414">
        <v>556162</v>
      </c>
      <c r="JH414">
        <v>314</v>
      </c>
      <c r="JI414">
        <v>0</v>
      </c>
      <c r="JJ414">
        <v>0</v>
      </c>
      <c r="JK414">
        <v>-775</v>
      </c>
      <c r="JL414">
        <v>0</v>
      </c>
      <c r="JM414">
        <v>2010</v>
      </c>
      <c r="JN414">
        <v>0</v>
      </c>
      <c r="JO414">
        <v>0</v>
      </c>
      <c r="JP414">
        <v>5004</v>
      </c>
      <c r="JQ414">
        <v>8517</v>
      </c>
      <c r="JR414">
        <v>571231</v>
      </c>
      <c r="JS414">
        <v>0</v>
      </c>
      <c r="JT414">
        <v>0</v>
      </c>
      <c r="JU414">
        <v>0</v>
      </c>
      <c r="JV414">
        <v>0</v>
      </c>
      <c r="JW414">
        <v>-184265</v>
      </c>
      <c r="JX414">
        <v>0</v>
      </c>
      <c r="JY414">
        <v>-28</v>
      </c>
      <c r="JZ414">
        <v>0</v>
      </c>
      <c r="KA414">
        <v>0</v>
      </c>
      <c r="KB414">
        <v>0</v>
      </c>
      <c r="KC414">
        <v>386938</v>
      </c>
      <c r="KD414">
        <v>0</v>
      </c>
      <c r="KE414">
        <v>-203244</v>
      </c>
      <c r="KF414">
        <v>183695</v>
      </c>
      <c r="KG414">
        <v>0</v>
      </c>
      <c r="KH414">
        <v>894</v>
      </c>
      <c r="KI414">
        <v>-2565</v>
      </c>
      <c r="KJ414">
        <v>-1074</v>
      </c>
      <c r="KK414">
        <v>-153229</v>
      </c>
      <c r="KL414">
        <v>3702</v>
      </c>
      <c r="KM414">
        <v>-30285</v>
      </c>
      <c r="KN414">
        <v>0</v>
      </c>
      <c r="KO414">
        <v>313563</v>
      </c>
      <c r="KP414">
        <v>-1715</v>
      </c>
      <c r="KQ414">
        <v>0</v>
      </c>
      <c r="KR414">
        <v>62307</v>
      </c>
      <c r="KS414">
        <v>2947</v>
      </c>
      <c r="KT414">
        <v>2565</v>
      </c>
      <c r="KU414">
        <v>5750</v>
      </c>
      <c r="KV414">
        <v>759811</v>
      </c>
      <c r="KW414">
        <v>59455</v>
      </c>
      <c r="KX414">
        <v>3841</v>
      </c>
      <c r="KY414">
        <v>0</v>
      </c>
      <c r="KZ414">
        <v>4676</v>
      </c>
      <c r="LA414">
        <v>606582</v>
      </c>
      <c r="LB414">
        <v>63157</v>
      </c>
      <c r="LC414">
        <v>0</v>
      </c>
      <c r="LD414">
        <v>72346</v>
      </c>
      <c r="LE414">
        <v>0</v>
      </c>
      <c r="LF414">
        <v>-12358</v>
      </c>
      <c r="LG414">
        <v>-112005</v>
      </c>
      <c r="LH414">
        <v>6037</v>
      </c>
      <c r="LI414">
        <v>-45980</v>
      </c>
      <c r="LJ414">
        <v>3935</v>
      </c>
      <c r="LK414">
        <v>7116</v>
      </c>
      <c r="LL414">
        <v>11051</v>
      </c>
      <c r="LM414">
        <v>0</v>
      </c>
      <c r="LN414">
        <v>0</v>
      </c>
      <c r="LO414">
        <v>0</v>
      </c>
      <c r="LP414">
        <v>112228</v>
      </c>
      <c r="LQ414">
        <v>112228</v>
      </c>
      <c r="LR414">
        <v>0</v>
      </c>
      <c r="LS414">
        <v>19384</v>
      </c>
      <c r="LT414">
        <v>19384</v>
      </c>
      <c r="LU414">
        <v>111984</v>
      </c>
      <c r="LV414">
        <v>-42598</v>
      </c>
      <c r="LW414">
        <v>45415</v>
      </c>
      <c r="LX414">
        <v>82459</v>
      </c>
      <c r="LY414">
        <v>33486</v>
      </c>
      <c r="LZ414">
        <v>47341</v>
      </c>
      <c r="MA414">
        <v>12308</v>
      </c>
      <c r="MB414">
        <v>61843</v>
      </c>
      <c r="MC414">
        <v>8309</v>
      </c>
      <c r="MD414">
        <v>0</v>
      </c>
      <c r="ME414">
        <v>0</v>
      </c>
      <c r="MF414">
        <v>17400</v>
      </c>
      <c r="MG414">
        <v>0</v>
      </c>
      <c r="MH414">
        <v>377945</v>
      </c>
      <c r="MI414">
        <v>0</v>
      </c>
      <c r="MJ414">
        <v>0</v>
      </c>
      <c r="MK414">
        <v>0</v>
      </c>
      <c r="ML414">
        <v>0</v>
      </c>
      <c r="MM414">
        <v>0</v>
      </c>
      <c r="MN414">
        <v>0</v>
      </c>
      <c r="MO414">
        <v>0</v>
      </c>
      <c r="MP414">
        <v>0</v>
      </c>
      <c r="MQ414">
        <v>0</v>
      </c>
      <c r="MR414">
        <v>0</v>
      </c>
      <c r="MS414">
        <v>0</v>
      </c>
      <c r="MT414">
        <v>0</v>
      </c>
      <c r="MU414">
        <v>0</v>
      </c>
      <c r="MV414">
        <v>0</v>
      </c>
      <c r="MW414">
        <v>0</v>
      </c>
      <c r="MX414">
        <v>0</v>
      </c>
      <c r="MY414">
        <v>0</v>
      </c>
      <c r="MZ414">
        <v>0</v>
      </c>
      <c r="NA414">
        <v>0</v>
      </c>
      <c r="NB414">
        <v>0</v>
      </c>
      <c r="NC414">
        <v>0</v>
      </c>
      <c r="ND414">
        <v>0</v>
      </c>
      <c r="NE414">
        <v>0</v>
      </c>
      <c r="NF414">
        <v>0</v>
      </c>
      <c r="NG414">
        <v>0</v>
      </c>
      <c r="NH414">
        <v>0</v>
      </c>
      <c r="NI414">
        <v>0</v>
      </c>
      <c r="NJ414">
        <v>0</v>
      </c>
      <c r="NK414">
        <v>0</v>
      </c>
      <c r="NL414">
        <v>0</v>
      </c>
      <c r="NM414">
        <v>0</v>
      </c>
      <c r="NN414">
        <v>0</v>
      </c>
      <c r="NO414">
        <v>0</v>
      </c>
      <c r="NP414">
        <v>0</v>
      </c>
      <c r="NQ414">
        <v>0</v>
      </c>
      <c r="NR414">
        <v>0</v>
      </c>
      <c r="NS414">
        <v>0</v>
      </c>
      <c r="NT414">
        <v>0</v>
      </c>
      <c r="NU414">
        <v>0</v>
      </c>
      <c r="NV414">
        <v>0</v>
      </c>
      <c r="NW414">
        <v>0</v>
      </c>
      <c r="NX414">
        <v>0</v>
      </c>
      <c r="NY414">
        <v>0</v>
      </c>
      <c r="NZ414">
        <v>0</v>
      </c>
      <c r="OA414">
        <v>0</v>
      </c>
      <c r="OB414">
        <v>0</v>
      </c>
      <c r="OC414">
        <v>0</v>
      </c>
      <c r="OD414">
        <v>0</v>
      </c>
      <c r="OE414">
        <v>0</v>
      </c>
      <c r="OF414">
        <v>0</v>
      </c>
      <c r="OG414">
        <v>0</v>
      </c>
      <c r="OH414">
        <v>0</v>
      </c>
      <c r="OI414">
        <v>0</v>
      </c>
      <c r="OJ414">
        <v>0</v>
      </c>
      <c r="OK414">
        <v>0</v>
      </c>
      <c r="OL414">
        <v>0</v>
      </c>
      <c r="OM414">
        <v>0</v>
      </c>
      <c r="ON414">
        <v>0</v>
      </c>
    </row>
    <row r="415" spans="1:404" x14ac:dyDescent="0.25">
      <c r="A415" t="s">
        <v>1314</v>
      </c>
      <c r="B415" t="s">
        <v>1315</v>
      </c>
      <c r="C415" t="s">
        <v>1313</v>
      </c>
      <c r="E415" t="s">
        <v>97</v>
      </c>
      <c r="F415">
        <v>17939</v>
      </c>
      <c r="G415">
        <v>113314</v>
      </c>
      <c r="H415">
        <v>72312</v>
      </c>
      <c r="I415">
        <v>27143</v>
      </c>
      <c r="J415">
        <v>5316</v>
      </c>
      <c r="K415">
        <v>14197</v>
      </c>
      <c r="L415">
        <v>250221</v>
      </c>
      <c r="M415">
        <v>-183</v>
      </c>
      <c r="N415">
        <v>0</v>
      </c>
      <c r="O415">
        <v>344</v>
      </c>
      <c r="P415">
        <v>1177</v>
      </c>
      <c r="Q415">
        <v>148</v>
      </c>
      <c r="R415">
        <v>0</v>
      </c>
      <c r="S415">
        <v>1698</v>
      </c>
      <c r="T415">
        <v>811</v>
      </c>
      <c r="U415">
        <v>1873</v>
      </c>
      <c r="V415">
        <v>0</v>
      </c>
      <c r="W415">
        <v>0</v>
      </c>
      <c r="X415">
        <v>695</v>
      </c>
      <c r="Y415">
        <v>0</v>
      </c>
      <c r="Z415">
        <v>-521</v>
      </c>
      <c r="AA415">
        <v>342</v>
      </c>
      <c r="AB415">
        <v>0</v>
      </c>
      <c r="AC415">
        <v>0</v>
      </c>
      <c r="AD415">
        <v>0</v>
      </c>
      <c r="AE415">
        <v>0</v>
      </c>
      <c r="AF415">
        <v>0</v>
      </c>
      <c r="AG415">
        <v>0</v>
      </c>
      <c r="AH415">
        <v>0</v>
      </c>
      <c r="AI415">
        <v>6384</v>
      </c>
      <c r="AJ415">
        <v>0</v>
      </c>
      <c r="AK415">
        <v>0</v>
      </c>
      <c r="AL415">
        <v>0</v>
      </c>
      <c r="AM415">
        <v>0</v>
      </c>
      <c r="AN415">
        <v>0</v>
      </c>
      <c r="AO415">
        <v>0</v>
      </c>
      <c r="AP415">
        <v>0</v>
      </c>
      <c r="AQ415">
        <v>0</v>
      </c>
      <c r="AR415">
        <v>595</v>
      </c>
      <c r="AS415">
        <v>0</v>
      </c>
      <c r="AT415">
        <v>0</v>
      </c>
      <c r="AU415">
        <v>0</v>
      </c>
      <c r="AV415">
        <v>2648</v>
      </c>
      <c r="AW415">
        <v>47230</v>
      </c>
      <c r="AX415">
        <v>4599</v>
      </c>
      <c r="AY415">
        <v>2575</v>
      </c>
      <c r="AZ415">
        <v>2043</v>
      </c>
      <c r="BA415">
        <v>15271</v>
      </c>
      <c r="BB415">
        <v>0</v>
      </c>
      <c r="BC415">
        <v>436</v>
      </c>
      <c r="BD415">
        <v>74802</v>
      </c>
      <c r="BE415">
        <v>8481</v>
      </c>
      <c r="BF415">
        <v>16673</v>
      </c>
      <c r="BG415">
        <v>477</v>
      </c>
      <c r="BH415">
        <v>528</v>
      </c>
      <c r="BI415">
        <v>999</v>
      </c>
      <c r="BJ415">
        <v>4984</v>
      </c>
      <c r="BK415">
        <v>33571</v>
      </c>
      <c r="BL415">
        <v>3443</v>
      </c>
      <c r="BM415">
        <v>6620</v>
      </c>
      <c r="BN415">
        <v>5375</v>
      </c>
      <c r="BO415">
        <v>692</v>
      </c>
      <c r="BP415">
        <v>86</v>
      </c>
      <c r="BQ415">
        <v>149</v>
      </c>
      <c r="BR415">
        <v>134</v>
      </c>
      <c r="BS415">
        <v>280</v>
      </c>
      <c r="BT415">
        <v>8345</v>
      </c>
      <c r="BU415">
        <v>290</v>
      </c>
      <c r="BV415">
        <v>6204</v>
      </c>
      <c r="BW415">
        <v>104608</v>
      </c>
      <c r="BX415">
        <v>1009</v>
      </c>
      <c r="BY415">
        <v>1682</v>
      </c>
      <c r="BZ415">
        <v>672</v>
      </c>
      <c r="CA415">
        <v>233</v>
      </c>
      <c r="CB415">
        <v>431</v>
      </c>
      <c r="CC415">
        <v>45</v>
      </c>
      <c r="CD415">
        <v>214</v>
      </c>
      <c r="CE415">
        <v>2066</v>
      </c>
      <c r="CF415">
        <v>655</v>
      </c>
      <c r="CG415">
        <v>1444</v>
      </c>
      <c r="CH415">
        <v>237</v>
      </c>
      <c r="CI415">
        <v>2092</v>
      </c>
      <c r="CJ415">
        <v>1806</v>
      </c>
      <c r="CK415">
        <v>569</v>
      </c>
      <c r="CL415">
        <v>569</v>
      </c>
      <c r="CM415">
        <v>1080</v>
      </c>
      <c r="CN415">
        <v>312</v>
      </c>
      <c r="CO415">
        <v>84</v>
      </c>
      <c r="CP415">
        <v>786</v>
      </c>
      <c r="CQ415">
        <v>2078</v>
      </c>
      <c r="CR415">
        <v>3231</v>
      </c>
      <c r="CS415">
        <v>182</v>
      </c>
      <c r="CT415">
        <v>637</v>
      </c>
      <c r="CU415">
        <v>2769</v>
      </c>
      <c r="CV415">
        <v>26658</v>
      </c>
      <c r="CW415">
        <v>0</v>
      </c>
      <c r="CX415">
        <v>0</v>
      </c>
      <c r="CY415">
        <v>0</v>
      </c>
      <c r="CZ415">
        <v>0</v>
      </c>
      <c r="DA415">
        <v>0</v>
      </c>
      <c r="DB415">
        <v>0</v>
      </c>
      <c r="DC415">
        <v>107</v>
      </c>
      <c r="DD415">
        <v>0</v>
      </c>
      <c r="DE415">
        <v>0</v>
      </c>
      <c r="DF415">
        <v>71</v>
      </c>
      <c r="DG415">
        <v>0</v>
      </c>
      <c r="DH415">
        <v>12</v>
      </c>
      <c r="DI415">
        <v>282</v>
      </c>
      <c r="DJ415">
        <v>1692</v>
      </c>
      <c r="DK415">
        <v>0</v>
      </c>
      <c r="DL415">
        <v>31</v>
      </c>
      <c r="DM415">
        <v>149</v>
      </c>
      <c r="DN415">
        <v>1307</v>
      </c>
      <c r="DO415">
        <v>1099</v>
      </c>
      <c r="DP415">
        <v>4572</v>
      </c>
      <c r="DQ415">
        <v>271</v>
      </c>
      <c r="DR415">
        <v>0</v>
      </c>
      <c r="DS415">
        <v>345</v>
      </c>
      <c r="DT415">
        <v>4489</v>
      </c>
      <c r="DU415">
        <v>30</v>
      </c>
      <c r="DV415">
        <v>0</v>
      </c>
      <c r="DW415">
        <v>0</v>
      </c>
      <c r="DX415">
        <v>9885</v>
      </c>
      <c r="DY415">
        <v>86144</v>
      </c>
      <c r="DZ415">
        <v>360</v>
      </c>
      <c r="EA415">
        <v>334</v>
      </c>
      <c r="EB415">
        <v>1605</v>
      </c>
      <c r="EC415">
        <v>0</v>
      </c>
      <c r="ED415">
        <v>50</v>
      </c>
      <c r="EE415">
        <v>0</v>
      </c>
      <c r="EF415">
        <v>0</v>
      </c>
      <c r="EG415">
        <v>0</v>
      </c>
      <c r="EH415">
        <v>32141</v>
      </c>
      <c r="EI415">
        <v>21262</v>
      </c>
      <c r="EJ415">
        <v>2454</v>
      </c>
      <c r="EK415">
        <v>1247</v>
      </c>
      <c r="EL415">
        <v>13604</v>
      </c>
      <c r="EM415">
        <v>26064</v>
      </c>
      <c r="EN415">
        <v>0</v>
      </c>
      <c r="EO415">
        <v>0</v>
      </c>
      <c r="EP415">
        <v>0</v>
      </c>
      <c r="EQ415">
        <v>0</v>
      </c>
      <c r="ER415">
        <v>1320</v>
      </c>
      <c r="ES415">
        <v>24896</v>
      </c>
      <c r="ET415">
        <v>15297</v>
      </c>
      <c r="EU415">
        <v>273</v>
      </c>
      <c r="EV415">
        <v>548</v>
      </c>
      <c r="EW415">
        <v>803</v>
      </c>
      <c r="EX415">
        <v>11</v>
      </c>
      <c r="EY415">
        <v>373</v>
      </c>
      <c r="EZ415">
        <v>0</v>
      </c>
      <c r="FA415">
        <v>0</v>
      </c>
      <c r="FB415">
        <v>579</v>
      </c>
      <c r="FC415">
        <v>4201</v>
      </c>
      <c r="FD415">
        <v>3678</v>
      </c>
      <c r="FE415">
        <v>125</v>
      </c>
      <c r="FF415">
        <v>0</v>
      </c>
      <c r="FG415">
        <v>2822</v>
      </c>
      <c r="FH415">
        <v>13413</v>
      </c>
      <c r="FI415">
        <v>-608</v>
      </c>
      <c r="FJ415">
        <v>206</v>
      </c>
      <c r="FK415">
        <v>0</v>
      </c>
      <c r="FL415">
        <v>244</v>
      </c>
      <c r="FM415">
        <v>693</v>
      </c>
      <c r="FN415">
        <v>250</v>
      </c>
      <c r="FO415">
        <v>68</v>
      </c>
      <c r="FP415">
        <v>0</v>
      </c>
      <c r="FQ415">
        <v>0</v>
      </c>
      <c r="FR415">
        <v>-12</v>
      </c>
      <c r="FS415">
        <v>4</v>
      </c>
      <c r="FT415">
        <v>74</v>
      </c>
      <c r="FU415">
        <v>124</v>
      </c>
      <c r="FV415">
        <v>843</v>
      </c>
      <c r="FW415">
        <v>116</v>
      </c>
      <c r="FX415">
        <v>402</v>
      </c>
      <c r="FY415">
        <v>0</v>
      </c>
      <c r="FZ415">
        <v>175</v>
      </c>
      <c r="GA415">
        <v>0</v>
      </c>
      <c r="GB415">
        <v>0</v>
      </c>
      <c r="GC415">
        <v>0</v>
      </c>
      <c r="GD415">
        <v>2625</v>
      </c>
      <c r="GE415">
        <v>4940</v>
      </c>
      <c r="GF415">
        <v>9228</v>
      </c>
      <c r="GG415">
        <v>0</v>
      </c>
      <c r="GH415">
        <v>4165</v>
      </c>
      <c r="GI415">
        <v>0</v>
      </c>
      <c r="GJ415">
        <v>69</v>
      </c>
      <c r="GK415">
        <v>23606</v>
      </c>
      <c r="GL415">
        <v>128</v>
      </c>
      <c r="GM415">
        <v>182</v>
      </c>
      <c r="GN415">
        <v>0</v>
      </c>
      <c r="GO415">
        <v>911</v>
      </c>
      <c r="GP415">
        <v>728</v>
      </c>
      <c r="GQ415">
        <v>3489</v>
      </c>
      <c r="GR415">
        <v>0</v>
      </c>
      <c r="GS415">
        <v>0</v>
      </c>
      <c r="GT415">
        <v>191</v>
      </c>
      <c r="GU415">
        <v>5629</v>
      </c>
      <c r="GV415">
        <v>42648</v>
      </c>
      <c r="GW415">
        <v>0</v>
      </c>
      <c r="GX415">
        <v>0</v>
      </c>
      <c r="GY415">
        <v>0</v>
      </c>
      <c r="GZ415">
        <v>0</v>
      </c>
      <c r="HA415">
        <v>0</v>
      </c>
      <c r="HB415">
        <v>6191</v>
      </c>
      <c r="HC415">
        <v>-1391</v>
      </c>
      <c r="HD415">
        <v>0</v>
      </c>
      <c r="HE415">
        <v>29</v>
      </c>
      <c r="HF415">
        <v>529</v>
      </c>
      <c r="HG415">
        <v>-295</v>
      </c>
      <c r="HH415">
        <v>0</v>
      </c>
      <c r="HI415">
        <v>5</v>
      </c>
      <c r="HJ415">
        <v>299</v>
      </c>
      <c r="HK415">
        <v>491</v>
      </c>
      <c r="HL415">
        <v>91</v>
      </c>
      <c r="HM415">
        <v>0</v>
      </c>
      <c r="HN415">
        <v>4477</v>
      </c>
      <c r="HO415">
        <v>3257</v>
      </c>
      <c r="HP415">
        <v>1073</v>
      </c>
      <c r="HQ415">
        <v>0</v>
      </c>
      <c r="HR415">
        <v>1250</v>
      </c>
      <c r="HS415">
        <v>0</v>
      </c>
      <c r="HT415">
        <v>364</v>
      </c>
      <c r="HU415">
        <v>9393</v>
      </c>
      <c r="HV415">
        <v>25763</v>
      </c>
      <c r="HW415">
        <v>7224</v>
      </c>
      <c r="HX415">
        <v>30281</v>
      </c>
      <c r="HY415">
        <v>0</v>
      </c>
      <c r="HZ415">
        <v>8094</v>
      </c>
      <c r="IA415">
        <v>257</v>
      </c>
      <c r="IB415">
        <v>-3182</v>
      </c>
      <c r="IC415">
        <v>250221</v>
      </c>
      <c r="ID415">
        <v>6384</v>
      </c>
      <c r="IE415">
        <v>74802</v>
      </c>
      <c r="IF415">
        <v>104608</v>
      </c>
      <c r="IG415">
        <v>26658</v>
      </c>
      <c r="IH415">
        <v>9885</v>
      </c>
      <c r="II415">
        <v>13413</v>
      </c>
      <c r="IJ415">
        <v>23606</v>
      </c>
      <c r="IK415">
        <v>5629</v>
      </c>
      <c r="IL415">
        <v>0</v>
      </c>
      <c r="IM415">
        <v>0</v>
      </c>
      <c r="IN415">
        <v>25763</v>
      </c>
      <c r="IO415">
        <v>-3182</v>
      </c>
      <c r="IP415">
        <v>537787</v>
      </c>
      <c r="IQ415">
        <v>30188</v>
      </c>
      <c r="IR415">
        <v>299</v>
      </c>
      <c r="IS415">
        <v>30351</v>
      </c>
      <c r="IT415">
        <v>0</v>
      </c>
      <c r="IU415">
        <v>0</v>
      </c>
      <c r="IV415">
        <v>81</v>
      </c>
      <c r="IW415">
        <v>22308</v>
      </c>
      <c r="IX415">
        <v>0</v>
      </c>
      <c r="IY415">
        <v>0</v>
      </c>
      <c r="IZ415">
        <v>2286</v>
      </c>
      <c r="JA415">
        <v>-486</v>
      </c>
      <c r="JB415">
        <v>-2925</v>
      </c>
      <c r="JC415">
        <v>0</v>
      </c>
      <c r="JD415">
        <v>0</v>
      </c>
      <c r="JE415">
        <v>-304</v>
      </c>
      <c r="JF415">
        <v>0</v>
      </c>
      <c r="JG415">
        <v>619585</v>
      </c>
      <c r="JH415">
        <v>179</v>
      </c>
      <c r="JI415">
        <v>2469</v>
      </c>
      <c r="JJ415">
        <v>46</v>
      </c>
      <c r="JK415">
        <v>0</v>
      </c>
      <c r="JL415">
        <v>0</v>
      </c>
      <c r="JM415">
        <v>0</v>
      </c>
      <c r="JN415">
        <v>7994</v>
      </c>
      <c r="JO415">
        <v>0</v>
      </c>
      <c r="JP415">
        <v>9407</v>
      </c>
      <c r="JQ415">
        <v>0</v>
      </c>
      <c r="JR415">
        <v>639680</v>
      </c>
      <c r="JS415">
        <v>-5263</v>
      </c>
      <c r="JT415">
        <v>993</v>
      </c>
      <c r="JU415">
        <v>0</v>
      </c>
      <c r="JV415">
        <v>0</v>
      </c>
      <c r="JW415">
        <v>-69087</v>
      </c>
      <c r="JX415">
        <v>0</v>
      </c>
      <c r="JY415">
        <v>0</v>
      </c>
      <c r="JZ415">
        <v>0</v>
      </c>
      <c r="KA415">
        <v>0</v>
      </c>
      <c r="KB415">
        <v>0</v>
      </c>
      <c r="KC415">
        <v>566323</v>
      </c>
      <c r="KD415">
        <v>-104</v>
      </c>
      <c r="KE415">
        <v>-306458</v>
      </c>
      <c r="KF415">
        <v>259761</v>
      </c>
      <c r="KG415">
        <v>0</v>
      </c>
      <c r="KH415">
        <v>-1140</v>
      </c>
      <c r="KI415">
        <v>1243</v>
      </c>
      <c r="KJ415">
        <v>2295</v>
      </c>
      <c r="KK415">
        <v>-14214</v>
      </c>
      <c r="KL415">
        <v>-3107</v>
      </c>
      <c r="KM415">
        <v>0</v>
      </c>
      <c r="KN415">
        <v>0</v>
      </c>
      <c r="KO415">
        <v>-89604</v>
      </c>
      <c r="KP415">
        <v>267</v>
      </c>
      <c r="KQ415">
        <v>0</v>
      </c>
      <c r="KR415">
        <v>126788</v>
      </c>
      <c r="KS415">
        <v>21721</v>
      </c>
      <c r="KT415">
        <v>50</v>
      </c>
      <c r="KU415">
        <v>2177</v>
      </c>
      <c r="KV415">
        <v>175628</v>
      </c>
      <c r="KW415">
        <v>16662</v>
      </c>
      <c r="KX415">
        <v>20581</v>
      </c>
      <c r="KY415">
        <v>1293</v>
      </c>
      <c r="KZ415">
        <v>4472</v>
      </c>
      <c r="LA415">
        <v>161414</v>
      </c>
      <c r="LB415">
        <v>13555</v>
      </c>
      <c r="LC415">
        <v>0</v>
      </c>
      <c r="LD415">
        <v>17480</v>
      </c>
      <c r="LE415">
        <v>1253</v>
      </c>
      <c r="LF415">
        <v>6849</v>
      </c>
      <c r="LG415">
        <v>-39128</v>
      </c>
      <c r="LH415">
        <v>7127</v>
      </c>
      <c r="LI415">
        <v>-7280</v>
      </c>
      <c r="LJ415">
        <v>9090</v>
      </c>
      <c r="LK415">
        <v>11862</v>
      </c>
      <c r="LL415">
        <v>20952</v>
      </c>
      <c r="LM415">
        <v>10</v>
      </c>
      <c r="LN415">
        <v>0</v>
      </c>
      <c r="LO415">
        <v>0</v>
      </c>
      <c r="LP415">
        <v>88493</v>
      </c>
      <c r="LQ415">
        <v>98092</v>
      </c>
      <c r="LR415">
        <v>-9599</v>
      </c>
      <c r="LS415">
        <v>24896</v>
      </c>
      <c r="LT415">
        <v>15297</v>
      </c>
      <c r="LU415">
        <v>250221</v>
      </c>
      <c r="LV415">
        <v>6384</v>
      </c>
      <c r="LW415">
        <v>74802</v>
      </c>
      <c r="LX415">
        <v>104608</v>
      </c>
      <c r="LY415">
        <v>26658</v>
      </c>
      <c r="LZ415">
        <v>9885</v>
      </c>
      <c r="MA415">
        <v>13413</v>
      </c>
      <c r="MB415">
        <v>23606</v>
      </c>
      <c r="MC415">
        <v>5629</v>
      </c>
      <c r="MD415">
        <v>0</v>
      </c>
      <c r="ME415">
        <v>0</v>
      </c>
      <c r="MF415">
        <v>25763</v>
      </c>
      <c r="MG415">
        <v>-3182</v>
      </c>
      <c r="MH415">
        <v>537787</v>
      </c>
      <c r="MI415">
        <v>0</v>
      </c>
      <c r="MJ415">
        <v>0</v>
      </c>
      <c r="MK415">
        <v>0</v>
      </c>
      <c r="ML415">
        <v>0</v>
      </c>
      <c r="MM415">
        <v>0</v>
      </c>
      <c r="MN415">
        <v>0</v>
      </c>
      <c r="MO415">
        <v>0</v>
      </c>
      <c r="MP415">
        <v>0</v>
      </c>
      <c r="MQ415">
        <v>0</v>
      </c>
      <c r="MR415">
        <v>0</v>
      </c>
      <c r="MS415">
        <v>0</v>
      </c>
      <c r="MT415">
        <v>0</v>
      </c>
      <c r="MU415">
        <v>0</v>
      </c>
      <c r="MV415">
        <v>0</v>
      </c>
      <c r="MW415">
        <v>0</v>
      </c>
      <c r="MX415">
        <v>-486</v>
      </c>
      <c r="MY415">
        <v>0</v>
      </c>
      <c r="MZ415">
        <v>0</v>
      </c>
      <c r="NA415">
        <v>-486</v>
      </c>
      <c r="NB415">
        <v>0</v>
      </c>
      <c r="NC415">
        <v>-486</v>
      </c>
      <c r="ND415">
        <v>0</v>
      </c>
      <c r="NE415">
        <v>0</v>
      </c>
      <c r="NF415">
        <v>-414</v>
      </c>
      <c r="NG415">
        <v>0</v>
      </c>
      <c r="NH415">
        <v>0</v>
      </c>
      <c r="NI415">
        <v>0</v>
      </c>
      <c r="NJ415">
        <v>0</v>
      </c>
      <c r="NK415">
        <v>0</v>
      </c>
      <c r="NL415">
        <v>0</v>
      </c>
      <c r="NM415">
        <v>0</v>
      </c>
      <c r="NN415">
        <v>21</v>
      </c>
      <c r="NO415">
        <v>0</v>
      </c>
      <c r="NP415">
        <v>0</v>
      </c>
      <c r="NQ415">
        <v>1010</v>
      </c>
      <c r="NR415">
        <v>-2040</v>
      </c>
      <c r="NS415">
        <v>0</v>
      </c>
      <c r="NT415">
        <v>-143</v>
      </c>
      <c r="NU415">
        <v>0</v>
      </c>
      <c r="NV415">
        <v>0</v>
      </c>
      <c r="NW415">
        <v>0</v>
      </c>
      <c r="NX415">
        <v>0</v>
      </c>
      <c r="NY415">
        <v>0</v>
      </c>
      <c r="NZ415">
        <v>-2925</v>
      </c>
      <c r="OA415">
        <v>0</v>
      </c>
      <c r="OB415">
        <v>-2925</v>
      </c>
      <c r="OC415">
        <v>0</v>
      </c>
      <c r="OD415">
        <v>0</v>
      </c>
      <c r="OE415">
        <v>0</v>
      </c>
      <c r="OF415">
        <v>0</v>
      </c>
      <c r="OG415">
        <v>0</v>
      </c>
      <c r="OH415">
        <v>0</v>
      </c>
      <c r="OI415">
        <v>0</v>
      </c>
      <c r="OJ415">
        <v>0</v>
      </c>
      <c r="OK415">
        <v>0</v>
      </c>
      <c r="OL415">
        <v>0</v>
      </c>
      <c r="OM415">
        <v>0</v>
      </c>
      <c r="ON415">
        <v>0</v>
      </c>
    </row>
    <row r="416" spans="1:404" x14ac:dyDescent="0.25">
      <c r="A416" t="s">
        <v>1320</v>
      </c>
      <c r="B416" t="s">
        <v>1321</v>
      </c>
      <c r="C416" t="s">
        <v>1319</v>
      </c>
      <c r="E416" t="s">
        <v>71</v>
      </c>
      <c r="F416">
        <v>0</v>
      </c>
      <c r="G416">
        <v>0</v>
      </c>
      <c r="H416">
        <v>0</v>
      </c>
      <c r="I416">
        <v>0</v>
      </c>
      <c r="J416">
        <v>0</v>
      </c>
      <c r="K416">
        <v>0</v>
      </c>
      <c r="L416">
        <v>0</v>
      </c>
      <c r="M416">
        <v>0</v>
      </c>
      <c r="N416">
        <v>0</v>
      </c>
      <c r="O416">
        <v>0</v>
      </c>
      <c r="P416">
        <v>0</v>
      </c>
      <c r="Q416">
        <v>0</v>
      </c>
      <c r="R416">
        <v>0</v>
      </c>
      <c r="S416">
        <v>0</v>
      </c>
      <c r="T416">
        <v>0</v>
      </c>
      <c r="U416">
        <v>0</v>
      </c>
      <c r="V416">
        <v>0</v>
      </c>
      <c r="W416">
        <v>0</v>
      </c>
      <c r="X416">
        <v>0</v>
      </c>
      <c r="Y416">
        <v>0</v>
      </c>
      <c r="Z416">
        <v>0</v>
      </c>
      <c r="AA416">
        <v>0</v>
      </c>
      <c r="AB416">
        <v>0</v>
      </c>
      <c r="AC416">
        <v>0</v>
      </c>
      <c r="AD416">
        <v>0</v>
      </c>
      <c r="AE416">
        <v>0</v>
      </c>
      <c r="AF416">
        <v>0</v>
      </c>
      <c r="AG416">
        <v>0</v>
      </c>
      <c r="AH416">
        <v>0</v>
      </c>
      <c r="AI416">
        <v>0</v>
      </c>
      <c r="AJ416">
        <v>0</v>
      </c>
      <c r="AK416">
        <v>0</v>
      </c>
      <c r="AL416">
        <v>0</v>
      </c>
      <c r="AM416">
        <v>0</v>
      </c>
      <c r="AN416">
        <v>0</v>
      </c>
      <c r="AO416">
        <v>0</v>
      </c>
      <c r="AP416">
        <v>0</v>
      </c>
      <c r="AQ416">
        <v>0</v>
      </c>
      <c r="AR416">
        <v>0</v>
      </c>
      <c r="AS416">
        <v>0</v>
      </c>
      <c r="AT416">
        <v>0</v>
      </c>
      <c r="AU416">
        <v>0</v>
      </c>
      <c r="AV416">
        <v>0</v>
      </c>
      <c r="AW416">
        <v>0</v>
      </c>
      <c r="AX416">
        <v>0</v>
      </c>
      <c r="AY416">
        <v>0</v>
      </c>
      <c r="AZ416">
        <v>0</v>
      </c>
      <c r="BA416">
        <v>0</v>
      </c>
      <c r="BB416">
        <v>0</v>
      </c>
      <c r="BC416">
        <v>0</v>
      </c>
      <c r="BD416">
        <v>0</v>
      </c>
      <c r="BE416">
        <v>0</v>
      </c>
      <c r="BF416">
        <v>0</v>
      </c>
      <c r="BG416">
        <v>0</v>
      </c>
      <c r="BH416">
        <v>0</v>
      </c>
      <c r="BI416">
        <v>0</v>
      </c>
      <c r="BJ416">
        <v>0</v>
      </c>
      <c r="BK416">
        <v>0</v>
      </c>
      <c r="BL416">
        <v>0</v>
      </c>
      <c r="BM416">
        <v>0</v>
      </c>
      <c r="BN416">
        <v>0</v>
      </c>
      <c r="BO416">
        <v>0</v>
      </c>
      <c r="BP416">
        <v>0</v>
      </c>
      <c r="BQ416">
        <v>0</v>
      </c>
      <c r="BR416">
        <v>0</v>
      </c>
      <c r="BS416">
        <v>0</v>
      </c>
      <c r="BT416">
        <v>0</v>
      </c>
      <c r="BU416">
        <v>0</v>
      </c>
      <c r="BV416">
        <v>0</v>
      </c>
      <c r="BW416">
        <v>0</v>
      </c>
      <c r="BX416">
        <v>0</v>
      </c>
      <c r="BY416">
        <v>0</v>
      </c>
      <c r="BZ416">
        <v>0</v>
      </c>
      <c r="CA416">
        <v>0</v>
      </c>
      <c r="CB416">
        <v>0</v>
      </c>
      <c r="CC416">
        <v>0</v>
      </c>
      <c r="CD416">
        <v>0</v>
      </c>
      <c r="CE416">
        <v>0</v>
      </c>
      <c r="CF416">
        <v>0</v>
      </c>
      <c r="CG416">
        <v>0</v>
      </c>
      <c r="CH416">
        <v>0</v>
      </c>
      <c r="CI416">
        <v>0</v>
      </c>
      <c r="CJ416">
        <v>0</v>
      </c>
      <c r="CK416">
        <v>0</v>
      </c>
      <c r="CL416">
        <v>0</v>
      </c>
      <c r="CM416">
        <v>0</v>
      </c>
      <c r="CN416">
        <v>0</v>
      </c>
      <c r="CO416">
        <v>0</v>
      </c>
      <c r="CP416">
        <v>0</v>
      </c>
      <c r="CQ416">
        <v>0</v>
      </c>
      <c r="CR416">
        <v>0</v>
      </c>
      <c r="CS416">
        <v>0</v>
      </c>
      <c r="CT416">
        <v>0</v>
      </c>
      <c r="CU416">
        <v>0</v>
      </c>
      <c r="CV416">
        <v>0</v>
      </c>
      <c r="CW416">
        <v>0</v>
      </c>
      <c r="CX416">
        <v>0</v>
      </c>
      <c r="CY416">
        <v>0</v>
      </c>
      <c r="CZ416">
        <v>0</v>
      </c>
      <c r="DA416">
        <v>0</v>
      </c>
      <c r="DB416">
        <v>0</v>
      </c>
      <c r="DC416">
        <v>0</v>
      </c>
      <c r="DD416">
        <v>0</v>
      </c>
      <c r="DE416">
        <v>0</v>
      </c>
      <c r="DF416">
        <v>0</v>
      </c>
      <c r="DG416">
        <v>0</v>
      </c>
      <c r="DH416">
        <v>0</v>
      </c>
      <c r="DI416">
        <v>0</v>
      </c>
      <c r="DJ416">
        <v>0</v>
      </c>
      <c r="DK416">
        <v>0</v>
      </c>
      <c r="DL416">
        <v>0</v>
      </c>
      <c r="DM416">
        <v>0</v>
      </c>
      <c r="DN416">
        <v>0</v>
      </c>
      <c r="DO416">
        <v>0</v>
      </c>
      <c r="DP416">
        <v>0</v>
      </c>
      <c r="DQ416">
        <v>0</v>
      </c>
      <c r="DR416">
        <v>0</v>
      </c>
      <c r="DS416">
        <v>0</v>
      </c>
      <c r="DT416">
        <v>0</v>
      </c>
      <c r="DU416">
        <v>0</v>
      </c>
      <c r="DV416">
        <v>0</v>
      </c>
      <c r="DW416">
        <v>0</v>
      </c>
      <c r="DX416">
        <v>0</v>
      </c>
      <c r="DY416">
        <v>0</v>
      </c>
      <c r="DZ416">
        <v>0</v>
      </c>
      <c r="EA416">
        <v>0</v>
      </c>
      <c r="EB416">
        <v>0</v>
      </c>
      <c r="EC416">
        <v>0</v>
      </c>
      <c r="ED416">
        <v>0</v>
      </c>
      <c r="EE416">
        <v>0</v>
      </c>
      <c r="EF416">
        <v>0</v>
      </c>
      <c r="EG416">
        <v>0</v>
      </c>
      <c r="EH416">
        <v>0</v>
      </c>
      <c r="EI416">
        <v>0</v>
      </c>
      <c r="EJ416">
        <v>0</v>
      </c>
      <c r="EK416">
        <v>0</v>
      </c>
      <c r="EL416">
        <v>0</v>
      </c>
      <c r="EM416">
        <v>0</v>
      </c>
      <c r="EN416">
        <v>0</v>
      </c>
      <c r="EO416">
        <v>0</v>
      </c>
      <c r="EP416">
        <v>0</v>
      </c>
      <c r="EQ416">
        <v>0</v>
      </c>
      <c r="ER416">
        <v>0</v>
      </c>
      <c r="ES416">
        <v>0</v>
      </c>
      <c r="ET416">
        <v>0</v>
      </c>
      <c r="EU416">
        <v>0</v>
      </c>
      <c r="EV416">
        <v>0</v>
      </c>
      <c r="EW416">
        <v>0</v>
      </c>
      <c r="EX416">
        <v>0</v>
      </c>
      <c r="EY416">
        <v>0</v>
      </c>
      <c r="EZ416">
        <v>0</v>
      </c>
      <c r="FA416">
        <v>0</v>
      </c>
      <c r="FB416">
        <v>0</v>
      </c>
      <c r="FC416">
        <v>0</v>
      </c>
      <c r="FD416">
        <v>0</v>
      </c>
      <c r="FE416">
        <v>0</v>
      </c>
      <c r="FF416">
        <v>0</v>
      </c>
      <c r="FG416">
        <v>0</v>
      </c>
      <c r="FH416">
        <v>0</v>
      </c>
      <c r="FI416">
        <v>0</v>
      </c>
      <c r="FJ416">
        <v>0</v>
      </c>
      <c r="FK416">
        <v>0</v>
      </c>
      <c r="FL416">
        <v>0</v>
      </c>
      <c r="FM416">
        <v>0</v>
      </c>
      <c r="FN416">
        <v>0</v>
      </c>
      <c r="FO416">
        <v>0</v>
      </c>
      <c r="FP416">
        <v>0</v>
      </c>
      <c r="FQ416">
        <v>0</v>
      </c>
      <c r="FR416">
        <v>0</v>
      </c>
      <c r="FS416">
        <v>0</v>
      </c>
      <c r="FT416">
        <v>0</v>
      </c>
      <c r="FU416">
        <v>0</v>
      </c>
      <c r="FV416">
        <v>0</v>
      </c>
      <c r="FW416">
        <v>0</v>
      </c>
      <c r="FX416">
        <v>0</v>
      </c>
      <c r="FY416">
        <v>0</v>
      </c>
      <c r="FZ416">
        <v>0</v>
      </c>
      <c r="GA416">
        <v>0</v>
      </c>
      <c r="GB416">
        <v>0</v>
      </c>
      <c r="GC416">
        <v>0</v>
      </c>
      <c r="GD416">
        <v>0</v>
      </c>
      <c r="GE416">
        <v>0</v>
      </c>
      <c r="GF416">
        <v>0</v>
      </c>
      <c r="GG416">
        <v>0</v>
      </c>
      <c r="GH416">
        <v>0</v>
      </c>
      <c r="GI416">
        <v>0</v>
      </c>
      <c r="GJ416">
        <v>0</v>
      </c>
      <c r="GK416">
        <v>0</v>
      </c>
      <c r="GL416">
        <v>0</v>
      </c>
      <c r="GM416">
        <v>0</v>
      </c>
      <c r="GN416">
        <v>0</v>
      </c>
      <c r="GO416">
        <v>0</v>
      </c>
      <c r="GP416">
        <v>0</v>
      </c>
      <c r="GQ416">
        <v>0</v>
      </c>
      <c r="GR416">
        <v>0</v>
      </c>
      <c r="GS416">
        <v>0</v>
      </c>
      <c r="GT416">
        <v>0</v>
      </c>
      <c r="GU416">
        <v>0</v>
      </c>
      <c r="GV416">
        <v>0</v>
      </c>
      <c r="GW416">
        <v>138139</v>
      </c>
      <c r="GX416">
        <v>0</v>
      </c>
      <c r="GY416">
        <v>0</v>
      </c>
      <c r="GZ416">
        <v>0</v>
      </c>
      <c r="HA416">
        <v>0</v>
      </c>
      <c r="HB416">
        <v>0</v>
      </c>
      <c r="HC416">
        <v>0</v>
      </c>
      <c r="HD416">
        <v>0</v>
      </c>
      <c r="HE416">
        <v>0</v>
      </c>
      <c r="HF416">
        <v>0</v>
      </c>
      <c r="HG416">
        <v>0</v>
      </c>
      <c r="HH416">
        <v>0</v>
      </c>
      <c r="HI416">
        <v>0</v>
      </c>
      <c r="HJ416">
        <v>0</v>
      </c>
      <c r="HK416">
        <v>0</v>
      </c>
      <c r="HL416">
        <v>0</v>
      </c>
      <c r="HM416">
        <v>0</v>
      </c>
      <c r="HN416">
        <v>0</v>
      </c>
      <c r="HO416">
        <v>0</v>
      </c>
      <c r="HP416">
        <v>0</v>
      </c>
      <c r="HQ416">
        <v>0</v>
      </c>
      <c r="HR416">
        <v>0</v>
      </c>
      <c r="HS416">
        <v>0</v>
      </c>
      <c r="HT416">
        <v>0</v>
      </c>
      <c r="HU416">
        <v>0</v>
      </c>
      <c r="HV416">
        <v>0</v>
      </c>
      <c r="HW416">
        <v>0</v>
      </c>
      <c r="HX416">
        <v>0</v>
      </c>
      <c r="HY416">
        <v>0</v>
      </c>
      <c r="HZ416">
        <v>0</v>
      </c>
      <c r="IA416">
        <v>0</v>
      </c>
      <c r="IB416">
        <v>0</v>
      </c>
      <c r="IC416">
        <v>0</v>
      </c>
      <c r="ID416">
        <v>0</v>
      </c>
      <c r="IE416">
        <v>0</v>
      </c>
      <c r="IF416">
        <v>0</v>
      </c>
      <c r="IG416">
        <v>0</v>
      </c>
      <c r="IH416">
        <v>0</v>
      </c>
      <c r="II416">
        <v>0</v>
      </c>
      <c r="IJ416">
        <v>0</v>
      </c>
      <c r="IK416">
        <v>0</v>
      </c>
      <c r="IL416">
        <v>138139</v>
      </c>
      <c r="IM416">
        <v>0</v>
      </c>
      <c r="IN416">
        <v>0</v>
      </c>
      <c r="IO416">
        <v>0</v>
      </c>
      <c r="IP416">
        <v>138139</v>
      </c>
      <c r="IQ416">
        <v>0</v>
      </c>
      <c r="IR416">
        <v>0</v>
      </c>
      <c r="IS416">
        <v>0</v>
      </c>
      <c r="IT416">
        <v>0</v>
      </c>
      <c r="IU416">
        <v>0</v>
      </c>
      <c r="IV416">
        <v>0</v>
      </c>
      <c r="IW416">
        <v>0</v>
      </c>
      <c r="IX416">
        <v>0</v>
      </c>
      <c r="IY416">
        <v>0</v>
      </c>
      <c r="IZ416">
        <v>0</v>
      </c>
      <c r="JA416">
        <v>0</v>
      </c>
      <c r="JB416">
        <v>0</v>
      </c>
      <c r="JC416">
        <v>0</v>
      </c>
      <c r="JD416">
        <v>0</v>
      </c>
      <c r="JE416">
        <v>0</v>
      </c>
      <c r="JF416">
        <v>0</v>
      </c>
      <c r="JG416">
        <v>138139</v>
      </c>
      <c r="JH416">
        <v>0</v>
      </c>
      <c r="JI416">
        <v>3694</v>
      </c>
      <c r="JJ416">
        <v>0</v>
      </c>
      <c r="JK416">
        <v>0</v>
      </c>
      <c r="JL416">
        <v>0</v>
      </c>
      <c r="JM416">
        <v>3</v>
      </c>
      <c r="JN416">
        <v>0</v>
      </c>
      <c r="JO416">
        <v>0</v>
      </c>
      <c r="JP416">
        <v>46</v>
      </c>
      <c r="JQ416">
        <v>1659</v>
      </c>
      <c r="JR416">
        <v>143541</v>
      </c>
      <c r="JS416">
        <v>0</v>
      </c>
      <c r="JT416">
        <v>0</v>
      </c>
      <c r="JU416">
        <v>0</v>
      </c>
      <c r="JV416">
        <v>0</v>
      </c>
      <c r="JW416">
        <v>-1675</v>
      </c>
      <c r="JX416">
        <v>0</v>
      </c>
      <c r="JY416">
        <v>0</v>
      </c>
      <c r="JZ416">
        <v>0</v>
      </c>
      <c r="KA416">
        <v>0</v>
      </c>
      <c r="KB416">
        <v>0</v>
      </c>
      <c r="KC416">
        <v>141866</v>
      </c>
      <c r="KD416">
        <v>0</v>
      </c>
      <c r="KE416">
        <v>-7985</v>
      </c>
      <c r="KF416">
        <v>133881</v>
      </c>
      <c r="KG416">
        <v>0</v>
      </c>
      <c r="KH416">
        <v>0</v>
      </c>
      <c r="KI416">
        <v>0</v>
      </c>
      <c r="KJ416">
        <v>0</v>
      </c>
      <c r="KK416">
        <v>0</v>
      </c>
      <c r="KL416">
        <v>0</v>
      </c>
      <c r="KM416">
        <v>0</v>
      </c>
      <c r="KN416">
        <v>-72144</v>
      </c>
      <c r="KO416">
        <v>0</v>
      </c>
      <c r="KP416">
        <v>0</v>
      </c>
      <c r="KQ416">
        <v>0</v>
      </c>
      <c r="KR416">
        <v>60813</v>
      </c>
      <c r="KS416">
        <v>0</v>
      </c>
      <c r="KT416">
        <v>0</v>
      </c>
      <c r="KU416">
        <v>0</v>
      </c>
      <c r="KV416">
        <v>9069</v>
      </c>
      <c r="KW416">
        <v>3538</v>
      </c>
      <c r="KX416">
        <v>0</v>
      </c>
      <c r="KY416">
        <v>0</v>
      </c>
      <c r="KZ416">
        <v>0</v>
      </c>
      <c r="LA416">
        <v>9069</v>
      </c>
      <c r="LB416">
        <v>3538</v>
      </c>
      <c r="LC416">
        <v>0</v>
      </c>
      <c r="LD416">
        <v>4629</v>
      </c>
      <c r="LE416">
        <v>43</v>
      </c>
      <c r="LF416">
        <v>863</v>
      </c>
      <c r="LG416">
        <v>0</v>
      </c>
      <c r="LH416">
        <v>0</v>
      </c>
      <c r="LI416">
        <v>5535</v>
      </c>
      <c r="LJ416">
        <v>0</v>
      </c>
      <c r="LK416">
        <v>0</v>
      </c>
      <c r="LL416">
        <v>0</v>
      </c>
      <c r="LM416">
        <v>0</v>
      </c>
      <c r="LN416">
        <v>0</v>
      </c>
      <c r="LO416">
        <v>0</v>
      </c>
      <c r="LP416">
        <v>0</v>
      </c>
      <c r="LQ416">
        <v>0</v>
      </c>
      <c r="LR416">
        <v>0</v>
      </c>
      <c r="LS416">
        <v>0</v>
      </c>
      <c r="LT416">
        <v>0</v>
      </c>
      <c r="LU416">
        <v>0</v>
      </c>
      <c r="LV416">
        <v>0</v>
      </c>
      <c r="LW416">
        <v>0</v>
      </c>
      <c r="LX416">
        <v>0</v>
      </c>
      <c r="LY416">
        <v>0</v>
      </c>
      <c r="LZ416">
        <v>0</v>
      </c>
      <c r="MA416">
        <v>0</v>
      </c>
      <c r="MB416">
        <v>0</v>
      </c>
      <c r="MC416">
        <v>0</v>
      </c>
      <c r="MD416">
        <v>138139</v>
      </c>
      <c r="ME416">
        <v>0</v>
      </c>
      <c r="MF416">
        <v>0</v>
      </c>
      <c r="MG416">
        <v>0</v>
      </c>
      <c r="MH416">
        <v>138139</v>
      </c>
      <c r="MI416">
        <v>0</v>
      </c>
      <c r="MJ416">
        <v>0</v>
      </c>
      <c r="MK416">
        <v>0</v>
      </c>
      <c r="ML416">
        <v>0</v>
      </c>
      <c r="MM416">
        <v>0</v>
      </c>
      <c r="MN416">
        <v>0</v>
      </c>
      <c r="MO416">
        <v>0</v>
      </c>
      <c r="MP416">
        <v>0</v>
      </c>
      <c r="MQ416">
        <v>0</v>
      </c>
      <c r="MR416">
        <v>0</v>
      </c>
      <c r="MS416">
        <v>0</v>
      </c>
      <c r="MT416">
        <v>0</v>
      </c>
      <c r="MU416">
        <v>0</v>
      </c>
      <c r="MV416">
        <v>0</v>
      </c>
      <c r="MW416">
        <v>0</v>
      </c>
      <c r="MX416">
        <v>0</v>
      </c>
      <c r="MY416">
        <v>0</v>
      </c>
      <c r="MZ416">
        <v>0</v>
      </c>
      <c r="NA416">
        <v>0</v>
      </c>
      <c r="NB416">
        <v>0</v>
      </c>
      <c r="NC416">
        <v>0</v>
      </c>
      <c r="ND416">
        <v>0</v>
      </c>
      <c r="NE416">
        <v>0</v>
      </c>
      <c r="NF416">
        <v>0</v>
      </c>
      <c r="NG416">
        <v>0</v>
      </c>
      <c r="NH416">
        <v>0</v>
      </c>
      <c r="NI416">
        <v>0</v>
      </c>
      <c r="NJ416">
        <v>0</v>
      </c>
      <c r="NK416">
        <v>0</v>
      </c>
      <c r="NL416">
        <v>0</v>
      </c>
      <c r="NM416">
        <v>0</v>
      </c>
      <c r="NN416">
        <v>0</v>
      </c>
      <c r="NO416">
        <v>0</v>
      </c>
      <c r="NP416">
        <v>0</v>
      </c>
      <c r="NQ416">
        <v>0</v>
      </c>
      <c r="NR416">
        <v>0</v>
      </c>
      <c r="NS416">
        <v>0</v>
      </c>
      <c r="NT416">
        <v>0</v>
      </c>
      <c r="NU416">
        <v>0</v>
      </c>
      <c r="NV416">
        <v>0</v>
      </c>
      <c r="NW416">
        <v>0</v>
      </c>
      <c r="NX416">
        <v>0</v>
      </c>
      <c r="NY416">
        <v>0</v>
      </c>
      <c r="NZ416">
        <v>0</v>
      </c>
      <c r="OA416">
        <v>0</v>
      </c>
      <c r="OB416">
        <v>0</v>
      </c>
      <c r="OC416">
        <v>0</v>
      </c>
      <c r="OD416">
        <v>0</v>
      </c>
      <c r="OE416">
        <v>0</v>
      </c>
      <c r="OF416">
        <v>0</v>
      </c>
      <c r="OG416">
        <v>0</v>
      </c>
      <c r="OH416">
        <v>0</v>
      </c>
      <c r="OI416">
        <v>0</v>
      </c>
      <c r="OJ416">
        <v>0</v>
      </c>
      <c r="OK416">
        <v>0</v>
      </c>
      <c r="OL416">
        <v>0</v>
      </c>
      <c r="OM416">
        <v>0</v>
      </c>
      <c r="ON416">
        <v>0</v>
      </c>
    </row>
    <row r="417" spans="1:404" x14ac:dyDescent="0.25">
      <c r="A417" t="s">
        <v>1317</v>
      </c>
      <c r="B417" t="s">
        <v>1318</v>
      </c>
      <c r="C417" t="s">
        <v>1316</v>
      </c>
      <c r="E417" t="s">
        <v>125</v>
      </c>
      <c r="F417">
        <v>29191</v>
      </c>
      <c r="G417">
        <v>115207</v>
      </c>
      <c r="H417">
        <v>25763</v>
      </c>
      <c r="I417">
        <v>49025</v>
      </c>
      <c r="J417">
        <v>5852</v>
      </c>
      <c r="K417">
        <v>35428</v>
      </c>
      <c r="L417">
        <v>260466</v>
      </c>
      <c r="M417">
        <v>599</v>
      </c>
      <c r="N417">
        <v>0</v>
      </c>
      <c r="O417">
        <v>4063</v>
      </c>
      <c r="P417">
        <v>605</v>
      </c>
      <c r="Q417">
        <v>291</v>
      </c>
      <c r="R417">
        <v>7357</v>
      </c>
      <c r="S417">
        <v>1953</v>
      </c>
      <c r="T417">
        <v>958</v>
      </c>
      <c r="U417">
        <v>2635</v>
      </c>
      <c r="V417">
        <v>0</v>
      </c>
      <c r="W417">
        <v>0</v>
      </c>
      <c r="X417">
        <v>158</v>
      </c>
      <c r="Y417">
        <v>32</v>
      </c>
      <c r="Z417">
        <v>-108</v>
      </c>
      <c r="AA417">
        <v>-3225</v>
      </c>
      <c r="AB417">
        <v>4137</v>
      </c>
      <c r="AC417">
        <v>206</v>
      </c>
      <c r="AD417">
        <v>6198</v>
      </c>
      <c r="AE417">
        <v>0</v>
      </c>
      <c r="AF417">
        <v>0</v>
      </c>
      <c r="AG417">
        <v>128</v>
      </c>
      <c r="AH417">
        <v>0</v>
      </c>
      <c r="AI417">
        <v>25987</v>
      </c>
      <c r="AJ417">
        <v>0</v>
      </c>
      <c r="AK417">
        <v>0</v>
      </c>
      <c r="AL417">
        <v>0</v>
      </c>
      <c r="AM417">
        <v>0</v>
      </c>
      <c r="AN417">
        <v>0</v>
      </c>
      <c r="AO417">
        <v>0</v>
      </c>
      <c r="AP417">
        <v>0</v>
      </c>
      <c r="AQ417">
        <v>1695</v>
      </c>
      <c r="AR417">
        <v>0</v>
      </c>
      <c r="AS417">
        <v>0</v>
      </c>
      <c r="AT417">
        <v>0</v>
      </c>
      <c r="AU417">
        <v>0</v>
      </c>
      <c r="AV417">
        <v>2389</v>
      </c>
      <c r="AW417">
        <v>31488</v>
      </c>
      <c r="AX417">
        <v>303</v>
      </c>
      <c r="AY417">
        <v>9867</v>
      </c>
      <c r="AZ417">
        <v>998</v>
      </c>
      <c r="BA417">
        <v>23188</v>
      </c>
      <c r="BB417">
        <v>2267</v>
      </c>
      <c r="BC417">
        <v>1114</v>
      </c>
      <c r="BD417">
        <v>71614</v>
      </c>
      <c r="BE417">
        <v>13855</v>
      </c>
      <c r="BF417">
        <v>35922</v>
      </c>
      <c r="BG417">
        <v>1341</v>
      </c>
      <c r="BH417">
        <v>849</v>
      </c>
      <c r="BI417">
        <v>895</v>
      </c>
      <c r="BJ417">
        <v>7450</v>
      </c>
      <c r="BK417">
        <v>52637</v>
      </c>
      <c r="BL417">
        <v>5615</v>
      </c>
      <c r="BM417">
        <v>7704</v>
      </c>
      <c r="BN417">
        <v>8230</v>
      </c>
      <c r="BO417">
        <v>282</v>
      </c>
      <c r="BP417">
        <v>4</v>
      </c>
      <c r="BQ417">
        <v>1610</v>
      </c>
      <c r="BR417">
        <v>4773</v>
      </c>
      <c r="BS417">
        <v>3603</v>
      </c>
      <c r="BT417">
        <v>17093</v>
      </c>
      <c r="BU417">
        <v>3047</v>
      </c>
      <c r="BV417">
        <v>12230</v>
      </c>
      <c r="BW417">
        <v>177140</v>
      </c>
      <c r="BX417">
        <v>1929</v>
      </c>
      <c r="BY417">
        <v>584</v>
      </c>
      <c r="BZ417">
        <v>102</v>
      </c>
      <c r="CA417">
        <v>298</v>
      </c>
      <c r="CB417">
        <v>906</v>
      </c>
      <c r="CC417">
        <v>168</v>
      </c>
      <c r="CD417">
        <v>762</v>
      </c>
      <c r="CE417">
        <v>353</v>
      </c>
      <c r="CF417">
        <v>102</v>
      </c>
      <c r="CG417">
        <v>462</v>
      </c>
      <c r="CH417">
        <v>26</v>
      </c>
      <c r="CI417">
        <v>580</v>
      </c>
      <c r="CJ417">
        <v>1088</v>
      </c>
      <c r="CK417">
        <v>338</v>
      </c>
      <c r="CL417">
        <v>484</v>
      </c>
      <c r="CM417">
        <v>352</v>
      </c>
      <c r="CN417">
        <v>119</v>
      </c>
      <c r="CO417">
        <v>0</v>
      </c>
      <c r="CP417">
        <v>1146</v>
      </c>
      <c r="CQ417">
        <v>3276</v>
      </c>
      <c r="CR417">
        <v>2810</v>
      </c>
      <c r="CS417">
        <v>0</v>
      </c>
      <c r="CT417">
        <v>42</v>
      </c>
      <c r="CU417">
        <v>1236</v>
      </c>
      <c r="CV417">
        <v>17163</v>
      </c>
      <c r="CW417">
        <v>0</v>
      </c>
      <c r="CX417">
        <v>0</v>
      </c>
      <c r="CY417">
        <v>0</v>
      </c>
      <c r="CZ417">
        <v>0</v>
      </c>
      <c r="DA417">
        <v>0</v>
      </c>
      <c r="DB417">
        <v>0</v>
      </c>
      <c r="DC417">
        <v>8720</v>
      </c>
      <c r="DD417">
        <v>0</v>
      </c>
      <c r="DE417">
        <v>0</v>
      </c>
      <c r="DF417">
        <v>299</v>
      </c>
      <c r="DG417">
        <v>0</v>
      </c>
      <c r="DH417">
        <v>-162</v>
      </c>
      <c r="DI417">
        <v>21</v>
      </c>
      <c r="DJ417">
        <v>0</v>
      </c>
      <c r="DK417">
        <v>0</v>
      </c>
      <c r="DL417">
        <v>0</v>
      </c>
      <c r="DM417">
        <v>0</v>
      </c>
      <c r="DN417">
        <v>0</v>
      </c>
      <c r="DO417">
        <v>488</v>
      </c>
      <c r="DP417">
        <v>347</v>
      </c>
      <c r="DQ417">
        <v>0</v>
      </c>
      <c r="DR417">
        <v>0</v>
      </c>
      <c r="DS417">
        <v>0</v>
      </c>
      <c r="DT417">
        <v>2402</v>
      </c>
      <c r="DU417">
        <v>-186</v>
      </c>
      <c r="DV417">
        <v>0</v>
      </c>
      <c r="DW417">
        <v>0</v>
      </c>
      <c r="DX417">
        <v>11582</v>
      </c>
      <c r="DY417">
        <v>25566</v>
      </c>
      <c r="DZ417">
        <v>0</v>
      </c>
      <c r="EA417">
        <v>0</v>
      </c>
      <c r="EB417">
        <v>0</v>
      </c>
      <c r="EC417">
        <v>0</v>
      </c>
      <c r="ED417">
        <v>76</v>
      </c>
      <c r="EE417">
        <v>0</v>
      </c>
      <c r="EF417">
        <v>0</v>
      </c>
      <c r="EG417">
        <v>0</v>
      </c>
      <c r="EH417">
        <v>5746</v>
      </c>
      <c r="EI417">
        <v>3671</v>
      </c>
      <c r="EJ417">
        <v>315</v>
      </c>
      <c r="EK417">
        <v>0</v>
      </c>
      <c r="EL417">
        <v>3446</v>
      </c>
      <c r="EM417">
        <v>0</v>
      </c>
      <c r="EN417">
        <v>991</v>
      </c>
      <c r="EO417">
        <v>0</v>
      </c>
      <c r="EP417">
        <v>0</v>
      </c>
      <c r="EQ417">
        <v>0</v>
      </c>
      <c r="ER417">
        <v>160</v>
      </c>
      <c r="ES417">
        <v>9036</v>
      </c>
      <c r="ET417">
        <v>20349</v>
      </c>
      <c r="EU417">
        <v>233</v>
      </c>
      <c r="EV417">
        <v>282</v>
      </c>
      <c r="EW417">
        <v>124</v>
      </c>
      <c r="EX417">
        <v>253</v>
      </c>
      <c r="EY417">
        <v>-97</v>
      </c>
      <c r="EZ417">
        <v>0</v>
      </c>
      <c r="FA417">
        <v>0</v>
      </c>
      <c r="FB417">
        <v>1400</v>
      </c>
      <c r="FC417">
        <v>8248</v>
      </c>
      <c r="FD417">
        <v>3586</v>
      </c>
      <c r="FE417">
        <v>0</v>
      </c>
      <c r="FF417">
        <v>0</v>
      </c>
      <c r="FG417">
        <v>4867</v>
      </c>
      <c r="FH417">
        <v>18896</v>
      </c>
      <c r="FI417">
        <v>-161</v>
      </c>
      <c r="FJ417">
        <v>545</v>
      </c>
      <c r="FK417">
        <v>3</v>
      </c>
      <c r="FL417">
        <v>641</v>
      </c>
      <c r="FM417">
        <v>734</v>
      </c>
      <c r="FN417">
        <v>0</v>
      </c>
      <c r="FO417">
        <v>5</v>
      </c>
      <c r="FP417">
        <v>0</v>
      </c>
      <c r="FQ417">
        <v>0</v>
      </c>
      <c r="FR417">
        <v>151</v>
      </c>
      <c r="FS417">
        <v>46</v>
      </c>
      <c r="FT417">
        <v>1179</v>
      </c>
      <c r="FU417">
        <v>-257</v>
      </c>
      <c r="FV417">
        <v>0</v>
      </c>
      <c r="FW417">
        <v>0</v>
      </c>
      <c r="FX417">
        <v>0</v>
      </c>
      <c r="FY417">
        <v>0</v>
      </c>
      <c r="FZ417">
        <v>0</v>
      </c>
      <c r="GA417">
        <v>0</v>
      </c>
      <c r="GB417">
        <v>0</v>
      </c>
      <c r="GC417">
        <v>-402</v>
      </c>
      <c r="GD417">
        <v>2025</v>
      </c>
      <c r="GE417">
        <v>12613</v>
      </c>
      <c r="GF417">
        <v>19089</v>
      </c>
      <c r="GG417">
        <v>0</v>
      </c>
      <c r="GH417">
        <v>7922</v>
      </c>
      <c r="GI417">
        <v>0</v>
      </c>
      <c r="GJ417">
        <v>947</v>
      </c>
      <c r="GK417">
        <v>45080</v>
      </c>
      <c r="GL417">
        <v>138</v>
      </c>
      <c r="GM417">
        <v>2018</v>
      </c>
      <c r="GN417">
        <v>0</v>
      </c>
      <c r="GO417">
        <v>2249</v>
      </c>
      <c r="GP417">
        <v>0</v>
      </c>
      <c r="GQ417">
        <v>1565</v>
      </c>
      <c r="GR417">
        <v>0</v>
      </c>
      <c r="GS417">
        <v>-12</v>
      </c>
      <c r="GT417">
        <v>1503</v>
      </c>
      <c r="GU417">
        <v>7461</v>
      </c>
      <c r="GV417">
        <v>71437</v>
      </c>
      <c r="GW417">
        <v>0</v>
      </c>
      <c r="GX417">
        <v>0</v>
      </c>
      <c r="GY417">
        <v>0</v>
      </c>
      <c r="GZ417">
        <v>0</v>
      </c>
      <c r="HA417">
        <v>0</v>
      </c>
      <c r="HB417">
        <v>25712</v>
      </c>
      <c r="HC417">
        <v>427</v>
      </c>
      <c r="HD417">
        <v>0</v>
      </c>
      <c r="HE417">
        <v>0</v>
      </c>
      <c r="HF417">
        <v>0</v>
      </c>
      <c r="HG417">
        <v>158</v>
      </c>
      <c r="HH417">
        <v>0</v>
      </c>
      <c r="HI417">
        <v>-135</v>
      </c>
      <c r="HJ417">
        <v>667</v>
      </c>
      <c r="HK417">
        <v>2674</v>
      </c>
      <c r="HL417">
        <v>0</v>
      </c>
      <c r="HM417">
        <v>-363</v>
      </c>
      <c r="HN417">
        <v>24</v>
      </c>
      <c r="HO417">
        <v>0</v>
      </c>
      <c r="HP417">
        <v>645</v>
      </c>
      <c r="HQ417">
        <v>0</v>
      </c>
      <c r="HR417">
        <v>0</v>
      </c>
      <c r="HS417">
        <v>0</v>
      </c>
      <c r="HT417">
        <v>0</v>
      </c>
      <c r="HU417">
        <v>183</v>
      </c>
      <c r="HV417">
        <v>29992</v>
      </c>
      <c r="HW417">
        <v>5405</v>
      </c>
      <c r="HX417">
        <v>0</v>
      </c>
      <c r="HY417">
        <v>0</v>
      </c>
      <c r="HZ417">
        <v>0</v>
      </c>
      <c r="IA417">
        <v>0</v>
      </c>
      <c r="IB417">
        <v>0</v>
      </c>
      <c r="IC417">
        <v>260466</v>
      </c>
      <c r="ID417">
        <v>25987</v>
      </c>
      <c r="IE417">
        <v>71614</v>
      </c>
      <c r="IF417">
        <v>177140</v>
      </c>
      <c r="IG417">
        <v>17163</v>
      </c>
      <c r="IH417">
        <v>11582</v>
      </c>
      <c r="II417">
        <v>18896</v>
      </c>
      <c r="IJ417">
        <v>45080</v>
      </c>
      <c r="IK417">
        <v>7461</v>
      </c>
      <c r="IL417">
        <v>0</v>
      </c>
      <c r="IM417">
        <v>0</v>
      </c>
      <c r="IN417">
        <v>29992</v>
      </c>
      <c r="IO417">
        <v>0</v>
      </c>
      <c r="IP417">
        <v>665381</v>
      </c>
      <c r="IQ417">
        <v>58588</v>
      </c>
      <c r="IR417">
        <v>0</v>
      </c>
      <c r="IS417">
        <v>8653</v>
      </c>
      <c r="IT417">
        <v>0</v>
      </c>
      <c r="IU417">
        <v>0</v>
      </c>
      <c r="IV417">
        <v>24624</v>
      </c>
      <c r="IW417">
        <v>0</v>
      </c>
      <c r="IX417">
        <v>0</v>
      </c>
      <c r="IY417">
        <v>0</v>
      </c>
      <c r="IZ417">
        <v>0</v>
      </c>
      <c r="JA417">
        <v>0</v>
      </c>
      <c r="JB417">
        <v>0</v>
      </c>
      <c r="JC417">
        <v>0</v>
      </c>
      <c r="JD417">
        <v>0</v>
      </c>
      <c r="JE417">
        <v>0</v>
      </c>
      <c r="JF417">
        <v>0</v>
      </c>
      <c r="JG417">
        <v>757246</v>
      </c>
      <c r="JH417">
        <v>659</v>
      </c>
      <c r="JI417">
        <v>0</v>
      </c>
      <c r="JJ417">
        <v>0</v>
      </c>
      <c r="JK417">
        <v>-1906</v>
      </c>
      <c r="JL417">
        <v>0</v>
      </c>
      <c r="JM417">
        <v>199</v>
      </c>
      <c r="JN417">
        <v>15273</v>
      </c>
      <c r="JO417">
        <v>0</v>
      </c>
      <c r="JP417">
        <v>10065</v>
      </c>
      <c r="JQ417">
        <v>0</v>
      </c>
      <c r="JR417">
        <v>781536</v>
      </c>
      <c r="JS417">
        <v>-1837</v>
      </c>
      <c r="JT417">
        <v>0</v>
      </c>
      <c r="JU417">
        <v>0</v>
      </c>
      <c r="JV417">
        <v>0</v>
      </c>
      <c r="JW417">
        <v>-67894</v>
      </c>
      <c r="JX417">
        <v>0</v>
      </c>
      <c r="JY417">
        <v>-6655</v>
      </c>
      <c r="JZ417">
        <v>0</v>
      </c>
      <c r="KA417">
        <v>0</v>
      </c>
      <c r="KB417">
        <v>0</v>
      </c>
      <c r="KC417">
        <v>705150</v>
      </c>
      <c r="KD417">
        <v>0</v>
      </c>
      <c r="KE417">
        <v>-321781</v>
      </c>
      <c r="KF417">
        <v>383369</v>
      </c>
      <c r="KG417">
        <v>0</v>
      </c>
      <c r="KH417">
        <v>1606</v>
      </c>
      <c r="KI417">
        <v>-7256</v>
      </c>
      <c r="KJ417">
        <v>3262</v>
      </c>
      <c r="KK417">
        <v>-16664</v>
      </c>
      <c r="KL417">
        <v>12883</v>
      </c>
      <c r="KM417">
        <v>0</v>
      </c>
      <c r="KN417">
        <v>0</v>
      </c>
      <c r="KO417">
        <v>-23111</v>
      </c>
      <c r="KP417">
        <v>1539</v>
      </c>
      <c r="KQ417">
        <v>0</v>
      </c>
      <c r="KR417">
        <v>322889</v>
      </c>
      <c r="KS417">
        <v>12542</v>
      </c>
      <c r="KT417">
        <v>-18717</v>
      </c>
      <c r="KU417">
        <v>3366</v>
      </c>
      <c r="KV417">
        <v>103690</v>
      </c>
      <c r="KW417">
        <v>16856</v>
      </c>
      <c r="KX417">
        <v>14148</v>
      </c>
      <c r="KY417">
        <v>-25973</v>
      </c>
      <c r="KZ417">
        <v>6628</v>
      </c>
      <c r="LA417">
        <v>87026</v>
      </c>
      <c r="LB417">
        <v>29739</v>
      </c>
      <c r="LC417">
        <v>0</v>
      </c>
      <c r="LD417">
        <v>36000</v>
      </c>
      <c r="LE417">
        <v>11000</v>
      </c>
      <c r="LF417">
        <v>25100</v>
      </c>
      <c r="LG417">
        <v>0</v>
      </c>
      <c r="LH417">
        <v>0</v>
      </c>
      <c r="LI417">
        <v>72100</v>
      </c>
      <c r="LJ417">
        <v>11828</v>
      </c>
      <c r="LK417">
        <v>17355</v>
      </c>
      <c r="LL417">
        <v>29183</v>
      </c>
      <c r="LM417">
        <v>0</v>
      </c>
      <c r="LN417">
        <v>0</v>
      </c>
      <c r="LO417">
        <v>0</v>
      </c>
      <c r="LP417">
        <v>25642</v>
      </c>
      <c r="LQ417">
        <v>14329</v>
      </c>
      <c r="LR417">
        <v>11313</v>
      </c>
      <c r="LS417">
        <v>9036</v>
      </c>
      <c r="LT417">
        <v>20349</v>
      </c>
      <c r="LU417">
        <v>260466</v>
      </c>
      <c r="LV417">
        <v>25987</v>
      </c>
      <c r="LW417">
        <v>71614</v>
      </c>
      <c r="LX417">
        <v>177140</v>
      </c>
      <c r="LY417">
        <v>17163</v>
      </c>
      <c r="LZ417">
        <v>11582</v>
      </c>
      <c r="MA417">
        <v>18896</v>
      </c>
      <c r="MB417">
        <v>45080</v>
      </c>
      <c r="MC417">
        <v>7461</v>
      </c>
      <c r="MD417">
        <v>0</v>
      </c>
      <c r="ME417">
        <v>0</v>
      </c>
      <c r="MF417">
        <v>29992</v>
      </c>
      <c r="MG417">
        <v>0</v>
      </c>
      <c r="MH417">
        <v>665381</v>
      </c>
      <c r="MI417">
        <v>0</v>
      </c>
      <c r="MJ417">
        <v>0</v>
      </c>
      <c r="MK417">
        <v>0</v>
      </c>
      <c r="ML417">
        <v>0</v>
      </c>
      <c r="MM417">
        <v>0</v>
      </c>
      <c r="MN417">
        <v>0</v>
      </c>
      <c r="MO417">
        <v>0</v>
      </c>
      <c r="MP417">
        <v>0</v>
      </c>
      <c r="MQ417">
        <v>0</v>
      </c>
      <c r="MR417">
        <v>0</v>
      </c>
      <c r="MS417">
        <v>0</v>
      </c>
      <c r="MT417">
        <v>0</v>
      </c>
      <c r="MU417">
        <v>0</v>
      </c>
      <c r="MV417">
        <v>0</v>
      </c>
      <c r="MW417">
        <v>0</v>
      </c>
      <c r="MX417">
        <v>0</v>
      </c>
      <c r="MY417">
        <v>0</v>
      </c>
      <c r="MZ417">
        <v>0</v>
      </c>
      <c r="NA417">
        <v>0</v>
      </c>
      <c r="NB417">
        <v>0</v>
      </c>
      <c r="NC417">
        <v>0</v>
      </c>
      <c r="ND417">
        <v>0</v>
      </c>
      <c r="NE417">
        <v>0</v>
      </c>
      <c r="NF417">
        <v>0</v>
      </c>
      <c r="NG417">
        <v>0</v>
      </c>
      <c r="NH417">
        <v>0</v>
      </c>
      <c r="NI417">
        <v>0</v>
      </c>
      <c r="NJ417">
        <v>0</v>
      </c>
      <c r="NK417">
        <v>0</v>
      </c>
      <c r="NL417">
        <v>0</v>
      </c>
      <c r="NM417">
        <v>0</v>
      </c>
      <c r="NN417">
        <v>0</v>
      </c>
      <c r="NO417">
        <v>0</v>
      </c>
      <c r="NP417">
        <v>0</v>
      </c>
      <c r="NQ417">
        <v>0</v>
      </c>
      <c r="NR417">
        <v>0</v>
      </c>
      <c r="NS417">
        <v>0</v>
      </c>
      <c r="NT417">
        <v>0</v>
      </c>
      <c r="NU417">
        <v>0</v>
      </c>
      <c r="NV417">
        <v>0</v>
      </c>
      <c r="NW417">
        <v>0</v>
      </c>
      <c r="NX417">
        <v>0</v>
      </c>
      <c r="NY417">
        <v>0</v>
      </c>
      <c r="NZ417">
        <v>0</v>
      </c>
      <c r="OA417">
        <v>0</v>
      </c>
      <c r="OB417">
        <v>0</v>
      </c>
      <c r="OC417">
        <v>0</v>
      </c>
      <c r="OD417">
        <v>0</v>
      </c>
      <c r="OE417">
        <v>0</v>
      </c>
      <c r="OF417">
        <v>0</v>
      </c>
      <c r="OG417">
        <v>0</v>
      </c>
      <c r="OH417">
        <v>0</v>
      </c>
      <c r="OI417">
        <v>0</v>
      </c>
      <c r="OJ417">
        <v>0</v>
      </c>
      <c r="OK417">
        <v>0</v>
      </c>
      <c r="OL417">
        <v>0</v>
      </c>
      <c r="OM417">
        <v>0</v>
      </c>
      <c r="ON417">
        <v>0</v>
      </c>
    </row>
    <row r="418" spans="1:404" x14ac:dyDescent="0.25">
      <c r="A418" t="s">
        <v>1323</v>
      </c>
      <c r="B418" t="s">
        <v>1324</v>
      </c>
      <c r="C418" t="s">
        <v>1322</v>
      </c>
      <c r="E418" t="s">
        <v>61</v>
      </c>
      <c r="F418">
        <v>0</v>
      </c>
      <c r="G418">
        <v>0</v>
      </c>
      <c r="H418">
        <v>0</v>
      </c>
      <c r="I418">
        <v>0</v>
      </c>
      <c r="J418">
        <v>0</v>
      </c>
      <c r="K418">
        <v>0</v>
      </c>
      <c r="L418">
        <v>0</v>
      </c>
      <c r="M418">
        <v>0</v>
      </c>
      <c r="N418">
        <v>153</v>
      </c>
      <c r="O418">
        <v>0</v>
      </c>
      <c r="P418">
        <v>0</v>
      </c>
      <c r="Q418">
        <v>0</v>
      </c>
      <c r="R418">
        <v>0</v>
      </c>
      <c r="S418">
        <v>95</v>
      </c>
      <c r="T418">
        <v>0</v>
      </c>
      <c r="U418">
        <v>34</v>
      </c>
      <c r="V418">
        <v>0</v>
      </c>
      <c r="W418">
        <v>0</v>
      </c>
      <c r="X418">
        <v>0</v>
      </c>
      <c r="Y418">
        <v>130</v>
      </c>
      <c r="Z418">
        <v>46</v>
      </c>
      <c r="AA418">
        <v>-2883</v>
      </c>
      <c r="AB418">
        <v>0</v>
      </c>
      <c r="AC418">
        <v>0</v>
      </c>
      <c r="AD418">
        <v>160</v>
      </c>
      <c r="AE418">
        <v>0</v>
      </c>
      <c r="AF418">
        <v>92</v>
      </c>
      <c r="AG418">
        <v>0</v>
      </c>
      <c r="AH418">
        <v>0</v>
      </c>
      <c r="AI418">
        <v>-2173</v>
      </c>
      <c r="AJ418">
        <v>0</v>
      </c>
      <c r="AK418">
        <v>0</v>
      </c>
      <c r="AL418">
        <v>0</v>
      </c>
      <c r="AM418">
        <v>0</v>
      </c>
      <c r="AN418">
        <v>0</v>
      </c>
      <c r="AO418">
        <v>0</v>
      </c>
      <c r="AP418">
        <v>0</v>
      </c>
      <c r="AQ418">
        <v>174</v>
      </c>
      <c r="AR418">
        <v>556</v>
      </c>
      <c r="AS418">
        <v>0</v>
      </c>
      <c r="AT418">
        <v>0</v>
      </c>
      <c r="AU418">
        <v>0</v>
      </c>
      <c r="AV418">
        <v>0</v>
      </c>
      <c r="AW418">
        <v>0</v>
      </c>
      <c r="AX418">
        <v>0</v>
      </c>
      <c r="AY418">
        <v>0</v>
      </c>
      <c r="AZ418">
        <v>0</v>
      </c>
      <c r="BA418">
        <v>0</v>
      </c>
      <c r="BB418">
        <v>0</v>
      </c>
      <c r="BC418">
        <v>0</v>
      </c>
      <c r="BD418">
        <v>0</v>
      </c>
      <c r="BE418">
        <v>0</v>
      </c>
      <c r="BF418">
        <v>0</v>
      </c>
      <c r="BG418">
        <v>0</v>
      </c>
      <c r="BH418">
        <v>0</v>
      </c>
      <c r="BI418">
        <v>0</v>
      </c>
      <c r="BJ418">
        <v>0</v>
      </c>
      <c r="BK418">
        <v>0</v>
      </c>
      <c r="BL418">
        <v>0</v>
      </c>
      <c r="BM418">
        <v>0</v>
      </c>
      <c r="BN418">
        <v>0</v>
      </c>
      <c r="BO418">
        <v>0</v>
      </c>
      <c r="BP418">
        <v>0</v>
      </c>
      <c r="BQ418">
        <v>0</v>
      </c>
      <c r="BR418">
        <v>0</v>
      </c>
      <c r="BS418">
        <v>0</v>
      </c>
      <c r="BT418">
        <v>0</v>
      </c>
      <c r="BU418">
        <v>0</v>
      </c>
      <c r="BV418">
        <v>0</v>
      </c>
      <c r="BW418">
        <v>0</v>
      </c>
      <c r="BX418">
        <v>0</v>
      </c>
      <c r="BY418">
        <v>0</v>
      </c>
      <c r="BZ418">
        <v>0</v>
      </c>
      <c r="CA418">
        <v>0</v>
      </c>
      <c r="CB418">
        <v>0</v>
      </c>
      <c r="CC418">
        <v>0</v>
      </c>
      <c r="CD418">
        <v>0</v>
      </c>
      <c r="CE418">
        <v>0</v>
      </c>
      <c r="CF418">
        <v>0</v>
      </c>
      <c r="CG418">
        <v>0</v>
      </c>
      <c r="CH418">
        <v>0</v>
      </c>
      <c r="CI418">
        <v>0</v>
      </c>
      <c r="CJ418">
        <v>0</v>
      </c>
      <c r="CK418">
        <v>0</v>
      </c>
      <c r="CL418">
        <v>0</v>
      </c>
      <c r="CM418">
        <v>0</v>
      </c>
      <c r="CN418">
        <v>0</v>
      </c>
      <c r="CO418">
        <v>0</v>
      </c>
      <c r="CP418">
        <v>0</v>
      </c>
      <c r="CQ418">
        <v>0</v>
      </c>
      <c r="CR418">
        <v>0</v>
      </c>
      <c r="CS418">
        <v>0</v>
      </c>
      <c r="CT418">
        <v>0</v>
      </c>
      <c r="CU418">
        <v>0</v>
      </c>
      <c r="CV418">
        <v>0</v>
      </c>
      <c r="CW418">
        <v>0</v>
      </c>
      <c r="CX418">
        <v>0</v>
      </c>
      <c r="CY418">
        <v>0</v>
      </c>
      <c r="CZ418">
        <v>0</v>
      </c>
      <c r="DA418">
        <v>0</v>
      </c>
      <c r="DB418">
        <v>0</v>
      </c>
      <c r="DC418">
        <v>108</v>
      </c>
      <c r="DD418">
        <v>0</v>
      </c>
      <c r="DE418">
        <v>0</v>
      </c>
      <c r="DF418">
        <v>0</v>
      </c>
      <c r="DG418">
        <v>0</v>
      </c>
      <c r="DH418">
        <v>0</v>
      </c>
      <c r="DI418">
        <v>0</v>
      </c>
      <c r="DJ418">
        <v>5</v>
      </c>
      <c r="DK418">
        <v>0</v>
      </c>
      <c r="DL418">
        <v>0</v>
      </c>
      <c r="DM418">
        <v>0</v>
      </c>
      <c r="DN418">
        <v>0</v>
      </c>
      <c r="DO418">
        <v>729</v>
      </c>
      <c r="DP418">
        <v>734</v>
      </c>
      <c r="DQ418">
        <v>115</v>
      </c>
      <c r="DR418">
        <v>0</v>
      </c>
      <c r="DS418">
        <v>0</v>
      </c>
      <c r="DT418">
        <v>449</v>
      </c>
      <c r="DU418">
        <v>0</v>
      </c>
      <c r="DV418">
        <v>0</v>
      </c>
      <c r="DW418">
        <v>229</v>
      </c>
      <c r="DX418">
        <v>1635</v>
      </c>
      <c r="DY418">
        <v>27379</v>
      </c>
      <c r="DZ418">
        <v>326</v>
      </c>
      <c r="EA418">
        <v>2222</v>
      </c>
      <c r="EB418">
        <v>35</v>
      </c>
      <c r="EC418">
        <v>0</v>
      </c>
      <c r="ED418">
        <v>18</v>
      </c>
      <c r="EE418">
        <v>0</v>
      </c>
      <c r="EF418">
        <v>0</v>
      </c>
      <c r="EG418">
        <v>0</v>
      </c>
      <c r="EH418">
        <v>5953</v>
      </c>
      <c r="EI418">
        <v>5539</v>
      </c>
      <c r="EJ418">
        <v>2870</v>
      </c>
      <c r="EK418">
        <v>447</v>
      </c>
      <c r="EL418">
        <v>5370</v>
      </c>
      <c r="EM418">
        <v>8588</v>
      </c>
      <c r="EN418">
        <v>0</v>
      </c>
      <c r="EO418">
        <v>7</v>
      </c>
      <c r="EP418">
        <v>0</v>
      </c>
      <c r="EQ418">
        <v>102</v>
      </c>
      <c r="ER418">
        <v>40</v>
      </c>
      <c r="ES418">
        <v>15664</v>
      </c>
      <c r="ET418">
        <v>16728</v>
      </c>
      <c r="EU418">
        <v>0</v>
      </c>
      <c r="EV418">
        <v>3</v>
      </c>
      <c r="EW418">
        <v>82</v>
      </c>
      <c r="EX418">
        <v>373</v>
      </c>
      <c r="EY418">
        <v>147</v>
      </c>
      <c r="EZ418">
        <v>0</v>
      </c>
      <c r="FA418">
        <v>0</v>
      </c>
      <c r="FB418">
        <v>0</v>
      </c>
      <c r="FC418">
        <v>1245</v>
      </c>
      <c r="FD418">
        <v>1904</v>
      </c>
      <c r="FE418">
        <v>0</v>
      </c>
      <c r="FF418">
        <v>342</v>
      </c>
      <c r="FG418">
        <v>0</v>
      </c>
      <c r="FH418">
        <v>4096</v>
      </c>
      <c r="FI418">
        <v>121</v>
      </c>
      <c r="FJ418">
        <v>0</v>
      </c>
      <c r="FK418">
        <v>0</v>
      </c>
      <c r="FL418">
        <v>239</v>
      </c>
      <c r="FM418">
        <v>375</v>
      </c>
      <c r="FN418">
        <v>0</v>
      </c>
      <c r="FO418">
        <v>59</v>
      </c>
      <c r="FP418">
        <v>0</v>
      </c>
      <c r="FQ418">
        <v>0</v>
      </c>
      <c r="FR418">
        <v>27</v>
      </c>
      <c r="FS418">
        <v>191</v>
      </c>
      <c r="FT418">
        <v>-33</v>
      </c>
      <c r="FU418">
        <v>259</v>
      </c>
      <c r="FV418">
        <v>0</v>
      </c>
      <c r="FW418">
        <v>297</v>
      </c>
      <c r="FX418">
        <v>233</v>
      </c>
      <c r="FY418">
        <v>0</v>
      </c>
      <c r="FZ418">
        <v>78</v>
      </c>
      <c r="GA418">
        <v>0</v>
      </c>
      <c r="GB418">
        <v>0</v>
      </c>
      <c r="GC418">
        <v>0</v>
      </c>
      <c r="GD418">
        <v>1183</v>
      </c>
      <c r="GE418">
        <v>1490</v>
      </c>
      <c r="GF418">
        <v>0</v>
      </c>
      <c r="GG418">
        <v>0</v>
      </c>
      <c r="GH418">
        <v>1414</v>
      </c>
      <c r="GI418">
        <v>0</v>
      </c>
      <c r="GJ418">
        <v>0</v>
      </c>
      <c r="GK418">
        <v>5933</v>
      </c>
      <c r="GL418">
        <v>196</v>
      </c>
      <c r="GM418">
        <v>1621</v>
      </c>
      <c r="GN418">
        <v>-54</v>
      </c>
      <c r="GO418">
        <v>213</v>
      </c>
      <c r="GP418">
        <v>44</v>
      </c>
      <c r="GQ418">
        <v>3871</v>
      </c>
      <c r="GR418">
        <v>0</v>
      </c>
      <c r="GS418">
        <v>947</v>
      </c>
      <c r="GT418">
        <v>327</v>
      </c>
      <c r="GU418">
        <v>7165</v>
      </c>
      <c r="GV418">
        <v>17193</v>
      </c>
      <c r="GW418">
        <v>0</v>
      </c>
      <c r="GX418">
        <v>0</v>
      </c>
      <c r="GY418">
        <v>0</v>
      </c>
      <c r="GZ418">
        <v>0</v>
      </c>
      <c r="HA418">
        <v>0</v>
      </c>
      <c r="HB418">
        <v>2703</v>
      </c>
      <c r="HC418">
        <v>1065</v>
      </c>
      <c r="HD418">
        <v>0</v>
      </c>
      <c r="HE418">
        <v>0</v>
      </c>
      <c r="HF418">
        <v>0</v>
      </c>
      <c r="HG418">
        <v>85</v>
      </c>
      <c r="HH418">
        <v>-2</v>
      </c>
      <c r="HI418">
        <v>0</v>
      </c>
      <c r="HJ418">
        <v>333</v>
      </c>
      <c r="HK418">
        <v>299</v>
      </c>
      <c r="HL418">
        <v>41</v>
      </c>
      <c r="HM418">
        <v>-124</v>
      </c>
      <c r="HN418">
        <v>0</v>
      </c>
      <c r="HO418">
        <v>547</v>
      </c>
      <c r="HP418">
        <v>0</v>
      </c>
      <c r="HQ418">
        <v>0</v>
      </c>
      <c r="HR418">
        <v>119</v>
      </c>
      <c r="HS418">
        <v>0</v>
      </c>
      <c r="HT418">
        <v>0</v>
      </c>
      <c r="HU418">
        <v>-690</v>
      </c>
      <c r="HV418">
        <v>4376</v>
      </c>
      <c r="HW418">
        <v>1620</v>
      </c>
      <c r="HX418">
        <v>6511</v>
      </c>
      <c r="HY418">
        <v>0</v>
      </c>
      <c r="HZ418">
        <v>2599</v>
      </c>
      <c r="IA418">
        <v>372</v>
      </c>
      <c r="IB418">
        <v>0</v>
      </c>
      <c r="IC418">
        <v>0</v>
      </c>
      <c r="ID418">
        <v>-2173</v>
      </c>
      <c r="IE418">
        <v>0</v>
      </c>
      <c r="IF418">
        <v>0</v>
      </c>
      <c r="IG418">
        <v>0</v>
      </c>
      <c r="IH418">
        <v>1635</v>
      </c>
      <c r="II418">
        <v>4096</v>
      </c>
      <c r="IJ418">
        <v>5933</v>
      </c>
      <c r="IK418">
        <v>7165</v>
      </c>
      <c r="IL418">
        <v>0</v>
      </c>
      <c r="IM418">
        <v>0</v>
      </c>
      <c r="IN418">
        <v>4376</v>
      </c>
      <c r="IO418">
        <v>0</v>
      </c>
      <c r="IP418">
        <v>21031</v>
      </c>
      <c r="IQ418">
        <v>10176</v>
      </c>
      <c r="IR418">
        <v>0</v>
      </c>
      <c r="IS418">
        <v>8856</v>
      </c>
      <c r="IT418">
        <v>0</v>
      </c>
      <c r="IU418">
        <v>97</v>
      </c>
      <c r="IV418">
        <v>3499</v>
      </c>
      <c r="IW418">
        <v>0</v>
      </c>
      <c r="IX418">
        <v>0</v>
      </c>
      <c r="IY418">
        <v>0</v>
      </c>
      <c r="IZ418">
        <v>0</v>
      </c>
      <c r="JA418">
        <v>0</v>
      </c>
      <c r="JB418">
        <v>0</v>
      </c>
      <c r="JC418">
        <v>0</v>
      </c>
      <c r="JD418">
        <v>0</v>
      </c>
      <c r="JE418">
        <v>0</v>
      </c>
      <c r="JF418">
        <v>-5</v>
      </c>
      <c r="JG418">
        <v>43654</v>
      </c>
      <c r="JH418">
        <v>0</v>
      </c>
      <c r="JI418">
        <v>335</v>
      </c>
      <c r="JJ418">
        <v>0</v>
      </c>
      <c r="JK418">
        <v>0</v>
      </c>
      <c r="JL418">
        <v>0</v>
      </c>
      <c r="JM418">
        <v>-133</v>
      </c>
      <c r="JN418">
        <v>2040</v>
      </c>
      <c r="JO418">
        <v>71</v>
      </c>
      <c r="JP418">
        <v>73</v>
      </c>
      <c r="JQ418">
        <v>7</v>
      </c>
      <c r="JR418">
        <v>46047</v>
      </c>
      <c r="JS418">
        <v>-3173</v>
      </c>
      <c r="JT418">
        <v>0</v>
      </c>
      <c r="JU418">
        <v>0</v>
      </c>
      <c r="JV418">
        <v>0</v>
      </c>
      <c r="JW418">
        <v>-19112</v>
      </c>
      <c r="JX418">
        <v>0</v>
      </c>
      <c r="JY418">
        <v>-1744</v>
      </c>
      <c r="JZ418">
        <v>0</v>
      </c>
      <c r="KA418">
        <v>0</v>
      </c>
      <c r="KB418">
        <v>0</v>
      </c>
      <c r="KC418">
        <v>22018</v>
      </c>
      <c r="KD418">
        <v>0</v>
      </c>
      <c r="KE418">
        <v>-7574</v>
      </c>
      <c r="KF418">
        <v>14444</v>
      </c>
      <c r="KG418">
        <v>0</v>
      </c>
      <c r="KH418">
        <v>0</v>
      </c>
      <c r="KI418">
        <v>0</v>
      </c>
      <c r="KJ418">
        <v>0</v>
      </c>
      <c r="KK418">
        <v>11666</v>
      </c>
      <c r="KL418">
        <v>0</v>
      </c>
      <c r="KM418">
        <v>0</v>
      </c>
      <c r="KN418">
        <v>0</v>
      </c>
      <c r="KO418">
        <v>-5299</v>
      </c>
      <c r="KP418">
        <v>63</v>
      </c>
      <c r="KQ418">
        <v>0</v>
      </c>
      <c r="KR418">
        <v>12047</v>
      </c>
      <c r="KS418">
        <v>0</v>
      </c>
      <c r="KT418">
        <v>0</v>
      </c>
      <c r="KU418">
        <v>0</v>
      </c>
      <c r="KV418">
        <v>45753</v>
      </c>
      <c r="KW418">
        <v>2788</v>
      </c>
      <c r="KX418">
        <v>0</v>
      </c>
      <c r="KY418">
        <v>0</v>
      </c>
      <c r="KZ418">
        <v>0</v>
      </c>
      <c r="LA418">
        <v>57419</v>
      </c>
      <c r="LB418">
        <v>2788</v>
      </c>
      <c r="LC418">
        <v>0</v>
      </c>
      <c r="LD418">
        <v>10222</v>
      </c>
      <c r="LE418">
        <v>0</v>
      </c>
      <c r="LF418">
        <v>-22306</v>
      </c>
      <c r="LG418">
        <v>-13026</v>
      </c>
      <c r="LH418">
        <v>1149</v>
      </c>
      <c r="LI418">
        <v>-27135</v>
      </c>
      <c r="LJ418">
        <v>2368</v>
      </c>
      <c r="LK418">
        <v>4201</v>
      </c>
      <c r="LL418">
        <v>6569</v>
      </c>
      <c r="LM418">
        <v>0</v>
      </c>
      <c r="LN418">
        <v>0</v>
      </c>
      <c r="LO418">
        <v>0</v>
      </c>
      <c r="LP418">
        <v>29980</v>
      </c>
      <c r="LQ418">
        <v>28916</v>
      </c>
      <c r="LR418">
        <v>1064</v>
      </c>
      <c r="LS418">
        <v>15664</v>
      </c>
      <c r="LT418">
        <v>16728</v>
      </c>
      <c r="LU418">
        <v>0</v>
      </c>
      <c r="LV418">
        <v>-2173</v>
      </c>
      <c r="LW418">
        <v>0</v>
      </c>
      <c r="LX418">
        <v>0</v>
      </c>
      <c r="LY418">
        <v>0</v>
      </c>
      <c r="LZ418">
        <v>1635</v>
      </c>
      <c r="MA418">
        <v>4096</v>
      </c>
      <c r="MB418">
        <v>5933</v>
      </c>
      <c r="MC418">
        <v>7165</v>
      </c>
      <c r="MD418">
        <v>0</v>
      </c>
      <c r="ME418">
        <v>0</v>
      </c>
      <c r="MF418">
        <v>4376</v>
      </c>
      <c r="MG418">
        <v>0</v>
      </c>
      <c r="MH418">
        <v>21031</v>
      </c>
      <c r="MI418">
        <v>0</v>
      </c>
      <c r="MJ418">
        <v>0</v>
      </c>
      <c r="MK418">
        <v>0</v>
      </c>
      <c r="ML418">
        <v>0</v>
      </c>
      <c r="MM418">
        <v>0</v>
      </c>
      <c r="MN418">
        <v>0</v>
      </c>
      <c r="MO418">
        <v>0</v>
      </c>
      <c r="MP418">
        <v>0</v>
      </c>
      <c r="MQ418">
        <v>0</v>
      </c>
      <c r="MR418">
        <v>0</v>
      </c>
      <c r="MS418">
        <v>0</v>
      </c>
      <c r="MT418">
        <v>0</v>
      </c>
      <c r="MU418">
        <v>0</v>
      </c>
      <c r="MV418">
        <v>0</v>
      </c>
      <c r="MW418">
        <v>0</v>
      </c>
      <c r="MX418">
        <v>0</v>
      </c>
      <c r="MY418">
        <v>0</v>
      </c>
      <c r="MZ418">
        <v>0</v>
      </c>
      <c r="NA418">
        <v>0</v>
      </c>
      <c r="NB418">
        <v>0</v>
      </c>
      <c r="NC418">
        <v>0</v>
      </c>
      <c r="ND418">
        <v>0</v>
      </c>
      <c r="NE418">
        <v>0</v>
      </c>
      <c r="NF418">
        <v>0</v>
      </c>
      <c r="NG418">
        <v>0</v>
      </c>
      <c r="NH418">
        <v>0</v>
      </c>
      <c r="NI418">
        <v>0</v>
      </c>
      <c r="NJ418">
        <v>0</v>
      </c>
      <c r="NK418">
        <v>0</v>
      </c>
      <c r="NL418">
        <v>0</v>
      </c>
      <c r="NM418">
        <v>0</v>
      </c>
      <c r="NN418">
        <v>0</v>
      </c>
      <c r="NO418">
        <v>0</v>
      </c>
      <c r="NP418">
        <v>0</v>
      </c>
      <c r="NQ418">
        <v>0</v>
      </c>
      <c r="NR418">
        <v>0</v>
      </c>
      <c r="NS418">
        <v>0</v>
      </c>
      <c r="NT418">
        <v>0</v>
      </c>
      <c r="NU418">
        <v>0</v>
      </c>
      <c r="NV418">
        <v>0</v>
      </c>
      <c r="NW418">
        <v>0</v>
      </c>
      <c r="NX418">
        <v>0</v>
      </c>
      <c r="NY418">
        <v>0</v>
      </c>
      <c r="NZ418">
        <v>0</v>
      </c>
      <c r="OA418">
        <v>0</v>
      </c>
      <c r="OB418">
        <v>0</v>
      </c>
      <c r="OC418">
        <v>0</v>
      </c>
      <c r="OD418">
        <v>0</v>
      </c>
      <c r="OE418">
        <v>0</v>
      </c>
      <c r="OF418">
        <v>0</v>
      </c>
      <c r="OG418">
        <v>0</v>
      </c>
      <c r="OH418">
        <v>0</v>
      </c>
      <c r="OI418">
        <v>0</v>
      </c>
      <c r="OJ418">
        <v>0</v>
      </c>
      <c r="OK418">
        <v>0</v>
      </c>
      <c r="OL418">
        <v>0</v>
      </c>
      <c r="OM418">
        <v>0</v>
      </c>
      <c r="ON418">
        <v>0</v>
      </c>
    </row>
    <row r="419" spans="1:404" x14ac:dyDescent="0.25">
      <c r="A419" t="s">
        <v>1326</v>
      </c>
      <c r="B419" t="s">
        <v>1327</v>
      </c>
      <c r="C419" t="s">
        <v>1325</v>
      </c>
      <c r="E419" t="s">
        <v>125</v>
      </c>
      <c r="F419">
        <v>10162</v>
      </c>
      <c r="G419">
        <v>37926</v>
      </c>
      <c r="H419">
        <v>8086</v>
      </c>
      <c r="I419">
        <v>17392</v>
      </c>
      <c r="J419">
        <v>6224</v>
      </c>
      <c r="K419">
        <v>1076</v>
      </c>
      <c r="L419">
        <v>80866</v>
      </c>
      <c r="M419">
        <v>384</v>
      </c>
      <c r="N419">
        <v>662</v>
      </c>
      <c r="O419">
        <v>216</v>
      </c>
      <c r="P419">
        <v>419</v>
      </c>
      <c r="Q419">
        <v>2</v>
      </c>
      <c r="R419">
        <v>238</v>
      </c>
      <c r="S419">
        <v>1908</v>
      </c>
      <c r="T419">
        <v>391</v>
      </c>
      <c r="U419">
        <v>786</v>
      </c>
      <c r="V419">
        <v>0</v>
      </c>
      <c r="W419">
        <v>0</v>
      </c>
      <c r="X419">
        <v>19</v>
      </c>
      <c r="Y419">
        <v>132</v>
      </c>
      <c r="Z419">
        <v>-395</v>
      </c>
      <c r="AA419">
        <v>-3647</v>
      </c>
      <c r="AB419">
        <v>1163</v>
      </c>
      <c r="AC419">
        <v>0</v>
      </c>
      <c r="AD419">
        <v>971</v>
      </c>
      <c r="AE419">
        <v>0</v>
      </c>
      <c r="AF419">
        <v>0</v>
      </c>
      <c r="AG419">
        <v>-3</v>
      </c>
      <c r="AH419">
        <v>0</v>
      </c>
      <c r="AI419">
        <v>3246</v>
      </c>
      <c r="AJ419">
        <v>0</v>
      </c>
      <c r="AK419">
        <v>0</v>
      </c>
      <c r="AL419">
        <v>0</v>
      </c>
      <c r="AM419">
        <v>0</v>
      </c>
      <c r="AN419">
        <v>0</v>
      </c>
      <c r="AO419">
        <v>0</v>
      </c>
      <c r="AP419">
        <v>0</v>
      </c>
      <c r="AQ419">
        <v>479</v>
      </c>
      <c r="AR419">
        <v>484</v>
      </c>
      <c r="AS419">
        <v>0</v>
      </c>
      <c r="AT419">
        <v>0</v>
      </c>
      <c r="AU419">
        <v>0</v>
      </c>
      <c r="AV419">
        <v>830</v>
      </c>
      <c r="AW419">
        <v>3384</v>
      </c>
      <c r="AX419">
        <v>3008</v>
      </c>
      <c r="AY419">
        <v>6639</v>
      </c>
      <c r="AZ419">
        <v>101</v>
      </c>
      <c r="BA419">
        <v>6675</v>
      </c>
      <c r="BB419">
        <v>0</v>
      </c>
      <c r="BC419">
        <v>828</v>
      </c>
      <c r="BD419">
        <v>21465</v>
      </c>
      <c r="BE419">
        <v>1963</v>
      </c>
      <c r="BF419">
        <v>6268</v>
      </c>
      <c r="BG419">
        <v>0</v>
      </c>
      <c r="BH419">
        <v>0</v>
      </c>
      <c r="BI419">
        <v>0</v>
      </c>
      <c r="BJ419">
        <v>6564</v>
      </c>
      <c r="BK419">
        <v>12741</v>
      </c>
      <c r="BL419">
        <v>1211</v>
      </c>
      <c r="BM419">
        <v>2151</v>
      </c>
      <c r="BN419">
        <v>0</v>
      </c>
      <c r="BO419">
        <v>0</v>
      </c>
      <c r="BP419">
        <v>121</v>
      </c>
      <c r="BQ419">
        <v>83</v>
      </c>
      <c r="BR419">
        <v>950</v>
      </c>
      <c r="BS419">
        <v>474</v>
      </c>
      <c r="BT419">
        <v>4718</v>
      </c>
      <c r="BU419">
        <v>157</v>
      </c>
      <c r="BV419">
        <v>3123</v>
      </c>
      <c r="BW419">
        <v>42558</v>
      </c>
      <c r="BX419">
        <v>656</v>
      </c>
      <c r="BY419">
        <v>255</v>
      </c>
      <c r="BZ419">
        <v>85</v>
      </c>
      <c r="CA419">
        <v>51</v>
      </c>
      <c r="CB419">
        <v>10</v>
      </c>
      <c r="CC419">
        <v>87</v>
      </c>
      <c r="CD419">
        <v>13</v>
      </c>
      <c r="CE419">
        <v>8</v>
      </c>
      <c r="CF419">
        <v>7</v>
      </c>
      <c r="CG419">
        <v>12</v>
      </c>
      <c r="CH419">
        <v>7</v>
      </c>
      <c r="CI419">
        <v>234</v>
      </c>
      <c r="CJ419">
        <v>224</v>
      </c>
      <c r="CK419">
        <v>189</v>
      </c>
      <c r="CL419">
        <v>173</v>
      </c>
      <c r="CM419">
        <v>0</v>
      </c>
      <c r="CN419">
        <v>45</v>
      </c>
      <c r="CO419">
        <v>4</v>
      </c>
      <c r="CP419">
        <v>169</v>
      </c>
      <c r="CQ419">
        <v>1461</v>
      </c>
      <c r="CR419">
        <v>322</v>
      </c>
      <c r="CS419">
        <v>0</v>
      </c>
      <c r="CT419">
        <v>107</v>
      </c>
      <c r="CU419">
        <v>816</v>
      </c>
      <c r="CV419">
        <v>6337</v>
      </c>
      <c r="CW419">
        <v>0</v>
      </c>
      <c r="CX419">
        <v>0</v>
      </c>
      <c r="CY419">
        <v>0</v>
      </c>
      <c r="CZ419">
        <v>0</v>
      </c>
      <c r="DA419">
        <v>0</v>
      </c>
      <c r="DB419">
        <v>0</v>
      </c>
      <c r="DC419">
        <v>710</v>
      </c>
      <c r="DD419">
        <v>0</v>
      </c>
      <c r="DE419">
        <v>0</v>
      </c>
      <c r="DF419">
        <v>0</v>
      </c>
      <c r="DG419">
        <v>1751</v>
      </c>
      <c r="DH419">
        <v>0</v>
      </c>
      <c r="DI419">
        <v>0</v>
      </c>
      <c r="DJ419">
        <v>0</v>
      </c>
      <c r="DK419">
        <v>0</v>
      </c>
      <c r="DL419">
        <v>0</v>
      </c>
      <c r="DM419">
        <v>1633</v>
      </c>
      <c r="DN419">
        <v>0</v>
      </c>
      <c r="DO419">
        <v>526</v>
      </c>
      <c r="DP419">
        <v>3910</v>
      </c>
      <c r="DQ419">
        <v>1552</v>
      </c>
      <c r="DR419">
        <v>0</v>
      </c>
      <c r="DS419">
        <v>0</v>
      </c>
      <c r="DT419">
        <v>1316</v>
      </c>
      <c r="DU419">
        <v>0</v>
      </c>
      <c r="DV419">
        <v>0</v>
      </c>
      <c r="DW419">
        <v>0</v>
      </c>
      <c r="DX419">
        <v>7488</v>
      </c>
      <c r="DY419">
        <v>0</v>
      </c>
      <c r="DZ419">
        <v>0</v>
      </c>
      <c r="EA419">
        <v>0</v>
      </c>
      <c r="EB419">
        <v>0</v>
      </c>
      <c r="EC419">
        <v>0</v>
      </c>
      <c r="ED419">
        <v>0</v>
      </c>
      <c r="EE419">
        <v>0</v>
      </c>
      <c r="EF419">
        <v>0</v>
      </c>
      <c r="EG419">
        <v>0</v>
      </c>
      <c r="EH419">
        <v>0</v>
      </c>
      <c r="EI419">
        <v>0</v>
      </c>
      <c r="EJ419">
        <v>0</v>
      </c>
      <c r="EK419">
        <v>0</v>
      </c>
      <c r="EL419">
        <v>0</v>
      </c>
      <c r="EM419">
        <v>0</v>
      </c>
      <c r="EN419">
        <v>0</v>
      </c>
      <c r="EO419">
        <v>0</v>
      </c>
      <c r="EP419">
        <v>0</v>
      </c>
      <c r="EQ419">
        <v>0</v>
      </c>
      <c r="ER419">
        <v>0</v>
      </c>
      <c r="ES419">
        <v>0</v>
      </c>
      <c r="ET419">
        <v>0</v>
      </c>
      <c r="EU419">
        <v>0</v>
      </c>
      <c r="EV419">
        <v>151</v>
      </c>
      <c r="EW419">
        <v>125</v>
      </c>
      <c r="EX419">
        <v>0</v>
      </c>
      <c r="EY419">
        <v>0</v>
      </c>
      <c r="EZ419">
        <v>57</v>
      </c>
      <c r="FA419">
        <v>0</v>
      </c>
      <c r="FB419">
        <v>0</v>
      </c>
      <c r="FC419">
        <v>-290</v>
      </c>
      <c r="FD419">
        <v>2062</v>
      </c>
      <c r="FE419">
        <v>0</v>
      </c>
      <c r="FF419">
        <v>265</v>
      </c>
      <c r="FG419">
        <v>1158</v>
      </c>
      <c r="FH419">
        <v>3528</v>
      </c>
      <c r="FI419">
        <v>-217</v>
      </c>
      <c r="FJ419">
        <v>360</v>
      </c>
      <c r="FK419">
        <v>0</v>
      </c>
      <c r="FL419">
        <v>-4</v>
      </c>
      <c r="FM419">
        <v>1826</v>
      </c>
      <c r="FN419">
        <v>6</v>
      </c>
      <c r="FO419">
        <v>0</v>
      </c>
      <c r="FP419">
        <v>0</v>
      </c>
      <c r="FQ419">
        <v>0</v>
      </c>
      <c r="FR419">
        <v>19</v>
      </c>
      <c r="FS419">
        <v>23</v>
      </c>
      <c r="FT419">
        <v>30</v>
      </c>
      <c r="FU419">
        <v>-278</v>
      </c>
      <c r="FV419">
        <v>0</v>
      </c>
      <c r="FW419">
        <v>502</v>
      </c>
      <c r="FX419">
        <v>482</v>
      </c>
      <c r="FY419">
        <v>79</v>
      </c>
      <c r="FZ419">
        <v>246</v>
      </c>
      <c r="GA419">
        <v>0</v>
      </c>
      <c r="GB419">
        <v>0</v>
      </c>
      <c r="GC419">
        <v>0</v>
      </c>
      <c r="GD419">
        <v>2</v>
      </c>
      <c r="GE419">
        <v>2556</v>
      </c>
      <c r="GF419">
        <v>5482</v>
      </c>
      <c r="GG419">
        <v>0</v>
      </c>
      <c r="GH419">
        <v>2427</v>
      </c>
      <c r="GI419">
        <v>0</v>
      </c>
      <c r="GJ419">
        <v>0</v>
      </c>
      <c r="GK419">
        <v>13541</v>
      </c>
      <c r="GL419">
        <v>210</v>
      </c>
      <c r="GM419">
        <v>472</v>
      </c>
      <c r="GN419">
        <v>0</v>
      </c>
      <c r="GO419">
        <v>756</v>
      </c>
      <c r="GP419">
        <v>311</v>
      </c>
      <c r="GQ419">
        <v>155</v>
      </c>
      <c r="GR419">
        <v>0</v>
      </c>
      <c r="GS419">
        <v>0</v>
      </c>
      <c r="GT419">
        <v>-22</v>
      </c>
      <c r="GU419">
        <v>1882</v>
      </c>
      <c r="GV419">
        <v>18951</v>
      </c>
      <c r="GW419">
        <v>0</v>
      </c>
      <c r="GX419">
        <v>0</v>
      </c>
      <c r="GY419">
        <v>0</v>
      </c>
      <c r="GZ419">
        <v>0</v>
      </c>
      <c r="HA419">
        <v>0</v>
      </c>
      <c r="HB419">
        <v>3004</v>
      </c>
      <c r="HC419">
        <v>725</v>
      </c>
      <c r="HD419">
        <v>0</v>
      </c>
      <c r="HE419">
        <v>0</v>
      </c>
      <c r="HF419">
        <v>0</v>
      </c>
      <c r="HG419">
        <v>20</v>
      </c>
      <c r="HH419">
        <v>0</v>
      </c>
      <c r="HI419">
        <v>-489</v>
      </c>
      <c r="HJ419">
        <v>372</v>
      </c>
      <c r="HK419">
        <v>232</v>
      </c>
      <c r="HL419">
        <v>94</v>
      </c>
      <c r="HM419">
        <v>-232</v>
      </c>
      <c r="HN419">
        <v>1</v>
      </c>
      <c r="HO419">
        <v>199</v>
      </c>
      <c r="HP419">
        <v>313</v>
      </c>
      <c r="HQ419">
        <v>0</v>
      </c>
      <c r="HR419">
        <v>333</v>
      </c>
      <c r="HS419">
        <v>0</v>
      </c>
      <c r="HT419">
        <v>0</v>
      </c>
      <c r="HU419">
        <v>0</v>
      </c>
      <c r="HV419">
        <v>4572</v>
      </c>
      <c r="HW419">
        <v>5362</v>
      </c>
      <c r="HX419">
        <v>13617</v>
      </c>
      <c r="HY419">
        <v>0</v>
      </c>
      <c r="HZ419">
        <v>0</v>
      </c>
      <c r="IA419">
        <v>0</v>
      </c>
      <c r="IB419">
        <v>0</v>
      </c>
      <c r="IC419">
        <v>80866</v>
      </c>
      <c r="ID419">
        <v>3246</v>
      </c>
      <c r="IE419">
        <v>21465</v>
      </c>
      <c r="IF419">
        <v>42558</v>
      </c>
      <c r="IG419">
        <v>6337</v>
      </c>
      <c r="IH419">
        <v>7488</v>
      </c>
      <c r="II419">
        <v>3528</v>
      </c>
      <c r="IJ419">
        <v>13541</v>
      </c>
      <c r="IK419">
        <v>1882</v>
      </c>
      <c r="IL419">
        <v>0</v>
      </c>
      <c r="IM419">
        <v>0</v>
      </c>
      <c r="IN419">
        <v>4572</v>
      </c>
      <c r="IO419">
        <v>0</v>
      </c>
      <c r="IP419">
        <v>185483</v>
      </c>
      <c r="IQ419">
        <v>21442</v>
      </c>
      <c r="IR419">
        <v>0</v>
      </c>
      <c r="IS419">
        <v>0</v>
      </c>
      <c r="IT419">
        <v>0</v>
      </c>
      <c r="IU419">
        <v>0</v>
      </c>
      <c r="IV419">
        <v>1655</v>
      </c>
      <c r="IW419">
        <v>0</v>
      </c>
      <c r="IX419">
        <v>0</v>
      </c>
      <c r="IY419">
        <v>0</v>
      </c>
      <c r="IZ419">
        <v>0</v>
      </c>
      <c r="JA419">
        <v>-2778</v>
      </c>
      <c r="JB419">
        <v>0</v>
      </c>
      <c r="JC419">
        <v>0</v>
      </c>
      <c r="JD419">
        <v>0</v>
      </c>
      <c r="JE419">
        <v>0</v>
      </c>
      <c r="JF419">
        <v>0</v>
      </c>
      <c r="JG419">
        <v>205802</v>
      </c>
      <c r="JH419">
        <v>162</v>
      </c>
      <c r="JI419">
        <v>400</v>
      </c>
      <c r="JJ419">
        <v>0</v>
      </c>
      <c r="JK419">
        <v>0</v>
      </c>
      <c r="JL419">
        <v>0</v>
      </c>
      <c r="JM419">
        <v>0</v>
      </c>
      <c r="JN419">
        <v>2920</v>
      </c>
      <c r="JO419">
        <v>0</v>
      </c>
      <c r="JP419">
        <v>3018</v>
      </c>
      <c r="JQ419">
        <v>0</v>
      </c>
      <c r="JR419">
        <v>212302</v>
      </c>
      <c r="JS419">
        <v>-216</v>
      </c>
      <c r="JT419">
        <v>0</v>
      </c>
      <c r="JU419">
        <v>0</v>
      </c>
      <c r="JV419">
        <v>0</v>
      </c>
      <c r="JW419">
        <v>-22747</v>
      </c>
      <c r="JX419">
        <v>0</v>
      </c>
      <c r="JY419">
        <v>0</v>
      </c>
      <c r="JZ419">
        <v>0</v>
      </c>
      <c r="KA419">
        <v>0</v>
      </c>
      <c r="KB419">
        <v>0</v>
      </c>
      <c r="KC419">
        <v>189339</v>
      </c>
      <c r="KD419">
        <v>0</v>
      </c>
      <c r="KE419">
        <v>-95108</v>
      </c>
      <c r="KF419">
        <v>94231</v>
      </c>
      <c r="KG419">
        <v>0</v>
      </c>
      <c r="KH419">
        <v>800</v>
      </c>
      <c r="KI419">
        <v>0</v>
      </c>
      <c r="KJ419">
        <v>77</v>
      </c>
      <c r="KK419">
        <v>643</v>
      </c>
      <c r="KL419">
        <v>1694</v>
      </c>
      <c r="KM419">
        <v>0</v>
      </c>
      <c r="KN419">
        <v>0</v>
      </c>
      <c r="KO419">
        <v>-15004</v>
      </c>
      <c r="KP419">
        <v>-382</v>
      </c>
      <c r="KQ419">
        <v>4199</v>
      </c>
      <c r="KR419">
        <v>81125</v>
      </c>
      <c r="KS419">
        <v>2203</v>
      </c>
      <c r="KT419">
        <v>0</v>
      </c>
      <c r="KU419">
        <v>511</v>
      </c>
      <c r="KV419">
        <v>37389</v>
      </c>
      <c r="KW419">
        <v>7059</v>
      </c>
      <c r="KX419">
        <v>3003</v>
      </c>
      <c r="KY419">
        <v>0</v>
      </c>
      <c r="KZ419">
        <v>588</v>
      </c>
      <c r="LA419">
        <v>38032</v>
      </c>
      <c r="LB419">
        <v>8753</v>
      </c>
      <c r="LC419">
        <v>0</v>
      </c>
      <c r="LD419">
        <v>12587</v>
      </c>
      <c r="LE419">
        <v>0</v>
      </c>
      <c r="LF419">
        <v>0</v>
      </c>
      <c r="LG419">
        <v>0</v>
      </c>
      <c r="LH419">
        <v>2234</v>
      </c>
      <c r="LI419">
        <v>14821</v>
      </c>
      <c r="LJ419">
        <v>2092</v>
      </c>
      <c r="LK419">
        <v>2085</v>
      </c>
      <c r="LL419">
        <v>4177</v>
      </c>
      <c r="LM419">
        <v>0</v>
      </c>
      <c r="LN419">
        <v>0</v>
      </c>
      <c r="LO419">
        <v>0</v>
      </c>
      <c r="LP419">
        <v>0</v>
      </c>
      <c r="LQ419">
        <v>0</v>
      </c>
      <c r="LR419">
        <v>0</v>
      </c>
      <c r="LS419">
        <v>0</v>
      </c>
      <c r="LT419">
        <v>0</v>
      </c>
      <c r="LU419">
        <v>80866</v>
      </c>
      <c r="LV419">
        <v>3246</v>
      </c>
      <c r="LW419">
        <v>21465</v>
      </c>
      <c r="LX419">
        <v>42558</v>
      </c>
      <c r="LY419">
        <v>6337</v>
      </c>
      <c r="LZ419">
        <v>7488</v>
      </c>
      <c r="MA419">
        <v>3528</v>
      </c>
      <c r="MB419">
        <v>13541</v>
      </c>
      <c r="MC419">
        <v>1882</v>
      </c>
      <c r="MD419">
        <v>0</v>
      </c>
      <c r="ME419">
        <v>0</v>
      </c>
      <c r="MF419">
        <v>4572</v>
      </c>
      <c r="MG419">
        <v>0</v>
      </c>
      <c r="MH419">
        <v>185483</v>
      </c>
      <c r="MI419">
        <v>0</v>
      </c>
      <c r="MJ419">
        <v>0</v>
      </c>
      <c r="MK419">
        <v>0</v>
      </c>
      <c r="ML419">
        <v>0</v>
      </c>
      <c r="MM419">
        <v>0</v>
      </c>
      <c r="MN419">
        <v>0</v>
      </c>
      <c r="MO419">
        <v>0</v>
      </c>
      <c r="MP419">
        <v>0</v>
      </c>
      <c r="MQ419">
        <v>0</v>
      </c>
      <c r="MR419">
        <v>0</v>
      </c>
      <c r="MS419">
        <v>0</v>
      </c>
      <c r="MT419">
        <v>0</v>
      </c>
      <c r="MU419">
        <v>0</v>
      </c>
      <c r="MV419">
        <v>0</v>
      </c>
      <c r="MW419">
        <v>-1575</v>
      </c>
      <c r="MX419">
        <v>-1203</v>
      </c>
      <c r="MY419">
        <v>0</v>
      </c>
      <c r="MZ419">
        <v>0</v>
      </c>
      <c r="NA419">
        <v>-2778</v>
      </c>
      <c r="NB419">
        <v>0</v>
      </c>
      <c r="NC419">
        <v>-2778</v>
      </c>
      <c r="ND419">
        <v>0</v>
      </c>
      <c r="NE419">
        <v>0</v>
      </c>
      <c r="NF419">
        <v>0</v>
      </c>
      <c r="NG419">
        <v>0</v>
      </c>
      <c r="NH419">
        <v>0</v>
      </c>
      <c r="NI419">
        <v>0</v>
      </c>
      <c r="NJ419">
        <v>0</v>
      </c>
      <c r="NK419">
        <v>0</v>
      </c>
      <c r="NL419">
        <v>0</v>
      </c>
      <c r="NM419">
        <v>0</v>
      </c>
      <c r="NN419">
        <v>0</v>
      </c>
      <c r="NO419">
        <v>0</v>
      </c>
      <c r="NP419">
        <v>0</v>
      </c>
      <c r="NQ419">
        <v>0</v>
      </c>
      <c r="NR419">
        <v>0</v>
      </c>
      <c r="NS419">
        <v>0</v>
      </c>
      <c r="NT419">
        <v>0</v>
      </c>
      <c r="NU419">
        <v>0</v>
      </c>
      <c r="NV419">
        <v>0</v>
      </c>
      <c r="NW419">
        <v>0</v>
      </c>
      <c r="NX419">
        <v>0</v>
      </c>
      <c r="NY419">
        <v>0</v>
      </c>
      <c r="NZ419">
        <v>0</v>
      </c>
      <c r="OA419">
        <v>0</v>
      </c>
      <c r="OB419">
        <v>0</v>
      </c>
      <c r="OC419">
        <v>0</v>
      </c>
      <c r="OD419">
        <v>0</v>
      </c>
      <c r="OE419">
        <v>0</v>
      </c>
      <c r="OF419">
        <v>0</v>
      </c>
      <c r="OG419">
        <v>0</v>
      </c>
      <c r="OH419">
        <v>0</v>
      </c>
      <c r="OI419">
        <v>0</v>
      </c>
      <c r="OJ419">
        <v>0</v>
      </c>
      <c r="OK419">
        <v>0</v>
      </c>
      <c r="OL419">
        <v>0</v>
      </c>
      <c r="OM419">
        <v>0</v>
      </c>
      <c r="ON419">
        <v>0</v>
      </c>
    </row>
    <row r="420" spans="1:404" x14ac:dyDescent="0.25">
      <c r="A420" t="s">
        <v>1329</v>
      </c>
      <c r="B420" t="s">
        <v>1330</v>
      </c>
      <c r="C420" t="s">
        <v>1328</v>
      </c>
      <c r="E420" t="s">
        <v>97</v>
      </c>
      <c r="F420">
        <v>21548</v>
      </c>
      <c r="G420">
        <v>121899</v>
      </c>
      <c r="H420">
        <v>28669</v>
      </c>
      <c r="I420">
        <v>33249</v>
      </c>
      <c r="J420">
        <v>1962</v>
      </c>
      <c r="K420">
        <v>21720</v>
      </c>
      <c r="L420">
        <v>229047</v>
      </c>
      <c r="M420">
        <v>2217</v>
      </c>
      <c r="N420">
        <v>495</v>
      </c>
      <c r="O420">
        <v>1495</v>
      </c>
      <c r="P420">
        <v>0</v>
      </c>
      <c r="Q420">
        <v>4</v>
      </c>
      <c r="R420">
        <v>2031</v>
      </c>
      <c r="S420">
        <v>21</v>
      </c>
      <c r="T420">
        <v>696</v>
      </c>
      <c r="U420">
        <v>1765</v>
      </c>
      <c r="V420">
        <v>53</v>
      </c>
      <c r="W420">
        <v>0</v>
      </c>
      <c r="X420">
        <v>686</v>
      </c>
      <c r="Y420">
        <v>319</v>
      </c>
      <c r="Z420">
        <v>0</v>
      </c>
      <c r="AA420">
        <v>-256</v>
      </c>
      <c r="AB420">
        <v>0</v>
      </c>
      <c r="AC420">
        <v>0</v>
      </c>
      <c r="AD420">
        <v>0</v>
      </c>
      <c r="AE420">
        <v>0</v>
      </c>
      <c r="AF420">
        <v>0</v>
      </c>
      <c r="AG420">
        <v>0</v>
      </c>
      <c r="AH420">
        <v>0</v>
      </c>
      <c r="AI420">
        <v>9526</v>
      </c>
      <c r="AJ420">
        <v>0</v>
      </c>
      <c r="AK420">
        <v>0</v>
      </c>
      <c r="AL420">
        <v>0</v>
      </c>
      <c r="AM420">
        <v>0</v>
      </c>
      <c r="AN420">
        <v>0</v>
      </c>
      <c r="AO420">
        <v>0</v>
      </c>
      <c r="AP420">
        <v>0</v>
      </c>
      <c r="AQ420">
        <v>0</v>
      </c>
      <c r="AR420">
        <v>0</v>
      </c>
      <c r="AS420">
        <v>0</v>
      </c>
      <c r="AT420">
        <v>0</v>
      </c>
      <c r="AU420">
        <v>0</v>
      </c>
      <c r="AV420">
        <v>3484</v>
      </c>
      <c r="AW420">
        <v>38545</v>
      </c>
      <c r="AX420">
        <v>217</v>
      </c>
      <c r="AY420">
        <v>6240</v>
      </c>
      <c r="AZ420">
        <v>1593</v>
      </c>
      <c r="BA420">
        <v>24178</v>
      </c>
      <c r="BB420">
        <v>0</v>
      </c>
      <c r="BC420">
        <v>3616</v>
      </c>
      <c r="BD420">
        <v>77873</v>
      </c>
      <c r="BE420">
        <v>7878</v>
      </c>
      <c r="BF420">
        <v>28240</v>
      </c>
      <c r="BG420">
        <v>121</v>
      </c>
      <c r="BH420">
        <v>546</v>
      </c>
      <c r="BI420">
        <v>525</v>
      </c>
      <c r="BJ420">
        <v>3904</v>
      </c>
      <c r="BK420">
        <v>40739</v>
      </c>
      <c r="BL420">
        <v>4070</v>
      </c>
      <c r="BM420">
        <v>5826</v>
      </c>
      <c r="BN420">
        <v>4121</v>
      </c>
      <c r="BO420">
        <v>136</v>
      </c>
      <c r="BP420">
        <v>16</v>
      </c>
      <c r="BQ420">
        <v>162</v>
      </c>
      <c r="BR420">
        <v>300</v>
      </c>
      <c r="BS420">
        <v>-949</v>
      </c>
      <c r="BT420">
        <v>13333</v>
      </c>
      <c r="BU420">
        <v>571</v>
      </c>
      <c r="BV420">
        <v>6088</v>
      </c>
      <c r="BW420">
        <v>116713</v>
      </c>
      <c r="BX420">
        <v>1150</v>
      </c>
      <c r="BY420">
        <v>1507</v>
      </c>
      <c r="BZ420">
        <v>212</v>
      </c>
      <c r="CA420">
        <v>134</v>
      </c>
      <c r="CB420">
        <v>283</v>
      </c>
      <c r="CC420">
        <v>101</v>
      </c>
      <c r="CD420">
        <v>998</v>
      </c>
      <c r="CE420">
        <v>382</v>
      </c>
      <c r="CF420">
        <v>461</v>
      </c>
      <c r="CG420">
        <v>1290</v>
      </c>
      <c r="CH420">
        <v>2488</v>
      </c>
      <c r="CI420">
        <v>2993</v>
      </c>
      <c r="CJ420">
        <v>2499</v>
      </c>
      <c r="CK420">
        <v>581</v>
      </c>
      <c r="CL420">
        <v>907</v>
      </c>
      <c r="CM420">
        <v>235</v>
      </c>
      <c r="CN420">
        <v>794</v>
      </c>
      <c r="CO420">
        <v>135</v>
      </c>
      <c r="CP420">
        <v>2574</v>
      </c>
      <c r="CQ420">
        <v>3745</v>
      </c>
      <c r="CR420">
        <v>973</v>
      </c>
      <c r="CS420">
        <v>305</v>
      </c>
      <c r="CT420">
        <v>1001</v>
      </c>
      <c r="CU420">
        <v>3800</v>
      </c>
      <c r="CV420">
        <v>42115</v>
      </c>
      <c r="CW420">
        <v>0</v>
      </c>
      <c r="CX420">
        <v>0</v>
      </c>
      <c r="CY420">
        <v>0</v>
      </c>
      <c r="CZ420">
        <v>0</v>
      </c>
      <c r="DA420">
        <v>0</v>
      </c>
      <c r="DB420">
        <v>1205</v>
      </c>
      <c r="DC420">
        <v>319</v>
      </c>
      <c r="DD420">
        <v>0</v>
      </c>
      <c r="DE420">
        <v>23</v>
      </c>
      <c r="DF420">
        <v>-163</v>
      </c>
      <c r="DG420">
        <v>0</v>
      </c>
      <c r="DH420">
        <v>0</v>
      </c>
      <c r="DI420">
        <v>0</v>
      </c>
      <c r="DJ420">
        <v>0</v>
      </c>
      <c r="DK420">
        <v>0</v>
      </c>
      <c r="DL420">
        <v>0</v>
      </c>
      <c r="DM420">
        <v>3017</v>
      </c>
      <c r="DN420">
        <v>0</v>
      </c>
      <c r="DO420">
        <v>0</v>
      </c>
      <c r="DP420">
        <v>3017</v>
      </c>
      <c r="DQ420">
        <v>0</v>
      </c>
      <c r="DR420">
        <v>0</v>
      </c>
      <c r="DS420">
        <v>0</v>
      </c>
      <c r="DT420">
        <v>5233</v>
      </c>
      <c r="DU420">
        <v>-173</v>
      </c>
      <c r="DV420">
        <v>4272</v>
      </c>
      <c r="DW420">
        <v>0</v>
      </c>
      <c r="DX420">
        <v>12528</v>
      </c>
      <c r="DY420">
        <v>0</v>
      </c>
      <c r="DZ420">
        <v>0</v>
      </c>
      <c r="EA420">
        <v>0</v>
      </c>
      <c r="EB420">
        <v>0</v>
      </c>
      <c r="EC420">
        <v>0</v>
      </c>
      <c r="ED420">
        <v>0</v>
      </c>
      <c r="EE420">
        <v>0</v>
      </c>
      <c r="EF420">
        <v>0</v>
      </c>
      <c r="EG420">
        <v>0</v>
      </c>
      <c r="EH420">
        <v>0</v>
      </c>
      <c r="EI420">
        <v>0</v>
      </c>
      <c r="EJ420">
        <v>0</v>
      </c>
      <c r="EK420">
        <v>0</v>
      </c>
      <c r="EL420">
        <v>0</v>
      </c>
      <c r="EM420">
        <v>0</v>
      </c>
      <c r="EN420">
        <v>0</v>
      </c>
      <c r="EO420">
        <v>0</v>
      </c>
      <c r="EP420">
        <v>0</v>
      </c>
      <c r="EQ420">
        <v>0</v>
      </c>
      <c r="ER420">
        <v>0</v>
      </c>
      <c r="ES420">
        <v>0</v>
      </c>
      <c r="ET420">
        <v>0</v>
      </c>
      <c r="EU420">
        <v>0</v>
      </c>
      <c r="EV420">
        <v>0</v>
      </c>
      <c r="EW420">
        <v>1</v>
      </c>
      <c r="EX420">
        <v>727</v>
      </c>
      <c r="EY420">
        <v>1033</v>
      </c>
      <c r="EZ420">
        <v>541</v>
      </c>
      <c r="FA420">
        <v>155</v>
      </c>
      <c r="FB420">
        <v>256</v>
      </c>
      <c r="FC420">
        <v>3697</v>
      </c>
      <c r="FD420">
        <v>6975</v>
      </c>
      <c r="FE420">
        <v>-26</v>
      </c>
      <c r="FF420">
        <v>913</v>
      </c>
      <c r="FG420">
        <v>4842</v>
      </c>
      <c r="FH420">
        <v>19114</v>
      </c>
      <c r="FI420">
        <v>-1513</v>
      </c>
      <c r="FJ420">
        <v>239</v>
      </c>
      <c r="FK420">
        <v>0</v>
      </c>
      <c r="FL420">
        <v>0</v>
      </c>
      <c r="FM420">
        <v>376</v>
      </c>
      <c r="FN420">
        <v>0</v>
      </c>
      <c r="FO420">
        <v>0</v>
      </c>
      <c r="FP420">
        <v>0</v>
      </c>
      <c r="FQ420">
        <v>-30</v>
      </c>
      <c r="FR420">
        <v>-30</v>
      </c>
      <c r="FS420">
        <v>162</v>
      </c>
      <c r="FT420">
        <v>199</v>
      </c>
      <c r="FU420">
        <v>47</v>
      </c>
      <c r="FV420">
        <v>1904</v>
      </c>
      <c r="FW420">
        <v>566</v>
      </c>
      <c r="FX420">
        <v>-12</v>
      </c>
      <c r="FY420">
        <v>356</v>
      </c>
      <c r="FZ420">
        <v>0</v>
      </c>
      <c r="GA420">
        <v>0</v>
      </c>
      <c r="GB420">
        <v>0</v>
      </c>
      <c r="GC420">
        <v>0</v>
      </c>
      <c r="GD420">
        <v>3785</v>
      </c>
      <c r="GE420">
        <v>8511</v>
      </c>
      <c r="GF420">
        <v>0</v>
      </c>
      <c r="GG420">
        <v>0</v>
      </c>
      <c r="GH420">
        <v>46</v>
      </c>
      <c r="GI420">
        <v>0</v>
      </c>
      <c r="GJ420">
        <v>329</v>
      </c>
      <c r="GK420">
        <v>14935</v>
      </c>
      <c r="GL420">
        <v>163</v>
      </c>
      <c r="GM420">
        <v>627</v>
      </c>
      <c r="GN420">
        <v>0</v>
      </c>
      <c r="GO420">
        <v>2139</v>
      </c>
      <c r="GP420">
        <v>269</v>
      </c>
      <c r="GQ420">
        <v>2150</v>
      </c>
      <c r="GR420">
        <v>0</v>
      </c>
      <c r="GS420">
        <v>7168</v>
      </c>
      <c r="GT420">
        <v>1298</v>
      </c>
      <c r="GU420">
        <v>13814</v>
      </c>
      <c r="GV420">
        <v>47863</v>
      </c>
      <c r="GW420">
        <v>0</v>
      </c>
      <c r="GX420">
        <v>0</v>
      </c>
      <c r="GY420">
        <v>0</v>
      </c>
      <c r="GZ420">
        <v>0</v>
      </c>
      <c r="HA420">
        <v>0</v>
      </c>
      <c r="HB420">
        <v>3940</v>
      </c>
      <c r="HC420">
        <v>158</v>
      </c>
      <c r="HD420">
        <v>0</v>
      </c>
      <c r="HE420">
        <v>1869</v>
      </c>
      <c r="HF420">
        <v>-1465</v>
      </c>
      <c r="HG420">
        <v>178</v>
      </c>
      <c r="HH420">
        <v>0</v>
      </c>
      <c r="HI420">
        <v>66</v>
      </c>
      <c r="HJ420">
        <v>462</v>
      </c>
      <c r="HK420">
        <v>78</v>
      </c>
      <c r="HL420">
        <v>0</v>
      </c>
      <c r="HM420">
        <v>-147</v>
      </c>
      <c r="HN420">
        <v>4481</v>
      </c>
      <c r="HO420">
        <v>0</v>
      </c>
      <c r="HP420">
        <v>758</v>
      </c>
      <c r="HQ420">
        <v>0</v>
      </c>
      <c r="HR420">
        <v>2524</v>
      </c>
      <c r="HS420">
        <v>0</v>
      </c>
      <c r="HT420">
        <v>0</v>
      </c>
      <c r="HU420">
        <v>12</v>
      </c>
      <c r="HV420">
        <v>12914</v>
      </c>
      <c r="HW420">
        <v>1534</v>
      </c>
      <c r="HX420">
        <v>27906</v>
      </c>
      <c r="HY420">
        <v>0</v>
      </c>
      <c r="HZ420">
        <v>0</v>
      </c>
      <c r="IA420">
        <v>0</v>
      </c>
      <c r="IB420">
        <v>0</v>
      </c>
      <c r="IC420">
        <v>229047</v>
      </c>
      <c r="ID420">
        <v>9526</v>
      </c>
      <c r="IE420">
        <v>77873</v>
      </c>
      <c r="IF420">
        <v>116713</v>
      </c>
      <c r="IG420">
        <v>42115</v>
      </c>
      <c r="IH420">
        <v>12528</v>
      </c>
      <c r="II420">
        <v>19114</v>
      </c>
      <c r="IJ420">
        <v>14935</v>
      </c>
      <c r="IK420">
        <v>13814</v>
      </c>
      <c r="IL420">
        <v>0</v>
      </c>
      <c r="IM420">
        <v>0</v>
      </c>
      <c r="IN420">
        <v>12914</v>
      </c>
      <c r="IO420">
        <v>0</v>
      </c>
      <c r="IP420">
        <v>548579</v>
      </c>
      <c r="IQ420">
        <v>87109</v>
      </c>
      <c r="IR420">
        <v>0</v>
      </c>
      <c r="IS420">
        <v>0</v>
      </c>
      <c r="IT420">
        <v>0</v>
      </c>
      <c r="IU420">
        <v>0</v>
      </c>
      <c r="IV420">
        <v>0</v>
      </c>
      <c r="IW420">
        <v>22071</v>
      </c>
      <c r="IX420">
        <v>18160</v>
      </c>
      <c r="IY420">
        <v>0</v>
      </c>
      <c r="IZ420">
        <v>329</v>
      </c>
      <c r="JA420">
        <v>0</v>
      </c>
      <c r="JB420">
        <v>165</v>
      </c>
      <c r="JC420">
        <v>0</v>
      </c>
      <c r="JD420">
        <v>0</v>
      </c>
      <c r="JE420">
        <v>-2033</v>
      </c>
      <c r="JF420">
        <v>0</v>
      </c>
      <c r="JG420">
        <v>674380</v>
      </c>
      <c r="JH420">
        <v>182</v>
      </c>
      <c r="JI420">
        <v>158</v>
      </c>
      <c r="JJ420">
        <v>0</v>
      </c>
      <c r="JK420">
        <v>0</v>
      </c>
      <c r="JL420">
        <v>-5851</v>
      </c>
      <c r="JM420">
        <v>1139</v>
      </c>
      <c r="JN420">
        <v>5029</v>
      </c>
      <c r="JO420">
        <v>0</v>
      </c>
      <c r="JP420">
        <v>8499</v>
      </c>
      <c r="JQ420">
        <v>0</v>
      </c>
      <c r="JR420">
        <v>683536</v>
      </c>
      <c r="JS420">
        <v>-1442</v>
      </c>
      <c r="JT420">
        <v>1692</v>
      </c>
      <c r="JU420">
        <v>45</v>
      </c>
      <c r="JV420">
        <v>0</v>
      </c>
      <c r="JW420">
        <v>-88257</v>
      </c>
      <c r="JX420">
        <v>0</v>
      </c>
      <c r="JY420">
        <v>0</v>
      </c>
      <c r="JZ420">
        <v>0</v>
      </c>
      <c r="KA420">
        <v>0</v>
      </c>
      <c r="KB420">
        <v>-11</v>
      </c>
      <c r="KC420">
        <v>595563</v>
      </c>
      <c r="KD420">
        <v>0</v>
      </c>
      <c r="KE420">
        <v>-296365</v>
      </c>
      <c r="KF420">
        <v>299198</v>
      </c>
      <c r="KG420">
        <v>0</v>
      </c>
      <c r="KH420">
        <v>2827</v>
      </c>
      <c r="KI420">
        <v>0</v>
      </c>
      <c r="KJ420">
        <v>2912</v>
      </c>
      <c r="KK420">
        <v>-17814</v>
      </c>
      <c r="KL420">
        <v>0</v>
      </c>
      <c r="KM420">
        <v>0</v>
      </c>
      <c r="KN420">
        <v>0</v>
      </c>
      <c r="KO420">
        <v>-101564</v>
      </c>
      <c r="KP420">
        <v>2010</v>
      </c>
      <c r="KQ420">
        <v>0</v>
      </c>
      <c r="KR420">
        <v>156678</v>
      </c>
      <c r="KS420">
        <v>13481</v>
      </c>
      <c r="KT420">
        <v>0</v>
      </c>
      <c r="KU420">
        <v>3682</v>
      </c>
      <c r="KV420">
        <v>97469</v>
      </c>
      <c r="KW420">
        <v>10676</v>
      </c>
      <c r="KX420">
        <v>16308</v>
      </c>
      <c r="KY420">
        <v>0</v>
      </c>
      <c r="KZ420">
        <v>6594</v>
      </c>
      <c r="LA420">
        <v>79655</v>
      </c>
      <c r="LB420">
        <v>10676</v>
      </c>
      <c r="LC420">
        <v>0</v>
      </c>
      <c r="LD420">
        <v>33838</v>
      </c>
      <c r="LE420">
        <v>0</v>
      </c>
      <c r="LF420">
        <v>1067</v>
      </c>
      <c r="LG420">
        <v>-21651</v>
      </c>
      <c r="LH420">
        <v>11439</v>
      </c>
      <c r="LI420">
        <v>24168</v>
      </c>
      <c r="LJ420">
        <v>12605</v>
      </c>
      <c r="LK420">
        <v>19105</v>
      </c>
      <c r="LL420">
        <v>31710</v>
      </c>
      <c r="LM420">
        <v>0</v>
      </c>
      <c r="LN420">
        <v>0</v>
      </c>
      <c r="LO420">
        <v>0</v>
      </c>
      <c r="LP420">
        <v>0</v>
      </c>
      <c r="LQ420">
        <v>0</v>
      </c>
      <c r="LR420">
        <v>0</v>
      </c>
      <c r="LS420">
        <v>0</v>
      </c>
      <c r="LT420">
        <v>0</v>
      </c>
      <c r="LU420">
        <v>229047</v>
      </c>
      <c r="LV420">
        <v>9526</v>
      </c>
      <c r="LW420">
        <v>77873</v>
      </c>
      <c r="LX420">
        <v>116713</v>
      </c>
      <c r="LY420">
        <v>42115</v>
      </c>
      <c r="LZ420">
        <v>12528</v>
      </c>
      <c r="MA420">
        <v>19114</v>
      </c>
      <c r="MB420">
        <v>14935</v>
      </c>
      <c r="MC420">
        <v>13814</v>
      </c>
      <c r="MD420">
        <v>0</v>
      </c>
      <c r="ME420">
        <v>0</v>
      </c>
      <c r="MF420">
        <v>12914</v>
      </c>
      <c r="MG420">
        <v>0</v>
      </c>
      <c r="MH420">
        <v>548579</v>
      </c>
      <c r="MI420">
        <v>0</v>
      </c>
      <c r="MJ420">
        <v>0</v>
      </c>
      <c r="MK420">
        <v>0</v>
      </c>
      <c r="ML420">
        <v>0</v>
      </c>
      <c r="MM420">
        <v>0</v>
      </c>
      <c r="MN420">
        <v>0</v>
      </c>
      <c r="MO420">
        <v>0</v>
      </c>
      <c r="MP420">
        <v>0</v>
      </c>
      <c r="MQ420">
        <v>0</v>
      </c>
      <c r="MR420">
        <v>0</v>
      </c>
      <c r="MS420">
        <v>0</v>
      </c>
      <c r="MT420">
        <v>0</v>
      </c>
      <c r="MU420">
        <v>0</v>
      </c>
      <c r="MV420">
        <v>0</v>
      </c>
      <c r="MW420">
        <v>0</v>
      </c>
      <c r="MX420">
        <v>0</v>
      </c>
      <c r="MY420">
        <v>0</v>
      </c>
      <c r="MZ420">
        <v>0</v>
      </c>
      <c r="NA420">
        <v>0</v>
      </c>
      <c r="NB420">
        <v>0</v>
      </c>
      <c r="NC420">
        <v>0</v>
      </c>
      <c r="ND420">
        <v>0</v>
      </c>
      <c r="NE420">
        <v>0</v>
      </c>
      <c r="NF420">
        <v>0</v>
      </c>
      <c r="NG420">
        <v>0</v>
      </c>
      <c r="NH420">
        <v>0</v>
      </c>
      <c r="NI420">
        <v>0</v>
      </c>
      <c r="NJ420">
        <v>0</v>
      </c>
      <c r="NK420">
        <v>0</v>
      </c>
      <c r="NL420">
        <v>0</v>
      </c>
      <c r="NM420">
        <v>0</v>
      </c>
      <c r="NN420">
        <v>185</v>
      </c>
      <c r="NO420">
        <v>0</v>
      </c>
      <c r="NP420">
        <v>0</v>
      </c>
      <c r="NQ420">
        <v>0</v>
      </c>
      <c r="NR420">
        <v>-20</v>
      </c>
      <c r="NS420">
        <v>0</v>
      </c>
      <c r="NT420">
        <v>0</v>
      </c>
      <c r="NU420">
        <v>0</v>
      </c>
      <c r="NV420">
        <v>0</v>
      </c>
      <c r="NW420">
        <v>0</v>
      </c>
      <c r="NX420">
        <v>0</v>
      </c>
      <c r="NY420">
        <v>0</v>
      </c>
      <c r="NZ420">
        <v>165</v>
      </c>
      <c r="OA420">
        <v>0</v>
      </c>
      <c r="OB420">
        <v>165</v>
      </c>
      <c r="OC420">
        <v>0</v>
      </c>
      <c r="OD420">
        <v>0</v>
      </c>
      <c r="OE420">
        <v>0</v>
      </c>
      <c r="OF420">
        <v>0</v>
      </c>
      <c r="OG420">
        <v>0</v>
      </c>
      <c r="OH420">
        <v>0</v>
      </c>
      <c r="OI420">
        <v>0</v>
      </c>
      <c r="OJ420">
        <v>0</v>
      </c>
      <c r="OK420">
        <v>0</v>
      </c>
      <c r="OL420">
        <v>0</v>
      </c>
      <c r="OM420">
        <v>0</v>
      </c>
      <c r="ON420">
        <v>0</v>
      </c>
    </row>
    <row r="421" spans="1:404" x14ac:dyDescent="0.25">
      <c r="A421" t="s">
        <v>1332</v>
      </c>
      <c r="B421" t="s">
        <v>1333</v>
      </c>
      <c r="C421" t="s">
        <v>1331</v>
      </c>
      <c r="E421" t="s">
        <v>61</v>
      </c>
    </row>
    <row r="422" spans="1:404" x14ac:dyDescent="0.25">
      <c r="A422" t="s">
        <v>1335</v>
      </c>
      <c r="B422" t="s">
        <v>1336</v>
      </c>
      <c r="C422" t="s">
        <v>1334</v>
      </c>
      <c r="E422" t="s">
        <v>125</v>
      </c>
      <c r="F422">
        <v>10990</v>
      </c>
      <c r="G422">
        <v>44836</v>
      </c>
      <c r="H422">
        <v>10821</v>
      </c>
      <c r="I422">
        <v>19166</v>
      </c>
      <c r="J422">
        <v>1792</v>
      </c>
      <c r="K422">
        <v>12883</v>
      </c>
      <c r="L422">
        <v>100488</v>
      </c>
      <c r="M422">
        <v>-97</v>
      </c>
      <c r="N422">
        <v>3564</v>
      </c>
      <c r="O422">
        <v>-2242</v>
      </c>
      <c r="P422">
        <v>-1799</v>
      </c>
      <c r="Q422">
        <v>139</v>
      </c>
      <c r="R422">
        <v>2042</v>
      </c>
      <c r="S422">
        <v>1205</v>
      </c>
      <c r="T422">
        <v>191</v>
      </c>
      <c r="U422">
        <v>966</v>
      </c>
      <c r="V422">
        <v>0</v>
      </c>
      <c r="W422">
        <v>0</v>
      </c>
      <c r="X422">
        <v>3</v>
      </c>
      <c r="Y422">
        <v>1238</v>
      </c>
      <c r="Z422">
        <v>-84</v>
      </c>
      <c r="AA422">
        <v>-105</v>
      </c>
      <c r="AB422">
        <v>1272</v>
      </c>
      <c r="AC422">
        <v>0</v>
      </c>
      <c r="AD422">
        <v>1701</v>
      </c>
      <c r="AE422">
        <v>0</v>
      </c>
      <c r="AF422">
        <v>33</v>
      </c>
      <c r="AG422">
        <v>0</v>
      </c>
      <c r="AH422">
        <v>0</v>
      </c>
      <c r="AI422">
        <v>8027</v>
      </c>
      <c r="AJ422">
        <v>0</v>
      </c>
      <c r="AK422">
        <v>0</v>
      </c>
      <c r="AL422">
        <v>0</v>
      </c>
      <c r="AM422">
        <v>0</v>
      </c>
      <c r="AN422">
        <v>0</v>
      </c>
      <c r="AO422">
        <v>0</v>
      </c>
      <c r="AP422">
        <v>0</v>
      </c>
      <c r="AQ422">
        <v>84</v>
      </c>
      <c r="AR422">
        <v>0</v>
      </c>
      <c r="AS422">
        <v>0</v>
      </c>
      <c r="AT422">
        <v>0</v>
      </c>
      <c r="AU422">
        <v>0</v>
      </c>
      <c r="AV422">
        <v>677</v>
      </c>
      <c r="AW422">
        <v>8764</v>
      </c>
      <c r="AX422">
        <v>168</v>
      </c>
      <c r="AY422">
        <v>2194</v>
      </c>
      <c r="AZ422">
        <v>332</v>
      </c>
      <c r="BA422">
        <v>13111</v>
      </c>
      <c r="BB422">
        <v>0</v>
      </c>
      <c r="BC422">
        <v>106</v>
      </c>
      <c r="BD422">
        <v>25352</v>
      </c>
      <c r="BE422">
        <v>3734</v>
      </c>
      <c r="BF422">
        <v>11043</v>
      </c>
      <c r="BG422">
        <v>141</v>
      </c>
      <c r="BH422">
        <v>359</v>
      </c>
      <c r="BI422">
        <v>359</v>
      </c>
      <c r="BJ422">
        <v>2069</v>
      </c>
      <c r="BK422">
        <v>19343</v>
      </c>
      <c r="BL422">
        <v>2597</v>
      </c>
      <c r="BM422">
        <v>1587</v>
      </c>
      <c r="BN422">
        <v>319</v>
      </c>
      <c r="BO422">
        <v>0</v>
      </c>
      <c r="BP422">
        <v>0</v>
      </c>
      <c r="BQ422">
        <v>0</v>
      </c>
      <c r="BR422">
        <v>1620</v>
      </c>
      <c r="BS422">
        <v>36</v>
      </c>
      <c r="BT422">
        <v>9487</v>
      </c>
      <c r="BU422">
        <v>684</v>
      </c>
      <c r="BV422">
        <v>1010</v>
      </c>
      <c r="BW422">
        <v>54388</v>
      </c>
      <c r="BX422">
        <v>678</v>
      </c>
      <c r="BY422">
        <v>252</v>
      </c>
      <c r="BZ422">
        <v>8</v>
      </c>
      <c r="CA422">
        <v>14</v>
      </c>
      <c r="CB422">
        <v>44</v>
      </c>
      <c r="CC422">
        <v>42</v>
      </c>
      <c r="CD422">
        <v>115</v>
      </c>
      <c r="CE422">
        <v>46</v>
      </c>
      <c r="CF422">
        <v>10</v>
      </c>
      <c r="CG422">
        <v>255</v>
      </c>
      <c r="CH422">
        <v>99</v>
      </c>
      <c r="CI422">
        <v>443</v>
      </c>
      <c r="CJ422">
        <v>267</v>
      </c>
      <c r="CK422">
        <v>18</v>
      </c>
      <c r="CL422">
        <v>5</v>
      </c>
      <c r="CM422">
        <v>60</v>
      </c>
      <c r="CN422">
        <v>108</v>
      </c>
      <c r="CO422">
        <v>57</v>
      </c>
      <c r="CP422">
        <v>445</v>
      </c>
      <c r="CQ422">
        <v>1670</v>
      </c>
      <c r="CR422">
        <v>170</v>
      </c>
      <c r="CS422">
        <v>12</v>
      </c>
      <c r="CT422">
        <v>394</v>
      </c>
      <c r="CU422">
        <v>418</v>
      </c>
      <c r="CV422">
        <v>7047</v>
      </c>
      <c r="CW422">
        <v>159</v>
      </c>
      <c r="CX422">
        <v>13</v>
      </c>
      <c r="CY422">
        <v>24</v>
      </c>
      <c r="CZ422">
        <v>0</v>
      </c>
      <c r="DA422">
        <v>0</v>
      </c>
      <c r="DB422">
        <v>0</v>
      </c>
      <c r="DC422">
        <v>144</v>
      </c>
      <c r="DD422">
        <v>0</v>
      </c>
      <c r="DE422">
        <v>0</v>
      </c>
      <c r="DF422">
        <v>4</v>
      </c>
      <c r="DG422">
        <v>0</v>
      </c>
      <c r="DH422">
        <v>0</v>
      </c>
      <c r="DI422">
        <v>0</v>
      </c>
      <c r="DJ422">
        <v>0</v>
      </c>
      <c r="DK422">
        <v>0</v>
      </c>
      <c r="DL422">
        <v>0</v>
      </c>
      <c r="DM422">
        <v>0</v>
      </c>
      <c r="DN422">
        <v>427</v>
      </c>
      <c r="DO422">
        <v>177</v>
      </c>
      <c r="DP422">
        <v>604</v>
      </c>
      <c r="DQ422">
        <v>0</v>
      </c>
      <c r="DR422">
        <v>0</v>
      </c>
      <c r="DS422">
        <v>205</v>
      </c>
      <c r="DT422">
        <v>0</v>
      </c>
      <c r="DU422">
        <v>-100</v>
      </c>
      <c r="DV422">
        <v>952</v>
      </c>
      <c r="DW422">
        <v>0</v>
      </c>
      <c r="DX422">
        <v>1809</v>
      </c>
      <c r="DY422">
        <v>15189</v>
      </c>
      <c r="DZ422">
        <v>169</v>
      </c>
      <c r="EA422">
        <v>592</v>
      </c>
      <c r="EB422">
        <v>0</v>
      </c>
      <c r="EC422">
        <v>0</v>
      </c>
      <c r="ED422">
        <v>30</v>
      </c>
      <c r="EE422">
        <v>0</v>
      </c>
      <c r="EF422">
        <v>2615</v>
      </c>
      <c r="EG422">
        <v>9</v>
      </c>
      <c r="EH422">
        <v>3778</v>
      </c>
      <c r="EI422">
        <v>3451</v>
      </c>
      <c r="EJ422">
        <v>0</v>
      </c>
      <c r="EK422">
        <v>324</v>
      </c>
      <c r="EL422">
        <v>2621</v>
      </c>
      <c r="EM422">
        <v>1258</v>
      </c>
      <c r="EN422">
        <v>7010</v>
      </c>
      <c r="EO422">
        <v>117</v>
      </c>
      <c r="EP422">
        <v>0</v>
      </c>
      <c r="EQ422">
        <v>0</v>
      </c>
      <c r="ER422">
        <v>0</v>
      </c>
      <c r="ES422">
        <v>1268</v>
      </c>
      <c r="ET422">
        <v>1313</v>
      </c>
      <c r="EU422">
        <v>183</v>
      </c>
      <c r="EV422">
        <v>0</v>
      </c>
      <c r="EW422">
        <v>0</v>
      </c>
      <c r="EX422">
        <v>0</v>
      </c>
      <c r="EY422">
        <v>0</v>
      </c>
      <c r="EZ422">
        <v>0</v>
      </c>
      <c r="FA422">
        <v>0</v>
      </c>
      <c r="FB422">
        <v>137</v>
      </c>
      <c r="FC422">
        <v>246</v>
      </c>
      <c r="FD422">
        <v>2465</v>
      </c>
      <c r="FE422">
        <v>0</v>
      </c>
      <c r="FF422">
        <v>0</v>
      </c>
      <c r="FG422">
        <v>1240</v>
      </c>
      <c r="FH422">
        <v>4271</v>
      </c>
      <c r="FI422">
        <v>-33</v>
      </c>
      <c r="FJ422">
        <v>28</v>
      </c>
      <c r="FK422">
        <v>0</v>
      </c>
      <c r="FL422">
        <v>0</v>
      </c>
      <c r="FM422">
        <v>1683</v>
      </c>
      <c r="FN422">
        <v>0</v>
      </c>
      <c r="FO422">
        <v>0</v>
      </c>
      <c r="FP422">
        <v>0</v>
      </c>
      <c r="FQ422">
        <v>0</v>
      </c>
      <c r="FR422">
        <v>19</v>
      </c>
      <c r="FS422">
        <v>0</v>
      </c>
      <c r="FT422">
        <v>114</v>
      </c>
      <c r="FU422">
        <v>0</v>
      </c>
      <c r="FV422">
        <v>474</v>
      </c>
      <c r="FW422">
        <v>121</v>
      </c>
      <c r="FX422">
        <v>0</v>
      </c>
      <c r="FY422">
        <v>0</v>
      </c>
      <c r="FZ422">
        <v>172</v>
      </c>
      <c r="GA422">
        <v>0</v>
      </c>
      <c r="GB422">
        <v>0</v>
      </c>
      <c r="GC422">
        <v>0</v>
      </c>
      <c r="GD422">
        <v>0</v>
      </c>
      <c r="GE422">
        <v>3560</v>
      </c>
      <c r="GF422">
        <v>8062</v>
      </c>
      <c r="GG422">
        <v>0</v>
      </c>
      <c r="GH422">
        <v>1815</v>
      </c>
      <c r="GI422">
        <v>0</v>
      </c>
      <c r="GJ422">
        <v>0</v>
      </c>
      <c r="GK422">
        <v>16015</v>
      </c>
      <c r="GL422">
        <v>70</v>
      </c>
      <c r="GM422">
        <v>829</v>
      </c>
      <c r="GN422">
        <v>0</v>
      </c>
      <c r="GO422">
        <v>1006</v>
      </c>
      <c r="GP422">
        <v>0</v>
      </c>
      <c r="GQ422">
        <v>577</v>
      </c>
      <c r="GR422">
        <v>0</v>
      </c>
      <c r="GS422">
        <v>323</v>
      </c>
      <c r="GT422">
        <v>112</v>
      </c>
      <c r="GU422">
        <v>2917</v>
      </c>
      <c r="GV422">
        <v>23203</v>
      </c>
      <c r="GW422">
        <v>0</v>
      </c>
      <c r="GX422">
        <v>0</v>
      </c>
      <c r="GY422">
        <v>0</v>
      </c>
      <c r="GZ422">
        <v>0</v>
      </c>
      <c r="HA422">
        <v>0</v>
      </c>
      <c r="HB422">
        <v>9608</v>
      </c>
      <c r="HC422">
        <v>100</v>
      </c>
      <c r="HD422">
        <v>0</v>
      </c>
      <c r="HE422">
        <v>0</v>
      </c>
      <c r="HF422">
        <v>21</v>
      </c>
      <c r="HG422">
        <v>-3</v>
      </c>
      <c r="HH422">
        <v>0</v>
      </c>
      <c r="HI422">
        <v>-206</v>
      </c>
      <c r="HJ422">
        <v>94</v>
      </c>
      <c r="HK422">
        <v>361</v>
      </c>
      <c r="HL422">
        <v>83</v>
      </c>
      <c r="HM422">
        <v>-287</v>
      </c>
      <c r="HN422">
        <v>0</v>
      </c>
      <c r="HO422">
        <v>0</v>
      </c>
      <c r="HP422">
        <v>314</v>
      </c>
      <c r="HQ422">
        <v>0</v>
      </c>
      <c r="HR422">
        <v>5</v>
      </c>
      <c r="HS422">
        <v>0</v>
      </c>
      <c r="HT422">
        <v>8840</v>
      </c>
      <c r="HU422">
        <v>13520</v>
      </c>
      <c r="HV422">
        <v>32450</v>
      </c>
      <c r="HW422">
        <v>0</v>
      </c>
      <c r="HX422">
        <v>0</v>
      </c>
      <c r="HY422">
        <v>0</v>
      </c>
      <c r="HZ422">
        <v>0</v>
      </c>
      <c r="IA422">
        <v>16310</v>
      </c>
      <c r="IB422">
        <v>0</v>
      </c>
      <c r="IC422">
        <v>100488</v>
      </c>
      <c r="ID422">
        <v>8027</v>
      </c>
      <c r="IE422">
        <v>25352</v>
      </c>
      <c r="IF422">
        <v>54388</v>
      </c>
      <c r="IG422">
        <v>7047</v>
      </c>
      <c r="IH422">
        <v>1809</v>
      </c>
      <c r="II422">
        <v>4271</v>
      </c>
      <c r="IJ422">
        <v>16015</v>
      </c>
      <c r="IK422">
        <v>2917</v>
      </c>
      <c r="IL422">
        <v>0</v>
      </c>
      <c r="IM422">
        <v>0</v>
      </c>
      <c r="IN422">
        <v>32450</v>
      </c>
      <c r="IO422">
        <v>0</v>
      </c>
      <c r="IP422">
        <v>252764</v>
      </c>
      <c r="IQ422">
        <v>9932</v>
      </c>
      <c r="IR422">
        <v>0</v>
      </c>
      <c r="IS422">
        <v>5526</v>
      </c>
      <c r="IT422">
        <v>0</v>
      </c>
      <c r="IU422">
        <v>0</v>
      </c>
      <c r="IV422">
        <v>5017</v>
      </c>
      <c r="IW422">
        <v>0</v>
      </c>
      <c r="IX422">
        <v>0</v>
      </c>
      <c r="IY422">
        <v>0</v>
      </c>
      <c r="IZ422">
        <v>412</v>
      </c>
      <c r="JA422">
        <v>0</v>
      </c>
      <c r="JB422">
        <v>0</v>
      </c>
      <c r="JC422">
        <v>0</v>
      </c>
      <c r="JD422">
        <v>0</v>
      </c>
      <c r="JE422">
        <v>-426</v>
      </c>
      <c r="JF422">
        <v>0</v>
      </c>
      <c r="JG422">
        <v>273225</v>
      </c>
      <c r="JH422">
        <v>172</v>
      </c>
      <c r="JI422">
        <v>0</v>
      </c>
      <c r="JJ422">
        <v>0</v>
      </c>
      <c r="JK422">
        <v>0</v>
      </c>
      <c r="JL422">
        <v>0</v>
      </c>
      <c r="JM422">
        <v>302</v>
      </c>
      <c r="JN422">
        <v>0</v>
      </c>
      <c r="JO422">
        <v>0</v>
      </c>
      <c r="JP422">
        <v>6685</v>
      </c>
      <c r="JQ422">
        <v>0</v>
      </c>
      <c r="JR422">
        <v>280384</v>
      </c>
      <c r="JS422">
        <v>0</v>
      </c>
      <c r="JT422">
        <v>0</v>
      </c>
      <c r="JU422">
        <v>0</v>
      </c>
      <c r="JV422">
        <v>0</v>
      </c>
      <c r="JW422">
        <v>-17327</v>
      </c>
      <c r="JX422">
        <v>0</v>
      </c>
      <c r="JY422">
        <v>-6290</v>
      </c>
      <c r="JZ422">
        <v>0</v>
      </c>
      <c r="KA422">
        <v>0</v>
      </c>
      <c r="KB422">
        <v>0</v>
      </c>
      <c r="KC422">
        <v>256767</v>
      </c>
      <c r="KD422">
        <v>0</v>
      </c>
      <c r="KE422">
        <v>-118227</v>
      </c>
      <c r="KF422">
        <v>138540</v>
      </c>
      <c r="KG422">
        <v>0</v>
      </c>
      <c r="KH422">
        <v>1607</v>
      </c>
      <c r="KI422">
        <v>0</v>
      </c>
      <c r="KJ422">
        <v>-64</v>
      </c>
      <c r="KK422">
        <v>14382</v>
      </c>
      <c r="KL422">
        <v>0</v>
      </c>
      <c r="KM422">
        <v>0</v>
      </c>
      <c r="KN422">
        <v>0</v>
      </c>
      <c r="KO422">
        <v>-16901</v>
      </c>
      <c r="KP422">
        <v>-500</v>
      </c>
      <c r="KQ422">
        <v>2117</v>
      </c>
      <c r="KR422">
        <v>123769</v>
      </c>
      <c r="KS422">
        <v>5347</v>
      </c>
      <c r="KT422">
        <v>0</v>
      </c>
      <c r="KU422">
        <v>888</v>
      </c>
      <c r="KV422">
        <v>127808</v>
      </c>
      <c r="KW422">
        <v>13236</v>
      </c>
      <c r="KX422">
        <v>6954</v>
      </c>
      <c r="KY422">
        <v>0</v>
      </c>
      <c r="KZ422">
        <v>824</v>
      </c>
      <c r="LA422">
        <v>142190</v>
      </c>
      <c r="LB422">
        <v>13236</v>
      </c>
      <c r="LC422">
        <v>0</v>
      </c>
      <c r="LD422">
        <v>15286</v>
      </c>
      <c r="LE422">
        <v>0</v>
      </c>
      <c r="LF422">
        <v>0</v>
      </c>
      <c r="LG422">
        <v>0</v>
      </c>
      <c r="LH422">
        <v>0</v>
      </c>
      <c r="LI422">
        <v>15286</v>
      </c>
      <c r="LJ422">
        <v>1834</v>
      </c>
      <c r="LK422">
        <v>2335</v>
      </c>
      <c r="LL422">
        <v>4169</v>
      </c>
      <c r="LM422">
        <v>0</v>
      </c>
      <c r="LN422">
        <v>0</v>
      </c>
      <c r="LO422">
        <v>0</v>
      </c>
      <c r="LP422">
        <v>18604</v>
      </c>
      <c r="LQ422">
        <v>18559</v>
      </c>
      <c r="LR422">
        <v>45</v>
      </c>
      <c r="LS422">
        <v>1268</v>
      </c>
      <c r="LT422">
        <v>1313</v>
      </c>
      <c r="LU422">
        <v>100488</v>
      </c>
      <c r="LV422">
        <v>8027</v>
      </c>
      <c r="LW422">
        <v>25352</v>
      </c>
      <c r="LX422">
        <v>54388</v>
      </c>
      <c r="LY422">
        <v>7047</v>
      </c>
      <c r="LZ422">
        <v>1809</v>
      </c>
      <c r="MA422">
        <v>4271</v>
      </c>
      <c r="MB422">
        <v>16015</v>
      </c>
      <c r="MC422">
        <v>2917</v>
      </c>
      <c r="MD422">
        <v>0</v>
      </c>
      <c r="ME422">
        <v>0</v>
      </c>
      <c r="MF422">
        <v>32450</v>
      </c>
      <c r="MG422">
        <v>0</v>
      </c>
      <c r="MH422">
        <v>252764</v>
      </c>
      <c r="MI422">
        <v>0</v>
      </c>
      <c r="MJ422">
        <v>0</v>
      </c>
      <c r="MK422">
        <v>0</v>
      </c>
      <c r="ML422">
        <v>0</v>
      </c>
      <c r="MM422">
        <v>0</v>
      </c>
      <c r="MN422">
        <v>0</v>
      </c>
      <c r="MO422">
        <v>0</v>
      </c>
      <c r="MP422">
        <v>0</v>
      </c>
      <c r="MQ422">
        <v>0</v>
      </c>
      <c r="MR422">
        <v>0</v>
      </c>
      <c r="MS422">
        <v>0</v>
      </c>
      <c r="MT422">
        <v>0</v>
      </c>
      <c r="MU422">
        <v>0</v>
      </c>
      <c r="MV422">
        <v>0</v>
      </c>
      <c r="MW422">
        <v>0</v>
      </c>
      <c r="MX422">
        <v>0</v>
      </c>
      <c r="MY422">
        <v>0</v>
      </c>
      <c r="MZ422">
        <v>0</v>
      </c>
      <c r="NA422">
        <v>0</v>
      </c>
      <c r="NB422">
        <v>0</v>
      </c>
      <c r="NC422">
        <v>0</v>
      </c>
      <c r="ND422">
        <v>0</v>
      </c>
      <c r="NE422">
        <v>0</v>
      </c>
      <c r="NF422">
        <v>0</v>
      </c>
      <c r="NG422">
        <v>0</v>
      </c>
      <c r="NH422">
        <v>0</v>
      </c>
      <c r="NI422">
        <v>0</v>
      </c>
      <c r="NJ422">
        <v>0</v>
      </c>
      <c r="NK422">
        <v>0</v>
      </c>
      <c r="NL422">
        <v>0</v>
      </c>
      <c r="NM422">
        <v>0</v>
      </c>
      <c r="NN422">
        <v>0</v>
      </c>
      <c r="NO422">
        <v>0</v>
      </c>
      <c r="NP422">
        <v>0</v>
      </c>
      <c r="NQ422">
        <v>0</v>
      </c>
      <c r="NR422">
        <v>0</v>
      </c>
      <c r="NS422">
        <v>0</v>
      </c>
      <c r="NT422">
        <v>0</v>
      </c>
      <c r="NU422">
        <v>0</v>
      </c>
      <c r="NV422">
        <v>0</v>
      </c>
      <c r="NW422">
        <v>0</v>
      </c>
      <c r="NX422">
        <v>0</v>
      </c>
      <c r="NY422">
        <v>0</v>
      </c>
      <c r="NZ422">
        <v>0</v>
      </c>
      <c r="OA422">
        <v>0</v>
      </c>
      <c r="OB422">
        <v>0</v>
      </c>
      <c r="OC422">
        <v>0</v>
      </c>
      <c r="OD422">
        <v>0</v>
      </c>
      <c r="OE422">
        <v>0</v>
      </c>
      <c r="OF422">
        <v>0</v>
      </c>
      <c r="OG422">
        <v>0</v>
      </c>
      <c r="OH422">
        <v>0</v>
      </c>
      <c r="OI422">
        <v>0</v>
      </c>
      <c r="OJ422">
        <v>0</v>
      </c>
      <c r="OK422">
        <v>0</v>
      </c>
      <c r="OL422">
        <v>0</v>
      </c>
      <c r="OM422">
        <v>0</v>
      </c>
      <c r="ON422">
        <v>0</v>
      </c>
    </row>
    <row r="423" spans="1:404" x14ac:dyDescent="0.25">
      <c r="A423" t="s">
        <v>1338</v>
      </c>
      <c r="B423" t="s">
        <v>1339</v>
      </c>
      <c r="C423" t="s">
        <v>1337</v>
      </c>
      <c r="E423" t="s">
        <v>97</v>
      </c>
      <c r="F423">
        <v>15748</v>
      </c>
      <c r="G423">
        <v>69170</v>
      </c>
      <c r="H423">
        <v>27337</v>
      </c>
      <c r="I423">
        <v>24681</v>
      </c>
      <c r="J423">
        <v>2742</v>
      </c>
      <c r="K423">
        <v>26347</v>
      </c>
      <c r="L423">
        <v>166025</v>
      </c>
      <c r="M423">
        <v>875</v>
      </c>
      <c r="N423">
        <v>11</v>
      </c>
      <c r="O423">
        <v>70</v>
      </c>
      <c r="P423">
        <v>146</v>
      </c>
      <c r="Q423">
        <v>265</v>
      </c>
      <c r="R423">
        <v>964</v>
      </c>
      <c r="S423">
        <v>1473</v>
      </c>
      <c r="T423">
        <v>318</v>
      </c>
      <c r="U423">
        <v>3099</v>
      </c>
      <c r="V423">
        <v>0</v>
      </c>
      <c r="W423">
        <v>-334</v>
      </c>
      <c r="X423">
        <v>440</v>
      </c>
      <c r="Y423">
        <v>1089</v>
      </c>
      <c r="Z423">
        <v>-374</v>
      </c>
      <c r="AA423">
        <v>-198</v>
      </c>
      <c r="AB423">
        <v>0</v>
      </c>
      <c r="AC423">
        <v>0</v>
      </c>
      <c r="AD423">
        <v>0</v>
      </c>
      <c r="AE423">
        <v>0</v>
      </c>
      <c r="AF423">
        <v>0</v>
      </c>
      <c r="AG423">
        <v>14</v>
      </c>
      <c r="AH423">
        <v>0</v>
      </c>
      <c r="AI423">
        <v>7858</v>
      </c>
      <c r="AJ423">
        <v>0</v>
      </c>
      <c r="AK423">
        <v>0</v>
      </c>
      <c r="AL423">
        <v>0</v>
      </c>
      <c r="AM423">
        <v>0</v>
      </c>
      <c r="AN423">
        <v>0</v>
      </c>
      <c r="AO423">
        <v>0</v>
      </c>
      <c r="AP423">
        <v>0</v>
      </c>
      <c r="AQ423">
        <v>397</v>
      </c>
      <c r="AR423">
        <v>409</v>
      </c>
      <c r="AS423">
        <v>0</v>
      </c>
      <c r="AT423">
        <v>0</v>
      </c>
      <c r="AU423">
        <v>0</v>
      </c>
      <c r="AV423">
        <v>2393</v>
      </c>
      <c r="AW423">
        <v>32835</v>
      </c>
      <c r="AX423">
        <v>177</v>
      </c>
      <c r="AY423">
        <v>7879</v>
      </c>
      <c r="AZ423">
        <v>2325</v>
      </c>
      <c r="BA423">
        <v>14536</v>
      </c>
      <c r="BB423">
        <v>375</v>
      </c>
      <c r="BC423">
        <v>1824</v>
      </c>
      <c r="BD423">
        <v>62344</v>
      </c>
      <c r="BE423">
        <v>5629</v>
      </c>
      <c r="BF423">
        <v>15286</v>
      </c>
      <c r="BG423">
        <v>0</v>
      </c>
      <c r="BH423">
        <v>394</v>
      </c>
      <c r="BI423">
        <v>0</v>
      </c>
      <c r="BJ423">
        <v>5165</v>
      </c>
      <c r="BK423">
        <v>33375</v>
      </c>
      <c r="BL423">
        <v>-89</v>
      </c>
      <c r="BM423">
        <v>5846</v>
      </c>
      <c r="BN423">
        <v>59</v>
      </c>
      <c r="BO423">
        <v>16</v>
      </c>
      <c r="BP423">
        <v>0</v>
      </c>
      <c r="BQ423">
        <v>0</v>
      </c>
      <c r="BR423">
        <v>430</v>
      </c>
      <c r="BS423">
        <v>434</v>
      </c>
      <c r="BT423">
        <v>10028</v>
      </c>
      <c r="BU423">
        <v>483</v>
      </c>
      <c r="BV423">
        <v>6613</v>
      </c>
      <c r="BW423">
        <v>91401</v>
      </c>
      <c r="BX423">
        <v>1059</v>
      </c>
      <c r="BY423">
        <v>1142</v>
      </c>
      <c r="BZ423">
        <v>239</v>
      </c>
      <c r="CA423">
        <v>147</v>
      </c>
      <c r="CB423">
        <v>268</v>
      </c>
      <c r="CC423">
        <v>150</v>
      </c>
      <c r="CD423">
        <v>130</v>
      </c>
      <c r="CE423">
        <v>169</v>
      </c>
      <c r="CF423">
        <v>34</v>
      </c>
      <c r="CG423">
        <v>144</v>
      </c>
      <c r="CH423">
        <v>119</v>
      </c>
      <c r="CI423">
        <v>1222</v>
      </c>
      <c r="CJ423">
        <v>1222</v>
      </c>
      <c r="CK423">
        <v>714</v>
      </c>
      <c r="CL423">
        <v>757</v>
      </c>
      <c r="CM423">
        <v>397</v>
      </c>
      <c r="CN423">
        <v>54</v>
      </c>
      <c r="CO423">
        <v>1</v>
      </c>
      <c r="CP423">
        <v>1079</v>
      </c>
      <c r="CQ423">
        <v>3229</v>
      </c>
      <c r="CR423">
        <v>1573</v>
      </c>
      <c r="CS423">
        <v>0</v>
      </c>
      <c r="CT423">
        <v>276</v>
      </c>
      <c r="CU423">
        <v>3901</v>
      </c>
      <c r="CV423">
        <v>26774</v>
      </c>
      <c r="CW423">
        <v>0</v>
      </c>
      <c r="CX423">
        <v>0</v>
      </c>
      <c r="CY423">
        <v>0</v>
      </c>
      <c r="CZ423">
        <v>0</v>
      </c>
      <c r="DA423">
        <v>0</v>
      </c>
      <c r="DB423">
        <v>0</v>
      </c>
      <c r="DC423">
        <v>95</v>
      </c>
      <c r="DD423">
        <v>0</v>
      </c>
      <c r="DE423">
        <v>51</v>
      </c>
      <c r="DF423">
        <v>639</v>
      </c>
      <c r="DG423">
        <v>0</v>
      </c>
      <c r="DH423">
        <v>0</v>
      </c>
      <c r="DI423">
        <v>0</v>
      </c>
      <c r="DJ423">
        <v>511</v>
      </c>
      <c r="DK423">
        <v>0</v>
      </c>
      <c r="DL423">
        <v>0</v>
      </c>
      <c r="DM423">
        <v>0</v>
      </c>
      <c r="DN423">
        <v>523</v>
      </c>
      <c r="DO423">
        <v>760</v>
      </c>
      <c r="DP423">
        <v>1794</v>
      </c>
      <c r="DQ423">
        <v>10</v>
      </c>
      <c r="DR423">
        <v>0</v>
      </c>
      <c r="DS423">
        <v>802</v>
      </c>
      <c r="DT423">
        <v>1868</v>
      </c>
      <c r="DU423">
        <v>-7</v>
      </c>
      <c r="DV423">
        <v>2993</v>
      </c>
      <c r="DW423">
        <v>0</v>
      </c>
      <c r="DX423">
        <v>8245</v>
      </c>
      <c r="DY423">
        <v>89664</v>
      </c>
      <c r="DZ423">
        <v>679</v>
      </c>
      <c r="EA423">
        <v>5980</v>
      </c>
      <c r="EB423">
        <v>0</v>
      </c>
      <c r="EC423">
        <v>0</v>
      </c>
      <c r="ED423">
        <v>0</v>
      </c>
      <c r="EE423">
        <v>0</v>
      </c>
      <c r="EF423">
        <v>0</v>
      </c>
      <c r="EG423">
        <v>0</v>
      </c>
      <c r="EH423">
        <v>26710</v>
      </c>
      <c r="EI423">
        <v>20506</v>
      </c>
      <c r="EJ423">
        <v>0</v>
      </c>
      <c r="EK423">
        <v>713</v>
      </c>
      <c r="EL423">
        <v>15078</v>
      </c>
      <c r="EM423">
        <v>0</v>
      </c>
      <c r="EN423">
        <v>0</v>
      </c>
      <c r="EO423">
        <v>0</v>
      </c>
      <c r="EP423">
        <v>0</v>
      </c>
      <c r="EQ423">
        <v>32689</v>
      </c>
      <c r="ER423">
        <v>627</v>
      </c>
      <c r="ES423">
        <v>7011</v>
      </c>
      <c r="ET423">
        <v>7011</v>
      </c>
      <c r="EU423">
        <v>277</v>
      </c>
      <c r="EV423">
        <v>720</v>
      </c>
      <c r="EW423">
        <v>0</v>
      </c>
      <c r="EX423">
        <v>1496</v>
      </c>
      <c r="EY423">
        <v>1225</v>
      </c>
      <c r="EZ423">
        <v>993</v>
      </c>
      <c r="FA423">
        <v>0</v>
      </c>
      <c r="FB423">
        <v>62</v>
      </c>
      <c r="FC423">
        <v>5597</v>
      </c>
      <c r="FD423">
        <v>3395</v>
      </c>
      <c r="FE423">
        <v>-8</v>
      </c>
      <c r="FF423">
        <v>0</v>
      </c>
      <c r="FG423">
        <v>2689</v>
      </c>
      <c r="FH423">
        <v>16446</v>
      </c>
      <c r="FI423">
        <v>-773</v>
      </c>
      <c r="FJ423">
        <v>216</v>
      </c>
      <c r="FK423">
        <v>105</v>
      </c>
      <c r="FL423">
        <v>585</v>
      </c>
      <c r="FM423">
        <v>1114</v>
      </c>
      <c r="FN423">
        <v>0</v>
      </c>
      <c r="FO423">
        <v>122</v>
      </c>
      <c r="FP423">
        <v>0</v>
      </c>
      <c r="FQ423">
        <v>0</v>
      </c>
      <c r="FR423">
        <v>-37</v>
      </c>
      <c r="FS423">
        <v>302</v>
      </c>
      <c r="FT423">
        <v>325</v>
      </c>
      <c r="FU423">
        <v>-161</v>
      </c>
      <c r="FV423">
        <v>972</v>
      </c>
      <c r="FW423">
        <v>0</v>
      </c>
      <c r="FX423">
        <v>0</v>
      </c>
      <c r="FY423">
        <v>0</v>
      </c>
      <c r="FZ423">
        <v>0</v>
      </c>
      <c r="GA423">
        <v>0</v>
      </c>
      <c r="GB423">
        <v>0</v>
      </c>
      <c r="GC423">
        <v>0</v>
      </c>
      <c r="GD423">
        <v>2527</v>
      </c>
      <c r="GE423">
        <v>1685</v>
      </c>
      <c r="GF423">
        <v>6355</v>
      </c>
      <c r="GG423">
        <v>13</v>
      </c>
      <c r="GH423">
        <v>3193</v>
      </c>
      <c r="GI423">
        <v>0</v>
      </c>
      <c r="GJ423">
        <v>0</v>
      </c>
      <c r="GK423">
        <v>16543</v>
      </c>
      <c r="GL423">
        <v>575</v>
      </c>
      <c r="GM423">
        <v>549</v>
      </c>
      <c r="GN423">
        <v>30</v>
      </c>
      <c r="GO423">
        <v>467</v>
      </c>
      <c r="GP423">
        <v>157</v>
      </c>
      <c r="GQ423">
        <v>4566</v>
      </c>
      <c r="GR423">
        <v>0</v>
      </c>
      <c r="GS423">
        <v>5398</v>
      </c>
      <c r="GT423">
        <v>135</v>
      </c>
      <c r="GU423">
        <v>11877</v>
      </c>
      <c r="GV423">
        <v>44866</v>
      </c>
      <c r="GW423">
        <v>0</v>
      </c>
      <c r="GX423">
        <v>0</v>
      </c>
      <c r="GY423">
        <v>0</v>
      </c>
      <c r="GZ423">
        <v>0</v>
      </c>
      <c r="HA423">
        <v>0</v>
      </c>
      <c r="HB423">
        <v>6828</v>
      </c>
      <c r="HC423">
        <v>188</v>
      </c>
      <c r="HD423">
        <v>0</v>
      </c>
      <c r="HE423">
        <v>67</v>
      </c>
      <c r="HF423">
        <v>1943</v>
      </c>
      <c r="HG423">
        <v>436</v>
      </c>
      <c r="HH423">
        <v>0</v>
      </c>
      <c r="HI423">
        <v>68</v>
      </c>
      <c r="HJ423">
        <v>427</v>
      </c>
      <c r="HK423">
        <v>206</v>
      </c>
      <c r="HL423">
        <v>116</v>
      </c>
      <c r="HM423">
        <v>-83</v>
      </c>
      <c r="HN423">
        <v>0</v>
      </c>
      <c r="HO423">
        <v>563</v>
      </c>
      <c r="HP423">
        <v>555</v>
      </c>
      <c r="HQ423">
        <v>0</v>
      </c>
      <c r="HR423">
        <v>2362</v>
      </c>
      <c r="HS423">
        <v>332</v>
      </c>
      <c r="HT423">
        <v>561</v>
      </c>
      <c r="HU423">
        <v>-2978</v>
      </c>
      <c r="HV423">
        <v>11591</v>
      </c>
      <c r="HW423">
        <v>1385</v>
      </c>
      <c r="HX423">
        <v>50686</v>
      </c>
      <c r="HY423">
        <v>0</v>
      </c>
      <c r="HZ423">
        <v>5474</v>
      </c>
      <c r="IA423">
        <v>11140</v>
      </c>
      <c r="IB423">
        <v>465</v>
      </c>
      <c r="IC423">
        <v>166025</v>
      </c>
      <c r="ID423">
        <v>7858</v>
      </c>
      <c r="IE423">
        <v>62344</v>
      </c>
      <c r="IF423">
        <v>91401</v>
      </c>
      <c r="IG423">
        <v>26774</v>
      </c>
      <c r="IH423">
        <v>8245</v>
      </c>
      <c r="II423">
        <v>16446</v>
      </c>
      <c r="IJ423">
        <v>16543</v>
      </c>
      <c r="IK423">
        <v>11877</v>
      </c>
      <c r="IL423">
        <v>0</v>
      </c>
      <c r="IM423">
        <v>0</v>
      </c>
      <c r="IN423">
        <v>11591</v>
      </c>
      <c r="IO423">
        <v>465</v>
      </c>
      <c r="IP423">
        <v>419569</v>
      </c>
      <c r="IQ423">
        <v>32624</v>
      </c>
      <c r="IR423">
        <v>716</v>
      </c>
      <c r="IS423">
        <v>30643</v>
      </c>
      <c r="IT423">
        <v>0</v>
      </c>
      <c r="IU423">
        <v>150</v>
      </c>
      <c r="IV423">
        <v>0</v>
      </c>
      <c r="IW423">
        <v>10316</v>
      </c>
      <c r="IX423">
        <v>0</v>
      </c>
      <c r="IY423">
        <v>0</v>
      </c>
      <c r="IZ423">
        <v>1170</v>
      </c>
      <c r="JA423">
        <v>-4742</v>
      </c>
      <c r="JB423">
        <v>6466</v>
      </c>
      <c r="JC423">
        <v>2624</v>
      </c>
      <c r="JD423">
        <v>-1589</v>
      </c>
      <c r="JE423">
        <v>0</v>
      </c>
      <c r="JF423">
        <v>0</v>
      </c>
      <c r="JG423">
        <v>497947</v>
      </c>
      <c r="JH423">
        <v>76</v>
      </c>
      <c r="JI423">
        <v>2086</v>
      </c>
      <c r="JJ423">
        <v>0</v>
      </c>
      <c r="JK423">
        <v>0</v>
      </c>
      <c r="JL423">
        <v>0</v>
      </c>
      <c r="JM423">
        <v>0</v>
      </c>
      <c r="JN423">
        <v>18338</v>
      </c>
      <c r="JO423">
        <v>0</v>
      </c>
      <c r="JP423">
        <v>29442</v>
      </c>
      <c r="JQ423">
        <v>-10079</v>
      </c>
      <c r="JR423">
        <v>537810</v>
      </c>
      <c r="JS423">
        <v>-1246</v>
      </c>
      <c r="JT423">
        <v>0</v>
      </c>
      <c r="JU423">
        <v>0</v>
      </c>
      <c r="JV423">
        <v>0</v>
      </c>
      <c r="JW423">
        <v>-71872</v>
      </c>
      <c r="JX423">
        <v>0</v>
      </c>
      <c r="JY423">
        <v>0</v>
      </c>
      <c r="JZ423">
        <v>0</v>
      </c>
      <c r="KA423">
        <v>0</v>
      </c>
      <c r="KB423">
        <v>0</v>
      </c>
      <c r="KC423">
        <v>464692</v>
      </c>
      <c r="KD423">
        <v>0</v>
      </c>
      <c r="KE423">
        <v>-244858</v>
      </c>
      <c r="KF423">
        <v>219834</v>
      </c>
      <c r="KG423">
        <v>0</v>
      </c>
      <c r="KH423">
        <v>2413</v>
      </c>
      <c r="KI423">
        <v>-53</v>
      </c>
      <c r="KJ423">
        <v>3824</v>
      </c>
      <c r="KK423">
        <v>-1849</v>
      </c>
      <c r="KL423">
        <v>0</v>
      </c>
      <c r="KM423">
        <v>0</v>
      </c>
      <c r="KN423">
        <v>0</v>
      </c>
      <c r="KO423">
        <v>-74777</v>
      </c>
      <c r="KP423">
        <v>2965</v>
      </c>
      <c r="KQ423">
        <v>0</v>
      </c>
      <c r="KR423">
        <v>112251</v>
      </c>
      <c r="KS423">
        <v>13200</v>
      </c>
      <c r="KT423">
        <v>-330</v>
      </c>
      <c r="KU423">
        <v>4111</v>
      </c>
      <c r="KV423">
        <v>87297</v>
      </c>
      <c r="KW423">
        <v>13651</v>
      </c>
      <c r="KX423">
        <v>15613</v>
      </c>
      <c r="KY423">
        <v>-383</v>
      </c>
      <c r="KZ423">
        <v>7935</v>
      </c>
      <c r="LA423">
        <v>85448</v>
      </c>
      <c r="LB423">
        <v>13651</v>
      </c>
      <c r="LC423">
        <v>0</v>
      </c>
      <c r="LD423">
        <v>21618</v>
      </c>
      <c r="LE423">
        <v>0</v>
      </c>
      <c r="LF423">
        <v>-50922</v>
      </c>
      <c r="LG423">
        <v>-29215</v>
      </c>
      <c r="LH423">
        <v>14204</v>
      </c>
      <c r="LI423">
        <v>-43694</v>
      </c>
      <c r="LJ423">
        <v>10061</v>
      </c>
      <c r="LK423">
        <v>13440</v>
      </c>
      <c r="LL423">
        <v>23501</v>
      </c>
      <c r="LM423">
        <v>0</v>
      </c>
      <c r="LN423">
        <v>0</v>
      </c>
      <c r="LO423">
        <v>0</v>
      </c>
      <c r="LP423">
        <v>96323</v>
      </c>
      <c r="LQ423">
        <v>96323</v>
      </c>
      <c r="LR423">
        <v>0</v>
      </c>
      <c r="LS423">
        <v>7011</v>
      </c>
      <c r="LT423">
        <v>7011</v>
      </c>
      <c r="LU423">
        <v>166025</v>
      </c>
      <c r="LV423">
        <v>7858</v>
      </c>
      <c r="LW423">
        <v>62344</v>
      </c>
      <c r="LX423">
        <v>91401</v>
      </c>
      <c r="LY423">
        <v>26774</v>
      </c>
      <c r="LZ423">
        <v>8245</v>
      </c>
      <c r="MA423">
        <v>16446</v>
      </c>
      <c r="MB423">
        <v>16543</v>
      </c>
      <c r="MC423">
        <v>11877</v>
      </c>
      <c r="MD423">
        <v>0</v>
      </c>
      <c r="ME423">
        <v>0</v>
      </c>
      <c r="MF423">
        <v>11591</v>
      </c>
      <c r="MG423">
        <v>465</v>
      </c>
      <c r="MH423">
        <v>419569</v>
      </c>
      <c r="MI423">
        <v>0</v>
      </c>
      <c r="MJ423">
        <v>0</v>
      </c>
      <c r="MK423">
        <v>0</v>
      </c>
      <c r="ML423">
        <v>0</v>
      </c>
      <c r="MM423">
        <v>0</v>
      </c>
      <c r="MN423">
        <v>0</v>
      </c>
      <c r="MO423">
        <v>0</v>
      </c>
      <c r="MP423">
        <v>0</v>
      </c>
      <c r="MQ423">
        <v>205</v>
      </c>
      <c r="MR423">
        <v>0</v>
      </c>
      <c r="MS423">
        <v>0</v>
      </c>
      <c r="MT423">
        <v>0</v>
      </c>
      <c r="MU423">
        <v>0</v>
      </c>
      <c r="MV423">
        <v>0</v>
      </c>
      <c r="MW423">
        <v>0</v>
      </c>
      <c r="MX423">
        <v>-455</v>
      </c>
      <c r="MY423">
        <v>-2207</v>
      </c>
      <c r="MZ423">
        <v>339</v>
      </c>
      <c r="NA423">
        <v>-2118</v>
      </c>
      <c r="NB423">
        <v>-2624</v>
      </c>
      <c r="NC423">
        <v>-4742</v>
      </c>
      <c r="ND423">
        <v>0</v>
      </c>
      <c r="NE423">
        <v>0</v>
      </c>
      <c r="NF423">
        <v>0</v>
      </c>
      <c r="NG423">
        <v>0</v>
      </c>
      <c r="NH423">
        <v>0</v>
      </c>
      <c r="NI423">
        <v>0</v>
      </c>
      <c r="NJ423">
        <v>0</v>
      </c>
      <c r="NK423">
        <v>0</v>
      </c>
      <c r="NL423">
        <v>0</v>
      </c>
      <c r="NM423">
        <v>0</v>
      </c>
      <c r="NN423">
        <v>764</v>
      </c>
      <c r="NO423">
        <v>0</v>
      </c>
      <c r="NP423">
        <v>451</v>
      </c>
      <c r="NQ423">
        <v>2829</v>
      </c>
      <c r="NR423">
        <v>402</v>
      </c>
      <c r="NS423">
        <v>0</v>
      </c>
      <c r="NT423">
        <v>431</v>
      </c>
      <c r="NU423">
        <v>0</v>
      </c>
      <c r="NV423">
        <v>0</v>
      </c>
      <c r="NW423">
        <v>0</v>
      </c>
      <c r="NX423">
        <v>0</v>
      </c>
      <c r="NY423">
        <v>0</v>
      </c>
      <c r="NZ423">
        <v>4877</v>
      </c>
      <c r="OA423">
        <v>1589</v>
      </c>
      <c r="OB423">
        <v>6466</v>
      </c>
      <c r="OC423">
        <v>369</v>
      </c>
      <c r="OD423">
        <v>0</v>
      </c>
      <c r="OE423">
        <v>-2993</v>
      </c>
      <c r="OF423">
        <v>0</v>
      </c>
      <c r="OG423">
        <v>0</v>
      </c>
      <c r="OH423">
        <v>-2624</v>
      </c>
      <c r="OI423">
        <v>1307</v>
      </c>
      <c r="OJ423">
        <v>0</v>
      </c>
      <c r="OK423">
        <v>282</v>
      </c>
      <c r="OL423">
        <v>0</v>
      </c>
      <c r="OM423">
        <v>0</v>
      </c>
      <c r="ON423">
        <v>1589</v>
      </c>
    </row>
    <row r="424" spans="1:404" x14ac:dyDescent="0.25">
      <c r="A424" t="s">
        <v>1341</v>
      </c>
      <c r="B424" t="s">
        <v>1342</v>
      </c>
      <c r="C424" t="s">
        <v>1340</v>
      </c>
      <c r="E424" t="s">
        <v>61</v>
      </c>
      <c r="F424">
        <v>0</v>
      </c>
      <c r="G424">
        <v>0</v>
      </c>
      <c r="H424">
        <v>0</v>
      </c>
      <c r="I424">
        <v>0</v>
      </c>
      <c r="J424">
        <v>0</v>
      </c>
      <c r="K424">
        <v>0</v>
      </c>
      <c r="L424">
        <v>0</v>
      </c>
      <c r="M424">
        <v>0</v>
      </c>
      <c r="N424">
        <v>0</v>
      </c>
      <c r="O424">
        <v>0</v>
      </c>
      <c r="P424">
        <v>0</v>
      </c>
      <c r="Q424">
        <v>0</v>
      </c>
      <c r="R424">
        <v>0</v>
      </c>
      <c r="S424">
        <v>0</v>
      </c>
      <c r="T424">
        <v>0</v>
      </c>
      <c r="U424">
        <v>0</v>
      </c>
      <c r="V424">
        <v>0</v>
      </c>
      <c r="W424">
        <v>0</v>
      </c>
      <c r="X424">
        <v>0</v>
      </c>
      <c r="Y424">
        <v>0</v>
      </c>
      <c r="Z424">
        <v>42</v>
      </c>
      <c r="AA424">
        <v>-1270</v>
      </c>
      <c r="AB424">
        <v>0</v>
      </c>
      <c r="AC424">
        <v>0</v>
      </c>
      <c r="AD424">
        <v>0</v>
      </c>
      <c r="AE424">
        <v>0</v>
      </c>
      <c r="AF424">
        <v>0</v>
      </c>
      <c r="AG424">
        <v>0</v>
      </c>
      <c r="AH424">
        <v>0</v>
      </c>
      <c r="AI424">
        <v>-1228</v>
      </c>
      <c r="AJ424">
        <v>0</v>
      </c>
      <c r="AK424">
        <v>0</v>
      </c>
      <c r="AL424">
        <v>0</v>
      </c>
      <c r="AM424">
        <v>0</v>
      </c>
      <c r="AN424">
        <v>0</v>
      </c>
      <c r="AO424">
        <v>0</v>
      </c>
      <c r="AP424">
        <v>0</v>
      </c>
      <c r="AQ424">
        <v>0</v>
      </c>
      <c r="AR424">
        <v>0</v>
      </c>
      <c r="AS424">
        <v>0</v>
      </c>
      <c r="AT424">
        <v>0</v>
      </c>
      <c r="AU424">
        <v>0</v>
      </c>
      <c r="AV424">
        <v>0</v>
      </c>
      <c r="AW424">
        <v>0</v>
      </c>
      <c r="AX424">
        <v>0</v>
      </c>
      <c r="AY424">
        <v>0</v>
      </c>
      <c r="AZ424">
        <v>0</v>
      </c>
      <c r="BA424">
        <v>0</v>
      </c>
      <c r="BB424">
        <v>0</v>
      </c>
      <c r="BC424">
        <v>0</v>
      </c>
      <c r="BD424">
        <v>0</v>
      </c>
      <c r="BE424">
        <v>0</v>
      </c>
      <c r="BF424">
        <v>0</v>
      </c>
      <c r="BG424">
        <v>0</v>
      </c>
      <c r="BH424">
        <v>0</v>
      </c>
      <c r="BI424">
        <v>0</v>
      </c>
      <c r="BJ424">
        <v>0</v>
      </c>
      <c r="BK424">
        <v>0</v>
      </c>
      <c r="BL424">
        <v>0</v>
      </c>
      <c r="BM424">
        <v>0</v>
      </c>
      <c r="BN424">
        <v>0</v>
      </c>
      <c r="BO424">
        <v>0</v>
      </c>
      <c r="BP424">
        <v>0</v>
      </c>
      <c r="BQ424">
        <v>0</v>
      </c>
      <c r="BR424">
        <v>0</v>
      </c>
      <c r="BS424">
        <v>0</v>
      </c>
      <c r="BT424">
        <v>0</v>
      </c>
      <c r="BU424">
        <v>0</v>
      </c>
      <c r="BV424">
        <v>0</v>
      </c>
      <c r="BW424">
        <v>0</v>
      </c>
      <c r="BX424">
        <v>0</v>
      </c>
      <c r="BY424">
        <v>0</v>
      </c>
      <c r="BZ424">
        <v>0</v>
      </c>
      <c r="CA424">
        <v>0</v>
      </c>
      <c r="CB424">
        <v>0</v>
      </c>
      <c r="CC424">
        <v>0</v>
      </c>
      <c r="CD424">
        <v>0</v>
      </c>
      <c r="CE424">
        <v>0</v>
      </c>
      <c r="CF424">
        <v>0</v>
      </c>
      <c r="CG424">
        <v>0</v>
      </c>
      <c r="CH424">
        <v>0</v>
      </c>
      <c r="CI424">
        <v>0</v>
      </c>
      <c r="CJ424">
        <v>0</v>
      </c>
      <c r="CK424">
        <v>0</v>
      </c>
      <c r="CL424">
        <v>0</v>
      </c>
      <c r="CM424">
        <v>0</v>
      </c>
      <c r="CN424">
        <v>0</v>
      </c>
      <c r="CO424">
        <v>0</v>
      </c>
      <c r="CP424">
        <v>0</v>
      </c>
      <c r="CQ424">
        <v>0</v>
      </c>
      <c r="CR424">
        <v>0</v>
      </c>
      <c r="CS424">
        <v>0</v>
      </c>
      <c r="CT424">
        <v>0</v>
      </c>
      <c r="CU424">
        <v>0</v>
      </c>
      <c r="CV424">
        <v>0</v>
      </c>
      <c r="CW424">
        <v>0</v>
      </c>
      <c r="CX424">
        <v>0</v>
      </c>
      <c r="CY424">
        <v>0</v>
      </c>
      <c r="CZ424">
        <v>0</v>
      </c>
      <c r="DA424">
        <v>0</v>
      </c>
      <c r="DB424">
        <v>0</v>
      </c>
      <c r="DC424">
        <v>319</v>
      </c>
      <c r="DD424">
        <v>0</v>
      </c>
      <c r="DE424">
        <v>121</v>
      </c>
      <c r="DF424">
        <v>79</v>
      </c>
      <c r="DG424">
        <v>52</v>
      </c>
      <c r="DH424">
        <v>159</v>
      </c>
      <c r="DI424">
        <v>0</v>
      </c>
      <c r="DJ424">
        <v>103</v>
      </c>
      <c r="DK424">
        <v>72</v>
      </c>
      <c r="DL424">
        <v>52</v>
      </c>
      <c r="DM424">
        <v>129</v>
      </c>
      <c r="DN424">
        <v>2255</v>
      </c>
      <c r="DO424">
        <v>52</v>
      </c>
      <c r="DP424">
        <v>2874</v>
      </c>
      <c r="DQ424">
        <v>0</v>
      </c>
      <c r="DR424">
        <v>0</v>
      </c>
      <c r="DS424">
        <v>0</v>
      </c>
      <c r="DT424">
        <v>528</v>
      </c>
      <c r="DU424">
        <v>0</v>
      </c>
      <c r="DV424">
        <v>192</v>
      </c>
      <c r="DW424">
        <v>14</v>
      </c>
      <c r="DX424">
        <v>4127</v>
      </c>
      <c r="DY424">
        <v>0</v>
      </c>
      <c r="DZ424">
        <v>0</v>
      </c>
      <c r="EA424">
        <v>0</v>
      </c>
      <c r="EB424">
        <v>0</v>
      </c>
      <c r="EC424">
        <v>0</v>
      </c>
      <c r="ED424">
        <v>0</v>
      </c>
      <c r="EE424">
        <v>0</v>
      </c>
      <c r="EF424">
        <v>0</v>
      </c>
      <c r="EG424">
        <v>0</v>
      </c>
      <c r="EH424">
        <v>0</v>
      </c>
      <c r="EI424">
        <v>0</v>
      </c>
      <c r="EJ424">
        <v>0</v>
      </c>
      <c r="EK424">
        <v>0</v>
      </c>
      <c r="EL424">
        <v>0</v>
      </c>
      <c r="EM424">
        <v>0</v>
      </c>
      <c r="EN424">
        <v>0</v>
      </c>
      <c r="EO424">
        <v>0</v>
      </c>
      <c r="EP424">
        <v>0</v>
      </c>
      <c r="EQ424">
        <v>0</v>
      </c>
      <c r="ER424">
        <v>0</v>
      </c>
      <c r="ES424">
        <v>0</v>
      </c>
      <c r="ET424">
        <v>0</v>
      </c>
      <c r="EU424">
        <v>0</v>
      </c>
      <c r="EV424">
        <v>0</v>
      </c>
      <c r="EW424">
        <v>11</v>
      </c>
      <c r="EX424">
        <v>925</v>
      </c>
      <c r="EY424">
        <v>29</v>
      </c>
      <c r="EZ424">
        <v>38</v>
      </c>
      <c r="FA424">
        <v>0</v>
      </c>
      <c r="FB424">
        <v>0</v>
      </c>
      <c r="FC424">
        <v>334</v>
      </c>
      <c r="FD424">
        <v>1040</v>
      </c>
      <c r="FE424">
        <v>0</v>
      </c>
      <c r="FF424">
        <v>343</v>
      </c>
      <c r="FG424">
        <v>0</v>
      </c>
      <c r="FH424">
        <v>2720</v>
      </c>
      <c r="FI424">
        <v>-506</v>
      </c>
      <c r="FJ424">
        <v>0</v>
      </c>
      <c r="FK424">
        <v>5</v>
      </c>
      <c r="FL424">
        <v>109</v>
      </c>
      <c r="FM424">
        <v>202</v>
      </c>
      <c r="FN424">
        <v>-17</v>
      </c>
      <c r="FO424">
        <v>25</v>
      </c>
      <c r="FP424">
        <v>0</v>
      </c>
      <c r="FQ424">
        <v>0</v>
      </c>
      <c r="FR424">
        <v>30</v>
      </c>
      <c r="FS424">
        <v>0</v>
      </c>
      <c r="FT424">
        <v>46</v>
      </c>
      <c r="FU424">
        <v>-169</v>
      </c>
      <c r="FV424">
        <v>320</v>
      </c>
      <c r="FW424">
        <v>0</v>
      </c>
      <c r="FX424">
        <v>0</v>
      </c>
      <c r="FY424">
        <v>0</v>
      </c>
      <c r="FZ424">
        <v>0</v>
      </c>
      <c r="GA424">
        <v>0</v>
      </c>
      <c r="GB424">
        <v>0</v>
      </c>
      <c r="GC424">
        <v>0</v>
      </c>
      <c r="GD424">
        <v>2137</v>
      </c>
      <c r="GE424">
        <v>798</v>
      </c>
      <c r="GF424">
        <v>0</v>
      </c>
      <c r="GG424">
        <v>-100</v>
      </c>
      <c r="GH424">
        <v>1140</v>
      </c>
      <c r="GI424">
        <v>0</v>
      </c>
      <c r="GJ424">
        <v>0</v>
      </c>
      <c r="GK424">
        <v>4020</v>
      </c>
      <c r="GL424">
        <v>-21</v>
      </c>
      <c r="GM424">
        <v>420</v>
      </c>
      <c r="GN424">
        <v>188</v>
      </c>
      <c r="GO424">
        <v>233</v>
      </c>
      <c r="GP424">
        <v>70</v>
      </c>
      <c r="GQ424">
        <v>1534</v>
      </c>
      <c r="GR424">
        <v>0</v>
      </c>
      <c r="GS424">
        <v>1365</v>
      </c>
      <c r="GT424">
        <v>613</v>
      </c>
      <c r="GU424">
        <v>4402</v>
      </c>
      <c r="GV424">
        <v>11142</v>
      </c>
      <c r="GW424">
        <v>0</v>
      </c>
      <c r="GX424">
        <v>0</v>
      </c>
      <c r="GY424">
        <v>0</v>
      </c>
      <c r="GZ424">
        <v>0</v>
      </c>
      <c r="HA424">
        <v>0</v>
      </c>
      <c r="HB424">
        <v>879</v>
      </c>
      <c r="HC424">
        <v>700</v>
      </c>
      <c r="HD424">
        <v>0</v>
      </c>
      <c r="HE424">
        <v>0</v>
      </c>
      <c r="HF424">
        <v>72</v>
      </c>
      <c r="HG424">
        <v>-135</v>
      </c>
      <c r="HH424">
        <v>0</v>
      </c>
      <c r="HI424">
        <v>0</v>
      </c>
      <c r="HJ424">
        <v>170</v>
      </c>
      <c r="HK424">
        <v>265</v>
      </c>
      <c r="HL424">
        <v>52</v>
      </c>
      <c r="HM424">
        <v>42</v>
      </c>
      <c r="HN424">
        <v>216</v>
      </c>
      <c r="HO424">
        <v>76</v>
      </c>
      <c r="HP424">
        <v>0</v>
      </c>
      <c r="HQ424">
        <v>0</v>
      </c>
      <c r="HR424">
        <v>0</v>
      </c>
      <c r="HS424">
        <v>0</v>
      </c>
      <c r="HT424">
        <v>0</v>
      </c>
      <c r="HU424">
        <v>-277</v>
      </c>
      <c r="HV424">
        <v>2060</v>
      </c>
      <c r="HW424">
        <v>0</v>
      </c>
      <c r="HX424">
        <v>475</v>
      </c>
      <c r="HY424">
        <v>0</v>
      </c>
      <c r="HZ424">
        <v>0</v>
      </c>
      <c r="IA424">
        <v>0</v>
      </c>
      <c r="IB424">
        <v>0</v>
      </c>
      <c r="IC424">
        <v>0</v>
      </c>
      <c r="ID424">
        <v>-1228</v>
      </c>
      <c r="IE424">
        <v>0</v>
      </c>
      <c r="IF424">
        <v>0</v>
      </c>
      <c r="IG424">
        <v>0</v>
      </c>
      <c r="IH424">
        <v>4127</v>
      </c>
      <c r="II424">
        <v>2720</v>
      </c>
      <c r="IJ424">
        <v>4020</v>
      </c>
      <c r="IK424">
        <v>4402</v>
      </c>
      <c r="IL424">
        <v>0</v>
      </c>
      <c r="IM424">
        <v>0</v>
      </c>
      <c r="IN424">
        <v>2060</v>
      </c>
      <c r="IO424">
        <v>0</v>
      </c>
      <c r="IP424">
        <v>16101</v>
      </c>
      <c r="IQ424">
        <v>21261</v>
      </c>
      <c r="IR424">
        <v>0</v>
      </c>
      <c r="IS424">
        <v>0</v>
      </c>
      <c r="IT424">
        <v>0</v>
      </c>
      <c r="IU424">
        <v>0</v>
      </c>
      <c r="IV424">
        <v>149</v>
      </c>
      <c r="IW424">
        <v>0</v>
      </c>
      <c r="IX424">
        <v>0</v>
      </c>
      <c r="IY424">
        <v>0</v>
      </c>
      <c r="IZ424">
        <v>0</v>
      </c>
      <c r="JA424">
        <v>0</v>
      </c>
      <c r="JB424">
        <v>0</v>
      </c>
      <c r="JC424">
        <v>0</v>
      </c>
      <c r="JD424">
        <v>0</v>
      </c>
      <c r="JE424">
        <v>0</v>
      </c>
      <c r="JF424">
        <v>0</v>
      </c>
      <c r="JG424">
        <v>37511</v>
      </c>
      <c r="JH424">
        <v>0</v>
      </c>
      <c r="JI424">
        <v>190</v>
      </c>
      <c r="JJ424">
        <v>0</v>
      </c>
      <c r="JK424">
        <v>0</v>
      </c>
      <c r="JL424">
        <v>0</v>
      </c>
      <c r="JM424">
        <v>0</v>
      </c>
      <c r="JN424">
        <v>829</v>
      </c>
      <c r="JO424">
        <v>0</v>
      </c>
      <c r="JP424">
        <v>513</v>
      </c>
      <c r="JQ424">
        <v>0</v>
      </c>
      <c r="JR424">
        <v>39043</v>
      </c>
      <c r="JS424">
        <v>-1571</v>
      </c>
      <c r="JT424">
        <v>0</v>
      </c>
      <c r="JU424">
        <v>0</v>
      </c>
      <c r="JV424">
        <v>0</v>
      </c>
      <c r="JW424">
        <v>-20853</v>
      </c>
      <c r="JX424">
        <v>0</v>
      </c>
      <c r="JY424">
        <v>0</v>
      </c>
      <c r="JZ424">
        <v>0</v>
      </c>
      <c r="KA424">
        <v>0</v>
      </c>
      <c r="KB424">
        <v>0</v>
      </c>
      <c r="KC424">
        <v>16619</v>
      </c>
      <c r="KD424">
        <v>0</v>
      </c>
      <c r="KE424">
        <v>-3892</v>
      </c>
      <c r="KF424">
        <v>12727</v>
      </c>
      <c r="KG424">
        <v>0</v>
      </c>
      <c r="KH424">
        <v>0</v>
      </c>
      <c r="KI424">
        <v>0</v>
      </c>
      <c r="KJ424">
        <v>0</v>
      </c>
      <c r="KK424">
        <v>-5363</v>
      </c>
      <c r="KL424">
        <v>-932</v>
      </c>
      <c r="KM424">
        <v>0</v>
      </c>
      <c r="KN424">
        <v>0</v>
      </c>
      <c r="KO424">
        <v>4558</v>
      </c>
      <c r="KP424">
        <v>35</v>
      </c>
      <c r="KQ424">
        <v>6</v>
      </c>
      <c r="KR424">
        <v>6441</v>
      </c>
      <c r="KS424">
        <v>0</v>
      </c>
      <c r="KT424">
        <v>0</v>
      </c>
      <c r="KU424">
        <v>0</v>
      </c>
      <c r="KV424">
        <v>22796</v>
      </c>
      <c r="KW424">
        <v>1883</v>
      </c>
      <c r="KX424">
        <v>0</v>
      </c>
      <c r="KY424">
        <v>0</v>
      </c>
      <c r="KZ424">
        <v>0</v>
      </c>
      <c r="LA424">
        <v>17433</v>
      </c>
      <c r="LB424">
        <v>951</v>
      </c>
      <c r="LC424">
        <v>0</v>
      </c>
      <c r="LD424">
        <v>2981</v>
      </c>
      <c r="LE424">
        <v>0</v>
      </c>
      <c r="LF424">
        <v>0</v>
      </c>
      <c r="LG424">
        <v>-6907</v>
      </c>
      <c r="LH424">
        <v>2738</v>
      </c>
      <c r="LI424">
        <v>-1188</v>
      </c>
      <c r="LJ424">
        <v>2347</v>
      </c>
      <c r="LK424">
        <v>4551</v>
      </c>
      <c r="LL424">
        <v>6898</v>
      </c>
      <c r="LM424">
        <v>0</v>
      </c>
      <c r="LN424">
        <v>0</v>
      </c>
      <c r="LO424">
        <v>0</v>
      </c>
      <c r="LP424">
        <v>0</v>
      </c>
      <c r="LQ424">
        <v>0</v>
      </c>
      <c r="LR424">
        <v>0</v>
      </c>
      <c r="LS424">
        <v>0</v>
      </c>
      <c r="LT424">
        <v>0</v>
      </c>
      <c r="LU424">
        <v>0</v>
      </c>
      <c r="LV424">
        <v>-1228</v>
      </c>
      <c r="LW424">
        <v>0</v>
      </c>
      <c r="LX424">
        <v>0</v>
      </c>
      <c r="LY424">
        <v>0</v>
      </c>
      <c r="LZ424">
        <v>4127</v>
      </c>
      <c r="MA424">
        <v>2720</v>
      </c>
      <c r="MB424">
        <v>4020</v>
      </c>
      <c r="MC424">
        <v>4402</v>
      </c>
      <c r="MD424">
        <v>0</v>
      </c>
      <c r="ME424">
        <v>0</v>
      </c>
      <c r="MF424">
        <v>2060</v>
      </c>
      <c r="MG424">
        <v>0</v>
      </c>
      <c r="MH424">
        <v>16101</v>
      </c>
      <c r="MI424">
        <v>0</v>
      </c>
      <c r="MJ424">
        <v>0</v>
      </c>
      <c r="MK424">
        <v>0</v>
      </c>
      <c r="ML424">
        <v>0</v>
      </c>
      <c r="MM424">
        <v>0</v>
      </c>
      <c r="MN424">
        <v>0</v>
      </c>
      <c r="MO424">
        <v>0</v>
      </c>
      <c r="MP424">
        <v>0</v>
      </c>
      <c r="MQ424">
        <v>0</v>
      </c>
      <c r="MR424">
        <v>0</v>
      </c>
      <c r="MS424">
        <v>0</v>
      </c>
      <c r="MT424">
        <v>0</v>
      </c>
      <c r="MU424">
        <v>0</v>
      </c>
      <c r="MV424">
        <v>0</v>
      </c>
      <c r="MW424">
        <v>0</v>
      </c>
      <c r="MX424">
        <v>0</v>
      </c>
      <c r="MY424">
        <v>0</v>
      </c>
      <c r="MZ424">
        <v>0</v>
      </c>
      <c r="NA424">
        <v>0</v>
      </c>
      <c r="NB424">
        <v>0</v>
      </c>
      <c r="NC424">
        <v>0</v>
      </c>
      <c r="ND424">
        <v>0</v>
      </c>
      <c r="NE424">
        <v>0</v>
      </c>
      <c r="NF424">
        <v>0</v>
      </c>
      <c r="NG424">
        <v>0</v>
      </c>
      <c r="NH424">
        <v>0</v>
      </c>
      <c r="NI424">
        <v>0</v>
      </c>
      <c r="NJ424">
        <v>0</v>
      </c>
      <c r="NK424">
        <v>0</v>
      </c>
      <c r="NL424">
        <v>0</v>
      </c>
      <c r="NM424">
        <v>0</v>
      </c>
      <c r="NN424">
        <v>0</v>
      </c>
      <c r="NO424">
        <v>0</v>
      </c>
      <c r="NP424">
        <v>0</v>
      </c>
      <c r="NQ424">
        <v>0</v>
      </c>
      <c r="NR424">
        <v>0</v>
      </c>
      <c r="NS424">
        <v>0</v>
      </c>
      <c r="NT424">
        <v>0</v>
      </c>
      <c r="NU424">
        <v>0</v>
      </c>
      <c r="NV424">
        <v>0</v>
      </c>
      <c r="NW424">
        <v>0</v>
      </c>
      <c r="NX424">
        <v>0</v>
      </c>
      <c r="NY424">
        <v>0</v>
      </c>
      <c r="NZ424">
        <v>0</v>
      </c>
      <c r="OA424">
        <v>0</v>
      </c>
      <c r="OB424">
        <v>0</v>
      </c>
      <c r="OC424">
        <v>0</v>
      </c>
      <c r="OD424">
        <v>0</v>
      </c>
      <c r="OE424">
        <v>0</v>
      </c>
      <c r="OF424">
        <v>0</v>
      </c>
      <c r="OG424">
        <v>0</v>
      </c>
      <c r="OH424">
        <v>0</v>
      </c>
      <c r="OI424">
        <v>0</v>
      </c>
      <c r="OJ424">
        <v>0</v>
      </c>
      <c r="OK424">
        <v>0</v>
      </c>
      <c r="OL424">
        <v>0</v>
      </c>
      <c r="OM424">
        <v>0</v>
      </c>
      <c r="ON424">
        <v>0</v>
      </c>
    </row>
    <row r="425" spans="1:404" x14ac:dyDescent="0.25">
      <c r="A425" t="s">
        <v>1344</v>
      </c>
      <c r="B425" t="s">
        <v>1345</v>
      </c>
      <c r="C425" t="s">
        <v>1343</v>
      </c>
      <c r="E425" t="s">
        <v>1942</v>
      </c>
      <c r="F425">
        <v>37431</v>
      </c>
      <c r="G425">
        <v>115845</v>
      </c>
      <c r="H425">
        <v>43655</v>
      </c>
      <c r="I425">
        <v>50258</v>
      </c>
      <c r="J425">
        <v>10707</v>
      </c>
      <c r="K425">
        <v>6402</v>
      </c>
      <c r="L425">
        <v>264298</v>
      </c>
      <c r="M425">
        <v>1701</v>
      </c>
      <c r="N425">
        <v>1511</v>
      </c>
      <c r="O425">
        <v>0</v>
      </c>
      <c r="P425">
        <v>0</v>
      </c>
      <c r="Q425">
        <v>525</v>
      </c>
      <c r="R425">
        <v>840</v>
      </c>
      <c r="S425">
        <v>5158</v>
      </c>
      <c r="T425">
        <v>1312</v>
      </c>
      <c r="U425">
        <v>3870</v>
      </c>
      <c r="V425">
        <v>0</v>
      </c>
      <c r="W425">
        <v>0</v>
      </c>
      <c r="X425">
        <v>258</v>
      </c>
      <c r="Y425">
        <v>0</v>
      </c>
      <c r="Z425">
        <v>0</v>
      </c>
      <c r="AA425">
        <v>0</v>
      </c>
      <c r="AB425">
        <v>5249</v>
      </c>
      <c r="AC425">
        <v>0</v>
      </c>
      <c r="AD425">
        <v>4753</v>
      </c>
      <c r="AE425">
        <v>0</v>
      </c>
      <c r="AF425">
        <v>0</v>
      </c>
      <c r="AG425">
        <v>96</v>
      </c>
      <c r="AH425">
        <v>0</v>
      </c>
      <c r="AI425">
        <v>25273</v>
      </c>
      <c r="AJ425">
        <v>0</v>
      </c>
      <c r="AK425">
        <v>0</v>
      </c>
      <c r="AL425">
        <v>0</v>
      </c>
      <c r="AM425">
        <v>0</v>
      </c>
      <c r="AN425">
        <v>0</v>
      </c>
      <c r="AO425">
        <v>0</v>
      </c>
      <c r="AP425">
        <v>0</v>
      </c>
      <c r="AQ425">
        <v>0</v>
      </c>
      <c r="AR425">
        <v>0</v>
      </c>
      <c r="AS425">
        <v>0</v>
      </c>
      <c r="AT425">
        <v>0</v>
      </c>
      <c r="AU425">
        <v>0</v>
      </c>
      <c r="AV425">
        <v>284</v>
      </c>
      <c r="AW425">
        <v>60719</v>
      </c>
      <c r="AX425">
        <v>6359</v>
      </c>
      <c r="AY425">
        <v>3488</v>
      </c>
      <c r="AZ425">
        <v>2028</v>
      </c>
      <c r="BA425">
        <v>17118</v>
      </c>
      <c r="BB425">
        <v>1774</v>
      </c>
      <c r="BC425">
        <v>11242</v>
      </c>
      <c r="BD425">
        <v>103012</v>
      </c>
      <c r="BE425">
        <v>10909</v>
      </c>
      <c r="BF425">
        <v>29037</v>
      </c>
      <c r="BG425">
        <v>260</v>
      </c>
      <c r="BH425">
        <v>361</v>
      </c>
      <c r="BI425">
        <v>234</v>
      </c>
      <c r="BJ425">
        <v>3157</v>
      </c>
      <c r="BK425">
        <v>58182</v>
      </c>
      <c r="BL425">
        <v>4882</v>
      </c>
      <c r="BM425">
        <v>6200</v>
      </c>
      <c r="BN425">
        <v>6748</v>
      </c>
      <c r="BO425">
        <v>66</v>
      </c>
      <c r="BP425">
        <v>0</v>
      </c>
      <c r="BQ425">
        <v>605</v>
      </c>
      <c r="BR425">
        <v>1745</v>
      </c>
      <c r="BS425">
        <v>1873</v>
      </c>
      <c r="BT425">
        <v>34244</v>
      </c>
      <c r="BU425">
        <v>0</v>
      </c>
      <c r="BV425">
        <v>33903</v>
      </c>
      <c r="BW425">
        <v>192406</v>
      </c>
      <c r="BX425">
        <v>2242</v>
      </c>
      <c r="BY425">
        <v>1893</v>
      </c>
      <c r="BZ425">
        <v>222</v>
      </c>
      <c r="CA425">
        <v>707</v>
      </c>
      <c r="CB425">
        <v>1585</v>
      </c>
      <c r="CC425">
        <v>200</v>
      </c>
      <c r="CD425">
        <v>315</v>
      </c>
      <c r="CE425">
        <v>473</v>
      </c>
      <c r="CF425">
        <v>245</v>
      </c>
      <c r="CG425">
        <v>318</v>
      </c>
      <c r="CH425">
        <v>271</v>
      </c>
      <c r="CI425">
        <v>2166</v>
      </c>
      <c r="CJ425">
        <v>1461</v>
      </c>
      <c r="CK425">
        <v>295</v>
      </c>
      <c r="CL425">
        <v>295</v>
      </c>
      <c r="CM425">
        <v>119</v>
      </c>
      <c r="CN425">
        <v>149</v>
      </c>
      <c r="CO425">
        <v>158</v>
      </c>
      <c r="CP425">
        <v>4221</v>
      </c>
      <c r="CQ425">
        <v>5912</v>
      </c>
      <c r="CR425">
        <v>706</v>
      </c>
      <c r="CS425">
        <v>235</v>
      </c>
      <c r="CT425">
        <v>827</v>
      </c>
      <c r="CU425">
        <v>3850</v>
      </c>
      <c r="CV425">
        <v>41417</v>
      </c>
      <c r="CW425">
        <v>0</v>
      </c>
      <c r="CX425">
        <v>0</v>
      </c>
      <c r="CY425">
        <v>0</v>
      </c>
      <c r="CZ425">
        <v>0</v>
      </c>
      <c r="DA425">
        <v>0</v>
      </c>
      <c r="DB425">
        <v>0</v>
      </c>
      <c r="DC425">
        <v>0</v>
      </c>
      <c r="DD425">
        <v>0</v>
      </c>
      <c r="DE425">
        <v>0</v>
      </c>
      <c r="DF425">
        <v>0</v>
      </c>
      <c r="DG425">
        <v>0</v>
      </c>
      <c r="DH425">
        <v>0</v>
      </c>
      <c r="DI425">
        <v>0</v>
      </c>
      <c r="DJ425">
        <v>0</v>
      </c>
      <c r="DK425">
        <v>0</v>
      </c>
      <c r="DL425">
        <v>0</v>
      </c>
      <c r="DM425">
        <v>0</v>
      </c>
      <c r="DN425">
        <v>0</v>
      </c>
      <c r="DO425">
        <v>0</v>
      </c>
      <c r="DP425">
        <v>0</v>
      </c>
      <c r="DQ425">
        <v>0</v>
      </c>
      <c r="DR425">
        <v>0</v>
      </c>
      <c r="DS425">
        <v>0</v>
      </c>
      <c r="DT425">
        <v>0</v>
      </c>
      <c r="DU425">
        <v>51</v>
      </c>
      <c r="DV425">
        <v>0</v>
      </c>
      <c r="DW425">
        <v>0</v>
      </c>
      <c r="DX425">
        <v>51</v>
      </c>
      <c r="DY425">
        <v>0</v>
      </c>
      <c r="DZ425">
        <v>0</v>
      </c>
      <c r="EA425">
        <v>0</v>
      </c>
      <c r="EB425">
        <v>0</v>
      </c>
      <c r="EC425">
        <v>0</v>
      </c>
      <c r="ED425">
        <v>0</v>
      </c>
      <c r="EE425">
        <v>0</v>
      </c>
      <c r="EF425">
        <v>0</v>
      </c>
      <c r="EG425">
        <v>0</v>
      </c>
      <c r="EH425">
        <v>0</v>
      </c>
      <c r="EI425">
        <v>0</v>
      </c>
      <c r="EJ425">
        <v>0</v>
      </c>
      <c r="EK425">
        <v>0</v>
      </c>
      <c r="EL425">
        <v>0</v>
      </c>
      <c r="EM425">
        <v>0</v>
      </c>
      <c r="EN425">
        <v>0</v>
      </c>
      <c r="EO425">
        <v>0</v>
      </c>
      <c r="EP425">
        <v>0</v>
      </c>
      <c r="EQ425">
        <v>0</v>
      </c>
      <c r="ER425">
        <v>0</v>
      </c>
      <c r="ES425">
        <v>0</v>
      </c>
      <c r="ET425">
        <v>0</v>
      </c>
      <c r="EU425">
        <v>1615</v>
      </c>
      <c r="EV425">
        <v>110</v>
      </c>
      <c r="EW425">
        <v>-153</v>
      </c>
      <c r="EX425">
        <v>657</v>
      </c>
      <c r="EY425">
        <v>0</v>
      </c>
      <c r="EZ425">
        <v>0</v>
      </c>
      <c r="FA425">
        <v>0</v>
      </c>
      <c r="FB425">
        <v>0</v>
      </c>
      <c r="FC425">
        <v>0</v>
      </c>
      <c r="FD425">
        <v>834</v>
      </c>
      <c r="FE425">
        <v>0</v>
      </c>
      <c r="FF425">
        <v>16</v>
      </c>
      <c r="FG425">
        <v>7561</v>
      </c>
      <c r="FH425">
        <v>10640</v>
      </c>
      <c r="FI425">
        <v>0</v>
      </c>
      <c r="FJ425">
        <v>110</v>
      </c>
      <c r="FK425">
        <v>0</v>
      </c>
      <c r="FL425">
        <v>16</v>
      </c>
      <c r="FM425">
        <v>0</v>
      </c>
      <c r="FN425">
        <v>0</v>
      </c>
      <c r="FO425">
        <v>0</v>
      </c>
      <c r="FP425">
        <v>0</v>
      </c>
      <c r="FQ425">
        <v>0</v>
      </c>
      <c r="FR425">
        <v>0</v>
      </c>
      <c r="FS425">
        <v>0</v>
      </c>
      <c r="FT425">
        <v>28</v>
      </c>
      <c r="FU425">
        <v>0</v>
      </c>
      <c r="FV425">
        <v>0</v>
      </c>
      <c r="FW425">
        <v>0</v>
      </c>
      <c r="FX425">
        <v>0</v>
      </c>
      <c r="FY425">
        <v>519</v>
      </c>
      <c r="FZ425">
        <v>0</v>
      </c>
      <c r="GA425">
        <v>0</v>
      </c>
      <c r="GB425">
        <v>0</v>
      </c>
      <c r="GC425">
        <v>0</v>
      </c>
      <c r="GD425">
        <v>0</v>
      </c>
      <c r="GE425">
        <v>0</v>
      </c>
      <c r="GF425">
        <v>26159</v>
      </c>
      <c r="GG425">
        <v>0</v>
      </c>
      <c r="GH425">
        <v>14123</v>
      </c>
      <c r="GI425">
        <v>428</v>
      </c>
      <c r="GJ425">
        <v>0</v>
      </c>
      <c r="GK425">
        <v>41383</v>
      </c>
      <c r="GL425">
        <v>0</v>
      </c>
      <c r="GM425">
        <v>100</v>
      </c>
      <c r="GN425">
        <v>0</v>
      </c>
      <c r="GO425">
        <v>1522</v>
      </c>
      <c r="GP425">
        <v>271</v>
      </c>
      <c r="GQ425">
        <v>1721</v>
      </c>
      <c r="GR425">
        <v>0</v>
      </c>
      <c r="GS425">
        <v>0</v>
      </c>
      <c r="GT425">
        <v>544</v>
      </c>
      <c r="GU425">
        <v>4158</v>
      </c>
      <c r="GV425">
        <v>56181</v>
      </c>
      <c r="GW425">
        <v>0</v>
      </c>
      <c r="GX425">
        <v>0</v>
      </c>
      <c r="GY425">
        <v>0</v>
      </c>
      <c r="GZ425">
        <v>0</v>
      </c>
      <c r="HA425">
        <v>0</v>
      </c>
      <c r="HB425">
        <v>7316</v>
      </c>
      <c r="HC425">
        <v>0</v>
      </c>
      <c r="HD425">
        <v>0</v>
      </c>
      <c r="HE425">
        <v>0</v>
      </c>
      <c r="HF425">
        <v>0</v>
      </c>
      <c r="HG425">
        <v>0</v>
      </c>
      <c r="HH425">
        <v>0</v>
      </c>
      <c r="HI425">
        <v>-164</v>
      </c>
      <c r="HJ425">
        <v>0</v>
      </c>
      <c r="HK425">
        <v>0</v>
      </c>
      <c r="HL425">
        <v>0</v>
      </c>
      <c r="HM425">
        <v>0</v>
      </c>
      <c r="HN425">
        <v>211</v>
      </c>
      <c r="HO425">
        <v>0</v>
      </c>
      <c r="HP425">
        <v>652</v>
      </c>
      <c r="HQ425">
        <v>0</v>
      </c>
      <c r="HR425">
        <v>7496</v>
      </c>
      <c r="HS425">
        <v>0</v>
      </c>
      <c r="HT425">
        <v>0</v>
      </c>
      <c r="HU425">
        <v>6345</v>
      </c>
      <c r="HV425">
        <v>21856</v>
      </c>
      <c r="HW425">
        <v>6075</v>
      </c>
      <c r="HX425">
        <v>15847</v>
      </c>
      <c r="HY425">
        <v>0</v>
      </c>
      <c r="HZ425">
        <v>0</v>
      </c>
      <c r="IA425">
        <v>3156</v>
      </c>
      <c r="IB425">
        <v>5957</v>
      </c>
      <c r="IC425">
        <v>264298</v>
      </c>
      <c r="ID425">
        <v>25273</v>
      </c>
      <c r="IE425">
        <v>103012</v>
      </c>
      <c r="IF425">
        <v>192406</v>
      </c>
      <c r="IG425">
        <v>41417</v>
      </c>
      <c r="IH425">
        <v>51</v>
      </c>
      <c r="II425">
        <v>10640</v>
      </c>
      <c r="IJ425">
        <v>41383</v>
      </c>
      <c r="IK425">
        <v>4158</v>
      </c>
      <c r="IL425">
        <v>0</v>
      </c>
      <c r="IM425">
        <v>0</v>
      </c>
      <c r="IN425">
        <v>21856</v>
      </c>
      <c r="IO425">
        <v>5957</v>
      </c>
      <c r="IP425">
        <v>710451</v>
      </c>
      <c r="IQ425">
        <v>0</v>
      </c>
      <c r="IR425">
        <v>0</v>
      </c>
      <c r="IS425">
        <v>0</v>
      </c>
      <c r="IT425">
        <v>0</v>
      </c>
      <c r="IU425">
        <v>0</v>
      </c>
      <c r="IV425">
        <v>0</v>
      </c>
      <c r="IW425">
        <v>0</v>
      </c>
      <c r="IX425">
        <v>0</v>
      </c>
      <c r="IY425">
        <v>0</v>
      </c>
      <c r="IZ425">
        <v>8</v>
      </c>
      <c r="JA425">
        <v>207</v>
      </c>
      <c r="JB425">
        <v>1404</v>
      </c>
      <c r="JC425">
        <v>0</v>
      </c>
      <c r="JD425">
        <v>0</v>
      </c>
      <c r="JE425">
        <v>0</v>
      </c>
      <c r="JF425">
        <v>0</v>
      </c>
      <c r="JG425">
        <v>712070</v>
      </c>
      <c r="JH425">
        <v>258</v>
      </c>
      <c r="JI425">
        <v>1511</v>
      </c>
      <c r="JJ425">
        <v>0</v>
      </c>
      <c r="JK425">
        <v>-1511</v>
      </c>
      <c r="JL425">
        <v>0</v>
      </c>
      <c r="JM425">
        <v>0</v>
      </c>
      <c r="JN425">
        <v>9013</v>
      </c>
      <c r="JO425">
        <v>0</v>
      </c>
      <c r="JP425">
        <v>17191</v>
      </c>
      <c r="JQ425">
        <v>0</v>
      </c>
      <c r="JR425">
        <v>738532</v>
      </c>
      <c r="JS425">
        <v>-8705</v>
      </c>
      <c r="JT425">
        <v>0</v>
      </c>
      <c r="JU425">
        <v>0</v>
      </c>
      <c r="JV425">
        <v>0</v>
      </c>
      <c r="JW425">
        <v>-2150</v>
      </c>
      <c r="JX425">
        <v>0</v>
      </c>
      <c r="JY425">
        <v>0</v>
      </c>
      <c r="JZ425">
        <v>0</v>
      </c>
      <c r="KA425">
        <v>0</v>
      </c>
      <c r="KB425">
        <v>-4808</v>
      </c>
      <c r="KC425">
        <v>722869</v>
      </c>
      <c r="KD425">
        <v>-544</v>
      </c>
      <c r="KE425">
        <v>-378049</v>
      </c>
      <c r="KF425">
        <v>344276</v>
      </c>
      <c r="KG425">
        <v>0</v>
      </c>
      <c r="KH425">
        <v>1457</v>
      </c>
      <c r="KI425">
        <v>0</v>
      </c>
      <c r="KJ425">
        <v>3315</v>
      </c>
      <c r="KK425">
        <v>38176</v>
      </c>
      <c r="KL425">
        <v>1336</v>
      </c>
      <c r="KM425">
        <v>0</v>
      </c>
      <c r="KN425">
        <v>0</v>
      </c>
      <c r="KO425">
        <v>-79241</v>
      </c>
      <c r="KP425">
        <v>1688</v>
      </c>
      <c r="KQ425">
        <v>0</v>
      </c>
      <c r="KR425">
        <v>285197</v>
      </c>
      <c r="KS425">
        <v>3952</v>
      </c>
      <c r="KT425">
        <v>0</v>
      </c>
      <c r="KU425">
        <v>6424</v>
      </c>
      <c r="KV425">
        <v>104357</v>
      </c>
      <c r="KW425">
        <v>13000</v>
      </c>
      <c r="KX425">
        <v>5409</v>
      </c>
      <c r="KY425">
        <v>0</v>
      </c>
      <c r="KZ425">
        <v>9739</v>
      </c>
      <c r="LA425">
        <v>142533</v>
      </c>
      <c r="LB425">
        <v>14336</v>
      </c>
      <c r="LC425">
        <v>0</v>
      </c>
      <c r="LD425">
        <v>48249</v>
      </c>
      <c r="LE425">
        <v>0</v>
      </c>
      <c r="LF425">
        <v>-2155</v>
      </c>
      <c r="LG425">
        <v>-57880</v>
      </c>
      <c r="LH425">
        <v>13040</v>
      </c>
      <c r="LI425">
        <v>1254</v>
      </c>
      <c r="LJ425">
        <v>0</v>
      </c>
      <c r="LK425">
        <v>0</v>
      </c>
      <c r="LL425">
        <v>0</v>
      </c>
      <c r="LM425">
        <v>0</v>
      </c>
      <c r="LN425">
        <v>0</v>
      </c>
      <c r="LO425">
        <v>0</v>
      </c>
      <c r="LP425">
        <v>0</v>
      </c>
      <c r="LQ425">
        <v>0</v>
      </c>
      <c r="LR425">
        <v>0</v>
      </c>
      <c r="LS425">
        <v>0</v>
      </c>
      <c r="LT425">
        <v>0</v>
      </c>
      <c r="LU425">
        <v>264298</v>
      </c>
      <c r="LV425">
        <v>25273</v>
      </c>
      <c r="LW425">
        <v>103012</v>
      </c>
      <c r="LX425">
        <v>192406</v>
      </c>
      <c r="LY425">
        <v>41417</v>
      </c>
      <c r="LZ425">
        <v>51</v>
      </c>
      <c r="MA425">
        <v>10640</v>
      </c>
      <c r="MB425">
        <v>41383</v>
      </c>
      <c r="MC425">
        <v>4158</v>
      </c>
      <c r="MD425">
        <v>0</v>
      </c>
      <c r="ME425">
        <v>0</v>
      </c>
      <c r="MF425">
        <v>21856</v>
      </c>
      <c r="MG425">
        <v>5957</v>
      </c>
      <c r="MH425">
        <v>710451</v>
      </c>
      <c r="MI425">
        <v>0</v>
      </c>
      <c r="MJ425">
        <v>0</v>
      </c>
      <c r="MK425">
        <v>0</v>
      </c>
      <c r="ML425">
        <v>0</v>
      </c>
      <c r="MM425">
        <v>0</v>
      </c>
      <c r="MN425">
        <v>0</v>
      </c>
      <c r="MO425">
        <v>0</v>
      </c>
      <c r="MP425">
        <v>0</v>
      </c>
      <c r="MQ425">
        <v>0</v>
      </c>
      <c r="MR425">
        <v>0</v>
      </c>
      <c r="MS425">
        <v>0</v>
      </c>
      <c r="MT425">
        <v>0</v>
      </c>
      <c r="MU425">
        <v>0</v>
      </c>
      <c r="MV425">
        <v>0</v>
      </c>
      <c r="MW425">
        <v>0</v>
      </c>
      <c r="MX425">
        <v>0</v>
      </c>
      <c r="MY425">
        <v>0</v>
      </c>
      <c r="MZ425">
        <v>0</v>
      </c>
      <c r="NA425">
        <v>207</v>
      </c>
      <c r="NB425">
        <v>0</v>
      </c>
      <c r="NC425">
        <v>207</v>
      </c>
      <c r="ND425">
        <v>0</v>
      </c>
      <c r="NE425">
        <v>0</v>
      </c>
      <c r="NF425">
        <v>0</v>
      </c>
      <c r="NG425">
        <v>0</v>
      </c>
      <c r="NH425">
        <v>0</v>
      </c>
      <c r="NI425">
        <v>0</v>
      </c>
      <c r="NJ425">
        <v>0</v>
      </c>
      <c r="NK425">
        <v>0</v>
      </c>
      <c r="NL425">
        <v>0</v>
      </c>
      <c r="NM425">
        <v>0</v>
      </c>
      <c r="NN425">
        <v>0</v>
      </c>
      <c r="NO425">
        <v>0</v>
      </c>
      <c r="NP425">
        <v>0</v>
      </c>
      <c r="NQ425">
        <v>659</v>
      </c>
      <c r="NR425">
        <v>745</v>
      </c>
      <c r="NS425">
        <v>0</v>
      </c>
      <c r="NT425">
        <v>0</v>
      </c>
      <c r="NU425">
        <v>0</v>
      </c>
      <c r="NV425">
        <v>0</v>
      </c>
      <c r="NW425">
        <v>0</v>
      </c>
      <c r="NX425">
        <v>0</v>
      </c>
      <c r="NY425">
        <v>0</v>
      </c>
      <c r="NZ425">
        <v>1404</v>
      </c>
      <c r="OA425">
        <v>0</v>
      </c>
      <c r="OB425">
        <v>1404</v>
      </c>
      <c r="OC425">
        <v>0</v>
      </c>
      <c r="OD425">
        <v>0</v>
      </c>
      <c r="OE425">
        <v>0</v>
      </c>
      <c r="OF425">
        <v>0</v>
      </c>
      <c r="OG425">
        <v>0</v>
      </c>
      <c r="OH425">
        <v>0</v>
      </c>
      <c r="OI425">
        <v>0</v>
      </c>
      <c r="OJ425">
        <v>0</v>
      </c>
      <c r="OK425">
        <v>0</v>
      </c>
      <c r="OL425">
        <v>0</v>
      </c>
      <c r="OM425">
        <v>0</v>
      </c>
      <c r="ON425">
        <v>0</v>
      </c>
    </row>
    <row r="426" spans="1:404" x14ac:dyDescent="0.25">
      <c r="A426" t="s">
        <v>1347</v>
      </c>
      <c r="B426" t="s">
        <v>1348</v>
      </c>
      <c r="C426" t="s">
        <v>1346</v>
      </c>
      <c r="E426" t="s">
        <v>61</v>
      </c>
      <c r="F426">
        <v>0</v>
      </c>
      <c r="G426">
        <v>0</v>
      </c>
      <c r="H426">
        <v>0</v>
      </c>
      <c r="I426">
        <v>0</v>
      </c>
      <c r="J426">
        <v>0</v>
      </c>
      <c r="K426">
        <v>0</v>
      </c>
      <c r="L426">
        <v>0</v>
      </c>
      <c r="M426">
        <v>0</v>
      </c>
      <c r="N426">
        <v>0</v>
      </c>
      <c r="O426">
        <v>0</v>
      </c>
      <c r="P426">
        <v>0</v>
      </c>
      <c r="Q426">
        <v>0</v>
      </c>
      <c r="R426">
        <v>0</v>
      </c>
      <c r="S426">
        <v>0</v>
      </c>
      <c r="T426">
        <v>0</v>
      </c>
      <c r="U426">
        <v>54</v>
      </c>
      <c r="V426">
        <v>0</v>
      </c>
      <c r="W426">
        <v>0</v>
      </c>
      <c r="X426">
        <v>0</v>
      </c>
      <c r="Y426">
        <v>10</v>
      </c>
      <c r="Z426">
        <v>0</v>
      </c>
      <c r="AA426">
        <v>-1066</v>
      </c>
      <c r="AB426">
        <v>0</v>
      </c>
      <c r="AC426">
        <v>0</v>
      </c>
      <c r="AD426">
        <v>31</v>
      </c>
      <c r="AE426">
        <v>0</v>
      </c>
      <c r="AF426">
        <v>0</v>
      </c>
      <c r="AG426">
        <v>24</v>
      </c>
      <c r="AH426">
        <v>0</v>
      </c>
      <c r="AI426">
        <v>-947</v>
      </c>
      <c r="AJ426">
        <v>0</v>
      </c>
      <c r="AK426">
        <v>0</v>
      </c>
      <c r="AL426">
        <v>0</v>
      </c>
      <c r="AM426">
        <v>0</v>
      </c>
      <c r="AN426">
        <v>0</v>
      </c>
      <c r="AO426">
        <v>0</v>
      </c>
      <c r="AP426">
        <v>0</v>
      </c>
      <c r="AQ426">
        <v>0</v>
      </c>
      <c r="AR426">
        <v>0</v>
      </c>
      <c r="AS426">
        <v>0</v>
      </c>
      <c r="AT426">
        <v>0</v>
      </c>
      <c r="AU426">
        <v>0</v>
      </c>
      <c r="AV426">
        <v>0</v>
      </c>
      <c r="AW426">
        <v>0</v>
      </c>
      <c r="AX426">
        <v>0</v>
      </c>
      <c r="AY426">
        <v>0</v>
      </c>
      <c r="AZ426">
        <v>0</v>
      </c>
      <c r="BA426">
        <v>0</v>
      </c>
      <c r="BB426">
        <v>0</v>
      </c>
      <c r="BC426">
        <v>0</v>
      </c>
      <c r="BD426">
        <v>0</v>
      </c>
      <c r="BE426">
        <v>0</v>
      </c>
      <c r="BF426">
        <v>0</v>
      </c>
      <c r="BG426">
        <v>0</v>
      </c>
      <c r="BH426">
        <v>0</v>
      </c>
      <c r="BI426">
        <v>0</v>
      </c>
      <c r="BJ426">
        <v>0</v>
      </c>
      <c r="BK426">
        <v>0</v>
      </c>
      <c r="BL426">
        <v>0</v>
      </c>
      <c r="BM426">
        <v>0</v>
      </c>
      <c r="BN426">
        <v>0</v>
      </c>
      <c r="BO426">
        <v>0</v>
      </c>
      <c r="BP426">
        <v>0</v>
      </c>
      <c r="BQ426">
        <v>0</v>
      </c>
      <c r="BR426">
        <v>0</v>
      </c>
      <c r="BS426">
        <v>0</v>
      </c>
      <c r="BT426">
        <v>0</v>
      </c>
      <c r="BU426">
        <v>0</v>
      </c>
      <c r="BV426">
        <v>0</v>
      </c>
      <c r="BW426">
        <v>0</v>
      </c>
      <c r="BX426">
        <v>0</v>
      </c>
      <c r="BY426">
        <v>0</v>
      </c>
      <c r="BZ426">
        <v>0</v>
      </c>
      <c r="CA426">
        <v>0</v>
      </c>
      <c r="CB426">
        <v>0</v>
      </c>
      <c r="CC426">
        <v>0</v>
      </c>
      <c r="CD426">
        <v>0</v>
      </c>
      <c r="CE426">
        <v>0</v>
      </c>
      <c r="CF426">
        <v>0</v>
      </c>
      <c r="CG426">
        <v>0</v>
      </c>
      <c r="CH426">
        <v>0</v>
      </c>
      <c r="CI426">
        <v>0</v>
      </c>
      <c r="CJ426">
        <v>0</v>
      </c>
      <c r="CK426">
        <v>0</v>
      </c>
      <c r="CL426">
        <v>0</v>
      </c>
      <c r="CM426">
        <v>0</v>
      </c>
      <c r="CN426">
        <v>0</v>
      </c>
      <c r="CO426">
        <v>0</v>
      </c>
      <c r="CP426">
        <v>0</v>
      </c>
      <c r="CQ426">
        <v>0</v>
      </c>
      <c r="CR426">
        <v>0</v>
      </c>
      <c r="CS426">
        <v>0</v>
      </c>
      <c r="CT426">
        <v>0</v>
      </c>
      <c r="CU426">
        <v>0</v>
      </c>
      <c r="CV426">
        <v>0</v>
      </c>
      <c r="CW426">
        <v>0</v>
      </c>
      <c r="CX426">
        <v>0</v>
      </c>
      <c r="CY426">
        <v>0</v>
      </c>
      <c r="CZ426">
        <v>0</v>
      </c>
      <c r="DA426">
        <v>0</v>
      </c>
      <c r="DB426">
        <v>0</v>
      </c>
      <c r="DC426">
        <v>305</v>
      </c>
      <c r="DD426">
        <v>0</v>
      </c>
      <c r="DE426">
        <v>10</v>
      </c>
      <c r="DF426">
        <v>0</v>
      </c>
      <c r="DG426">
        <v>0</v>
      </c>
      <c r="DH426">
        <v>5</v>
      </c>
      <c r="DI426">
        <v>0</v>
      </c>
      <c r="DJ426">
        <v>0</v>
      </c>
      <c r="DK426">
        <v>-34</v>
      </c>
      <c r="DL426">
        <v>0</v>
      </c>
      <c r="DM426">
        <v>0</v>
      </c>
      <c r="DN426">
        <v>2311</v>
      </c>
      <c r="DO426">
        <v>620</v>
      </c>
      <c r="DP426">
        <v>2902</v>
      </c>
      <c r="DQ426">
        <v>-236</v>
      </c>
      <c r="DR426">
        <v>0</v>
      </c>
      <c r="DS426">
        <v>0</v>
      </c>
      <c r="DT426">
        <v>725</v>
      </c>
      <c r="DU426">
        <v>0</v>
      </c>
      <c r="DV426">
        <v>0</v>
      </c>
      <c r="DW426">
        <v>0</v>
      </c>
      <c r="DX426">
        <v>3706</v>
      </c>
      <c r="DY426">
        <v>0</v>
      </c>
      <c r="DZ426">
        <v>0</v>
      </c>
      <c r="EA426">
        <v>0</v>
      </c>
      <c r="EB426">
        <v>0</v>
      </c>
      <c r="EC426">
        <v>0</v>
      </c>
      <c r="ED426">
        <v>0</v>
      </c>
      <c r="EE426">
        <v>0</v>
      </c>
      <c r="EF426">
        <v>0</v>
      </c>
      <c r="EG426">
        <v>0</v>
      </c>
      <c r="EH426">
        <v>0</v>
      </c>
      <c r="EI426">
        <v>0</v>
      </c>
      <c r="EJ426">
        <v>0</v>
      </c>
      <c r="EK426">
        <v>0</v>
      </c>
      <c r="EL426">
        <v>0</v>
      </c>
      <c r="EM426">
        <v>0</v>
      </c>
      <c r="EN426">
        <v>0</v>
      </c>
      <c r="EO426">
        <v>0</v>
      </c>
      <c r="EP426">
        <v>0</v>
      </c>
      <c r="EQ426">
        <v>0</v>
      </c>
      <c r="ER426">
        <v>0</v>
      </c>
      <c r="ES426">
        <v>0</v>
      </c>
      <c r="ET426">
        <v>0</v>
      </c>
      <c r="EU426">
        <v>0</v>
      </c>
      <c r="EV426">
        <v>0</v>
      </c>
      <c r="EW426">
        <v>0</v>
      </c>
      <c r="EX426">
        <v>-2</v>
      </c>
      <c r="EY426">
        <v>1755</v>
      </c>
      <c r="EZ426">
        <v>126</v>
      </c>
      <c r="FA426">
        <v>195</v>
      </c>
      <c r="FB426">
        <v>135</v>
      </c>
      <c r="FC426">
        <v>343</v>
      </c>
      <c r="FD426">
        <v>1297</v>
      </c>
      <c r="FE426">
        <v>5</v>
      </c>
      <c r="FF426">
        <v>304</v>
      </c>
      <c r="FG426">
        <v>0</v>
      </c>
      <c r="FH426">
        <v>4158</v>
      </c>
      <c r="FI426">
        <v>-1467</v>
      </c>
      <c r="FJ426">
        <v>0</v>
      </c>
      <c r="FK426">
        <v>0</v>
      </c>
      <c r="FL426">
        <v>-5</v>
      </c>
      <c r="FM426">
        <v>6</v>
      </c>
      <c r="FN426">
        <v>159</v>
      </c>
      <c r="FO426">
        <v>95</v>
      </c>
      <c r="FP426">
        <v>0</v>
      </c>
      <c r="FQ426">
        <v>0</v>
      </c>
      <c r="FR426">
        <v>0</v>
      </c>
      <c r="FS426">
        <v>308</v>
      </c>
      <c r="FT426">
        <v>993</v>
      </c>
      <c r="FU426">
        <v>-49</v>
      </c>
      <c r="FV426">
        <v>0</v>
      </c>
      <c r="FW426">
        <v>22</v>
      </c>
      <c r="FX426">
        <v>0</v>
      </c>
      <c r="FY426">
        <v>0</v>
      </c>
      <c r="FZ426">
        <v>8</v>
      </c>
      <c r="GA426">
        <v>0</v>
      </c>
      <c r="GB426">
        <v>91</v>
      </c>
      <c r="GC426">
        <v>0</v>
      </c>
      <c r="GD426">
        <v>501</v>
      </c>
      <c r="GE426">
        <v>1851</v>
      </c>
      <c r="GF426">
        <v>0</v>
      </c>
      <c r="GG426">
        <v>-401</v>
      </c>
      <c r="GH426">
        <v>-1055</v>
      </c>
      <c r="GI426">
        <v>0</v>
      </c>
      <c r="GJ426">
        <v>0</v>
      </c>
      <c r="GK426">
        <v>1057</v>
      </c>
      <c r="GL426">
        <v>-69</v>
      </c>
      <c r="GM426">
        <v>317</v>
      </c>
      <c r="GN426">
        <v>339</v>
      </c>
      <c r="GO426">
        <v>731</v>
      </c>
      <c r="GP426">
        <v>204</v>
      </c>
      <c r="GQ426">
        <v>-436</v>
      </c>
      <c r="GR426">
        <v>0</v>
      </c>
      <c r="GS426">
        <v>11</v>
      </c>
      <c r="GT426">
        <v>364</v>
      </c>
      <c r="GU426">
        <v>1461</v>
      </c>
      <c r="GV426">
        <v>6676</v>
      </c>
      <c r="GW426">
        <v>0</v>
      </c>
      <c r="GX426">
        <v>0</v>
      </c>
      <c r="GY426">
        <v>0</v>
      </c>
      <c r="GZ426">
        <v>0</v>
      </c>
      <c r="HA426">
        <v>0</v>
      </c>
      <c r="HB426">
        <v>1431</v>
      </c>
      <c r="HC426">
        <v>51</v>
      </c>
      <c r="HD426">
        <v>0</v>
      </c>
      <c r="HE426">
        <v>0</v>
      </c>
      <c r="HF426">
        <v>122</v>
      </c>
      <c r="HG426">
        <v>-109</v>
      </c>
      <c r="HH426">
        <v>0</v>
      </c>
      <c r="HI426">
        <v>0</v>
      </c>
      <c r="HJ426">
        <v>19</v>
      </c>
      <c r="HK426">
        <v>220</v>
      </c>
      <c r="HL426">
        <v>2</v>
      </c>
      <c r="HM426">
        <v>-47</v>
      </c>
      <c r="HN426">
        <v>0</v>
      </c>
      <c r="HO426">
        <v>0</v>
      </c>
      <c r="HP426">
        <v>0</v>
      </c>
      <c r="HQ426">
        <v>0</v>
      </c>
      <c r="HR426">
        <v>1892</v>
      </c>
      <c r="HS426">
        <v>0</v>
      </c>
      <c r="HT426">
        <v>0</v>
      </c>
      <c r="HU426">
        <v>4711</v>
      </c>
      <c r="HV426">
        <v>8292</v>
      </c>
      <c r="HW426">
        <v>0</v>
      </c>
      <c r="HX426">
        <v>2619</v>
      </c>
      <c r="HY426">
        <v>0</v>
      </c>
      <c r="HZ426">
        <v>0</v>
      </c>
      <c r="IA426">
        <v>0</v>
      </c>
      <c r="IB426">
        <v>0</v>
      </c>
      <c r="IC426">
        <v>0</v>
      </c>
      <c r="ID426">
        <v>-947</v>
      </c>
      <c r="IE426">
        <v>0</v>
      </c>
      <c r="IF426">
        <v>0</v>
      </c>
      <c r="IG426">
        <v>0</v>
      </c>
      <c r="IH426">
        <v>3706</v>
      </c>
      <c r="II426">
        <v>4158</v>
      </c>
      <c r="IJ426">
        <v>1057</v>
      </c>
      <c r="IK426">
        <v>1461</v>
      </c>
      <c r="IL426">
        <v>0</v>
      </c>
      <c r="IM426">
        <v>0</v>
      </c>
      <c r="IN426">
        <v>8292</v>
      </c>
      <c r="IO426">
        <v>0</v>
      </c>
      <c r="IP426">
        <v>17727</v>
      </c>
      <c r="IQ426">
        <v>26646</v>
      </c>
      <c r="IR426">
        <v>1380</v>
      </c>
      <c r="IS426">
        <v>0</v>
      </c>
      <c r="IT426">
        <v>0</v>
      </c>
      <c r="IU426">
        <v>0</v>
      </c>
      <c r="IV426">
        <v>0</v>
      </c>
      <c r="IW426">
        <v>0</v>
      </c>
      <c r="IX426">
        <v>0</v>
      </c>
      <c r="IY426">
        <v>0</v>
      </c>
      <c r="IZ426">
        <v>0</v>
      </c>
      <c r="JA426">
        <v>360</v>
      </c>
      <c r="JB426">
        <v>0</v>
      </c>
      <c r="JC426">
        <v>0</v>
      </c>
      <c r="JD426">
        <v>0</v>
      </c>
      <c r="JE426">
        <v>0</v>
      </c>
      <c r="JF426">
        <v>0</v>
      </c>
      <c r="JG426">
        <v>46113</v>
      </c>
      <c r="JH426">
        <v>0</v>
      </c>
      <c r="JI426">
        <v>287</v>
      </c>
      <c r="JJ426">
        <v>0</v>
      </c>
      <c r="JK426">
        <v>0</v>
      </c>
      <c r="JL426">
        <v>0</v>
      </c>
      <c r="JM426">
        <v>0</v>
      </c>
      <c r="JN426">
        <v>1536</v>
      </c>
      <c r="JO426">
        <v>0</v>
      </c>
      <c r="JP426">
        <v>2426</v>
      </c>
      <c r="JQ426">
        <v>0</v>
      </c>
      <c r="JR426">
        <v>50362</v>
      </c>
      <c r="JS426">
        <v>-640</v>
      </c>
      <c r="JT426">
        <v>0</v>
      </c>
      <c r="JU426">
        <v>0</v>
      </c>
      <c r="JV426">
        <v>0</v>
      </c>
      <c r="JW426">
        <v>-27775</v>
      </c>
      <c r="JX426">
        <v>0</v>
      </c>
      <c r="JY426">
        <v>-54</v>
      </c>
      <c r="JZ426">
        <v>0</v>
      </c>
      <c r="KA426">
        <v>0</v>
      </c>
      <c r="KB426">
        <v>0</v>
      </c>
      <c r="KC426">
        <v>21893</v>
      </c>
      <c r="KD426">
        <v>0</v>
      </c>
      <c r="KE426">
        <v>-3456</v>
      </c>
      <c r="KF426">
        <v>18437</v>
      </c>
      <c r="KG426">
        <v>0</v>
      </c>
      <c r="KH426">
        <v>0</v>
      </c>
      <c r="KI426">
        <v>0</v>
      </c>
      <c r="KJ426">
        <v>0</v>
      </c>
      <c r="KK426">
        <v>-4774</v>
      </c>
      <c r="KL426">
        <v>-196</v>
      </c>
      <c r="KM426">
        <v>0</v>
      </c>
      <c r="KN426">
        <v>0</v>
      </c>
      <c r="KO426">
        <v>1733</v>
      </c>
      <c r="KP426">
        <v>6</v>
      </c>
      <c r="KQ426">
        <v>0</v>
      </c>
      <c r="KR426">
        <v>9681</v>
      </c>
      <c r="KS426">
        <v>0</v>
      </c>
      <c r="KT426">
        <v>0</v>
      </c>
      <c r="KU426">
        <v>0</v>
      </c>
      <c r="KV426">
        <v>11920</v>
      </c>
      <c r="KW426">
        <v>1543</v>
      </c>
      <c r="KX426">
        <v>0</v>
      </c>
      <c r="KY426">
        <v>0</v>
      </c>
      <c r="KZ426">
        <v>0</v>
      </c>
      <c r="LA426">
        <v>7146</v>
      </c>
      <c r="LB426">
        <v>1347</v>
      </c>
      <c r="LC426">
        <v>0</v>
      </c>
      <c r="LD426">
        <v>3891</v>
      </c>
      <c r="LE426">
        <v>0</v>
      </c>
      <c r="LF426">
        <v>-1501</v>
      </c>
      <c r="LG426">
        <v>0</v>
      </c>
      <c r="LH426">
        <v>2749</v>
      </c>
      <c r="LI426">
        <v>2794</v>
      </c>
      <c r="LJ426">
        <v>2836</v>
      </c>
      <c r="LK426">
        <v>2660</v>
      </c>
      <c r="LL426">
        <v>5496</v>
      </c>
      <c r="LM426">
        <v>0</v>
      </c>
      <c r="LN426">
        <v>0</v>
      </c>
      <c r="LO426">
        <v>0</v>
      </c>
      <c r="LP426">
        <v>0</v>
      </c>
      <c r="LQ426">
        <v>0</v>
      </c>
      <c r="LR426">
        <v>0</v>
      </c>
      <c r="LS426">
        <v>0</v>
      </c>
      <c r="LT426">
        <v>0</v>
      </c>
      <c r="LU426">
        <v>0</v>
      </c>
      <c r="LV426">
        <v>-947</v>
      </c>
      <c r="LW426">
        <v>0</v>
      </c>
      <c r="LX426">
        <v>0</v>
      </c>
      <c r="LY426">
        <v>0</v>
      </c>
      <c r="LZ426">
        <v>3706</v>
      </c>
      <c r="MA426">
        <v>4158</v>
      </c>
      <c r="MB426">
        <v>1057</v>
      </c>
      <c r="MC426">
        <v>1461</v>
      </c>
      <c r="MD426">
        <v>0</v>
      </c>
      <c r="ME426">
        <v>0</v>
      </c>
      <c r="MF426">
        <v>8292</v>
      </c>
      <c r="MG426">
        <v>0</v>
      </c>
      <c r="MH426">
        <v>17727</v>
      </c>
      <c r="MI426">
        <v>0</v>
      </c>
      <c r="MJ426">
        <v>0</v>
      </c>
      <c r="MK426">
        <v>0</v>
      </c>
      <c r="ML426">
        <v>0</v>
      </c>
      <c r="MM426">
        <v>0</v>
      </c>
      <c r="MN426">
        <v>0</v>
      </c>
      <c r="MO426">
        <v>0</v>
      </c>
      <c r="MP426">
        <v>0</v>
      </c>
      <c r="MQ426">
        <v>0</v>
      </c>
      <c r="MR426">
        <v>0</v>
      </c>
      <c r="MS426">
        <v>0</v>
      </c>
      <c r="MT426">
        <v>0</v>
      </c>
      <c r="MU426">
        <v>0</v>
      </c>
      <c r="MV426">
        <v>0</v>
      </c>
      <c r="MW426">
        <v>0</v>
      </c>
      <c r="MX426">
        <v>0</v>
      </c>
      <c r="MY426">
        <v>360</v>
      </c>
      <c r="MZ426">
        <v>0</v>
      </c>
      <c r="NA426">
        <v>360</v>
      </c>
      <c r="NB426">
        <v>0</v>
      </c>
      <c r="NC426">
        <v>360</v>
      </c>
      <c r="ND426">
        <v>0</v>
      </c>
      <c r="NE426">
        <v>0</v>
      </c>
      <c r="NF426">
        <v>0</v>
      </c>
      <c r="NG426">
        <v>0</v>
      </c>
      <c r="NH426">
        <v>0</v>
      </c>
      <c r="NI426">
        <v>0</v>
      </c>
      <c r="NJ426">
        <v>0</v>
      </c>
      <c r="NK426">
        <v>0</v>
      </c>
      <c r="NL426">
        <v>0</v>
      </c>
      <c r="NM426">
        <v>0</v>
      </c>
      <c r="NN426">
        <v>0</v>
      </c>
      <c r="NO426">
        <v>0</v>
      </c>
      <c r="NP426">
        <v>0</v>
      </c>
      <c r="NQ426">
        <v>0</v>
      </c>
      <c r="NR426">
        <v>0</v>
      </c>
      <c r="NS426">
        <v>0</v>
      </c>
      <c r="NT426">
        <v>0</v>
      </c>
      <c r="NU426">
        <v>0</v>
      </c>
      <c r="NV426">
        <v>0</v>
      </c>
      <c r="NW426">
        <v>0</v>
      </c>
      <c r="NX426">
        <v>0</v>
      </c>
      <c r="NY426">
        <v>0</v>
      </c>
      <c r="NZ426">
        <v>0</v>
      </c>
      <c r="OA426">
        <v>0</v>
      </c>
      <c r="OB426">
        <v>0</v>
      </c>
      <c r="OC426">
        <v>0</v>
      </c>
      <c r="OD426">
        <v>0</v>
      </c>
      <c r="OE426">
        <v>0</v>
      </c>
      <c r="OF426">
        <v>0</v>
      </c>
      <c r="OG426">
        <v>0</v>
      </c>
      <c r="OH426">
        <v>0</v>
      </c>
      <c r="OI426">
        <v>0</v>
      </c>
      <c r="OJ426">
        <v>0</v>
      </c>
      <c r="OK426">
        <v>0</v>
      </c>
      <c r="OL426">
        <v>0</v>
      </c>
      <c r="OM426">
        <v>0</v>
      </c>
      <c r="ON426">
        <v>0</v>
      </c>
    </row>
    <row r="427" spans="1:404" x14ac:dyDescent="0.25">
      <c r="A427" t="s">
        <v>1350</v>
      </c>
      <c r="B427" t="s">
        <v>1351</v>
      </c>
      <c r="C427" t="s">
        <v>1349</v>
      </c>
      <c r="E427" t="s">
        <v>61</v>
      </c>
      <c r="F427">
        <v>0</v>
      </c>
      <c r="G427">
        <v>0</v>
      </c>
      <c r="H427">
        <v>0</v>
      </c>
      <c r="I427">
        <v>0</v>
      </c>
      <c r="J427">
        <v>0</v>
      </c>
      <c r="K427">
        <v>0</v>
      </c>
      <c r="L427">
        <v>0</v>
      </c>
      <c r="M427">
        <v>0</v>
      </c>
      <c r="N427">
        <v>0</v>
      </c>
      <c r="O427">
        <v>0</v>
      </c>
      <c r="P427">
        <v>0</v>
      </c>
      <c r="Q427">
        <v>0</v>
      </c>
      <c r="R427">
        <v>0</v>
      </c>
      <c r="S427">
        <v>0</v>
      </c>
      <c r="T427">
        <v>0</v>
      </c>
      <c r="U427">
        <v>0</v>
      </c>
      <c r="V427">
        <v>0</v>
      </c>
      <c r="W427">
        <v>0</v>
      </c>
      <c r="X427">
        <v>0</v>
      </c>
      <c r="Y427">
        <v>0</v>
      </c>
      <c r="Z427">
        <v>8</v>
      </c>
      <c r="AA427">
        <v>-705</v>
      </c>
      <c r="AB427">
        <v>0</v>
      </c>
      <c r="AC427">
        <v>0</v>
      </c>
      <c r="AD427">
        <v>0</v>
      </c>
      <c r="AE427">
        <v>0</v>
      </c>
      <c r="AF427">
        <v>0</v>
      </c>
      <c r="AG427">
        <v>0</v>
      </c>
      <c r="AH427">
        <v>0</v>
      </c>
      <c r="AI427">
        <v>-697</v>
      </c>
      <c r="AJ427">
        <v>0</v>
      </c>
      <c r="AK427">
        <v>0</v>
      </c>
      <c r="AL427">
        <v>0</v>
      </c>
      <c r="AM427">
        <v>0</v>
      </c>
      <c r="AN427">
        <v>0</v>
      </c>
      <c r="AO427">
        <v>0</v>
      </c>
      <c r="AP427">
        <v>0</v>
      </c>
      <c r="AQ427">
        <v>60</v>
      </c>
      <c r="AR427">
        <v>120</v>
      </c>
      <c r="AS427">
        <v>0</v>
      </c>
      <c r="AT427">
        <v>0</v>
      </c>
      <c r="AU427">
        <v>0</v>
      </c>
      <c r="AV427">
        <v>0</v>
      </c>
      <c r="AW427">
        <v>0</v>
      </c>
      <c r="AX427">
        <v>0</v>
      </c>
      <c r="AY427">
        <v>0</v>
      </c>
      <c r="AZ427">
        <v>0</v>
      </c>
      <c r="BA427">
        <v>0</v>
      </c>
      <c r="BB427">
        <v>0</v>
      </c>
      <c r="BC427">
        <v>0</v>
      </c>
      <c r="BD427">
        <v>0</v>
      </c>
      <c r="BE427">
        <v>0</v>
      </c>
      <c r="BF427">
        <v>0</v>
      </c>
      <c r="BG427">
        <v>0</v>
      </c>
      <c r="BH427">
        <v>0</v>
      </c>
      <c r="BI427">
        <v>0</v>
      </c>
      <c r="BJ427">
        <v>0</v>
      </c>
      <c r="BK427">
        <v>0</v>
      </c>
      <c r="BL427">
        <v>0</v>
      </c>
      <c r="BM427">
        <v>0</v>
      </c>
      <c r="BN427">
        <v>0</v>
      </c>
      <c r="BO427">
        <v>0</v>
      </c>
      <c r="BP427">
        <v>0</v>
      </c>
      <c r="BQ427">
        <v>0</v>
      </c>
      <c r="BR427">
        <v>0</v>
      </c>
      <c r="BS427">
        <v>0</v>
      </c>
      <c r="BT427">
        <v>0</v>
      </c>
      <c r="BU427">
        <v>0</v>
      </c>
      <c r="BV427">
        <v>0</v>
      </c>
      <c r="BW427">
        <v>0</v>
      </c>
      <c r="BX427">
        <v>0</v>
      </c>
      <c r="BY427">
        <v>0</v>
      </c>
      <c r="BZ427">
        <v>0</v>
      </c>
      <c r="CA427">
        <v>0</v>
      </c>
      <c r="CB427">
        <v>0</v>
      </c>
      <c r="CC427">
        <v>0</v>
      </c>
      <c r="CD427">
        <v>0</v>
      </c>
      <c r="CE427">
        <v>0</v>
      </c>
      <c r="CF427">
        <v>0</v>
      </c>
      <c r="CG427">
        <v>93</v>
      </c>
      <c r="CH427">
        <v>0</v>
      </c>
      <c r="CI427">
        <v>0</v>
      </c>
      <c r="CJ427">
        <v>0</v>
      </c>
      <c r="CK427">
        <v>0</v>
      </c>
      <c r="CL427">
        <v>0</v>
      </c>
      <c r="CM427">
        <v>0</v>
      </c>
      <c r="CN427">
        <v>0</v>
      </c>
      <c r="CO427">
        <v>0</v>
      </c>
      <c r="CP427">
        <v>0</v>
      </c>
      <c r="CQ427">
        <v>0</v>
      </c>
      <c r="CR427">
        <v>0</v>
      </c>
      <c r="CS427">
        <v>0</v>
      </c>
      <c r="CT427">
        <v>0</v>
      </c>
      <c r="CU427">
        <v>0</v>
      </c>
      <c r="CV427">
        <v>93</v>
      </c>
      <c r="CW427">
        <v>0</v>
      </c>
      <c r="CX427">
        <v>0</v>
      </c>
      <c r="CY427">
        <v>0</v>
      </c>
      <c r="CZ427">
        <v>0</v>
      </c>
      <c r="DA427">
        <v>0</v>
      </c>
      <c r="DB427">
        <v>0</v>
      </c>
      <c r="DC427">
        <v>260</v>
      </c>
      <c r="DD427">
        <v>0</v>
      </c>
      <c r="DE427">
        <v>110</v>
      </c>
      <c r="DF427">
        <v>71</v>
      </c>
      <c r="DG427">
        <v>39</v>
      </c>
      <c r="DH427">
        <v>35</v>
      </c>
      <c r="DI427">
        <v>19</v>
      </c>
      <c r="DJ427">
        <v>73</v>
      </c>
      <c r="DK427">
        <v>4</v>
      </c>
      <c r="DL427">
        <v>0</v>
      </c>
      <c r="DM427">
        <v>34</v>
      </c>
      <c r="DN427">
        <v>651</v>
      </c>
      <c r="DO427">
        <v>73</v>
      </c>
      <c r="DP427">
        <v>928</v>
      </c>
      <c r="DQ427">
        <v>0</v>
      </c>
      <c r="DR427">
        <v>0</v>
      </c>
      <c r="DS427">
        <v>0</v>
      </c>
      <c r="DT427">
        <v>435</v>
      </c>
      <c r="DU427">
        <v>0</v>
      </c>
      <c r="DV427">
        <v>0</v>
      </c>
      <c r="DW427">
        <v>0</v>
      </c>
      <c r="DX427">
        <v>1804</v>
      </c>
      <c r="DY427">
        <v>0</v>
      </c>
      <c r="DZ427">
        <v>0</v>
      </c>
      <c r="EA427">
        <v>0</v>
      </c>
      <c r="EB427">
        <v>0</v>
      </c>
      <c r="EC427">
        <v>0</v>
      </c>
      <c r="ED427">
        <v>0</v>
      </c>
      <c r="EE427">
        <v>0</v>
      </c>
      <c r="EF427">
        <v>0</v>
      </c>
      <c r="EG427">
        <v>0</v>
      </c>
      <c r="EH427">
        <v>0</v>
      </c>
      <c r="EI427">
        <v>0</v>
      </c>
      <c r="EJ427">
        <v>0</v>
      </c>
      <c r="EK427">
        <v>0</v>
      </c>
      <c r="EL427">
        <v>0</v>
      </c>
      <c r="EM427">
        <v>0</v>
      </c>
      <c r="EN427">
        <v>0</v>
      </c>
      <c r="EO427">
        <v>0</v>
      </c>
      <c r="EP427">
        <v>0</v>
      </c>
      <c r="EQ427">
        <v>0</v>
      </c>
      <c r="ER427">
        <v>0</v>
      </c>
      <c r="ES427">
        <v>0</v>
      </c>
      <c r="ET427">
        <v>0</v>
      </c>
      <c r="EU427">
        <v>0</v>
      </c>
      <c r="EV427">
        <v>50</v>
      </c>
      <c r="EW427">
        <v>0</v>
      </c>
      <c r="EX427">
        <v>0</v>
      </c>
      <c r="EY427">
        <v>0</v>
      </c>
      <c r="EZ427">
        <v>6</v>
      </c>
      <c r="FA427">
        <v>0</v>
      </c>
      <c r="FB427">
        <v>188</v>
      </c>
      <c r="FC427">
        <v>729</v>
      </c>
      <c r="FD427">
        <v>1087</v>
      </c>
      <c r="FE427">
        <v>0</v>
      </c>
      <c r="FF427">
        <v>302</v>
      </c>
      <c r="FG427">
        <v>0</v>
      </c>
      <c r="FH427">
        <v>2362</v>
      </c>
      <c r="FI427">
        <v>0</v>
      </c>
      <c r="FJ427">
        <v>0</v>
      </c>
      <c r="FK427">
        <v>4</v>
      </c>
      <c r="FL427">
        <v>101</v>
      </c>
      <c r="FM427">
        <v>463</v>
      </c>
      <c r="FN427">
        <v>0</v>
      </c>
      <c r="FO427">
        <v>14</v>
      </c>
      <c r="FP427">
        <v>0</v>
      </c>
      <c r="FQ427">
        <v>0</v>
      </c>
      <c r="FR427">
        <v>50</v>
      </c>
      <c r="FS427">
        <v>359</v>
      </c>
      <c r="FT427">
        <v>66</v>
      </c>
      <c r="FU427">
        <v>-162</v>
      </c>
      <c r="FV427">
        <v>190</v>
      </c>
      <c r="FW427">
        <v>0</v>
      </c>
      <c r="FX427">
        <v>162</v>
      </c>
      <c r="FY427">
        <v>176</v>
      </c>
      <c r="FZ427">
        <v>0</v>
      </c>
      <c r="GA427">
        <v>0</v>
      </c>
      <c r="GB427">
        <v>0</v>
      </c>
      <c r="GC427">
        <v>0</v>
      </c>
      <c r="GD427">
        <v>1325</v>
      </c>
      <c r="GE427">
        <v>756</v>
      </c>
      <c r="GF427">
        <v>0</v>
      </c>
      <c r="GG427">
        <v>-33</v>
      </c>
      <c r="GH427">
        <v>1383</v>
      </c>
      <c r="GI427">
        <v>0</v>
      </c>
      <c r="GJ427">
        <v>0</v>
      </c>
      <c r="GK427">
        <v>4854</v>
      </c>
      <c r="GL427">
        <v>-27</v>
      </c>
      <c r="GM427">
        <v>-47</v>
      </c>
      <c r="GN427">
        <v>343</v>
      </c>
      <c r="GO427">
        <v>687</v>
      </c>
      <c r="GP427">
        <v>0</v>
      </c>
      <c r="GQ427">
        <v>549</v>
      </c>
      <c r="GR427">
        <v>0</v>
      </c>
      <c r="GS427">
        <v>0</v>
      </c>
      <c r="GT427">
        <v>216</v>
      </c>
      <c r="GU427">
        <v>1721</v>
      </c>
      <c r="GV427">
        <v>8937</v>
      </c>
      <c r="GW427">
        <v>0</v>
      </c>
      <c r="GX427">
        <v>0</v>
      </c>
      <c r="GY427">
        <v>0</v>
      </c>
      <c r="GZ427">
        <v>0</v>
      </c>
      <c r="HA427">
        <v>0</v>
      </c>
      <c r="HB427">
        <v>4196</v>
      </c>
      <c r="HC427">
        <v>208</v>
      </c>
      <c r="HD427">
        <v>0</v>
      </c>
      <c r="HE427">
        <v>0</v>
      </c>
      <c r="HF427">
        <v>172</v>
      </c>
      <c r="HG427">
        <v>111</v>
      </c>
      <c r="HH427">
        <v>0</v>
      </c>
      <c r="HI427">
        <v>0</v>
      </c>
      <c r="HJ427">
        <v>150</v>
      </c>
      <c r="HK427">
        <v>264</v>
      </c>
      <c r="HL427">
        <v>51</v>
      </c>
      <c r="HM427">
        <v>-13</v>
      </c>
      <c r="HN427">
        <v>0</v>
      </c>
      <c r="HO427">
        <v>75</v>
      </c>
      <c r="HP427">
        <v>0</v>
      </c>
      <c r="HQ427">
        <v>0</v>
      </c>
      <c r="HR427">
        <v>0</v>
      </c>
      <c r="HS427">
        <v>0</v>
      </c>
      <c r="HT427">
        <v>0</v>
      </c>
      <c r="HU427">
        <v>0</v>
      </c>
      <c r="HV427">
        <v>5214</v>
      </c>
      <c r="HW427">
        <v>0</v>
      </c>
      <c r="HX427">
        <v>0</v>
      </c>
      <c r="HY427">
        <v>0</v>
      </c>
      <c r="HZ427">
        <v>0</v>
      </c>
      <c r="IA427">
        <v>0</v>
      </c>
      <c r="IB427">
        <v>1799</v>
      </c>
      <c r="IC427">
        <v>0</v>
      </c>
      <c r="ID427">
        <v>-697</v>
      </c>
      <c r="IE427">
        <v>0</v>
      </c>
      <c r="IF427">
        <v>0</v>
      </c>
      <c r="IG427">
        <v>93</v>
      </c>
      <c r="IH427">
        <v>1804</v>
      </c>
      <c r="II427">
        <v>2362</v>
      </c>
      <c r="IJ427">
        <v>4854</v>
      </c>
      <c r="IK427">
        <v>1721</v>
      </c>
      <c r="IL427">
        <v>0</v>
      </c>
      <c r="IM427">
        <v>0</v>
      </c>
      <c r="IN427">
        <v>5214</v>
      </c>
      <c r="IO427">
        <v>1799</v>
      </c>
      <c r="IP427">
        <v>17150</v>
      </c>
      <c r="IQ427">
        <v>19748</v>
      </c>
      <c r="IR427">
        <v>0</v>
      </c>
      <c r="IS427">
        <v>0</v>
      </c>
      <c r="IT427">
        <v>0</v>
      </c>
      <c r="IU427">
        <v>0</v>
      </c>
      <c r="IV427">
        <v>2627</v>
      </c>
      <c r="IW427">
        <v>0</v>
      </c>
      <c r="IX427">
        <v>0</v>
      </c>
      <c r="IY427">
        <v>0</v>
      </c>
      <c r="IZ427">
        <v>0</v>
      </c>
      <c r="JA427">
        <v>0</v>
      </c>
      <c r="JB427">
        <v>0</v>
      </c>
      <c r="JC427">
        <v>0</v>
      </c>
      <c r="JD427">
        <v>0</v>
      </c>
      <c r="JE427">
        <v>0</v>
      </c>
      <c r="JF427">
        <v>0</v>
      </c>
      <c r="JG427">
        <v>39525</v>
      </c>
      <c r="JH427">
        <v>0</v>
      </c>
      <c r="JI427">
        <v>0</v>
      </c>
      <c r="JJ427">
        <v>0</v>
      </c>
      <c r="JK427">
        <v>0</v>
      </c>
      <c r="JL427">
        <v>0</v>
      </c>
      <c r="JM427">
        <v>0</v>
      </c>
      <c r="JN427">
        <v>0</v>
      </c>
      <c r="JO427">
        <v>0</v>
      </c>
      <c r="JP427">
        <v>0</v>
      </c>
      <c r="JQ427">
        <v>0</v>
      </c>
      <c r="JR427">
        <v>39525</v>
      </c>
      <c r="JS427">
        <v>-2844</v>
      </c>
      <c r="JT427">
        <v>0</v>
      </c>
      <c r="JU427">
        <v>0</v>
      </c>
      <c r="JV427">
        <v>0</v>
      </c>
      <c r="JW427">
        <v>-19608</v>
      </c>
      <c r="JX427">
        <v>0</v>
      </c>
      <c r="JY427">
        <v>0</v>
      </c>
      <c r="JZ427">
        <v>0</v>
      </c>
      <c r="KA427">
        <v>0</v>
      </c>
      <c r="KB427">
        <v>0</v>
      </c>
      <c r="KC427">
        <v>17073</v>
      </c>
      <c r="KD427">
        <v>0</v>
      </c>
      <c r="KE427">
        <v>-8501</v>
      </c>
      <c r="KF427">
        <v>8572</v>
      </c>
      <c r="KG427">
        <v>0</v>
      </c>
      <c r="KH427">
        <v>0</v>
      </c>
      <c r="KI427">
        <v>0</v>
      </c>
      <c r="KJ427">
        <v>0</v>
      </c>
      <c r="KK427">
        <v>6367</v>
      </c>
      <c r="KL427">
        <v>2518</v>
      </c>
      <c r="KM427">
        <v>0</v>
      </c>
      <c r="KN427">
        <v>0</v>
      </c>
      <c r="KO427">
        <v>-2015</v>
      </c>
      <c r="KP427">
        <v>25</v>
      </c>
      <c r="KQ427">
        <v>0</v>
      </c>
      <c r="KR427">
        <v>8905</v>
      </c>
      <c r="KS427">
        <v>0</v>
      </c>
      <c r="KT427">
        <v>0</v>
      </c>
      <c r="KU427">
        <v>0</v>
      </c>
      <c r="KV427">
        <v>65297</v>
      </c>
      <c r="KW427">
        <v>10917</v>
      </c>
      <c r="KX427">
        <v>0</v>
      </c>
      <c r="KY427">
        <v>0</v>
      </c>
      <c r="KZ427">
        <v>0</v>
      </c>
      <c r="LA427">
        <v>71664</v>
      </c>
      <c r="LB427">
        <v>13435</v>
      </c>
      <c r="LC427">
        <v>0</v>
      </c>
      <c r="LD427">
        <v>2643</v>
      </c>
      <c r="LE427">
        <v>190</v>
      </c>
      <c r="LF427">
        <v>-2267</v>
      </c>
      <c r="LG427">
        <v>-3190</v>
      </c>
      <c r="LH427">
        <v>6062</v>
      </c>
      <c r="LI427">
        <v>2311</v>
      </c>
      <c r="LJ427">
        <v>3290</v>
      </c>
      <c r="LK427">
        <v>3590</v>
      </c>
      <c r="LL427">
        <v>6880</v>
      </c>
      <c r="LM427">
        <v>172</v>
      </c>
      <c r="LN427">
        <v>0</v>
      </c>
      <c r="LO427">
        <v>0</v>
      </c>
      <c r="LP427">
        <v>0</v>
      </c>
      <c r="LQ427">
        <v>0</v>
      </c>
      <c r="LR427">
        <v>0</v>
      </c>
      <c r="LS427">
        <v>0</v>
      </c>
      <c r="LT427">
        <v>0</v>
      </c>
      <c r="LU427">
        <v>0</v>
      </c>
      <c r="LV427">
        <v>-697</v>
      </c>
      <c r="LW427">
        <v>0</v>
      </c>
      <c r="LX427">
        <v>0</v>
      </c>
      <c r="LY427">
        <v>93</v>
      </c>
      <c r="LZ427">
        <v>1804</v>
      </c>
      <c r="MA427">
        <v>2362</v>
      </c>
      <c r="MB427">
        <v>4854</v>
      </c>
      <c r="MC427">
        <v>1721</v>
      </c>
      <c r="MD427">
        <v>0</v>
      </c>
      <c r="ME427">
        <v>0</v>
      </c>
      <c r="MF427">
        <v>5214</v>
      </c>
      <c r="MG427">
        <v>1799</v>
      </c>
      <c r="MH427">
        <v>17150</v>
      </c>
      <c r="MI427">
        <v>0</v>
      </c>
      <c r="MJ427">
        <v>0</v>
      </c>
      <c r="MK427">
        <v>0</v>
      </c>
      <c r="ML427">
        <v>0</v>
      </c>
      <c r="MM427">
        <v>0</v>
      </c>
      <c r="MN427">
        <v>0</v>
      </c>
      <c r="MO427">
        <v>0</v>
      </c>
      <c r="MP427">
        <v>0</v>
      </c>
      <c r="MQ427">
        <v>0</v>
      </c>
      <c r="MR427">
        <v>0</v>
      </c>
      <c r="MS427">
        <v>0</v>
      </c>
      <c r="MT427">
        <v>0</v>
      </c>
      <c r="MU427">
        <v>0</v>
      </c>
      <c r="MV427">
        <v>0</v>
      </c>
      <c r="MW427">
        <v>0</v>
      </c>
      <c r="MX427">
        <v>0</v>
      </c>
      <c r="MY427">
        <v>0</v>
      </c>
      <c r="MZ427">
        <v>0</v>
      </c>
      <c r="NA427">
        <v>0</v>
      </c>
      <c r="NB427">
        <v>0</v>
      </c>
      <c r="NC427">
        <v>0</v>
      </c>
      <c r="ND427">
        <v>0</v>
      </c>
      <c r="NE427">
        <v>0</v>
      </c>
      <c r="NF427">
        <v>0</v>
      </c>
      <c r="NG427">
        <v>0</v>
      </c>
      <c r="NH427">
        <v>0</v>
      </c>
      <c r="NI427">
        <v>0</v>
      </c>
      <c r="NJ427">
        <v>0</v>
      </c>
      <c r="NK427">
        <v>0</v>
      </c>
      <c r="NL427">
        <v>0</v>
      </c>
      <c r="NM427">
        <v>0</v>
      </c>
      <c r="NN427">
        <v>0</v>
      </c>
      <c r="NO427">
        <v>0</v>
      </c>
      <c r="NP427">
        <v>0</v>
      </c>
      <c r="NQ427">
        <v>0</v>
      </c>
      <c r="NR427">
        <v>0</v>
      </c>
      <c r="NS427">
        <v>0</v>
      </c>
      <c r="NT427">
        <v>0</v>
      </c>
      <c r="NU427">
        <v>0</v>
      </c>
      <c r="NV427">
        <v>0</v>
      </c>
      <c r="NW427">
        <v>0</v>
      </c>
      <c r="NX427">
        <v>0</v>
      </c>
      <c r="NY427">
        <v>0</v>
      </c>
      <c r="NZ427">
        <v>0</v>
      </c>
      <c r="OA427">
        <v>0</v>
      </c>
      <c r="OB427">
        <v>0</v>
      </c>
      <c r="OC427">
        <v>0</v>
      </c>
      <c r="OD427">
        <v>0</v>
      </c>
      <c r="OE427">
        <v>0</v>
      </c>
      <c r="OF427">
        <v>0</v>
      </c>
      <c r="OG427">
        <v>0</v>
      </c>
      <c r="OH427">
        <v>0</v>
      </c>
      <c r="OI427">
        <v>0</v>
      </c>
      <c r="OJ427">
        <v>0</v>
      </c>
      <c r="OK427">
        <v>0</v>
      </c>
      <c r="OL427">
        <v>0</v>
      </c>
      <c r="OM427">
        <v>0</v>
      </c>
      <c r="ON427">
        <v>0</v>
      </c>
    </row>
    <row r="428" spans="1:404" x14ac:dyDescent="0.25">
      <c r="A428" t="s">
        <v>1353</v>
      </c>
      <c r="B428" t="s">
        <v>1354</v>
      </c>
      <c r="C428" t="s">
        <v>1352</v>
      </c>
      <c r="E428" t="s">
        <v>61</v>
      </c>
      <c r="F428">
        <v>0</v>
      </c>
      <c r="G428">
        <v>0</v>
      </c>
      <c r="H428">
        <v>0</v>
      </c>
      <c r="I428">
        <v>0</v>
      </c>
      <c r="J428">
        <v>0</v>
      </c>
      <c r="K428">
        <v>0</v>
      </c>
      <c r="L428">
        <v>0</v>
      </c>
      <c r="M428">
        <v>4</v>
      </c>
      <c r="N428">
        <v>0</v>
      </c>
      <c r="O428">
        <v>0</v>
      </c>
      <c r="P428">
        <v>0</v>
      </c>
      <c r="Q428">
        <v>0</v>
      </c>
      <c r="R428">
        <v>72</v>
      </c>
      <c r="S428">
        <v>127</v>
      </c>
      <c r="T428">
        <v>0</v>
      </c>
      <c r="U428">
        <v>20</v>
      </c>
      <c r="V428">
        <v>0</v>
      </c>
      <c r="W428">
        <v>0</v>
      </c>
      <c r="X428">
        <v>0</v>
      </c>
      <c r="Y428">
        <v>0</v>
      </c>
      <c r="Z428">
        <v>0</v>
      </c>
      <c r="AA428">
        <v>-109</v>
      </c>
      <c r="AB428">
        <v>0</v>
      </c>
      <c r="AC428">
        <v>0</v>
      </c>
      <c r="AD428">
        <v>0</v>
      </c>
      <c r="AE428">
        <v>0</v>
      </c>
      <c r="AF428">
        <v>90</v>
      </c>
      <c r="AG428">
        <v>77</v>
      </c>
      <c r="AH428">
        <v>0</v>
      </c>
      <c r="AI428">
        <v>281</v>
      </c>
      <c r="AJ428">
        <v>0</v>
      </c>
      <c r="AK428">
        <v>0</v>
      </c>
      <c r="AL428">
        <v>0</v>
      </c>
      <c r="AM428">
        <v>0</v>
      </c>
      <c r="AN428">
        <v>0</v>
      </c>
      <c r="AO428">
        <v>0</v>
      </c>
      <c r="AP428">
        <v>0</v>
      </c>
      <c r="AQ428">
        <v>0</v>
      </c>
      <c r="AR428">
        <v>0</v>
      </c>
      <c r="AS428">
        <v>0</v>
      </c>
      <c r="AT428">
        <v>0</v>
      </c>
      <c r="AU428">
        <v>0</v>
      </c>
      <c r="AV428">
        <v>0</v>
      </c>
      <c r="AW428">
        <v>0</v>
      </c>
      <c r="AX428">
        <v>0</v>
      </c>
      <c r="AY428">
        <v>0</v>
      </c>
      <c r="AZ428">
        <v>0</v>
      </c>
      <c r="BA428">
        <v>0</v>
      </c>
      <c r="BB428">
        <v>0</v>
      </c>
      <c r="BC428">
        <v>0</v>
      </c>
      <c r="BD428">
        <v>0</v>
      </c>
      <c r="BE428">
        <v>0</v>
      </c>
      <c r="BF428">
        <v>0</v>
      </c>
      <c r="BG428">
        <v>0</v>
      </c>
      <c r="BH428">
        <v>0</v>
      </c>
      <c r="BI428">
        <v>0</v>
      </c>
      <c r="BJ428">
        <v>0</v>
      </c>
      <c r="BK428">
        <v>0</v>
      </c>
      <c r="BL428">
        <v>0</v>
      </c>
      <c r="BM428">
        <v>0</v>
      </c>
      <c r="BN428">
        <v>0</v>
      </c>
      <c r="BO428">
        <v>0</v>
      </c>
      <c r="BP428">
        <v>6</v>
      </c>
      <c r="BQ428">
        <v>0</v>
      </c>
      <c r="BR428">
        <v>0</v>
      </c>
      <c r="BS428">
        <v>0</v>
      </c>
      <c r="BT428">
        <v>0</v>
      </c>
      <c r="BU428">
        <v>0</v>
      </c>
      <c r="BV428">
        <v>0</v>
      </c>
      <c r="BW428">
        <v>6</v>
      </c>
      <c r="BX428">
        <v>0</v>
      </c>
      <c r="BY428">
        <v>0</v>
      </c>
      <c r="BZ428">
        <v>0</v>
      </c>
      <c r="CA428">
        <v>0</v>
      </c>
      <c r="CB428">
        <v>0</v>
      </c>
      <c r="CC428">
        <v>0</v>
      </c>
      <c r="CD428">
        <v>0</v>
      </c>
      <c r="CE428">
        <v>0</v>
      </c>
      <c r="CF428">
        <v>0</v>
      </c>
      <c r="CG428">
        <v>0</v>
      </c>
      <c r="CH428">
        <v>0</v>
      </c>
      <c r="CI428">
        <v>0</v>
      </c>
      <c r="CJ428">
        <v>0</v>
      </c>
      <c r="CK428">
        <v>0</v>
      </c>
      <c r="CL428">
        <v>0</v>
      </c>
      <c r="CM428">
        <v>0</v>
      </c>
      <c r="CN428">
        <v>0</v>
      </c>
      <c r="CO428">
        <v>0</v>
      </c>
      <c r="CP428">
        <v>0</v>
      </c>
      <c r="CQ428">
        <v>0</v>
      </c>
      <c r="CR428">
        <v>0</v>
      </c>
      <c r="CS428">
        <v>0</v>
      </c>
      <c r="CT428">
        <v>0</v>
      </c>
      <c r="CU428">
        <v>0</v>
      </c>
      <c r="CV428">
        <v>796</v>
      </c>
      <c r="CW428">
        <v>0</v>
      </c>
      <c r="CX428">
        <v>0</v>
      </c>
      <c r="CY428">
        <v>0</v>
      </c>
      <c r="CZ428">
        <v>0</v>
      </c>
      <c r="DA428">
        <v>0</v>
      </c>
      <c r="DB428">
        <v>0</v>
      </c>
      <c r="DC428">
        <v>16</v>
      </c>
      <c r="DD428">
        <v>0</v>
      </c>
      <c r="DE428">
        <v>-82</v>
      </c>
      <c r="DF428">
        <v>10</v>
      </c>
      <c r="DG428">
        <v>0</v>
      </c>
      <c r="DH428">
        <v>0</v>
      </c>
      <c r="DI428">
        <v>0</v>
      </c>
      <c r="DJ428">
        <v>0</v>
      </c>
      <c r="DK428">
        <v>0</v>
      </c>
      <c r="DL428">
        <v>0</v>
      </c>
      <c r="DM428">
        <v>0</v>
      </c>
      <c r="DN428">
        <v>0</v>
      </c>
      <c r="DO428">
        <v>427</v>
      </c>
      <c r="DP428">
        <v>427</v>
      </c>
      <c r="DQ428">
        <v>38</v>
      </c>
      <c r="DR428">
        <v>0</v>
      </c>
      <c r="DS428">
        <v>0</v>
      </c>
      <c r="DT428">
        <v>425</v>
      </c>
      <c r="DU428">
        <v>0</v>
      </c>
      <c r="DV428">
        <v>100</v>
      </c>
      <c r="DW428">
        <v>0</v>
      </c>
      <c r="DX428">
        <v>934</v>
      </c>
      <c r="DY428">
        <v>0</v>
      </c>
      <c r="DZ428">
        <v>0</v>
      </c>
      <c r="EA428">
        <v>0</v>
      </c>
      <c r="EB428">
        <v>0</v>
      </c>
      <c r="EC428">
        <v>0</v>
      </c>
      <c r="ED428">
        <v>0</v>
      </c>
      <c r="EE428">
        <v>0</v>
      </c>
      <c r="EF428">
        <v>0</v>
      </c>
      <c r="EG428">
        <v>0</v>
      </c>
      <c r="EH428">
        <v>0</v>
      </c>
      <c r="EI428">
        <v>0</v>
      </c>
      <c r="EJ428">
        <v>0</v>
      </c>
      <c r="EK428">
        <v>0</v>
      </c>
      <c r="EL428">
        <v>0</v>
      </c>
      <c r="EM428">
        <v>0</v>
      </c>
      <c r="EN428">
        <v>0</v>
      </c>
      <c r="EO428">
        <v>0</v>
      </c>
      <c r="EP428">
        <v>0</v>
      </c>
      <c r="EQ428">
        <v>0</v>
      </c>
      <c r="ER428">
        <v>0</v>
      </c>
      <c r="ES428">
        <v>0</v>
      </c>
      <c r="ET428">
        <v>0</v>
      </c>
      <c r="EU428">
        <v>0</v>
      </c>
      <c r="EV428">
        <v>238</v>
      </c>
      <c r="EW428">
        <v>42</v>
      </c>
      <c r="EX428">
        <v>0</v>
      </c>
      <c r="EY428">
        <v>530</v>
      </c>
      <c r="EZ428">
        <v>18</v>
      </c>
      <c r="FA428">
        <v>280</v>
      </c>
      <c r="FB428">
        <v>183</v>
      </c>
      <c r="FC428">
        <v>287</v>
      </c>
      <c r="FD428">
        <v>1902</v>
      </c>
      <c r="FE428">
        <v>7</v>
      </c>
      <c r="FF428">
        <v>156</v>
      </c>
      <c r="FG428">
        <v>0</v>
      </c>
      <c r="FH428">
        <v>3643</v>
      </c>
      <c r="FI428">
        <v>16</v>
      </c>
      <c r="FJ428">
        <v>0</v>
      </c>
      <c r="FK428">
        <v>13</v>
      </c>
      <c r="FL428">
        <v>173</v>
      </c>
      <c r="FM428">
        <v>152</v>
      </c>
      <c r="FN428">
        <v>77</v>
      </c>
      <c r="FO428">
        <v>101</v>
      </c>
      <c r="FP428">
        <v>0</v>
      </c>
      <c r="FQ428">
        <v>0</v>
      </c>
      <c r="FR428">
        <v>45</v>
      </c>
      <c r="FS428">
        <v>218</v>
      </c>
      <c r="FT428">
        <v>274</v>
      </c>
      <c r="FU428">
        <v>31</v>
      </c>
      <c r="FV428">
        <v>0</v>
      </c>
      <c r="FW428">
        <v>268</v>
      </c>
      <c r="FX428">
        <v>0</v>
      </c>
      <c r="FY428">
        <v>50</v>
      </c>
      <c r="FZ428">
        <v>40</v>
      </c>
      <c r="GA428">
        <v>0</v>
      </c>
      <c r="GB428">
        <v>377</v>
      </c>
      <c r="GC428">
        <v>0</v>
      </c>
      <c r="GD428">
        <v>1153</v>
      </c>
      <c r="GE428">
        <v>1670</v>
      </c>
      <c r="GF428">
        <v>0</v>
      </c>
      <c r="GG428">
        <v>22</v>
      </c>
      <c r="GH428">
        <v>52</v>
      </c>
      <c r="GI428">
        <v>-2</v>
      </c>
      <c r="GJ428">
        <v>71</v>
      </c>
      <c r="GK428">
        <v>4801</v>
      </c>
      <c r="GL428">
        <v>78</v>
      </c>
      <c r="GM428">
        <v>564</v>
      </c>
      <c r="GN428">
        <v>17</v>
      </c>
      <c r="GO428">
        <v>425</v>
      </c>
      <c r="GP428">
        <v>2</v>
      </c>
      <c r="GQ428">
        <v>1210</v>
      </c>
      <c r="GR428">
        <v>0</v>
      </c>
      <c r="GS428">
        <v>2986</v>
      </c>
      <c r="GT428">
        <v>12</v>
      </c>
      <c r="GU428">
        <v>5294</v>
      </c>
      <c r="GV428">
        <v>13738</v>
      </c>
      <c r="GW428">
        <v>0</v>
      </c>
      <c r="GX428">
        <v>0</v>
      </c>
      <c r="GY428">
        <v>0</v>
      </c>
      <c r="GZ428">
        <v>0</v>
      </c>
      <c r="HA428">
        <v>0</v>
      </c>
      <c r="HB428">
        <v>2039</v>
      </c>
      <c r="HC428">
        <v>246</v>
      </c>
      <c r="HD428">
        <v>0</v>
      </c>
      <c r="HE428">
        <v>0</v>
      </c>
      <c r="HF428">
        <v>569</v>
      </c>
      <c r="HG428">
        <v>-35</v>
      </c>
      <c r="HH428">
        <v>0</v>
      </c>
      <c r="HI428">
        <v>0</v>
      </c>
      <c r="HJ428">
        <v>216</v>
      </c>
      <c r="HK428">
        <v>-2</v>
      </c>
      <c r="HL428">
        <v>135</v>
      </c>
      <c r="HM428">
        <v>34</v>
      </c>
      <c r="HN428">
        <v>0</v>
      </c>
      <c r="HO428">
        <v>78</v>
      </c>
      <c r="HP428">
        <v>0</v>
      </c>
      <c r="HQ428">
        <v>0</v>
      </c>
      <c r="HR428">
        <v>0</v>
      </c>
      <c r="HS428">
        <v>0</v>
      </c>
      <c r="HT428">
        <v>0</v>
      </c>
      <c r="HU428">
        <v>-429</v>
      </c>
      <c r="HV428">
        <v>2851</v>
      </c>
      <c r="HW428">
        <v>0</v>
      </c>
      <c r="HX428">
        <v>0</v>
      </c>
      <c r="HY428">
        <v>0</v>
      </c>
      <c r="HZ428">
        <v>0</v>
      </c>
      <c r="IA428">
        <v>0</v>
      </c>
      <c r="IB428">
        <v>0</v>
      </c>
      <c r="IC428">
        <v>0</v>
      </c>
      <c r="ID428">
        <v>281</v>
      </c>
      <c r="IE428">
        <v>0</v>
      </c>
      <c r="IF428">
        <v>6</v>
      </c>
      <c r="IG428">
        <v>796</v>
      </c>
      <c r="IH428">
        <v>934</v>
      </c>
      <c r="II428">
        <v>3643</v>
      </c>
      <c r="IJ428">
        <v>4801</v>
      </c>
      <c r="IK428">
        <v>5294</v>
      </c>
      <c r="IL428">
        <v>0</v>
      </c>
      <c r="IM428">
        <v>0</v>
      </c>
      <c r="IN428">
        <v>2851</v>
      </c>
      <c r="IO428">
        <v>0</v>
      </c>
      <c r="IP428">
        <v>18606</v>
      </c>
      <c r="IQ428">
        <v>20430</v>
      </c>
      <c r="IR428">
        <v>16</v>
      </c>
      <c r="IS428">
        <v>0</v>
      </c>
      <c r="IT428">
        <v>0</v>
      </c>
      <c r="IU428">
        <v>0</v>
      </c>
      <c r="IV428">
        <v>784</v>
      </c>
      <c r="IW428">
        <v>0</v>
      </c>
      <c r="IX428">
        <v>0</v>
      </c>
      <c r="IY428">
        <v>0</v>
      </c>
      <c r="IZ428">
        <v>0</v>
      </c>
      <c r="JA428">
        <v>0</v>
      </c>
      <c r="JB428">
        <v>0</v>
      </c>
      <c r="JC428">
        <v>0</v>
      </c>
      <c r="JD428">
        <v>0</v>
      </c>
      <c r="JE428">
        <v>1</v>
      </c>
      <c r="JF428">
        <v>0</v>
      </c>
      <c r="JG428">
        <v>39837</v>
      </c>
      <c r="JH428">
        <v>0</v>
      </c>
      <c r="JI428">
        <v>130</v>
      </c>
      <c r="JJ428">
        <v>0</v>
      </c>
      <c r="JK428">
        <v>0</v>
      </c>
      <c r="JL428">
        <v>0</v>
      </c>
      <c r="JM428">
        <v>67</v>
      </c>
      <c r="JN428">
        <v>96</v>
      </c>
      <c r="JO428">
        <v>0</v>
      </c>
      <c r="JP428">
        <v>69</v>
      </c>
      <c r="JQ428">
        <v>0</v>
      </c>
      <c r="JR428">
        <v>40199</v>
      </c>
      <c r="JS428">
        <v>-68</v>
      </c>
      <c r="JT428">
        <v>0</v>
      </c>
      <c r="JU428">
        <v>0</v>
      </c>
      <c r="JV428">
        <v>0</v>
      </c>
      <c r="JW428">
        <v>-20687</v>
      </c>
      <c r="JX428">
        <v>0</v>
      </c>
      <c r="JY428">
        <v>0</v>
      </c>
      <c r="JZ428">
        <v>0</v>
      </c>
      <c r="KA428">
        <v>0</v>
      </c>
      <c r="KB428">
        <v>0</v>
      </c>
      <c r="KC428">
        <v>19444</v>
      </c>
      <c r="KD428">
        <v>0</v>
      </c>
      <c r="KE428">
        <v>-6883</v>
      </c>
      <c r="KF428">
        <v>12561</v>
      </c>
      <c r="KG428">
        <v>0</v>
      </c>
      <c r="KH428">
        <v>0</v>
      </c>
      <c r="KI428">
        <v>0</v>
      </c>
      <c r="KJ428">
        <v>0</v>
      </c>
      <c r="KK428">
        <v>922</v>
      </c>
      <c r="KL428">
        <v>236</v>
      </c>
      <c r="KM428">
        <v>0</v>
      </c>
      <c r="KN428">
        <v>0</v>
      </c>
      <c r="KO428">
        <v>0</v>
      </c>
      <c r="KP428">
        <v>22</v>
      </c>
      <c r="KQ428">
        <v>0</v>
      </c>
      <c r="KR428">
        <v>8540</v>
      </c>
      <c r="KS428">
        <v>0</v>
      </c>
      <c r="KT428">
        <v>0</v>
      </c>
      <c r="KU428">
        <v>0</v>
      </c>
      <c r="KV428">
        <v>21068</v>
      </c>
      <c r="KW428">
        <v>13093</v>
      </c>
      <c r="KX428">
        <v>0</v>
      </c>
      <c r="KY428">
        <v>0</v>
      </c>
      <c r="KZ428">
        <v>0</v>
      </c>
      <c r="LA428">
        <v>21990</v>
      </c>
      <c r="LB428">
        <v>13329</v>
      </c>
      <c r="LC428">
        <v>0</v>
      </c>
      <c r="LD428">
        <v>4035</v>
      </c>
      <c r="LE428">
        <v>25</v>
      </c>
      <c r="LF428">
        <v>0</v>
      </c>
      <c r="LG428">
        <v>0</v>
      </c>
      <c r="LH428">
        <v>2201</v>
      </c>
      <c r="LI428">
        <v>6261</v>
      </c>
      <c r="LJ428">
        <v>4362</v>
      </c>
      <c r="LK428">
        <v>5016</v>
      </c>
      <c r="LL428">
        <v>9378</v>
      </c>
      <c r="LM428">
        <v>0</v>
      </c>
      <c r="LN428">
        <v>0</v>
      </c>
      <c r="LO428">
        <v>0</v>
      </c>
      <c r="LP428">
        <v>0</v>
      </c>
      <c r="LQ428">
        <v>0</v>
      </c>
      <c r="LR428">
        <v>0</v>
      </c>
      <c r="LS428">
        <v>0</v>
      </c>
      <c r="LT428">
        <v>0</v>
      </c>
      <c r="LU428">
        <v>0</v>
      </c>
      <c r="LV428">
        <v>281</v>
      </c>
      <c r="LW428">
        <v>0</v>
      </c>
      <c r="LX428">
        <v>6</v>
      </c>
      <c r="LY428">
        <v>796</v>
      </c>
      <c r="LZ428">
        <v>934</v>
      </c>
      <c r="MA428">
        <v>3643</v>
      </c>
      <c r="MB428">
        <v>4801</v>
      </c>
      <c r="MC428">
        <v>5294</v>
      </c>
      <c r="MD428">
        <v>0</v>
      </c>
      <c r="ME428">
        <v>0</v>
      </c>
      <c r="MF428">
        <v>2851</v>
      </c>
      <c r="MG428">
        <v>0</v>
      </c>
      <c r="MH428">
        <v>18606</v>
      </c>
      <c r="MI428">
        <v>0</v>
      </c>
      <c r="MJ428">
        <v>0</v>
      </c>
      <c r="MK428">
        <v>0</v>
      </c>
      <c r="ML428">
        <v>0</v>
      </c>
      <c r="MM428">
        <v>0</v>
      </c>
      <c r="MN428">
        <v>0</v>
      </c>
      <c r="MO428">
        <v>0</v>
      </c>
      <c r="MP428">
        <v>0</v>
      </c>
      <c r="MQ428">
        <v>0</v>
      </c>
      <c r="MR428">
        <v>0</v>
      </c>
      <c r="MS428">
        <v>0</v>
      </c>
      <c r="MT428">
        <v>0</v>
      </c>
      <c r="MU428">
        <v>0</v>
      </c>
      <c r="MV428">
        <v>0</v>
      </c>
      <c r="MW428">
        <v>0</v>
      </c>
      <c r="MX428">
        <v>0</v>
      </c>
      <c r="MY428">
        <v>0</v>
      </c>
      <c r="MZ428">
        <v>0</v>
      </c>
      <c r="NA428">
        <v>0</v>
      </c>
      <c r="NB428">
        <v>0</v>
      </c>
      <c r="NC428">
        <v>0</v>
      </c>
      <c r="ND428">
        <v>0</v>
      </c>
      <c r="NE428">
        <v>0</v>
      </c>
      <c r="NF428">
        <v>0</v>
      </c>
      <c r="NG428">
        <v>0</v>
      </c>
      <c r="NH428">
        <v>0</v>
      </c>
      <c r="NI428">
        <v>0</v>
      </c>
      <c r="NJ428">
        <v>0</v>
      </c>
      <c r="NK428">
        <v>0</v>
      </c>
      <c r="NL428">
        <v>0</v>
      </c>
      <c r="NM428">
        <v>0</v>
      </c>
      <c r="NN428">
        <v>0</v>
      </c>
      <c r="NO428">
        <v>0</v>
      </c>
      <c r="NP428">
        <v>0</v>
      </c>
      <c r="NQ428">
        <v>0</v>
      </c>
      <c r="NR428">
        <v>0</v>
      </c>
      <c r="NS428">
        <v>0</v>
      </c>
      <c r="NT428">
        <v>0</v>
      </c>
      <c r="NU428">
        <v>0</v>
      </c>
      <c r="NV428">
        <v>0</v>
      </c>
      <c r="NW428">
        <v>0</v>
      </c>
      <c r="NX428">
        <v>0</v>
      </c>
      <c r="NY428">
        <v>0</v>
      </c>
      <c r="NZ428">
        <v>0</v>
      </c>
      <c r="OA428">
        <v>0</v>
      </c>
      <c r="OB428">
        <v>0</v>
      </c>
      <c r="OC428">
        <v>0</v>
      </c>
      <c r="OD428">
        <v>0</v>
      </c>
      <c r="OE428">
        <v>0</v>
      </c>
      <c r="OF428">
        <v>0</v>
      </c>
      <c r="OG428">
        <v>0</v>
      </c>
      <c r="OH428">
        <v>0</v>
      </c>
      <c r="OI428">
        <v>0</v>
      </c>
      <c r="OJ428">
        <v>0</v>
      </c>
      <c r="OK428">
        <v>0</v>
      </c>
      <c r="OL428">
        <v>0</v>
      </c>
      <c r="OM428">
        <v>0</v>
      </c>
      <c r="ON428">
        <v>0</v>
      </c>
    </row>
    <row r="429" spans="1:404" x14ac:dyDescent="0.25">
      <c r="A429" t="s">
        <v>1356</v>
      </c>
      <c r="B429" t="s">
        <v>1357</v>
      </c>
      <c r="C429" t="s">
        <v>1355</v>
      </c>
      <c r="E429" t="s">
        <v>61</v>
      </c>
      <c r="F429">
        <v>0</v>
      </c>
      <c r="G429">
        <v>0</v>
      </c>
      <c r="H429">
        <v>0</v>
      </c>
      <c r="I429">
        <v>0</v>
      </c>
      <c r="J429">
        <v>0</v>
      </c>
      <c r="K429">
        <v>0</v>
      </c>
      <c r="L429">
        <v>0</v>
      </c>
      <c r="M429">
        <v>4</v>
      </c>
      <c r="N429">
        <v>0</v>
      </c>
      <c r="O429">
        <v>0</v>
      </c>
      <c r="P429">
        <v>0</v>
      </c>
      <c r="Q429">
        <v>0</v>
      </c>
      <c r="R429">
        <v>190</v>
      </c>
      <c r="S429">
        <v>179</v>
      </c>
      <c r="T429">
        <v>0</v>
      </c>
      <c r="U429">
        <v>0</v>
      </c>
      <c r="V429">
        <v>0</v>
      </c>
      <c r="W429">
        <v>0</v>
      </c>
      <c r="X429">
        <v>0</v>
      </c>
      <c r="Y429">
        <v>0</v>
      </c>
      <c r="Z429">
        <v>64</v>
      </c>
      <c r="AA429">
        <v>-608</v>
      </c>
      <c r="AB429">
        <v>0</v>
      </c>
      <c r="AC429">
        <v>0</v>
      </c>
      <c r="AD429">
        <v>0</v>
      </c>
      <c r="AE429">
        <v>0</v>
      </c>
      <c r="AF429">
        <v>0</v>
      </c>
      <c r="AG429">
        <v>0</v>
      </c>
      <c r="AH429">
        <v>0</v>
      </c>
      <c r="AI429">
        <v>-171</v>
      </c>
      <c r="AJ429">
        <v>0</v>
      </c>
      <c r="AK429">
        <v>0</v>
      </c>
      <c r="AL429">
        <v>0</v>
      </c>
      <c r="AM429">
        <v>0</v>
      </c>
      <c r="AN429">
        <v>0</v>
      </c>
      <c r="AO429">
        <v>0</v>
      </c>
      <c r="AP429">
        <v>0</v>
      </c>
      <c r="AQ429">
        <v>146</v>
      </c>
      <c r="AR429">
        <v>0</v>
      </c>
      <c r="AS429">
        <v>0</v>
      </c>
      <c r="AT429">
        <v>0</v>
      </c>
      <c r="AU429">
        <v>0</v>
      </c>
      <c r="AV429">
        <v>0</v>
      </c>
      <c r="AW429">
        <v>0</v>
      </c>
      <c r="AX429">
        <v>0</v>
      </c>
      <c r="AY429">
        <v>0</v>
      </c>
      <c r="AZ429">
        <v>0</v>
      </c>
      <c r="BA429">
        <v>0</v>
      </c>
      <c r="BB429">
        <v>0</v>
      </c>
      <c r="BC429">
        <v>0</v>
      </c>
      <c r="BD429">
        <v>0</v>
      </c>
      <c r="BE429">
        <v>0</v>
      </c>
      <c r="BF429">
        <v>0</v>
      </c>
      <c r="BG429">
        <v>0</v>
      </c>
      <c r="BH429">
        <v>0</v>
      </c>
      <c r="BI429">
        <v>0</v>
      </c>
      <c r="BJ429">
        <v>0</v>
      </c>
      <c r="BK429">
        <v>0</v>
      </c>
      <c r="BL429">
        <v>0</v>
      </c>
      <c r="BM429">
        <v>0</v>
      </c>
      <c r="BN429">
        <v>0</v>
      </c>
      <c r="BO429">
        <v>0</v>
      </c>
      <c r="BP429">
        <v>0</v>
      </c>
      <c r="BQ429">
        <v>0</v>
      </c>
      <c r="BR429">
        <v>0</v>
      </c>
      <c r="BS429">
        <v>0</v>
      </c>
      <c r="BT429">
        <v>0</v>
      </c>
      <c r="BU429">
        <v>0</v>
      </c>
      <c r="BV429">
        <v>3</v>
      </c>
      <c r="BW429">
        <v>3</v>
      </c>
      <c r="BX429">
        <v>0</v>
      </c>
      <c r="BY429">
        <v>0</v>
      </c>
      <c r="BZ429">
        <v>0</v>
      </c>
      <c r="CA429">
        <v>0</v>
      </c>
      <c r="CB429">
        <v>0</v>
      </c>
      <c r="CC429">
        <v>0</v>
      </c>
      <c r="CD429">
        <v>0</v>
      </c>
      <c r="CE429">
        <v>0</v>
      </c>
      <c r="CF429">
        <v>0</v>
      </c>
      <c r="CG429">
        <v>0</v>
      </c>
      <c r="CH429">
        <v>0</v>
      </c>
      <c r="CI429">
        <v>0</v>
      </c>
      <c r="CJ429">
        <v>0</v>
      </c>
      <c r="CK429">
        <v>0</v>
      </c>
      <c r="CL429">
        <v>0</v>
      </c>
      <c r="CM429">
        <v>0</v>
      </c>
      <c r="CN429">
        <v>0</v>
      </c>
      <c r="CO429">
        <v>0</v>
      </c>
      <c r="CP429">
        <v>0</v>
      </c>
      <c r="CQ429">
        <v>0</v>
      </c>
      <c r="CR429">
        <v>0</v>
      </c>
      <c r="CS429">
        <v>0</v>
      </c>
      <c r="CT429">
        <v>0</v>
      </c>
      <c r="CU429">
        <v>0</v>
      </c>
      <c r="CV429">
        <v>0</v>
      </c>
      <c r="CW429">
        <v>0</v>
      </c>
      <c r="CX429">
        <v>0</v>
      </c>
      <c r="CY429">
        <v>0</v>
      </c>
      <c r="CZ429">
        <v>0</v>
      </c>
      <c r="DA429">
        <v>0</v>
      </c>
      <c r="DB429">
        <v>0</v>
      </c>
      <c r="DC429">
        <v>257</v>
      </c>
      <c r="DD429">
        <v>0</v>
      </c>
      <c r="DE429">
        <v>-59</v>
      </c>
      <c r="DF429">
        <v>75</v>
      </c>
      <c r="DG429">
        <v>0</v>
      </c>
      <c r="DH429">
        <v>16</v>
      </c>
      <c r="DI429">
        <v>0</v>
      </c>
      <c r="DJ429">
        <v>122</v>
      </c>
      <c r="DK429">
        <v>17</v>
      </c>
      <c r="DL429">
        <v>0</v>
      </c>
      <c r="DM429">
        <v>0</v>
      </c>
      <c r="DN429">
        <v>0</v>
      </c>
      <c r="DO429">
        <v>700</v>
      </c>
      <c r="DP429">
        <v>855</v>
      </c>
      <c r="DQ429">
        <v>185</v>
      </c>
      <c r="DR429">
        <v>-104</v>
      </c>
      <c r="DS429">
        <v>0</v>
      </c>
      <c r="DT429">
        <v>369</v>
      </c>
      <c r="DU429">
        <v>0</v>
      </c>
      <c r="DV429">
        <v>-61</v>
      </c>
      <c r="DW429">
        <v>0</v>
      </c>
      <c r="DX429">
        <v>1517</v>
      </c>
      <c r="DY429">
        <v>0</v>
      </c>
      <c r="DZ429">
        <v>0</v>
      </c>
      <c r="EA429">
        <v>0</v>
      </c>
      <c r="EB429">
        <v>0</v>
      </c>
      <c r="EC429">
        <v>0</v>
      </c>
      <c r="ED429">
        <v>0</v>
      </c>
      <c r="EE429">
        <v>0</v>
      </c>
      <c r="EF429">
        <v>0</v>
      </c>
      <c r="EG429">
        <v>0</v>
      </c>
      <c r="EH429">
        <v>0</v>
      </c>
      <c r="EI429">
        <v>0</v>
      </c>
      <c r="EJ429">
        <v>0</v>
      </c>
      <c r="EK429">
        <v>0</v>
      </c>
      <c r="EL429">
        <v>0</v>
      </c>
      <c r="EM429">
        <v>0</v>
      </c>
      <c r="EN429">
        <v>0</v>
      </c>
      <c r="EO429">
        <v>0</v>
      </c>
      <c r="EP429">
        <v>0</v>
      </c>
      <c r="EQ429">
        <v>0</v>
      </c>
      <c r="ER429">
        <v>0</v>
      </c>
      <c r="ES429">
        <v>0</v>
      </c>
      <c r="ET429">
        <v>0</v>
      </c>
      <c r="EU429">
        <v>0</v>
      </c>
      <c r="EV429">
        <v>0</v>
      </c>
      <c r="EW429">
        <v>0</v>
      </c>
      <c r="EX429">
        <v>295</v>
      </c>
      <c r="EY429">
        <v>93</v>
      </c>
      <c r="EZ429">
        <v>0</v>
      </c>
      <c r="FA429">
        <v>0</v>
      </c>
      <c r="FB429">
        <v>4</v>
      </c>
      <c r="FC429">
        <v>-153</v>
      </c>
      <c r="FD429">
        <v>1111</v>
      </c>
      <c r="FE429">
        <v>0</v>
      </c>
      <c r="FF429">
        <v>52</v>
      </c>
      <c r="FG429">
        <v>0</v>
      </c>
      <c r="FH429">
        <v>1402</v>
      </c>
      <c r="FI429">
        <v>60</v>
      </c>
      <c r="FJ429">
        <v>4</v>
      </c>
      <c r="FK429">
        <v>23</v>
      </c>
      <c r="FL429">
        <v>106</v>
      </c>
      <c r="FM429">
        <v>178</v>
      </c>
      <c r="FN429">
        <v>13</v>
      </c>
      <c r="FO429">
        <v>65</v>
      </c>
      <c r="FP429">
        <v>0</v>
      </c>
      <c r="FQ429">
        <v>0</v>
      </c>
      <c r="FR429">
        <v>17</v>
      </c>
      <c r="FS429">
        <v>35</v>
      </c>
      <c r="FT429">
        <v>127</v>
      </c>
      <c r="FU429">
        <v>-116</v>
      </c>
      <c r="FV429">
        <v>64</v>
      </c>
      <c r="FW429">
        <v>0</v>
      </c>
      <c r="FX429">
        <v>73</v>
      </c>
      <c r="FY429">
        <v>45</v>
      </c>
      <c r="FZ429">
        <v>107</v>
      </c>
      <c r="GA429">
        <v>0</v>
      </c>
      <c r="GB429">
        <v>0</v>
      </c>
      <c r="GC429">
        <v>0</v>
      </c>
      <c r="GD429">
        <v>229</v>
      </c>
      <c r="GE429">
        <v>1908</v>
      </c>
      <c r="GF429">
        <v>-6</v>
      </c>
      <c r="GG429">
        <v>-277</v>
      </c>
      <c r="GH429">
        <v>-246</v>
      </c>
      <c r="GI429">
        <v>0</v>
      </c>
      <c r="GJ429">
        <v>0</v>
      </c>
      <c r="GK429">
        <v>2409</v>
      </c>
      <c r="GL429">
        <v>-28</v>
      </c>
      <c r="GM429">
        <v>121</v>
      </c>
      <c r="GN429">
        <v>27</v>
      </c>
      <c r="GO429">
        <v>295</v>
      </c>
      <c r="GP429">
        <v>74</v>
      </c>
      <c r="GQ429">
        <v>3032</v>
      </c>
      <c r="GR429">
        <v>0</v>
      </c>
      <c r="GS429">
        <v>-782</v>
      </c>
      <c r="GT429">
        <v>42</v>
      </c>
      <c r="GU429">
        <v>2781</v>
      </c>
      <c r="GV429">
        <v>6592</v>
      </c>
      <c r="GW429">
        <v>0</v>
      </c>
      <c r="GX429">
        <v>0</v>
      </c>
      <c r="GY429">
        <v>0</v>
      </c>
      <c r="GZ429">
        <v>0</v>
      </c>
      <c r="HA429">
        <v>0</v>
      </c>
      <c r="HB429">
        <v>1612</v>
      </c>
      <c r="HC429">
        <v>-123</v>
      </c>
      <c r="HD429">
        <v>0</v>
      </c>
      <c r="HE429">
        <v>0</v>
      </c>
      <c r="HF429">
        <v>832</v>
      </c>
      <c r="HG429">
        <v>-17</v>
      </c>
      <c r="HH429">
        <v>0</v>
      </c>
      <c r="HI429">
        <v>0</v>
      </c>
      <c r="HJ429">
        <v>48</v>
      </c>
      <c r="HK429">
        <v>242</v>
      </c>
      <c r="HL429">
        <v>31</v>
      </c>
      <c r="HM429">
        <v>-13</v>
      </c>
      <c r="HN429">
        <v>-59</v>
      </c>
      <c r="HO429">
        <v>38</v>
      </c>
      <c r="HP429">
        <v>0</v>
      </c>
      <c r="HQ429">
        <v>0</v>
      </c>
      <c r="HR429">
        <v>2061</v>
      </c>
      <c r="HS429">
        <v>0</v>
      </c>
      <c r="HT429">
        <v>0</v>
      </c>
      <c r="HU429">
        <v>260</v>
      </c>
      <c r="HV429">
        <v>4912</v>
      </c>
      <c r="HW429">
        <v>0</v>
      </c>
      <c r="HX429">
        <v>6384</v>
      </c>
      <c r="HY429">
        <v>0</v>
      </c>
      <c r="HZ429">
        <v>0</v>
      </c>
      <c r="IA429">
        <v>0</v>
      </c>
      <c r="IB429">
        <v>0</v>
      </c>
      <c r="IC429">
        <v>0</v>
      </c>
      <c r="ID429">
        <v>-171</v>
      </c>
      <c r="IE429">
        <v>0</v>
      </c>
      <c r="IF429">
        <v>3</v>
      </c>
      <c r="IG429">
        <v>0</v>
      </c>
      <c r="IH429">
        <v>1517</v>
      </c>
      <c r="II429">
        <v>1402</v>
      </c>
      <c r="IJ429">
        <v>2409</v>
      </c>
      <c r="IK429">
        <v>2781</v>
      </c>
      <c r="IL429">
        <v>0</v>
      </c>
      <c r="IM429">
        <v>0</v>
      </c>
      <c r="IN429">
        <v>4912</v>
      </c>
      <c r="IO429">
        <v>0</v>
      </c>
      <c r="IP429">
        <v>12853</v>
      </c>
      <c r="IQ429">
        <v>19853</v>
      </c>
      <c r="IR429">
        <v>264</v>
      </c>
      <c r="IS429">
        <v>0</v>
      </c>
      <c r="IT429">
        <v>0</v>
      </c>
      <c r="IU429">
        <v>0</v>
      </c>
      <c r="IV429">
        <v>1458</v>
      </c>
      <c r="IW429">
        <v>0</v>
      </c>
      <c r="IX429">
        <v>0</v>
      </c>
      <c r="IY429">
        <v>0</v>
      </c>
      <c r="IZ429">
        <v>0</v>
      </c>
      <c r="JA429">
        <v>-238</v>
      </c>
      <c r="JB429">
        <v>16</v>
      </c>
      <c r="JC429">
        <v>-82</v>
      </c>
      <c r="JD429">
        <v>-51</v>
      </c>
      <c r="JE429">
        <v>50</v>
      </c>
      <c r="JF429">
        <v>0</v>
      </c>
      <c r="JG429">
        <v>34123</v>
      </c>
      <c r="JH429">
        <v>0</v>
      </c>
      <c r="JI429">
        <v>60</v>
      </c>
      <c r="JJ429">
        <v>0</v>
      </c>
      <c r="JK429">
        <v>0</v>
      </c>
      <c r="JL429">
        <v>0</v>
      </c>
      <c r="JM429">
        <v>519</v>
      </c>
      <c r="JN429">
        <v>1212</v>
      </c>
      <c r="JO429">
        <v>0</v>
      </c>
      <c r="JP429">
        <v>885</v>
      </c>
      <c r="JQ429">
        <v>0</v>
      </c>
      <c r="JR429">
        <v>36799</v>
      </c>
      <c r="JS429">
        <v>-76</v>
      </c>
      <c r="JT429">
        <v>0</v>
      </c>
      <c r="JU429">
        <v>0</v>
      </c>
      <c r="JV429">
        <v>0</v>
      </c>
      <c r="JW429">
        <v>-20178</v>
      </c>
      <c r="JX429">
        <v>0</v>
      </c>
      <c r="JY429">
        <v>0</v>
      </c>
      <c r="JZ429">
        <v>0</v>
      </c>
      <c r="KA429">
        <v>0</v>
      </c>
      <c r="KB429">
        <v>0</v>
      </c>
      <c r="KC429">
        <v>16545</v>
      </c>
      <c r="KD429">
        <v>0</v>
      </c>
      <c r="KE429">
        <v>-1258</v>
      </c>
      <c r="KF429">
        <v>15287</v>
      </c>
      <c r="KG429">
        <v>0</v>
      </c>
      <c r="KH429">
        <v>0</v>
      </c>
      <c r="KI429">
        <v>0</v>
      </c>
      <c r="KJ429">
        <v>0</v>
      </c>
      <c r="KK429">
        <v>1893</v>
      </c>
      <c r="KL429">
        <v>-259</v>
      </c>
      <c r="KM429">
        <v>0</v>
      </c>
      <c r="KN429">
        <v>0</v>
      </c>
      <c r="KO429">
        <v>-2870</v>
      </c>
      <c r="KP429">
        <v>146</v>
      </c>
      <c r="KQ429">
        <v>0</v>
      </c>
      <c r="KR429">
        <v>9036</v>
      </c>
      <c r="KS429">
        <v>0</v>
      </c>
      <c r="KT429">
        <v>0</v>
      </c>
      <c r="KU429">
        <v>0</v>
      </c>
      <c r="KV429">
        <v>13473</v>
      </c>
      <c r="KW429">
        <v>5600</v>
      </c>
      <c r="KX429">
        <v>0</v>
      </c>
      <c r="KY429">
        <v>0</v>
      </c>
      <c r="KZ429">
        <v>0</v>
      </c>
      <c r="LA429">
        <v>15366</v>
      </c>
      <c r="LB429">
        <v>5341</v>
      </c>
      <c r="LC429">
        <v>0</v>
      </c>
      <c r="LD429">
        <v>0</v>
      </c>
      <c r="LE429">
        <v>0</v>
      </c>
      <c r="LF429">
        <v>0</v>
      </c>
      <c r="LG429">
        <v>0</v>
      </c>
      <c r="LH429">
        <v>0</v>
      </c>
      <c r="LI429">
        <v>0</v>
      </c>
      <c r="LJ429">
        <v>3578</v>
      </c>
      <c r="LK429">
        <v>3965</v>
      </c>
      <c r="LL429">
        <v>7543</v>
      </c>
      <c r="LM429">
        <v>0</v>
      </c>
      <c r="LN429">
        <v>0</v>
      </c>
      <c r="LO429">
        <v>0</v>
      </c>
      <c r="LP429">
        <v>0</v>
      </c>
      <c r="LQ429">
        <v>0</v>
      </c>
      <c r="LR429">
        <v>0</v>
      </c>
      <c r="LS429">
        <v>0</v>
      </c>
      <c r="LT429">
        <v>0</v>
      </c>
      <c r="LU429">
        <v>0</v>
      </c>
      <c r="LV429">
        <v>-171</v>
      </c>
      <c r="LW429">
        <v>0</v>
      </c>
      <c r="LX429">
        <v>3</v>
      </c>
      <c r="LY429">
        <v>0</v>
      </c>
      <c r="LZ429">
        <v>1517</v>
      </c>
      <c r="MA429">
        <v>1402</v>
      </c>
      <c r="MB429">
        <v>2409</v>
      </c>
      <c r="MC429">
        <v>2781</v>
      </c>
      <c r="MD429">
        <v>0</v>
      </c>
      <c r="ME429">
        <v>0</v>
      </c>
      <c r="MF429">
        <v>4912</v>
      </c>
      <c r="MG429">
        <v>0</v>
      </c>
      <c r="MH429">
        <v>12853</v>
      </c>
      <c r="MI429">
        <v>0</v>
      </c>
      <c r="MJ429">
        <v>0</v>
      </c>
      <c r="MK429">
        <v>0</v>
      </c>
      <c r="ML429">
        <v>0</v>
      </c>
      <c r="MM429">
        <v>0</v>
      </c>
      <c r="MN429">
        <v>16</v>
      </c>
      <c r="MO429">
        <v>0</v>
      </c>
      <c r="MP429">
        <v>0</v>
      </c>
      <c r="MQ429">
        <v>0</v>
      </c>
      <c r="MR429">
        <v>0</v>
      </c>
      <c r="MS429">
        <v>0</v>
      </c>
      <c r="MT429">
        <v>0</v>
      </c>
      <c r="MU429">
        <v>0</v>
      </c>
      <c r="MV429">
        <v>0</v>
      </c>
      <c r="MW429">
        <v>-61</v>
      </c>
      <c r="MX429">
        <v>-275</v>
      </c>
      <c r="MY429">
        <v>0</v>
      </c>
      <c r="MZ429">
        <v>0</v>
      </c>
      <c r="NA429">
        <v>-320</v>
      </c>
      <c r="NB429">
        <v>82</v>
      </c>
      <c r="NC429">
        <v>-238</v>
      </c>
      <c r="ND429">
        <v>0</v>
      </c>
      <c r="NE429">
        <v>0</v>
      </c>
      <c r="NF429">
        <v>0</v>
      </c>
      <c r="NG429">
        <v>0</v>
      </c>
      <c r="NH429">
        <v>0</v>
      </c>
      <c r="NI429">
        <v>0</v>
      </c>
      <c r="NJ429">
        <v>0</v>
      </c>
      <c r="NK429">
        <v>0</v>
      </c>
      <c r="NL429">
        <v>0</v>
      </c>
      <c r="NM429">
        <v>0</v>
      </c>
      <c r="NN429">
        <v>0</v>
      </c>
      <c r="NO429">
        <v>0</v>
      </c>
      <c r="NP429">
        <v>-54</v>
      </c>
      <c r="NQ429">
        <v>-7</v>
      </c>
      <c r="NR429">
        <v>0</v>
      </c>
      <c r="NS429">
        <v>0</v>
      </c>
      <c r="NT429">
        <v>0</v>
      </c>
      <c r="NU429">
        <v>0</v>
      </c>
      <c r="NV429">
        <v>0</v>
      </c>
      <c r="NW429">
        <v>0</v>
      </c>
      <c r="NX429">
        <v>0</v>
      </c>
      <c r="NY429">
        <v>0</v>
      </c>
      <c r="NZ429">
        <v>-35</v>
      </c>
      <c r="OA429">
        <v>51</v>
      </c>
      <c r="OB429">
        <v>16</v>
      </c>
      <c r="OC429">
        <v>82</v>
      </c>
      <c r="OD429">
        <v>0</v>
      </c>
      <c r="OE429">
        <v>0</v>
      </c>
      <c r="OF429">
        <v>0</v>
      </c>
      <c r="OG429">
        <v>0</v>
      </c>
      <c r="OH429">
        <v>82</v>
      </c>
      <c r="OI429">
        <v>51</v>
      </c>
      <c r="OJ429">
        <v>0</v>
      </c>
      <c r="OK429">
        <v>0</v>
      </c>
      <c r="OL429">
        <v>0</v>
      </c>
      <c r="OM429">
        <v>0</v>
      </c>
      <c r="ON429">
        <v>51</v>
      </c>
    </row>
    <row r="430" spans="1:404" x14ac:dyDescent="0.25">
      <c r="A430" t="s">
        <v>1359</v>
      </c>
      <c r="B430" t="s">
        <v>1360</v>
      </c>
      <c r="C430" t="s">
        <v>1358</v>
      </c>
      <c r="E430" t="s">
        <v>125</v>
      </c>
      <c r="F430">
        <v>11180</v>
      </c>
      <c r="G430">
        <v>35535</v>
      </c>
      <c r="H430">
        <v>24190</v>
      </c>
      <c r="I430">
        <v>4039</v>
      </c>
      <c r="J430">
        <v>5900</v>
      </c>
      <c r="K430">
        <v>10962</v>
      </c>
      <c r="L430">
        <v>91806</v>
      </c>
      <c r="M430">
        <v>1464</v>
      </c>
      <c r="N430">
        <v>1282</v>
      </c>
      <c r="O430">
        <v>461</v>
      </c>
      <c r="P430">
        <v>214</v>
      </c>
      <c r="Q430">
        <v>38</v>
      </c>
      <c r="R430">
        <v>562</v>
      </c>
      <c r="S430">
        <v>587</v>
      </c>
      <c r="T430">
        <v>618</v>
      </c>
      <c r="U430">
        <v>1028</v>
      </c>
      <c r="V430">
        <v>0</v>
      </c>
      <c r="W430">
        <v>-38</v>
      </c>
      <c r="X430">
        <v>321</v>
      </c>
      <c r="Y430">
        <v>845</v>
      </c>
      <c r="Z430">
        <v>-1186</v>
      </c>
      <c r="AA430">
        <v>-4932</v>
      </c>
      <c r="AB430">
        <v>3712</v>
      </c>
      <c r="AC430">
        <v>22</v>
      </c>
      <c r="AD430">
        <v>1077</v>
      </c>
      <c r="AE430">
        <v>0</v>
      </c>
      <c r="AF430">
        <v>87</v>
      </c>
      <c r="AG430">
        <v>320</v>
      </c>
      <c r="AH430">
        <v>0</v>
      </c>
      <c r="AI430">
        <v>6482</v>
      </c>
      <c r="AJ430">
        <v>0</v>
      </c>
      <c r="AK430">
        <v>0</v>
      </c>
      <c r="AL430">
        <v>0</v>
      </c>
      <c r="AM430">
        <v>0</v>
      </c>
      <c r="AN430">
        <v>0</v>
      </c>
      <c r="AO430">
        <v>0</v>
      </c>
      <c r="AP430">
        <v>0</v>
      </c>
      <c r="AQ430">
        <v>466</v>
      </c>
      <c r="AR430">
        <v>738</v>
      </c>
      <c r="AS430">
        <v>0</v>
      </c>
      <c r="AT430">
        <v>0</v>
      </c>
      <c r="AU430">
        <v>0</v>
      </c>
      <c r="AV430">
        <v>2938</v>
      </c>
      <c r="AW430">
        <v>12217</v>
      </c>
      <c r="AX430">
        <v>45</v>
      </c>
      <c r="AY430">
        <v>2945</v>
      </c>
      <c r="AZ430">
        <v>173</v>
      </c>
      <c r="BA430">
        <v>9406</v>
      </c>
      <c r="BB430">
        <v>0</v>
      </c>
      <c r="BC430">
        <v>16</v>
      </c>
      <c r="BD430">
        <v>27740</v>
      </c>
      <c r="BE430">
        <v>6177</v>
      </c>
      <c r="BF430">
        <v>17159</v>
      </c>
      <c r="BG430">
        <v>187</v>
      </c>
      <c r="BH430">
        <v>250</v>
      </c>
      <c r="BI430">
        <v>617</v>
      </c>
      <c r="BJ430">
        <v>653</v>
      </c>
      <c r="BK430">
        <v>20152</v>
      </c>
      <c r="BL430">
        <v>2758</v>
      </c>
      <c r="BM430">
        <v>3841</v>
      </c>
      <c r="BN430">
        <v>1421</v>
      </c>
      <c r="BO430">
        <v>0</v>
      </c>
      <c r="BP430">
        <v>0</v>
      </c>
      <c r="BQ430">
        <v>55</v>
      </c>
      <c r="BR430">
        <v>181</v>
      </c>
      <c r="BS430">
        <v>991</v>
      </c>
      <c r="BT430">
        <v>6448</v>
      </c>
      <c r="BU430">
        <v>573</v>
      </c>
      <c r="BV430">
        <v>4913</v>
      </c>
      <c r="BW430">
        <v>69850</v>
      </c>
      <c r="BX430">
        <v>884</v>
      </c>
      <c r="BY430">
        <v>779</v>
      </c>
      <c r="BZ430">
        <v>353</v>
      </c>
      <c r="CA430">
        <v>270</v>
      </c>
      <c r="CB430">
        <v>111</v>
      </c>
      <c r="CC430">
        <v>60</v>
      </c>
      <c r="CD430">
        <v>234</v>
      </c>
      <c r="CE430">
        <v>77</v>
      </c>
      <c r="CF430">
        <v>9</v>
      </c>
      <c r="CG430">
        <v>197</v>
      </c>
      <c r="CH430">
        <v>0</v>
      </c>
      <c r="CI430">
        <v>704</v>
      </c>
      <c r="CJ430">
        <v>696</v>
      </c>
      <c r="CK430">
        <v>139</v>
      </c>
      <c r="CL430">
        <v>139</v>
      </c>
      <c r="CM430">
        <v>527</v>
      </c>
      <c r="CN430">
        <v>267</v>
      </c>
      <c r="CO430">
        <v>0</v>
      </c>
      <c r="CP430">
        <v>606</v>
      </c>
      <c r="CQ430">
        <v>951</v>
      </c>
      <c r="CR430">
        <v>905</v>
      </c>
      <c r="CS430">
        <v>0</v>
      </c>
      <c r="CT430">
        <v>152</v>
      </c>
      <c r="CU430">
        <v>204</v>
      </c>
      <c r="CV430">
        <v>12591</v>
      </c>
      <c r="CW430">
        <v>0</v>
      </c>
      <c r="CX430">
        <v>0</v>
      </c>
      <c r="CY430">
        <v>5</v>
      </c>
      <c r="CZ430">
        <v>0</v>
      </c>
      <c r="DA430">
        <v>0</v>
      </c>
      <c r="DB430">
        <v>0</v>
      </c>
      <c r="DC430">
        <v>-1</v>
      </c>
      <c r="DD430">
        <v>0</v>
      </c>
      <c r="DE430">
        <v>556</v>
      </c>
      <c r="DF430">
        <v>47</v>
      </c>
      <c r="DG430">
        <v>0</v>
      </c>
      <c r="DH430">
        <v>0</v>
      </c>
      <c r="DI430">
        <v>548</v>
      </c>
      <c r="DJ430">
        <v>-44</v>
      </c>
      <c r="DK430">
        <v>3</v>
      </c>
      <c r="DL430">
        <v>0</v>
      </c>
      <c r="DM430">
        <v>0</v>
      </c>
      <c r="DN430">
        <v>639</v>
      </c>
      <c r="DO430">
        <v>933</v>
      </c>
      <c r="DP430">
        <v>2079</v>
      </c>
      <c r="DQ430">
        <v>231</v>
      </c>
      <c r="DR430">
        <v>0</v>
      </c>
      <c r="DS430">
        <v>0</v>
      </c>
      <c r="DT430">
        <v>1030</v>
      </c>
      <c r="DU430">
        <v>95</v>
      </c>
      <c r="DV430">
        <v>1775</v>
      </c>
      <c r="DW430">
        <v>0</v>
      </c>
      <c r="DX430">
        <v>5812</v>
      </c>
      <c r="DY430">
        <v>31352</v>
      </c>
      <c r="DZ430">
        <v>597</v>
      </c>
      <c r="EA430">
        <v>1263</v>
      </c>
      <c r="EB430">
        <v>522</v>
      </c>
      <c r="EC430">
        <v>0</v>
      </c>
      <c r="ED430">
        <v>26</v>
      </c>
      <c r="EE430">
        <v>0</v>
      </c>
      <c r="EF430">
        <v>0</v>
      </c>
      <c r="EG430">
        <v>0</v>
      </c>
      <c r="EH430">
        <v>7892</v>
      </c>
      <c r="EI430">
        <v>6930</v>
      </c>
      <c r="EJ430">
        <v>2772</v>
      </c>
      <c r="EK430">
        <v>517</v>
      </c>
      <c r="EL430">
        <v>4382</v>
      </c>
      <c r="EM430">
        <v>0</v>
      </c>
      <c r="EN430">
        <v>3439</v>
      </c>
      <c r="EO430">
        <v>53</v>
      </c>
      <c r="EP430">
        <v>0</v>
      </c>
      <c r="EQ430">
        <v>8906</v>
      </c>
      <c r="ER430">
        <v>382</v>
      </c>
      <c r="ES430">
        <v>37376</v>
      </c>
      <c r="ET430">
        <v>35863</v>
      </c>
      <c r="EU430">
        <v>0</v>
      </c>
      <c r="EV430">
        <v>79</v>
      </c>
      <c r="EW430">
        <v>44</v>
      </c>
      <c r="EX430">
        <v>307</v>
      </c>
      <c r="EY430">
        <v>34</v>
      </c>
      <c r="EZ430">
        <v>17</v>
      </c>
      <c r="FA430">
        <v>0</v>
      </c>
      <c r="FB430">
        <v>168</v>
      </c>
      <c r="FC430">
        <v>943</v>
      </c>
      <c r="FD430">
        <v>1462</v>
      </c>
      <c r="FE430">
        <v>0</v>
      </c>
      <c r="FF430">
        <v>0</v>
      </c>
      <c r="FG430">
        <v>2881</v>
      </c>
      <c r="FH430">
        <v>5935</v>
      </c>
      <c r="FI430">
        <v>-1234</v>
      </c>
      <c r="FJ430">
        <v>471</v>
      </c>
      <c r="FK430">
        <v>0</v>
      </c>
      <c r="FL430">
        <v>376</v>
      </c>
      <c r="FM430">
        <v>652</v>
      </c>
      <c r="FN430">
        <v>0</v>
      </c>
      <c r="FO430">
        <v>115</v>
      </c>
      <c r="FP430">
        <v>0</v>
      </c>
      <c r="FQ430">
        <v>0</v>
      </c>
      <c r="FR430">
        <v>0</v>
      </c>
      <c r="FS430">
        <v>91</v>
      </c>
      <c r="FT430">
        <v>37</v>
      </c>
      <c r="FU430">
        <v>-130</v>
      </c>
      <c r="FV430">
        <v>991</v>
      </c>
      <c r="FW430">
        <v>0</v>
      </c>
      <c r="FX430">
        <v>84</v>
      </c>
      <c r="FY430">
        <v>398</v>
      </c>
      <c r="FZ430">
        <v>0</v>
      </c>
      <c r="GA430">
        <v>800</v>
      </c>
      <c r="GB430">
        <v>0</v>
      </c>
      <c r="GC430">
        <v>-32</v>
      </c>
      <c r="GD430">
        <v>2293</v>
      </c>
      <c r="GE430">
        <v>2573</v>
      </c>
      <c r="GF430">
        <v>5016</v>
      </c>
      <c r="GG430">
        <v>0</v>
      </c>
      <c r="GH430">
        <v>1748</v>
      </c>
      <c r="GI430">
        <v>322</v>
      </c>
      <c r="GJ430">
        <v>107</v>
      </c>
      <c r="GK430">
        <v>14678</v>
      </c>
      <c r="GL430">
        <v>-14</v>
      </c>
      <c r="GM430">
        <v>1545</v>
      </c>
      <c r="GN430">
        <v>0</v>
      </c>
      <c r="GO430">
        <v>1337</v>
      </c>
      <c r="GP430">
        <v>75</v>
      </c>
      <c r="GQ430">
        <v>1013</v>
      </c>
      <c r="GR430">
        <v>0</v>
      </c>
      <c r="GS430">
        <v>156</v>
      </c>
      <c r="GT430">
        <v>1279</v>
      </c>
      <c r="GU430">
        <v>5391</v>
      </c>
      <c r="GV430">
        <v>26004</v>
      </c>
      <c r="GW430">
        <v>0</v>
      </c>
      <c r="GX430">
        <v>0</v>
      </c>
      <c r="GY430">
        <v>0</v>
      </c>
      <c r="GZ430">
        <v>0</v>
      </c>
      <c r="HA430">
        <v>0</v>
      </c>
      <c r="HB430">
        <v>42358</v>
      </c>
      <c r="HC430">
        <v>303</v>
      </c>
      <c r="HD430">
        <v>0</v>
      </c>
      <c r="HE430">
        <v>2112</v>
      </c>
      <c r="HF430">
        <v>508</v>
      </c>
      <c r="HG430">
        <v>-126</v>
      </c>
      <c r="HH430">
        <v>0</v>
      </c>
      <c r="HI430">
        <v>-90</v>
      </c>
      <c r="HJ430">
        <v>314</v>
      </c>
      <c r="HK430">
        <v>76</v>
      </c>
      <c r="HL430">
        <v>151</v>
      </c>
      <c r="HM430">
        <v>-36</v>
      </c>
      <c r="HN430">
        <v>0</v>
      </c>
      <c r="HO430">
        <v>221</v>
      </c>
      <c r="HP430">
        <v>305</v>
      </c>
      <c r="HQ430">
        <v>9</v>
      </c>
      <c r="HR430">
        <v>275</v>
      </c>
      <c r="HS430">
        <v>0</v>
      </c>
      <c r="HT430">
        <v>-349</v>
      </c>
      <c r="HU430">
        <v>-845</v>
      </c>
      <c r="HV430">
        <v>45186</v>
      </c>
      <c r="HW430">
        <v>2070</v>
      </c>
      <c r="HX430">
        <v>19742</v>
      </c>
      <c r="HY430">
        <v>0</v>
      </c>
      <c r="HZ430">
        <v>2355</v>
      </c>
      <c r="IA430">
        <v>2074</v>
      </c>
      <c r="IB430">
        <v>0</v>
      </c>
      <c r="IC430">
        <v>91806</v>
      </c>
      <c r="ID430">
        <v>6482</v>
      </c>
      <c r="IE430">
        <v>27740</v>
      </c>
      <c r="IF430">
        <v>69850</v>
      </c>
      <c r="IG430">
        <v>12591</v>
      </c>
      <c r="IH430">
        <v>5812</v>
      </c>
      <c r="II430">
        <v>5935</v>
      </c>
      <c r="IJ430">
        <v>14678</v>
      </c>
      <c r="IK430">
        <v>5391</v>
      </c>
      <c r="IL430">
        <v>0</v>
      </c>
      <c r="IM430">
        <v>0</v>
      </c>
      <c r="IN430">
        <v>45186</v>
      </c>
      <c r="IO430">
        <v>0</v>
      </c>
      <c r="IP430">
        <v>285471</v>
      </c>
      <c r="IQ430">
        <v>14039</v>
      </c>
      <c r="IR430">
        <v>821</v>
      </c>
      <c r="IS430">
        <v>10277</v>
      </c>
      <c r="IT430">
        <v>0</v>
      </c>
      <c r="IU430">
        <v>0</v>
      </c>
      <c r="IV430">
        <v>807</v>
      </c>
      <c r="IW430">
        <v>0</v>
      </c>
      <c r="IX430">
        <v>0</v>
      </c>
      <c r="IY430">
        <v>0</v>
      </c>
      <c r="IZ430">
        <v>326</v>
      </c>
      <c r="JA430">
        <v>-4242</v>
      </c>
      <c r="JB430">
        <v>-98</v>
      </c>
      <c r="JC430">
        <v>0</v>
      </c>
      <c r="JD430">
        <v>0</v>
      </c>
      <c r="JE430">
        <v>-235</v>
      </c>
      <c r="JF430">
        <v>0</v>
      </c>
      <c r="JG430">
        <v>307166</v>
      </c>
      <c r="JH430">
        <v>119</v>
      </c>
      <c r="JI430">
        <v>1261</v>
      </c>
      <c r="JJ430">
        <v>0</v>
      </c>
      <c r="JK430">
        <v>0</v>
      </c>
      <c r="JL430">
        <v>0</v>
      </c>
      <c r="JM430">
        <v>853</v>
      </c>
      <c r="JN430">
        <v>5600</v>
      </c>
      <c r="JO430">
        <v>0</v>
      </c>
      <c r="JP430">
        <v>13992</v>
      </c>
      <c r="JQ430">
        <v>-4435</v>
      </c>
      <c r="JR430">
        <v>324556</v>
      </c>
      <c r="JS430">
        <v>-255</v>
      </c>
      <c r="JT430">
        <v>0</v>
      </c>
      <c r="JU430">
        <v>79</v>
      </c>
      <c r="JV430">
        <v>0</v>
      </c>
      <c r="JW430">
        <v>-29996</v>
      </c>
      <c r="JX430">
        <v>0</v>
      </c>
      <c r="JY430">
        <v>0</v>
      </c>
      <c r="JZ430">
        <v>0</v>
      </c>
      <c r="KA430">
        <v>0</v>
      </c>
      <c r="KB430">
        <v>4097</v>
      </c>
      <c r="KC430">
        <v>298481</v>
      </c>
      <c r="KD430">
        <v>0</v>
      </c>
      <c r="KE430">
        <v>-123407</v>
      </c>
      <c r="KF430">
        <v>175074</v>
      </c>
      <c r="KG430">
        <v>0</v>
      </c>
      <c r="KH430">
        <v>972</v>
      </c>
      <c r="KI430">
        <v>0</v>
      </c>
      <c r="KJ430">
        <v>483</v>
      </c>
      <c r="KK430">
        <v>-18864</v>
      </c>
      <c r="KL430">
        <v>0</v>
      </c>
      <c r="KM430">
        <v>-540</v>
      </c>
      <c r="KN430">
        <v>0</v>
      </c>
      <c r="KO430">
        <v>-32801</v>
      </c>
      <c r="KP430">
        <v>0</v>
      </c>
      <c r="KQ430">
        <v>-2138</v>
      </c>
      <c r="KR430">
        <v>98858</v>
      </c>
      <c r="KS430">
        <v>4217</v>
      </c>
      <c r="KT430">
        <v>0</v>
      </c>
      <c r="KU430">
        <v>776</v>
      </c>
      <c r="KV430">
        <v>76481</v>
      </c>
      <c r="KW430">
        <v>6941</v>
      </c>
      <c r="KX430">
        <v>5189</v>
      </c>
      <c r="KY430">
        <v>0</v>
      </c>
      <c r="KZ430">
        <v>1259</v>
      </c>
      <c r="LA430">
        <v>57617</v>
      </c>
      <c r="LB430">
        <v>6941</v>
      </c>
      <c r="LC430">
        <v>0</v>
      </c>
      <c r="LD430">
        <v>18053</v>
      </c>
      <c r="LE430">
        <v>815</v>
      </c>
      <c r="LF430">
        <v>3524</v>
      </c>
      <c r="LG430">
        <v>-32254</v>
      </c>
      <c r="LH430">
        <v>6091</v>
      </c>
      <c r="LI430">
        <v>-3498</v>
      </c>
      <c r="LJ430">
        <v>3868</v>
      </c>
      <c r="LK430">
        <v>3962</v>
      </c>
      <c r="LL430">
        <v>7830</v>
      </c>
      <c r="LM430">
        <v>0</v>
      </c>
      <c r="LN430">
        <v>0</v>
      </c>
      <c r="LO430">
        <v>0</v>
      </c>
      <c r="LP430">
        <v>33760</v>
      </c>
      <c r="LQ430">
        <v>35273</v>
      </c>
      <c r="LR430">
        <v>-1513</v>
      </c>
      <c r="LS430">
        <v>37376</v>
      </c>
      <c r="LT430">
        <v>35863</v>
      </c>
      <c r="LU430">
        <v>91806</v>
      </c>
      <c r="LV430">
        <v>6482</v>
      </c>
      <c r="LW430">
        <v>27740</v>
      </c>
      <c r="LX430">
        <v>69850</v>
      </c>
      <c r="LY430">
        <v>12591</v>
      </c>
      <c r="LZ430">
        <v>5812</v>
      </c>
      <c r="MA430">
        <v>5935</v>
      </c>
      <c r="MB430">
        <v>14678</v>
      </c>
      <c r="MC430">
        <v>5391</v>
      </c>
      <c r="MD430">
        <v>0</v>
      </c>
      <c r="ME430">
        <v>0</v>
      </c>
      <c r="MF430">
        <v>45186</v>
      </c>
      <c r="MG430">
        <v>0</v>
      </c>
      <c r="MH430">
        <v>285471</v>
      </c>
      <c r="MI430">
        <v>0</v>
      </c>
      <c r="MJ430">
        <v>0</v>
      </c>
      <c r="MK430">
        <v>0</v>
      </c>
      <c r="ML430">
        <v>0</v>
      </c>
      <c r="MM430">
        <v>0</v>
      </c>
      <c r="MN430">
        <v>0</v>
      </c>
      <c r="MO430">
        <v>0</v>
      </c>
      <c r="MP430">
        <v>0</v>
      </c>
      <c r="MQ430">
        <v>0</v>
      </c>
      <c r="MR430">
        <v>0</v>
      </c>
      <c r="MS430">
        <v>0</v>
      </c>
      <c r="MT430">
        <v>0</v>
      </c>
      <c r="MU430">
        <v>-453</v>
      </c>
      <c r="MV430">
        <v>0</v>
      </c>
      <c r="MW430">
        <v>0</v>
      </c>
      <c r="MX430">
        <v>0</v>
      </c>
      <c r="MY430">
        <v>-3762</v>
      </c>
      <c r="MZ430">
        <v>0</v>
      </c>
      <c r="NA430">
        <v>-4242</v>
      </c>
      <c r="NB430">
        <v>0</v>
      </c>
      <c r="NC430">
        <v>-4242</v>
      </c>
      <c r="ND430">
        <v>0</v>
      </c>
      <c r="NE430">
        <v>0</v>
      </c>
      <c r="NF430">
        <v>-245</v>
      </c>
      <c r="NG430">
        <v>0</v>
      </c>
      <c r="NH430">
        <v>0</v>
      </c>
      <c r="NI430">
        <v>0</v>
      </c>
      <c r="NJ430">
        <v>0</v>
      </c>
      <c r="NK430">
        <v>0</v>
      </c>
      <c r="NL430">
        <v>0</v>
      </c>
      <c r="NM430">
        <v>0</v>
      </c>
      <c r="NN430">
        <v>-23</v>
      </c>
      <c r="NO430">
        <v>22</v>
      </c>
      <c r="NP430">
        <v>0</v>
      </c>
      <c r="NQ430">
        <v>-124</v>
      </c>
      <c r="NR430">
        <v>272</v>
      </c>
      <c r="NS430">
        <v>0</v>
      </c>
      <c r="NT430">
        <v>0</v>
      </c>
      <c r="NU430">
        <v>0</v>
      </c>
      <c r="NV430">
        <v>0</v>
      </c>
      <c r="NW430">
        <v>0</v>
      </c>
      <c r="NX430">
        <v>0</v>
      </c>
      <c r="NY430">
        <v>0</v>
      </c>
      <c r="NZ430">
        <v>-98</v>
      </c>
      <c r="OA430">
        <v>0</v>
      </c>
      <c r="OB430">
        <v>-98</v>
      </c>
      <c r="OC430">
        <v>0</v>
      </c>
      <c r="OD430">
        <v>0</v>
      </c>
      <c r="OE430">
        <v>0</v>
      </c>
      <c r="OF430">
        <v>0</v>
      </c>
      <c r="OG430">
        <v>0</v>
      </c>
      <c r="OH430">
        <v>0</v>
      </c>
      <c r="OI430">
        <v>0</v>
      </c>
      <c r="OJ430">
        <v>0</v>
      </c>
      <c r="OK430">
        <v>0</v>
      </c>
      <c r="OL430">
        <v>0</v>
      </c>
      <c r="OM430">
        <v>0</v>
      </c>
      <c r="ON430">
        <v>0</v>
      </c>
    </row>
    <row r="431" spans="1:404" x14ac:dyDescent="0.25">
      <c r="A431" t="s">
        <v>1362</v>
      </c>
      <c r="B431" t="s">
        <v>1363</v>
      </c>
      <c r="C431" t="s">
        <v>1361</v>
      </c>
      <c r="E431" t="s">
        <v>5418</v>
      </c>
      <c r="F431">
        <v>0</v>
      </c>
      <c r="G431">
        <v>0</v>
      </c>
      <c r="H431">
        <v>0</v>
      </c>
      <c r="I431">
        <v>0</v>
      </c>
      <c r="J431">
        <v>0</v>
      </c>
      <c r="K431">
        <v>0</v>
      </c>
      <c r="L431">
        <v>0</v>
      </c>
      <c r="M431">
        <v>0</v>
      </c>
      <c r="N431">
        <v>0</v>
      </c>
      <c r="O431">
        <v>0</v>
      </c>
      <c r="P431">
        <v>0</v>
      </c>
      <c r="Q431">
        <v>0</v>
      </c>
      <c r="R431">
        <v>0</v>
      </c>
      <c r="S431">
        <v>0</v>
      </c>
      <c r="T431">
        <v>0</v>
      </c>
      <c r="U431">
        <v>0</v>
      </c>
      <c r="V431">
        <v>0</v>
      </c>
      <c r="W431">
        <v>0</v>
      </c>
      <c r="X431">
        <v>0</v>
      </c>
      <c r="Y431">
        <v>0</v>
      </c>
      <c r="Z431">
        <v>0</v>
      </c>
      <c r="AA431">
        <v>-658</v>
      </c>
      <c r="AB431">
        <v>0</v>
      </c>
      <c r="AC431">
        <v>0</v>
      </c>
      <c r="AD431">
        <v>0</v>
      </c>
      <c r="AE431">
        <v>0</v>
      </c>
      <c r="AF431">
        <v>0</v>
      </c>
      <c r="AG431">
        <v>0</v>
      </c>
      <c r="AH431">
        <v>0</v>
      </c>
      <c r="AI431">
        <v>-658</v>
      </c>
      <c r="AJ431">
        <v>0</v>
      </c>
      <c r="AK431">
        <v>0</v>
      </c>
      <c r="AL431">
        <v>0</v>
      </c>
      <c r="AM431">
        <v>0</v>
      </c>
      <c r="AN431">
        <v>0</v>
      </c>
      <c r="AO431">
        <v>0</v>
      </c>
      <c r="AP431">
        <v>0</v>
      </c>
      <c r="AQ431">
        <v>0</v>
      </c>
      <c r="AR431">
        <v>0</v>
      </c>
      <c r="AS431">
        <v>0</v>
      </c>
      <c r="AT431">
        <v>0</v>
      </c>
      <c r="AU431">
        <v>0</v>
      </c>
      <c r="AV431">
        <v>0</v>
      </c>
      <c r="AW431">
        <v>0</v>
      </c>
      <c r="AX431">
        <v>0</v>
      </c>
      <c r="AY431">
        <v>0</v>
      </c>
      <c r="AZ431">
        <v>0</v>
      </c>
      <c r="BA431">
        <v>0</v>
      </c>
      <c r="BB431">
        <v>0</v>
      </c>
      <c r="BC431">
        <v>0</v>
      </c>
      <c r="BD431">
        <v>0</v>
      </c>
      <c r="BE431">
        <v>0</v>
      </c>
      <c r="BF431">
        <v>0</v>
      </c>
      <c r="BG431">
        <v>0</v>
      </c>
      <c r="BH431">
        <v>0</v>
      </c>
      <c r="BI431">
        <v>0</v>
      </c>
      <c r="BJ431">
        <v>0</v>
      </c>
      <c r="BK431">
        <v>0</v>
      </c>
      <c r="BL431">
        <v>0</v>
      </c>
      <c r="BM431">
        <v>0</v>
      </c>
      <c r="BN431">
        <v>0</v>
      </c>
      <c r="BO431">
        <v>0</v>
      </c>
      <c r="BP431">
        <v>0</v>
      </c>
      <c r="BQ431">
        <v>0</v>
      </c>
      <c r="BR431">
        <v>0</v>
      </c>
      <c r="BS431">
        <v>0</v>
      </c>
      <c r="BT431">
        <v>0</v>
      </c>
      <c r="BU431">
        <v>0</v>
      </c>
      <c r="BV431">
        <v>0</v>
      </c>
      <c r="BW431">
        <v>0</v>
      </c>
      <c r="BX431">
        <v>0</v>
      </c>
      <c r="BY431">
        <v>0</v>
      </c>
      <c r="BZ431">
        <v>0</v>
      </c>
      <c r="CA431">
        <v>0</v>
      </c>
      <c r="CB431">
        <v>0</v>
      </c>
      <c r="CC431">
        <v>0</v>
      </c>
      <c r="CD431">
        <v>0</v>
      </c>
      <c r="CE431">
        <v>0</v>
      </c>
      <c r="CF431">
        <v>0</v>
      </c>
      <c r="CG431">
        <v>0</v>
      </c>
      <c r="CH431">
        <v>0</v>
      </c>
      <c r="CI431">
        <v>0</v>
      </c>
      <c r="CJ431">
        <v>0</v>
      </c>
      <c r="CK431">
        <v>0</v>
      </c>
      <c r="CL431">
        <v>0</v>
      </c>
      <c r="CM431">
        <v>0</v>
      </c>
      <c r="CN431">
        <v>0</v>
      </c>
      <c r="CO431">
        <v>0</v>
      </c>
      <c r="CP431">
        <v>0</v>
      </c>
      <c r="CQ431">
        <v>0</v>
      </c>
      <c r="CR431">
        <v>0</v>
      </c>
      <c r="CS431">
        <v>0</v>
      </c>
      <c r="CT431">
        <v>0</v>
      </c>
      <c r="CU431">
        <v>0</v>
      </c>
      <c r="CV431">
        <v>0</v>
      </c>
      <c r="CW431">
        <v>0</v>
      </c>
      <c r="CX431">
        <v>0</v>
      </c>
      <c r="CY431">
        <v>0</v>
      </c>
      <c r="CZ431">
        <v>0</v>
      </c>
      <c r="DA431">
        <v>0</v>
      </c>
      <c r="DB431">
        <v>0</v>
      </c>
      <c r="DC431">
        <v>0</v>
      </c>
      <c r="DD431">
        <v>0</v>
      </c>
      <c r="DE431">
        <v>0</v>
      </c>
      <c r="DF431">
        <v>0</v>
      </c>
      <c r="DG431">
        <v>0</v>
      </c>
      <c r="DH431">
        <v>0</v>
      </c>
      <c r="DI431">
        <v>0</v>
      </c>
      <c r="DJ431">
        <v>0</v>
      </c>
      <c r="DK431">
        <v>0</v>
      </c>
      <c r="DL431">
        <v>0</v>
      </c>
      <c r="DM431">
        <v>0</v>
      </c>
      <c r="DN431">
        <v>0</v>
      </c>
      <c r="DO431">
        <v>0</v>
      </c>
      <c r="DP431">
        <v>0</v>
      </c>
      <c r="DQ431">
        <v>0</v>
      </c>
      <c r="DR431">
        <v>0</v>
      </c>
      <c r="DS431">
        <v>0</v>
      </c>
      <c r="DT431">
        <v>0</v>
      </c>
      <c r="DU431">
        <v>0</v>
      </c>
      <c r="DV431">
        <v>0</v>
      </c>
      <c r="DW431">
        <v>0</v>
      </c>
      <c r="DX431">
        <v>0</v>
      </c>
      <c r="DY431">
        <v>0</v>
      </c>
      <c r="DZ431">
        <v>0</v>
      </c>
      <c r="EA431">
        <v>0</v>
      </c>
      <c r="EB431">
        <v>0</v>
      </c>
      <c r="EC431">
        <v>0</v>
      </c>
      <c r="ED431">
        <v>0</v>
      </c>
      <c r="EE431">
        <v>0</v>
      </c>
      <c r="EF431">
        <v>0</v>
      </c>
      <c r="EG431">
        <v>0</v>
      </c>
      <c r="EH431">
        <v>0</v>
      </c>
      <c r="EI431">
        <v>0</v>
      </c>
      <c r="EJ431">
        <v>0</v>
      </c>
      <c r="EK431">
        <v>0</v>
      </c>
      <c r="EL431">
        <v>0</v>
      </c>
      <c r="EM431">
        <v>0</v>
      </c>
      <c r="EN431">
        <v>0</v>
      </c>
      <c r="EO431">
        <v>0</v>
      </c>
      <c r="EP431">
        <v>0</v>
      </c>
      <c r="EQ431">
        <v>0</v>
      </c>
      <c r="ER431">
        <v>0</v>
      </c>
      <c r="ES431">
        <v>0</v>
      </c>
      <c r="ET431">
        <v>0</v>
      </c>
      <c r="EU431">
        <v>0</v>
      </c>
      <c r="EV431">
        <v>0</v>
      </c>
      <c r="EW431">
        <v>0</v>
      </c>
      <c r="EX431">
        <v>81</v>
      </c>
      <c r="EY431">
        <v>0</v>
      </c>
      <c r="EZ431">
        <v>0</v>
      </c>
      <c r="FA431">
        <v>0</v>
      </c>
      <c r="FB431">
        <v>0</v>
      </c>
      <c r="FC431">
        <v>0</v>
      </c>
      <c r="FD431">
        <v>3658</v>
      </c>
      <c r="FE431">
        <v>0</v>
      </c>
      <c r="FF431">
        <v>924</v>
      </c>
      <c r="FG431">
        <v>0</v>
      </c>
      <c r="FH431">
        <v>4663</v>
      </c>
      <c r="FI431">
        <v>0</v>
      </c>
      <c r="FJ431">
        <v>0</v>
      </c>
      <c r="FK431">
        <v>0</v>
      </c>
      <c r="FL431">
        <v>0</v>
      </c>
      <c r="FM431">
        <v>0</v>
      </c>
      <c r="FN431">
        <v>0</v>
      </c>
      <c r="FO431">
        <v>0</v>
      </c>
      <c r="FP431">
        <v>0</v>
      </c>
      <c r="FQ431">
        <v>0</v>
      </c>
      <c r="FR431">
        <v>0</v>
      </c>
      <c r="FS431">
        <v>132</v>
      </c>
      <c r="FT431">
        <v>0</v>
      </c>
      <c r="FU431">
        <v>0</v>
      </c>
      <c r="FV431">
        <v>0</v>
      </c>
      <c r="FW431">
        <v>0</v>
      </c>
      <c r="FX431">
        <v>0</v>
      </c>
      <c r="FY431">
        <v>0</v>
      </c>
      <c r="FZ431">
        <v>0</v>
      </c>
      <c r="GA431">
        <v>0</v>
      </c>
      <c r="GB431">
        <v>0</v>
      </c>
      <c r="GC431">
        <v>0</v>
      </c>
      <c r="GD431">
        <v>0</v>
      </c>
      <c r="GE431">
        <v>0</v>
      </c>
      <c r="GF431">
        <v>0</v>
      </c>
      <c r="GG431">
        <v>0</v>
      </c>
      <c r="GH431">
        <v>0</v>
      </c>
      <c r="GI431">
        <v>0</v>
      </c>
      <c r="GJ431">
        <v>0</v>
      </c>
      <c r="GK431">
        <v>132</v>
      </c>
      <c r="GL431">
        <v>0</v>
      </c>
      <c r="GM431">
        <v>480</v>
      </c>
      <c r="GN431">
        <v>630</v>
      </c>
      <c r="GO431">
        <v>0</v>
      </c>
      <c r="GP431">
        <v>0</v>
      </c>
      <c r="GQ431">
        <v>0</v>
      </c>
      <c r="GR431">
        <v>0</v>
      </c>
      <c r="GS431">
        <v>0</v>
      </c>
      <c r="GT431">
        <v>0</v>
      </c>
      <c r="GU431">
        <v>1110</v>
      </c>
      <c r="GV431">
        <v>5905</v>
      </c>
      <c r="GW431">
        <v>0</v>
      </c>
      <c r="GX431">
        <v>0</v>
      </c>
      <c r="GY431">
        <v>0</v>
      </c>
      <c r="GZ431">
        <v>0</v>
      </c>
      <c r="HA431">
        <v>0</v>
      </c>
      <c r="HB431">
        <v>107</v>
      </c>
      <c r="HC431">
        <v>0</v>
      </c>
      <c r="HD431">
        <v>0</v>
      </c>
      <c r="HE431">
        <v>0</v>
      </c>
      <c r="HF431">
        <v>0</v>
      </c>
      <c r="HG431">
        <v>0</v>
      </c>
      <c r="HH431">
        <v>0</v>
      </c>
      <c r="HI431">
        <v>0</v>
      </c>
      <c r="HJ431">
        <v>0</v>
      </c>
      <c r="HK431">
        <v>0</v>
      </c>
      <c r="HL431">
        <v>0</v>
      </c>
      <c r="HM431">
        <v>0</v>
      </c>
      <c r="HN431">
        <v>0</v>
      </c>
      <c r="HO431">
        <v>0</v>
      </c>
      <c r="HP431">
        <v>0</v>
      </c>
      <c r="HQ431">
        <v>0</v>
      </c>
      <c r="HR431">
        <v>0</v>
      </c>
      <c r="HS431">
        <v>0</v>
      </c>
      <c r="HT431">
        <v>0</v>
      </c>
      <c r="HU431">
        <v>1562</v>
      </c>
      <c r="HV431">
        <v>1669</v>
      </c>
      <c r="HW431">
        <v>0</v>
      </c>
      <c r="HX431">
        <v>0</v>
      </c>
      <c r="HY431">
        <v>0</v>
      </c>
      <c r="HZ431">
        <v>0</v>
      </c>
      <c r="IA431">
        <v>43</v>
      </c>
      <c r="IB431">
        <v>0</v>
      </c>
      <c r="IC431">
        <v>0</v>
      </c>
      <c r="ID431">
        <v>-658</v>
      </c>
      <c r="IE431">
        <v>0</v>
      </c>
      <c r="IF431">
        <v>0</v>
      </c>
      <c r="IG431">
        <v>0</v>
      </c>
      <c r="IH431">
        <v>0</v>
      </c>
      <c r="II431">
        <v>4663</v>
      </c>
      <c r="IJ431">
        <v>132</v>
      </c>
      <c r="IK431">
        <v>1110</v>
      </c>
      <c r="IL431">
        <v>0</v>
      </c>
      <c r="IM431">
        <v>0</v>
      </c>
      <c r="IN431">
        <v>1669</v>
      </c>
      <c r="IO431">
        <v>0</v>
      </c>
      <c r="IP431">
        <v>6916</v>
      </c>
      <c r="IQ431">
        <v>0</v>
      </c>
      <c r="IR431">
        <v>0</v>
      </c>
      <c r="IS431">
        <v>0</v>
      </c>
      <c r="IT431">
        <v>0</v>
      </c>
      <c r="IU431">
        <v>0</v>
      </c>
      <c r="IV431">
        <v>0</v>
      </c>
      <c r="IW431">
        <v>0</v>
      </c>
      <c r="IX431">
        <v>0</v>
      </c>
      <c r="IY431">
        <v>0</v>
      </c>
      <c r="IZ431">
        <v>0</v>
      </c>
      <c r="JA431">
        <v>0</v>
      </c>
      <c r="JB431">
        <v>0</v>
      </c>
      <c r="JC431">
        <v>0</v>
      </c>
      <c r="JD431">
        <v>0</v>
      </c>
      <c r="JE431">
        <v>5</v>
      </c>
      <c r="JF431">
        <v>0</v>
      </c>
      <c r="JG431">
        <v>6921</v>
      </c>
      <c r="JH431">
        <v>0</v>
      </c>
      <c r="JI431">
        <v>27</v>
      </c>
      <c r="JJ431">
        <v>0</v>
      </c>
      <c r="JK431">
        <v>0</v>
      </c>
      <c r="JL431">
        <v>0</v>
      </c>
      <c r="JM431">
        <v>0</v>
      </c>
      <c r="JN431">
        <v>0</v>
      </c>
      <c r="JO431">
        <v>0</v>
      </c>
      <c r="JP431">
        <v>0</v>
      </c>
      <c r="JQ431">
        <v>0</v>
      </c>
      <c r="JR431">
        <v>6948</v>
      </c>
      <c r="JS431">
        <v>-20</v>
      </c>
      <c r="JT431">
        <v>0</v>
      </c>
      <c r="JU431">
        <v>0</v>
      </c>
      <c r="JV431">
        <v>0</v>
      </c>
      <c r="JW431">
        <v>-2105</v>
      </c>
      <c r="JX431">
        <v>0</v>
      </c>
      <c r="JY431">
        <v>0</v>
      </c>
      <c r="JZ431">
        <v>0</v>
      </c>
      <c r="KA431">
        <v>0</v>
      </c>
      <c r="KB431">
        <v>0</v>
      </c>
      <c r="KC431">
        <v>4823</v>
      </c>
      <c r="KD431">
        <v>0</v>
      </c>
      <c r="KE431">
        <v>-5230</v>
      </c>
      <c r="KF431">
        <v>-407</v>
      </c>
      <c r="KG431">
        <v>0</v>
      </c>
      <c r="KH431">
        <v>0</v>
      </c>
      <c r="KI431">
        <v>0</v>
      </c>
      <c r="KJ431">
        <v>0</v>
      </c>
      <c r="KK431">
        <v>-95</v>
      </c>
      <c r="KL431">
        <v>502</v>
      </c>
      <c r="KM431">
        <v>0</v>
      </c>
      <c r="KN431">
        <v>0</v>
      </c>
      <c r="KO431">
        <v>0</v>
      </c>
      <c r="KP431">
        <v>0</v>
      </c>
      <c r="KQ431">
        <v>0</v>
      </c>
      <c r="KR431">
        <v>0</v>
      </c>
      <c r="KS431">
        <v>0</v>
      </c>
      <c r="KT431">
        <v>0</v>
      </c>
      <c r="KU431">
        <v>0</v>
      </c>
      <c r="KV431">
        <v>3756</v>
      </c>
      <c r="KW431">
        <v>88</v>
      </c>
      <c r="KX431">
        <v>0</v>
      </c>
      <c r="KY431">
        <v>0</v>
      </c>
      <c r="KZ431">
        <v>0</v>
      </c>
      <c r="LA431">
        <v>3661</v>
      </c>
      <c r="LB431">
        <v>590</v>
      </c>
      <c r="LC431">
        <v>0</v>
      </c>
      <c r="LD431">
        <v>222</v>
      </c>
      <c r="LE431">
        <v>0</v>
      </c>
      <c r="LF431">
        <v>43</v>
      </c>
      <c r="LG431">
        <v>0</v>
      </c>
      <c r="LH431">
        <v>0</v>
      </c>
      <c r="LI431">
        <v>265</v>
      </c>
      <c r="LJ431">
        <v>0</v>
      </c>
      <c r="LK431">
        <v>0</v>
      </c>
      <c r="LL431">
        <v>0</v>
      </c>
      <c r="LM431">
        <v>0</v>
      </c>
      <c r="LN431">
        <v>0</v>
      </c>
      <c r="LO431">
        <v>0</v>
      </c>
      <c r="LP431">
        <v>0</v>
      </c>
      <c r="LQ431">
        <v>0</v>
      </c>
      <c r="LR431">
        <v>0</v>
      </c>
      <c r="LS431">
        <v>0</v>
      </c>
      <c r="LT431">
        <v>0</v>
      </c>
      <c r="LU431">
        <v>0</v>
      </c>
      <c r="LV431">
        <v>-658</v>
      </c>
      <c r="LW431">
        <v>0</v>
      </c>
      <c r="LX431">
        <v>0</v>
      </c>
      <c r="LY431">
        <v>0</v>
      </c>
      <c r="LZ431">
        <v>0</v>
      </c>
      <c r="MA431">
        <v>4663</v>
      </c>
      <c r="MB431">
        <v>132</v>
      </c>
      <c r="MC431">
        <v>1110</v>
      </c>
      <c r="MD431">
        <v>0</v>
      </c>
      <c r="ME431">
        <v>0</v>
      </c>
      <c r="MF431">
        <v>1669</v>
      </c>
      <c r="MG431">
        <v>0</v>
      </c>
      <c r="MH431">
        <v>6916</v>
      </c>
      <c r="MI431">
        <v>0</v>
      </c>
      <c r="MJ431">
        <v>0</v>
      </c>
      <c r="MK431">
        <v>0</v>
      </c>
      <c r="ML431">
        <v>0</v>
      </c>
      <c r="MM431">
        <v>0</v>
      </c>
      <c r="MN431">
        <v>0</v>
      </c>
      <c r="MO431">
        <v>0</v>
      </c>
      <c r="MP431">
        <v>0</v>
      </c>
      <c r="MQ431">
        <v>0</v>
      </c>
      <c r="MR431">
        <v>0</v>
      </c>
      <c r="MS431">
        <v>0</v>
      </c>
      <c r="MT431">
        <v>0</v>
      </c>
      <c r="MU431">
        <v>0</v>
      </c>
      <c r="MV431">
        <v>0</v>
      </c>
      <c r="MW431">
        <v>0</v>
      </c>
      <c r="MX431">
        <v>0</v>
      </c>
      <c r="MY431">
        <v>0</v>
      </c>
      <c r="MZ431">
        <v>0</v>
      </c>
      <c r="NA431">
        <v>0</v>
      </c>
      <c r="NB431">
        <v>0</v>
      </c>
      <c r="NC431">
        <v>0</v>
      </c>
      <c r="ND431">
        <v>0</v>
      </c>
      <c r="NE431">
        <v>0</v>
      </c>
      <c r="NF431">
        <v>0</v>
      </c>
      <c r="NG431">
        <v>0</v>
      </c>
      <c r="NH431">
        <v>0</v>
      </c>
      <c r="NI431">
        <v>0</v>
      </c>
      <c r="NJ431">
        <v>0</v>
      </c>
      <c r="NK431">
        <v>0</v>
      </c>
      <c r="NL431">
        <v>0</v>
      </c>
      <c r="NM431">
        <v>0</v>
      </c>
      <c r="NN431">
        <v>0</v>
      </c>
      <c r="NO431">
        <v>0</v>
      </c>
      <c r="NP431">
        <v>0</v>
      </c>
      <c r="NQ431">
        <v>0</v>
      </c>
      <c r="NR431">
        <v>0</v>
      </c>
      <c r="NS431">
        <v>0</v>
      </c>
      <c r="NT431">
        <v>0</v>
      </c>
      <c r="NU431">
        <v>0</v>
      </c>
      <c r="NV431">
        <v>0</v>
      </c>
      <c r="NW431">
        <v>0</v>
      </c>
      <c r="NX431">
        <v>0</v>
      </c>
      <c r="NY431">
        <v>0</v>
      </c>
      <c r="NZ431">
        <v>0</v>
      </c>
      <c r="OA431">
        <v>0</v>
      </c>
      <c r="OB431">
        <v>0</v>
      </c>
      <c r="OC431">
        <v>0</v>
      </c>
      <c r="OD431">
        <v>0</v>
      </c>
      <c r="OE431">
        <v>0</v>
      </c>
      <c r="OF431">
        <v>0</v>
      </c>
      <c r="OG431">
        <v>0</v>
      </c>
      <c r="OH431">
        <v>0</v>
      </c>
      <c r="OI431">
        <v>0</v>
      </c>
      <c r="OJ431">
        <v>0</v>
      </c>
      <c r="OK431">
        <v>0</v>
      </c>
      <c r="OL431">
        <v>0</v>
      </c>
      <c r="OM431">
        <v>0</v>
      </c>
      <c r="ON431">
        <v>0</v>
      </c>
    </row>
    <row r="433" spans="1:206" ht="13" x14ac:dyDescent="0.3">
      <c r="C433" s="461"/>
      <c r="D433" s="461"/>
    </row>
    <row r="435" spans="1:206" x14ac:dyDescent="0.25">
      <c r="E435" s="425"/>
    </row>
    <row r="436" spans="1:206" x14ac:dyDescent="0.25">
      <c r="E436" s="425"/>
    </row>
    <row r="437" spans="1:206" x14ac:dyDescent="0.25">
      <c r="E437" s="425"/>
    </row>
    <row r="438" spans="1:206" x14ac:dyDescent="0.25">
      <c r="E438" s="425"/>
    </row>
    <row r="439" spans="1:206" ht="13" x14ac:dyDescent="0.3">
      <c r="C439" s="461"/>
      <c r="D439" s="461"/>
    </row>
    <row r="441" spans="1:206" x14ac:dyDescent="0.25">
      <c r="E441" s="425"/>
    </row>
    <row r="442" spans="1:206" x14ac:dyDescent="0.25">
      <c r="E442" s="425"/>
    </row>
    <row r="444" spans="1:206" x14ac:dyDescent="0.25">
      <c r="A444" s="642"/>
      <c r="B444" s="642"/>
      <c r="C444" s="425"/>
      <c r="E444" s="425"/>
    </row>
    <row r="445" spans="1:206" x14ac:dyDescent="0.25">
      <c r="C445" s="425"/>
    </row>
    <row r="446" spans="1:206" ht="13" x14ac:dyDescent="0.3">
      <c r="C446" s="461"/>
      <c r="D446" s="461"/>
      <c r="E446" s="461"/>
    </row>
    <row r="447" spans="1:206" ht="12" customHeight="1" x14ac:dyDescent="0.25">
      <c r="E447" s="425"/>
      <c r="GX447" s="645"/>
    </row>
    <row r="448" spans="1:206" x14ac:dyDescent="0.25">
      <c r="E448" s="425"/>
    </row>
    <row r="449" spans="1:206" hidden="1" x14ac:dyDescent="0.25"/>
    <row r="450" spans="1:206" hidden="1" x14ac:dyDescent="0.25">
      <c r="A450" s="642"/>
      <c r="B450" s="642"/>
      <c r="C450" s="642"/>
      <c r="D450" s="748"/>
      <c r="E450" s="842"/>
    </row>
    <row r="451" spans="1:206" hidden="1" x14ac:dyDescent="0.25">
      <c r="D451" s="748"/>
      <c r="E451" s="843"/>
    </row>
    <row r="452" spans="1:206" hidden="1" x14ac:dyDescent="0.25">
      <c r="D452" s="748"/>
      <c r="GX452" s="844"/>
    </row>
    <row r="453" spans="1:206" ht="13" hidden="1" x14ac:dyDescent="0.3">
      <c r="D453" s="461"/>
      <c r="E453" s="461"/>
      <c r="F453" s="461"/>
      <c r="G453" s="461"/>
      <c r="H453" s="461"/>
      <c r="GX453" s="845"/>
    </row>
    <row r="454" spans="1:206" hidden="1" x14ac:dyDescent="0.25">
      <c r="E454" s="845"/>
      <c r="I454" s="845"/>
    </row>
    <row r="455" spans="1:206" hidden="1" x14ac:dyDescent="0.25">
      <c r="D455" s="749"/>
    </row>
    <row r="456" spans="1:206" hidden="1" x14ac:dyDescent="0.25"/>
    <row r="457" spans="1:206" hidden="1" x14ac:dyDescent="0.25"/>
    <row r="458" spans="1:206" hidden="1" x14ac:dyDescent="0.25"/>
  </sheetData>
  <sheetProtection sheet="1" objects="1" scenarios="1"/>
  <autoFilter ref="A1:ON431" xr:uid="{00000000-0001-0000-1200-000000000000}"/>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B2A521-A9C7-435C-8694-E5D09B8F2B42}">
  <sheetPr codeName="Sheet18"/>
  <dimension ref="A1:L429"/>
  <sheetViews>
    <sheetView zoomScaleNormal="100" workbookViewId="0">
      <pane xSplit="3" ySplit="2" topLeftCell="D3" activePane="bottomRight" state="frozen"/>
      <selection pane="topRight" activeCell="D1" sqref="D1"/>
      <selection pane="bottomLeft" activeCell="A3" sqref="A3"/>
      <selection pane="bottomRight"/>
    </sheetView>
  </sheetViews>
  <sheetFormatPr defaultRowHeight="12.5" x14ac:dyDescent="0.25"/>
  <cols>
    <col min="1" max="21" width="12.54296875" customWidth="1"/>
  </cols>
  <sheetData>
    <row r="1" spans="1:12" s="840" customFormat="1" x14ac:dyDescent="0.25">
      <c r="D1" s="840" t="s">
        <v>5452</v>
      </c>
      <c r="E1" s="840">
        <v>1023</v>
      </c>
      <c r="F1" s="840">
        <v>1024</v>
      </c>
      <c r="G1" s="840">
        <v>1025</v>
      </c>
      <c r="H1" s="840">
        <v>1026</v>
      </c>
      <c r="I1" s="840">
        <v>1027</v>
      </c>
      <c r="J1" s="840">
        <v>1028</v>
      </c>
      <c r="K1" s="840">
        <v>1029</v>
      </c>
      <c r="L1" s="840">
        <v>1030</v>
      </c>
    </row>
    <row r="2" spans="1:12" s="840" customFormat="1" ht="137.5" x14ac:dyDescent="0.25">
      <c r="A2" s="840" t="s">
        <v>53</v>
      </c>
      <c r="B2" s="840" t="s">
        <v>5333</v>
      </c>
      <c r="C2" s="840" t="s">
        <v>5334</v>
      </c>
      <c r="D2" s="840" t="s">
        <v>5453</v>
      </c>
      <c r="E2" s="840" t="s">
        <v>5454</v>
      </c>
      <c r="F2" s="840" t="s">
        <v>5455</v>
      </c>
      <c r="G2" s="840" t="s">
        <v>5456</v>
      </c>
      <c r="H2" s="840" t="s">
        <v>5457</v>
      </c>
      <c r="I2" s="840" t="s">
        <v>5458</v>
      </c>
      <c r="J2" s="840" t="s">
        <v>5459</v>
      </c>
      <c r="K2" s="840" t="s">
        <v>5460</v>
      </c>
      <c r="L2" s="840" t="s">
        <v>5461</v>
      </c>
    </row>
    <row r="3" spans="1:12" x14ac:dyDescent="0.25">
      <c r="A3" t="s">
        <v>1311</v>
      </c>
      <c r="B3" t="s">
        <v>1312</v>
      </c>
      <c r="C3" t="s">
        <v>1310</v>
      </c>
      <c r="D3">
        <v>422902</v>
      </c>
      <c r="E3">
        <v>0</v>
      </c>
      <c r="F3">
        <v>23891</v>
      </c>
      <c r="G3">
        <v>116480</v>
      </c>
      <c r="H3">
        <v>282531</v>
      </c>
      <c r="I3">
        <v>183680</v>
      </c>
      <c r="J3" s="928">
        <v>183680</v>
      </c>
      <c r="K3">
        <v>0</v>
      </c>
      <c r="L3">
        <v>0</v>
      </c>
    </row>
    <row r="4" spans="1:12" x14ac:dyDescent="0.25">
      <c r="A4" t="s">
        <v>539</v>
      </c>
      <c r="B4" t="s">
        <v>540</v>
      </c>
      <c r="C4" t="s">
        <v>538</v>
      </c>
      <c r="D4">
        <v>552892</v>
      </c>
      <c r="E4">
        <v>26837</v>
      </c>
      <c r="F4">
        <v>377151</v>
      </c>
      <c r="G4">
        <v>49934</v>
      </c>
      <c r="H4">
        <v>98970</v>
      </c>
      <c r="I4">
        <v>13847</v>
      </c>
      <c r="J4" s="928">
        <v>11026</v>
      </c>
      <c r="K4">
        <v>2821</v>
      </c>
      <c r="L4">
        <v>0</v>
      </c>
    </row>
    <row r="5" spans="1:12" x14ac:dyDescent="0.25">
      <c r="A5" t="s">
        <v>200</v>
      </c>
      <c r="B5" t="s">
        <v>201</v>
      </c>
      <c r="C5" t="s">
        <v>199</v>
      </c>
      <c r="D5">
        <v>230325</v>
      </c>
      <c r="E5">
        <v>0</v>
      </c>
      <c r="F5">
        <v>56441</v>
      </c>
      <c r="G5">
        <v>15685</v>
      </c>
      <c r="H5">
        <v>0</v>
      </c>
      <c r="I5">
        <v>188911</v>
      </c>
      <c r="J5" s="928">
        <v>29117</v>
      </c>
      <c r="K5">
        <v>1595</v>
      </c>
      <c r="L5">
        <v>158199</v>
      </c>
    </row>
    <row r="6" spans="1:12" x14ac:dyDescent="0.25">
      <c r="A6" t="s">
        <v>1130</v>
      </c>
      <c r="B6" t="s">
        <v>1131</v>
      </c>
      <c r="C6" t="s">
        <v>1129</v>
      </c>
      <c r="D6">
        <v>325368</v>
      </c>
      <c r="E6">
        <v>23332</v>
      </c>
      <c r="F6">
        <v>30431</v>
      </c>
      <c r="G6">
        <v>57060</v>
      </c>
      <c r="H6">
        <v>96143</v>
      </c>
      <c r="I6">
        <v>118402</v>
      </c>
      <c r="J6" s="928">
        <v>0</v>
      </c>
      <c r="K6">
        <v>0</v>
      </c>
      <c r="L6">
        <v>118402</v>
      </c>
    </row>
    <row r="7" spans="1:12" x14ac:dyDescent="0.25">
      <c r="A7" t="s">
        <v>1076</v>
      </c>
      <c r="B7" t="s">
        <v>1077</v>
      </c>
      <c r="C7" t="s">
        <v>1075</v>
      </c>
      <c r="D7">
        <v>188962</v>
      </c>
      <c r="E7">
        <v>0</v>
      </c>
      <c r="F7">
        <v>115218</v>
      </c>
      <c r="G7">
        <v>54324</v>
      </c>
      <c r="H7">
        <v>19420</v>
      </c>
      <c r="I7">
        <v>21750</v>
      </c>
      <c r="J7" s="928">
        <v>16181</v>
      </c>
      <c r="K7">
        <v>5569</v>
      </c>
      <c r="L7">
        <v>0</v>
      </c>
    </row>
    <row r="8" spans="1:12" x14ac:dyDescent="0.25">
      <c r="A8" t="s">
        <v>632</v>
      </c>
      <c r="B8" t="s">
        <v>633</v>
      </c>
      <c r="C8" t="s">
        <v>631</v>
      </c>
      <c r="D8">
        <v>130615</v>
      </c>
      <c r="E8">
        <v>0</v>
      </c>
      <c r="F8">
        <v>94654</v>
      </c>
      <c r="G8">
        <v>0</v>
      </c>
      <c r="H8">
        <v>33881</v>
      </c>
      <c r="I8">
        <v>41662</v>
      </c>
      <c r="J8" s="928">
        <v>39582</v>
      </c>
      <c r="K8">
        <v>0</v>
      </c>
      <c r="L8">
        <v>2080</v>
      </c>
    </row>
    <row r="9" spans="1:12" x14ac:dyDescent="0.25">
      <c r="A9" t="s">
        <v>243</v>
      </c>
      <c r="B9" t="s">
        <v>244</v>
      </c>
      <c r="C9" t="s">
        <v>242</v>
      </c>
      <c r="D9">
        <v>160860</v>
      </c>
      <c r="E9">
        <v>12479</v>
      </c>
      <c r="F9">
        <v>54460</v>
      </c>
      <c r="G9">
        <v>63110</v>
      </c>
      <c r="H9">
        <v>25349</v>
      </c>
      <c r="I9">
        <v>5462</v>
      </c>
      <c r="J9" s="928">
        <v>0</v>
      </c>
      <c r="K9">
        <v>0</v>
      </c>
      <c r="L9">
        <v>5462</v>
      </c>
    </row>
    <row r="10" spans="1:12" x14ac:dyDescent="0.25">
      <c r="A10" t="s">
        <v>663</v>
      </c>
      <c r="B10" t="s">
        <v>664</v>
      </c>
      <c r="C10" t="s">
        <v>662</v>
      </c>
      <c r="D10">
        <v>120145</v>
      </c>
      <c r="E10">
        <v>0</v>
      </c>
      <c r="F10">
        <v>56670</v>
      </c>
      <c r="G10">
        <v>40845</v>
      </c>
      <c r="H10">
        <v>22630</v>
      </c>
      <c r="I10">
        <v>21666</v>
      </c>
      <c r="J10" s="928">
        <v>18875</v>
      </c>
      <c r="K10">
        <v>2791</v>
      </c>
      <c r="L10">
        <v>0</v>
      </c>
    </row>
    <row r="11" spans="1:12" x14ac:dyDescent="0.25">
      <c r="A11" t="s">
        <v>1335</v>
      </c>
      <c r="B11" t="s">
        <v>1336</v>
      </c>
      <c r="C11" t="s">
        <v>1334</v>
      </c>
      <c r="D11">
        <v>133479</v>
      </c>
      <c r="E11">
        <v>24997</v>
      </c>
      <c r="F11">
        <v>36302</v>
      </c>
      <c r="G11">
        <v>29210</v>
      </c>
      <c r="H11">
        <v>42970</v>
      </c>
      <c r="I11">
        <v>8711</v>
      </c>
      <c r="J11" s="928">
        <v>6040</v>
      </c>
      <c r="K11">
        <v>2671</v>
      </c>
      <c r="L11">
        <v>0</v>
      </c>
    </row>
    <row r="12" spans="1:12" x14ac:dyDescent="0.25">
      <c r="A12" t="s">
        <v>755</v>
      </c>
      <c r="B12" t="s">
        <v>756</v>
      </c>
      <c r="C12" t="s">
        <v>754</v>
      </c>
      <c r="D12">
        <v>94311</v>
      </c>
      <c r="E12">
        <v>6292</v>
      </c>
      <c r="F12">
        <v>33571</v>
      </c>
      <c r="G12">
        <v>35500</v>
      </c>
      <c r="H12">
        <v>18948</v>
      </c>
      <c r="I12">
        <v>7677</v>
      </c>
      <c r="J12" s="928">
        <v>6241</v>
      </c>
      <c r="K12">
        <v>1436</v>
      </c>
      <c r="L12">
        <v>0</v>
      </c>
    </row>
    <row r="13" spans="1:12" x14ac:dyDescent="0.25">
      <c r="A13" t="s">
        <v>719</v>
      </c>
      <c r="B13" t="s">
        <v>720</v>
      </c>
      <c r="C13" t="s">
        <v>718</v>
      </c>
      <c r="D13">
        <v>93807</v>
      </c>
      <c r="E13">
        <v>0</v>
      </c>
      <c r="F13">
        <v>22700</v>
      </c>
      <c r="G13">
        <v>35619</v>
      </c>
      <c r="H13">
        <v>35488</v>
      </c>
      <c r="I13">
        <v>8063</v>
      </c>
      <c r="J13" s="928">
        <v>5907</v>
      </c>
      <c r="K13">
        <v>2156</v>
      </c>
      <c r="L13">
        <v>0</v>
      </c>
    </row>
    <row r="14" spans="1:12" x14ac:dyDescent="0.25">
      <c r="A14" t="s">
        <v>836</v>
      </c>
      <c r="B14" t="s">
        <v>837</v>
      </c>
      <c r="C14" t="s">
        <v>835</v>
      </c>
      <c r="D14">
        <v>64111</v>
      </c>
      <c r="E14">
        <v>13846</v>
      </c>
      <c r="F14">
        <v>4462</v>
      </c>
      <c r="G14">
        <v>33245</v>
      </c>
      <c r="H14">
        <v>0</v>
      </c>
      <c r="I14">
        <v>18965</v>
      </c>
      <c r="J14" s="928">
        <v>4739</v>
      </c>
      <c r="K14">
        <v>1668</v>
      </c>
      <c r="L14">
        <v>12558</v>
      </c>
    </row>
    <row r="15" spans="1:12" x14ac:dyDescent="0.25">
      <c r="A15" t="s">
        <v>877</v>
      </c>
      <c r="B15" t="s">
        <v>878</v>
      </c>
      <c r="C15" t="s">
        <v>876</v>
      </c>
      <c r="D15">
        <v>208911</v>
      </c>
      <c r="E15">
        <v>29080</v>
      </c>
      <c r="F15">
        <v>133061</v>
      </c>
      <c r="G15">
        <v>39373</v>
      </c>
      <c r="H15">
        <v>7396</v>
      </c>
      <c r="I15">
        <v>5632</v>
      </c>
      <c r="J15" s="928">
        <v>4455</v>
      </c>
      <c r="K15">
        <v>1177</v>
      </c>
      <c r="L15">
        <v>0</v>
      </c>
    </row>
    <row r="16" spans="1:12" x14ac:dyDescent="0.25">
      <c r="A16" t="s">
        <v>979</v>
      </c>
      <c r="B16" t="s">
        <v>980</v>
      </c>
      <c r="C16" t="s">
        <v>978</v>
      </c>
      <c r="D16">
        <v>145471</v>
      </c>
      <c r="E16">
        <v>3220</v>
      </c>
      <c r="F16">
        <v>0</v>
      </c>
      <c r="G16">
        <v>0</v>
      </c>
      <c r="H16">
        <v>18411</v>
      </c>
      <c r="I16">
        <v>0</v>
      </c>
      <c r="J16" s="928">
        <v>0</v>
      </c>
      <c r="K16">
        <v>0</v>
      </c>
      <c r="L16">
        <v>0</v>
      </c>
    </row>
    <row r="17" spans="1:12" x14ac:dyDescent="0.25">
      <c r="A17" t="s">
        <v>575</v>
      </c>
      <c r="B17" t="s">
        <v>576</v>
      </c>
      <c r="C17" t="s">
        <v>574</v>
      </c>
      <c r="D17">
        <v>48346</v>
      </c>
      <c r="E17">
        <v>0</v>
      </c>
      <c r="F17">
        <v>20154</v>
      </c>
      <c r="G17">
        <v>23785</v>
      </c>
      <c r="H17">
        <v>0</v>
      </c>
      <c r="I17">
        <v>13051</v>
      </c>
      <c r="J17" s="928">
        <v>7250</v>
      </c>
      <c r="K17">
        <v>1394</v>
      </c>
      <c r="L17">
        <v>4407</v>
      </c>
    </row>
    <row r="18" spans="1:12" x14ac:dyDescent="0.25">
      <c r="A18" t="s">
        <v>1191</v>
      </c>
      <c r="B18" t="s">
        <v>1192</v>
      </c>
      <c r="C18" t="s">
        <v>1190</v>
      </c>
      <c r="J18" s="928"/>
    </row>
    <row r="19" spans="1:12" x14ac:dyDescent="0.25">
      <c r="A19" t="s">
        <v>1064</v>
      </c>
      <c r="B19" t="s">
        <v>1065</v>
      </c>
      <c r="C19" t="s">
        <v>1063</v>
      </c>
      <c r="D19">
        <v>82732</v>
      </c>
      <c r="E19">
        <v>0</v>
      </c>
      <c r="F19">
        <v>82732</v>
      </c>
      <c r="G19">
        <v>0</v>
      </c>
      <c r="H19">
        <v>0</v>
      </c>
      <c r="I19">
        <v>0</v>
      </c>
      <c r="J19" s="928">
        <v>0</v>
      </c>
      <c r="K19">
        <v>0</v>
      </c>
      <c r="L19">
        <v>0</v>
      </c>
    </row>
    <row r="20" spans="1:12" x14ac:dyDescent="0.25">
      <c r="A20" t="s">
        <v>517</v>
      </c>
      <c r="B20" t="s">
        <v>518</v>
      </c>
      <c r="C20" t="s">
        <v>5462</v>
      </c>
      <c r="D20">
        <v>43493</v>
      </c>
      <c r="E20">
        <v>0</v>
      </c>
      <c r="F20">
        <v>17909</v>
      </c>
      <c r="G20">
        <v>2967</v>
      </c>
      <c r="H20">
        <v>189</v>
      </c>
      <c r="I20">
        <v>22428</v>
      </c>
      <c r="J20" s="928">
        <v>0</v>
      </c>
      <c r="K20">
        <v>0</v>
      </c>
      <c r="L20">
        <v>22428</v>
      </c>
    </row>
    <row r="21" spans="1:12" x14ac:dyDescent="0.25">
      <c r="A21" t="s">
        <v>1091</v>
      </c>
      <c r="B21" t="s">
        <v>1092</v>
      </c>
      <c r="C21" t="s">
        <v>1090</v>
      </c>
      <c r="D21">
        <v>291229</v>
      </c>
      <c r="E21">
        <v>5272</v>
      </c>
      <c r="F21">
        <v>98825</v>
      </c>
      <c r="G21">
        <v>127969</v>
      </c>
      <c r="H21">
        <v>59163</v>
      </c>
      <c r="I21">
        <v>6048</v>
      </c>
      <c r="J21" s="928">
        <v>4475</v>
      </c>
      <c r="K21">
        <v>1573</v>
      </c>
      <c r="L21">
        <v>0</v>
      </c>
    </row>
    <row r="22" spans="1:12" x14ac:dyDescent="0.25">
      <c r="A22" t="s">
        <v>991</v>
      </c>
      <c r="B22" t="s">
        <v>992</v>
      </c>
      <c r="C22" t="s">
        <v>990</v>
      </c>
      <c r="D22">
        <v>45924</v>
      </c>
      <c r="E22">
        <v>19051</v>
      </c>
      <c r="F22">
        <v>3301</v>
      </c>
      <c r="G22">
        <v>7904</v>
      </c>
      <c r="H22">
        <v>15667</v>
      </c>
      <c r="I22">
        <v>2296</v>
      </c>
      <c r="J22" s="928">
        <v>1497</v>
      </c>
      <c r="K22">
        <v>799</v>
      </c>
      <c r="L22">
        <v>0</v>
      </c>
    </row>
    <row r="23" spans="1:12" x14ac:dyDescent="0.25">
      <c r="A23" t="s">
        <v>249</v>
      </c>
      <c r="B23" t="s">
        <v>250</v>
      </c>
      <c r="C23" t="s">
        <v>248</v>
      </c>
      <c r="D23">
        <v>33973</v>
      </c>
      <c r="E23">
        <v>0</v>
      </c>
      <c r="F23">
        <v>3876</v>
      </c>
      <c r="G23">
        <v>94</v>
      </c>
      <c r="H23">
        <v>26553</v>
      </c>
      <c r="I23">
        <v>3450</v>
      </c>
      <c r="J23" s="928">
        <v>0</v>
      </c>
      <c r="K23">
        <v>0</v>
      </c>
      <c r="L23">
        <v>3450</v>
      </c>
    </row>
    <row r="24" spans="1:12" x14ac:dyDescent="0.25">
      <c r="A24" t="s">
        <v>895</v>
      </c>
      <c r="B24" t="s">
        <v>896</v>
      </c>
      <c r="C24" t="s">
        <v>894</v>
      </c>
      <c r="D24">
        <v>49916</v>
      </c>
      <c r="E24">
        <v>2151</v>
      </c>
      <c r="F24">
        <v>42856</v>
      </c>
      <c r="G24">
        <v>4909</v>
      </c>
      <c r="H24">
        <v>0</v>
      </c>
      <c r="I24">
        <v>13032</v>
      </c>
      <c r="J24" s="928">
        <v>9492</v>
      </c>
      <c r="K24">
        <v>3540</v>
      </c>
      <c r="L24">
        <v>0</v>
      </c>
    </row>
    <row r="25" spans="1:12" x14ac:dyDescent="0.25">
      <c r="A25" t="s">
        <v>524</v>
      </c>
      <c r="B25" t="s">
        <v>525</v>
      </c>
      <c r="C25" t="s">
        <v>523</v>
      </c>
      <c r="D25">
        <v>0</v>
      </c>
      <c r="E25">
        <v>0</v>
      </c>
      <c r="F25">
        <v>0</v>
      </c>
      <c r="G25">
        <v>0</v>
      </c>
      <c r="H25">
        <v>0</v>
      </c>
      <c r="I25">
        <v>10865</v>
      </c>
      <c r="J25" s="928">
        <v>8626</v>
      </c>
      <c r="K25">
        <v>2239</v>
      </c>
      <c r="L25">
        <v>0</v>
      </c>
    </row>
    <row r="26" spans="1:12" x14ac:dyDescent="0.25">
      <c r="A26" t="s">
        <v>931</v>
      </c>
      <c r="B26" t="s">
        <v>932</v>
      </c>
      <c r="C26" t="s">
        <v>930</v>
      </c>
      <c r="D26">
        <v>38838</v>
      </c>
      <c r="E26">
        <v>2341</v>
      </c>
      <c r="F26">
        <v>29371</v>
      </c>
      <c r="G26">
        <v>3909</v>
      </c>
      <c r="H26">
        <v>3080</v>
      </c>
      <c r="I26">
        <v>3634</v>
      </c>
      <c r="J26" s="928">
        <v>3634</v>
      </c>
      <c r="K26">
        <v>0</v>
      </c>
      <c r="L26">
        <v>0</v>
      </c>
    </row>
    <row r="27" spans="1:12" x14ac:dyDescent="0.25">
      <c r="A27" t="s">
        <v>551</v>
      </c>
      <c r="B27" t="s">
        <v>552</v>
      </c>
      <c r="C27" t="s">
        <v>550</v>
      </c>
      <c r="D27">
        <v>83019</v>
      </c>
      <c r="E27">
        <v>0</v>
      </c>
      <c r="F27">
        <v>50256</v>
      </c>
      <c r="G27">
        <v>14970</v>
      </c>
      <c r="H27">
        <v>17794</v>
      </c>
      <c r="I27">
        <v>7854</v>
      </c>
      <c r="J27" s="928">
        <v>7854</v>
      </c>
      <c r="K27">
        <v>0</v>
      </c>
      <c r="L27">
        <v>0</v>
      </c>
    </row>
    <row r="28" spans="1:12" x14ac:dyDescent="0.25">
      <c r="A28" t="s">
        <v>803</v>
      </c>
      <c r="B28" t="s">
        <v>804</v>
      </c>
      <c r="C28" t="s">
        <v>5463</v>
      </c>
      <c r="D28">
        <v>35487</v>
      </c>
      <c r="E28">
        <v>0</v>
      </c>
      <c r="F28">
        <v>35487</v>
      </c>
      <c r="G28">
        <v>0</v>
      </c>
      <c r="H28">
        <v>0</v>
      </c>
      <c r="I28">
        <v>0</v>
      </c>
      <c r="J28" s="928">
        <v>0</v>
      </c>
      <c r="K28">
        <v>0</v>
      </c>
      <c r="L28">
        <v>0</v>
      </c>
    </row>
    <row r="29" spans="1:12" x14ac:dyDescent="0.25">
      <c r="A29" t="s">
        <v>270</v>
      </c>
      <c r="B29" t="s">
        <v>271</v>
      </c>
      <c r="C29" t="s">
        <v>269</v>
      </c>
      <c r="D29">
        <v>30467</v>
      </c>
      <c r="E29">
        <v>0</v>
      </c>
      <c r="F29">
        <v>13008</v>
      </c>
      <c r="G29">
        <v>5232</v>
      </c>
      <c r="H29">
        <v>11080</v>
      </c>
      <c r="I29">
        <v>10587</v>
      </c>
      <c r="J29" s="928">
        <v>9439</v>
      </c>
      <c r="K29">
        <v>0</v>
      </c>
      <c r="L29">
        <v>1148</v>
      </c>
    </row>
    <row r="30" spans="1:12" x14ac:dyDescent="0.25">
      <c r="A30" t="s">
        <v>227</v>
      </c>
      <c r="B30" t="s">
        <v>228</v>
      </c>
      <c r="C30" t="s">
        <v>226</v>
      </c>
      <c r="D30">
        <v>16870</v>
      </c>
      <c r="E30">
        <v>0</v>
      </c>
      <c r="F30">
        <v>846</v>
      </c>
      <c r="G30">
        <v>11982</v>
      </c>
      <c r="H30">
        <v>4042</v>
      </c>
      <c r="I30">
        <v>12896</v>
      </c>
      <c r="J30" s="928">
        <v>8985</v>
      </c>
      <c r="K30">
        <v>3911</v>
      </c>
      <c r="L30">
        <v>0</v>
      </c>
    </row>
    <row r="31" spans="1:12" x14ac:dyDescent="0.25">
      <c r="A31" t="s">
        <v>1245</v>
      </c>
      <c r="B31" t="s">
        <v>1246</v>
      </c>
      <c r="C31" t="s">
        <v>1244</v>
      </c>
      <c r="D31">
        <v>18769</v>
      </c>
      <c r="E31">
        <v>817</v>
      </c>
      <c r="F31">
        <v>5394</v>
      </c>
      <c r="G31">
        <v>10785</v>
      </c>
      <c r="H31">
        <v>1773</v>
      </c>
      <c r="I31">
        <v>6284</v>
      </c>
      <c r="J31" s="928">
        <v>5076</v>
      </c>
      <c r="K31">
        <v>1208</v>
      </c>
      <c r="L31">
        <v>0</v>
      </c>
    </row>
    <row r="32" spans="1:12" x14ac:dyDescent="0.25">
      <c r="A32" t="s">
        <v>644</v>
      </c>
      <c r="B32" t="s">
        <v>645</v>
      </c>
      <c r="C32" t="s">
        <v>643</v>
      </c>
      <c r="D32">
        <v>36306</v>
      </c>
      <c r="E32">
        <v>19124</v>
      </c>
      <c r="F32">
        <v>783</v>
      </c>
      <c r="G32">
        <v>482</v>
      </c>
      <c r="H32">
        <v>15916</v>
      </c>
      <c r="I32">
        <v>0</v>
      </c>
      <c r="J32" s="928">
        <v>0</v>
      </c>
      <c r="K32">
        <v>0</v>
      </c>
      <c r="L32">
        <v>0</v>
      </c>
    </row>
    <row r="33" spans="1:12" x14ac:dyDescent="0.25">
      <c r="A33" t="s">
        <v>1263</v>
      </c>
      <c r="B33" t="s">
        <v>1264</v>
      </c>
      <c r="C33" t="s">
        <v>1262</v>
      </c>
      <c r="D33">
        <v>0</v>
      </c>
      <c r="E33">
        <v>0</v>
      </c>
      <c r="F33">
        <v>0</v>
      </c>
      <c r="G33">
        <v>0</v>
      </c>
      <c r="H33">
        <v>0</v>
      </c>
      <c r="I33">
        <v>3217</v>
      </c>
      <c r="J33" s="928">
        <v>2336</v>
      </c>
      <c r="K33">
        <v>881</v>
      </c>
      <c r="L33">
        <v>0</v>
      </c>
    </row>
    <row r="34" spans="1:12" x14ac:dyDescent="0.25">
      <c r="A34" t="s">
        <v>1236</v>
      </c>
      <c r="B34" t="s">
        <v>1237</v>
      </c>
      <c r="C34" t="s">
        <v>1235</v>
      </c>
      <c r="D34">
        <v>25881</v>
      </c>
      <c r="E34">
        <v>5129</v>
      </c>
      <c r="F34">
        <v>13700</v>
      </c>
      <c r="G34">
        <v>3069</v>
      </c>
      <c r="H34">
        <v>0</v>
      </c>
      <c r="I34">
        <v>6849</v>
      </c>
      <c r="J34" s="928">
        <v>5143</v>
      </c>
      <c r="K34">
        <v>1706</v>
      </c>
      <c r="L34">
        <v>0</v>
      </c>
    </row>
    <row r="35" spans="1:12" x14ac:dyDescent="0.25">
      <c r="A35" t="s">
        <v>563</v>
      </c>
      <c r="B35" t="s">
        <v>564</v>
      </c>
      <c r="C35" t="s">
        <v>562</v>
      </c>
      <c r="D35">
        <v>25082</v>
      </c>
      <c r="E35">
        <v>15979</v>
      </c>
      <c r="F35">
        <v>3989</v>
      </c>
      <c r="G35">
        <v>346</v>
      </c>
      <c r="H35">
        <v>4768</v>
      </c>
      <c r="I35">
        <v>4233</v>
      </c>
      <c r="J35" s="928">
        <v>3550</v>
      </c>
      <c r="K35">
        <v>683</v>
      </c>
      <c r="L35">
        <v>0</v>
      </c>
    </row>
    <row r="36" spans="1:12" x14ac:dyDescent="0.25">
      <c r="A36" t="s">
        <v>883</v>
      </c>
      <c r="B36" t="s">
        <v>884</v>
      </c>
      <c r="C36" t="s">
        <v>882</v>
      </c>
      <c r="D36">
        <v>24660</v>
      </c>
      <c r="E36">
        <v>0</v>
      </c>
      <c r="F36">
        <v>5023</v>
      </c>
      <c r="G36">
        <v>1325</v>
      </c>
      <c r="H36">
        <v>18312</v>
      </c>
      <c r="I36">
        <v>0</v>
      </c>
      <c r="J36" s="928">
        <v>0</v>
      </c>
      <c r="K36">
        <v>0</v>
      </c>
      <c r="L36">
        <v>0</v>
      </c>
    </row>
    <row r="37" spans="1:12" x14ac:dyDescent="0.25">
      <c r="A37" t="s">
        <v>1167</v>
      </c>
      <c r="B37" t="s">
        <v>1168</v>
      </c>
      <c r="C37" t="s">
        <v>1166</v>
      </c>
      <c r="D37">
        <v>73858</v>
      </c>
      <c r="E37">
        <v>1588</v>
      </c>
      <c r="F37">
        <v>53949</v>
      </c>
      <c r="G37">
        <v>15503</v>
      </c>
      <c r="H37">
        <v>0</v>
      </c>
      <c r="I37">
        <v>10139</v>
      </c>
      <c r="J37" s="928">
        <v>5011</v>
      </c>
      <c r="K37">
        <v>2310</v>
      </c>
      <c r="L37">
        <v>2818</v>
      </c>
    </row>
    <row r="38" spans="1:12" x14ac:dyDescent="0.25">
      <c r="A38" t="s">
        <v>73</v>
      </c>
      <c r="B38" t="s">
        <v>74</v>
      </c>
      <c r="C38" t="s">
        <v>72</v>
      </c>
      <c r="D38">
        <v>22455</v>
      </c>
      <c r="E38">
        <v>786</v>
      </c>
      <c r="F38">
        <v>10008</v>
      </c>
      <c r="G38">
        <v>2058</v>
      </c>
      <c r="H38">
        <v>9603</v>
      </c>
      <c r="I38">
        <v>5078</v>
      </c>
      <c r="J38" s="928">
        <v>4296</v>
      </c>
      <c r="K38">
        <v>782</v>
      </c>
      <c r="L38">
        <v>0</v>
      </c>
    </row>
    <row r="39" spans="1:12" x14ac:dyDescent="0.25">
      <c r="A39" t="s">
        <v>1100</v>
      </c>
      <c r="B39" t="s">
        <v>1101</v>
      </c>
      <c r="C39" t="s">
        <v>1099</v>
      </c>
      <c r="D39">
        <v>27682</v>
      </c>
      <c r="E39">
        <v>0</v>
      </c>
      <c r="F39">
        <v>27682</v>
      </c>
      <c r="G39">
        <v>0</v>
      </c>
      <c r="H39">
        <v>0</v>
      </c>
      <c r="I39">
        <v>0</v>
      </c>
      <c r="J39" s="928">
        <v>0</v>
      </c>
      <c r="K39">
        <v>0</v>
      </c>
      <c r="L39">
        <v>0</v>
      </c>
    </row>
    <row r="40" spans="1:12" x14ac:dyDescent="0.25">
      <c r="A40" t="s">
        <v>1182</v>
      </c>
      <c r="B40" t="s">
        <v>1183</v>
      </c>
      <c r="C40" t="s">
        <v>1181</v>
      </c>
      <c r="D40">
        <v>14796</v>
      </c>
      <c r="E40">
        <v>0</v>
      </c>
      <c r="F40">
        <v>0</v>
      </c>
      <c r="G40">
        <v>0</v>
      </c>
      <c r="H40">
        <v>0</v>
      </c>
      <c r="I40">
        <v>3934</v>
      </c>
      <c r="J40" s="928">
        <v>3079</v>
      </c>
      <c r="K40">
        <v>855</v>
      </c>
      <c r="L40">
        <v>0</v>
      </c>
    </row>
    <row r="41" spans="1:12" x14ac:dyDescent="0.25">
      <c r="A41" t="s">
        <v>776</v>
      </c>
      <c r="B41" t="s">
        <v>777</v>
      </c>
      <c r="C41" t="s">
        <v>775</v>
      </c>
      <c r="D41">
        <v>25099</v>
      </c>
      <c r="E41">
        <v>963</v>
      </c>
      <c r="F41">
        <v>21437</v>
      </c>
      <c r="G41">
        <v>0</v>
      </c>
      <c r="H41">
        <v>2699</v>
      </c>
      <c r="I41">
        <v>0</v>
      </c>
      <c r="J41" s="928">
        <v>0</v>
      </c>
      <c r="K41">
        <v>0</v>
      </c>
      <c r="L41">
        <v>0</v>
      </c>
    </row>
    <row r="42" spans="1:12" x14ac:dyDescent="0.25">
      <c r="A42" t="s">
        <v>815</v>
      </c>
      <c r="B42" t="s">
        <v>816</v>
      </c>
      <c r="C42" t="s">
        <v>814</v>
      </c>
      <c r="D42">
        <v>27170</v>
      </c>
      <c r="E42">
        <v>0</v>
      </c>
      <c r="F42">
        <v>25487</v>
      </c>
      <c r="G42">
        <v>0</v>
      </c>
      <c r="H42">
        <v>378</v>
      </c>
      <c r="I42">
        <v>2553</v>
      </c>
      <c r="J42" s="928">
        <v>1865</v>
      </c>
      <c r="K42">
        <v>688</v>
      </c>
      <c r="L42">
        <v>0</v>
      </c>
    </row>
    <row r="43" spans="1:12" x14ac:dyDescent="0.25">
      <c r="A43" t="s">
        <v>734</v>
      </c>
      <c r="B43" t="s">
        <v>735</v>
      </c>
      <c r="C43" t="s">
        <v>733</v>
      </c>
      <c r="D43">
        <v>13625</v>
      </c>
      <c r="E43">
        <v>0</v>
      </c>
      <c r="F43">
        <v>12286</v>
      </c>
      <c r="G43">
        <v>1254</v>
      </c>
      <c r="H43">
        <v>85</v>
      </c>
      <c r="I43">
        <v>4261</v>
      </c>
      <c r="J43" s="928">
        <v>3571</v>
      </c>
      <c r="K43">
        <v>690</v>
      </c>
      <c r="L43">
        <v>0</v>
      </c>
    </row>
    <row r="44" spans="1:12" x14ac:dyDescent="0.25">
      <c r="A44" t="s">
        <v>871</v>
      </c>
      <c r="B44" t="s">
        <v>872</v>
      </c>
      <c r="C44" t="s">
        <v>870</v>
      </c>
      <c r="D44">
        <v>20129</v>
      </c>
      <c r="E44">
        <v>0</v>
      </c>
      <c r="F44">
        <v>9377</v>
      </c>
      <c r="G44">
        <v>8361</v>
      </c>
      <c r="H44">
        <v>2391</v>
      </c>
      <c r="I44">
        <v>9719</v>
      </c>
      <c r="J44" s="928">
        <v>9719</v>
      </c>
      <c r="K44">
        <v>0</v>
      </c>
      <c r="L44">
        <v>0</v>
      </c>
    </row>
    <row r="45" spans="1:12" x14ac:dyDescent="0.25">
      <c r="A45" t="s">
        <v>218</v>
      </c>
      <c r="B45" t="s">
        <v>219</v>
      </c>
      <c r="C45" t="s">
        <v>217</v>
      </c>
      <c r="D45">
        <v>8940</v>
      </c>
      <c r="E45">
        <v>0</v>
      </c>
      <c r="F45">
        <v>8940</v>
      </c>
      <c r="G45">
        <v>0</v>
      </c>
      <c r="H45">
        <v>0</v>
      </c>
      <c r="I45">
        <v>3488</v>
      </c>
      <c r="J45" s="928">
        <v>2671</v>
      </c>
      <c r="K45">
        <v>817</v>
      </c>
      <c r="L45">
        <v>0</v>
      </c>
    </row>
    <row r="46" spans="1:12" x14ac:dyDescent="0.25">
      <c r="A46" t="s">
        <v>1209</v>
      </c>
      <c r="B46" t="s">
        <v>1210</v>
      </c>
      <c r="C46" t="s">
        <v>1208</v>
      </c>
      <c r="D46">
        <v>14188</v>
      </c>
      <c r="E46">
        <v>0</v>
      </c>
      <c r="F46">
        <v>13199</v>
      </c>
      <c r="G46">
        <v>989</v>
      </c>
      <c r="H46">
        <v>0</v>
      </c>
      <c r="I46">
        <v>8489</v>
      </c>
      <c r="J46" s="928">
        <v>7208</v>
      </c>
      <c r="K46">
        <v>1281</v>
      </c>
      <c r="L46">
        <v>0</v>
      </c>
    </row>
    <row r="47" spans="1:12" x14ac:dyDescent="0.25">
      <c r="A47" t="s">
        <v>1326</v>
      </c>
      <c r="B47" t="s">
        <v>1327</v>
      </c>
      <c r="C47" t="s">
        <v>1325</v>
      </c>
      <c r="D47">
        <v>38032</v>
      </c>
      <c r="E47">
        <v>0</v>
      </c>
      <c r="F47">
        <v>7501</v>
      </c>
      <c r="G47">
        <v>6739</v>
      </c>
      <c r="H47">
        <v>0</v>
      </c>
      <c r="I47">
        <v>23792</v>
      </c>
      <c r="J47" s="928">
        <v>0</v>
      </c>
      <c r="K47">
        <v>0</v>
      </c>
      <c r="L47">
        <v>23792</v>
      </c>
    </row>
    <row r="48" spans="1:12" x14ac:dyDescent="0.25">
      <c r="A48" t="s">
        <v>1353</v>
      </c>
      <c r="B48" t="s">
        <v>1354</v>
      </c>
      <c r="C48" t="s">
        <v>1352</v>
      </c>
      <c r="D48">
        <v>18024</v>
      </c>
      <c r="E48">
        <v>0</v>
      </c>
      <c r="F48">
        <v>9034</v>
      </c>
      <c r="G48">
        <v>137</v>
      </c>
      <c r="H48">
        <v>7990</v>
      </c>
      <c r="I48">
        <v>4828</v>
      </c>
      <c r="J48" s="928">
        <v>3343</v>
      </c>
      <c r="K48">
        <v>623</v>
      </c>
      <c r="L48">
        <v>862</v>
      </c>
    </row>
    <row r="49" spans="1:12" x14ac:dyDescent="0.25">
      <c r="A49" t="s">
        <v>261</v>
      </c>
      <c r="B49" t="s">
        <v>262</v>
      </c>
      <c r="C49" t="s">
        <v>260</v>
      </c>
      <c r="D49">
        <v>707</v>
      </c>
      <c r="E49">
        <v>0</v>
      </c>
      <c r="F49">
        <v>0</v>
      </c>
      <c r="G49">
        <v>0</v>
      </c>
      <c r="H49">
        <v>707</v>
      </c>
      <c r="I49">
        <v>4471</v>
      </c>
      <c r="J49" s="928">
        <v>2823</v>
      </c>
      <c r="K49">
        <v>1648</v>
      </c>
      <c r="L49">
        <v>0</v>
      </c>
    </row>
    <row r="50" spans="1:12" x14ac:dyDescent="0.25">
      <c r="A50" t="s">
        <v>710</v>
      </c>
      <c r="B50" t="s">
        <v>711</v>
      </c>
      <c r="C50" t="s">
        <v>709</v>
      </c>
      <c r="D50">
        <v>19000</v>
      </c>
      <c r="E50">
        <v>43</v>
      </c>
      <c r="F50">
        <v>10080</v>
      </c>
      <c r="G50">
        <v>7777</v>
      </c>
      <c r="H50">
        <v>1100</v>
      </c>
      <c r="I50">
        <v>0</v>
      </c>
      <c r="J50" s="928">
        <v>0</v>
      </c>
      <c r="K50">
        <v>0</v>
      </c>
      <c r="L50">
        <v>0</v>
      </c>
    </row>
    <row r="51" spans="1:12" x14ac:dyDescent="0.25">
      <c r="A51" t="s">
        <v>508</v>
      </c>
      <c r="B51" t="s">
        <v>509</v>
      </c>
      <c r="C51" t="s">
        <v>507</v>
      </c>
      <c r="D51">
        <v>18948</v>
      </c>
      <c r="E51">
        <v>0</v>
      </c>
      <c r="F51">
        <v>18948</v>
      </c>
      <c r="G51">
        <v>0</v>
      </c>
      <c r="H51">
        <v>0</v>
      </c>
      <c r="I51">
        <v>0</v>
      </c>
      <c r="J51" s="928">
        <v>0</v>
      </c>
      <c r="K51">
        <v>0</v>
      </c>
      <c r="L51">
        <v>0</v>
      </c>
    </row>
    <row r="52" spans="1:12" x14ac:dyDescent="0.25">
      <c r="A52" t="s">
        <v>1305</v>
      </c>
      <c r="B52" t="s">
        <v>1306</v>
      </c>
      <c r="C52" s="425" t="s">
        <v>1304</v>
      </c>
      <c r="D52">
        <v>64692</v>
      </c>
      <c r="E52">
        <v>13242</v>
      </c>
      <c r="F52">
        <v>18540</v>
      </c>
      <c r="G52">
        <v>8524</v>
      </c>
      <c r="H52">
        <v>13303</v>
      </c>
      <c r="I52">
        <v>11082</v>
      </c>
      <c r="J52" s="928">
        <v>0</v>
      </c>
      <c r="K52">
        <v>0</v>
      </c>
      <c r="L52">
        <v>11082</v>
      </c>
    </row>
    <row r="53" spans="1:12" x14ac:dyDescent="0.25">
      <c r="A53" t="s">
        <v>1218</v>
      </c>
      <c r="B53" t="s">
        <v>1219</v>
      </c>
      <c r="C53" t="s">
        <v>1217</v>
      </c>
      <c r="D53">
        <v>16978</v>
      </c>
      <c r="E53">
        <v>0</v>
      </c>
      <c r="F53">
        <v>16978</v>
      </c>
      <c r="G53">
        <v>0</v>
      </c>
      <c r="H53">
        <v>0</v>
      </c>
      <c r="I53">
        <v>5538</v>
      </c>
      <c r="J53" s="928">
        <v>4038</v>
      </c>
      <c r="K53">
        <v>1500</v>
      </c>
      <c r="L53">
        <v>0</v>
      </c>
    </row>
    <row r="54" spans="1:12" x14ac:dyDescent="0.25">
      <c r="A54" t="s">
        <v>728</v>
      </c>
      <c r="B54" t="s">
        <v>729</v>
      </c>
      <c r="C54" t="s">
        <v>727</v>
      </c>
      <c r="D54">
        <v>12092</v>
      </c>
      <c r="E54">
        <v>0</v>
      </c>
      <c r="F54">
        <v>12092</v>
      </c>
      <c r="G54">
        <v>0</v>
      </c>
      <c r="H54">
        <v>0</v>
      </c>
      <c r="I54">
        <v>2473</v>
      </c>
      <c r="J54" s="928">
        <v>1994</v>
      </c>
      <c r="K54">
        <v>479</v>
      </c>
      <c r="L54">
        <v>0</v>
      </c>
    </row>
    <row r="55" spans="1:12" x14ac:dyDescent="0.25">
      <c r="A55" t="s">
        <v>854</v>
      </c>
      <c r="B55" t="s">
        <v>855</v>
      </c>
      <c r="C55" t="s">
        <v>853</v>
      </c>
      <c r="D55">
        <v>19405</v>
      </c>
      <c r="E55">
        <v>0</v>
      </c>
      <c r="F55">
        <v>10391</v>
      </c>
      <c r="G55">
        <v>3411</v>
      </c>
      <c r="H55">
        <v>5603</v>
      </c>
      <c r="I55">
        <v>0</v>
      </c>
      <c r="J55" s="928">
        <v>0</v>
      </c>
      <c r="K55">
        <v>0</v>
      </c>
      <c r="L55">
        <v>0</v>
      </c>
    </row>
    <row r="56" spans="1:12" x14ac:dyDescent="0.25">
      <c r="A56" t="s">
        <v>424</v>
      </c>
      <c r="B56" t="s">
        <v>425</v>
      </c>
      <c r="C56" t="s">
        <v>423</v>
      </c>
      <c r="D56">
        <v>61882</v>
      </c>
      <c r="E56">
        <v>413</v>
      </c>
      <c r="F56">
        <v>32520</v>
      </c>
      <c r="G56">
        <v>16205</v>
      </c>
      <c r="H56">
        <v>0</v>
      </c>
      <c r="I56">
        <v>12744</v>
      </c>
      <c r="J56" s="928">
        <v>0</v>
      </c>
      <c r="K56">
        <v>0</v>
      </c>
      <c r="L56">
        <v>12744</v>
      </c>
    </row>
    <row r="57" spans="1:12" x14ac:dyDescent="0.25">
      <c r="A57" t="s">
        <v>937</v>
      </c>
      <c r="B57" t="s">
        <v>938</v>
      </c>
      <c r="C57" t="s">
        <v>936</v>
      </c>
      <c r="D57">
        <v>102639</v>
      </c>
      <c r="E57">
        <v>11349</v>
      </c>
      <c r="F57">
        <v>16185</v>
      </c>
      <c r="G57">
        <v>23149</v>
      </c>
      <c r="H57">
        <v>32356</v>
      </c>
      <c r="I57">
        <v>19600</v>
      </c>
      <c r="J57" s="928">
        <v>0</v>
      </c>
      <c r="K57">
        <v>0</v>
      </c>
      <c r="L57">
        <v>19600</v>
      </c>
    </row>
    <row r="58" spans="1:12" x14ac:dyDescent="0.25">
      <c r="A58" t="s">
        <v>1024</v>
      </c>
      <c r="B58" t="s">
        <v>1025</v>
      </c>
      <c r="C58" t="s">
        <v>1023</v>
      </c>
      <c r="D58">
        <v>59</v>
      </c>
      <c r="E58">
        <v>0</v>
      </c>
      <c r="F58">
        <v>0</v>
      </c>
      <c r="G58">
        <v>0</v>
      </c>
      <c r="H58">
        <v>0</v>
      </c>
      <c r="I58">
        <v>0</v>
      </c>
      <c r="J58" s="928">
        <v>0</v>
      </c>
      <c r="K58">
        <v>0</v>
      </c>
      <c r="L58">
        <v>0</v>
      </c>
    </row>
    <row r="59" spans="1:12" x14ac:dyDescent="0.25">
      <c r="A59" t="s">
        <v>1139</v>
      </c>
      <c r="B59" t="s">
        <v>1140</v>
      </c>
      <c r="C59" t="s">
        <v>1138</v>
      </c>
      <c r="D59">
        <v>9747</v>
      </c>
      <c r="E59">
        <v>37</v>
      </c>
      <c r="F59">
        <v>9799</v>
      </c>
      <c r="G59">
        <v>-89</v>
      </c>
      <c r="H59">
        <v>0</v>
      </c>
      <c r="I59">
        <v>0</v>
      </c>
      <c r="J59" s="928">
        <v>0</v>
      </c>
      <c r="K59">
        <v>0</v>
      </c>
      <c r="L59">
        <v>0</v>
      </c>
    </row>
    <row r="60" spans="1:12" x14ac:dyDescent="0.25">
      <c r="A60" t="s">
        <v>970</v>
      </c>
      <c r="B60" t="s">
        <v>971</v>
      </c>
      <c r="C60" t="s">
        <v>969</v>
      </c>
      <c r="D60">
        <v>11514</v>
      </c>
      <c r="E60">
        <v>3727</v>
      </c>
      <c r="F60">
        <v>3636</v>
      </c>
      <c r="G60">
        <v>3659</v>
      </c>
      <c r="H60">
        <v>492</v>
      </c>
      <c r="I60">
        <v>1936</v>
      </c>
      <c r="J60" s="928">
        <v>1472</v>
      </c>
      <c r="K60">
        <v>464</v>
      </c>
      <c r="L60">
        <v>0</v>
      </c>
    </row>
    <row r="61" spans="1:12" x14ac:dyDescent="0.25">
      <c r="A61" t="s">
        <v>451</v>
      </c>
      <c r="B61" t="s">
        <v>452</v>
      </c>
      <c r="C61" t="s">
        <v>450</v>
      </c>
      <c r="D61">
        <v>27648</v>
      </c>
      <c r="E61">
        <v>0</v>
      </c>
      <c r="F61">
        <v>9320</v>
      </c>
      <c r="G61">
        <v>11914</v>
      </c>
      <c r="H61">
        <v>4130</v>
      </c>
      <c r="I61">
        <v>7211</v>
      </c>
      <c r="J61" s="928">
        <v>4286</v>
      </c>
      <c r="K61">
        <v>641</v>
      </c>
      <c r="L61">
        <v>2284</v>
      </c>
    </row>
    <row r="62" spans="1:12" x14ac:dyDescent="0.25">
      <c r="A62" t="s">
        <v>1034</v>
      </c>
      <c r="B62" t="s">
        <v>1035</v>
      </c>
      <c r="C62" t="s">
        <v>1033</v>
      </c>
      <c r="D62">
        <v>77</v>
      </c>
      <c r="E62">
        <v>0</v>
      </c>
      <c r="F62">
        <v>0</v>
      </c>
      <c r="G62">
        <v>0</v>
      </c>
      <c r="H62">
        <v>0</v>
      </c>
      <c r="I62">
        <v>1893</v>
      </c>
      <c r="J62" s="928">
        <v>1281</v>
      </c>
      <c r="K62">
        <v>612</v>
      </c>
      <c r="L62">
        <v>0</v>
      </c>
    </row>
    <row r="63" spans="1:12" x14ac:dyDescent="0.25">
      <c r="A63" t="s">
        <v>300</v>
      </c>
      <c r="B63" t="s">
        <v>301</v>
      </c>
      <c r="C63" t="s">
        <v>299</v>
      </c>
      <c r="D63">
        <v>10595</v>
      </c>
      <c r="E63">
        <v>0</v>
      </c>
      <c r="F63">
        <v>10595</v>
      </c>
      <c r="G63">
        <v>0</v>
      </c>
      <c r="H63">
        <v>0</v>
      </c>
      <c r="I63">
        <v>0</v>
      </c>
      <c r="J63" s="928">
        <v>0</v>
      </c>
      <c r="K63">
        <v>0</v>
      </c>
      <c r="L63">
        <v>0</v>
      </c>
    </row>
    <row r="64" spans="1:12" x14ac:dyDescent="0.25">
      <c r="A64" t="s">
        <v>505</v>
      </c>
      <c r="B64" t="s">
        <v>506</v>
      </c>
      <c r="C64" t="s">
        <v>504</v>
      </c>
      <c r="D64">
        <v>9237</v>
      </c>
      <c r="E64">
        <v>0</v>
      </c>
      <c r="F64">
        <v>5888</v>
      </c>
      <c r="G64">
        <v>3349</v>
      </c>
      <c r="H64">
        <v>0</v>
      </c>
      <c r="I64">
        <v>2702</v>
      </c>
      <c r="J64" s="928">
        <v>1997</v>
      </c>
      <c r="K64">
        <v>705</v>
      </c>
      <c r="L64">
        <v>0</v>
      </c>
    </row>
    <row r="65" spans="1:12" x14ac:dyDescent="0.25">
      <c r="A65" t="s">
        <v>403</v>
      </c>
      <c r="B65" t="s">
        <v>404</v>
      </c>
      <c r="C65" t="s">
        <v>402</v>
      </c>
      <c r="D65">
        <v>16440</v>
      </c>
      <c r="E65">
        <v>350</v>
      </c>
      <c r="F65">
        <v>13132</v>
      </c>
      <c r="G65">
        <v>0</v>
      </c>
      <c r="H65">
        <v>2958</v>
      </c>
      <c r="I65">
        <v>4614</v>
      </c>
      <c r="J65" s="928">
        <v>3749</v>
      </c>
      <c r="K65">
        <v>865</v>
      </c>
      <c r="L65">
        <v>0</v>
      </c>
    </row>
    <row r="66" spans="1:12" x14ac:dyDescent="0.25">
      <c r="A66" t="s">
        <v>1356</v>
      </c>
      <c r="B66" t="s">
        <v>1357</v>
      </c>
      <c r="C66" t="s">
        <v>1355</v>
      </c>
      <c r="D66">
        <v>11187</v>
      </c>
      <c r="E66">
        <v>0</v>
      </c>
      <c r="F66">
        <v>9155</v>
      </c>
      <c r="G66">
        <v>2032</v>
      </c>
      <c r="H66">
        <v>0</v>
      </c>
      <c r="I66">
        <v>4179</v>
      </c>
      <c r="J66" s="928">
        <v>3459</v>
      </c>
      <c r="K66">
        <v>720</v>
      </c>
      <c r="L66">
        <v>0</v>
      </c>
    </row>
    <row r="67" spans="1:12" x14ac:dyDescent="0.25">
      <c r="A67" t="s">
        <v>358</v>
      </c>
      <c r="B67" t="s">
        <v>359</v>
      </c>
      <c r="C67" t="s">
        <v>357</v>
      </c>
      <c r="D67">
        <v>4924</v>
      </c>
      <c r="E67">
        <v>-395</v>
      </c>
      <c r="F67">
        <v>4511</v>
      </c>
      <c r="G67">
        <v>-456</v>
      </c>
      <c r="H67">
        <v>1264</v>
      </c>
      <c r="I67">
        <v>0</v>
      </c>
      <c r="J67" s="928">
        <v>0</v>
      </c>
      <c r="K67">
        <v>0</v>
      </c>
      <c r="L67">
        <v>0</v>
      </c>
    </row>
    <row r="68" spans="1:12" x14ac:dyDescent="0.25">
      <c r="A68" t="s">
        <v>533</v>
      </c>
      <c r="B68" t="s">
        <v>534</v>
      </c>
      <c r="C68" t="s">
        <v>532</v>
      </c>
      <c r="D68">
        <v>10172</v>
      </c>
      <c r="E68">
        <v>0</v>
      </c>
      <c r="F68">
        <v>0</v>
      </c>
      <c r="G68">
        <v>0</v>
      </c>
      <c r="H68">
        <v>10172</v>
      </c>
      <c r="I68">
        <v>2920</v>
      </c>
      <c r="J68" s="928">
        <v>2226</v>
      </c>
      <c r="K68">
        <v>694</v>
      </c>
      <c r="L68">
        <v>0</v>
      </c>
    </row>
    <row r="69" spans="1:12" x14ac:dyDescent="0.25">
      <c r="A69" t="s">
        <v>1248</v>
      </c>
      <c r="B69" t="s">
        <v>1249</v>
      </c>
      <c r="C69" t="s">
        <v>1247</v>
      </c>
      <c r="D69">
        <v>22513</v>
      </c>
      <c r="E69">
        <v>107</v>
      </c>
      <c r="F69">
        <v>18461</v>
      </c>
      <c r="G69">
        <v>3945</v>
      </c>
      <c r="H69">
        <v>0</v>
      </c>
      <c r="I69">
        <v>6232</v>
      </c>
      <c r="J69" s="928">
        <v>5093</v>
      </c>
      <c r="K69">
        <v>1139</v>
      </c>
      <c r="L69">
        <v>0</v>
      </c>
    </row>
    <row r="70" spans="1:12" x14ac:dyDescent="0.25">
      <c r="A70" t="s">
        <v>862</v>
      </c>
      <c r="B70" t="s">
        <v>863</v>
      </c>
      <c r="C70" t="s">
        <v>861</v>
      </c>
      <c r="D70">
        <v>155532</v>
      </c>
      <c r="E70">
        <v>0</v>
      </c>
      <c r="F70">
        <v>109631</v>
      </c>
      <c r="G70">
        <v>19779</v>
      </c>
      <c r="H70">
        <v>5208</v>
      </c>
      <c r="I70">
        <v>30155</v>
      </c>
      <c r="J70" s="928">
        <v>9242</v>
      </c>
      <c r="K70">
        <v>0</v>
      </c>
      <c r="L70">
        <v>20913</v>
      </c>
    </row>
    <row r="71" spans="1:12" x14ac:dyDescent="0.25">
      <c r="A71" t="s">
        <v>127</v>
      </c>
      <c r="B71" t="s">
        <v>128</v>
      </c>
      <c r="C71" t="s">
        <v>126</v>
      </c>
      <c r="D71">
        <v>71035</v>
      </c>
      <c r="E71">
        <v>0</v>
      </c>
      <c r="F71">
        <v>71035</v>
      </c>
      <c r="G71">
        <v>0</v>
      </c>
      <c r="H71">
        <v>0</v>
      </c>
      <c r="I71">
        <v>22511</v>
      </c>
      <c r="J71" s="928">
        <v>18475</v>
      </c>
      <c r="K71">
        <v>4036</v>
      </c>
      <c r="L71">
        <v>0</v>
      </c>
    </row>
    <row r="72" spans="1:12" x14ac:dyDescent="0.25">
      <c r="A72" t="s">
        <v>1046</v>
      </c>
      <c r="B72" t="s">
        <v>1047</v>
      </c>
      <c r="C72" t="s">
        <v>1045</v>
      </c>
      <c r="D72">
        <v>66373</v>
      </c>
      <c r="E72">
        <v>0</v>
      </c>
      <c r="F72">
        <v>66373</v>
      </c>
      <c r="G72">
        <v>0</v>
      </c>
      <c r="H72">
        <v>0</v>
      </c>
      <c r="I72">
        <v>6286</v>
      </c>
      <c r="J72" s="928">
        <v>5146</v>
      </c>
      <c r="K72">
        <v>1140</v>
      </c>
      <c r="L72">
        <v>0</v>
      </c>
    </row>
    <row r="73" spans="1:12" x14ac:dyDescent="0.25">
      <c r="A73" t="s">
        <v>680</v>
      </c>
      <c r="B73" t="s">
        <v>681</v>
      </c>
      <c r="C73" t="s">
        <v>679</v>
      </c>
      <c r="D73">
        <v>114086</v>
      </c>
      <c r="E73">
        <v>0</v>
      </c>
      <c r="F73">
        <v>107246</v>
      </c>
      <c r="G73">
        <v>6840</v>
      </c>
      <c r="H73">
        <v>0</v>
      </c>
      <c r="I73">
        <v>34340</v>
      </c>
      <c r="J73" s="928">
        <v>34340</v>
      </c>
      <c r="K73">
        <v>0</v>
      </c>
      <c r="L73">
        <v>0</v>
      </c>
    </row>
    <row r="74" spans="1:12" x14ac:dyDescent="0.25">
      <c r="A74" t="s">
        <v>406</v>
      </c>
      <c r="B74" t="s">
        <v>407</v>
      </c>
      <c r="C74" t="s">
        <v>405</v>
      </c>
      <c r="D74">
        <v>23694</v>
      </c>
      <c r="E74">
        <v>2054</v>
      </c>
      <c r="F74">
        <v>6182</v>
      </c>
      <c r="G74">
        <v>4909</v>
      </c>
      <c r="H74">
        <v>5539</v>
      </c>
      <c r="I74">
        <v>9443</v>
      </c>
      <c r="J74" s="928">
        <v>3546</v>
      </c>
      <c r="K74">
        <v>887</v>
      </c>
      <c r="L74">
        <v>5010</v>
      </c>
    </row>
    <row r="75" spans="1:12" x14ac:dyDescent="0.25">
      <c r="A75" t="s">
        <v>188</v>
      </c>
      <c r="B75" t="s">
        <v>189</v>
      </c>
      <c r="C75" t="s">
        <v>187</v>
      </c>
      <c r="D75">
        <v>8562</v>
      </c>
      <c r="E75">
        <v>0</v>
      </c>
      <c r="F75">
        <v>3863</v>
      </c>
      <c r="G75">
        <v>2546</v>
      </c>
      <c r="H75">
        <v>2153</v>
      </c>
      <c r="I75">
        <v>3884</v>
      </c>
      <c r="J75" s="928">
        <v>3213</v>
      </c>
      <c r="K75">
        <v>671</v>
      </c>
      <c r="L75">
        <v>0</v>
      </c>
    </row>
    <row r="76" spans="1:12" x14ac:dyDescent="0.25">
      <c r="A76" t="s">
        <v>191</v>
      </c>
      <c r="B76" t="s">
        <v>192</v>
      </c>
      <c r="C76" t="s">
        <v>190</v>
      </c>
      <c r="D76">
        <v>45523</v>
      </c>
      <c r="E76">
        <v>7438</v>
      </c>
      <c r="F76">
        <v>20704</v>
      </c>
      <c r="G76">
        <v>0</v>
      </c>
      <c r="H76">
        <v>0</v>
      </c>
      <c r="I76">
        <v>37731</v>
      </c>
      <c r="J76" s="928">
        <v>20350</v>
      </c>
      <c r="K76">
        <v>0</v>
      </c>
      <c r="L76">
        <v>17381</v>
      </c>
    </row>
    <row r="77" spans="1:12" x14ac:dyDescent="0.25">
      <c r="A77" t="s">
        <v>1287</v>
      </c>
      <c r="B77" t="s">
        <v>1288</v>
      </c>
      <c r="C77" t="s">
        <v>1286</v>
      </c>
      <c r="D77">
        <v>9639</v>
      </c>
      <c r="E77">
        <v>0</v>
      </c>
      <c r="F77">
        <v>985</v>
      </c>
      <c r="G77">
        <v>3062</v>
      </c>
      <c r="H77">
        <v>2188</v>
      </c>
      <c r="I77">
        <v>3405</v>
      </c>
      <c r="J77" s="928">
        <v>0</v>
      </c>
      <c r="K77">
        <v>0</v>
      </c>
      <c r="L77">
        <v>3405</v>
      </c>
    </row>
    <row r="78" spans="1:12" x14ac:dyDescent="0.25">
      <c r="A78" t="s">
        <v>1040</v>
      </c>
      <c r="B78" t="s">
        <v>1041</v>
      </c>
      <c r="C78" t="s">
        <v>1039</v>
      </c>
      <c r="D78">
        <v>518</v>
      </c>
      <c r="E78">
        <v>3288</v>
      </c>
      <c r="F78">
        <v>7355</v>
      </c>
      <c r="G78">
        <v>449</v>
      </c>
      <c r="H78">
        <v>165</v>
      </c>
      <c r="I78">
        <v>6491</v>
      </c>
      <c r="J78" s="928">
        <v>6491</v>
      </c>
      <c r="K78">
        <v>0</v>
      </c>
      <c r="L78">
        <v>0</v>
      </c>
    </row>
    <row r="79" spans="1:12" x14ac:dyDescent="0.25">
      <c r="A79" t="s">
        <v>237</v>
      </c>
      <c r="B79" t="s">
        <v>238</v>
      </c>
      <c r="C79" t="s">
        <v>236</v>
      </c>
      <c r="D79">
        <v>8460</v>
      </c>
      <c r="E79">
        <v>0</v>
      </c>
      <c r="F79">
        <v>8460</v>
      </c>
      <c r="G79">
        <v>0</v>
      </c>
      <c r="H79">
        <v>0</v>
      </c>
      <c r="I79">
        <v>0</v>
      </c>
      <c r="J79" s="928">
        <v>0</v>
      </c>
      <c r="K79">
        <v>0</v>
      </c>
      <c r="L79">
        <v>0</v>
      </c>
    </row>
    <row r="80" spans="1:12" x14ac:dyDescent="0.25">
      <c r="A80" t="s">
        <v>913</v>
      </c>
      <c r="B80" t="s">
        <v>914</v>
      </c>
      <c r="C80" t="s">
        <v>912</v>
      </c>
      <c r="D80">
        <v>192202</v>
      </c>
      <c r="E80">
        <v>52019</v>
      </c>
      <c r="F80">
        <v>99934</v>
      </c>
      <c r="G80">
        <v>40249</v>
      </c>
      <c r="H80">
        <v>0</v>
      </c>
      <c r="I80">
        <v>0</v>
      </c>
      <c r="J80" s="928">
        <v>0</v>
      </c>
      <c r="K80">
        <v>0</v>
      </c>
      <c r="L80">
        <v>0</v>
      </c>
    </row>
    <row r="81" spans="1:12" x14ac:dyDescent="0.25">
      <c r="A81" t="s">
        <v>1266</v>
      </c>
      <c r="B81" t="s">
        <v>1267</v>
      </c>
      <c r="C81" t="s">
        <v>1265</v>
      </c>
      <c r="D81">
        <v>16923</v>
      </c>
      <c r="E81">
        <v>0</v>
      </c>
      <c r="F81">
        <v>11533</v>
      </c>
      <c r="G81">
        <v>1346</v>
      </c>
      <c r="H81">
        <v>4044</v>
      </c>
      <c r="I81">
        <v>1486</v>
      </c>
      <c r="J81" s="928">
        <v>923</v>
      </c>
      <c r="K81">
        <v>563</v>
      </c>
      <c r="L81">
        <v>0</v>
      </c>
    </row>
    <row r="82" spans="1:12" x14ac:dyDescent="0.25">
      <c r="A82" t="s">
        <v>367</v>
      </c>
      <c r="B82" t="s">
        <v>368</v>
      </c>
      <c r="C82" t="s">
        <v>366</v>
      </c>
      <c r="D82">
        <v>30001</v>
      </c>
      <c r="E82">
        <v>0</v>
      </c>
      <c r="F82">
        <v>25125</v>
      </c>
      <c r="G82">
        <v>1412</v>
      </c>
      <c r="H82">
        <v>1831</v>
      </c>
      <c r="I82">
        <v>3388</v>
      </c>
      <c r="J82" s="928">
        <v>1421</v>
      </c>
      <c r="K82">
        <v>334</v>
      </c>
      <c r="L82">
        <v>1633</v>
      </c>
    </row>
    <row r="83" spans="1:12" x14ac:dyDescent="0.25">
      <c r="A83" t="s">
        <v>161</v>
      </c>
      <c r="B83" t="s">
        <v>162</v>
      </c>
      <c r="C83" t="s">
        <v>160</v>
      </c>
      <c r="D83">
        <v>127650</v>
      </c>
      <c r="E83">
        <v>68961</v>
      </c>
      <c r="F83">
        <v>49957</v>
      </c>
      <c r="G83">
        <v>7272</v>
      </c>
      <c r="H83">
        <v>1459</v>
      </c>
      <c r="I83">
        <v>9873</v>
      </c>
      <c r="J83" s="928">
        <v>9873</v>
      </c>
      <c r="K83">
        <v>0</v>
      </c>
      <c r="L83">
        <v>0</v>
      </c>
    </row>
    <row r="84" spans="1:12" x14ac:dyDescent="0.25">
      <c r="A84" t="s">
        <v>722</v>
      </c>
      <c r="B84" t="s">
        <v>723</v>
      </c>
      <c r="C84" t="s">
        <v>721</v>
      </c>
      <c r="D84">
        <v>12763</v>
      </c>
      <c r="E84">
        <v>0</v>
      </c>
      <c r="F84">
        <v>10073</v>
      </c>
      <c r="G84">
        <v>0</v>
      </c>
      <c r="H84">
        <v>2690</v>
      </c>
      <c r="I84">
        <v>8564</v>
      </c>
      <c r="J84" s="928">
        <v>7005</v>
      </c>
      <c r="K84">
        <v>1559</v>
      </c>
      <c r="L84">
        <v>0</v>
      </c>
    </row>
    <row r="85" spans="1:12" x14ac:dyDescent="0.25">
      <c r="A85" t="s">
        <v>740</v>
      </c>
      <c r="B85" t="s">
        <v>741</v>
      </c>
      <c r="C85" t="s">
        <v>739</v>
      </c>
      <c r="D85">
        <v>3893</v>
      </c>
      <c r="E85">
        <v>0</v>
      </c>
      <c r="F85">
        <v>1610</v>
      </c>
      <c r="G85">
        <v>2283</v>
      </c>
      <c r="H85">
        <v>0</v>
      </c>
      <c r="I85">
        <v>1400</v>
      </c>
      <c r="J85" s="928">
        <v>989</v>
      </c>
      <c r="K85">
        <v>411</v>
      </c>
      <c r="L85">
        <v>0</v>
      </c>
    </row>
    <row r="86" spans="1:12" x14ac:dyDescent="0.25">
      <c r="A86" t="s">
        <v>104</v>
      </c>
      <c r="B86" t="s">
        <v>105</v>
      </c>
      <c r="C86" t="s">
        <v>103</v>
      </c>
      <c r="D86">
        <v>152127</v>
      </c>
      <c r="E86">
        <v>75366</v>
      </c>
      <c r="F86">
        <v>76761</v>
      </c>
      <c r="G86">
        <v>0</v>
      </c>
      <c r="H86">
        <v>0</v>
      </c>
      <c r="I86">
        <v>0</v>
      </c>
      <c r="J86" s="928">
        <v>0</v>
      </c>
      <c r="K86">
        <v>0</v>
      </c>
      <c r="L86">
        <v>0</v>
      </c>
    </row>
    <row r="87" spans="1:12" x14ac:dyDescent="0.25">
      <c r="A87" t="s">
        <v>701</v>
      </c>
      <c r="B87" t="s">
        <v>702</v>
      </c>
      <c r="C87" t="s">
        <v>700</v>
      </c>
      <c r="D87">
        <v>14544</v>
      </c>
      <c r="E87">
        <v>183</v>
      </c>
      <c r="F87">
        <v>11141</v>
      </c>
      <c r="G87">
        <v>3218</v>
      </c>
      <c r="H87">
        <v>0</v>
      </c>
      <c r="I87">
        <v>3153</v>
      </c>
      <c r="J87" s="928">
        <v>2381</v>
      </c>
      <c r="K87">
        <v>772</v>
      </c>
      <c r="L87">
        <v>0</v>
      </c>
    </row>
    <row r="88" spans="1:12" x14ac:dyDescent="0.25">
      <c r="A88" t="s">
        <v>976</v>
      </c>
      <c r="B88" t="s">
        <v>977</v>
      </c>
      <c r="C88" t="s">
        <v>975</v>
      </c>
      <c r="D88">
        <v>224611</v>
      </c>
      <c r="E88">
        <v>31873</v>
      </c>
      <c r="F88">
        <v>78782</v>
      </c>
      <c r="G88">
        <v>72290</v>
      </c>
      <c r="H88">
        <v>41666</v>
      </c>
      <c r="I88">
        <v>13680</v>
      </c>
      <c r="J88" s="928">
        <v>13680</v>
      </c>
      <c r="K88">
        <v>0</v>
      </c>
      <c r="L88">
        <v>0</v>
      </c>
    </row>
    <row r="89" spans="1:12" x14ac:dyDescent="0.25">
      <c r="A89" t="s">
        <v>502</v>
      </c>
      <c r="B89" t="s">
        <v>503</v>
      </c>
      <c r="C89" t="s">
        <v>501</v>
      </c>
      <c r="D89">
        <v>10104</v>
      </c>
      <c r="E89">
        <v>0</v>
      </c>
      <c r="F89">
        <v>2005</v>
      </c>
      <c r="G89">
        <v>0</v>
      </c>
      <c r="H89">
        <v>1999</v>
      </c>
      <c r="I89">
        <v>7148</v>
      </c>
      <c r="J89" s="928">
        <v>1048</v>
      </c>
      <c r="K89">
        <v>0</v>
      </c>
      <c r="L89">
        <v>6100</v>
      </c>
    </row>
    <row r="90" spans="1:12" x14ac:dyDescent="0.25">
      <c r="A90" t="s">
        <v>818</v>
      </c>
      <c r="B90" t="s">
        <v>819</v>
      </c>
      <c r="C90" t="s">
        <v>817</v>
      </c>
      <c r="D90">
        <v>49450</v>
      </c>
      <c r="E90">
        <v>8476</v>
      </c>
      <c r="F90">
        <v>1638</v>
      </c>
      <c r="G90">
        <v>12852</v>
      </c>
      <c r="H90">
        <v>20792</v>
      </c>
      <c r="I90">
        <v>5693</v>
      </c>
      <c r="J90" s="928">
        <v>0</v>
      </c>
      <c r="K90">
        <v>0</v>
      </c>
      <c r="L90">
        <v>5693</v>
      </c>
    </row>
    <row r="91" spans="1:12" x14ac:dyDescent="0.25">
      <c r="A91" t="s">
        <v>1200</v>
      </c>
      <c r="B91" t="s">
        <v>1201</v>
      </c>
      <c r="C91" t="s">
        <v>1199</v>
      </c>
      <c r="D91">
        <v>12709</v>
      </c>
      <c r="E91">
        <v>0</v>
      </c>
      <c r="F91">
        <v>11281</v>
      </c>
      <c r="G91">
        <v>541</v>
      </c>
      <c r="H91">
        <v>2387</v>
      </c>
      <c r="I91">
        <v>1669</v>
      </c>
      <c r="J91" s="928">
        <v>1348</v>
      </c>
      <c r="K91">
        <v>321</v>
      </c>
      <c r="L91">
        <v>0</v>
      </c>
    </row>
    <row r="92" spans="1:12" x14ac:dyDescent="0.25">
      <c r="A92" t="s">
        <v>725</v>
      </c>
      <c r="B92" t="s">
        <v>726</v>
      </c>
      <c r="C92" t="s">
        <v>724</v>
      </c>
      <c r="D92">
        <v>9211</v>
      </c>
      <c r="E92">
        <v>0</v>
      </c>
      <c r="F92">
        <v>3802</v>
      </c>
      <c r="G92">
        <v>0</v>
      </c>
      <c r="H92">
        <v>5409</v>
      </c>
      <c r="I92">
        <v>1958</v>
      </c>
      <c r="J92" s="928">
        <v>1592</v>
      </c>
      <c r="K92">
        <v>366</v>
      </c>
      <c r="L92">
        <v>0</v>
      </c>
    </row>
    <row r="93" spans="1:12" x14ac:dyDescent="0.25">
      <c r="A93" t="s">
        <v>1296</v>
      </c>
      <c r="B93" t="s">
        <v>1297</v>
      </c>
      <c r="C93" t="s">
        <v>1295</v>
      </c>
      <c r="D93">
        <v>203392</v>
      </c>
      <c r="E93">
        <v>57337</v>
      </c>
      <c r="F93">
        <v>46177</v>
      </c>
      <c r="G93">
        <v>27619</v>
      </c>
      <c r="H93">
        <v>61658</v>
      </c>
      <c r="I93">
        <v>10601</v>
      </c>
      <c r="J93" s="928">
        <v>0</v>
      </c>
      <c r="K93">
        <v>0</v>
      </c>
      <c r="L93">
        <v>10601</v>
      </c>
    </row>
    <row r="94" spans="1:12" x14ac:dyDescent="0.25">
      <c r="A94" t="s">
        <v>1188</v>
      </c>
      <c r="B94" t="s">
        <v>1189</v>
      </c>
      <c r="C94" t="s">
        <v>1187</v>
      </c>
      <c r="D94">
        <v>5143</v>
      </c>
      <c r="E94">
        <v>0</v>
      </c>
      <c r="F94">
        <v>1943</v>
      </c>
      <c r="G94">
        <v>0</v>
      </c>
      <c r="H94">
        <v>2334</v>
      </c>
      <c r="I94">
        <v>5080</v>
      </c>
      <c r="J94" s="928">
        <v>4277</v>
      </c>
      <c r="K94">
        <v>803</v>
      </c>
      <c r="L94">
        <v>0</v>
      </c>
    </row>
    <row r="95" spans="1:12" x14ac:dyDescent="0.25">
      <c r="A95" t="s">
        <v>252</v>
      </c>
      <c r="B95" t="s">
        <v>253</v>
      </c>
      <c r="C95" t="s">
        <v>251</v>
      </c>
      <c r="D95">
        <v>9039</v>
      </c>
      <c r="E95">
        <v>0</v>
      </c>
      <c r="F95">
        <v>7890</v>
      </c>
      <c r="G95">
        <v>49</v>
      </c>
      <c r="H95">
        <v>1100</v>
      </c>
      <c r="I95">
        <v>4220</v>
      </c>
      <c r="J95" s="928">
        <v>3271</v>
      </c>
      <c r="K95">
        <v>949</v>
      </c>
      <c r="L95">
        <v>0</v>
      </c>
    </row>
    <row r="96" spans="1:12" x14ac:dyDescent="0.25">
      <c r="A96" t="s">
        <v>958</v>
      </c>
      <c r="B96" t="s">
        <v>959</v>
      </c>
      <c r="C96" t="s">
        <v>957</v>
      </c>
      <c r="D96">
        <v>18663</v>
      </c>
      <c r="E96">
        <v>1497</v>
      </c>
      <c r="F96">
        <v>3367</v>
      </c>
      <c r="G96">
        <v>13342</v>
      </c>
      <c r="H96">
        <v>457</v>
      </c>
      <c r="I96">
        <v>3359</v>
      </c>
      <c r="J96" s="928">
        <v>2196</v>
      </c>
      <c r="K96">
        <v>1163</v>
      </c>
      <c r="L96">
        <v>0</v>
      </c>
    </row>
    <row r="97" spans="1:12" x14ac:dyDescent="0.25">
      <c r="A97" t="s">
        <v>874</v>
      </c>
      <c r="B97" t="s">
        <v>875</v>
      </c>
      <c r="C97" t="s">
        <v>873</v>
      </c>
      <c r="D97">
        <v>139866</v>
      </c>
      <c r="E97">
        <v>49502</v>
      </c>
      <c r="F97">
        <v>42877</v>
      </c>
      <c r="G97">
        <v>35097</v>
      </c>
      <c r="H97">
        <v>12390</v>
      </c>
      <c r="I97">
        <v>24785</v>
      </c>
      <c r="J97" s="928">
        <v>20046</v>
      </c>
      <c r="K97">
        <v>4739</v>
      </c>
      <c r="L97">
        <v>0</v>
      </c>
    </row>
    <row r="98" spans="1:12" x14ac:dyDescent="0.25">
      <c r="A98" t="s">
        <v>499</v>
      </c>
      <c r="B98" t="s">
        <v>500</v>
      </c>
      <c r="C98" t="s">
        <v>498</v>
      </c>
      <c r="D98">
        <v>19480</v>
      </c>
      <c r="E98">
        <v>0</v>
      </c>
      <c r="F98">
        <v>16730</v>
      </c>
      <c r="G98">
        <v>2750</v>
      </c>
      <c r="H98">
        <v>0</v>
      </c>
      <c r="I98">
        <v>0</v>
      </c>
      <c r="J98" s="928">
        <v>0</v>
      </c>
      <c r="K98">
        <v>0</v>
      </c>
      <c r="L98">
        <v>0</v>
      </c>
    </row>
    <row r="99" spans="1:12" x14ac:dyDescent="0.25">
      <c r="A99" t="s">
        <v>889</v>
      </c>
      <c r="B99" t="s">
        <v>890</v>
      </c>
      <c r="C99" t="s">
        <v>888</v>
      </c>
      <c r="D99">
        <v>2033</v>
      </c>
      <c r="E99">
        <v>0</v>
      </c>
      <c r="F99">
        <v>1961</v>
      </c>
      <c r="G99">
        <v>43</v>
      </c>
      <c r="H99">
        <v>29</v>
      </c>
      <c r="I99">
        <v>1154</v>
      </c>
      <c r="J99" s="928">
        <v>760</v>
      </c>
      <c r="K99">
        <v>394</v>
      </c>
      <c r="L99">
        <v>0</v>
      </c>
    </row>
    <row r="100" spans="1:12" x14ac:dyDescent="0.25">
      <c r="A100" t="s">
        <v>1097</v>
      </c>
      <c r="B100" t="s">
        <v>1098</v>
      </c>
      <c r="C100" t="s">
        <v>1096</v>
      </c>
      <c r="D100">
        <v>6771</v>
      </c>
      <c r="E100">
        <v>0</v>
      </c>
      <c r="F100">
        <v>0</v>
      </c>
      <c r="G100">
        <v>0</v>
      </c>
      <c r="H100">
        <v>4608</v>
      </c>
      <c r="I100">
        <v>2163</v>
      </c>
      <c r="J100" s="928">
        <v>1660</v>
      </c>
      <c r="K100">
        <v>503</v>
      </c>
      <c r="L100">
        <v>0</v>
      </c>
    </row>
    <row r="101" spans="1:12" x14ac:dyDescent="0.25">
      <c r="A101" t="s">
        <v>427</v>
      </c>
      <c r="B101" t="s">
        <v>428</v>
      </c>
      <c r="C101" t="s">
        <v>426</v>
      </c>
      <c r="D101">
        <v>181031</v>
      </c>
      <c r="E101">
        <v>0</v>
      </c>
      <c r="F101">
        <v>136265</v>
      </c>
      <c r="G101">
        <v>24266</v>
      </c>
      <c r="H101">
        <v>20500</v>
      </c>
      <c r="I101">
        <v>4120</v>
      </c>
      <c r="J101" s="928">
        <v>3291</v>
      </c>
      <c r="K101">
        <v>829</v>
      </c>
      <c r="L101">
        <v>0</v>
      </c>
    </row>
    <row r="102" spans="1:12" x14ac:dyDescent="0.25">
      <c r="A102" t="s">
        <v>1314</v>
      </c>
      <c r="B102" t="s">
        <v>1315</v>
      </c>
      <c r="C102" t="s">
        <v>1313</v>
      </c>
      <c r="D102">
        <v>147030</v>
      </c>
      <c r="E102">
        <v>1856</v>
      </c>
      <c r="F102">
        <v>124541</v>
      </c>
      <c r="G102">
        <v>20285</v>
      </c>
      <c r="H102">
        <v>0</v>
      </c>
      <c r="I102">
        <v>14732</v>
      </c>
      <c r="J102" s="928">
        <v>14384</v>
      </c>
      <c r="K102">
        <v>0</v>
      </c>
      <c r="L102">
        <v>348</v>
      </c>
    </row>
    <row r="103" spans="1:12" x14ac:dyDescent="0.25">
      <c r="A103" t="s">
        <v>433</v>
      </c>
      <c r="B103" t="s">
        <v>434</v>
      </c>
      <c r="C103" t="s">
        <v>432</v>
      </c>
      <c r="D103">
        <v>13223</v>
      </c>
      <c r="E103">
        <v>0</v>
      </c>
      <c r="F103">
        <v>0</v>
      </c>
      <c r="G103">
        <v>0</v>
      </c>
      <c r="H103">
        <v>0</v>
      </c>
      <c r="I103">
        <v>5451</v>
      </c>
      <c r="J103" s="928">
        <v>4714</v>
      </c>
      <c r="K103">
        <v>737</v>
      </c>
      <c r="L103">
        <v>0</v>
      </c>
    </row>
    <row r="104" spans="1:12" x14ac:dyDescent="0.25">
      <c r="A104" t="s">
        <v>1118</v>
      </c>
      <c r="B104" t="s">
        <v>1119</v>
      </c>
      <c r="C104" t="s">
        <v>1117</v>
      </c>
      <c r="D104">
        <v>21114</v>
      </c>
      <c r="E104">
        <v>0</v>
      </c>
      <c r="F104">
        <v>13190</v>
      </c>
      <c r="G104">
        <v>710</v>
      </c>
      <c r="H104">
        <v>7163</v>
      </c>
      <c r="I104">
        <v>2970</v>
      </c>
      <c r="J104" s="928">
        <v>1981</v>
      </c>
      <c r="K104">
        <v>938</v>
      </c>
      <c r="L104">
        <v>51</v>
      </c>
    </row>
    <row r="105" spans="1:12" x14ac:dyDescent="0.25">
      <c r="A105" t="s">
        <v>611</v>
      </c>
      <c r="B105" t="s">
        <v>612</v>
      </c>
      <c r="C105" t="s">
        <v>610</v>
      </c>
      <c r="D105">
        <v>20766</v>
      </c>
      <c r="E105">
        <v>0</v>
      </c>
      <c r="F105">
        <v>0</v>
      </c>
      <c r="G105">
        <v>1629</v>
      </c>
      <c r="H105">
        <v>0</v>
      </c>
      <c r="I105">
        <v>17336</v>
      </c>
      <c r="J105" s="928">
        <v>0</v>
      </c>
      <c r="K105">
        <v>0</v>
      </c>
      <c r="L105">
        <v>17336</v>
      </c>
    </row>
    <row r="106" spans="1:12" x14ac:dyDescent="0.25">
      <c r="A106" t="s">
        <v>669</v>
      </c>
      <c r="B106" t="s">
        <v>670</v>
      </c>
      <c r="C106" t="s">
        <v>668</v>
      </c>
      <c r="D106">
        <v>8688</v>
      </c>
      <c r="E106">
        <v>0</v>
      </c>
      <c r="F106">
        <v>8347</v>
      </c>
      <c r="G106">
        <v>0</v>
      </c>
      <c r="H106">
        <v>0</v>
      </c>
      <c r="I106">
        <v>1101</v>
      </c>
      <c r="J106" s="928">
        <v>1101</v>
      </c>
      <c r="K106">
        <v>0</v>
      </c>
      <c r="L106">
        <v>0</v>
      </c>
    </row>
    <row r="107" spans="1:12" x14ac:dyDescent="0.25">
      <c r="A107" t="s">
        <v>240</v>
      </c>
      <c r="B107" t="s">
        <v>241</v>
      </c>
      <c r="C107" t="s">
        <v>239</v>
      </c>
      <c r="D107">
        <v>11491</v>
      </c>
      <c r="E107">
        <v>0</v>
      </c>
      <c r="F107">
        <v>2820</v>
      </c>
      <c r="G107">
        <v>1410</v>
      </c>
      <c r="H107">
        <v>7261</v>
      </c>
      <c r="I107">
        <v>0</v>
      </c>
      <c r="J107" s="928">
        <v>0</v>
      </c>
      <c r="K107">
        <v>0</v>
      </c>
      <c r="L107">
        <v>0</v>
      </c>
    </row>
    <row r="108" spans="1:12" x14ac:dyDescent="0.25">
      <c r="A108" t="s">
        <v>209</v>
      </c>
      <c r="B108" t="s">
        <v>210</v>
      </c>
      <c r="C108" t="s">
        <v>208</v>
      </c>
      <c r="D108">
        <v>3583</v>
      </c>
      <c r="E108">
        <v>0</v>
      </c>
      <c r="F108">
        <v>310</v>
      </c>
      <c r="G108">
        <v>0</v>
      </c>
      <c r="H108">
        <v>3273</v>
      </c>
      <c r="I108">
        <v>0</v>
      </c>
      <c r="J108" s="928">
        <v>0</v>
      </c>
      <c r="K108">
        <v>0</v>
      </c>
      <c r="L108">
        <v>0</v>
      </c>
    </row>
    <row r="109" spans="1:12" x14ac:dyDescent="0.25">
      <c r="A109" t="s">
        <v>1067</v>
      </c>
      <c r="B109" t="s">
        <v>1068</v>
      </c>
      <c r="C109" t="s">
        <v>1066</v>
      </c>
      <c r="D109">
        <v>30797</v>
      </c>
      <c r="E109">
        <v>2561</v>
      </c>
      <c r="F109">
        <v>18167</v>
      </c>
      <c r="G109">
        <v>7124</v>
      </c>
      <c r="H109">
        <v>1480</v>
      </c>
      <c r="I109">
        <v>1465</v>
      </c>
      <c r="J109" s="928">
        <v>0</v>
      </c>
      <c r="K109">
        <v>0</v>
      </c>
      <c r="L109">
        <v>1465</v>
      </c>
    </row>
    <row r="110" spans="1:12" x14ac:dyDescent="0.25">
      <c r="A110" t="s">
        <v>409</v>
      </c>
      <c r="B110" t="s">
        <v>410</v>
      </c>
      <c r="C110" t="s">
        <v>408</v>
      </c>
      <c r="D110">
        <v>16264</v>
      </c>
      <c r="E110">
        <v>0</v>
      </c>
      <c r="F110">
        <v>0</v>
      </c>
      <c r="G110">
        <v>581</v>
      </c>
      <c r="H110">
        <v>2094</v>
      </c>
      <c r="I110">
        <v>19251</v>
      </c>
      <c r="J110" s="928">
        <v>4437</v>
      </c>
      <c r="K110">
        <v>1235</v>
      </c>
      <c r="L110">
        <v>13579</v>
      </c>
    </row>
    <row r="111" spans="1:12" x14ac:dyDescent="0.25">
      <c r="A111" t="s">
        <v>1151</v>
      </c>
      <c r="B111" t="s">
        <v>1152</v>
      </c>
      <c r="C111" t="s">
        <v>1150</v>
      </c>
      <c r="D111">
        <v>108137</v>
      </c>
      <c r="E111">
        <v>16353</v>
      </c>
      <c r="F111">
        <v>38908</v>
      </c>
      <c r="G111">
        <v>17392</v>
      </c>
      <c r="H111">
        <v>35484</v>
      </c>
      <c r="I111">
        <v>17171</v>
      </c>
      <c r="J111" s="928">
        <v>13499</v>
      </c>
      <c r="K111">
        <v>3672</v>
      </c>
      <c r="L111">
        <v>0</v>
      </c>
    </row>
    <row r="112" spans="1:12" x14ac:dyDescent="0.25">
      <c r="A112" t="s">
        <v>397</v>
      </c>
      <c r="B112" t="s">
        <v>398</v>
      </c>
      <c r="C112" t="s">
        <v>396</v>
      </c>
      <c r="D112">
        <v>100832</v>
      </c>
      <c r="E112">
        <v>26397</v>
      </c>
      <c r="F112">
        <v>36080</v>
      </c>
      <c r="G112">
        <v>27997</v>
      </c>
      <c r="H112">
        <v>0</v>
      </c>
      <c r="I112">
        <v>10358</v>
      </c>
      <c r="J112" s="928">
        <v>0</v>
      </c>
      <c r="K112">
        <v>0</v>
      </c>
      <c r="L112">
        <v>10358</v>
      </c>
    </row>
    <row r="113" spans="1:12" x14ac:dyDescent="0.25">
      <c r="A113" t="s">
        <v>140</v>
      </c>
      <c r="B113" t="s">
        <v>141</v>
      </c>
      <c r="C113" t="s">
        <v>139</v>
      </c>
      <c r="D113">
        <v>7644</v>
      </c>
      <c r="E113">
        <v>0</v>
      </c>
      <c r="F113">
        <v>3260</v>
      </c>
      <c r="G113">
        <v>3195</v>
      </c>
      <c r="H113">
        <v>1189</v>
      </c>
      <c r="I113">
        <v>957</v>
      </c>
      <c r="J113" s="928">
        <v>957</v>
      </c>
      <c r="K113">
        <v>0</v>
      </c>
      <c r="L113">
        <v>0</v>
      </c>
    </row>
    <row r="114" spans="1:12" x14ac:dyDescent="0.25">
      <c r="A114" t="s">
        <v>215</v>
      </c>
      <c r="B114" t="s">
        <v>216</v>
      </c>
      <c r="C114" t="s">
        <v>214</v>
      </c>
      <c r="D114">
        <v>4688</v>
      </c>
      <c r="E114">
        <v>0</v>
      </c>
      <c r="F114">
        <v>0</v>
      </c>
      <c r="G114">
        <v>0</v>
      </c>
      <c r="H114">
        <v>0</v>
      </c>
      <c r="I114">
        <v>1122</v>
      </c>
      <c r="J114" s="928">
        <v>915</v>
      </c>
      <c r="K114">
        <v>207</v>
      </c>
      <c r="L114">
        <v>0</v>
      </c>
    </row>
    <row r="115" spans="1:12" x14ac:dyDescent="0.25">
      <c r="A115" t="s">
        <v>1055</v>
      </c>
      <c r="B115" t="s">
        <v>1056</v>
      </c>
      <c r="C115" t="s">
        <v>1054</v>
      </c>
      <c r="D115">
        <v>5925</v>
      </c>
      <c r="E115">
        <v>0</v>
      </c>
      <c r="F115">
        <v>1758</v>
      </c>
      <c r="G115">
        <v>361</v>
      </c>
      <c r="H115">
        <v>3806</v>
      </c>
      <c r="I115">
        <v>2328</v>
      </c>
      <c r="J115" s="928">
        <v>1579</v>
      </c>
      <c r="K115">
        <v>749</v>
      </c>
      <c r="L115">
        <v>0</v>
      </c>
    </row>
    <row r="116" spans="1:12" x14ac:dyDescent="0.25">
      <c r="A116" t="s">
        <v>415</v>
      </c>
      <c r="B116" t="s">
        <v>416</v>
      </c>
      <c r="C116" t="s">
        <v>414</v>
      </c>
      <c r="D116">
        <v>6367</v>
      </c>
      <c r="E116">
        <v>0</v>
      </c>
      <c r="F116">
        <v>5367</v>
      </c>
      <c r="G116">
        <v>1000</v>
      </c>
      <c r="H116">
        <v>0</v>
      </c>
      <c r="I116">
        <v>0</v>
      </c>
      <c r="J116" s="928">
        <v>0</v>
      </c>
      <c r="K116">
        <v>0</v>
      </c>
      <c r="L116">
        <v>0</v>
      </c>
    </row>
    <row r="117" spans="1:12" x14ac:dyDescent="0.25">
      <c r="A117" t="s">
        <v>675</v>
      </c>
      <c r="B117" t="s">
        <v>676</v>
      </c>
      <c r="C117" t="s">
        <v>674</v>
      </c>
      <c r="D117">
        <v>22853</v>
      </c>
      <c r="E117">
        <v>0</v>
      </c>
      <c r="F117">
        <v>3725</v>
      </c>
      <c r="G117">
        <v>2178</v>
      </c>
      <c r="H117">
        <v>826</v>
      </c>
      <c r="I117">
        <v>16124</v>
      </c>
      <c r="J117" s="928">
        <v>0</v>
      </c>
      <c r="K117">
        <v>0</v>
      </c>
      <c r="L117">
        <v>16124</v>
      </c>
    </row>
    <row r="118" spans="1:12" x14ac:dyDescent="0.25">
      <c r="A118" t="s">
        <v>230</v>
      </c>
      <c r="B118" t="s">
        <v>231</v>
      </c>
      <c r="C118" t="s">
        <v>229</v>
      </c>
      <c r="D118">
        <v>128092</v>
      </c>
      <c r="E118">
        <v>7682</v>
      </c>
      <c r="F118">
        <v>69278</v>
      </c>
      <c r="G118">
        <v>41723</v>
      </c>
      <c r="H118">
        <v>9408</v>
      </c>
      <c r="I118">
        <v>0</v>
      </c>
      <c r="J118" s="928">
        <v>0</v>
      </c>
      <c r="K118">
        <v>0</v>
      </c>
      <c r="L118">
        <v>0</v>
      </c>
    </row>
    <row r="119" spans="1:12" x14ac:dyDescent="0.25">
      <c r="A119" t="s">
        <v>1347</v>
      </c>
      <c r="B119" t="s">
        <v>1348</v>
      </c>
      <c r="C119" t="s">
        <v>1346</v>
      </c>
      <c r="D119">
        <v>3106</v>
      </c>
      <c r="E119">
        <v>0</v>
      </c>
      <c r="F119">
        <v>1173</v>
      </c>
      <c r="G119">
        <v>1005</v>
      </c>
      <c r="H119">
        <v>0</v>
      </c>
      <c r="I119">
        <v>4968</v>
      </c>
      <c r="J119" s="928">
        <v>3307</v>
      </c>
      <c r="K119">
        <v>733</v>
      </c>
      <c r="L119">
        <v>928</v>
      </c>
    </row>
    <row r="120" spans="1:12" x14ac:dyDescent="0.25">
      <c r="A120" t="s">
        <v>797</v>
      </c>
      <c r="B120" t="s">
        <v>798</v>
      </c>
      <c r="C120" t="s">
        <v>796</v>
      </c>
      <c r="D120">
        <v>17883</v>
      </c>
      <c r="E120">
        <v>0</v>
      </c>
      <c r="F120">
        <v>0</v>
      </c>
      <c r="G120">
        <v>0</v>
      </c>
      <c r="H120">
        <v>0</v>
      </c>
      <c r="I120">
        <v>17883</v>
      </c>
      <c r="J120" s="928">
        <v>0</v>
      </c>
      <c r="K120">
        <v>0</v>
      </c>
      <c r="L120">
        <v>17883</v>
      </c>
    </row>
    <row r="121" spans="1:12" x14ac:dyDescent="0.25">
      <c r="A121" t="s">
        <v>182</v>
      </c>
      <c r="B121" t="s">
        <v>183</v>
      </c>
      <c r="C121" t="s">
        <v>181</v>
      </c>
      <c r="D121">
        <v>18812</v>
      </c>
      <c r="E121">
        <v>0</v>
      </c>
      <c r="F121">
        <v>13903</v>
      </c>
      <c r="G121">
        <v>1756</v>
      </c>
      <c r="H121">
        <v>0</v>
      </c>
      <c r="I121">
        <v>3153</v>
      </c>
      <c r="J121" s="928">
        <v>2330</v>
      </c>
      <c r="K121">
        <v>823</v>
      </c>
      <c r="L121">
        <v>0</v>
      </c>
    </row>
    <row r="122" spans="1:12" x14ac:dyDescent="0.25">
      <c r="A122" t="s">
        <v>593</v>
      </c>
      <c r="B122" t="s">
        <v>594</v>
      </c>
      <c r="C122" t="s">
        <v>592</v>
      </c>
      <c r="D122">
        <v>7557</v>
      </c>
      <c r="E122">
        <v>0</v>
      </c>
      <c r="F122">
        <v>0</v>
      </c>
      <c r="G122">
        <v>0</v>
      </c>
      <c r="H122">
        <v>5312</v>
      </c>
      <c r="I122">
        <v>2245</v>
      </c>
      <c r="J122" s="928">
        <v>1444</v>
      </c>
      <c r="K122">
        <v>801</v>
      </c>
      <c r="L122">
        <v>0</v>
      </c>
    </row>
    <row r="123" spans="1:12" x14ac:dyDescent="0.25">
      <c r="A123" t="s">
        <v>59</v>
      </c>
      <c r="B123" t="s">
        <v>60</v>
      </c>
      <c r="C123" t="s">
        <v>58</v>
      </c>
      <c r="D123">
        <v>2160</v>
      </c>
      <c r="E123">
        <v>0</v>
      </c>
      <c r="F123">
        <v>1203</v>
      </c>
      <c r="G123">
        <v>647</v>
      </c>
      <c r="H123">
        <v>0</v>
      </c>
      <c r="I123">
        <v>2597</v>
      </c>
      <c r="J123" s="928">
        <v>1766</v>
      </c>
      <c r="K123">
        <v>521</v>
      </c>
      <c r="L123">
        <v>310</v>
      </c>
    </row>
    <row r="124" spans="1:12" x14ac:dyDescent="0.25">
      <c r="A124" t="s">
        <v>412</v>
      </c>
      <c r="B124" t="s">
        <v>413</v>
      </c>
      <c r="C124" t="s">
        <v>411</v>
      </c>
      <c r="D124">
        <v>23786</v>
      </c>
      <c r="E124">
        <v>0</v>
      </c>
      <c r="F124">
        <v>23786</v>
      </c>
      <c r="G124">
        <v>0</v>
      </c>
      <c r="H124">
        <v>0</v>
      </c>
      <c r="I124">
        <v>5486</v>
      </c>
      <c r="J124" s="928">
        <v>4846</v>
      </c>
      <c r="K124">
        <v>640</v>
      </c>
      <c r="L124">
        <v>0</v>
      </c>
    </row>
    <row r="125" spans="1:12" x14ac:dyDescent="0.25">
      <c r="A125" t="s">
        <v>605</v>
      </c>
      <c r="B125" t="s">
        <v>606</v>
      </c>
      <c r="C125" t="s">
        <v>604</v>
      </c>
      <c r="D125">
        <v>191074</v>
      </c>
      <c r="E125">
        <v>14274</v>
      </c>
      <c r="F125">
        <v>121648</v>
      </c>
      <c r="G125">
        <v>55152</v>
      </c>
      <c r="H125">
        <v>0</v>
      </c>
      <c r="I125">
        <v>8252</v>
      </c>
      <c r="J125" s="928">
        <v>8252</v>
      </c>
      <c r="K125">
        <v>0</v>
      </c>
      <c r="L125">
        <v>0</v>
      </c>
    </row>
    <row r="126" spans="1:12" x14ac:dyDescent="0.25">
      <c r="A126" t="s">
        <v>288</v>
      </c>
      <c r="B126" t="s">
        <v>289</v>
      </c>
      <c r="C126" t="s">
        <v>287</v>
      </c>
      <c r="D126">
        <v>48774</v>
      </c>
      <c r="E126">
        <v>0</v>
      </c>
      <c r="F126">
        <v>39079</v>
      </c>
      <c r="G126">
        <v>1695</v>
      </c>
      <c r="H126">
        <v>8000</v>
      </c>
      <c r="I126">
        <v>0</v>
      </c>
      <c r="J126" s="928">
        <v>0</v>
      </c>
      <c r="K126">
        <v>0</v>
      </c>
      <c r="L126">
        <v>0</v>
      </c>
    </row>
    <row r="127" spans="1:12" x14ac:dyDescent="0.25">
      <c r="A127" t="s">
        <v>137</v>
      </c>
      <c r="B127" t="s">
        <v>138</v>
      </c>
      <c r="C127" t="s">
        <v>136</v>
      </c>
      <c r="D127">
        <v>7474</v>
      </c>
      <c r="E127">
        <v>0</v>
      </c>
      <c r="F127">
        <v>0</v>
      </c>
      <c r="G127">
        <v>1133</v>
      </c>
      <c r="H127">
        <v>4800</v>
      </c>
      <c r="I127">
        <v>1541</v>
      </c>
      <c r="J127" s="928">
        <v>0</v>
      </c>
      <c r="K127">
        <v>0</v>
      </c>
      <c r="L127">
        <v>1541</v>
      </c>
    </row>
    <row r="128" spans="1:12" x14ac:dyDescent="0.25">
      <c r="A128" t="s">
        <v>901</v>
      </c>
      <c r="B128" t="s">
        <v>902</v>
      </c>
      <c r="C128" t="s">
        <v>900</v>
      </c>
      <c r="D128">
        <v>8997</v>
      </c>
      <c r="E128">
        <v>0</v>
      </c>
      <c r="F128">
        <v>8997</v>
      </c>
      <c r="G128">
        <v>0</v>
      </c>
      <c r="H128">
        <v>0</v>
      </c>
      <c r="I128">
        <v>0</v>
      </c>
      <c r="J128" s="928">
        <v>0</v>
      </c>
      <c r="K128">
        <v>0</v>
      </c>
      <c r="L128">
        <v>0</v>
      </c>
    </row>
    <row r="129" spans="1:12" x14ac:dyDescent="0.25">
      <c r="A129" t="s">
        <v>112</v>
      </c>
      <c r="B129" t="s">
        <v>113</v>
      </c>
      <c r="C129" t="s">
        <v>111</v>
      </c>
      <c r="D129">
        <v>9761</v>
      </c>
      <c r="E129">
        <v>1918</v>
      </c>
      <c r="F129">
        <v>3289</v>
      </c>
      <c r="G129">
        <v>945</v>
      </c>
      <c r="H129">
        <v>3609</v>
      </c>
      <c r="I129">
        <v>1956</v>
      </c>
      <c r="J129" s="928">
        <v>1414</v>
      </c>
      <c r="K129">
        <v>542</v>
      </c>
      <c r="L129">
        <v>0</v>
      </c>
    </row>
    <row r="130" spans="1:12" x14ac:dyDescent="0.25">
      <c r="A130" t="s">
        <v>731</v>
      </c>
      <c r="B130" t="s">
        <v>732</v>
      </c>
      <c r="C130" t="s">
        <v>730</v>
      </c>
      <c r="D130">
        <v>377989</v>
      </c>
      <c r="E130">
        <v>9635</v>
      </c>
      <c r="F130">
        <v>226635</v>
      </c>
      <c r="G130">
        <v>94613</v>
      </c>
      <c r="H130">
        <v>43636</v>
      </c>
      <c r="I130">
        <v>107888</v>
      </c>
      <c r="J130" s="928">
        <v>80425</v>
      </c>
      <c r="K130">
        <v>23993</v>
      </c>
      <c r="L130">
        <v>3470</v>
      </c>
    </row>
    <row r="131" spans="1:12" x14ac:dyDescent="0.25">
      <c r="A131" t="s">
        <v>330</v>
      </c>
      <c r="B131" t="s">
        <v>331</v>
      </c>
      <c r="C131" t="s">
        <v>329</v>
      </c>
      <c r="D131">
        <v>19471</v>
      </c>
      <c r="E131">
        <v>0</v>
      </c>
      <c r="F131">
        <v>6239</v>
      </c>
      <c r="G131">
        <v>3609</v>
      </c>
      <c r="H131">
        <v>9623</v>
      </c>
      <c r="I131">
        <v>0</v>
      </c>
      <c r="J131" s="928">
        <v>0</v>
      </c>
      <c r="K131">
        <v>0</v>
      </c>
      <c r="L131">
        <v>0</v>
      </c>
    </row>
    <row r="132" spans="1:12" x14ac:dyDescent="0.25">
      <c r="A132" t="s">
        <v>460</v>
      </c>
      <c r="B132" t="s">
        <v>461</v>
      </c>
      <c r="C132" t="s">
        <v>459</v>
      </c>
      <c r="D132">
        <v>10783</v>
      </c>
      <c r="E132">
        <v>0</v>
      </c>
      <c r="F132">
        <v>4785</v>
      </c>
      <c r="G132">
        <v>3470</v>
      </c>
      <c r="H132">
        <v>2528</v>
      </c>
      <c r="I132">
        <v>252</v>
      </c>
      <c r="J132" s="928">
        <v>1535</v>
      </c>
      <c r="K132">
        <v>-1283</v>
      </c>
      <c r="L132">
        <v>0</v>
      </c>
    </row>
    <row r="133" spans="1:12" x14ac:dyDescent="0.25">
      <c r="A133" t="s">
        <v>466</v>
      </c>
      <c r="B133" t="s">
        <v>467</v>
      </c>
      <c r="C133" t="s">
        <v>465</v>
      </c>
      <c r="D133">
        <v>14643</v>
      </c>
      <c r="E133">
        <v>0</v>
      </c>
      <c r="F133">
        <v>4997</v>
      </c>
      <c r="G133">
        <v>4297</v>
      </c>
      <c r="H133">
        <v>0</v>
      </c>
      <c r="I133">
        <v>16448</v>
      </c>
      <c r="J133" s="928">
        <v>11099</v>
      </c>
      <c r="K133">
        <v>0</v>
      </c>
      <c r="L133">
        <v>5349</v>
      </c>
    </row>
    <row r="134" spans="1:12" x14ac:dyDescent="0.25">
      <c r="A134" t="s">
        <v>481</v>
      </c>
      <c r="B134" t="s">
        <v>482</v>
      </c>
      <c r="C134" t="s">
        <v>480</v>
      </c>
      <c r="D134">
        <v>11614</v>
      </c>
      <c r="E134">
        <v>17</v>
      </c>
      <c r="F134">
        <v>5673</v>
      </c>
      <c r="G134">
        <v>0</v>
      </c>
      <c r="H134">
        <v>3595</v>
      </c>
      <c r="I134">
        <v>2329</v>
      </c>
      <c r="J134" s="928">
        <v>0</v>
      </c>
      <c r="K134">
        <v>0</v>
      </c>
      <c r="L134">
        <v>2329</v>
      </c>
    </row>
    <row r="135" spans="1:12" x14ac:dyDescent="0.25">
      <c r="A135" t="s">
        <v>641</v>
      </c>
      <c r="B135" t="s">
        <v>642</v>
      </c>
      <c r="C135" t="s">
        <v>640</v>
      </c>
      <c r="D135">
        <v>11370</v>
      </c>
      <c r="E135">
        <v>0</v>
      </c>
      <c r="F135">
        <v>0</v>
      </c>
      <c r="G135">
        <v>3528</v>
      </c>
      <c r="H135">
        <v>7842</v>
      </c>
      <c r="I135">
        <v>0</v>
      </c>
      <c r="J135" s="928">
        <v>0</v>
      </c>
      <c r="K135">
        <v>0</v>
      </c>
      <c r="L135">
        <v>0</v>
      </c>
    </row>
    <row r="136" spans="1:12" x14ac:dyDescent="0.25">
      <c r="A136" t="s">
        <v>656</v>
      </c>
      <c r="B136" t="s">
        <v>657</v>
      </c>
      <c r="C136" t="s">
        <v>655</v>
      </c>
      <c r="D136">
        <v>75348</v>
      </c>
      <c r="E136">
        <v>14551</v>
      </c>
      <c r="F136">
        <v>42753</v>
      </c>
      <c r="G136">
        <v>18045</v>
      </c>
      <c r="H136">
        <v>0</v>
      </c>
      <c r="I136">
        <v>3708</v>
      </c>
      <c r="J136" s="928">
        <v>3708</v>
      </c>
      <c r="K136">
        <v>0</v>
      </c>
      <c r="L136">
        <v>0</v>
      </c>
    </row>
    <row r="137" spans="1:12" x14ac:dyDescent="0.25">
      <c r="A137" t="s">
        <v>689</v>
      </c>
      <c r="B137" t="s">
        <v>690</v>
      </c>
      <c r="C137" t="s">
        <v>688</v>
      </c>
      <c r="D137">
        <v>18293</v>
      </c>
      <c r="E137">
        <v>0</v>
      </c>
      <c r="F137">
        <v>13952</v>
      </c>
      <c r="G137">
        <v>400</v>
      </c>
      <c r="H137">
        <v>2622</v>
      </c>
      <c r="I137">
        <v>2192</v>
      </c>
      <c r="J137" s="928">
        <v>611</v>
      </c>
      <c r="K137">
        <v>262</v>
      </c>
      <c r="L137">
        <v>1319</v>
      </c>
    </row>
    <row r="138" spans="1:12" x14ac:dyDescent="0.25">
      <c r="A138" t="s">
        <v>764</v>
      </c>
      <c r="B138" t="s">
        <v>765</v>
      </c>
      <c r="C138" t="s">
        <v>763</v>
      </c>
      <c r="D138">
        <v>15262</v>
      </c>
      <c r="E138">
        <v>0</v>
      </c>
      <c r="F138">
        <v>15262</v>
      </c>
      <c r="G138">
        <v>0</v>
      </c>
      <c r="H138">
        <v>0</v>
      </c>
      <c r="I138">
        <v>7071</v>
      </c>
      <c r="J138" s="928">
        <v>5693</v>
      </c>
      <c r="K138">
        <v>1378</v>
      </c>
      <c r="L138">
        <v>0</v>
      </c>
    </row>
    <row r="139" spans="1:12" x14ac:dyDescent="0.25">
      <c r="A139" t="s">
        <v>794</v>
      </c>
      <c r="B139" t="s">
        <v>795</v>
      </c>
      <c r="C139" t="s">
        <v>793</v>
      </c>
      <c r="D139">
        <v>147701</v>
      </c>
      <c r="E139">
        <v>7114</v>
      </c>
      <c r="F139">
        <v>70239</v>
      </c>
      <c r="G139">
        <v>45471</v>
      </c>
      <c r="H139">
        <v>0</v>
      </c>
      <c r="I139">
        <v>34259</v>
      </c>
      <c r="J139" s="928">
        <v>7612</v>
      </c>
      <c r="K139">
        <v>1770</v>
      </c>
      <c r="L139">
        <v>24877</v>
      </c>
    </row>
    <row r="140" spans="1:12" x14ac:dyDescent="0.25">
      <c r="A140" t="s">
        <v>946</v>
      </c>
      <c r="B140" t="s">
        <v>947</v>
      </c>
      <c r="C140" t="s">
        <v>945</v>
      </c>
      <c r="D140">
        <v>12040</v>
      </c>
      <c r="E140">
        <v>391</v>
      </c>
      <c r="F140">
        <v>8667</v>
      </c>
      <c r="G140">
        <v>536</v>
      </c>
      <c r="H140">
        <v>0</v>
      </c>
      <c r="I140">
        <v>4910</v>
      </c>
      <c r="J140" s="928">
        <v>1851</v>
      </c>
      <c r="K140">
        <v>446</v>
      </c>
      <c r="L140">
        <v>2613</v>
      </c>
    </row>
    <row r="141" spans="1:12" x14ac:dyDescent="0.25">
      <c r="A141" t="s">
        <v>1003</v>
      </c>
      <c r="B141" t="s">
        <v>1004</v>
      </c>
      <c r="C141" t="s">
        <v>1002</v>
      </c>
      <c r="D141">
        <v>11605</v>
      </c>
      <c r="E141">
        <v>7679</v>
      </c>
      <c r="F141">
        <v>2599</v>
      </c>
      <c r="G141">
        <v>0</v>
      </c>
      <c r="H141">
        <v>2294</v>
      </c>
      <c r="I141">
        <v>519</v>
      </c>
      <c r="J141" s="928">
        <v>418</v>
      </c>
      <c r="K141">
        <v>101</v>
      </c>
      <c r="L141">
        <v>0</v>
      </c>
    </row>
    <row r="142" spans="1:12" x14ac:dyDescent="0.25">
      <c r="A142" t="s">
        <v>1070</v>
      </c>
      <c r="B142" t="s">
        <v>1071</v>
      </c>
      <c r="C142" t="s">
        <v>1069</v>
      </c>
      <c r="D142">
        <v>82759</v>
      </c>
      <c r="E142">
        <v>4387</v>
      </c>
      <c r="F142">
        <v>5528</v>
      </c>
      <c r="G142">
        <v>2368</v>
      </c>
      <c r="H142">
        <v>57048</v>
      </c>
      <c r="I142">
        <v>25439</v>
      </c>
      <c r="J142" s="928">
        <v>12011</v>
      </c>
      <c r="K142">
        <v>0</v>
      </c>
      <c r="L142">
        <v>13428</v>
      </c>
    </row>
    <row r="143" spans="1:12" x14ac:dyDescent="0.25">
      <c r="A143" t="s">
        <v>1136</v>
      </c>
      <c r="B143" t="s">
        <v>1137</v>
      </c>
      <c r="C143" t="s">
        <v>1135</v>
      </c>
      <c r="D143">
        <v>12333</v>
      </c>
      <c r="E143">
        <v>0</v>
      </c>
      <c r="F143">
        <v>9696</v>
      </c>
      <c r="G143">
        <v>1881</v>
      </c>
      <c r="H143">
        <v>756</v>
      </c>
      <c r="I143">
        <v>0</v>
      </c>
      <c r="J143" s="928">
        <v>0</v>
      </c>
      <c r="K143">
        <v>0</v>
      </c>
      <c r="L143">
        <v>0</v>
      </c>
    </row>
    <row r="144" spans="1:12" x14ac:dyDescent="0.25">
      <c r="A144" t="s">
        <v>1170</v>
      </c>
      <c r="B144" t="s">
        <v>1171</v>
      </c>
      <c r="C144" t="s">
        <v>1169</v>
      </c>
      <c r="D144">
        <v>31089</v>
      </c>
      <c r="E144">
        <v>0</v>
      </c>
      <c r="F144">
        <v>19300</v>
      </c>
      <c r="G144">
        <v>2987</v>
      </c>
      <c r="H144">
        <v>6128</v>
      </c>
      <c r="I144">
        <v>5656</v>
      </c>
      <c r="J144" s="928">
        <v>2982</v>
      </c>
      <c r="K144">
        <v>0</v>
      </c>
      <c r="L144">
        <v>2674</v>
      </c>
    </row>
    <row r="145" spans="1:12" x14ac:dyDescent="0.25">
      <c r="A145" t="s">
        <v>65</v>
      </c>
      <c r="B145" t="s">
        <v>66</v>
      </c>
      <c r="C145" t="s">
        <v>64</v>
      </c>
      <c r="D145">
        <v>3790</v>
      </c>
      <c r="E145">
        <v>3790</v>
      </c>
      <c r="F145">
        <v>0</v>
      </c>
      <c r="G145">
        <v>0</v>
      </c>
      <c r="H145">
        <v>0</v>
      </c>
      <c r="I145">
        <v>3730</v>
      </c>
      <c r="J145" s="928">
        <v>3079</v>
      </c>
      <c r="K145">
        <v>651</v>
      </c>
      <c r="L145">
        <v>0</v>
      </c>
    </row>
    <row r="146" spans="1:12" x14ac:dyDescent="0.25">
      <c r="A146" t="s">
        <v>81</v>
      </c>
      <c r="B146" t="s">
        <v>82</v>
      </c>
      <c r="C146" t="s">
        <v>80</v>
      </c>
      <c r="D146">
        <v>39104</v>
      </c>
      <c r="E146">
        <v>7189</v>
      </c>
      <c r="F146">
        <v>31915</v>
      </c>
      <c r="G146">
        <v>0</v>
      </c>
      <c r="H146">
        <v>0</v>
      </c>
      <c r="I146">
        <v>5461</v>
      </c>
      <c r="J146" s="928">
        <v>4247</v>
      </c>
      <c r="K146">
        <v>1214</v>
      </c>
      <c r="L146">
        <v>0</v>
      </c>
    </row>
    <row r="147" spans="1:12" x14ac:dyDescent="0.25">
      <c r="A147" t="s">
        <v>86</v>
      </c>
      <c r="B147" t="s">
        <v>87</v>
      </c>
      <c r="C147" t="s">
        <v>85</v>
      </c>
      <c r="D147">
        <v>41868</v>
      </c>
      <c r="E147">
        <v>4969</v>
      </c>
      <c r="F147">
        <v>31245</v>
      </c>
      <c r="G147">
        <v>0</v>
      </c>
      <c r="H147">
        <v>4867</v>
      </c>
      <c r="I147">
        <v>787</v>
      </c>
      <c r="J147" s="928">
        <v>0</v>
      </c>
      <c r="K147">
        <v>0</v>
      </c>
      <c r="L147">
        <v>787</v>
      </c>
    </row>
    <row r="148" spans="1:12" x14ac:dyDescent="0.25">
      <c r="A148" t="s">
        <v>116</v>
      </c>
      <c r="B148" t="s">
        <v>117</v>
      </c>
      <c r="C148" t="s">
        <v>115</v>
      </c>
      <c r="D148">
        <v>39939</v>
      </c>
      <c r="E148">
        <v>0</v>
      </c>
      <c r="F148">
        <v>22618</v>
      </c>
      <c r="G148">
        <v>4723</v>
      </c>
      <c r="H148">
        <v>12598</v>
      </c>
      <c r="I148">
        <v>9891</v>
      </c>
      <c r="J148" s="928">
        <v>7959</v>
      </c>
      <c r="K148">
        <v>1932</v>
      </c>
      <c r="L148">
        <v>0</v>
      </c>
    </row>
    <row r="149" spans="1:12" x14ac:dyDescent="0.25">
      <c r="A149" t="s">
        <v>131</v>
      </c>
      <c r="B149" t="s">
        <v>132</v>
      </c>
      <c r="C149" t="s">
        <v>130</v>
      </c>
      <c r="D149">
        <v>34853</v>
      </c>
      <c r="E149">
        <v>0</v>
      </c>
      <c r="F149">
        <v>28575</v>
      </c>
      <c r="G149">
        <v>3986</v>
      </c>
      <c r="H149">
        <v>2292</v>
      </c>
      <c r="I149">
        <v>7251</v>
      </c>
      <c r="J149" s="928">
        <v>5249</v>
      </c>
      <c r="K149">
        <v>2002</v>
      </c>
      <c r="L149">
        <v>0</v>
      </c>
    </row>
    <row r="150" spans="1:12" x14ac:dyDescent="0.25">
      <c r="A150" t="s">
        <v>134</v>
      </c>
      <c r="B150" t="s">
        <v>135</v>
      </c>
      <c r="C150" t="s">
        <v>133</v>
      </c>
      <c r="D150">
        <v>12197</v>
      </c>
      <c r="E150">
        <v>0</v>
      </c>
      <c r="F150">
        <v>3820</v>
      </c>
      <c r="G150">
        <v>7987</v>
      </c>
      <c r="H150">
        <v>390</v>
      </c>
      <c r="I150">
        <v>527</v>
      </c>
      <c r="J150" s="928">
        <v>389</v>
      </c>
      <c r="K150">
        <v>138</v>
      </c>
      <c r="L150">
        <v>0</v>
      </c>
    </row>
    <row r="151" spans="1:12" x14ac:dyDescent="0.25">
      <c r="A151" t="s">
        <v>146</v>
      </c>
      <c r="B151" t="s">
        <v>147</v>
      </c>
      <c r="C151" t="s">
        <v>145</v>
      </c>
      <c r="D151">
        <v>622759</v>
      </c>
      <c r="E151">
        <v>210606</v>
      </c>
      <c r="F151">
        <v>313918</v>
      </c>
      <c r="G151">
        <v>60113</v>
      </c>
      <c r="H151">
        <v>34672</v>
      </c>
      <c r="I151">
        <v>98610</v>
      </c>
      <c r="J151" s="928">
        <v>95160</v>
      </c>
      <c r="K151">
        <v>0</v>
      </c>
      <c r="L151">
        <v>3450</v>
      </c>
    </row>
    <row r="152" spans="1:12" x14ac:dyDescent="0.25">
      <c r="A152" t="s">
        <v>149</v>
      </c>
      <c r="B152" t="s">
        <v>150</v>
      </c>
      <c r="C152" t="s">
        <v>148</v>
      </c>
      <c r="D152">
        <v>14081</v>
      </c>
      <c r="E152">
        <v>0</v>
      </c>
      <c r="F152">
        <v>0</v>
      </c>
      <c r="G152">
        <v>14081</v>
      </c>
      <c r="H152">
        <v>0</v>
      </c>
      <c r="I152">
        <v>0</v>
      </c>
      <c r="J152" s="928">
        <v>0</v>
      </c>
      <c r="K152">
        <v>0</v>
      </c>
      <c r="L152">
        <v>0</v>
      </c>
    </row>
    <row r="153" spans="1:12" x14ac:dyDescent="0.25">
      <c r="A153" t="s">
        <v>152</v>
      </c>
      <c r="B153" t="s">
        <v>153</v>
      </c>
      <c r="C153" t="s">
        <v>151</v>
      </c>
      <c r="D153">
        <v>49123</v>
      </c>
      <c r="E153">
        <v>0</v>
      </c>
      <c r="F153">
        <v>22115</v>
      </c>
      <c r="G153">
        <v>650</v>
      </c>
      <c r="H153">
        <v>25942</v>
      </c>
      <c r="I153">
        <v>6998</v>
      </c>
      <c r="J153" s="928">
        <v>6582</v>
      </c>
      <c r="K153">
        <v>0</v>
      </c>
      <c r="L153">
        <v>416</v>
      </c>
    </row>
    <row r="154" spans="1:12" x14ac:dyDescent="0.25">
      <c r="A154" t="s">
        <v>158</v>
      </c>
      <c r="B154" t="s">
        <v>159</v>
      </c>
      <c r="C154" t="s">
        <v>157</v>
      </c>
      <c r="D154">
        <v>20958</v>
      </c>
      <c r="E154">
        <v>0</v>
      </c>
      <c r="F154">
        <v>20958</v>
      </c>
      <c r="G154">
        <v>0</v>
      </c>
      <c r="H154">
        <v>0</v>
      </c>
      <c r="I154">
        <v>1676</v>
      </c>
      <c r="J154" s="928">
        <v>1109</v>
      </c>
      <c r="K154">
        <v>567</v>
      </c>
      <c r="L154">
        <v>0</v>
      </c>
    </row>
    <row r="155" spans="1:12" x14ac:dyDescent="0.25">
      <c r="A155" t="s">
        <v>167</v>
      </c>
      <c r="B155" t="s">
        <v>168</v>
      </c>
      <c r="C155" t="s">
        <v>166</v>
      </c>
      <c r="D155">
        <v>89911</v>
      </c>
      <c r="E155">
        <v>5219</v>
      </c>
      <c r="F155">
        <v>21242</v>
      </c>
      <c r="G155">
        <v>6490</v>
      </c>
      <c r="H155">
        <v>56960</v>
      </c>
      <c r="I155">
        <v>27429</v>
      </c>
      <c r="J155" s="928">
        <v>23446</v>
      </c>
      <c r="K155">
        <v>3983</v>
      </c>
      <c r="L155">
        <v>0</v>
      </c>
    </row>
    <row r="156" spans="1:12" x14ac:dyDescent="0.25">
      <c r="A156" t="s">
        <v>173</v>
      </c>
      <c r="B156" t="s">
        <v>174</v>
      </c>
      <c r="C156" t="s">
        <v>172</v>
      </c>
      <c r="D156">
        <v>73145</v>
      </c>
      <c r="E156">
        <v>0</v>
      </c>
      <c r="F156">
        <v>38208</v>
      </c>
      <c r="G156">
        <v>14224</v>
      </c>
      <c r="H156">
        <v>18424</v>
      </c>
      <c r="I156">
        <v>9164</v>
      </c>
      <c r="J156" s="928">
        <v>6875</v>
      </c>
      <c r="K156">
        <v>0</v>
      </c>
      <c r="L156">
        <v>2289</v>
      </c>
    </row>
    <row r="157" spans="1:12" x14ac:dyDescent="0.25">
      <c r="A157" t="s">
        <v>206</v>
      </c>
      <c r="B157" t="s">
        <v>207</v>
      </c>
      <c r="C157" t="s">
        <v>205</v>
      </c>
      <c r="D157">
        <v>39001</v>
      </c>
      <c r="E157">
        <v>0</v>
      </c>
      <c r="F157">
        <v>36774</v>
      </c>
      <c r="G157">
        <v>1664</v>
      </c>
      <c r="H157">
        <v>563</v>
      </c>
      <c r="I157">
        <v>4160</v>
      </c>
      <c r="J157" s="928">
        <v>3331</v>
      </c>
      <c r="K157">
        <v>829</v>
      </c>
      <c r="L157">
        <v>0</v>
      </c>
    </row>
    <row r="158" spans="1:12" x14ac:dyDescent="0.25">
      <c r="A158" t="s">
        <v>255</v>
      </c>
      <c r="B158" t="s">
        <v>256</v>
      </c>
      <c r="C158" t="s">
        <v>254</v>
      </c>
      <c r="D158">
        <v>11932</v>
      </c>
      <c r="E158">
        <v>0</v>
      </c>
      <c r="F158">
        <v>11694</v>
      </c>
      <c r="G158">
        <v>0</v>
      </c>
      <c r="H158">
        <v>0</v>
      </c>
      <c r="I158">
        <v>0</v>
      </c>
      <c r="J158" s="928">
        <v>0</v>
      </c>
      <c r="K158">
        <v>0</v>
      </c>
      <c r="L158">
        <v>0</v>
      </c>
    </row>
    <row r="159" spans="1:12" x14ac:dyDescent="0.25">
      <c r="A159" t="s">
        <v>258</v>
      </c>
      <c r="B159" t="s">
        <v>259</v>
      </c>
      <c r="C159" t="s">
        <v>257</v>
      </c>
      <c r="D159">
        <v>106842</v>
      </c>
      <c r="E159">
        <v>0</v>
      </c>
      <c r="F159">
        <v>106842</v>
      </c>
      <c r="G159">
        <v>0</v>
      </c>
      <c r="H159">
        <v>0</v>
      </c>
      <c r="I159">
        <v>0</v>
      </c>
      <c r="J159" s="928">
        <v>0</v>
      </c>
      <c r="K159">
        <v>0</v>
      </c>
      <c r="L159">
        <v>0</v>
      </c>
    </row>
    <row r="160" spans="1:12" x14ac:dyDescent="0.25">
      <c r="A160" t="s">
        <v>273</v>
      </c>
      <c r="B160" t="s">
        <v>274</v>
      </c>
      <c r="C160" t="s">
        <v>272</v>
      </c>
      <c r="D160">
        <v>20612</v>
      </c>
      <c r="E160">
        <v>0</v>
      </c>
      <c r="F160">
        <v>15353</v>
      </c>
      <c r="G160">
        <v>1243</v>
      </c>
      <c r="H160">
        <v>4016</v>
      </c>
      <c r="I160">
        <v>1112</v>
      </c>
      <c r="J160" s="928">
        <v>863</v>
      </c>
      <c r="K160">
        <v>249</v>
      </c>
      <c r="L160">
        <v>0</v>
      </c>
    </row>
    <row r="161" spans="1:12" x14ac:dyDescent="0.25">
      <c r="A161" t="s">
        <v>276</v>
      </c>
      <c r="B161" t="s">
        <v>277</v>
      </c>
      <c r="C161" t="s">
        <v>275</v>
      </c>
      <c r="D161">
        <v>65300</v>
      </c>
      <c r="E161">
        <v>2715</v>
      </c>
      <c r="F161">
        <v>47223</v>
      </c>
      <c r="G161">
        <v>5294</v>
      </c>
      <c r="H161">
        <v>10068</v>
      </c>
      <c r="I161">
        <v>12408</v>
      </c>
      <c r="J161" s="928">
        <v>12408</v>
      </c>
      <c r="K161">
        <v>0</v>
      </c>
      <c r="L161">
        <v>0</v>
      </c>
    </row>
    <row r="162" spans="1:12" x14ac:dyDescent="0.25">
      <c r="A162" t="s">
        <v>309</v>
      </c>
      <c r="B162" t="s">
        <v>310</v>
      </c>
      <c r="C162" t="s">
        <v>308</v>
      </c>
      <c r="D162">
        <v>270055</v>
      </c>
      <c r="E162">
        <v>81463</v>
      </c>
      <c r="F162">
        <v>174714</v>
      </c>
      <c r="G162">
        <v>7284</v>
      </c>
      <c r="H162">
        <v>6594</v>
      </c>
      <c r="I162">
        <v>29530</v>
      </c>
      <c r="J162" s="928">
        <v>29530</v>
      </c>
      <c r="K162">
        <v>0</v>
      </c>
      <c r="L162">
        <v>0</v>
      </c>
    </row>
    <row r="163" spans="1:12" x14ac:dyDescent="0.25">
      <c r="A163" t="s">
        <v>318</v>
      </c>
      <c r="B163" t="s">
        <v>319</v>
      </c>
      <c r="C163" t="s">
        <v>317</v>
      </c>
      <c r="D163">
        <v>7995</v>
      </c>
      <c r="E163">
        <v>0</v>
      </c>
      <c r="F163">
        <v>5243</v>
      </c>
      <c r="G163">
        <v>2312</v>
      </c>
      <c r="H163">
        <v>440</v>
      </c>
      <c r="I163">
        <v>481</v>
      </c>
      <c r="J163" s="928">
        <v>0</v>
      </c>
      <c r="K163">
        <v>481</v>
      </c>
      <c r="L163">
        <v>0</v>
      </c>
    </row>
    <row r="164" spans="1:12" x14ac:dyDescent="0.25">
      <c r="A164" t="s">
        <v>333</v>
      </c>
      <c r="B164" t="s">
        <v>334</v>
      </c>
      <c r="C164" t="s">
        <v>332</v>
      </c>
      <c r="D164">
        <v>14846</v>
      </c>
      <c r="E164">
        <v>0</v>
      </c>
      <c r="F164">
        <v>14846</v>
      </c>
      <c r="G164">
        <v>0</v>
      </c>
      <c r="H164">
        <v>0</v>
      </c>
      <c r="I164">
        <v>8252</v>
      </c>
      <c r="J164" s="928">
        <v>4436</v>
      </c>
      <c r="K164">
        <v>3816</v>
      </c>
      <c r="L164">
        <v>0</v>
      </c>
    </row>
    <row r="165" spans="1:12" x14ac:dyDescent="0.25">
      <c r="A165" t="s">
        <v>336</v>
      </c>
      <c r="B165" t="s">
        <v>337</v>
      </c>
      <c r="C165" t="s">
        <v>335</v>
      </c>
      <c r="D165">
        <v>51023</v>
      </c>
      <c r="E165">
        <v>12317</v>
      </c>
      <c r="F165">
        <v>7565</v>
      </c>
      <c r="G165">
        <v>10401</v>
      </c>
      <c r="H165">
        <v>20740</v>
      </c>
      <c r="I165">
        <v>4938</v>
      </c>
      <c r="J165" s="928">
        <v>3938</v>
      </c>
      <c r="K165">
        <v>1000</v>
      </c>
      <c r="L165">
        <v>0</v>
      </c>
    </row>
    <row r="166" spans="1:12" x14ac:dyDescent="0.25">
      <c r="A166" t="s">
        <v>339</v>
      </c>
      <c r="B166" t="s">
        <v>340</v>
      </c>
      <c r="C166" t="s">
        <v>338</v>
      </c>
      <c r="D166">
        <v>58473</v>
      </c>
      <c r="E166">
        <v>0</v>
      </c>
      <c r="F166">
        <v>3064</v>
      </c>
      <c r="G166">
        <v>24664</v>
      </c>
      <c r="H166">
        <v>30745</v>
      </c>
      <c r="I166">
        <v>9747</v>
      </c>
      <c r="J166" s="928">
        <v>8543</v>
      </c>
      <c r="K166">
        <v>1204</v>
      </c>
      <c r="L166">
        <v>0</v>
      </c>
    </row>
    <row r="167" spans="1:12" x14ac:dyDescent="0.25">
      <c r="A167" t="s">
        <v>342</v>
      </c>
      <c r="B167" t="s">
        <v>343</v>
      </c>
      <c r="C167" t="s">
        <v>341</v>
      </c>
      <c r="D167">
        <v>2537</v>
      </c>
      <c r="E167">
        <v>501</v>
      </c>
      <c r="F167">
        <v>460</v>
      </c>
      <c r="G167">
        <v>781</v>
      </c>
      <c r="H167">
        <v>795</v>
      </c>
      <c r="I167">
        <v>0</v>
      </c>
      <c r="J167" s="928">
        <v>0</v>
      </c>
      <c r="K167">
        <v>0</v>
      </c>
      <c r="L167">
        <v>0</v>
      </c>
    </row>
    <row r="168" spans="1:12" x14ac:dyDescent="0.25">
      <c r="A168" t="s">
        <v>346</v>
      </c>
      <c r="B168" t="s">
        <v>347</v>
      </c>
      <c r="C168" t="s">
        <v>345</v>
      </c>
      <c r="D168">
        <v>82348</v>
      </c>
      <c r="E168">
        <v>29767</v>
      </c>
      <c r="F168">
        <v>47058</v>
      </c>
      <c r="G168">
        <v>5523</v>
      </c>
      <c r="H168">
        <v>0</v>
      </c>
      <c r="I168">
        <v>8208</v>
      </c>
      <c r="J168" s="928">
        <v>5349</v>
      </c>
      <c r="K168">
        <v>2859</v>
      </c>
      <c r="L168">
        <v>0</v>
      </c>
    </row>
    <row r="169" spans="1:12" x14ac:dyDescent="0.25">
      <c r="A169" t="s">
        <v>349</v>
      </c>
      <c r="B169" t="s">
        <v>350</v>
      </c>
      <c r="C169" t="s">
        <v>348</v>
      </c>
      <c r="D169">
        <v>236897</v>
      </c>
      <c r="E169">
        <v>43600</v>
      </c>
      <c r="F169">
        <v>54627</v>
      </c>
      <c r="G169">
        <v>70609</v>
      </c>
      <c r="H169">
        <v>29635</v>
      </c>
      <c r="I169">
        <v>38426</v>
      </c>
      <c r="J169" s="928">
        <v>0</v>
      </c>
      <c r="K169">
        <v>0</v>
      </c>
      <c r="L169">
        <v>38426</v>
      </c>
    </row>
    <row r="170" spans="1:12" x14ac:dyDescent="0.25">
      <c r="A170" t="s">
        <v>361</v>
      </c>
      <c r="B170" t="s">
        <v>362</v>
      </c>
      <c r="C170" t="s">
        <v>360</v>
      </c>
      <c r="D170">
        <v>204805</v>
      </c>
      <c r="E170">
        <v>182</v>
      </c>
      <c r="F170">
        <v>112560</v>
      </c>
      <c r="G170">
        <v>9745</v>
      </c>
      <c r="H170">
        <v>82318</v>
      </c>
      <c r="I170">
        <v>7488</v>
      </c>
      <c r="J170" s="928">
        <v>6145</v>
      </c>
      <c r="K170">
        <v>1343</v>
      </c>
      <c r="L170">
        <v>0</v>
      </c>
    </row>
    <row r="171" spans="1:12" x14ac:dyDescent="0.25">
      <c r="A171" t="s">
        <v>385</v>
      </c>
      <c r="B171" t="s">
        <v>386</v>
      </c>
      <c r="C171" t="s">
        <v>384</v>
      </c>
      <c r="D171">
        <v>18917</v>
      </c>
      <c r="E171">
        <v>0</v>
      </c>
      <c r="F171">
        <v>18916</v>
      </c>
      <c r="G171">
        <v>0</v>
      </c>
      <c r="H171">
        <v>0</v>
      </c>
      <c r="I171">
        <v>14194</v>
      </c>
      <c r="J171" s="928">
        <v>14194</v>
      </c>
      <c r="K171">
        <v>0</v>
      </c>
      <c r="L171">
        <v>0</v>
      </c>
    </row>
    <row r="172" spans="1:12" x14ac:dyDescent="0.25">
      <c r="A172" t="s">
        <v>394</v>
      </c>
      <c r="B172" t="s">
        <v>395</v>
      </c>
      <c r="C172" t="s">
        <v>393</v>
      </c>
      <c r="D172">
        <v>15859</v>
      </c>
      <c r="E172">
        <v>0</v>
      </c>
      <c r="F172">
        <v>4941</v>
      </c>
      <c r="G172">
        <v>0</v>
      </c>
      <c r="H172">
        <v>0</v>
      </c>
      <c r="I172">
        <v>0</v>
      </c>
      <c r="J172" s="928">
        <v>0</v>
      </c>
      <c r="K172">
        <v>0</v>
      </c>
      <c r="L172">
        <v>0</v>
      </c>
    </row>
    <row r="173" spans="1:12" x14ac:dyDescent="0.25">
      <c r="A173" t="s">
        <v>421</v>
      </c>
      <c r="B173" t="s">
        <v>422</v>
      </c>
      <c r="C173" t="s">
        <v>420</v>
      </c>
      <c r="D173">
        <v>21630</v>
      </c>
      <c r="E173">
        <v>0</v>
      </c>
      <c r="F173">
        <v>7937</v>
      </c>
      <c r="G173">
        <v>8281</v>
      </c>
      <c r="H173">
        <v>5412</v>
      </c>
      <c r="I173">
        <v>3444</v>
      </c>
      <c r="J173" s="928">
        <v>3444</v>
      </c>
      <c r="K173">
        <v>0</v>
      </c>
      <c r="L173">
        <v>0</v>
      </c>
    </row>
    <row r="174" spans="1:12" x14ac:dyDescent="0.25">
      <c r="A174" t="s">
        <v>430</v>
      </c>
      <c r="B174" t="s">
        <v>431</v>
      </c>
      <c r="C174" t="s">
        <v>429</v>
      </c>
      <c r="D174">
        <v>11996</v>
      </c>
      <c r="E174">
        <v>0</v>
      </c>
      <c r="F174">
        <v>11976</v>
      </c>
      <c r="G174">
        <v>0</v>
      </c>
      <c r="H174">
        <v>0</v>
      </c>
      <c r="I174">
        <v>997</v>
      </c>
      <c r="J174" s="928">
        <v>836</v>
      </c>
      <c r="K174">
        <v>161</v>
      </c>
      <c r="L174">
        <v>0</v>
      </c>
    </row>
    <row r="175" spans="1:12" x14ac:dyDescent="0.25">
      <c r="A175" t="s">
        <v>454</v>
      </c>
      <c r="B175" t="s">
        <v>455</v>
      </c>
      <c r="C175" t="s">
        <v>453</v>
      </c>
      <c r="D175">
        <v>3709</v>
      </c>
      <c r="E175">
        <v>346</v>
      </c>
      <c r="F175">
        <v>528</v>
      </c>
      <c r="G175">
        <v>0</v>
      </c>
      <c r="H175">
        <v>2835</v>
      </c>
      <c r="I175">
        <v>1998</v>
      </c>
      <c r="J175" s="928">
        <v>1998</v>
      </c>
      <c r="K175">
        <v>0</v>
      </c>
      <c r="L175">
        <v>0</v>
      </c>
    </row>
    <row r="176" spans="1:12" x14ac:dyDescent="0.25">
      <c r="A176" t="s">
        <v>457</v>
      </c>
      <c r="B176" t="s">
        <v>458</v>
      </c>
      <c r="C176" t="s">
        <v>456</v>
      </c>
      <c r="D176">
        <v>493998</v>
      </c>
      <c r="E176">
        <v>32122</v>
      </c>
      <c r="F176">
        <v>259138</v>
      </c>
      <c r="G176">
        <v>168718</v>
      </c>
      <c r="H176">
        <v>31423</v>
      </c>
      <c r="I176">
        <v>2598</v>
      </c>
      <c r="J176" s="928">
        <v>0</v>
      </c>
      <c r="K176">
        <v>0</v>
      </c>
      <c r="L176">
        <v>2598</v>
      </c>
    </row>
    <row r="177" spans="1:12" x14ac:dyDescent="0.25">
      <c r="A177" t="s">
        <v>463</v>
      </c>
      <c r="B177" t="s">
        <v>464</v>
      </c>
      <c r="C177" t="s">
        <v>462</v>
      </c>
      <c r="D177">
        <v>17106</v>
      </c>
      <c r="E177">
        <v>2431</v>
      </c>
      <c r="F177">
        <v>14092</v>
      </c>
      <c r="G177">
        <v>583</v>
      </c>
      <c r="H177">
        <v>0</v>
      </c>
      <c r="I177">
        <v>0</v>
      </c>
      <c r="J177" s="928">
        <v>0</v>
      </c>
      <c r="K177">
        <v>0</v>
      </c>
      <c r="L177">
        <v>0</v>
      </c>
    </row>
    <row r="178" spans="1:12" x14ac:dyDescent="0.25">
      <c r="A178" t="s">
        <v>469</v>
      </c>
      <c r="B178" t="s">
        <v>470</v>
      </c>
      <c r="C178" t="s">
        <v>468</v>
      </c>
      <c r="D178">
        <v>2717</v>
      </c>
      <c r="E178">
        <v>1588</v>
      </c>
      <c r="F178">
        <v>372</v>
      </c>
      <c r="G178">
        <v>282</v>
      </c>
      <c r="H178">
        <v>475</v>
      </c>
      <c r="I178">
        <v>0</v>
      </c>
      <c r="J178" s="928">
        <v>0</v>
      </c>
      <c r="K178">
        <v>0</v>
      </c>
      <c r="L178">
        <v>0</v>
      </c>
    </row>
    <row r="179" spans="1:12" x14ac:dyDescent="0.25">
      <c r="A179" t="s">
        <v>484</v>
      </c>
      <c r="B179" t="s">
        <v>485</v>
      </c>
      <c r="C179" t="s">
        <v>483</v>
      </c>
      <c r="D179">
        <v>14605</v>
      </c>
      <c r="E179">
        <v>0</v>
      </c>
      <c r="F179">
        <v>5146</v>
      </c>
      <c r="G179">
        <v>9459</v>
      </c>
      <c r="H179">
        <v>0</v>
      </c>
      <c r="I179">
        <v>3614</v>
      </c>
      <c r="J179" s="928">
        <v>3114</v>
      </c>
      <c r="K179">
        <v>500</v>
      </c>
      <c r="L179">
        <v>0</v>
      </c>
    </row>
    <row r="180" spans="1:12" x14ac:dyDescent="0.25">
      <c r="A180" t="s">
        <v>487</v>
      </c>
      <c r="B180" t="s">
        <v>488</v>
      </c>
      <c r="C180" t="s">
        <v>486</v>
      </c>
      <c r="D180">
        <v>79708</v>
      </c>
      <c r="E180">
        <v>0</v>
      </c>
      <c r="F180">
        <v>21310</v>
      </c>
      <c r="G180">
        <v>9394</v>
      </c>
      <c r="H180">
        <v>45595</v>
      </c>
      <c r="I180">
        <v>3409</v>
      </c>
      <c r="J180" s="928">
        <v>0</v>
      </c>
      <c r="K180">
        <v>0</v>
      </c>
      <c r="L180">
        <v>3409</v>
      </c>
    </row>
    <row r="181" spans="1:12" x14ac:dyDescent="0.25">
      <c r="A181" t="s">
        <v>514</v>
      </c>
      <c r="B181" t="s">
        <v>515</v>
      </c>
      <c r="C181" t="s">
        <v>513</v>
      </c>
      <c r="D181">
        <v>274658</v>
      </c>
      <c r="E181">
        <v>6000</v>
      </c>
      <c r="F181">
        <v>199732</v>
      </c>
      <c r="G181">
        <v>17543</v>
      </c>
      <c r="H181">
        <v>38696</v>
      </c>
      <c r="I181">
        <v>3319</v>
      </c>
      <c r="J181" s="928">
        <v>2616</v>
      </c>
      <c r="K181">
        <v>703</v>
      </c>
      <c r="L181">
        <v>0</v>
      </c>
    </row>
    <row r="182" spans="1:12" x14ac:dyDescent="0.25">
      <c r="A182" t="s">
        <v>520</v>
      </c>
      <c r="B182" t="s">
        <v>521</v>
      </c>
      <c r="C182" t="s">
        <v>519</v>
      </c>
      <c r="D182">
        <v>189327</v>
      </c>
      <c r="E182">
        <v>189327</v>
      </c>
      <c r="F182">
        <v>0</v>
      </c>
      <c r="G182">
        <v>0</v>
      </c>
      <c r="H182">
        <v>0</v>
      </c>
      <c r="I182">
        <v>12038</v>
      </c>
      <c r="J182" s="928">
        <v>10472</v>
      </c>
      <c r="K182">
        <v>1566</v>
      </c>
      <c r="L182">
        <v>0</v>
      </c>
    </row>
    <row r="183" spans="1:12" x14ac:dyDescent="0.25">
      <c r="A183" t="s">
        <v>527</v>
      </c>
      <c r="B183" t="s">
        <v>528</v>
      </c>
      <c r="C183" t="s">
        <v>526</v>
      </c>
      <c r="D183">
        <v>120985</v>
      </c>
      <c r="E183">
        <v>10613</v>
      </c>
      <c r="F183">
        <v>82025</v>
      </c>
      <c r="G183">
        <v>19324</v>
      </c>
      <c r="H183">
        <v>9023</v>
      </c>
      <c r="I183">
        <v>14353</v>
      </c>
      <c r="J183" s="928">
        <v>11399</v>
      </c>
      <c r="K183">
        <v>2954</v>
      </c>
      <c r="L183">
        <v>0</v>
      </c>
    </row>
    <row r="184" spans="1:12" x14ac:dyDescent="0.25">
      <c r="A184" t="s">
        <v>545</v>
      </c>
      <c r="B184" t="s">
        <v>546</v>
      </c>
      <c r="C184" t="s">
        <v>544</v>
      </c>
      <c r="D184">
        <v>105003</v>
      </c>
      <c r="E184">
        <v>0</v>
      </c>
      <c r="F184">
        <v>89061</v>
      </c>
      <c r="G184">
        <v>9942</v>
      </c>
      <c r="H184">
        <v>6000</v>
      </c>
      <c r="I184">
        <v>0</v>
      </c>
      <c r="J184" s="928">
        <v>0</v>
      </c>
      <c r="K184">
        <v>0</v>
      </c>
      <c r="L184">
        <v>0</v>
      </c>
    </row>
    <row r="185" spans="1:12" x14ac:dyDescent="0.25">
      <c r="A185" t="s">
        <v>554</v>
      </c>
      <c r="B185" t="s">
        <v>555</v>
      </c>
      <c r="C185" t="s">
        <v>553</v>
      </c>
      <c r="D185">
        <v>27067</v>
      </c>
      <c r="E185">
        <v>0</v>
      </c>
      <c r="F185">
        <v>1794</v>
      </c>
      <c r="G185">
        <v>13786</v>
      </c>
      <c r="H185">
        <v>147</v>
      </c>
      <c r="I185">
        <v>16344</v>
      </c>
      <c r="J185" s="928">
        <v>3926</v>
      </c>
      <c r="K185">
        <v>1078</v>
      </c>
      <c r="L185">
        <v>11340</v>
      </c>
    </row>
    <row r="186" spans="1:12" x14ac:dyDescent="0.25">
      <c r="A186" t="s">
        <v>560</v>
      </c>
      <c r="B186" t="s">
        <v>561</v>
      </c>
      <c r="C186" t="s">
        <v>559</v>
      </c>
      <c r="D186">
        <v>59588</v>
      </c>
      <c r="E186">
        <v>3895</v>
      </c>
      <c r="F186">
        <v>23619</v>
      </c>
      <c r="G186">
        <v>1968</v>
      </c>
      <c r="H186">
        <v>30105</v>
      </c>
      <c r="I186">
        <v>6823</v>
      </c>
      <c r="J186" s="928">
        <v>5871</v>
      </c>
      <c r="K186">
        <v>952</v>
      </c>
      <c r="L186">
        <v>0</v>
      </c>
    </row>
    <row r="187" spans="1:12" x14ac:dyDescent="0.25">
      <c r="A187" t="s">
        <v>578</v>
      </c>
      <c r="B187" t="s">
        <v>579</v>
      </c>
      <c r="C187" t="s">
        <v>577</v>
      </c>
      <c r="D187">
        <v>15477</v>
      </c>
      <c r="E187">
        <v>0</v>
      </c>
      <c r="F187">
        <v>15477</v>
      </c>
      <c r="G187">
        <v>0</v>
      </c>
      <c r="H187">
        <v>0</v>
      </c>
      <c r="I187">
        <v>0</v>
      </c>
      <c r="J187" s="928">
        <v>0</v>
      </c>
      <c r="K187">
        <v>0</v>
      </c>
      <c r="L187">
        <v>0</v>
      </c>
    </row>
    <row r="188" spans="1:12" x14ac:dyDescent="0.25">
      <c r="A188" t="s">
        <v>581</v>
      </c>
      <c r="B188" t="s">
        <v>582</v>
      </c>
      <c r="C188" t="s">
        <v>580</v>
      </c>
      <c r="D188">
        <v>78283</v>
      </c>
      <c r="E188">
        <v>3334</v>
      </c>
      <c r="F188">
        <v>33886</v>
      </c>
      <c r="G188">
        <v>12665</v>
      </c>
      <c r="H188">
        <v>28399</v>
      </c>
      <c r="I188">
        <v>9453</v>
      </c>
      <c r="J188" s="928">
        <v>7873</v>
      </c>
      <c r="K188">
        <v>1580</v>
      </c>
      <c r="L188">
        <v>0</v>
      </c>
    </row>
    <row r="189" spans="1:12" x14ac:dyDescent="0.25">
      <c r="A189" t="s">
        <v>602</v>
      </c>
      <c r="B189" t="s">
        <v>603</v>
      </c>
      <c r="C189" t="s">
        <v>601</v>
      </c>
      <c r="D189">
        <v>20863</v>
      </c>
      <c r="E189">
        <v>0</v>
      </c>
      <c r="F189">
        <v>19145</v>
      </c>
      <c r="G189">
        <v>0</v>
      </c>
      <c r="H189">
        <v>0</v>
      </c>
      <c r="I189">
        <v>2796</v>
      </c>
      <c r="J189" s="928">
        <v>2796</v>
      </c>
      <c r="K189">
        <v>0</v>
      </c>
      <c r="L189">
        <v>0</v>
      </c>
    </row>
    <row r="190" spans="1:12" x14ac:dyDescent="0.25">
      <c r="A190" t="s">
        <v>623</v>
      </c>
      <c r="B190" t="s">
        <v>624</v>
      </c>
      <c r="C190" t="s">
        <v>622</v>
      </c>
      <c r="D190">
        <v>100879</v>
      </c>
      <c r="E190">
        <v>20876</v>
      </c>
      <c r="F190">
        <v>42146</v>
      </c>
      <c r="G190">
        <v>19545</v>
      </c>
      <c r="H190">
        <v>18312</v>
      </c>
      <c r="I190">
        <v>8511</v>
      </c>
      <c r="J190" s="928">
        <v>7232</v>
      </c>
      <c r="K190">
        <v>1279</v>
      </c>
      <c r="L190">
        <v>0</v>
      </c>
    </row>
    <row r="191" spans="1:12" x14ac:dyDescent="0.25">
      <c r="A191" t="s">
        <v>626</v>
      </c>
      <c r="B191" t="s">
        <v>627</v>
      </c>
      <c r="C191" t="s">
        <v>625</v>
      </c>
      <c r="D191">
        <v>1677</v>
      </c>
      <c r="E191">
        <v>0</v>
      </c>
      <c r="F191">
        <v>1273</v>
      </c>
      <c r="G191">
        <v>400</v>
      </c>
      <c r="H191">
        <v>4</v>
      </c>
      <c r="I191">
        <v>551</v>
      </c>
      <c r="J191" s="928">
        <v>551</v>
      </c>
      <c r="K191">
        <v>0</v>
      </c>
      <c r="L191">
        <v>0</v>
      </c>
    </row>
    <row r="192" spans="1:12" x14ac:dyDescent="0.25">
      <c r="A192" t="s">
        <v>635</v>
      </c>
      <c r="B192" t="s">
        <v>636</v>
      </c>
      <c r="C192" t="s">
        <v>634</v>
      </c>
      <c r="D192">
        <v>319710</v>
      </c>
      <c r="E192">
        <v>48558</v>
      </c>
      <c r="F192">
        <v>158723</v>
      </c>
      <c r="G192">
        <v>35429</v>
      </c>
      <c r="H192">
        <v>72463</v>
      </c>
      <c r="I192">
        <v>19882</v>
      </c>
      <c r="J192" s="928">
        <v>11887</v>
      </c>
      <c r="K192">
        <v>3459</v>
      </c>
      <c r="L192">
        <v>4537</v>
      </c>
    </row>
    <row r="193" spans="1:12" x14ac:dyDescent="0.25">
      <c r="A193" t="s">
        <v>638</v>
      </c>
      <c r="B193" t="s">
        <v>639</v>
      </c>
      <c r="C193" t="s">
        <v>637</v>
      </c>
      <c r="D193">
        <v>35977</v>
      </c>
      <c r="E193">
        <v>0</v>
      </c>
      <c r="F193">
        <v>31207</v>
      </c>
      <c r="G193">
        <v>3903</v>
      </c>
      <c r="H193">
        <v>867</v>
      </c>
      <c r="I193">
        <v>1584</v>
      </c>
      <c r="J193" s="928">
        <v>1584</v>
      </c>
      <c r="K193">
        <v>0</v>
      </c>
      <c r="L193">
        <v>0</v>
      </c>
    </row>
    <row r="194" spans="1:12" x14ac:dyDescent="0.25">
      <c r="A194" t="s">
        <v>659</v>
      </c>
      <c r="B194" t="s">
        <v>660</v>
      </c>
      <c r="C194" t="s">
        <v>658</v>
      </c>
      <c r="D194">
        <v>2276</v>
      </c>
      <c r="E194">
        <v>0</v>
      </c>
      <c r="F194">
        <v>0</v>
      </c>
      <c r="G194">
        <v>0</v>
      </c>
      <c r="H194">
        <v>0</v>
      </c>
      <c r="I194">
        <v>0</v>
      </c>
      <c r="J194" s="928">
        <v>0</v>
      </c>
      <c r="K194">
        <v>0</v>
      </c>
      <c r="L194">
        <v>0</v>
      </c>
    </row>
    <row r="195" spans="1:12" x14ac:dyDescent="0.25">
      <c r="A195" t="s">
        <v>683</v>
      </c>
      <c r="B195" t="s">
        <v>684</v>
      </c>
      <c r="C195" t="s">
        <v>682</v>
      </c>
      <c r="D195">
        <v>296815</v>
      </c>
      <c r="E195">
        <v>13025</v>
      </c>
      <c r="F195">
        <v>167201</v>
      </c>
      <c r="G195">
        <v>18321</v>
      </c>
      <c r="H195">
        <v>98268</v>
      </c>
      <c r="I195">
        <v>10696</v>
      </c>
      <c r="J195" s="928">
        <v>10696</v>
      </c>
      <c r="K195">
        <v>0</v>
      </c>
      <c r="L195">
        <v>0</v>
      </c>
    </row>
    <row r="196" spans="1:12" x14ac:dyDescent="0.25">
      <c r="A196" t="s">
        <v>692</v>
      </c>
      <c r="B196" t="s">
        <v>693</v>
      </c>
      <c r="C196" t="s">
        <v>691</v>
      </c>
      <c r="D196">
        <v>27073</v>
      </c>
      <c r="E196">
        <v>0</v>
      </c>
      <c r="F196">
        <v>11915</v>
      </c>
      <c r="G196">
        <v>1316</v>
      </c>
      <c r="H196">
        <v>13842</v>
      </c>
      <c r="I196">
        <v>0</v>
      </c>
      <c r="J196" s="928">
        <v>0</v>
      </c>
      <c r="K196">
        <v>0</v>
      </c>
      <c r="L196">
        <v>0</v>
      </c>
    </row>
    <row r="197" spans="1:12" x14ac:dyDescent="0.25">
      <c r="A197" t="s">
        <v>707</v>
      </c>
      <c r="B197" t="s">
        <v>708</v>
      </c>
      <c r="C197" t="s">
        <v>706</v>
      </c>
      <c r="D197">
        <v>223429</v>
      </c>
      <c r="E197">
        <v>4720</v>
      </c>
      <c r="F197">
        <v>59082</v>
      </c>
      <c r="G197">
        <v>6924</v>
      </c>
      <c r="H197">
        <v>46921</v>
      </c>
      <c r="I197">
        <v>6279</v>
      </c>
      <c r="J197" s="928">
        <v>4983</v>
      </c>
      <c r="K197">
        <v>1296</v>
      </c>
      <c r="L197">
        <v>0</v>
      </c>
    </row>
    <row r="198" spans="1:12" x14ac:dyDescent="0.25">
      <c r="A198" t="s">
        <v>713</v>
      </c>
      <c r="B198" t="s">
        <v>714</v>
      </c>
      <c r="C198" t="s">
        <v>712</v>
      </c>
      <c r="D198">
        <v>133586</v>
      </c>
      <c r="E198">
        <v>0</v>
      </c>
      <c r="F198">
        <v>87169</v>
      </c>
      <c r="G198">
        <v>46414</v>
      </c>
      <c r="H198">
        <v>0</v>
      </c>
      <c r="I198">
        <v>59853</v>
      </c>
      <c r="J198" s="928">
        <v>59853</v>
      </c>
      <c r="K198">
        <v>0</v>
      </c>
      <c r="L198">
        <v>0</v>
      </c>
    </row>
    <row r="199" spans="1:12" x14ac:dyDescent="0.25">
      <c r="A199" t="s">
        <v>716</v>
      </c>
      <c r="B199" t="s">
        <v>717</v>
      </c>
      <c r="C199" t="s">
        <v>715</v>
      </c>
      <c r="D199">
        <v>198125</v>
      </c>
      <c r="E199">
        <v>0</v>
      </c>
      <c r="F199">
        <v>130607</v>
      </c>
      <c r="G199">
        <v>2000</v>
      </c>
      <c r="H199">
        <v>65518</v>
      </c>
      <c r="I199">
        <v>0</v>
      </c>
      <c r="J199" s="928">
        <v>0</v>
      </c>
      <c r="K199">
        <v>0</v>
      </c>
      <c r="L199">
        <v>0</v>
      </c>
    </row>
    <row r="200" spans="1:12" x14ac:dyDescent="0.25">
      <c r="A200" t="s">
        <v>743</v>
      </c>
      <c r="B200" t="s">
        <v>744</v>
      </c>
      <c r="C200" t="s">
        <v>742</v>
      </c>
      <c r="D200">
        <v>15204</v>
      </c>
      <c r="E200">
        <v>1165</v>
      </c>
      <c r="F200">
        <v>5425</v>
      </c>
      <c r="G200">
        <v>188</v>
      </c>
      <c r="H200">
        <v>3979</v>
      </c>
      <c r="I200">
        <v>4448</v>
      </c>
      <c r="J200" s="928">
        <v>4448</v>
      </c>
      <c r="K200">
        <v>0</v>
      </c>
      <c r="L200">
        <v>0</v>
      </c>
    </row>
    <row r="201" spans="1:12" x14ac:dyDescent="0.25">
      <c r="A201" t="s">
        <v>752</v>
      </c>
      <c r="B201" t="s">
        <v>753</v>
      </c>
      <c r="C201" t="s">
        <v>751</v>
      </c>
      <c r="D201">
        <v>0</v>
      </c>
      <c r="E201">
        <v>0</v>
      </c>
      <c r="F201">
        <v>0</v>
      </c>
      <c r="G201">
        <v>0</v>
      </c>
      <c r="H201">
        <v>0</v>
      </c>
      <c r="I201">
        <v>0</v>
      </c>
      <c r="J201" s="928">
        <v>0</v>
      </c>
      <c r="K201">
        <v>0</v>
      </c>
      <c r="L201">
        <v>0</v>
      </c>
    </row>
    <row r="202" spans="1:12" x14ac:dyDescent="0.25">
      <c r="A202" t="s">
        <v>758</v>
      </c>
      <c r="B202" t="s">
        <v>759</v>
      </c>
      <c r="C202" t="s">
        <v>757</v>
      </c>
      <c r="D202">
        <v>18495</v>
      </c>
      <c r="E202">
        <v>2816</v>
      </c>
      <c r="F202">
        <v>4089</v>
      </c>
      <c r="G202">
        <v>219</v>
      </c>
      <c r="H202">
        <v>5430</v>
      </c>
      <c r="I202">
        <v>8101</v>
      </c>
      <c r="J202" s="928">
        <v>1694</v>
      </c>
      <c r="K202">
        <v>466</v>
      </c>
      <c r="L202">
        <v>5941</v>
      </c>
    </row>
    <row r="203" spans="1:12" x14ac:dyDescent="0.25">
      <c r="A203" t="s">
        <v>767</v>
      </c>
      <c r="B203" t="s">
        <v>768</v>
      </c>
      <c r="C203" t="s">
        <v>766</v>
      </c>
      <c r="D203">
        <v>24145</v>
      </c>
      <c r="E203">
        <v>0</v>
      </c>
      <c r="F203">
        <v>22101</v>
      </c>
      <c r="G203">
        <v>2043</v>
      </c>
      <c r="H203">
        <v>0</v>
      </c>
      <c r="I203">
        <v>6617</v>
      </c>
      <c r="J203" s="928">
        <v>5268</v>
      </c>
      <c r="K203">
        <v>1349</v>
      </c>
      <c r="L203">
        <v>0</v>
      </c>
    </row>
    <row r="204" spans="1:12" x14ac:dyDescent="0.25">
      <c r="A204" t="s">
        <v>779</v>
      </c>
      <c r="B204" t="s">
        <v>780</v>
      </c>
      <c r="C204" t="s">
        <v>778</v>
      </c>
      <c r="D204">
        <v>1598</v>
      </c>
      <c r="E204">
        <v>0</v>
      </c>
      <c r="F204">
        <v>1441</v>
      </c>
      <c r="G204">
        <v>138</v>
      </c>
      <c r="H204">
        <v>19</v>
      </c>
      <c r="I204">
        <v>0</v>
      </c>
      <c r="J204" s="928">
        <v>0</v>
      </c>
      <c r="K204">
        <v>0</v>
      </c>
      <c r="L204">
        <v>0</v>
      </c>
    </row>
    <row r="205" spans="1:12" x14ac:dyDescent="0.25">
      <c r="A205" t="s">
        <v>782</v>
      </c>
      <c r="B205" t="s">
        <v>783</v>
      </c>
      <c r="C205" t="s">
        <v>781</v>
      </c>
      <c r="D205">
        <v>30170</v>
      </c>
      <c r="E205">
        <v>0</v>
      </c>
      <c r="F205">
        <v>6717</v>
      </c>
      <c r="G205">
        <v>940</v>
      </c>
      <c r="H205">
        <v>6381</v>
      </c>
      <c r="I205">
        <v>20805</v>
      </c>
      <c r="J205" s="928">
        <v>3918</v>
      </c>
      <c r="K205">
        <v>755</v>
      </c>
      <c r="L205">
        <v>16132</v>
      </c>
    </row>
    <row r="206" spans="1:12" x14ac:dyDescent="0.25">
      <c r="A206" t="s">
        <v>785</v>
      </c>
      <c r="B206" t="s">
        <v>786</v>
      </c>
      <c r="C206" t="s">
        <v>784</v>
      </c>
      <c r="D206">
        <v>158918</v>
      </c>
      <c r="E206">
        <v>3888</v>
      </c>
      <c r="F206">
        <v>68785</v>
      </c>
      <c r="G206">
        <v>46798</v>
      </c>
      <c r="H206">
        <v>20312</v>
      </c>
      <c r="I206">
        <v>40200</v>
      </c>
      <c r="J206" s="928">
        <v>21065</v>
      </c>
      <c r="K206">
        <v>0</v>
      </c>
      <c r="L206">
        <v>19135</v>
      </c>
    </row>
    <row r="207" spans="1:12" x14ac:dyDescent="0.25">
      <c r="A207" t="s">
        <v>788</v>
      </c>
      <c r="B207" t="s">
        <v>789</v>
      </c>
      <c r="C207" t="s">
        <v>787</v>
      </c>
      <c r="D207">
        <v>6907</v>
      </c>
      <c r="E207">
        <v>0</v>
      </c>
      <c r="F207">
        <v>0</v>
      </c>
      <c r="G207">
        <v>6907</v>
      </c>
      <c r="H207">
        <v>0</v>
      </c>
      <c r="I207">
        <v>3992</v>
      </c>
      <c r="J207" s="928">
        <v>3028</v>
      </c>
      <c r="K207">
        <v>964</v>
      </c>
      <c r="L207">
        <v>0</v>
      </c>
    </row>
    <row r="208" spans="1:12" x14ac:dyDescent="0.25">
      <c r="A208" t="s">
        <v>800</v>
      </c>
      <c r="B208" t="s">
        <v>801</v>
      </c>
      <c r="C208" t="s">
        <v>799</v>
      </c>
      <c r="D208">
        <v>9741</v>
      </c>
      <c r="E208">
        <v>0</v>
      </c>
      <c r="F208">
        <v>0</v>
      </c>
      <c r="G208">
        <v>0</v>
      </c>
      <c r="H208">
        <v>0</v>
      </c>
      <c r="I208">
        <v>14522</v>
      </c>
      <c r="J208" s="928">
        <v>4056</v>
      </c>
      <c r="K208">
        <v>725</v>
      </c>
      <c r="L208">
        <v>9741</v>
      </c>
    </row>
    <row r="209" spans="1:12" x14ac:dyDescent="0.25">
      <c r="A209" t="s">
        <v>806</v>
      </c>
      <c r="B209" t="s">
        <v>807</v>
      </c>
      <c r="C209" t="s">
        <v>805</v>
      </c>
      <c r="D209">
        <v>25972</v>
      </c>
      <c r="E209">
        <v>0</v>
      </c>
      <c r="F209">
        <v>0</v>
      </c>
      <c r="G209">
        <v>0</v>
      </c>
      <c r="H209">
        <v>0</v>
      </c>
      <c r="I209">
        <v>27819</v>
      </c>
      <c r="J209" s="928">
        <v>1305</v>
      </c>
      <c r="K209">
        <v>542</v>
      </c>
      <c r="L209">
        <v>25972</v>
      </c>
    </row>
    <row r="210" spans="1:12" x14ac:dyDescent="0.25">
      <c r="A210" t="s">
        <v>812</v>
      </c>
      <c r="B210" t="s">
        <v>813</v>
      </c>
      <c r="C210" t="s">
        <v>811</v>
      </c>
      <c r="D210">
        <v>10707</v>
      </c>
      <c r="E210">
        <v>0</v>
      </c>
      <c r="F210">
        <v>3679</v>
      </c>
      <c r="G210">
        <v>34</v>
      </c>
      <c r="H210">
        <v>0</v>
      </c>
      <c r="I210">
        <v>12222</v>
      </c>
      <c r="J210" s="928">
        <v>4191</v>
      </c>
      <c r="K210">
        <v>1037</v>
      </c>
      <c r="L210">
        <v>6994</v>
      </c>
    </row>
    <row r="211" spans="1:12" x14ac:dyDescent="0.25">
      <c r="A211" t="s">
        <v>821</v>
      </c>
      <c r="B211" t="s">
        <v>822</v>
      </c>
      <c r="C211" t="s">
        <v>820</v>
      </c>
      <c r="D211">
        <v>0</v>
      </c>
      <c r="E211">
        <v>0</v>
      </c>
      <c r="F211">
        <v>0</v>
      </c>
      <c r="G211">
        <v>0</v>
      </c>
      <c r="H211">
        <v>0</v>
      </c>
      <c r="I211">
        <v>0</v>
      </c>
      <c r="J211" s="928">
        <v>0</v>
      </c>
      <c r="K211">
        <v>0</v>
      </c>
      <c r="L211">
        <v>0</v>
      </c>
    </row>
    <row r="212" spans="1:12" x14ac:dyDescent="0.25">
      <c r="A212" t="s">
        <v>845</v>
      </c>
      <c r="B212" t="s">
        <v>846</v>
      </c>
      <c r="C212" t="s">
        <v>844</v>
      </c>
      <c r="D212">
        <v>4946</v>
      </c>
      <c r="E212">
        <v>0</v>
      </c>
      <c r="F212">
        <v>4946</v>
      </c>
      <c r="G212">
        <v>0</v>
      </c>
      <c r="H212">
        <v>0</v>
      </c>
      <c r="I212">
        <v>0</v>
      </c>
      <c r="J212" s="928">
        <v>0</v>
      </c>
      <c r="K212">
        <v>0</v>
      </c>
      <c r="L212">
        <v>0</v>
      </c>
    </row>
    <row r="213" spans="1:12" x14ac:dyDescent="0.25">
      <c r="A213" t="s">
        <v>857</v>
      </c>
      <c r="B213" t="s">
        <v>858</v>
      </c>
      <c r="C213" t="s">
        <v>5464</v>
      </c>
      <c r="D213">
        <v>14350</v>
      </c>
      <c r="E213">
        <v>0</v>
      </c>
      <c r="F213">
        <v>14350</v>
      </c>
      <c r="G213">
        <v>0</v>
      </c>
      <c r="H213">
        <v>0</v>
      </c>
      <c r="I213">
        <v>0</v>
      </c>
      <c r="J213" s="928">
        <v>0</v>
      </c>
      <c r="K213">
        <v>0</v>
      </c>
      <c r="L213">
        <v>0</v>
      </c>
    </row>
    <row r="214" spans="1:12" x14ac:dyDescent="0.25">
      <c r="A214" t="s">
        <v>868</v>
      </c>
      <c r="B214" t="s">
        <v>869</v>
      </c>
      <c r="C214" t="s">
        <v>867</v>
      </c>
      <c r="D214">
        <v>27094</v>
      </c>
      <c r="E214">
        <v>0</v>
      </c>
      <c r="F214">
        <v>15049</v>
      </c>
      <c r="G214">
        <v>12045</v>
      </c>
      <c r="H214">
        <v>0</v>
      </c>
      <c r="I214">
        <v>0</v>
      </c>
      <c r="J214" s="928">
        <v>0</v>
      </c>
      <c r="K214">
        <v>0</v>
      </c>
      <c r="L214">
        <v>0</v>
      </c>
    </row>
    <row r="215" spans="1:12" x14ac:dyDescent="0.25">
      <c r="A215" t="s">
        <v>892</v>
      </c>
      <c r="B215" t="s">
        <v>893</v>
      </c>
      <c r="C215" t="s">
        <v>891</v>
      </c>
      <c r="D215">
        <v>100716</v>
      </c>
      <c r="E215">
        <v>0</v>
      </c>
      <c r="F215">
        <v>2168</v>
      </c>
      <c r="G215">
        <v>15020</v>
      </c>
      <c r="H215">
        <v>21811</v>
      </c>
      <c r="I215">
        <v>70524</v>
      </c>
      <c r="J215" s="928">
        <v>8807</v>
      </c>
      <c r="K215">
        <v>0</v>
      </c>
      <c r="L215">
        <v>61717</v>
      </c>
    </row>
    <row r="216" spans="1:12" x14ac:dyDescent="0.25">
      <c r="A216" t="s">
        <v>907</v>
      </c>
      <c r="B216" t="s">
        <v>908</v>
      </c>
      <c r="C216" t="s">
        <v>906</v>
      </c>
      <c r="D216">
        <v>42852</v>
      </c>
      <c r="E216">
        <v>0</v>
      </c>
      <c r="F216">
        <v>31150</v>
      </c>
      <c r="G216">
        <v>11702</v>
      </c>
      <c r="H216">
        <v>0</v>
      </c>
      <c r="I216">
        <v>9299</v>
      </c>
      <c r="J216" s="928">
        <v>9299</v>
      </c>
      <c r="K216">
        <v>0</v>
      </c>
      <c r="L216">
        <v>0</v>
      </c>
    </row>
    <row r="217" spans="1:12" x14ac:dyDescent="0.25">
      <c r="A217" t="s">
        <v>922</v>
      </c>
      <c r="B217" t="s">
        <v>923</v>
      </c>
      <c r="C217" t="s">
        <v>921</v>
      </c>
      <c r="D217">
        <v>84774</v>
      </c>
      <c r="E217">
        <v>0</v>
      </c>
      <c r="F217">
        <v>38432</v>
      </c>
      <c r="G217">
        <v>25181</v>
      </c>
      <c r="H217">
        <v>21161</v>
      </c>
      <c r="I217">
        <v>0</v>
      </c>
      <c r="J217" s="928">
        <v>0</v>
      </c>
      <c r="K217">
        <v>0</v>
      </c>
      <c r="L217">
        <v>0</v>
      </c>
    </row>
    <row r="218" spans="1:12" x14ac:dyDescent="0.25">
      <c r="A218" t="s">
        <v>925</v>
      </c>
      <c r="B218" t="s">
        <v>926</v>
      </c>
      <c r="C218" t="s">
        <v>924</v>
      </c>
      <c r="D218">
        <v>33485</v>
      </c>
      <c r="E218">
        <v>0</v>
      </c>
      <c r="F218">
        <v>13530</v>
      </c>
      <c r="G218">
        <v>1800</v>
      </c>
      <c r="H218">
        <v>18155</v>
      </c>
      <c r="I218">
        <v>3586</v>
      </c>
      <c r="J218" s="928">
        <v>2313</v>
      </c>
      <c r="K218">
        <v>1273</v>
      </c>
      <c r="L218">
        <v>0</v>
      </c>
    </row>
    <row r="219" spans="1:12" x14ac:dyDescent="0.25">
      <c r="A219" t="s">
        <v>934</v>
      </c>
      <c r="B219" t="s">
        <v>935</v>
      </c>
      <c r="C219" t="s">
        <v>933</v>
      </c>
      <c r="D219">
        <v>13441</v>
      </c>
      <c r="E219">
        <v>0</v>
      </c>
      <c r="F219">
        <v>9745</v>
      </c>
      <c r="G219">
        <v>1814</v>
      </c>
      <c r="H219">
        <v>111</v>
      </c>
      <c r="I219">
        <v>3413</v>
      </c>
      <c r="J219" s="928">
        <v>1641</v>
      </c>
      <c r="K219">
        <v>0</v>
      </c>
      <c r="L219">
        <v>1772</v>
      </c>
    </row>
    <row r="220" spans="1:12" x14ac:dyDescent="0.25">
      <c r="A220" t="s">
        <v>940</v>
      </c>
      <c r="B220" t="s">
        <v>941</v>
      </c>
      <c r="C220" t="s">
        <v>939</v>
      </c>
      <c r="D220">
        <v>1628</v>
      </c>
      <c r="E220">
        <v>0</v>
      </c>
      <c r="F220">
        <v>1628</v>
      </c>
      <c r="G220">
        <v>0</v>
      </c>
      <c r="H220">
        <v>0</v>
      </c>
      <c r="I220">
        <v>2063</v>
      </c>
      <c r="J220" s="928">
        <v>1810</v>
      </c>
      <c r="K220">
        <v>253</v>
      </c>
      <c r="L220">
        <v>0</v>
      </c>
    </row>
    <row r="221" spans="1:12" x14ac:dyDescent="0.25">
      <c r="A221" t="s">
        <v>973</v>
      </c>
      <c r="B221" t="s">
        <v>974</v>
      </c>
      <c r="C221" t="s">
        <v>972</v>
      </c>
      <c r="D221">
        <v>17311</v>
      </c>
      <c r="E221">
        <v>0</v>
      </c>
      <c r="F221">
        <v>5396</v>
      </c>
      <c r="G221">
        <v>954</v>
      </c>
      <c r="H221">
        <v>1531</v>
      </c>
      <c r="I221">
        <v>9430</v>
      </c>
      <c r="J221" s="928">
        <v>0</v>
      </c>
      <c r="K221">
        <v>0</v>
      </c>
      <c r="L221">
        <v>9430</v>
      </c>
    </row>
    <row r="222" spans="1:12" x14ac:dyDescent="0.25">
      <c r="A222" t="s">
        <v>985</v>
      </c>
      <c r="B222" t="s">
        <v>986</v>
      </c>
      <c r="C222" t="s">
        <v>984</v>
      </c>
      <c r="D222">
        <v>22529</v>
      </c>
      <c r="E222">
        <v>1496</v>
      </c>
      <c r="F222">
        <v>3905</v>
      </c>
      <c r="G222">
        <v>7554</v>
      </c>
      <c r="H222">
        <v>9076</v>
      </c>
      <c r="I222">
        <v>4991</v>
      </c>
      <c r="J222" s="928">
        <v>3430</v>
      </c>
      <c r="K222">
        <v>1064</v>
      </c>
      <c r="L222">
        <v>497</v>
      </c>
    </row>
    <row r="223" spans="1:12" x14ac:dyDescent="0.25">
      <c r="A223" t="s">
        <v>1012</v>
      </c>
      <c r="B223" t="s">
        <v>1013</v>
      </c>
      <c r="C223" t="s">
        <v>1011</v>
      </c>
      <c r="D223">
        <v>155249</v>
      </c>
      <c r="E223">
        <v>9253</v>
      </c>
      <c r="F223">
        <v>98135</v>
      </c>
      <c r="G223">
        <v>42980</v>
      </c>
      <c r="H223">
        <v>0</v>
      </c>
      <c r="I223">
        <v>11717</v>
      </c>
      <c r="J223" s="928">
        <v>5462</v>
      </c>
      <c r="K223">
        <v>1374</v>
      </c>
      <c r="L223">
        <v>4881</v>
      </c>
    </row>
    <row r="224" spans="1:12" x14ac:dyDescent="0.25">
      <c r="A224" t="s">
        <v>1021</v>
      </c>
      <c r="B224" t="s">
        <v>1022</v>
      </c>
      <c r="C224" t="s">
        <v>1020</v>
      </c>
      <c r="D224">
        <v>23706</v>
      </c>
      <c r="E224">
        <v>0</v>
      </c>
      <c r="F224">
        <v>23706</v>
      </c>
      <c r="G224">
        <v>0</v>
      </c>
      <c r="H224">
        <v>0</v>
      </c>
      <c r="I224">
        <v>2884</v>
      </c>
      <c r="J224" s="928">
        <v>2884</v>
      </c>
      <c r="K224">
        <v>0</v>
      </c>
      <c r="L224">
        <v>0</v>
      </c>
    </row>
    <row r="225" spans="1:12" x14ac:dyDescent="0.25">
      <c r="A225" t="s">
        <v>1037</v>
      </c>
      <c r="B225" t="s">
        <v>1038</v>
      </c>
      <c r="C225" t="s">
        <v>1036</v>
      </c>
      <c r="D225">
        <v>19718</v>
      </c>
      <c r="E225">
        <v>0</v>
      </c>
      <c r="F225">
        <v>19718</v>
      </c>
      <c r="G225">
        <v>0</v>
      </c>
      <c r="H225">
        <v>0</v>
      </c>
      <c r="I225">
        <v>3730</v>
      </c>
      <c r="J225" s="928">
        <v>3730</v>
      </c>
      <c r="K225">
        <v>0</v>
      </c>
      <c r="L225">
        <v>0</v>
      </c>
    </row>
    <row r="226" spans="1:12" x14ac:dyDescent="0.25">
      <c r="A226" t="s">
        <v>1061</v>
      </c>
      <c r="B226" t="s">
        <v>1062</v>
      </c>
      <c r="C226" t="s">
        <v>1060</v>
      </c>
      <c r="D226">
        <v>11662</v>
      </c>
      <c r="E226">
        <v>0</v>
      </c>
      <c r="F226">
        <v>0</v>
      </c>
      <c r="G226">
        <v>0</v>
      </c>
      <c r="H226">
        <v>0</v>
      </c>
      <c r="I226">
        <v>12870</v>
      </c>
      <c r="J226" s="928">
        <v>946</v>
      </c>
      <c r="K226">
        <v>262</v>
      </c>
      <c r="L226">
        <v>11662</v>
      </c>
    </row>
    <row r="227" spans="1:12" x14ac:dyDescent="0.25">
      <c r="A227" t="s">
        <v>1103</v>
      </c>
      <c r="B227" t="s">
        <v>1104</v>
      </c>
      <c r="C227" t="s">
        <v>1102</v>
      </c>
      <c r="D227">
        <v>8430</v>
      </c>
      <c r="E227">
        <v>546</v>
      </c>
      <c r="F227">
        <v>2163</v>
      </c>
      <c r="G227">
        <v>65</v>
      </c>
      <c r="H227">
        <v>258</v>
      </c>
      <c r="I227">
        <v>8425</v>
      </c>
      <c r="J227" s="928">
        <v>3027</v>
      </c>
      <c r="K227">
        <v>0</v>
      </c>
      <c r="L227">
        <v>5398</v>
      </c>
    </row>
    <row r="228" spans="1:12" x14ac:dyDescent="0.25">
      <c r="A228" t="s">
        <v>1106</v>
      </c>
      <c r="B228" t="s">
        <v>1107</v>
      </c>
      <c r="C228" t="s">
        <v>1105</v>
      </c>
      <c r="D228">
        <v>97595</v>
      </c>
      <c r="E228">
        <v>1473</v>
      </c>
      <c r="F228">
        <v>55525</v>
      </c>
      <c r="G228">
        <v>13872</v>
      </c>
      <c r="H228">
        <v>26725</v>
      </c>
      <c r="I228">
        <v>17279</v>
      </c>
      <c r="J228" s="928">
        <v>0</v>
      </c>
      <c r="K228">
        <v>17279</v>
      </c>
      <c r="L228">
        <v>0</v>
      </c>
    </row>
    <row r="229" spans="1:12" x14ac:dyDescent="0.25">
      <c r="A229" t="s">
        <v>1109</v>
      </c>
      <c r="B229" t="s">
        <v>1110</v>
      </c>
      <c r="C229" t="s">
        <v>1108</v>
      </c>
      <c r="D229">
        <v>60402</v>
      </c>
      <c r="E229">
        <v>0</v>
      </c>
      <c r="F229">
        <v>60402</v>
      </c>
      <c r="G229">
        <v>0</v>
      </c>
      <c r="H229">
        <v>0</v>
      </c>
      <c r="I229">
        <v>7758</v>
      </c>
      <c r="J229" s="928">
        <v>5778</v>
      </c>
      <c r="K229">
        <v>1980</v>
      </c>
      <c r="L229">
        <v>0</v>
      </c>
    </row>
    <row r="230" spans="1:12" x14ac:dyDescent="0.25">
      <c r="A230" t="s">
        <v>1112</v>
      </c>
      <c r="B230" t="s">
        <v>1113</v>
      </c>
      <c r="C230" t="s">
        <v>1111</v>
      </c>
      <c r="D230">
        <v>82490</v>
      </c>
      <c r="E230">
        <v>2064</v>
      </c>
      <c r="F230">
        <v>0</v>
      </c>
      <c r="G230">
        <v>12247</v>
      </c>
      <c r="H230">
        <v>0</v>
      </c>
      <c r="I230">
        <v>70928</v>
      </c>
      <c r="J230" s="928">
        <v>0</v>
      </c>
      <c r="K230">
        <v>2749</v>
      </c>
      <c r="L230">
        <v>68179</v>
      </c>
    </row>
    <row r="231" spans="1:12" x14ac:dyDescent="0.25">
      <c r="A231" t="s">
        <v>1124</v>
      </c>
      <c r="B231" t="s">
        <v>1125</v>
      </c>
      <c r="C231" t="s">
        <v>1123</v>
      </c>
      <c r="D231">
        <v>16359</v>
      </c>
      <c r="E231">
        <v>0</v>
      </c>
      <c r="F231">
        <v>0</v>
      </c>
      <c r="G231">
        <v>0</v>
      </c>
      <c r="H231">
        <v>16359</v>
      </c>
      <c r="I231">
        <v>0</v>
      </c>
      <c r="J231" s="928">
        <v>0</v>
      </c>
      <c r="K231">
        <v>0</v>
      </c>
      <c r="L231">
        <v>0</v>
      </c>
    </row>
    <row r="232" spans="1:12" x14ac:dyDescent="0.25">
      <c r="A232" t="s">
        <v>1145</v>
      </c>
      <c r="B232" t="s">
        <v>1146</v>
      </c>
      <c r="C232" t="s">
        <v>1144</v>
      </c>
      <c r="D232">
        <v>19353</v>
      </c>
      <c r="E232">
        <v>0</v>
      </c>
      <c r="F232">
        <v>15958</v>
      </c>
      <c r="G232">
        <v>0</v>
      </c>
      <c r="H232">
        <v>3395</v>
      </c>
      <c r="I232">
        <v>4388</v>
      </c>
      <c r="J232" s="928">
        <v>3141</v>
      </c>
      <c r="K232">
        <v>1247</v>
      </c>
      <c r="L232">
        <v>0</v>
      </c>
    </row>
    <row r="233" spans="1:12" x14ac:dyDescent="0.25">
      <c r="A233" t="s">
        <v>1164</v>
      </c>
      <c r="B233" t="s">
        <v>1165</v>
      </c>
      <c r="C233" t="s">
        <v>1163</v>
      </c>
      <c r="D233">
        <v>19643</v>
      </c>
      <c r="E233">
        <v>0</v>
      </c>
      <c r="F233">
        <v>7577</v>
      </c>
      <c r="G233">
        <v>0</v>
      </c>
      <c r="H233">
        <v>12066</v>
      </c>
      <c r="I233">
        <v>3913</v>
      </c>
      <c r="J233" s="928">
        <v>3105</v>
      </c>
      <c r="K233">
        <v>808</v>
      </c>
      <c r="L233">
        <v>0</v>
      </c>
    </row>
    <row r="234" spans="1:12" x14ac:dyDescent="0.25">
      <c r="A234" t="s">
        <v>1173</v>
      </c>
      <c r="B234" t="s">
        <v>1174</v>
      </c>
      <c r="C234" t="s">
        <v>1172</v>
      </c>
      <c r="D234">
        <v>32755</v>
      </c>
      <c r="E234">
        <v>0</v>
      </c>
      <c r="F234">
        <v>18107</v>
      </c>
      <c r="G234">
        <v>2748</v>
      </c>
      <c r="H234">
        <v>1182</v>
      </c>
      <c r="I234">
        <v>13811</v>
      </c>
      <c r="J234" s="928">
        <v>3093</v>
      </c>
      <c r="K234">
        <v>0</v>
      </c>
      <c r="L234">
        <v>10718</v>
      </c>
    </row>
    <row r="235" spans="1:12" x14ac:dyDescent="0.25">
      <c r="A235" t="s">
        <v>1179</v>
      </c>
      <c r="B235" t="s">
        <v>1180</v>
      </c>
      <c r="C235" t="s">
        <v>1178</v>
      </c>
      <c r="D235">
        <v>48421</v>
      </c>
      <c r="E235">
        <v>0</v>
      </c>
      <c r="F235">
        <v>0</v>
      </c>
      <c r="G235">
        <v>0</v>
      </c>
      <c r="H235">
        <v>0</v>
      </c>
      <c r="I235">
        <v>48421</v>
      </c>
      <c r="J235" s="928">
        <v>0</v>
      </c>
      <c r="K235">
        <v>0</v>
      </c>
      <c r="L235">
        <v>48421</v>
      </c>
    </row>
    <row r="236" spans="1:12" x14ac:dyDescent="0.25">
      <c r="A236" t="s">
        <v>1185</v>
      </c>
      <c r="B236" t="s">
        <v>1186</v>
      </c>
      <c r="C236" t="s">
        <v>1184</v>
      </c>
      <c r="D236">
        <v>2873</v>
      </c>
      <c r="E236">
        <v>0</v>
      </c>
      <c r="F236">
        <v>2873</v>
      </c>
      <c r="G236">
        <v>0</v>
      </c>
      <c r="H236">
        <v>0</v>
      </c>
      <c r="I236">
        <v>0</v>
      </c>
      <c r="J236" s="928">
        <v>0</v>
      </c>
      <c r="K236">
        <v>0</v>
      </c>
      <c r="L236">
        <v>0</v>
      </c>
    </row>
    <row r="237" spans="1:12" x14ac:dyDescent="0.25">
      <c r="A237" t="s">
        <v>1194</v>
      </c>
      <c r="B237" t="s">
        <v>1195</v>
      </c>
      <c r="C237" t="s">
        <v>1193</v>
      </c>
      <c r="D237">
        <v>21198</v>
      </c>
      <c r="E237">
        <v>0</v>
      </c>
      <c r="F237">
        <v>14946</v>
      </c>
      <c r="G237">
        <v>3250</v>
      </c>
      <c r="H237">
        <v>3000</v>
      </c>
      <c r="I237">
        <v>4798</v>
      </c>
      <c r="J237" s="928">
        <v>3291</v>
      </c>
      <c r="K237">
        <v>1507</v>
      </c>
      <c r="L237">
        <v>0</v>
      </c>
    </row>
    <row r="238" spans="1:12" x14ac:dyDescent="0.25">
      <c r="A238" t="s">
        <v>1206</v>
      </c>
      <c r="B238" t="s">
        <v>1207</v>
      </c>
      <c r="C238" t="s">
        <v>1205</v>
      </c>
      <c r="D238">
        <v>106589</v>
      </c>
      <c r="E238">
        <v>2350</v>
      </c>
      <c r="F238">
        <v>16720</v>
      </c>
      <c r="G238">
        <v>25360</v>
      </c>
      <c r="H238">
        <v>11650</v>
      </c>
      <c r="I238">
        <v>107421</v>
      </c>
      <c r="J238" s="928">
        <v>50532</v>
      </c>
      <c r="K238">
        <v>6380</v>
      </c>
      <c r="L238">
        <v>50509</v>
      </c>
    </row>
    <row r="239" spans="1:12" x14ac:dyDescent="0.25">
      <c r="A239" t="s">
        <v>1212</v>
      </c>
      <c r="B239" t="s">
        <v>1213</v>
      </c>
      <c r="C239" t="s">
        <v>1211</v>
      </c>
      <c r="D239">
        <v>33442</v>
      </c>
      <c r="E239">
        <v>0</v>
      </c>
      <c r="F239">
        <v>0</v>
      </c>
      <c r="G239">
        <v>0</v>
      </c>
      <c r="H239">
        <v>0</v>
      </c>
      <c r="I239">
        <v>1032</v>
      </c>
      <c r="J239" s="928">
        <v>1192</v>
      </c>
      <c r="K239">
        <v>237</v>
      </c>
      <c r="L239">
        <v>0</v>
      </c>
    </row>
    <row r="240" spans="1:12" x14ac:dyDescent="0.25">
      <c r="A240" t="s">
        <v>1221</v>
      </c>
      <c r="B240" t="s">
        <v>1222</v>
      </c>
      <c r="C240" t="s">
        <v>1220</v>
      </c>
      <c r="D240">
        <v>139601</v>
      </c>
      <c r="E240">
        <v>0</v>
      </c>
      <c r="F240">
        <v>60340</v>
      </c>
      <c r="G240">
        <v>0</v>
      </c>
      <c r="H240">
        <v>68291</v>
      </c>
      <c r="I240">
        <v>20338</v>
      </c>
      <c r="J240" s="928">
        <v>9075</v>
      </c>
      <c r="K240">
        <v>294</v>
      </c>
      <c r="L240">
        <v>10969</v>
      </c>
    </row>
    <row r="241" spans="1:12" x14ac:dyDescent="0.25">
      <c r="A241" t="s">
        <v>1224</v>
      </c>
      <c r="B241" t="s">
        <v>1225</v>
      </c>
      <c r="C241" t="s">
        <v>1223</v>
      </c>
      <c r="D241">
        <v>211489</v>
      </c>
      <c r="E241">
        <v>62863</v>
      </c>
      <c r="F241">
        <v>82184</v>
      </c>
      <c r="G241">
        <v>14874</v>
      </c>
      <c r="H241">
        <v>51568</v>
      </c>
      <c r="I241">
        <v>1494</v>
      </c>
      <c r="J241" s="928">
        <v>0</v>
      </c>
      <c r="K241">
        <v>1494</v>
      </c>
      <c r="L241">
        <v>0</v>
      </c>
    </row>
    <row r="242" spans="1:12" x14ac:dyDescent="0.25">
      <c r="A242" t="s">
        <v>1227</v>
      </c>
      <c r="B242" t="s">
        <v>1228</v>
      </c>
      <c r="C242" t="s">
        <v>1226</v>
      </c>
      <c r="D242">
        <v>92162</v>
      </c>
      <c r="E242">
        <v>0</v>
      </c>
      <c r="F242">
        <v>92162</v>
      </c>
      <c r="G242">
        <v>0</v>
      </c>
      <c r="H242">
        <v>0</v>
      </c>
      <c r="I242">
        <v>8244</v>
      </c>
      <c r="J242" s="928">
        <v>6857</v>
      </c>
      <c r="K242">
        <v>1387</v>
      </c>
      <c r="L242">
        <v>0</v>
      </c>
    </row>
    <row r="243" spans="1:12" x14ac:dyDescent="0.25">
      <c r="A243" t="s">
        <v>1254</v>
      </c>
      <c r="B243" t="s">
        <v>1255</v>
      </c>
      <c r="C243" t="s">
        <v>1253</v>
      </c>
      <c r="D243">
        <v>10128</v>
      </c>
      <c r="E243">
        <v>0</v>
      </c>
      <c r="F243">
        <v>0</v>
      </c>
      <c r="G243">
        <v>2831</v>
      </c>
      <c r="H243">
        <v>0</v>
      </c>
      <c r="I243">
        <v>7297</v>
      </c>
      <c r="J243" s="928">
        <v>4086</v>
      </c>
      <c r="K243">
        <v>1569</v>
      </c>
      <c r="L243">
        <v>1642</v>
      </c>
    </row>
    <row r="244" spans="1:12" x14ac:dyDescent="0.25">
      <c r="A244" t="s">
        <v>1257</v>
      </c>
      <c r="B244" t="s">
        <v>1258</v>
      </c>
      <c r="C244" t="s">
        <v>1256</v>
      </c>
      <c r="D244">
        <v>22291</v>
      </c>
      <c r="E244">
        <v>0</v>
      </c>
      <c r="F244">
        <v>17016</v>
      </c>
      <c r="G244">
        <v>0</v>
      </c>
      <c r="H244">
        <v>4273</v>
      </c>
      <c r="I244">
        <v>1000</v>
      </c>
      <c r="J244" s="928">
        <v>0</v>
      </c>
      <c r="K244">
        <v>0</v>
      </c>
      <c r="L244">
        <v>1000</v>
      </c>
    </row>
    <row r="245" spans="1:12" x14ac:dyDescent="0.25">
      <c r="A245" t="s">
        <v>1269</v>
      </c>
      <c r="B245" t="s">
        <v>1270</v>
      </c>
      <c r="C245" t="s">
        <v>1268</v>
      </c>
      <c r="D245">
        <v>0</v>
      </c>
      <c r="E245">
        <v>0</v>
      </c>
      <c r="F245">
        <v>0</v>
      </c>
      <c r="G245">
        <v>0</v>
      </c>
      <c r="H245">
        <v>0</v>
      </c>
      <c r="I245">
        <v>0</v>
      </c>
      <c r="J245" s="928">
        <v>0</v>
      </c>
      <c r="K245">
        <v>0</v>
      </c>
      <c r="L245">
        <v>0</v>
      </c>
    </row>
    <row r="246" spans="1:12" x14ac:dyDescent="0.25">
      <c r="A246" t="s">
        <v>1275</v>
      </c>
      <c r="B246" t="s">
        <v>1276</v>
      </c>
      <c r="C246" t="s">
        <v>1274</v>
      </c>
      <c r="D246">
        <v>196180</v>
      </c>
      <c r="E246">
        <v>0</v>
      </c>
      <c r="F246">
        <v>162271</v>
      </c>
      <c r="G246">
        <v>18295</v>
      </c>
      <c r="H246">
        <v>15613</v>
      </c>
      <c r="I246">
        <v>0</v>
      </c>
      <c r="J246" s="928">
        <v>0</v>
      </c>
      <c r="K246">
        <v>0</v>
      </c>
      <c r="L246">
        <v>0</v>
      </c>
    </row>
    <row r="247" spans="1:12" x14ac:dyDescent="0.25">
      <c r="A247" t="s">
        <v>1278</v>
      </c>
      <c r="B247" t="s">
        <v>1279</v>
      </c>
      <c r="C247" t="s">
        <v>1277</v>
      </c>
      <c r="D247">
        <v>26788</v>
      </c>
      <c r="E247">
        <v>1808</v>
      </c>
      <c r="F247">
        <v>14487</v>
      </c>
      <c r="G247">
        <v>10493</v>
      </c>
      <c r="H247">
        <v>0</v>
      </c>
      <c r="I247">
        <v>3028</v>
      </c>
      <c r="J247" s="928">
        <v>2344</v>
      </c>
      <c r="K247">
        <v>684</v>
      </c>
      <c r="L247">
        <v>0</v>
      </c>
    </row>
    <row r="248" spans="1:12" x14ac:dyDescent="0.25">
      <c r="A248" t="s">
        <v>1281</v>
      </c>
      <c r="B248" t="s">
        <v>1282</v>
      </c>
      <c r="C248" t="s">
        <v>1280</v>
      </c>
      <c r="D248">
        <v>50891</v>
      </c>
      <c r="E248">
        <v>0</v>
      </c>
      <c r="F248">
        <v>45156</v>
      </c>
      <c r="G248">
        <v>0</v>
      </c>
      <c r="H248">
        <v>5735</v>
      </c>
      <c r="I248">
        <v>0</v>
      </c>
      <c r="J248" s="928">
        <v>0</v>
      </c>
      <c r="K248">
        <v>0</v>
      </c>
      <c r="L248">
        <v>0</v>
      </c>
    </row>
    <row r="249" spans="1:12" x14ac:dyDescent="0.25">
      <c r="A249" t="s">
        <v>1293</v>
      </c>
      <c r="B249" t="s">
        <v>1294</v>
      </c>
      <c r="C249" t="s">
        <v>1292</v>
      </c>
      <c r="D249">
        <v>37546</v>
      </c>
      <c r="E249">
        <v>0</v>
      </c>
      <c r="F249">
        <v>37546</v>
      </c>
      <c r="G249">
        <v>0</v>
      </c>
      <c r="H249">
        <v>0</v>
      </c>
      <c r="I249">
        <v>8383</v>
      </c>
      <c r="J249" s="928">
        <v>6763</v>
      </c>
      <c r="K249">
        <v>1620</v>
      </c>
      <c r="L249">
        <v>0</v>
      </c>
    </row>
    <row r="250" spans="1:12" x14ac:dyDescent="0.25">
      <c r="A250" t="s">
        <v>1299</v>
      </c>
      <c r="B250" t="s">
        <v>1300</v>
      </c>
      <c r="C250" t="s">
        <v>1298</v>
      </c>
      <c r="D250">
        <v>96225</v>
      </c>
      <c r="E250">
        <v>0</v>
      </c>
      <c r="F250">
        <v>48825</v>
      </c>
      <c r="G250">
        <v>0</v>
      </c>
      <c r="H250">
        <v>0</v>
      </c>
      <c r="I250">
        <v>47400</v>
      </c>
      <c r="J250" s="928">
        <v>0</v>
      </c>
      <c r="K250">
        <v>0</v>
      </c>
      <c r="L250">
        <v>47400</v>
      </c>
    </row>
    <row r="251" spans="1:12" x14ac:dyDescent="0.25">
      <c r="A251" t="s">
        <v>1320</v>
      </c>
      <c r="B251" t="s">
        <v>1321</v>
      </c>
      <c r="C251" t="s">
        <v>1319</v>
      </c>
      <c r="D251">
        <v>9069</v>
      </c>
      <c r="E251">
        <v>0</v>
      </c>
      <c r="F251">
        <v>11411</v>
      </c>
      <c r="G251">
        <v>592</v>
      </c>
      <c r="H251">
        <v>200</v>
      </c>
      <c r="I251">
        <v>0</v>
      </c>
      <c r="J251" s="928">
        <v>0</v>
      </c>
      <c r="K251">
        <v>0</v>
      </c>
      <c r="L251">
        <v>0</v>
      </c>
    </row>
    <row r="252" spans="1:12" x14ac:dyDescent="0.25">
      <c r="A252" t="s">
        <v>1350</v>
      </c>
      <c r="B252" t="s">
        <v>1351</v>
      </c>
      <c r="C252" t="s">
        <v>1349</v>
      </c>
      <c r="D252">
        <v>66125</v>
      </c>
      <c r="E252">
        <v>1949</v>
      </c>
      <c r="F252">
        <v>48016</v>
      </c>
      <c r="G252">
        <v>3009</v>
      </c>
      <c r="H252">
        <v>8218</v>
      </c>
      <c r="I252">
        <v>10472</v>
      </c>
      <c r="J252" s="928">
        <v>4338</v>
      </c>
      <c r="K252">
        <v>1201</v>
      </c>
      <c r="L252">
        <v>4933</v>
      </c>
    </row>
    <row r="253" spans="1:12" x14ac:dyDescent="0.25">
      <c r="A253" t="s">
        <v>1362</v>
      </c>
      <c r="B253" t="s">
        <v>1363</v>
      </c>
      <c r="C253" t="s">
        <v>1361</v>
      </c>
      <c r="D253">
        <v>3661</v>
      </c>
      <c r="E253">
        <v>1145</v>
      </c>
      <c r="F253">
        <v>793</v>
      </c>
      <c r="G253">
        <v>1330</v>
      </c>
      <c r="H253">
        <v>393</v>
      </c>
      <c r="I253">
        <v>0</v>
      </c>
      <c r="J253" s="928">
        <v>0</v>
      </c>
      <c r="K253">
        <v>0</v>
      </c>
      <c r="L253">
        <v>0</v>
      </c>
    </row>
    <row r="254" spans="1:12" x14ac:dyDescent="0.25">
      <c r="A254" t="s">
        <v>179</v>
      </c>
      <c r="B254" t="s">
        <v>180</v>
      </c>
      <c r="C254" t="s">
        <v>178</v>
      </c>
      <c r="D254">
        <v>26038</v>
      </c>
      <c r="E254">
        <v>0</v>
      </c>
      <c r="F254">
        <v>20006</v>
      </c>
      <c r="G254">
        <v>2401</v>
      </c>
      <c r="H254">
        <v>2937</v>
      </c>
      <c r="I254">
        <v>4956</v>
      </c>
      <c r="J254" s="928">
        <v>4262</v>
      </c>
      <c r="K254">
        <v>0</v>
      </c>
      <c r="L254">
        <v>694</v>
      </c>
    </row>
    <row r="255" spans="1:12" x14ac:dyDescent="0.25">
      <c r="A255" t="s">
        <v>279</v>
      </c>
      <c r="B255" t="s">
        <v>280</v>
      </c>
      <c r="C255" t="s">
        <v>278</v>
      </c>
      <c r="D255">
        <v>22449</v>
      </c>
      <c r="E255">
        <v>0</v>
      </c>
      <c r="F255">
        <v>12805</v>
      </c>
      <c r="G255">
        <v>3096</v>
      </c>
      <c r="H255">
        <v>3252</v>
      </c>
      <c r="I255">
        <v>3295</v>
      </c>
      <c r="J255" s="928">
        <v>0</v>
      </c>
      <c r="K255">
        <v>0</v>
      </c>
      <c r="L255">
        <v>3295</v>
      </c>
    </row>
    <row r="256" spans="1:12" x14ac:dyDescent="0.25">
      <c r="A256" t="s">
        <v>297</v>
      </c>
      <c r="B256" t="s">
        <v>298</v>
      </c>
      <c r="C256" t="s">
        <v>296</v>
      </c>
      <c r="D256">
        <v>10575</v>
      </c>
      <c r="E256">
        <v>0</v>
      </c>
      <c r="F256">
        <v>10575</v>
      </c>
      <c r="G256">
        <v>0</v>
      </c>
      <c r="H256">
        <v>0</v>
      </c>
      <c r="I256">
        <v>428</v>
      </c>
      <c r="J256" s="928">
        <v>314</v>
      </c>
      <c r="K256">
        <v>114</v>
      </c>
      <c r="L256">
        <v>0</v>
      </c>
    </row>
    <row r="257" spans="1:12" x14ac:dyDescent="0.25">
      <c r="A257" t="s">
        <v>352</v>
      </c>
      <c r="B257" t="s">
        <v>353</v>
      </c>
      <c r="C257" t="s">
        <v>351</v>
      </c>
      <c r="D257">
        <v>9810</v>
      </c>
      <c r="E257">
        <v>0</v>
      </c>
      <c r="F257">
        <v>9090</v>
      </c>
      <c r="G257">
        <v>0</v>
      </c>
      <c r="H257">
        <v>0</v>
      </c>
      <c r="I257">
        <v>720</v>
      </c>
      <c r="J257" s="928">
        <v>514</v>
      </c>
      <c r="K257">
        <v>206</v>
      </c>
      <c r="L257">
        <v>0</v>
      </c>
    </row>
    <row r="258" spans="1:12" x14ac:dyDescent="0.25">
      <c r="A258" t="s">
        <v>370</v>
      </c>
      <c r="B258" t="s">
        <v>371</v>
      </c>
      <c r="C258" t="s">
        <v>369</v>
      </c>
      <c r="D258">
        <v>99918</v>
      </c>
      <c r="E258">
        <v>6354</v>
      </c>
      <c r="F258">
        <v>59293</v>
      </c>
      <c r="G258">
        <v>19567</v>
      </c>
      <c r="H258">
        <v>14706</v>
      </c>
      <c r="I258">
        <v>0</v>
      </c>
      <c r="J258" s="928">
        <v>0</v>
      </c>
      <c r="K258">
        <v>0</v>
      </c>
      <c r="L258">
        <v>0</v>
      </c>
    </row>
    <row r="259" spans="1:12" x14ac:dyDescent="0.25">
      <c r="A259" t="s">
        <v>442</v>
      </c>
      <c r="B259" t="s">
        <v>443</v>
      </c>
      <c r="C259" t="s">
        <v>441</v>
      </c>
      <c r="D259">
        <v>43122</v>
      </c>
      <c r="E259">
        <v>0</v>
      </c>
      <c r="F259">
        <v>36277</v>
      </c>
      <c r="G259">
        <v>1457</v>
      </c>
      <c r="H259">
        <v>5388</v>
      </c>
      <c r="I259">
        <v>7898</v>
      </c>
      <c r="J259" s="928">
        <v>6363</v>
      </c>
      <c r="K259">
        <v>1535</v>
      </c>
      <c r="L259">
        <v>0</v>
      </c>
    </row>
    <row r="260" spans="1:12" x14ac:dyDescent="0.25">
      <c r="A260" t="s">
        <v>478</v>
      </c>
      <c r="B260" t="s">
        <v>479</v>
      </c>
      <c r="C260" t="s">
        <v>477</v>
      </c>
      <c r="D260">
        <v>18192</v>
      </c>
      <c r="E260">
        <v>2649</v>
      </c>
      <c r="F260">
        <v>10411</v>
      </c>
      <c r="G260">
        <v>5132</v>
      </c>
      <c r="H260">
        <v>0</v>
      </c>
      <c r="I260">
        <v>2777</v>
      </c>
      <c r="J260" s="928">
        <v>2164</v>
      </c>
      <c r="K260">
        <v>613</v>
      </c>
      <c r="L260">
        <v>0</v>
      </c>
    </row>
    <row r="261" spans="1:12" x14ac:dyDescent="0.25">
      <c r="A261" t="s">
        <v>490</v>
      </c>
      <c r="B261" t="s">
        <v>491</v>
      </c>
      <c r="C261" t="s">
        <v>489</v>
      </c>
      <c r="D261">
        <v>6122</v>
      </c>
      <c r="E261">
        <v>0</v>
      </c>
      <c r="F261">
        <v>5462</v>
      </c>
      <c r="G261">
        <v>410</v>
      </c>
      <c r="H261">
        <v>250</v>
      </c>
      <c r="I261">
        <v>0</v>
      </c>
      <c r="J261" s="928">
        <v>0</v>
      </c>
      <c r="K261">
        <v>0</v>
      </c>
      <c r="L261">
        <v>0</v>
      </c>
    </row>
    <row r="262" spans="1:12" x14ac:dyDescent="0.25">
      <c r="A262" t="s">
        <v>536</v>
      </c>
      <c r="B262" t="s">
        <v>537</v>
      </c>
      <c r="C262" t="s">
        <v>535</v>
      </c>
      <c r="D262">
        <v>120376</v>
      </c>
      <c r="E262">
        <v>6302</v>
      </c>
      <c r="F262">
        <v>69392</v>
      </c>
      <c r="G262">
        <v>10698</v>
      </c>
      <c r="H262">
        <v>28367</v>
      </c>
      <c r="I262">
        <v>28969</v>
      </c>
      <c r="J262" s="928">
        <v>23352</v>
      </c>
      <c r="K262">
        <v>0</v>
      </c>
      <c r="L262">
        <v>5617</v>
      </c>
    </row>
    <row r="263" spans="1:12" x14ac:dyDescent="0.25">
      <c r="A263" t="s">
        <v>686</v>
      </c>
      <c r="B263" t="s">
        <v>687</v>
      </c>
      <c r="C263" t="s">
        <v>685</v>
      </c>
      <c r="D263">
        <v>209906</v>
      </c>
      <c r="E263">
        <v>0</v>
      </c>
      <c r="F263">
        <v>162242</v>
      </c>
      <c r="G263">
        <v>15709</v>
      </c>
      <c r="H263">
        <v>31955</v>
      </c>
      <c r="I263">
        <v>3300</v>
      </c>
      <c r="J263" s="928">
        <v>3300</v>
      </c>
      <c r="K263">
        <v>0</v>
      </c>
      <c r="L263">
        <v>0</v>
      </c>
    </row>
    <row r="264" spans="1:12" x14ac:dyDescent="0.25">
      <c r="A264" t="s">
        <v>746</v>
      </c>
      <c r="B264" t="s">
        <v>747</v>
      </c>
      <c r="C264" t="s">
        <v>745</v>
      </c>
      <c r="D264">
        <v>30499</v>
      </c>
      <c r="E264">
        <v>1442</v>
      </c>
      <c r="F264">
        <v>17720</v>
      </c>
      <c r="G264">
        <v>1926</v>
      </c>
      <c r="H264">
        <v>9411</v>
      </c>
      <c r="I264">
        <v>0</v>
      </c>
      <c r="J264" s="928">
        <v>0</v>
      </c>
      <c r="K264">
        <v>0</v>
      </c>
      <c r="L264">
        <v>0</v>
      </c>
    </row>
    <row r="265" spans="1:12" x14ac:dyDescent="0.25">
      <c r="A265" t="s">
        <v>749</v>
      </c>
      <c r="B265" t="s">
        <v>750</v>
      </c>
      <c r="C265" t="s">
        <v>748</v>
      </c>
      <c r="D265">
        <v>36881</v>
      </c>
      <c r="E265">
        <v>0</v>
      </c>
      <c r="F265">
        <v>36881</v>
      </c>
      <c r="G265">
        <v>0</v>
      </c>
      <c r="H265">
        <v>0</v>
      </c>
      <c r="I265">
        <v>0</v>
      </c>
      <c r="J265" s="928">
        <v>0</v>
      </c>
      <c r="K265">
        <v>0</v>
      </c>
      <c r="L265">
        <v>0</v>
      </c>
    </row>
    <row r="266" spans="1:12" x14ac:dyDescent="0.25">
      <c r="A266" t="s">
        <v>809</v>
      </c>
      <c r="B266" t="s">
        <v>810</v>
      </c>
      <c r="C266" t="s">
        <v>808</v>
      </c>
      <c r="D266">
        <v>34433</v>
      </c>
      <c r="E266">
        <v>0</v>
      </c>
      <c r="F266">
        <v>23034</v>
      </c>
      <c r="G266">
        <v>3881</v>
      </c>
      <c r="H266">
        <v>7517</v>
      </c>
      <c r="I266">
        <v>0</v>
      </c>
      <c r="J266" s="928">
        <v>0</v>
      </c>
      <c r="K266">
        <v>0</v>
      </c>
      <c r="L266">
        <v>0</v>
      </c>
    </row>
    <row r="267" spans="1:12" x14ac:dyDescent="0.25">
      <c r="A267" t="s">
        <v>955</v>
      </c>
      <c r="B267" t="s">
        <v>956</v>
      </c>
      <c r="C267" t="s">
        <v>954</v>
      </c>
      <c r="D267">
        <v>47632</v>
      </c>
      <c r="E267">
        <v>0</v>
      </c>
      <c r="F267">
        <v>16719</v>
      </c>
      <c r="G267">
        <v>4000</v>
      </c>
      <c r="H267">
        <v>21986</v>
      </c>
      <c r="I267">
        <v>11870</v>
      </c>
      <c r="J267" s="928">
        <v>4112</v>
      </c>
      <c r="K267">
        <v>2377</v>
      </c>
      <c r="L267">
        <v>5381</v>
      </c>
    </row>
    <row r="268" spans="1:12" x14ac:dyDescent="0.25">
      <c r="A268" t="s">
        <v>988</v>
      </c>
      <c r="B268" t="s">
        <v>989</v>
      </c>
      <c r="C268" t="s">
        <v>987</v>
      </c>
      <c r="D268">
        <v>64979</v>
      </c>
      <c r="E268">
        <v>1713</v>
      </c>
      <c r="F268">
        <v>12588</v>
      </c>
      <c r="G268">
        <v>16071</v>
      </c>
      <c r="H268">
        <v>6137</v>
      </c>
      <c r="I268">
        <v>44351</v>
      </c>
      <c r="J268" s="928">
        <v>15881</v>
      </c>
      <c r="K268">
        <v>0</v>
      </c>
      <c r="L268">
        <v>28470</v>
      </c>
    </row>
    <row r="269" spans="1:12" x14ac:dyDescent="0.25">
      <c r="A269" t="s">
        <v>1049</v>
      </c>
      <c r="B269" t="s">
        <v>1050</v>
      </c>
      <c r="C269" t="s">
        <v>1048</v>
      </c>
      <c r="D269">
        <v>16326</v>
      </c>
      <c r="E269">
        <v>0</v>
      </c>
      <c r="F269">
        <v>16326</v>
      </c>
      <c r="G269">
        <v>0</v>
      </c>
      <c r="H269">
        <v>0</v>
      </c>
      <c r="I269">
        <v>3954</v>
      </c>
      <c r="J269" s="928">
        <v>3041</v>
      </c>
      <c r="K269">
        <v>913</v>
      </c>
      <c r="L269">
        <v>0</v>
      </c>
    </row>
    <row r="270" spans="1:12" x14ac:dyDescent="0.25">
      <c r="A270" t="s">
        <v>1058</v>
      </c>
      <c r="B270" t="s">
        <v>1059</v>
      </c>
      <c r="C270" t="s">
        <v>1057</v>
      </c>
      <c r="D270">
        <v>54000</v>
      </c>
      <c r="E270">
        <v>7115</v>
      </c>
      <c r="F270">
        <v>26154</v>
      </c>
      <c r="G270">
        <v>2567</v>
      </c>
      <c r="H270">
        <v>18164</v>
      </c>
      <c r="I270">
        <v>4069</v>
      </c>
      <c r="J270" s="928">
        <v>2989</v>
      </c>
      <c r="K270">
        <v>1080</v>
      </c>
      <c r="L270">
        <v>0</v>
      </c>
    </row>
    <row r="271" spans="1:12" x14ac:dyDescent="0.25">
      <c r="A271" t="s">
        <v>1242</v>
      </c>
      <c r="B271" t="s">
        <v>1243</v>
      </c>
      <c r="C271" t="s">
        <v>1241</v>
      </c>
      <c r="D271">
        <v>9306</v>
      </c>
      <c r="E271">
        <v>0</v>
      </c>
      <c r="F271">
        <v>9306</v>
      </c>
      <c r="G271">
        <v>0</v>
      </c>
      <c r="H271">
        <v>0</v>
      </c>
      <c r="I271">
        <v>0</v>
      </c>
      <c r="J271" s="928">
        <v>0</v>
      </c>
      <c r="K271">
        <v>0</v>
      </c>
      <c r="L271">
        <v>0</v>
      </c>
    </row>
    <row r="272" spans="1:12" x14ac:dyDescent="0.25">
      <c r="A272" t="s">
        <v>1302</v>
      </c>
      <c r="B272" t="s">
        <v>1303</v>
      </c>
      <c r="C272" t="s">
        <v>1301</v>
      </c>
      <c r="D272">
        <v>35779</v>
      </c>
      <c r="E272">
        <v>0</v>
      </c>
      <c r="F272">
        <v>26242</v>
      </c>
      <c r="G272">
        <v>5410</v>
      </c>
      <c r="H272">
        <v>4127</v>
      </c>
      <c r="I272">
        <v>2105</v>
      </c>
      <c r="J272" s="928">
        <v>1560</v>
      </c>
      <c r="K272">
        <v>545</v>
      </c>
      <c r="L272">
        <v>0</v>
      </c>
    </row>
    <row r="273" spans="1:12" x14ac:dyDescent="0.25">
      <c r="A273" t="s">
        <v>1317</v>
      </c>
      <c r="B273" t="s">
        <v>1318</v>
      </c>
      <c r="C273" t="s">
        <v>1316</v>
      </c>
      <c r="D273">
        <v>70464</v>
      </c>
      <c r="E273">
        <v>0</v>
      </c>
      <c r="F273">
        <v>0</v>
      </c>
      <c r="G273">
        <v>7673</v>
      </c>
      <c r="H273">
        <v>16520</v>
      </c>
      <c r="I273">
        <v>62833</v>
      </c>
      <c r="J273" s="928">
        <v>12433</v>
      </c>
      <c r="K273">
        <v>4129</v>
      </c>
      <c r="L273">
        <v>46271</v>
      </c>
    </row>
    <row r="274" spans="1:12" x14ac:dyDescent="0.25">
      <c r="A274" t="s">
        <v>1344</v>
      </c>
      <c r="B274" t="s">
        <v>1345</v>
      </c>
      <c r="C274" t="s">
        <v>1343</v>
      </c>
      <c r="D274">
        <v>142533</v>
      </c>
      <c r="E274">
        <v>7792</v>
      </c>
      <c r="F274">
        <v>13611</v>
      </c>
      <c r="G274">
        <v>47170</v>
      </c>
      <c r="H274">
        <v>0</v>
      </c>
      <c r="I274">
        <v>73960</v>
      </c>
      <c r="J274" s="928">
        <v>0</v>
      </c>
      <c r="K274">
        <v>0</v>
      </c>
      <c r="L274">
        <v>73960</v>
      </c>
    </row>
    <row r="275" spans="1:12" x14ac:dyDescent="0.25">
      <c r="A275" t="s">
        <v>321</v>
      </c>
      <c r="B275" t="s">
        <v>322</v>
      </c>
      <c r="C275" t="s">
        <v>320</v>
      </c>
      <c r="D275">
        <v>20056</v>
      </c>
      <c r="E275">
        <v>0</v>
      </c>
      <c r="F275">
        <v>19413</v>
      </c>
      <c r="G275">
        <v>643</v>
      </c>
      <c r="H275">
        <v>0</v>
      </c>
      <c r="I275">
        <v>0</v>
      </c>
      <c r="J275" s="928">
        <v>0</v>
      </c>
      <c r="K275">
        <v>0</v>
      </c>
      <c r="L275">
        <v>0</v>
      </c>
    </row>
    <row r="276" spans="1:12" x14ac:dyDescent="0.25">
      <c r="A276" t="s">
        <v>327</v>
      </c>
      <c r="B276" t="s">
        <v>328</v>
      </c>
      <c r="C276" t="s">
        <v>326</v>
      </c>
      <c r="D276">
        <v>130343</v>
      </c>
      <c r="E276">
        <v>0</v>
      </c>
      <c r="F276">
        <v>106607</v>
      </c>
      <c r="G276">
        <v>19939</v>
      </c>
      <c r="H276">
        <v>3797</v>
      </c>
      <c r="I276">
        <v>4783</v>
      </c>
      <c r="J276" s="928">
        <v>4783</v>
      </c>
      <c r="K276">
        <v>0</v>
      </c>
      <c r="L276">
        <v>0</v>
      </c>
    </row>
    <row r="277" spans="1:12" x14ac:dyDescent="0.25">
      <c r="A277" t="s">
        <v>865</v>
      </c>
      <c r="B277" t="s">
        <v>866</v>
      </c>
      <c r="C277" t="s">
        <v>864</v>
      </c>
      <c r="D277">
        <v>986</v>
      </c>
      <c r="E277">
        <v>0</v>
      </c>
      <c r="F277">
        <v>725</v>
      </c>
      <c r="G277">
        <v>75</v>
      </c>
      <c r="H277">
        <v>186</v>
      </c>
      <c r="I277">
        <v>0</v>
      </c>
      <c r="J277" s="928">
        <v>0</v>
      </c>
      <c r="K277">
        <v>0</v>
      </c>
      <c r="L277">
        <v>0</v>
      </c>
    </row>
    <row r="278" spans="1:12" x14ac:dyDescent="0.25">
      <c r="A278" t="s">
        <v>880</v>
      </c>
      <c r="B278" t="s">
        <v>881</v>
      </c>
      <c r="C278" t="s">
        <v>879</v>
      </c>
      <c r="D278">
        <v>4854</v>
      </c>
      <c r="E278">
        <v>0</v>
      </c>
      <c r="F278">
        <v>0</v>
      </c>
      <c r="G278">
        <v>0</v>
      </c>
      <c r="H278">
        <v>0</v>
      </c>
      <c r="I278">
        <v>1131</v>
      </c>
      <c r="J278" s="928">
        <v>904</v>
      </c>
      <c r="K278">
        <v>227</v>
      </c>
      <c r="L278">
        <v>0</v>
      </c>
    </row>
    <row r="279" spans="1:12" x14ac:dyDescent="0.25">
      <c r="A279" t="s">
        <v>496</v>
      </c>
      <c r="B279" t="s">
        <v>497</v>
      </c>
      <c r="C279" t="s">
        <v>495</v>
      </c>
      <c r="D279">
        <v>147094</v>
      </c>
      <c r="E279">
        <v>9466</v>
      </c>
      <c r="F279">
        <v>59767</v>
      </c>
      <c r="G279">
        <v>22923</v>
      </c>
      <c r="H279">
        <v>0</v>
      </c>
      <c r="I279">
        <v>60967</v>
      </c>
      <c r="J279" s="928">
        <v>4662</v>
      </c>
      <c r="K279">
        <v>1367</v>
      </c>
      <c r="L279">
        <v>54938</v>
      </c>
    </row>
    <row r="280" spans="1:12" x14ac:dyDescent="0.25">
      <c r="A280" t="s">
        <v>620</v>
      </c>
      <c r="B280" t="s">
        <v>621</v>
      </c>
      <c r="C280" t="s">
        <v>619</v>
      </c>
      <c r="D280">
        <v>31172</v>
      </c>
      <c r="E280">
        <v>6210</v>
      </c>
      <c r="F280">
        <v>17788</v>
      </c>
      <c r="G280">
        <v>615</v>
      </c>
      <c r="H280">
        <v>0</v>
      </c>
      <c r="I280">
        <v>14337</v>
      </c>
      <c r="J280" s="928">
        <v>6339</v>
      </c>
      <c r="K280">
        <v>1439</v>
      </c>
      <c r="L280">
        <v>6559</v>
      </c>
    </row>
    <row r="281" spans="1:12" x14ac:dyDescent="0.25">
      <c r="A281" t="s">
        <v>666</v>
      </c>
      <c r="B281" t="s">
        <v>667</v>
      </c>
      <c r="C281" t="s">
        <v>665</v>
      </c>
      <c r="D281">
        <v>389050</v>
      </c>
      <c r="E281">
        <v>2036</v>
      </c>
      <c r="F281">
        <v>104336</v>
      </c>
      <c r="G281">
        <v>62096</v>
      </c>
      <c r="H281">
        <v>207832</v>
      </c>
      <c r="I281">
        <v>20051</v>
      </c>
      <c r="J281" s="928">
        <v>6403</v>
      </c>
      <c r="K281">
        <v>898</v>
      </c>
      <c r="L281">
        <v>12750</v>
      </c>
    </row>
    <row r="282" spans="1:12" x14ac:dyDescent="0.25">
      <c r="A282" t="s">
        <v>614</v>
      </c>
      <c r="B282" t="s">
        <v>615</v>
      </c>
      <c r="C282" t="s">
        <v>613</v>
      </c>
      <c r="D282">
        <v>23367</v>
      </c>
      <c r="E282">
        <v>5580</v>
      </c>
      <c r="F282">
        <v>7916</v>
      </c>
      <c r="G282">
        <v>1163</v>
      </c>
      <c r="H282">
        <v>8708</v>
      </c>
      <c r="I282">
        <v>4831</v>
      </c>
      <c r="J282" s="928">
        <v>3201</v>
      </c>
      <c r="K282">
        <v>1630</v>
      </c>
      <c r="L282">
        <v>0</v>
      </c>
    </row>
    <row r="283" spans="1:12" x14ac:dyDescent="0.25">
      <c r="A283" t="s">
        <v>647</v>
      </c>
      <c r="B283" t="s">
        <v>648</v>
      </c>
      <c r="C283" t="s">
        <v>646</v>
      </c>
      <c r="D283">
        <v>31392</v>
      </c>
      <c r="E283">
        <v>1043</v>
      </c>
      <c r="F283">
        <v>15498</v>
      </c>
      <c r="G283">
        <v>4054</v>
      </c>
      <c r="H283">
        <v>10513</v>
      </c>
      <c r="I283">
        <v>13264</v>
      </c>
      <c r="J283" s="928">
        <v>9777</v>
      </c>
      <c r="K283">
        <v>3203</v>
      </c>
      <c r="L283">
        <v>284</v>
      </c>
    </row>
    <row r="284" spans="1:12" x14ac:dyDescent="0.25">
      <c r="A284" t="s">
        <v>1338</v>
      </c>
      <c r="B284" t="s">
        <v>1339</v>
      </c>
      <c r="C284" t="s">
        <v>1337</v>
      </c>
      <c r="D284">
        <v>69099</v>
      </c>
      <c r="E284">
        <v>2217</v>
      </c>
      <c r="F284">
        <v>32111</v>
      </c>
      <c r="G284">
        <v>11845</v>
      </c>
      <c r="H284">
        <v>22908</v>
      </c>
      <c r="I284">
        <v>16366</v>
      </c>
      <c r="J284" s="928">
        <v>11254</v>
      </c>
      <c r="K284">
        <v>5095</v>
      </c>
      <c r="L284">
        <v>17</v>
      </c>
    </row>
    <row r="285" spans="1:12" x14ac:dyDescent="0.25">
      <c r="A285" t="s">
        <v>264</v>
      </c>
      <c r="B285" t="s">
        <v>265</v>
      </c>
      <c r="C285" t="s">
        <v>263</v>
      </c>
      <c r="D285">
        <v>12926</v>
      </c>
      <c r="E285">
        <v>0</v>
      </c>
      <c r="F285">
        <v>5547</v>
      </c>
      <c r="G285">
        <v>7378</v>
      </c>
      <c r="H285">
        <v>0</v>
      </c>
      <c r="I285">
        <v>0</v>
      </c>
      <c r="J285" s="928">
        <v>0</v>
      </c>
      <c r="K285">
        <v>0</v>
      </c>
      <c r="L285">
        <v>0</v>
      </c>
    </row>
    <row r="286" spans="1:12" x14ac:dyDescent="0.25">
      <c r="A286" t="s">
        <v>599</v>
      </c>
      <c r="B286" t="s">
        <v>600</v>
      </c>
      <c r="C286" t="s">
        <v>598</v>
      </c>
      <c r="D286">
        <v>11144</v>
      </c>
      <c r="E286">
        <v>5358</v>
      </c>
      <c r="F286">
        <v>2564</v>
      </c>
      <c r="G286">
        <v>3173</v>
      </c>
      <c r="H286">
        <v>49</v>
      </c>
      <c r="I286">
        <v>3080</v>
      </c>
      <c r="J286" s="928">
        <v>2088</v>
      </c>
      <c r="K286">
        <v>992</v>
      </c>
      <c r="L286">
        <v>0</v>
      </c>
    </row>
    <row r="287" spans="1:12" x14ac:dyDescent="0.25">
      <c r="A287" t="s">
        <v>475</v>
      </c>
      <c r="B287" t="s">
        <v>476</v>
      </c>
      <c r="C287" t="s">
        <v>474</v>
      </c>
      <c r="D287">
        <v>10265</v>
      </c>
      <c r="E287">
        <v>0</v>
      </c>
      <c r="F287">
        <v>9403</v>
      </c>
      <c r="G287">
        <v>100</v>
      </c>
      <c r="H287">
        <v>1668</v>
      </c>
      <c r="I287">
        <v>1168</v>
      </c>
      <c r="J287" s="928">
        <v>1311</v>
      </c>
      <c r="K287">
        <v>763</v>
      </c>
      <c r="L287">
        <v>-906</v>
      </c>
    </row>
    <row r="288" spans="1:12" x14ac:dyDescent="0.25">
      <c r="A288" t="s">
        <v>530</v>
      </c>
      <c r="B288" t="s">
        <v>531</v>
      </c>
      <c r="C288" t="s">
        <v>529</v>
      </c>
      <c r="D288">
        <v>121294</v>
      </c>
      <c r="E288">
        <v>7263</v>
      </c>
      <c r="F288">
        <v>24513</v>
      </c>
      <c r="G288">
        <v>8876</v>
      </c>
      <c r="H288">
        <v>7227</v>
      </c>
      <c r="I288">
        <v>73415</v>
      </c>
      <c r="J288" s="928">
        <v>0</v>
      </c>
      <c r="K288">
        <v>0</v>
      </c>
      <c r="L288">
        <v>73415</v>
      </c>
    </row>
    <row r="289" spans="1:12" x14ac:dyDescent="0.25">
      <c r="A289" t="s">
        <v>391</v>
      </c>
      <c r="B289" t="s">
        <v>392</v>
      </c>
      <c r="C289" t="s">
        <v>390</v>
      </c>
      <c r="D289">
        <v>3873</v>
      </c>
      <c r="E289">
        <v>0</v>
      </c>
      <c r="F289">
        <v>1989</v>
      </c>
      <c r="G289">
        <v>1884</v>
      </c>
      <c r="H289">
        <v>0</v>
      </c>
      <c r="I289">
        <v>367</v>
      </c>
      <c r="J289" s="928">
        <v>262</v>
      </c>
      <c r="K289">
        <v>105</v>
      </c>
      <c r="L289">
        <v>0</v>
      </c>
    </row>
    <row r="290" spans="1:12" x14ac:dyDescent="0.25">
      <c r="A290" t="s">
        <v>590</v>
      </c>
      <c r="B290" t="s">
        <v>591</v>
      </c>
      <c r="C290" t="s">
        <v>589</v>
      </c>
      <c r="D290">
        <v>26937</v>
      </c>
      <c r="E290">
        <v>0</v>
      </c>
      <c r="F290">
        <v>16560</v>
      </c>
      <c r="G290">
        <v>2811</v>
      </c>
      <c r="H290">
        <v>7566</v>
      </c>
      <c r="I290">
        <v>4904</v>
      </c>
      <c r="J290" s="928">
        <v>3670</v>
      </c>
      <c r="K290">
        <v>1234</v>
      </c>
      <c r="L290">
        <v>0</v>
      </c>
    </row>
    <row r="291" spans="1:12" x14ac:dyDescent="0.25">
      <c r="A291" t="s">
        <v>791</v>
      </c>
      <c r="B291" t="s">
        <v>792</v>
      </c>
      <c r="C291" t="s">
        <v>790</v>
      </c>
      <c r="D291">
        <v>200380</v>
      </c>
      <c r="E291">
        <v>45928</v>
      </c>
      <c r="F291">
        <v>106579</v>
      </c>
      <c r="G291">
        <v>28842</v>
      </c>
      <c r="H291">
        <v>16749</v>
      </c>
      <c r="I291">
        <v>16794</v>
      </c>
      <c r="J291" s="928">
        <v>16794</v>
      </c>
      <c r="K291">
        <v>0</v>
      </c>
      <c r="L291">
        <v>0</v>
      </c>
    </row>
    <row r="292" spans="1:12" x14ac:dyDescent="0.25">
      <c r="A292" t="s">
        <v>306</v>
      </c>
      <c r="B292" t="s">
        <v>307</v>
      </c>
      <c r="C292" t="s">
        <v>305</v>
      </c>
      <c r="D292">
        <v>12139</v>
      </c>
      <c r="E292">
        <v>972</v>
      </c>
      <c r="F292">
        <v>5651</v>
      </c>
      <c r="G292">
        <v>1961</v>
      </c>
      <c r="H292">
        <v>1839</v>
      </c>
      <c r="I292">
        <v>3118</v>
      </c>
      <c r="J292" s="928">
        <v>1005</v>
      </c>
      <c r="K292">
        <v>397</v>
      </c>
      <c r="L292">
        <v>1716</v>
      </c>
    </row>
    <row r="293" spans="1:12" x14ac:dyDescent="0.25">
      <c r="A293" t="s">
        <v>77</v>
      </c>
      <c r="B293" t="s">
        <v>78</v>
      </c>
      <c r="C293" t="s">
        <v>76</v>
      </c>
      <c r="D293">
        <v>15300</v>
      </c>
      <c r="E293">
        <v>0</v>
      </c>
      <c r="F293">
        <v>6719</v>
      </c>
      <c r="G293">
        <v>5044</v>
      </c>
      <c r="H293">
        <v>3321</v>
      </c>
      <c r="I293">
        <v>1810</v>
      </c>
      <c r="J293" s="928">
        <v>1594</v>
      </c>
      <c r="K293">
        <v>0</v>
      </c>
      <c r="L293">
        <v>216</v>
      </c>
    </row>
    <row r="294" spans="1:12" x14ac:dyDescent="0.25">
      <c r="A294" t="s">
        <v>587</v>
      </c>
      <c r="B294" t="s">
        <v>588</v>
      </c>
      <c r="C294" t="s">
        <v>586</v>
      </c>
      <c r="D294">
        <v>16269</v>
      </c>
      <c r="E294">
        <v>0</v>
      </c>
      <c r="F294">
        <v>3877</v>
      </c>
      <c r="G294">
        <v>1451</v>
      </c>
      <c r="H294">
        <v>10941</v>
      </c>
      <c r="I294">
        <v>0</v>
      </c>
      <c r="J294" s="928">
        <v>0</v>
      </c>
      <c r="K294">
        <v>0</v>
      </c>
      <c r="L294">
        <v>0</v>
      </c>
    </row>
    <row r="295" spans="1:12" x14ac:dyDescent="0.25">
      <c r="A295" t="s">
        <v>291</v>
      </c>
      <c r="B295" t="s">
        <v>292</v>
      </c>
      <c r="C295" t="s">
        <v>290</v>
      </c>
      <c r="D295">
        <v>8495</v>
      </c>
      <c r="E295">
        <v>0</v>
      </c>
      <c r="F295">
        <v>5272</v>
      </c>
      <c r="G295">
        <v>680</v>
      </c>
      <c r="H295">
        <v>2543</v>
      </c>
      <c r="I295">
        <v>3281</v>
      </c>
      <c r="J295" s="928">
        <v>2647</v>
      </c>
      <c r="K295">
        <v>634</v>
      </c>
      <c r="L295">
        <v>0</v>
      </c>
    </row>
    <row r="296" spans="1:12" x14ac:dyDescent="0.25">
      <c r="A296" t="s">
        <v>224</v>
      </c>
      <c r="B296" t="s">
        <v>225</v>
      </c>
      <c r="C296" t="s">
        <v>223</v>
      </c>
      <c r="D296">
        <v>58938</v>
      </c>
      <c r="E296">
        <v>6398</v>
      </c>
      <c r="F296">
        <v>15856</v>
      </c>
      <c r="G296">
        <v>26232</v>
      </c>
      <c r="H296">
        <v>10452</v>
      </c>
      <c r="I296">
        <v>8696</v>
      </c>
      <c r="J296" s="928">
        <v>6361</v>
      </c>
      <c r="K296">
        <v>2335</v>
      </c>
      <c r="L296">
        <v>0</v>
      </c>
    </row>
    <row r="297" spans="1:12" x14ac:dyDescent="0.25">
      <c r="A297" t="s">
        <v>364</v>
      </c>
      <c r="B297" t="s">
        <v>365</v>
      </c>
      <c r="C297" t="s">
        <v>363</v>
      </c>
      <c r="D297">
        <v>42773</v>
      </c>
      <c r="E297">
        <v>0</v>
      </c>
      <c r="F297">
        <v>8117</v>
      </c>
      <c r="G297">
        <v>0</v>
      </c>
      <c r="H297">
        <v>0</v>
      </c>
      <c r="I297">
        <v>34656</v>
      </c>
      <c r="J297" s="928">
        <v>0</v>
      </c>
      <c r="K297">
        <v>0</v>
      </c>
      <c r="L297">
        <v>34656</v>
      </c>
    </row>
    <row r="298" spans="1:12" x14ac:dyDescent="0.25">
      <c r="A298" t="s">
        <v>1079</v>
      </c>
      <c r="B298" t="s">
        <v>1080</v>
      </c>
      <c r="C298" t="s">
        <v>1078</v>
      </c>
      <c r="D298">
        <v>63935</v>
      </c>
      <c r="E298">
        <v>0</v>
      </c>
      <c r="F298">
        <v>0</v>
      </c>
      <c r="G298">
        <v>0</v>
      </c>
      <c r="H298">
        <v>0</v>
      </c>
      <c r="I298">
        <v>0</v>
      </c>
      <c r="J298" s="928">
        <v>0</v>
      </c>
      <c r="K298">
        <v>0</v>
      </c>
      <c r="L298">
        <v>0</v>
      </c>
    </row>
    <row r="299" spans="1:12" x14ac:dyDescent="0.25">
      <c r="A299" t="s">
        <v>379</v>
      </c>
      <c r="B299" t="s">
        <v>380</v>
      </c>
      <c r="C299" t="s">
        <v>378</v>
      </c>
      <c r="D299">
        <v>5300</v>
      </c>
      <c r="E299">
        <v>0</v>
      </c>
      <c r="F299">
        <v>1072</v>
      </c>
      <c r="G299">
        <v>0</v>
      </c>
      <c r="H299">
        <v>0</v>
      </c>
      <c r="I299">
        <v>5300</v>
      </c>
      <c r="J299" s="928">
        <v>0</v>
      </c>
      <c r="K299">
        <v>0</v>
      </c>
      <c r="L299">
        <v>5300</v>
      </c>
    </row>
    <row r="300" spans="1:12" x14ac:dyDescent="0.25">
      <c r="A300" t="s">
        <v>1085</v>
      </c>
      <c r="B300" t="s">
        <v>1086</v>
      </c>
      <c r="C300" t="s">
        <v>1084</v>
      </c>
      <c r="D300">
        <v>50325</v>
      </c>
      <c r="E300">
        <v>0</v>
      </c>
      <c r="F300">
        <v>27766</v>
      </c>
      <c r="G300">
        <v>14544</v>
      </c>
      <c r="H300">
        <v>3000</v>
      </c>
      <c r="I300">
        <v>12922</v>
      </c>
      <c r="J300" s="928">
        <v>7907</v>
      </c>
      <c r="K300">
        <v>0</v>
      </c>
      <c r="L300">
        <v>5015</v>
      </c>
    </row>
    <row r="301" spans="1:12" x14ac:dyDescent="0.25">
      <c r="A301" t="s">
        <v>572</v>
      </c>
      <c r="B301" t="s">
        <v>573</v>
      </c>
      <c r="C301" t="s">
        <v>571</v>
      </c>
      <c r="D301">
        <v>8658</v>
      </c>
      <c r="E301">
        <v>1941</v>
      </c>
      <c r="F301">
        <v>191</v>
      </c>
      <c r="G301">
        <v>653</v>
      </c>
      <c r="H301">
        <v>5075</v>
      </c>
      <c r="I301">
        <v>5566</v>
      </c>
      <c r="J301" s="928">
        <v>4009</v>
      </c>
      <c r="K301">
        <v>759</v>
      </c>
      <c r="L301">
        <v>798</v>
      </c>
    </row>
    <row r="302" spans="1:12" x14ac:dyDescent="0.25">
      <c r="A302" t="s">
        <v>859</v>
      </c>
      <c r="B302" t="s">
        <v>860</v>
      </c>
      <c r="C302" t="s">
        <v>5440</v>
      </c>
      <c r="D302">
        <v>3044</v>
      </c>
      <c r="E302">
        <v>0</v>
      </c>
      <c r="F302">
        <v>2794</v>
      </c>
      <c r="G302">
        <v>250</v>
      </c>
      <c r="H302">
        <v>0</v>
      </c>
      <c r="I302">
        <v>667</v>
      </c>
      <c r="J302" s="928">
        <v>494</v>
      </c>
      <c r="K302">
        <v>173</v>
      </c>
      <c r="L302">
        <v>0</v>
      </c>
    </row>
    <row r="303" spans="1:12" x14ac:dyDescent="0.25">
      <c r="A303" t="s">
        <v>851</v>
      </c>
      <c r="B303" t="s">
        <v>852</v>
      </c>
      <c r="C303" t="s">
        <v>850</v>
      </c>
      <c r="D303">
        <v>6315</v>
      </c>
      <c r="E303">
        <v>0</v>
      </c>
      <c r="F303">
        <v>4556</v>
      </c>
      <c r="G303">
        <v>1759</v>
      </c>
      <c r="H303">
        <v>0</v>
      </c>
      <c r="I303">
        <v>926</v>
      </c>
      <c r="J303" s="928">
        <v>761</v>
      </c>
      <c r="K303">
        <v>165</v>
      </c>
      <c r="L303">
        <v>0</v>
      </c>
    </row>
    <row r="304" spans="1:12" x14ac:dyDescent="0.25">
      <c r="A304" t="s">
        <v>1127</v>
      </c>
      <c r="B304" t="s">
        <v>1128</v>
      </c>
      <c r="C304" t="s">
        <v>1126</v>
      </c>
      <c r="D304">
        <v>166378</v>
      </c>
      <c r="E304">
        <v>6431</v>
      </c>
      <c r="F304">
        <v>108963</v>
      </c>
      <c r="G304">
        <v>16383</v>
      </c>
      <c r="H304">
        <v>34601</v>
      </c>
      <c r="I304">
        <v>8202</v>
      </c>
      <c r="J304" s="928">
        <v>8202</v>
      </c>
      <c r="K304">
        <v>0</v>
      </c>
      <c r="L304">
        <v>0</v>
      </c>
    </row>
    <row r="305" spans="1:12" x14ac:dyDescent="0.25">
      <c r="A305" t="s">
        <v>1094</v>
      </c>
      <c r="B305" t="s">
        <v>1095</v>
      </c>
      <c r="C305" t="s">
        <v>1093</v>
      </c>
      <c r="D305">
        <v>16111</v>
      </c>
      <c r="E305">
        <v>5497</v>
      </c>
      <c r="F305">
        <v>7130</v>
      </c>
      <c r="G305">
        <v>1800</v>
      </c>
      <c r="H305">
        <v>1684</v>
      </c>
      <c r="I305">
        <v>0</v>
      </c>
      <c r="J305" s="928">
        <v>0</v>
      </c>
      <c r="K305">
        <v>0</v>
      </c>
      <c r="L305">
        <v>0</v>
      </c>
    </row>
    <row r="306" spans="1:12" x14ac:dyDescent="0.25">
      <c r="A306" t="s">
        <v>120</v>
      </c>
      <c r="B306" t="s">
        <v>121</v>
      </c>
      <c r="C306" t="s">
        <v>119</v>
      </c>
      <c r="D306">
        <v>44776</v>
      </c>
      <c r="E306">
        <v>0</v>
      </c>
      <c r="F306">
        <v>17312</v>
      </c>
      <c r="G306">
        <v>21581</v>
      </c>
      <c r="H306">
        <v>0</v>
      </c>
      <c r="I306">
        <v>5883</v>
      </c>
      <c r="J306" s="928">
        <v>0</v>
      </c>
      <c r="K306">
        <v>0</v>
      </c>
      <c r="L306">
        <v>5883</v>
      </c>
    </row>
    <row r="307" spans="1:12" x14ac:dyDescent="0.25">
      <c r="A307" t="s">
        <v>704</v>
      </c>
      <c r="B307" t="s">
        <v>705</v>
      </c>
      <c r="C307" t="s">
        <v>703</v>
      </c>
      <c r="D307">
        <v>10230</v>
      </c>
      <c r="E307">
        <v>431</v>
      </c>
      <c r="F307">
        <v>4669</v>
      </c>
      <c r="G307">
        <v>1624</v>
      </c>
      <c r="H307">
        <v>3506</v>
      </c>
      <c r="I307">
        <v>3930</v>
      </c>
      <c r="J307" s="928">
        <v>3930</v>
      </c>
      <c r="K307">
        <v>0</v>
      </c>
      <c r="L307">
        <v>0</v>
      </c>
    </row>
    <row r="308" spans="1:12" x14ac:dyDescent="0.25">
      <c r="A308" t="s">
        <v>672</v>
      </c>
      <c r="B308" t="s">
        <v>673</v>
      </c>
      <c r="C308" t="s">
        <v>671</v>
      </c>
      <c r="D308">
        <v>14830</v>
      </c>
      <c r="E308">
        <v>0</v>
      </c>
      <c r="F308">
        <v>2580</v>
      </c>
      <c r="G308">
        <v>0</v>
      </c>
      <c r="H308">
        <v>8056</v>
      </c>
      <c r="I308">
        <v>4195</v>
      </c>
      <c r="J308" s="928">
        <v>0</v>
      </c>
      <c r="K308">
        <v>0</v>
      </c>
      <c r="L308">
        <v>4195</v>
      </c>
    </row>
    <row r="309" spans="1:12" x14ac:dyDescent="0.25">
      <c r="A309" t="s">
        <v>1000</v>
      </c>
      <c r="B309" t="s">
        <v>1001</v>
      </c>
      <c r="C309" t="s">
        <v>999</v>
      </c>
      <c r="D309">
        <v>64636</v>
      </c>
      <c r="E309">
        <v>0</v>
      </c>
      <c r="F309">
        <v>53389</v>
      </c>
      <c r="G309">
        <v>0</v>
      </c>
      <c r="H309">
        <v>9893</v>
      </c>
      <c r="I309">
        <v>14415</v>
      </c>
      <c r="J309" s="928">
        <v>10571</v>
      </c>
      <c r="K309">
        <v>2490</v>
      </c>
      <c r="L309">
        <v>1354</v>
      </c>
    </row>
    <row r="310" spans="1:12" x14ac:dyDescent="0.25">
      <c r="A310" t="s">
        <v>376</v>
      </c>
      <c r="B310" t="s">
        <v>377</v>
      </c>
      <c r="C310" t="s">
        <v>375</v>
      </c>
      <c r="D310">
        <v>19249</v>
      </c>
      <c r="E310">
        <v>0</v>
      </c>
      <c r="F310">
        <v>7652</v>
      </c>
      <c r="G310">
        <v>2041</v>
      </c>
      <c r="H310">
        <v>6634</v>
      </c>
      <c r="I310">
        <v>4084</v>
      </c>
      <c r="J310" s="928">
        <v>1162</v>
      </c>
      <c r="K310">
        <v>0</v>
      </c>
      <c r="L310">
        <v>2922</v>
      </c>
    </row>
    <row r="311" spans="1:12" x14ac:dyDescent="0.25">
      <c r="A311" t="s">
        <v>388</v>
      </c>
      <c r="B311" t="s">
        <v>389</v>
      </c>
      <c r="C311" t="s">
        <v>387</v>
      </c>
      <c r="D311">
        <v>219827</v>
      </c>
      <c r="E311">
        <v>0</v>
      </c>
      <c r="F311">
        <v>158065</v>
      </c>
      <c r="G311">
        <v>14479</v>
      </c>
      <c r="H311">
        <v>25162</v>
      </c>
      <c r="I311">
        <v>31287</v>
      </c>
      <c r="J311" s="928">
        <v>9166</v>
      </c>
      <c r="K311">
        <v>0</v>
      </c>
      <c r="L311">
        <v>22121</v>
      </c>
    </row>
    <row r="312" spans="1:12" x14ac:dyDescent="0.25">
      <c r="A312" t="s">
        <v>1009</v>
      </c>
      <c r="B312" t="s">
        <v>1010</v>
      </c>
      <c r="C312" t="s">
        <v>1008</v>
      </c>
      <c r="D312">
        <v>75871</v>
      </c>
      <c r="E312">
        <v>275</v>
      </c>
      <c r="F312">
        <v>61119</v>
      </c>
      <c r="G312">
        <v>14246</v>
      </c>
      <c r="H312">
        <v>231</v>
      </c>
      <c r="I312">
        <v>25938</v>
      </c>
      <c r="J312" s="928">
        <v>21581</v>
      </c>
      <c r="K312">
        <v>4357</v>
      </c>
      <c r="L312">
        <v>0</v>
      </c>
    </row>
    <row r="313" spans="1:12" x14ac:dyDescent="0.25">
      <c r="A313" t="s">
        <v>1329</v>
      </c>
      <c r="B313" t="s">
        <v>1330</v>
      </c>
      <c r="C313" t="s">
        <v>1328</v>
      </c>
      <c r="D313">
        <v>67861</v>
      </c>
      <c r="E313">
        <v>2484</v>
      </c>
      <c r="F313">
        <v>34939</v>
      </c>
      <c r="G313">
        <v>11085</v>
      </c>
      <c r="H313">
        <v>19353</v>
      </c>
      <c r="I313">
        <v>11794</v>
      </c>
      <c r="J313" s="928">
        <v>11794</v>
      </c>
      <c r="K313">
        <v>0</v>
      </c>
      <c r="L313">
        <v>0</v>
      </c>
    </row>
    <row r="314" spans="1:12" x14ac:dyDescent="0.25">
      <c r="A314" t="s">
        <v>943</v>
      </c>
      <c r="B314" t="s">
        <v>944</v>
      </c>
      <c r="C314" t="s">
        <v>942</v>
      </c>
      <c r="D314">
        <v>183093</v>
      </c>
      <c r="E314">
        <v>0</v>
      </c>
      <c r="F314">
        <v>48863</v>
      </c>
      <c r="G314">
        <v>59625</v>
      </c>
      <c r="H314">
        <v>27660</v>
      </c>
      <c r="I314">
        <v>55357</v>
      </c>
      <c r="J314" s="928">
        <v>8410</v>
      </c>
      <c r="K314">
        <v>0</v>
      </c>
      <c r="L314">
        <v>46947</v>
      </c>
    </row>
    <row r="315" spans="1:12" x14ac:dyDescent="0.25">
      <c r="A315" t="s">
        <v>400</v>
      </c>
      <c r="B315" t="s">
        <v>401</v>
      </c>
      <c r="C315" t="s">
        <v>399</v>
      </c>
      <c r="D315">
        <v>22508</v>
      </c>
      <c r="E315">
        <v>0</v>
      </c>
      <c r="F315">
        <v>14376</v>
      </c>
      <c r="G315">
        <v>0</v>
      </c>
      <c r="H315">
        <v>8131</v>
      </c>
      <c r="I315">
        <v>1457</v>
      </c>
      <c r="J315" s="928">
        <v>1457</v>
      </c>
      <c r="K315">
        <v>0</v>
      </c>
      <c r="L315">
        <v>0</v>
      </c>
    </row>
    <row r="316" spans="1:12" x14ac:dyDescent="0.25">
      <c r="A316" t="s">
        <v>1272</v>
      </c>
      <c r="B316" t="s">
        <v>1273</v>
      </c>
      <c r="C316" t="s">
        <v>1271</v>
      </c>
      <c r="D316">
        <v>11731</v>
      </c>
      <c r="E316">
        <v>0</v>
      </c>
      <c r="F316">
        <v>4778</v>
      </c>
      <c r="G316">
        <v>4039</v>
      </c>
      <c r="H316">
        <v>2177</v>
      </c>
      <c r="I316">
        <v>0</v>
      </c>
      <c r="J316" s="928">
        <v>0</v>
      </c>
      <c r="K316">
        <v>0</v>
      </c>
      <c r="L316">
        <v>0</v>
      </c>
    </row>
    <row r="317" spans="1:12" x14ac:dyDescent="0.25">
      <c r="A317" t="s">
        <v>1308</v>
      </c>
      <c r="B317" t="s">
        <v>1309</v>
      </c>
      <c r="C317" t="s">
        <v>1307</v>
      </c>
      <c r="D317">
        <v>18637</v>
      </c>
      <c r="E317">
        <v>0</v>
      </c>
      <c r="F317">
        <v>0</v>
      </c>
      <c r="G317">
        <v>5260</v>
      </c>
      <c r="H317">
        <v>9575</v>
      </c>
      <c r="I317">
        <v>3803</v>
      </c>
      <c r="J317" s="928">
        <v>0</v>
      </c>
      <c r="K317">
        <v>0</v>
      </c>
      <c r="L317">
        <v>3803</v>
      </c>
    </row>
    <row r="318" spans="1:12" x14ac:dyDescent="0.25">
      <c r="A318" t="s">
        <v>107</v>
      </c>
      <c r="B318" t="s">
        <v>108</v>
      </c>
      <c r="C318" t="s">
        <v>106</v>
      </c>
      <c r="D318">
        <v>191547</v>
      </c>
      <c r="E318">
        <v>23592</v>
      </c>
      <c r="F318">
        <v>163155</v>
      </c>
      <c r="G318">
        <v>0</v>
      </c>
      <c r="H318">
        <v>4800</v>
      </c>
      <c r="I318">
        <v>5580</v>
      </c>
      <c r="J318" s="928">
        <v>3654</v>
      </c>
      <c r="K318">
        <v>1926</v>
      </c>
      <c r="L318">
        <v>0</v>
      </c>
    </row>
    <row r="319" spans="1:12" x14ac:dyDescent="0.25">
      <c r="A319" t="s">
        <v>1215</v>
      </c>
      <c r="B319" t="s">
        <v>1216</v>
      </c>
      <c r="C319" t="s">
        <v>1214</v>
      </c>
      <c r="D319">
        <v>18644</v>
      </c>
      <c r="E319">
        <v>0</v>
      </c>
      <c r="F319">
        <v>17583</v>
      </c>
      <c r="G319">
        <v>0</v>
      </c>
      <c r="H319">
        <v>1060</v>
      </c>
      <c r="I319">
        <v>3663</v>
      </c>
      <c r="J319" s="928">
        <v>2698</v>
      </c>
      <c r="K319">
        <v>965</v>
      </c>
      <c r="L319">
        <v>0</v>
      </c>
    </row>
    <row r="320" spans="1:12" x14ac:dyDescent="0.25">
      <c r="A320" t="s">
        <v>1230</v>
      </c>
      <c r="B320" t="s">
        <v>1231</v>
      </c>
      <c r="C320" t="s">
        <v>1229</v>
      </c>
      <c r="D320">
        <v>241361</v>
      </c>
      <c r="E320">
        <v>1482</v>
      </c>
      <c r="F320">
        <v>19557</v>
      </c>
      <c r="G320">
        <v>79860</v>
      </c>
      <c r="H320">
        <v>102291</v>
      </c>
      <c r="I320">
        <v>38171</v>
      </c>
      <c r="J320" s="928">
        <v>0</v>
      </c>
      <c r="K320">
        <v>0</v>
      </c>
      <c r="L320">
        <v>38171</v>
      </c>
    </row>
    <row r="321" spans="1:12" x14ac:dyDescent="0.25">
      <c r="A321" t="s">
        <v>285</v>
      </c>
      <c r="B321" t="s">
        <v>286</v>
      </c>
      <c r="C321" t="s">
        <v>284</v>
      </c>
      <c r="D321">
        <v>12491</v>
      </c>
      <c r="E321">
        <v>528</v>
      </c>
      <c r="F321">
        <v>4987</v>
      </c>
      <c r="G321">
        <v>2054</v>
      </c>
      <c r="H321">
        <v>4922</v>
      </c>
      <c r="I321">
        <v>3679</v>
      </c>
      <c r="J321" s="928">
        <v>2692</v>
      </c>
      <c r="K321">
        <v>987</v>
      </c>
      <c r="L321">
        <v>0</v>
      </c>
    </row>
    <row r="322" spans="1:12" x14ac:dyDescent="0.25">
      <c r="A322" t="s">
        <v>155</v>
      </c>
      <c r="B322" t="s">
        <v>156</v>
      </c>
      <c r="C322" t="s">
        <v>154</v>
      </c>
      <c r="D322">
        <v>63574</v>
      </c>
      <c r="E322">
        <v>15571</v>
      </c>
      <c r="F322">
        <v>15256</v>
      </c>
      <c r="G322">
        <v>24486</v>
      </c>
      <c r="H322">
        <v>8261</v>
      </c>
      <c r="I322">
        <v>10208</v>
      </c>
      <c r="J322" s="928">
        <v>9030</v>
      </c>
      <c r="K322">
        <v>1178</v>
      </c>
      <c r="L322">
        <v>0</v>
      </c>
    </row>
    <row r="323" spans="1:12" x14ac:dyDescent="0.25">
      <c r="A323" t="s">
        <v>1160</v>
      </c>
      <c r="B323" t="s">
        <v>1161</v>
      </c>
      <c r="C323" t="s">
        <v>1159</v>
      </c>
      <c r="D323">
        <v>62067</v>
      </c>
      <c r="E323">
        <v>0</v>
      </c>
      <c r="F323">
        <v>62067</v>
      </c>
      <c r="G323">
        <v>0</v>
      </c>
      <c r="H323">
        <v>0</v>
      </c>
      <c r="I323">
        <v>0</v>
      </c>
      <c r="J323" s="928">
        <v>0</v>
      </c>
      <c r="K323">
        <v>0</v>
      </c>
      <c r="L323">
        <v>0</v>
      </c>
    </row>
    <row r="324" spans="1:12" x14ac:dyDescent="0.25">
      <c r="A324" t="s">
        <v>964</v>
      </c>
      <c r="B324" t="s">
        <v>965</v>
      </c>
      <c r="C324" t="s">
        <v>963</v>
      </c>
      <c r="D324">
        <v>24440</v>
      </c>
      <c r="E324">
        <v>3406</v>
      </c>
      <c r="F324">
        <v>4708</v>
      </c>
      <c r="G324">
        <v>449</v>
      </c>
      <c r="H324">
        <v>4294</v>
      </c>
      <c r="I324">
        <v>13322</v>
      </c>
      <c r="J324" s="928">
        <v>1739</v>
      </c>
      <c r="K324">
        <v>0</v>
      </c>
      <c r="L324">
        <v>11583</v>
      </c>
    </row>
    <row r="325" spans="1:12" x14ac:dyDescent="0.25">
      <c r="A325" t="s">
        <v>653</v>
      </c>
      <c r="B325" t="s">
        <v>654</v>
      </c>
      <c r="C325" t="s">
        <v>652</v>
      </c>
      <c r="D325">
        <v>125075</v>
      </c>
      <c r="E325">
        <v>2303</v>
      </c>
      <c r="F325">
        <v>49273</v>
      </c>
      <c r="G325">
        <v>23212</v>
      </c>
      <c r="H325">
        <v>37146</v>
      </c>
      <c r="I325">
        <v>27952</v>
      </c>
      <c r="J325" s="928">
        <v>14811</v>
      </c>
      <c r="K325">
        <v>0</v>
      </c>
      <c r="L325">
        <v>13141</v>
      </c>
    </row>
    <row r="326" spans="1:12" x14ac:dyDescent="0.25">
      <c r="A326" t="s">
        <v>1239</v>
      </c>
      <c r="B326" t="s">
        <v>1240</v>
      </c>
      <c r="C326" t="s">
        <v>1238</v>
      </c>
      <c r="D326">
        <v>172395</v>
      </c>
      <c r="E326">
        <v>14179</v>
      </c>
      <c r="F326">
        <v>59827</v>
      </c>
      <c r="G326">
        <v>13678</v>
      </c>
      <c r="H326">
        <v>84711</v>
      </c>
      <c r="I326">
        <v>5597</v>
      </c>
      <c r="J326" s="928">
        <v>4049</v>
      </c>
      <c r="K326">
        <v>1548</v>
      </c>
      <c r="L326">
        <v>0</v>
      </c>
    </row>
    <row r="327" spans="1:12" x14ac:dyDescent="0.25">
      <c r="A327" t="s">
        <v>770</v>
      </c>
      <c r="B327" t="s">
        <v>771</v>
      </c>
      <c r="C327" t="s">
        <v>769</v>
      </c>
      <c r="D327">
        <v>91308</v>
      </c>
      <c r="E327">
        <v>0</v>
      </c>
      <c r="F327">
        <v>71855</v>
      </c>
      <c r="G327">
        <v>14943</v>
      </c>
      <c r="H327">
        <v>0</v>
      </c>
      <c r="I327">
        <v>23338</v>
      </c>
      <c r="J327" s="928">
        <v>18828</v>
      </c>
      <c r="K327">
        <v>0</v>
      </c>
      <c r="L327">
        <v>4510</v>
      </c>
    </row>
    <row r="328" spans="1:12" x14ac:dyDescent="0.25">
      <c r="A328" t="s">
        <v>91</v>
      </c>
      <c r="B328" t="s">
        <v>92</v>
      </c>
      <c r="C328" t="s">
        <v>90</v>
      </c>
      <c r="D328">
        <v>18403</v>
      </c>
      <c r="E328">
        <v>1240</v>
      </c>
      <c r="F328">
        <v>13358</v>
      </c>
      <c r="G328">
        <v>708</v>
      </c>
      <c r="H328">
        <v>3097</v>
      </c>
      <c r="I328">
        <v>1318</v>
      </c>
      <c r="J328" s="928">
        <v>1028</v>
      </c>
      <c r="K328">
        <v>290</v>
      </c>
      <c r="L328">
        <v>0</v>
      </c>
    </row>
    <row r="329" spans="1:12" x14ac:dyDescent="0.25">
      <c r="A329" t="s">
        <v>997</v>
      </c>
      <c r="B329" t="s">
        <v>998</v>
      </c>
      <c r="C329" t="s">
        <v>996</v>
      </c>
      <c r="D329">
        <v>291565</v>
      </c>
      <c r="E329">
        <v>34127</v>
      </c>
      <c r="F329">
        <v>86798</v>
      </c>
      <c r="G329">
        <v>142197</v>
      </c>
      <c r="H329">
        <v>28443</v>
      </c>
      <c r="I329">
        <v>28434</v>
      </c>
      <c r="J329" s="928">
        <v>22491</v>
      </c>
      <c r="K329">
        <v>5943</v>
      </c>
      <c r="L329">
        <v>0</v>
      </c>
    </row>
    <row r="330" spans="1:12" x14ac:dyDescent="0.25">
      <c r="A330" t="s">
        <v>472</v>
      </c>
      <c r="B330" t="s">
        <v>473</v>
      </c>
      <c r="C330" t="s">
        <v>471</v>
      </c>
      <c r="D330">
        <v>8459</v>
      </c>
      <c r="E330">
        <v>1240</v>
      </c>
      <c r="F330">
        <v>4233</v>
      </c>
      <c r="G330">
        <v>361</v>
      </c>
      <c r="H330">
        <v>2625</v>
      </c>
      <c r="I330">
        <v>5248</v>
      </c>
      <c r="J330" s="928">
        <v>4192</v>
      </c>
      <c r="K330">
        <v>1056</v>
      </c>
      <c r="L330">
        <v>0</v>
      </c>
    </row>
    <row r="331" spans="1:12" x14ac:dyDescent="0.25">
      <c r="A331" t="s">
        <v>1290</v>
      </c>
      <c r="B331" t="s">
        <v>1291</v>
      </c>
      <c r="C331" t="s">
        <v>1289</v>
      </c>
      <c r="D331">
        <v>12589</v>
      </c>
      <c r="E331">
        <v>0</v>
      </c>
      <c r="F331">
        <v>12589</v>
      </c>
      <c r="G331">
        <v>0</v>
      </c>
      <c r="H331">
        <v>0</v>
      </c>
      <c r="I331">
        <v>5212</v>
      </c>
      <c r="J331" s="928">
        <v>5212</v>
      </c>
      <c r="K331">
        <v>0</v>
      </c>
      <c r="L331">
        <v>0</v>
      </c>
    </row>
    <row r="332" spans="1:12" x14ac:dyDescent="0.25">
      <c r="A332" t="s">
        <v>436</v>
      </c>
      <c r="B332" t="s">
        <v>437</v>
      </c>
      <c r="C332" t="s">
        <v>435</v>
      </c>
      <c r="D332">
        <v>46273</v>
      </c>
      <c r="E332">
        <v>0</v>
      </c>
      <c r="F332">
        <v>27566</v>
      </c>
      <c r="G332">
        <v>111</v>
      </c>
      <c r="H332">
        <v>11911</v>
      </c>
      <c r="I332">
        <v>13420</v>
      </c>
      <c r="J332" s="928">
        <v>5458</v>
      </c>
      <c r="K332">
        <v>1277</v>
      </c>
      <c r="L332">
        <v>6685</v>
      </c>
    </row>
    <row r="333" spans="1:12" x14ac:dyDescent="0.25">
      <c r="A333" t="s">
        <v>1323</v>
      </c>
      <c r="B333" t="s">
        <v>1324</v>
      </c>
      <c r="C333" t="s">
        <v>1322</v>
      </c>
      <c r="D333">
        <v>49851</v>
      </c>
      <c r="E333">
        <v>3211</v>
      </c>
      <c r="F333">
        <v>27650</v>
      </c>
      <c r="G333">
        <v>2039</v>
      </c>
      <c r="H333">
        <v>5090</v>
      </c>
      <c r="I333">
        <v>19429</v>
      </c>
      <c r="J333" s="928">
        <v>6015</v>
      </c>
      <c r="K333">
        <v>1553</v>
      </c>
      <c r="L333">
        <v>11861</v>
      </c>
    </row>
    <row r="334" spans="1:12" x14ac:dyDescent="0.25">
      <c r="A334" t="s">
        <v>1121</v>
      </c>
      <c r="B334" t="s">
        <v>1122</v>
      </c>
      <c r="C334" t="s">
        <v>1120</v>
      </c>
      <c r="D334">
        <v>69402</v>
      </c>
      <c r="E334">
        <v>0</v>
      </c>
      <c r="F334">
        <v>69402</v>
      </c>
      <c r="G334">
        <v>0</v>
      </c>
      <c r="H334">
        <v>0</v>
      </c>
      <c r="I334">
        <v>6008</v>
      </c>
      <c r="J334" s="928">
        <v>4350</v>
      </c>
      <c r="K334">
        <v>1658</v>
      </c>
      <c r="L334">
        <v>0</v>
      </c>
    </row>
    <row r="335" spans="1:12" x14ac:dyDescent="0.25">
      <c r="A335" t="s">
        <v>164</v>
      </c>
      <c r="B335" t="s">
        <v>165</v>
      </c>
      <c r="C335" t="s">
        <v>163</v>
      </c>
      <c r="D335">
        <v>29414</v>
      </c>
      <c r="E335">
        <v>0</v>
      </c>
      <c r="F335">
        <v>7072</v>
      </c>
      <c r="G335">
        <v>1427</v>
      </c>
      <c r="H335">
        <v>6310</v>
      </c>
      <c r="I335">
        <v>17080</v>
      </c>
      <c r="J335" s="928">
        <v>1956</v>
      </c>
      <c r="K335">
        <v>519</v>
      </c>
      <c r="L335">
        <v>14605</v>
      </c>
    </row>
    <row r="336" spans="1:12" x14ac:dyDescent="0.25">
      <c r="A336" t="s">
        <v>1233</v>
      </c>
      <c r="B336" t="s">
        <v>1234</v>
      </c>
      <c r="C336" t="s">
        <v>1232</v>
      </c>
      <c r="D336">
        <v>93013</v>
      </c>
      <c r="E336">
        <v>0</v>
      </c>
      <c r="F336">
        <v>0</v>
      </c>
      <c r="G336">
        <v>59398</v>
      </c>
      <c r="H336">
        <v>14084</v>
      </c>
      <c r="I336">
        <v>32138</v>
      </c>
      <c r="J336" s="928">
        <v>9993</v>
      </c>
      <c r="K336">
        <v>2614</v>
      </c>
      <c r="L336">
        <v>19531</v>
      </c>
    </row>
    <row r="337" spans="1:12" x14ac:dyDescent="0.25">
      <c r="A337" t="s">
        <v>212</v>
      </c>
      <c r="B337" t="s">
        <v>213</v>
      </c>
      <c r="C337" t="s">
        <v>5465</v>
      </c>
      <c r="D337">
        <v>244798</v>
      </c>
      <c r="E337">
        <v>0</v>
      </c>
      <c r="F337">
        <v>163180</v>
      </c>
      <c r="G337">
        <v>18377</v>
      </c>
      <c r="H337">
        <v>63241</v>
      </c>
      <c r="I337">
        <v>0</v>
      </c>
      <c r="J337" s="928">
        <v>0</v>
      </c>
      <c r="K337">
        <v>0</v>
      </c>
      <c r="L337">
        <v>0</v>
      </c>
    </row>
    <row r="338" spans="1:12" x14ac:dyDescent="0.25">
      <c r="A338" t="s">
        <v>324</v>
      </c>
      <c r="B338" t="s">
        <v>325</v>
      </c>
      <c r="C338" t="s">
        <v>323</v>
      </c>
      <c r="D338">
        <v>127265</v>
      </c>
      <c r="E338">
        <v>0</v>
      </c>
      <c r="F338">
        <v>34542</v>
      </c>
      <c r="G338">
        <v>69016</v>
      </c>
      <c r="H338">
        <v>0</v>
      </c>
      <c r="I338">
        <v>42740</v>
      </c>
      <c r="J338" s="928">
        <v>16808</v>
      </c>
      <c r="K338">
        <v>2224</v>
      </c>
      <c r="L338">
        <v>23708</v>
      </c>
    </row>
    <row r="339" spans="1:12" x14ac:dyDescent="0.25">
      <c r="A339" t="s">
        <v>629</v>
      </c>
      <c r="B339" t="s">
        <v>630</v>
      </c>
      <c r="C339" t="s">
        <v>628</v>
      </c>
      <c r="D339">
        <v>171647</v>
      </c>
      <c r="E339">
        <v>5769</v>
      </c>
      <c r="F339">
        <v>22067</v>
      </c>
      <c r="G339">
        <v>59255</v>
      </c>
      <c r="H339">
        <v>0</v>
      </c>
      <c r="I339">
        <v>84556</v>
      </c>
      <c r="J339" s="928">
        <v>0</v>
      </c>
      <c r="K339">
        <v>0</v>
      </c>
      <c r="L339">
        <v>84556</v>
      </c>
    </row>
    <row r="340" spans="1:12" x14ac:dyDescent="0.25">
      <c r="A340" t="s">
        <v>294</v>
      </c>
      <c r="B340" t="s">
        <v>295</v>
      </c>
      <c r="C340" t="s">
        <v>293</v>
      </c>
      <c r="D340">
        <v>211973</v>
      </c>
      <c r="E340">
        <v>0</v>
      </c>
      <c r="F340">
        <v>176619</v>
      </c>
      <c r="G340">
        <v>0</v>
      </c>
      <c r="H340">
        <v>30000</v>
      </c>
      <c r="I340">
        <v>24662</v>
      </c>
      <c r="J340" s="928">
        <v>0</v>
      </c>
      <c r="K340">
        <v>19308</v>
      </c>
      <c r="L340">
        <v>5354</v>
      </c>
    </row>
    <row r="341" spans="1:12" x14ac:dyDescent="0.25">
      <c r="A341" t="s">
        <v>143</v>
      </c>
      <c r="B341" t="s">
        <v>144</v>
      </c>
      <c r="C341" t="s">
        <v>142</v>
      </c>
      <c r="D341">
        <v>63919</v>
      </c>
      <c r="E341">
        <v>603</v>
      </c>
      <c r="F341">
        <v>42607</v>
      </c>
      <c r="G341">
        <v>4264</v>
      </c>
      <c r="H341">
        <v>0</v>
      </c>
      <c r="I341">
        <v>22730</v>
      </c>
      <c r="J341" s="928">
        <v>4926</v>
      </c>
      <c r="K341">
        <v>1359</v>
      </c>
      <c r="L341">
        <v>16445</v>
      </c>
    </row>
    <row r="342" spans="1:12" x14ac:dyDescent="0.25">
      <c r="A342" t="s">
        <v>1359</v>
      </c>
      <c r="B342" t="s">
        <v>1360</v>
      </c>
      <c r="C342" t="s">
        <v>1358</v>
      </c>
      <c r="D342">
        <v>42729</v>
      </c>
      <c r="E342">
        <v>667</v>
      </c>
      <c r="F342">
        <v>14116</v>
      </c>
      <c r="G342">
        <v>392</v>
      </c>
      <c r="H342">
        <v>0</v>
      </c>
      <c r="I342">
        <v>42442</v>
      </c>
      <c r="J342" s="928">
        <v>12507</v>
      </c>
      <c r="K342">
        <v>2381</v>
      </c>
      <c r="L342">
        <v>27554</v>
      </c>
    </row>
    <row r="343" spans="1:12" x14ac:dyDescent="0.25">
      <c r="A343" t="s">
        <v>830</v>
      </c>
      <c r="B343" t="s">
        <v>831</v>
      </c>
      <c r="C343" t="s">
        <v>829</v>
      </c>
      <c r="D343">
        <v>53399</v>
      </c>
      <c r="E343">
        <v>0</v>
      </c>
      <c r="F343">
        <v>0</v>
      </c>
      <c r="G343">
        <v>0</v>
      </c>
      <c r="H343">
        <v>0</v>
      </c>
      <c r="I343">
        <v>8230</v>
      </c>
      <c r="J343" s="928">
        <v>0</v>
      </c>
      <c r="K343">
        <v>0</v>
      </c>
      <c r="L343">
        <v>8230</v>
      </c>
    </row>
    <row r="344" spans="1:12" x14ac:dyDescent="0.25">
      <c r="A344" t="s">
        <v>1028</v>
      </c>
      <c r="B344" t="s">
        <v>1029</v>
      </c>
      <c r="C344" t="s">
        <v>1027</v>
      </c>
      <c r="D344">
        <v>135513</v>
      </c>
      <c r="E344">
        <v>16645</v>
      </c>
      <c r="F344">
        <v>79520</v>
      </c>
      <c r="G344">
        <v>5270</v>
      </c>
      <c r="H344">
        <v>34077</v>
      </c>
      <c r="I344">
        <v>24302</v>
      </c>
      <c r="J344" s="928">
        <v>17757</v>
      </c>
      <c r="K344">
        <v>6545</v>
      </c>
      <c r="L344">
        <v>0</v>
      </c>
    </row>
    <row r="345" spans="1:12" x14ac:dyDescent="0.25">
      <c r="A345" t="s">
        <v>511</v>
      </c>
      <c r="B345" t="s">
        <v>512</v>
      </c>
      <c r="C345" t="s">
        <v>510</v>
      </c>
      <c r="D345">
        <v>2267095</v>
      </c>
      <c r="E345">
        <v>3157</v>
      </c>
      <c r="F345">
        <v>1808501</v>
      </c>
      <c r="G345">
        <v>0</v>
      </c>
      <c r="H345">
        <v>455437</v>
      </c>
      <c r="I345">
        <v>873860</v>
      </c>
      <c r="J345" s="928">
        <v>713060</v>
      </c>
      <c r="K345">
        <v>160800</v>
      </c>
      <c r="L345">
        <v>0</v>
      </c>
    </row>
    <row r="346" spans="1:12" x14ac:dyDescent="0.25">
      <c r="A346" t="s">
        <v>69</v>
      </c>
      <c r="B346" t="s">
        <v>70</v>
      </c>
      <c r="C346" t="s">
        <v>68</v>
      </c>
      <c r="D346">
        <v>5885</v>
      </c>
      <c r="E346">
        <v>0</v>
      </c>
      <c r="F346">
        <v>5885</v>
      </c>
      <c r="G346">
        <v>0</v>
      </c>
      <c r="H346">
        <v>0</v>
      </c>
      <c r="I346">
        <v>3172</v>
      </c>
      <c r="J346" s="928">
        <v>2255</v>
      </c>
      <c r="K346">
        <v>917</v>
      </c>
      <c r="L346">
        <v>0</v>
      </c>
    </row>
    <row r="347" spans="1:12" x14ac:dyDescent="0.25">
      <c r="A347" t="s">
        <v>95</v>
      </c>
      <c r="B347" t="s">
        <v>96</v>
      </c>
      <c r="C347" t="s">
        <v>94</v>
      </c>
      <c r="D347">
        <v>14600</v>
      </c>
      <c r="E347">
        <v>0</v>
      </c>
      <c r="F347">
        <v>692</v>
      </c>
      <c r="G347">
        <v>4820</v>
      </c>
      <c r="H347">
        <v>9088</v>
      </c>
      <c r="I347">
        <v>3245</v>
      </c>
      <c r="J347" s="928">
        <v>2549</v>
      </c>
      <c r="K347">
        <v>696</v>
      </c>
      <c r="L347">
        <v>0</v>
      </c>
    </row>
    <row r="348" spans="1:12" x14ac:dyDescent="0.25">
      <c r="A348" t="s">
        <v>99</v>
      </c>
      <c r="B348" t="s">
        <v>100</v>
      </c>
      <c r="C348" t="s">
        <v>98</v>
      </c>
      <c r="D348">
        <v>129374</v>
      </c>
      <c r="E348">
        <v>0</v>
      </c>
      <c r="F348">
        <v>51208</v>
      </c>
      <c r="G348">
        <v>30598</v>
      </c>
      <c r="H348">
        <v>47568</v>
      </c>
      <c r="I348">
        <v>4457</v>
      </c>
      <c r="J348" s="928">
        <v>3080</v>
      </c>
      <c r="K348">
        <v>1377</v>
      </c>
      <c r="L348">
        <v>0</v>
      </c>
    </row>
    <row r="349" spans="1:12" x14ac:dyDescent="0.25">
      <c r="A349" t="s">
        <v>123</v>
      </c>
      <c r="B349" t="s">
        <v>124</v>
      </c>
      <c r="C349" t="s">
        <v>122</v>
      </c>
      <c r="D349">
        <v>5966</v>
      </c>
      <c r="E349">
        <v>0</v>
      </c>
      <c r="F349">
        <v>303</v>
      </c>
      <c r="G349">
        <v>0</v>
      </c>
      <c r="H349">
        <v>0</v>
      </c>
      <c r="I349">
        <v>8964</v>
      </c>
      <c r="J349" s="928">
        <v>2000</v>
      </c>
      <c r="K349">
        <v>998</v>
      </c>
      <c r="L349">
        <v>5966</v>
      </c>
    </row>
    <row r="350" spans="1:12" x14ac:dyDescent="0.25">
      <c r="A350" t="s">
        <v>176</v>
      </c>
      <c r="B350" t="s">
        <v>177</v>
      </c>
      <c r="C350" t="s">
        <v>175</v>
      </c>
      <c r="D350">
        <v>205056</v>
      </c>
      <c r="E350">
        <v>16882</v>
      </c>
      <c r="F350">
        <v>71781</v>
      </c>
      <c r="G350">
        <v>64487</v>
      </c>
      <c r="H350">
        <v>10700</v>
      </c>
      <c r="I350">
        <v>41206</v>
      </c>
      <c r="J350" s="928">
        <v>0</v>
      </c>
      <c r="K350">
        <v>0</v>
      </c>
      <c r="L350">
        <v>41206</v>
      </c>
    </row>
    <row r="351" spans="1:12" x14ac:dyDescent="0.25">
      <c r="A351" t="s">
        <v>185</v>
      </c>
      <c r="B351" t="s">
        <v>186</v>
      </c>
      <c r="C351" t="s">
        <v>184</v>
      </c>
      <c r="D351">
        <v>332572</v>
      </c>
      <c r="E351">
        <v>5400</v>
      </c>
      <c r="F351">
        <v>269777</v>
      </c>
      <c r="G351">
        <v>25475</v>
      </c>
      <c r="H351">
        <v>31920</v>
      </c>
      <c r="I351">
        <v>9857</v>
      </c>
      <c r="J351" s="928">
        <v>9857</v>
      </c>
      <c r="K351">
        <v>0</v>
      </c>
      <c r="L351">
        <v>0</v>
      </c>
    </row>
    <row r="352" spans="1:12" x14ac:dyDescent="0.25">
      <c r="A352" t="s">
        <v>194</v>
      </c>
      <c r="B352" t="s">
        <v>195</v>
      </c>
      <c r="C352" t="s">
        <v>193</v>
      </c>
      <c r="D352">
        <v>111888</v>
      </c>
      <c r="E352">
        <v>0</v>
      </c>
      <c r="F352">
        <v>57441</v>
      </c>
      <c r="G352">
        <v>54447</v>
      </c>
      <c r="H352">
        <v>0</v>
      </c>
      <c r="I352">
        <v>61547</v>
      </c>
      <c r="J352" s="928">
        <v>48642</v>
      </c>
      <c r="K352">
        <v>12905</v>
      </c>
      <c r="L352">
        <v>0</v>
      </c>
    </row>
    <row r="353" spans="1:12" x14ac:dyDescent="0.25">
      <c r="A353" t="s">
        <v>197</v>
      </c>
      <c r="B353" t="s">
        <v>198</v>
      </c>
      <c r="C353" t="s">
        <v>196</v>
      </c>
      <c r="D353">
        <v>20683</v>
      </c>
      <c r="E353">
        <v>0</v>
      </c>
      <c r="F353">
        <v>20683</v>
      </c>
      <c r="G353">
        <v>0</v>
      </c>
      <c r="H353">
        <v>0</v>
      </c>
      <c r="I353">
        <v>3517</v>
      </c>
      <c r="J353" s="928">
        <v>2668</v>
      </c>
      <c r="K353">
        <v>849</v>
      </c>
      <c r="L353">
        <v>0</v>
      </c>
    </row>
    <row r="354" spans="1:12" x14ac:dyDescent="0.25">
      <c r="A354" t="s">
        <v>203</v>
      </c>
      <c r="B354" t="s">
        <v>204</v>
      </c>
      <c r="C354" t="s">
        <v>202</v>
      </c>
    </row>
    <row r="355" spans="1:12" x14ac:dyDescent="0.25">
      <c r="A355" t="s">
        <v>221</v>
      </c>
      <c r="B355" t="s">
        <v>222</v>
      </c>
      <c r="C355" t="s">
        <v>220</v>
      </c>
      <c r="D355">
        <v>88490</v>
      </c>
      <c r="E355">
        <v>0</v>
      </c>
      <c r="F355">
        <v>18239</v>
      </c>
      <c r="G355">
        <v>57913</v>
      </c>
      <c r="H355">
        <v>7794</v>
      </c>
      <c r="I355">
        <v>13299</v>
      </c>
      <c r="J355">
        <v>0</v>
      </c>
      <c r="K355">
        <v>8755</v>
      </c>
      <c r="L355">
        <v>4544</v>
      </c>
    </row>
    <row r="356" spans="1:12" x14ac:dyDescent="0.25">
      <c r="A356" t="s">
        <v>233</v>
      </c>
      <c r="B356" t="s">
        <v>234</v>
      </c>
      <c r="C356" t="s">
        <v>232</v>
      </c>
      <c r="D356">
        <v>7996</v>
      </c>
      <c r="E356">
        <v>0</v>
      </c>
      <c r="F356">
        <v>6996</v>
      </c>
      <c r="G356">
        <v>1000</v>
      </c>
      <c r="H356">
        <v>0</v>
      </c>
      <c r="I356">
        <v>0</v>
      </c>
      <c r="J356">
        <v>0</v>
      </c>
      <c r="K356">
        <v>0</v>
      </c>
      <c r="L356">
        <v>0</v>
      </c>
    </row>
    <row r="357" spans="1:12" x14ac:dyDescent="0.25">
      <c r="A357" t="s">
        <v>246</v>
      </c>
      <c r="B357" t="s">
        <v>247</v>
      </c>
      <c r="C357" t="s">
        <v>245</v>
      </c>
    </row>
    <row r="358" spans="1:12" x14ac:dyDescent="0.25">
      <c r="A358" t="s">
        <v>267</v>
      </c>
      <c r="B358" t="s">
        <v>268</v>
      </c>
      <c r="C358" t="s">
        <v>266</v>
      </c>
      <c r="D358">
        <v>4631</v>
      </c>
      <c r="E358">
        <v>705</v>
      </c>
      <c r="F358">
        <v>3008</v>
      </c>
      <c r="G358">
        <v>918</v>
      </c>
      <c r="H358">
        <v>0</v>
      </c>
      <c r="I358">
        <v>5874</v>
      </c>
      <c r="J358">
        <v>4841</v>
      </c>
      <c r="K358">
        <v>1033</v>
      </c>
      <c r="L358">
        <v>0</v>
      </c>
    </row>
    <row r="359" spans="1:12" x14ac:dyDescent="0.25">
      <c r="A359" t="s">
        <v>282</v>
      </c>
      <c r="B359" t="s">
        <v>283</v>
      </c>
      <c r="C359" t="s">
        <v>281</v>
      </c>
      <c r="D359">
        <v>125988</v>
      </c>
      <c r="E359">
        <v>0</v>
      </c>
      <c r="F359">
        <v>125988</v>
      </c>
      <c r="G359">
        <v>0</v>
      </c>
      <c r="H359">
        <v>0</v>
      </c>
      <c r="I359">
        <v>19415</v>
      </c>
      <c r="J359">
        <v>15641</v>
      </c>
      <c r="K359">
        <v>3774</v>
      </c>
      <c r="L359">
        <v>0</v>
      </c>
    </row>
    <row r="360" spans="1:12" x14ac:dyDescent="0.25">
      <c r="A360" t="s">
        <v>303</v>
      </c>
      <c r="B360" t="s">
        <v>304</v>
      </c>
      <c r="C360" t="s">
        <v>302</v>
      </c>
      <c r="D360">
        <v>22962</v>
      </c>
      <c r="E360">
        <v>0</v>
      </c>
      <c r="F360">
        <v>2572</v>
      </c>
      <c r="G360">
        <v>11159</v>
      </c>
      <c r="H360">
        <v>9231</v>
      </c>
      <c r="I360">
        <v>9982</v>
      </c>
      <c r="J360">
        <v>8389</v>
      </c>
      <c r="K360">
        <v>1593</v>
      </c>
      <c r="L360">
        <v>0</v>
      </c>
    </row>
    <row r="361" spans="1:12" x14ac:dyDescent="0.25">
      <c r="A361" t="s">
        <v>312</v>
      </c>
      <c r="B361" t="s">
        <v>313</v>
      </c>
      <c r="C361" t="s">
        <v>311</v>
      </c>
      <c r="D361">
        <v>8719</v>
      </c>
      <c r="E361">
        <v>0</v>
      </c>
      <c r="F361">
        <v>8719</v>
      </c>
      <c r="G361">
        <v>0</v>
      </c>
      <c r="H361">
        <v>0</v>
      </c>
      <c r="I361">
        <v>3919</v>
      </c>
      <c r="J361">
        <v>3919</v>
      </c>
      <c r="K361">
        <v>0</v>
      </c>
      <c r="L361">
        <v>0</v>
      </c>
    </row>
    <row r="362" spans="1:12" x14ac:dyDescent="0.25">
      <c r="A362" t="s">
        <v>315</v>
      </c>
      <c r="B362" t="s">
        <v>316</v>
      </c>
      <c r="C362" t="s">
        <v>314</v>
      </c>
      <c r="D362">
        <v>128056</v>
      </c>
      <c r="E362">
        <v>9626</v>
      </c>
      <c r="F362">
        <v>108291</v>
      </c>
      <c r="G362">
        <v>9231</v>
      </c>
      <c r="H362">
        <v>0</v>
      </c>
      <c r="I362">
        <v>18635</v>
      </c>
      <c r="J362">
        <v>18635</v>
      </c>
      <c r="K362">
        <v>0</v>
      </c>
      <c r="L362">
        <v>0</v>
      </c>
    </row>
    <row r="363" spans="1:12" x14ac:dyDescent="0.25">
      <c r="A363" t="s">
        <v>355</v>
      </c>
      <c r="B363" t="s">
        <v>356</v>
      </c>
      <c r="C363" t="s">
        <v>354</v>
      </c>
      <c r="D363">
        <v>7914</v>
      </c>
      <c r="E363">
        <v>0</v>
      </c>
      <c r="F363">
        <v>6178</v>
      </c>
      <c r="G363">
        <v>1020</v>
      </c>
      <c r="H363">
        <v>716</v>
      </c>
      <c r="I363">
        <v>2812</v>
      </c>
      <c r="J363">
        <v>2314</v>
      </c>
      <c r="K363">
        <v>498</v>
      </c>
      <c r="L363">
        <v>0</v>
      </c>
    </row>
    <row r="364" spans="1:12" x14ac:dyDescent="0.25">
      <c r="A364" t="s">
        <v>373</v>
      </c>
      <c r="B364" t="s">
        <v>374</v>
      </c>
      <c r="C364" t="s">
        <v>372</v>
      </c>
      <c r="D364">
        <v>123359</v>
      </c>
      <c r="E364">
        <v>7727</v>
      </c>
      <c r="F364">
        <v>18694</v>
      </c>
      <c r="G364">
        <v>6370</v>
      </c>
      <c r="H364">
        <v>17487</v>
      </c>
      <c r="I364">
        <v>91896</v>
      </c>
      <c r="J364">
        <v>15531</v>
      </c>
      <c r="K364">
        <v>3284</v>
      </c>
      <c r="L364">
        <v>73081</v>
      </c>
    </row>
    <row r="365" spans="1:12" x14ac:dyDescent="0.25">
      <c r="A365" t="s">
        <v>382</v>
      </c>
      <c r="B365" t="s">
        <v>383</v>
      </c>
      <c r="C365" t="s">
        <v>381</v>
      </c>
      <c r="D365">
        <v>59887</v>
      </c>
      <c r="E365">
        <v>11550</v>
      </c>
      <c r="F365">
        <v>38251</v>
      </c>
      <c r="G365">
        <v>1889</v>
      </c>
      <c r="H365">
        <v>7854</v>
      </c>
      <c r="I365">
        <v>343</v>
      </c>
      <c r="J365">
        <v>0</v>
      </c>
      <c r="K365">
        <v>0</v>
      </c>
      <c r="L365">
        <v>343</v>
      </c>
    </row>
    <row r="366" spans="1:12" x14ac:dyDescent="0.25">
      <c r="A366" t="s">
        <v>418</v>
      </c>
      <c r="B366" t="s">
        <v>419</v>
      </c>
      <c r="C366" t="s">
        <v>417</v>
      </c>
      <c r="D366">
        <v>123307</v>
      </c>
      <c r="E366">
        <v>2229</v>
      </c>
      <c r="F366">
        <v>97348</v>
      </c>
      <c r="G366">
        <v>23729</v>
      </c>
      <c r="H366">
        <v>0</v>
      </c>
      <c r="I366">
        <v>9019</v>
      </c>
      <c r="J366">
        <v>9019</v>
      </c>
      <c r="K366">
        <v>0</v>
      </c>
      <c r="L366">
        <v>0</v>
      </c>
    </row>
    <row r="367" spans="1:12" x14ac:dyDescent="0.25">
      <c r="A367" t="s">
        <v>439</v>
      </c>
      <c r="B367" t="s">
        <v>440</v>
      </c>
      <c r="C367" t="s">
        <v>438</v>
      </c>
    </row>
    <row r="368" spans="1:12" x14ac:dyDescent="0.25">
      <c r="A368" t="s">
        <v>445</v>
      </c>
      <c r="B368" t="s">
        <v>446</v>
      </c>
      <c r="C368" t="s">
        <v>444</v>
      </c>
      <c r="D368">
        <v>85099</v>
      </c>
      <c r="E368">
        <v>0</v>
      </c>
      <c r="F368">
        <v>51771</v>
      </c>
      <c r="G368">
        <v>18937</v>
      </c>
      <c r="H368">
        <v>14391</v>
      </c>
      <c r="I368">
        <v>9191</v>
      </c>
      <c r="J368">
        <v>7290</v>
      </c>
      <c r="K368">
        <v>1901</v>
      </c>
      <c r="L368">
        <v>0</v>
      </c>
    </row>
    <row r="369" spans="1:12" x14ac:dyDescent="0.25">
      <c r="A369" t="s">
        <v>448</v>
      </c>
      <c r="B369" t="s">
        <v>449</v>
      </c>
      <c r="C369" t="s">
        <v>447</v>
      </c>
      <c r="D369">
        <v>3239</v>
      </c>
      <c r="E369">
        <v>0</v>
      </c>
      <c r="F369">
        <v>3239</v>
      </c>
      <c r="G369">
        <v>0</v>
      </c>
      <c r="H369">
        <v>0</v>
      </c>
      <c r="I369">
        <v>4130</v>
      </c>
      <c r="J369">
        <v>3271</v>
      </c>
      <c r="K369">
        <v>859</v>
      </c>
      <c r="L369">
        <v>0</v>
      </c>
    </row>
    <row r="370" spans="1:12" x14ac:dyDescent="0.25">
      <c r="A370" t="s">
        <v>493</v>
      </c>
      <c r="B370" t="s">
        <v>494</v>
      </c>
      <c r="C370" t="s">
        <v>492</v>
      </c>
    </row>
    <row r="371" spans="1:12" x14ac:dyDescent="0.25">
      <c r="A371" t="s">
        <v>548</v>
      </c>
      <c r="B371" t="s">
        <v>549</v>
      </c>
      <c r="C371" t="s">
        <v>547</v>
      </c>
      <c r="D371">
        <v>10214</v>
      </c>
      <c r="E371">
        <v>0</v>
      </c>
      <c r="F371">
        <v>8106</v>
      </c>
      <c r="G371">
        <v>0</v>
      </c>
      <c r="H371">
        <v>2108</v>
      </c>
      <c r="I371">
        <v>3114</v>
      </c>
      <c r="J371">
        <v>2376</v>
      </c>
      <c r="K371">
        <v>738</v>
      </c>
      <c r="L371">
        <v>0</v>
      </c>
    </row>
    <row r="372" spans="1:12" x14ac:dyDescent="0.25">
      <c r="A372" t="s">
        <v>557</v>
      </c>
      <c r="B372" t="s">
        <v>558</v>
      </c>
      <c r="C372" t="s">
        <v>556</v>
      </c>
      <c r="D372">
        <v>40689</v>
      </c>
      <c r="E372">
        <v>0</v>
      </c>
      <c r="F372">
        <v>18000</v>
      </c>
      <c r="G372">
        <v>0</v>
      </c>
      <c r="H372">
        <v>270</v>
      </c>
      <c r="I372">
        <v>9776</v>
      </c>
      <c r="J372">
        <v>5979</v>
      </c>
      <c r="K372">
        <v>1297</v>
      </c>
      <c r="L372">
        <v>2500</v>
      </c>
    </row>
    <row r="373" spans="1:12" x14ac:dyDescent="0.25">
      <c r="A373" t="s">
        <v>566</v>
      </c>
      <c r="B373" t="s">
        <v>567</v>
      </c>
      <c r="C373" t="s">
        <v>565</v>
      </c>
      <c r="D373">
        <v>41865</v>
      </c>
      <c r="E373">
        <v>2175</v>
      </c>
      <c r="F373">
        <v>16630</v>
      </c>
      <c r="G373">
        <v>12579</v>
      </c>
      <c r="H373">
        <v>10481</v>
      </c>
      <c r="I373">
        <v>775</v>
      </c>
      <c r="J373">
        <v>0</v>
      </c>
      <c r="K373">
        <v>775</v>
      </c>
      <c r="L373">
        <v>0</v>
      </c>
    </row>
    <row r="374" spans="1:12" x14ac:dyDescent="0.25">
      <c r="A374" t="s">
        <v>569</v>
      </c>
      <c r="B374" t="s">
        <v>570</v>
      </c>
      <c r="C374" t="s">
        <v>568</v>
      </c>
      <c r="D374">
        <v>26736</v>
      </c>
      <c r="E374">
        <v>1889</v>
      </c>
      <c r="F374">
        <v>150</v>
      </c>
      <c r="G374">
        <v>315</v>
      </c>
      <c r="H374">
        <v>28250</v>
      </c>
      <c r="I374">
        <v>33347</v>
      </c>
      <c r="J374">
        <v>2119</v>
      </c>
      <c r="K374">
        <v>624</v>
      </c>
      <c r="L374">
        <v>30604</v>
      </c>
    </row>
    <row r="375" spans="1:12" x14ac:dyDescent="0.25">
      <c r="A375" t="s">
        <v>584</v>
      </c>
      <c r="B375" t="s">
        <v>585</v>
      </c>
      <c r="C375" t="s">
        <v>583</v>
      </c>
      <c r="D375">
        <v>237077</v>
      </c>
      <c r="E375">
        <v>2151</v>
      </c>
      <c r="F375">
        <v>106995</v>
      </c>
      <c r="G375">
        <v>63672</v>
      </c>
      <c r="H375">
        <v>19260</v>
      </c>
      <c r="I375">
        <v>58683</v>
      </c>
      <c r="J375">
        <v>10739</v>
      </c>
      <c r="K375">
        <v>2945</v>
      </c>
      <c r="L375">
        <v>44999</v>
      </c>
    </row>
    <row r="376" spans="1:12" x14ac:dyDescent="0.25">
      <c r="A376" t="s">
        <v>596</v>
      </c>
      <c r="B376" t="s">
        <v>597</v>
      </c>
      <c r="C376" t="s">
        <v>595</v>
      </c>
      <c r="D376">
        <v>35063</v>
      </c>
      <c r="E376">
        <v>0</v>
      </c>
      <c r="F376">
        <v>11144</v>
      </c>
      <c r="G376">
        <v>18788</v>
      </c>
      <c r="H376">
        <v>5139</v>
      </c>
      <c r="I376">
        <v>13293</v>
      </c>
      <c r="J376">
        <v>9503</v>
      </c>
      <c r="K376">
        <v>3790</v>
      </c>
      <c r="L376">
        <v>0</v>
      </c>
    </row>
    <row r="377" spans="1:12" x14ac:dyDescent="0.25">
      <c r="A377" t="s">
        <v>608</v>
      </c>
      <c r="B377" t="s">
        <v>609</v>
      </c>
      <c r="C377" t="s">
        <v>607</v>
      </c>
      <c r="D377">
        <v>6288</v>
      </c>
      <c r="E377">
        <v>0</v>
      </c>
      <c r="F377">
        <v>0</v>
      </c>
      <c r="G377">
        <v>0</v>
      </c>
      <c r="H377">
        <v>0</v>
      </c>
      <c r="I377">
        <v>7516</v>
      </c>
      <c r="J377">
        <v>581</v>
      </c>
      <c r="K377">
        <v>228</v>
      </c>
      <c r="L377">
        <v>6707</v>
      </c>
    </row>
    <row r="378" spans="1:12" x14ac:dyDescent="0.25">
      <c r="A378" t="s">
        <v>617</v>
      </c>
      <c r="B378" t="s">
        <v>618</v>
      </c>
      <c r="C378" t="s">
        <v>616</v>
      </c>
    </row>
    <row r="379" spans="1:12" x14ac:dyDescent="0.25">
      <c r="A379" t="s">
        <v>650</v>
      </c>
      <c r="B379" t="s">
        <v>651</v>
      </c>
      <c r="C379" t="s">
        <v>649</v>
      </c>
      <c r="D379">
        <v>49363</v>
      </c>
      <c r="E379">
        <v>0</v>
      </c>
      <c r="F379">
        <v>37585</v>
      </c>
      <c r="G379">
        <v>11778</v>
      </c>
      <c r="H379">
        <v>0</v>
      </c>
      <c r="I379">
        <v>0</v>
      </c>
      <c r="J379">
        <v>0</v>
      </c>
      <c r="K379">
        <v>0</v>
      </c>
      <c r="L379">
        <v>0</v>
      </c>
    </row>
    <row r="380" spans="1:12" x14ac:dyDescent="0.25">
      <c r="A380" t="s">
        <v>678</v>
      </c>
      <c r="B380" t="s">
        <v>678</v>
      </c>
      <c r="C380" t="s">
        <v>677</v>
      </c>
      <c r="D380">
        <v>2918</v>
      </c>
      <c r="E380">
        <v>0</v>
      </c>
      <c r="F380">
        <v>0</v>
      </c>
      <c r="G380">
        <v>0</v>
      </c>
      <c r="H380">
        <v>0</v>
      </c>
      <c r="I380">
        <v>0</v>
      </c>
      <c r="J380">
        <v>0</v>
      </c>
      <c r="K380">
        <v>0</v>
      </c>
      <c r="L380">
        <v>0</v>
      </c>
    </row>
    <row r="381" spans="1:12" x14ac:dyDescent="0.25">
      <c r="A381" t="s">
        <v>695</v>
      </c>
      <c r="B381" t="s">
        <v>696</v>
      </c>
      <c r="C381" t="s">
        <v>694</v>
      </c>
    </row>
    <row r="382" spans="1:12" x14ac:dyDescent="0.25">
      <c r="A382" t="s">
        <v>698</v>
      </c>
      <c r="B382" t="s">
        <v>699</v>
      </c>
      <c r="C382" t="s">
        <v>697</v>
      </c>
      <c r="D382">
        <v>196658</v>
      </c>
      <c r="E382">
        <v>0</v>
      </c>
      <c r="F382">
        <v>196658</v>
      </c>
      <c r="G382">
        <v>0</v>
      </c>
      <c r="H382">
        <v>0</v>
      </c>
      <c r="I382">
        <v>1323</v>
      </c>
      <c r="J382">
        <v>0</v>
      </c>
      <c r="K382">
        <v>1323</v>
      </c>
      <c r="L382">
        <v>0</v>
      </c>
    </row>
    <row r="383" spans="1:12" x14ac:dyDescent="0.25">
      <c r="A383" t="s">
        <v>737</v>
      </c>
      <c r="B383" t="s">
        <v>738</v>
      </c>
      <c r="C383" t="s">
        <v>736</v>
      </c>
      <c r="D383">
        <v>48781</v>
      </c>
      <c r="E383">
        <v>136</v>
      </c>
      <c r="F383">
        <v>21670</v>
      </c>
      <c r="G383">
        <v>3660</v>
      </c>
      <c r="H383">
        <v>23165</v>
      </c>
      <c r="I383">
        <v>150</v>
      </c>
      <c r="J383">
        <v>0</v>
      </c>
      <c r="K383">
        <v>0</v>
      </c>
      <c r="L383">
        <v>150</v>
      </c>
    </row>
    <row r="384" spans="1:12" x14ac:dyDescent="0.25">
      <c r="A384" t="s">
        <v>761</v>
      </c>
      <c r="B384" t="s">
        <v>762</v>
      </c>
      <c r="C384" t="s">
        <v>760</v>
      </c>
      <c r="D384">
        <v>22474</v>
      </c>
      <c r="E384">
        <v>2751</v>
      </c>
      <c r="F384">
        <v>769</v>
      </c>
      <c r="G384">
        <v>5281</v>
      </c>
      <c r="H384">
        <v>13673</v>
      </c>
      <c r="I384">
        <v>2006</v>
      </c>
      <c r="J384">
        <v>1234</v>
      </c>
      <c r="K384">
        <v>772</v>
      </c>
      <c r="L384">
        <v>0</v>
      </c>
    </row>
    <row r="385" spans="1:12" x14ac:dyDescent="0.25">
      <c r="A385" t="s">
        <v>773</v>
      </c>
      <c r="B385" t="s">
        <v>774</v>
      </c>
      <c r="C385" t="s">
        <v>772</v>
      </c>
      <c r="D385">
        <v>16380</v>
      </c>
      <c r="E385">
        <v>10</v>
      </c>
      <c r="F385">
        <v>13215</v>
      </c>
      <c r="G385">
        <v>2859</v>
      </c>
      <c r="H385">
        <v>296</v>
      </c>
      <c r="I385">
        <v>4343</v>
      </c>
      <c r="J385">
        <v>3217</v>
      </c>
      <c r="K385">
        <v>1126</v>
      </c>
      <c r="L385">
        <v>0</v>
      </c>
    </row>
    <row r="386" spans="1:12" x14ac:dyDescent="0.25">
      <c r="A386" t="s">
        <v>824</v>
      </c>
      <c r="B386" t="s">
        <v>825</v>
      </c>
      <c r="C386" t="s">
        <v>823</v>
      </c>
    </row>
    <row r="387" spans="1:12" x14ac:dyDescent="0.25">
      <c r="A387" t="s">
        <v>827</v>
      </c>
      <c r="B387" t="s">
        <v>828</v>
      </c>
      <c r="C387" t="s">
        <v>826</v>
      </c>
      <c r="D387">
        <v>-8062</v>
      </c>
      <c r="E387">
        <v>0</v>
      </c>
      <c r="F387">
        <v>-8062</v>
      </c>
      <c r="G387">
        <v>0</v>
      </c>
      <c r="H387">
        <v>0</v>
      </c>
      <c r="I387">
        <v>0</v>
      </c>
      <c r="J387">
        <v>0</v>
      </c>
      <c r="K387">
        <v>0</v>
      </c>
      <c r="L387">
        <v>0</v>
      </c>
    </row>
    <row r="388" spans="1:12" x14ac:dyDescent="0.25">
      <c r="A388" t="s">
        <v>833</v>
      </c>
      <c r="B388" t="s">
        <v>834</v>
      </c>
      <c r="C388" t="s">
        <v>832</v>
      </c>
      <c r="D388">
        <v>78918</v>
      </c>
      <c r="E388">
        <v>509</v>
      </c>
      <c r="F388">
        <v>27341</v>
      </c>
      <c r="G388">
        <v>6250</v>
      </c>
      <c r="H388">
        <v>21356</v>
      </c>
      <c r="I388">
        <v>27448</v>
      </c>
      <c r="J388">
        <v>0</v>
      </c>
      <c r="K388">
        <v>3985</v>
      </c>
      <c r="L388">
        <v>23463</v>
      </c>
    </row>
    <row r="389" spans="1:12" x14ac:dyDescent="0.25">
      <c r="A389" t="s">
        <v>839</v>
      </c>
      <c r="B389" t="s">
        <v>840</v>
      </c>
      <c r="C389" t="s">
        <v>838</v>
      </c>
      <c r="D389">
        <v>11630</v>
      </c>
      <c r="E389">
        <v>0</v>
      </c>
      <c r="F389">
        <v>8215</v>
      </c>
      <c r="G389">
        <v>0</v>
      </c>
      <c r="H389">
        <v>0</v>
      </c>
      <c r="I389">
        <v>2813</v>
      </c>
      <c r="J389">
        <v>1825</v>
      </c>
      <c r="K389">
        <v>988</v>
      </c>
      <c r="L389">
        <v>0</v>
      </c>
    </row>
    <row r="390" spans="1:12" x14ac:dyDescent="0.25">
      <c r="A390" t="s">
        <v>842</v>
      </c>
      <c r="B390" t="s">
        <v>843</v>
      </c>
      <c r="C390" t="s">
        <v>841</v>
      </c>
    </row>
    <row r="391" spans="1:12" x14ac:dyDescent="0.25">
      <c r="A391" t="s">
        <v>848</v>
      </c>
      <c r="B391" t="s">
        <v>849</v>
      </c>
      <c r="C391" t="s">
        <v>847</v>
      </c>
      <c r="D391">
        <v>269748</v>
      </c>
      <c r="E391">
        <v>0</v>
      </c>
      <c r="F391">
        <v>269748</v>
      </c>
      <c r="G391">
        <v>0</v>
      </c>
      <c r="H391">
        <v>0</v>
      </c>
      <c r="I391">
        <v>0</v>
      </c>
      <c r="J391">
        <v>0</v>
      </c>
      <c r="K391">
        <v>0</v>
      </c>
      <c r="L391">
        <v>0</v>
      </c>
    </row>
    <row r="392" spans="1:12" x14ac:dyDescent="0.25">
      <c r="A392" t="s">
        <v>886</v>
      </c>
      <c r="B392" t="s">
        <v>887</v>
      </c>
      <c r="C392" t="s">
        <v>885</v>
      </c>
      <c r="D392">
        <v>15604</v>
      </c>
      <c r="E392">
        <v>3064</v>
      </c>
      <c r="F392">
        <v>2585</v>
      </c>
      <c r="G392">
        <v>4703</v>
      </c>
      <c r="H392">
        <v>599</v>
      </c>
      <c r="I392">
        <v>3256</v>
      </c>
      <c r="J392">
        <v>2360</v>
      </c>
      <c r="K392">
        <v>896</v>
      </c>
      <c r="L392">
        <v>0</v>
      </c>
    </row>
    <row r="393" spans="1:12" x14ac:dyDescent="0.25">
      <c r="A393" t="s">
        <v>898</v>
      </c>
      <c r="B393" t="s">
        <v>899</v>
      </c>
      <c r="C393" t="s">
        <v>897</v>
      </c>
      <c r="D393">
        <v>153357</v>
      </c>
      <c r="E393">
        <v>0</v>
      </c>
      <c r="F393">
        <v>132310</v>
      </c>
      <c r="G393">
        <v>31500</v>
      </c>
      <c r="H393">
        <v>0</v>
      </c>
      <c r="I393">
        <v>0</v>
      </c>
      <c r="J393">
        <v>16413</v>
      </c>
      <c r="K393">
        <v>0</v>
      </c>
      <c r="L393">
        <v>0</v>
      </c>
    </row>
    <row r="394" spans="1:12" x14ac:dyDescent="0.25">
      <c r="A394" t="s">
        <v>904</v>
      </c>
      <c r="B394" t="s">
        <v>905</v>
      </c>
      <c r="C394" t="s">
        <v>903</v>
      </c>
      <c r="D394">
        <v>0</v>
      </c>
      <c r="E394">
        <v>0</v>
      </c>
      <c r="F394">
        <v>0</v>
      </c>
      <c r="G394">
        <v>0</v>
      </c>
      <c r="H394">
        <v>0</v>
      </c>
      <c r="I394">
        <v>2034</v>
      </c>
      <c r="J394">
        <v>1505</v>
      </c>
      <c r="K394">
        <v>529</v>
      </c>
      <c r="L394">
        <v>0</v>
      </c>
    </row>
    <row r="395" spans="1:12" x14ac:dyDescent="0.25">
      <c r="A395" t="s">
        <v>910</v>
      </c>
      <c r="B395" t="s">
        <v>911</v>
      </c>
      <c r="C395" t="s">
        <v>909</v>
      </c>
      <c r="D395">
        <v>63051</v>
      </c>
      <c r="E395">
        <v>25500</v>
      </c>
      <c r="F395">
        <v>8646</v>
      </c>
      <c r="G395">
        <v>4003</v>
      </c>
      <c r="H395">
        <v>24902</v>
      </c>
      <c r="I395">
        <v>11395</v>
      </c>
      <c r="J395">
        <v>8523</v>
      </c>
      <c r="K395">
        <v>2872</v>
      </c>
      <c r="L395">
        <v>0</v>
      </c>
    </row>
    <row r="396" spans="1:12" x14ac:dyDescent="0.25">
      <c r="A396" t="s">
        <v>916</v>
      </c>
      <c r="B396" t="s">
        <v>917</v>
      </c>
      <c r="C396" t="s">
        <v>915</v>
      </c>
      <c r="D396">
        <v>25438</v>
      </c>
      <c r="E396">
        <v>0</v>
      </c>
      <c r="F396">
        <v>21627</v>
      </c>
      <c r="G396">
        <v>3810</v>
      </c>
      <c r="H396">
        <v>0</v>
      </c>
      <c r="I396">
        <v>6978</v>
      </c>
      <c r="J396">
        <v>6978</v>
      </c>
      <c r="K396">
        <v>0</v>
      </c>
      <c r="L396">
        <v>0</v>
      </c>
    </row>
    <row r="397" spans="1:12" x14ac:dyDescent="0.25">
      <c r="A397" t="s">
        <v>919</v>
      </c>
      <c r="B397" t="s">
        <v>920</v>
      </c>
      <c r="C397" t="s">
        <v>918</v>
      </c>
      <c r="D397">
        <v>55251</v>
      </c>
      <c r="E397">
        <v>0</v>
      </c>
      <c r="F397">
        <v>4404</v>
      </c>
      <c r="G397">
        <v>21409</v>
      </c>
      <c r="H397">
        <v>25360</v>
      </c>
      <c r="I397">
        <v>27812</v>
      </c>
      <c r="J397">
        <v>20239</v>
      </c>
      <c r="K397">
        <v>3495</v>
      </c>
      <c r="L397">
        <v>4078</v>
      </c>
    </row>
    <row r="398" spans="1:12" x14ac:dyDescent="0.25">
      <c r="A398" t="s">
        <v>928</v>
      </c>
      <c r="B398" t="s">
        <v>929</v>
      </c>
      <c r="C398" t="s">
        <v>927</v>
      </c>
    </row>
    <row r="399" spans="1:12" x14ac:dyDescent="0.25">
      <c r="A399" t="s">
        <v>949</v>
      </c>
      <c r="B399" t="s">
        <v>950</v>
      </c>
      <c r="C399" t="s">
        <v>948</v>
      </c>
      <c r="D399">
        <v>7195</v>
      </c>
      <c r="E399">
        <v>1761</v>
      </c>
      <c r="F399">
        <v>555</v>
      </c>
      <c r="G399">
        <v>4354</v>
      </c>
      <c r="H399">
        <v>2169</v>
      </c>
      <c r="I399">
        <v>1030</v>
      </c>
      <c r="J399">
        <v>627</v>
      </c>
      <c r="K399">
        <v>403</v>
      </c>
      <c r="L399">
        <v>0</v>
      </c>
    </row>
    <row r="400" spans="1:12" x14ac:dyDescent="0.25">
      <c r="A400" t="s">
        <v>952</v>
      </c>
      <c r="B400" t="s">
        <v>953</v>
      </c>
      <c r="C400" t="s">
        <v>951</v>
      </c>
      <c r="D400">
        <v>9052</v>
      </c>
      <c r="E400">
        <v>0</v>
      </c>
      <c r="F400">
        <v>3840</v>
      </c>
      <c r="G400">
        <v>5211</v>
      </c>
      <c r="H400">
        <v>0</v>
      </c>
      <c r="I400">
        <v>2776</v>
      </c>
      <c r="J400">
        <v>2260</v>
      </c>
      <c r="K400">
        <v>516</v>
      </c>
      <c r="L400">
        <v>0</v>
      </c>
    </row>
    <row r="401" spans="1:12" x14ac:dyDescent="0.25">
      <c r="A401" t="s">
        <v>961</v>
      </c>
      <c r="B401" t="s">
        <v>962</v>
      </c>
      <c r="C401" t="s">
        <v>960</v>
      </c>
      <c r="D401">
        <v>31322</v>
      </c>
      <c r="E401">
        <v>15000</v>
      </c>
      <c r="F401">
        <v>8251</v>
      </c>
      <c r="G401">
        <v>106</v>
      </c>
      <c r="H401">
        <v>7700</v>
      </c>
      <c r="I401">
        <v>5210</v>
      </c>
      <c r="J401">
        <v>3407</v>
      </c>
      <c r="K401">
        <v>1538</v>
      </c>
      <c r="L401">
        <v>265</v>
      </c>
    </row>
    <row r="402" spans="1:12" x14ac:dyDescent="0.25">
      <c r="A402" t="s">
        <v>967</v>
      </c>
      <c r="B402" t="s">
        <v>968</v>
      </c>
      <c r="C402" t="s">
        <v>966</v>
      </c>
      <c r="D402">
        <v>17039</v>
      </c>
      <c r="E402">
        <v>6140</v>
      </c>
      <c r="F402">
        <v>2046</v>
      </c>
      <c r="G402">
        <v>6512</v>
      </c>
      <c r="H402">
        <v>1050</v>
      </c>
      <c r="I402">
        <v>480</v>
      </c>
      <c r="J402">
        <v>0</v>
      </c>
      <c r="K402">
        <v>0</v>
      </c>
      <c r="L402">
        <v>480</v>
      </c>
    </row>
    <row r="403" spans="1:12" x14ac:dyDescent="0.25">
      <c r="A403" t="s">
        <v>982</v>
      </c>
      <c r="B403" t="s">
        <v>983</v>
      </c>
      <c r="C403" t="s">
        <v>981</v>
      </c>
      <c r="D403">
        <v>35450</v>
      </c>
      <c r="E403">
        <v>0</v>
      </c>
      <c r="F403">
        <v>30450</v>
      </c>
      <c r="G403">
        <v>5000</v>
      </c>
      <c r="H403">
        <v>0</v>
      </c>
      <c r="I403">
        <v>5439</v>
      </c>
      <c r="J403">
        <v>5439</v>
      </c>
      <c r="K403">
        <v>0</v>
      </c>
      <c r="L403">
        <v>0</v>
      </c>
    </row>
    <row r="404" spans="1:12" x14ac:dyDescent="0.25">
      <c r="A404" t="s">
        <v>994</v>
      </c>
      <c r="B404" t="s">
        <v>995</v>
      </c>
      <c r="C404" t="s">
        <v>993</v>
      </c>
      <c r="D404">
        <v>19103</v>
      </c>
      <c r="E404">
        <v>0</v>
      </c>
      <c r="F404">
        <v>10601</v>
      </c>
      <c r="G404">
        <v>0</v>
      </c>
      <c r="H404">
        <v>8502</v>
      </c>
      <c r="I404">
        <v>3554</v>
      </c>
      <c r="J404">
        <v>2526</v>
      </c>
      <c r="K404">
        <v>1028</v>
      </c>
      <c r="L404">
        <v>0</v>
      </c>
    </row>
    <row r="405" spans="1:12" x14ac:dyDescent="0.25">
      <c r="A405" t="s">
        <v>1006</v>
      </c>
      <c r="B405" t="s">
        <v>1007</v>
      </c>
      <c r="C405" t="s">
        <v>1005</v>
      </c>
      <c r="D405">
        <v>0</v>
      </c>
      <c r="E405">
        <v>0</v>
      </c>
      <c r="F405">
        <v>0</v>
      </c>
      <c r="G405">
        <v>0</v>
      </c>
      <c r="H405">
        <v>0</v>
      </c>
      <c r="I405">
        <v>10363</v>
      </c>
      <c r="J405">
        <v>6589</v>
      </c>
      <c r="K405">
        <v>3774</v>
      </c>
      <c r="L405">
        <v>0</v>
      </c>
    </row>
    <row r="406" spans="1:12" x14ac:dyDescent="0.25">
      <c r="A406" t="s">
        <v>1015</v>
      </c>
      <c r="B406" t="s">
        <v>1016</v>
      </c>
      <c r="C406" t="s">
        <v>1014</v>
      </c>
      <c r="D406">
        <v>33874</v>
      </c>
      <c r="E406">
        <v>0</v>
      </c>
      <c r="F406">
        <v>9176</v>
      </c>
      <c r="G406">
        <v>5151</v>
      </c>
      <c r="H406">
        <v>5353</v>
      </c>
      <c r="I406">
        <v>2499</v>
      </c>
      <c r="J406">
        <v>0</v>
      </c>
      <c r="K406">
        <v>0</v>
      </c>
      <c r="L406">
        <v>2499</v>
      </c>
    </row>
    <row r="407" spans="1:12" x14ac:dyDescent="0.25">
      <c r="A407" t="s">
        <v>1018</v>
      </c>
      <c r="B407" t="s">
        <v>1019</v>
      </c>
      <c r="C407" t="s">
        <v>1017</v>
      </c>
      <c r="D407">
        <v>38341</v>
      </c>
      <c r="E407">
        <v>0</v>
      </c>
      <c r="F407">
        <v>38541</v>
      </c>
      <c r="G407">
        <v>0</v>
      </c>
      <c r="H407">
        <v>0</v>
      </c>
      <c r="I407">
        <v>5852</v>
      </c>
      <c r="J407">
        <v>3333</v>
      </c>
      <c r="K407">
        <v>2519</v>
      </c>
      <c r="L407">
        <v>0</v>
      </c>
    </row>
    <row r="408" spans="1:12" x14ac:dyDescent="0.25">
      <c r="A408" t="s">
        <v>1031</v>
      </c>
      <c r="B408" t="s">
        <v>1032</v>
      </c>
      <c r="C408" t="s">
        <v>1030</v>
      </c>
      <c r="D408">
        <v>16744</v>
      </c>
      <c r="E408">
        <v>0</v>
      </c>
      <c r="F408">
        <v>9020</v>
      </c>
      <c r="G408">
        <v>7724</v>
      </c>
      <c r="H408">
        <v>0</v>
      </c>
      <c r="I408">
        <v>4095</v>
      </c>
      <c r="J408">
        <v>3421</v>
      </c>
      <c r="K408">
        <v>674</v>
      </c>
      <c r="L408">
        <v>0</v>
      </c>
    </row>
    <row r="409" spans="1:12" x14ac:dyDescent="0.25">
      <c r="A409" t="s">
        <v>1043</v>
      </c>
      <c r="B409" t="s">
        <v>1044</v>
      </c>
      <c r="C409" t="s">
        <v>1042</v>
      </c>
      <c r="D409">
        <v>27164</v>
      </c>
      <c r="E409">
        <v>0</v>
      </c>
      <c r="F409">
        <v>27164</v>
      </c>
      <c r="G409">
        <v>0</v>
      </c>
      <c r="H409">
        <v>0</v>
      </c>
      <c r="I409">
        <v>3744</v>
      </c>
      <c r="J409">
        <v>2715</v>
      </c>
      <c r="K409">
        <v>1029</v>
      </c>
      <c r="L409">
        <v>0</v>
      </c>
    </row>
    <row r="410" spans="1:12" x14ac:dyDescent="0.25">
      <c r="A410" t="s">
        <v>1052</v>
      </c>
      <c r="B410" t="s">
        <v>1053</v>
      </c>
      <c r="C410" t="s">
        <v>1051</v>
      </c>
      <c r="D410">
        <v>26702</v>
      </c>
      <c r="E410">
        <v>0</v>
      </c>
      <c r="F410">
        <v>22413</v>
      </c>
      <c r="G410">
        <v>932</v>
      </c>
      <c r="H410">
        <v>3357</v>
      </c>
      <c r="I410">
        <v>4904</v>
      </c>
      <c r="J410">
        <v>3695</v>
      </c>
      <c r="K410">
        <v>1209</v>
      </c>
      <c r="L410">
        <v>0</v>
      </c>
    </row>
    <row r="411" spans="1:12" x14ac:dyDescent="0.25">
      <c r="A411" t="s">
        <v>1073</v>
      </c>
      <c r="B411" t="s">
        <v>1074</v>
      </c>
      <c r="C411" t="s">
        <v>1072</v>
      </c>
      <c r="D411">
        <v>57907</v>
      </c>
      <c r="E411">
        <v>0</v>
      </c>
      <c r="F411">
        <v>28260</v>
      </c>
      <c r="G411">
        <v>6033</v>
      </c>
      <c r="H411">
        <v>22616</v>
      </c>
      <c r="I411">
        <v>7182</v>
      </c>
      <c r="J411">
        <v>7182</v>
      </c>
      <c r="K411">
        <v>0</v>
      </c>
      <c r="L411">
        <v>0</v>
      </c>
    </row>
    <row r="412" spans="1:12" x14ac:dyDescent="0.25">
      <c r="A412" t="s">
        <v>1082</v>
      </c>
      <c r="B412" t="s">
        <v>1083</v>
      </c>
      <c r="C412" t="s">
        <v>1081</v>
      </c>
      <c r="D412">
        <v>3413</v>
      </c>
      <c r="E412">
        <v>0</v>
      </c>
      <c r="F412">
        <v>2296</v>
      </c>
      <c r="G412">
        <v>0</v>
      </c>
      <c r="H412">
        <v>1117</v>
      </c>
      <c r="I412">
        <v>8386</v>
      </c>
      <c r="J412">
        <v>7092</v>
      </c>
      <c r="K412">
        <v>1294</v>
      </c>
      <c r="L412">
        <v>0</v>
      </c>
    </row>
    <row r="413" spans="1:12" x14ac:dyDescent="0.25">
      <c r="A413" t="s">
        <v>1088</v>
      </c>
      <c r="B413" t="s">
        <v>1089</v>
      </c>
      <c r="C413" t="s">
        <v>1087</v>
      </c>
    </row>
    <row r="414" spans="1:12" x14ac:dyDescent="0.25">
      <c r="A414" t="s">
        <v>1115</v>
      </c>
      <c r="B414" t="s">
        <v>1116</v>
      </c>
      <c r="C414" t="s">
        <v>1114</v>
      </c>
      <c r="D414">
        <v>47857</v>
      </c>
      <c r="E414">
        <v>0</v>
      </c>
      <c r="F414">
        <v>46959</v>
      </c>
      <c r="G414">
        <v>898</v>
      </c>
      <c r="H414">
        <v>0</v>
      </c>
      <c r="I414">
        <v>6111</v>
      </c>
      <c r="J414">
        <v>4672</v>
      </c>
      <c r="K414">
        <v>1439</v>
      </c>
      <c r="L414">
        <v>0</v>
      </c>
    </row>
    <row r="415" spans="1:12" x14ac:dyDescent="0.25">
      <c r="A415" t="s">
        <v>1133</v>
      </c>
      <c r="B415" t="s">
        <v>1134</v>
      </c>
      <c r="C415" t="s">
        <v>1132</v>
      </c>
      <c r="D415">
        <v>49408</v>
      </c>
      <c r="E415">
        <v>684</v>
      </c>
      <c r="F415">
        <v>14079</v>
      </c>
      <c r="G415">
        <v>23167</v>
      </c>
      <c r="H415">
        <v>11478</v>
      </c>
      <c r="I415">
        <v>4763</v>
      </c>
      <c r="J415">
        <v>3810</v>
      </c>
      <c r="K415">
        <v>953</v>
      </c>
      <c r="L415">
        <v>0</v>
      </c>
    </row>
    <row r="416" spans="1:12" x14ac:dyDescent="0.25">
      <c r="A416" t="s">
        <v>1142</v>
      </c>
      <c r="B416" t="s">
        <v>1143</v>
      </c>
      <c r="C416" t="s">
        <v>1141</v>
      </c>
      <c r="D416">
        <v>34714</v>
      </c>
      <c r="E416">
        <v>0</v>
      </c>
      <c r="F416">
        <v>7957</v>
      </c>
      <c r="G416">
        <v>22199</v>
      </c>
      <c r="H416">
        <v>3828</v>
      </c>
      <c r="I416">
        <v>3650</v>
      </c>
      <c r="J416">
        <v>2920</v>
      </c>
      <c r="K416">
        <v>0</v>
      </c>
      <c r="L416">
        <v>730</v>
      </c>
    </row>
    <row r="417" spans="1:12" x14ac:dyDescent="0.25">
      <c r="A417" t="s">
        <v>1148</v>
      </c>
      <c r="B417" t="s">
        <v>1149</v>
      </c>
      <c r="C417" t="s">
        <v>1147</v>
      </c>
      <c r="D417">
        <v>57907</v>
      </c>
      <c r="E417">
        <v>2879</v>
      </c>
      <c r="F417">
        <v>2742</v>
      </c>
      <c r="G417">
        <v>22480</v>
      </c>
      <c r="H417">
        <v>29806</v>
      </c>
      <c r="I417">
        <v>12355</v>
      </c>
      <c r="J417">
        <v>9435</v>
      </c>
      <c r="K417">
        <v>2920</v>
      </c>
      <c r="L417">
        <v>0</v>
      </c>
    </row>
    <row r="418" spans="1:12" x14ac:dyDescent="0.25">
      <c r="A418" t="s">
        <v>1154</v>
      </c>
      <c r="B418" t="s">
        <v>1155</v>
      </c>
      <c r="C418" t="s">
        <v>1153</v>
      </c>
      <c r="D418">
        <v>13324</v>
      </c>
      <c r="E418">
        <v>3506</v>
      </c>
      <c r="F418">
        <v>4863</v>
      </c>
      <c r="G418">
        <v>1094</v>
      </c>
      <c r="H418">
        <v>2360</v>
      </c>
      <c r="I418">
        <v>2183</v>
      </c>
      <c r="J418">
        <v>2183</v>
      </c>
      <c r="K418">
        <v>0</v>
      </c>
      <c r="L418">
        <v>0</v>
      </c>
    </row>
    <row r="419" spans="1:12" x14ac:dyDescent="0.25">
      <c r="A419" t="s">
        <v>1157</v>
      </c>
      <c r="B419" t="s">
        <v>1158</v>
      </c>
      <c r="C419" t="s">
        <v>1156</v>
      </c>
      <c r="D419">
        <v>4061</v>
      </c>
      <c r="E419">
        <v>150</v>
      </c>
      <c r="F419">
        <v>1879</v>
      </c>
      <c r="G419">
        <v>405</v>
      </c>
      <c r="H419">
        <v>1626</v>
      </c>
      <c r="I419">
        <v>3413</v>
      </c>
      <c r="J419">
        <v>2737</v>
      </c>
      <c r="K419">
        <v>676</v>
      </c>
      <c r="L419">
        <v>0</v>
      </c>
    </row>
    <row r="420" spans="1:12" x14ac:dyDescent="0.25">
      <c r="A420" t="s">
        <v>1176</v>
      </c>
      <c r="B420" t="s">
        <v>1177</v>
      </c>
      <c r="C420" t="s">
        <v>1175</v>
      </c>
      <c r="D420">
        <v>33639</v>
      </c>
      <c r="E420">
        <v>14576</v>
      </c>
      <c r="F420">
        <v>14107</v>
      </c>
      <c r="G420">
        <v>0</v>
      </c>
      <c r="H420">
        <v>4957</v>
      </c>
      <c r="I420">
        <v>2280</v>
      </c>
      <c r="J420">
        <v>1344</v>
      </c>
      <c r="K420">
        <v>936</v>
      </c>
      <c r="L420">
        <v>0</v>
      </c>
    </row>
    <row r="421" spans="1:12" x14ac:dyDescent="0.25">
      <c r="A421" t="s">
        <v>1197</v>
      </c>
      <c r="B421" t="s">
        <v>1198</v>
      </c>
      <c r="C421" t="s">
        <v>1196</v>
      </c>
      <c r="D421">
        <v>53884</v>
      </c>
      <c r="E421">
        <v>0</v>
      </c>
      <c r="F421">
        <v>53884</v>
      </c>
      <c r="G421">
        <v>0</v>
      </c>
      <c r="H421">
        <v>0</v>
      </c>
      <c r="I421">
        <v>8063</v>
      </c>
      <c r="J421">
        <v>7134</v>
      </c>
      <c r="K421">
        <v>929</v>
      </c>
      <c r="L421">
        <v>0</v>
      </c>
    </row>
    <row r="422" spans="1:12" x14ac:dyDescent="0.25">
      <c r="A422" t="s">
        <v>1203</v>
      </c>
      <c r="B422" t="s">
        <v>1204</v>
      </c>
      <c r="C422" t="s">
        <v>1202</v>
      </c>
      <c r="D422">
        <v>198070</v>
      </c>
      <c r="E422">
        <v>5211</v>
      </c>
      <c r="F422">
        <v>133580</v>
      </c>
      <c r="G422">
        <v>12335</v>
      </c>
      <c r="H422">
        <v>46944</v>
      </c>
      <c r="I422">
        <v>24229</v>
      </c>
      <c r="J422">
        <v>16289</v>
      </c>
      <c r="K422">
        <v>7940</v>
      </c>
      <c r="L422">
        <v>0</v>
      </c>
    </row>
    <row r="423" spans="1:12" x14ac:dyDescent="0.25">
      <c r="A423" t="s">
        <v>1251</v>
      </c>
      <c r="B423" t="s">
        <v>1252</v>
      </c>
      <c r="C423" t="s">
        <v>1250</v>
      </c>
      <c r="D423">
        <v>46096</v>
      </c>
      <c r="E423">
        <v>0</v>
      </c>
      <c r="F423">
        <v>30800</v>
      </c>
      <c r="G423">
        <v>3977</v>
      </c>
      <c r="H423">
        <v>11319</v>
      </c>
      <c r="I423">
        <v>4412</v>
      </c>
      <c r="J423">
        <v>3411</v>
      </c>
      <c r="K423">
        <v>1001</v>
      </c>
      <c r="L423">
        <v>0</v>
      </c>
    </row>
    <row r="424" spans="1:12" x14ac:dyDescent="0.25">
      <c r="A424" t="s">
        <v>1260</v>
      </c>
      <c r="B424" t="s">
        <v>1261</v>
      </c>
      <c r="C424" t="s">
        <v>1259</v>
      </c>
      <c r="D424">
        <v>7353</v>
      </c>
      <c r="E424">
        <v>0</v>
      </c>
      <c r="F424">
        <v>5092</v>
      </c>
      <c r="G424">
        <v>2261</v>
      </c>
      <c r="H424">
        <v>0</v>
      </c>
      <c r="I424">
        <v>1836</v>
      </c>
      <c r="J424">
        <v>1583</v>
      </c>
      <c r="K424">
        <v>253</v>
      </c>
      <c r="L424">
        <v>0</v>
      </c>
    </row>
    <row r="425" spans="1:12" x14ac:dyDescent="0.25">
      <c r="A425" t="s">
        <v>1284</v>
      </c>
      <c r="B425" t="s">
        <v>1285</v>
      </c>
      <c r="C425" t="s">
        <v>1283</v>
      </c>
      <c r="D425">
        <v>87619</v>
      </c>
      <c r="E425">
        <v>0</v>
      </c>
      <c r="F425">
        <v>33256</v>
      </c>
      <c r="G425">
        <v>13449</v>
      </c>
      <c r="H425">
        <v>40914</v>
      </c>
      <c r="I425">
        <v>10256</v>
      </c>
      <c r="J425">
        <v>10256</v>
      </c>
      <c r="K425">
        <v>0</v>
      </c>
      <c r="L425">
        <v>0</v>
      </c>
    </row>
    <row r="426" spans="1:12" x14ac:dyDescent="0.25">
      <c r="A426" t="s">
        <v>1332</v>
      </c>
      <c r="B426" t="s">
        <v>1333</v>
      </c>
      <c r="C426" t="s">
        <v>1331</v>
      </c>
    </row>
    <row r="427" spans="1:12" x14ac:dyDescent="0.25">
      <c r="A427" t="s">
        <v>1341</v>
      </c>
      <c r="B427" t="s">
        <v>1342</v>
      </c>
      <c r="C427" t="s">
        <v>1340</v>
      </c>
      <c r="D427">
        <v>13691</v>
      </c>
      <c r="E427">
        <v>0</v>
      </c>
      <c r="F427">
        <v>7929</v>
      </c>
      <c r="G427">
        <v>5762</v>
      </c>
      <c r="H427">
        <v>0</v>
      </c>
      <c r="I427">
        <v>3742</v>
      </c>
      <c r="J427">
        <v>3742</v>
      </c>
      <c r="K427">
        <v>0</v>
      </c>
      <c r="L427">
        <v>0</v>
      </c>
    </row>
    <row r="428" spans="1:12" x14ac:dyDescent="0.25">
      <c r="A428" t="s">
        <v>542</v>
      </c>
      <c r="B428" t="s">
        <v>543</v>
      </c>
      <c r="C428" t="s">
        <v>541</v>
      </c>
      <c r="D428">
        <v>36748</v>
      </c>
      <c r="E428">
        <v>0</v>
      </c>
      <c r="F428">
        <v>36276</v>
      </c>
      <c r="G428">
        <v>0</v>
      </c>
      <c r="H428">
        <v>472</v>
      </c>
      <c r="I428">
        <v>2171</v>
      </c>
      <c r="J428">
        <v>1920</v>
      </c>
      <c r="K428">
        <v>251</v>
      </c>
      <c r="L428">
        <v>0</v>
      </c>
    </row>
    <row r="429" spans="1:12" x14ac:dyDescent="0.25">
      <c r="D429">
        <v>28398071</v>
      </c>
      <c r="E429">
        <v>1959763</v>
      </c>
      <c r="F429">
        <v>15023181</v>
      </c>
      <c r="G429">
        <v>4204634</v>
      </c>
      <c r="H429">
        <v>4690074</v>
      </c>
      <c r="I429">
        <v>5557028</v>
      </c>
      <c r="J429">
        <v>2946948</v>
      </c>
      <c r="K429">
        <v>555342</v>
      </c>
      <c r="L429">
        <v>2071549</v>
      </c>
    </row>
  </sheetData>
  <sheetProtection sheet="1" objects="1" scenarios="1"/>
  <autoFilter ref="A2:L429" xr:uid="{9FB2A521-A9C7-435C-8694-E5D09B8F2B42}"/>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5D4591-EFF2-4F25-822F-EE7E579A5D6C}">
  <sheetPr codeName="Sheet21"/>
  <dimension ref="A1:I428"/>
  <sheetViews>
    <sheetView zoomScaleNormal="100" workbookViewId="0">
      <pane xSplit="3" ySplit="1" topLeftCell="D2" activePane="bottomRight" state="frozen"/>
      <selection pane="topRight" activeCell="D1" sqref="D1"/>
      <selection pane="bottomLeft" activeCell="A2" sqref="A2"/>
      <selection pane="bottomRight"/>
    </sheetView>
  </sheetViews>
  <sheetFormatPr defaultRowHeight="12.5" x14ac:dyDescent="0.25"/>
  <cols>
    <col min="2" max="2" width="15.54296875" customWidth="1"/>
    <col min="3" max="3" width="63.81640625" customWidth="1"/>
    <col min="4" max="9" width="15.54296875" customWidth="1"/>
  </cols>
  <sheetData>
    <row r="1" spans="1:9" s="840" customFormat="1" ht="65" x14ac:dyDescent="0.3">
      <c r="A1" s="841" t="s">
        <v>5466</v>
      </c>
      <c r="B1" s="841" t="s">
        <v>5467</v>
      </c>
      <c r="C1" s="841" t="s">
        <v>5468</v>
      </c>
      <c r="D1" s="841" t="s">
        <v>5469</v>
      </c>
      <c r="E1" s="841" t="s">
        <v>5470</v>
      </c>
      <c r="F1" s="841" t="s">
        <v>5471</v>
      </c>
      <c r="G1" s="841" t="s">
        <v>5472</v>
      </c>
      <c r="H1" s="841" t="s">
        <v>5473</v>
      </c>
      <c r="I1" s="841" t="s">
        <v>5474</v>
      </c>
    </row>
    <row r="2" spans="1:9" x14ac:dyDescent="0.25">
      <c r="A2" t="s">
        <v>59</v>
      </c>
      <c r="B2" t="s">
        <v>60</v>
      </c>
      <c r="C2" t="s">
        <v>58</v>
      </c>
      <c r="D2">
        <v>1289267</v>
      </c>
      <c r="E2">
        <v>17142</v>
      </c>
      <c r="F2">
        <v>1306409</v>
      </c>
      <c r="G2">
        <v>1306.4090000000001</v>
      </c>
      <c r="H2">
        <v>0</v>
      </c>
      <c r="I2">
        <v>0</v>
      </c>
    </row>
    <row r="3" spans="1:9" x14ac:dyDescent="0.25">
      <c r="A3" t="s">
        <v>65</v>
      </c>
      <c r="B3" t="s">
        <v>66</v>
      </c>
      <c r="C3" t="s">
        <v>64</v>
      </c>
      <c r="D3">
        <v>3496383</v>
      </c>
      <c r="E3">
        <v>10582</v>
      </c>
      <c r="F3">
        <v>3506965</v>
      </c>
      <c r="G3">
        <v>3506.9650000000001</v>
      </c>
      <c r="H3">
        <v>0</v>
      </c>
      <c r="I3">
        <v>0</v>
      </c>
    </row>
    <row r="4" spans="1:9" x14ac:dyDescent="0.25">
      <c r="A4" t="s">
        <v>69</v>
      </c>
      <c r="B4" t="s">
        <v>70</v>
      </c>
      <c r="C4" t="s">
        <v>68</v>
      </c>
      <c r="D4">
        <v>1802302</v>
      </c>
      <c r="E4">
        <v>38821</v>
      </c>
      <c r="F4">
        <v>1841123</v>
      </c>
      <c r="G4">
        <v>1841.123</v>
      </c>
      <c r="H4">
        <v>0</v>
      </c>
      <c r="I4">
        <v>0</v>
      </c>
    </row>
    <row r="5" spans="1:9" x14ac:dyDescent="0.25">
      <c r="A5" t="s">
        <v>73</v>
      </c>
      <c r="B5" t="s">
        <v>74</v>
      </c>
      <c r="C5" t="s">
        <v>72</v>
      </c>
      <c r="D5">
        <v>3527583</v>
      </c>
      <c r="E5">
        <v>28216</v>
      </c>
      <c r="F5">
        <v>3555799</v>
      </c>
      <c r="G5">
        <v>3555.799</v>
      </c>
      <c r="H5">
        <v>0</v>
      </c>
      <c r="I5">
        <v>0</v>
      </c>
    </row>
    <row r="6" spans="1:9" x14ac:dyDescent="0.25">
      <c r="A6" t="s">
        <v>77</v>
      </c>
      <c r="B6" t="s">
        <v>78</v>
      </c>
      <c r="C6" t="s">
        <v>76</v>
      </c>
      <c r="D6">
        <v>1545242</v>
      </c>
      <c r="E6">
        <v>48825</v>
      </c>
      <c r="F6">
        <v>1594067</v>
      </c>
      <c r="G6">
        <v>1594.067</v>
      </c>
      <c r="H6">
        <v>0</v>
      </c>
      <c r="I6">
        <v>0</v>
      </c>
    </row>
    <row r="7" spans="1:9" x14ac:dyDescent="0.25">
      <c r="A7" t="s">
        <v>81</v>
      </c>
      <c r="B7" t="s">
        <v>82</v>
      </c>
      <c r="C7" t="s">
        <v>80</v>
      </c>
      <c r="D7">
        <v>4876003</v>
      </c>
      <c r="E7">
        <v>53382</v>
      </c>
      <c r="F7">
        <v>4929385</v>
      </c>
      <c r="G7">
        <v>4929.3850000000002</v>
      </c>
      <c r="H7">
        <v>0</v>
      </c>
      <c r="I7">
        <v>0</v>
      </c>
    </row>
    <row r="8" spans="1:9" x14ac:dyDescent="0.25">
      <c r="A8" t="s">
        <v>95</v>
      </c>
      <c r="B8" t="s">
        <v>96</v>
      </c>
      <c r="C8" t="s">
        <v>94</v>
      </c>
      <c r="D8">
        <v>2112469</v>
      </c>
      <c r="E8">
        <v>37125</v>
      </c>
      <c r="F8">
        <v>2149594</v>
      </c>
      <c r="G8">
        <v>2149.5940000000001</v>
      </c>
      <c r="H8">
        <v>6334</v>
      </c>
      <c r="I8">
        <v>6.3339999999999996</v>
      </c>
    </row>
    <row r="9" spans="1:9" x14ac:dyDescent="0.25">
      <c r="A9" t="s">
        <v>99</v>
      </c>
      <c r="B9" t="s">
        <v>100</v>
      </c>
      <c r="C9" t="s">
        <v>5475</v>
      </c>
      <c r="D9">
        <v>2882055</v>
      </c>
      <c r="E9">
        <v>90764</v>
      </c>
      <c r="F9">
        <v>2972819</v>
      </c>
      <c r="G9">
        <v>2972.819</v>
      </c>
      <c r="H9">
        <v>0</v>
      </c>
      <c r="I9">
        <v>0</v>
      </c>
    </row>
    <row r="10" spans="1:9" x14ac:dyDescent="0.25">
      <c r="A10" t="s">
        <v>104</v>
      </c>
      <c r="B10" t="s">
        <v>105</v>
      </c>
      <c r="C10" t="s">
        <v>103</v>
      </c>
      <c r="D10">
        <v>15246726</v>
      </c>
      <c r="E10">
        <v>142817</v>
      </c>
      <c r="F10">
        <v>15389543</v>
      </c>
      <c r="G10">
        <v>15389.543</v>
      </c>
      <c r="H10">
        <v>0</v>
      </c>
      <c r="I10">
        <v>0</v>
      </c>
    </row>
    <row r="11" spans="1:9" x14ac:dyDescent="0.25">
      <c r="A11" t="s">
        <v>107</v>
      </c>
      <c r="B11" t="s">
        <v>108</v>
      </c>
      <c r="C11" t="s">
        <v>106</v>
      </c>
      <c r="D11">
        <v>3355260</v>
      </c>
      <c r="E11">
        <v>63123</v>
      </c>
      <c r="F11">
        <v>3418383</v>
      </c>
      <c r="G11">
        <v>3418.3829999999998</v>
      </c>
      <c r="H11">
        <v>1516133</v>
      </c>
      <c r="I11">
        <v>1516.133</v>
      </c>
    </row>
    <row r="12" spans="1:9" x14ac:dyDescent="0.25">
      <c r="A12" t="s">
        <v>112</v>
      </c>
      <c r="B12" t="s">
        <v>113</v>
      </c>
      <c r="C12" t="s">
        <v>111</v>
      </c>
      <c r="D12">
        <v>1233365</v>
      </c>
      <c r="E12">
        <v>16595</v>
      </c>
      <c r="F12">
        <v>1249960</v>
      </c>
      <c r="G12">
        <v>1249.96</v>
      </c>
      <c r="H12">
        <v>0</v>
      </c>
      <c r="I12">
        <v>0</v>
      </c>
    </row>
    <row r="13" spans="1:9" x14ac:dyDescent="0.25">
      <c r="A13" t="s">
        <v>116</v>
      </c>
      <c r="B13" t="s">
        <v>117</v>
      </c>
      <c r="C13" t="s">
        <v>115</v>
      </c>
      <c r="D13">
        <v>6488379</v>
      </c>
      <c r="E13">
        <v>48646</v>
      </c>
      <c r="F13">
        <v>6537025</v>
      </c>
      <c r="G13">
        <v>6537.0249999999996</v>
      </c>
      <c r="H13">
        <v>1927497</v>
      </c>
      <c r="I13">
        <v>1927.4970000000001</v>
      </c>
    </row>
    <row r="14" spans="1:9" x14ac:dyDescent="0.25">
      <c r="A14" t="s">
        <v>120</v>
      </c>
      <c r="B14" t="s">
        <v>121</v>
      </c>
      <c r="C14" t="s">
        <v>5476</v>
      </c>
      <c r="D14">
        <v>5360241</v>
      </c>
      <c r="E14">
        <v>153836</v>
      </c>
      <c r="F14">
        <v>5514077</v>
      </c>
      <c r="G14">
        <v>5514.0770000000002</v>
      </c>
      <c r="H14">
        <v>0</v>
      </c>
      <c r="I14">
        <v>0</v>
      </c>
    </row>
    <row r="15" spans="1:9" x14ac:dyDescent="0.25">
      <c r="A15" t="s">
        <v>123</v>
      </c>
      <c r="B15" t="s">
        <v>124</v>
      </c>
      <c r="C15" t="s">
        <v>122</v>
      </c>
      <c r="D15">
        <v>1999594</v>
      </c>
      <c r="E15">
        <v>33394</v>
      </c>
      <c r="F15">
        <v>2032988</v>
      </c>
      <c r="G15">
        <v>2032.9880000000001</v>
      </c>
      <c r="H15">
        <v>0</v>
      </c>
      <c r="I15">
        <v>0</v>
      </c>
    </row>
    <row r="16" spans="1:9" x14ac:dyDescent="0.25">
      <c r="A16" t="s">
        <v>127</v>
      </c>
      <c r="B16" t="s">
        <v>128</v>
      </c>
      <c r="C16" t="s">
        <v>5477</v>
      </c>
      <c r="D16">
        <v>19745797</v>
      </c>
      <c r="E16">
        <v>186916</v>
      </c>
      <c r="F16">
        <v>19932713</v>
      </c>
      <c r="G16">
        <v>19932.713</v>
      </c>
      <c r="H16">
        <v>0</v>
      </c>
      <c r="I16">
        <v>0</v>
      </c>
    </row>
    <row r="17" spans="1:9" x14ac:dyDescent="0.25">
      <c r="A17" t="s">
        <v>131</v>
      </c>
      <c r="B17" t="s">
        <v>132</v>
      </c>
      <c r="C17" t="s">
        <v>5478</v>
      </c>
      <c r="D17">
        <v>4894066</v>
      </c>
      <c r="E17">
        <v>79902</v>
      </c>
      <c r="F17">
        <v>4973968</v>
      </c>
      <c r="G17">
        <v>4973.9679999999998</v>
      </c>
      <c r="H17">
        <v>1477982</v>
      </c>
      <c r="I17">
        <v>1477.982</v>
      </c>
    </row>
    <row r="18" spans="1:9" x14ac:dyDescent="0.25">
      <c r="A18" t="s">
        <v>143</v>
      </c>
      <c r="B18" t="s">
        <v>144</v>
      </c>
      <c r="C18" t="s">
        <v>142</v>
      </c>
      <c r="D18">
        <v>3302848</v>
      </c>
      <c r="E18">
        <v>114214</v>
      </c>
      <c r="F18">
        <v>3417062</v>
      </c>
      <c r="G18">
        <v>3417.0619999999999</v>
      </c>
      <c r="H18">
        <v>0</v>
      </c>
      <c r="I18">
        <v>0</v>
      </c>
    </row>
    <row r="19" spans="1:9" x14ac:dyDescent="0.25">
      <c r="A19" t="s">
        <v>146</v>
      </c>
      <c r="B19" t="s">
        <v>147</v>
      </c>
      <c r="C19" t="s">
        <v>145</v>
      </c>
      <c r="D19">
        <v>96178401</v>
      </c>
      <c r="E19">
        <v>1805549</v>
      </c>
      <c r="F19">
        <v>97983950</v>
      </c>
      <c r="G19">
        <v>97983.95</v>
      </c>
      <c r="H19">
        <v>0</v>
      </c>
      <c r="I19">
        <v>0</v>
      </c>
    </row>
    <row r="20" spans="1:9" x14ac:dyDescent="0.25">
      <c r="A20" t="s">
        <v>149</v>
      </c>
      <c r="B20" t="s">
        <v>150</v>
      </c>
      <c r="C20" t="s">
        <v>148</v>
      </c>
      <c r="D20">
        <v>2267964</v>
      </c>
      <c r="E20">
        <v>56562</v>
      </c>
      <c r="F20">
        <v>2324526</v>
      </c>
      <c r="G20">
        <v>2324.5259999999998</v>
      </c>
      <c r="H20">
        <v>0</v>
      </c>
      <c r="I20">
        <v>0</v>
      </c>
    </row>
    <row r="21" spans="1:9" x14ac:dyDescent="0.25">
      <c r="A21" t="s">
        <v>152</v>
      </c>
      <c r="B21" t="s">
        <v>153</v>
      </c>
      <c r="C21" t="s">
        <v>151</v>
      </c>
      <c r="D21">
        <v>3850610</v>
      </c>
      <c r="E21">
        <v>25427</v>
      </c>
      <c r="F21">
        <v>3876037</v>
      </c>
      <c r="G21">
        <v>3876.0369999999998</v>
      </c>
      <c r="H21">
        <v>0</v>
      </c>
      <c r="I21">
        <v>0</v>
      </c>
    </row>
    <row r="22" spans="1:9" x14ac:dyDescent="0.25">
      <c r="A22" t="s">
        <v>155</v>
      </c>
      <c r="B22" t="s">
        <v>156</v>
      </c>
      <c r="C22" t="s">
        <v>154</v>
      </c>
      <c r="D22">
        <v>7390716</v>
      </c>
      <c r="E22">
        <v>56939</v>
      </c>
      <c r="F22">
        <v>7447655</v>
      </c>
      <c r="G22">
        <v>7447.6549999999997</v>
      </c>
      <c r="H22">
        <v>1211405</v>
      </c>
      <c r="I22">
        <v>1211.405</v>
      </c>
    </row>
    <row r="23" spans="1:9" x14ac:dyDescent="0.25">
      <c r="A23" t="s">
        <v>158</v>
      </c>
      <c r="B23" t="s">
        <v>159</v>
      </c>
      <c r="C23" t="s">
        <v>157</v>
      </c>
      <c r="D23">
        <v>1464680</v>
      </c>
      <c r="E23">
        <v>15339</v>
      </c>
      <c r="F23">
        <v>1480019</v>
      </c>
      <c r="G23">
        <v>1480.019</v>
      </c>
      <c r="H23">
        <v>594761</v>
      </c>
      <c r="I23">
        <v>594.76099999999997</v>
      </c>
    </row>
    <row r="24" spans="1:9" x14ac:dyDescent="0.25">
      <c r="A24" t="s">
        <v>161</v>
      </c>
      <c r="B24" t="s">
        <v>162</v>
      </c>
      <c r="C24" t="s">
        <v>160</v>
      </c>
      <c r="D24">
        <v>15247910</v>
      </c>
      <c r="E24">
        <v>369360</v>
      </c>
      <c r="F24">
        <v>15617270</v>
      </c>
      <c r="G24">
        <v>15617.27</v>
      </c>
      <c r="H24">
        <v>0</v>
      </c>
      <c r="I24">
        <v>0</v>
      </c>
    </row>
    <row r="25" spans="1:9" x14ac:dyDescent="0.25">
      <c r="A25" t="s">
        <v>164</v>
      </c>
      <c r="B25" t="s">
        <v>165</v>
      </c>
      <c r="C25" t="s">
        <v>163</v>
      </c>
      <c r="D25">
        <v>1562871</v>
      </c>
      <c r="E25">
        <v>36902</v>
      </c>
      <c r="F25">
        <v>1599773</v>
      </c>
      <c r="G25">
        <v>1599.7729999999999</v>
      </c>
      <c r="H25">
        <v>0</v>
      </c>
      <c r="I25">
        <v>0</v>
      </c>
    </row>
    <row r="26" spans="1:9" x14ac:dyDescent="0.25">
      <c r="A26" t="s">
        <v>167</v>
      </c>
      <c r="B26" t="s">
        <v>168</v>
      </c>
      <c r="C26" t="s">
        <v>5479</v>
      </c>
      <c r="D26">
        <v>19096598</v>
      </c>
      <c r="E26">
        <v>201660</v>
      </c>
      <c r="F26">
        <v>19298258</v>
      </c>
      <c r="G26">
        <v>19298.258000000002</v>
      </c>
      <c r="H26">
        <v>0</v>
      </c>
      <c r="I26">
        <v>0</v>
      </c>
    </row>
    <row r="27" spans="1:9" x14ac:dyDescent="0.25">
      <c r="A27" t="s">
        <v>173</v>
      </c>
      <c r="B27" t="s">
        <v>174</v>
      </c>
      <c r="C27" t="s">
        <v>172</v>
      </c>
      <c r="D27">
        <v>5129197</v>
      </c>
      <c r="E27">
        <v>195721</v>
      </c>
      <c r="F27">
        <v>5324918</v>
      </c>
      <c r="G27">
        <v>5324.9179999999997</v>
      </c>
      <c r="H27">
        <v>0</v>
      </c>
      <c r="I27">
        <v>0</v>
      </c>
    </row>
    <row r="28" spans="1:9" x14ac:dyDescent="0.25">
      <c r="A28" t="s">
        <v>176</v>
      </c>
      <c r="B28" t="s">
        <v>177</v>
      </c>
      <c r="C28" t="s">
        <v>175</v>
      </c>
      <c r="D28">
        <v>11987116</v>
      </c>
      <c r="E28">
        <v>281143</v>
      </c>
      <c r="F28">
        <v>12268259</v>
      </c>
      <c r="G28">
        <v>12268.259</v>
      </c>
      <c r="H28">
        <v>0</v>
      </c>
      <c r="I28">
        <v>0</v>
      </c>
    </row>
    <row r="29" spans="1:9" x14ac:dyDescent="0.25">
      <c r="A29" t="s">
        <v>179</v>
      </c>
      <c r="B29" t="s">
        <v>180</v>
      </c>
      <c r="C29" t="s">
        <v>178</v>
      </c>
      <c r="D29">
        <v>3473425</v>
      </c>
      <c r="E29">
        <v>68137</v>
      </c>
      <c r="F29">
        <v>3541562</v>
      </c>
      <c r="G29">
        <v>3541.5619999999999</v>
      </c>
      <c r="H29">
        <v>0</v>
      </c>
      <c r="I29">
        <v>0</v>
      </c>
    </row>
    <row r="30" spans="1:9" x14ac:dyDescent="0.25">
      <c r="A30" t="s">
        <v>182</v>
      </c>
      <c r="B30" t="s">
        <v>183</v>
      </c>
      <c r="C30" t="s">
        <v>181</v>
      </c>
      <c r="D30">
        <v>2255753</v>
      </c>
      <c r="E30">
        <v>33230</v>
      </c>
      <c r="F30">
        <v>2288983</v>
      </c>
      <c r="G30">
        <v>2288.9830000000002</v>
      </c>
      <c r="H30">
        <v>349295</v>
      </c>
      <c r="I30">
        <v>349.29500000000002</v>
      </c>
    </row>
    <row r="31" spans="1:9" x14ac:dyDescent="0.25">
      <c r="A31" t="s">
        <v>185</v>
      </c>
      <c r="B31" t="s">
        <v>186</v>
      </c>
      <c r="C31" t="s">
        <v>184</v>
      </c>
      <c r="D31">
        <v>9749054</v>
      </c>
      <c r="E31">
        <v>107498</v>
      </c>
      <c r="F31">
        <v>9856552</v>
      </c>
      <c r="G31">
        <v>9856.5519999999997</v>
      </c>
      <c r="H31">
        <v>0</v>
      </c>
      <c r="I31">
        <v>0</v>
      </c>
    </row>
    <row r="32" spans="1:9" x14ac:dyDescent="0.25">
      <c r="A32" t="s">
        <v>188</v>
      </c>
      <c r="B32" t="s">
        <v>189</v>
      </c>
      <c r="C32" t="s">
        <v>187</v>
      </c>
      <c r="D32">
        <v>2582195</v>
      </c>
      <c r="E32">
        <v>40711</v>
      </c>
      <c r="F32">
        <v>2622906</v>
      </c>
      <c r="G32">
        <v>2622.9059999999999</v>
      </c>
      <c r="H32">
        <v>646779</v>
      </c>
      <c r="I32">
        <v>646.779</v>
      </c>
    </row>
    <row r="33" spans="1:9" x14ac:dyDescent="0.25">
      <c r="A33" t="s">
        <v>191</v>
      </c>
      <c r="B33" t="s">
        <v>192</v>
      </c>
      <c r="C33" t="s">
        <v>5480</v>
      </c>
      <c r="D33">
        <v>19955785</v>
      </c>
      <c r="E33">
        <v>394349</v>
      </c>
      <c r="F33">
        <v>20350134</v>
      </c>
      <c r="G33">
        <v>20350.133999999998</v>
      </c>
      <c r="H33">
        <v>0</v>
      </c>
      <c r="I33">
        <v>0</v>
      </c>
    </row>
    <row r="34" spans="1:9" x14ac:dyDescent="0.25">
      <c r="A34" t="s">
        <v>194</v>
      </c>
      <c r="B34" t="s">
        <v>195</v>
      </c>
      <c r="C34" t="s">
        <v>193</v>
      </c>
      <c r="D34">
        <v>29364711</v>
      </c>
      <c r="E34">
        <v>343542</v>
      </c>
      <c r="F34">
        <v>29708253</v>
      </c>
      <c r="G34">
        <v>29708.253000000001</v>
      </c>
      <c r="H34">
        <v>0</v>
      </c>
      <c r="I34">
        <v>0</v>
      </c>
    </row>
    <row r="35" spans="1:9" x14ac:dyDescent="0.25">
      <c r="A35" t="s">
        <v>197</v>
      </c>
      <c r="B35" t="s">
        <v>198</v>
      </c>
      <c r="C35" t="s">
        <v>196</v>
      </c>
      <c r="D35">
        <v>2412994</v>
      </c>
      <c r="E35">
        <v>31165</v>
      </c>
      <c r="F35">
        <v>2444159</v>
      </c>
      <c r="G35">
        <v>2444.1590000000001</v>
      </c>
      <c r="H35">
        <v>784329</v>
      </c>
      <c r="I35">
        <v>784.32899999999995</v>
      </c>
    </row>
    <row r="36" spans="1:9" x14ac:dyDescent="0.25">
      <c r="A36" t="s">
        <v>200</v>
      </c>
      <c r="B36" t="s">
        <v>201</v>
      </c>
      <c r="C36" t="s">
        <v>5481</v>
      </c>
      <c r="D36">
        <v>7230211</v>
      </c>
      <c r="E36">
        <v>263695</v>
      </c>
      <c r="F36">
        <v>7493906</v>
      </c>
      <c r="G36">
        <v>7493.9059999999999</v>
      </c>
      <c r="H36">
        <v>1523939</v>
      </c>
      <c r="I36">
        <v>1523.9390000000001</v>
      </c>
    </row>
    <row r="37" spans="1:9" x14ac:dyDescent="0.25">
      <c r="A37" t="s">
        <v>203</v>
      </c>
      <c r="B37" t="s">
        <v>204</v>
      </c>
      <c r="C37" t="s">
        <v>202</v>
      </c>
      <c r="D37">
        <v>1794982</v>
      </c>
      <c r="E37">
        <v>65450</v>
      </c>
      <c r="F37">
        <v>1860432</v>
      </c>
      <c r="G37">
        <v>1860.432</v>
      </c>
      <c r="H37">
        <v>0</v>
      </c>
      <c r="I37">
        <v>0</v>
      </c>
    </row>
    <row r="38" spans="1:9" x14ac:dyDescent="0.25">
      <c r="A38" t="s">
        <v>206</v>
      </c>
      <c r="B38" t="s">
        <v>207</v>
      </c>
      <c r="C38" t="s">
        <v>205</v>
      </c>
      <c r="D38">
        <v>1235889</v>
      </c>
      <c r="E38">
        <v>48561</v>
      </c>
      <c r="F38">
        <v>1284450</v>
      </c>
      <c r="G38">
        <v>1284.45</v>
      </c>
      <c r="H38">
        <v>0</v>
      </c>
      <c r="I38">
        <v>0</v>
      </c>
    </row>
    <row r="39" spans="1:9" x14ac:dyDescent="0.25">
      <c r="A39" t="s">
        <v>209</v>
      </c>
      <c r="B39" t="s">
        <v>210</v>
      </c>
      <c r="C39" t="s">
        <v>208</v>
      </c>
      <c r="D39">
        <v>2509283</v>
      </c>
      <c r="E39">
        <v>61234</v>
      </c>
      <c r="F39">
        <v>2570517</v>
      </c>
      <c r="G39">
        <v>2570.5169999999998</v>
      </c>
      <c r="H39">
        <v>0</v>
      </c>
      <c r="I39">
        <v>0</v>
      </c>
    </row>
    <row r="40" spans="1:9" x14ac:dyDescent="0.25">
      <c r="A40" t="s">
        <v>212</v>
      </c>
      <c r="B40" t="s">
        <v>213</v>
      </c>
      <c r="C40" t="s">
        <v>5482</v>
      </c>
      <c r="D40">
        <v>15580661</v>
      </c>
      <c r="E40">
        <v>302037</v>
      </c>
      <c r="F40">
        <v>15882698</v>
      </c>
      <c r="G40">
        <v>15882.698</v>
      </c>
      <c r="H40">
        <v>0</v>
      </c>
      <c r="I40">
        <v>0</v>
      </c>
    </row>
    <row r="41" spans="1:9" x14ac:dyDescent="0.25">
      <c r="A41" t="s">
        <v>218</v>
      </c>
      <c r="B41" t="s">
        <v>219</v>
      </c>
      <c r="C41" t="s">
        <v>217</v>
      </c>
      <c r="D41">
        <v>1942341</v>
      </c>
      <c r="E41">
        <v>38733</v>
      </c>
      <c r="F41">
        <v>1981074</v>
      </c>
      <c r="G41">
        <v>1981.0740000000001</v>
      </c>
      <c r="H41">
        <v>0</v>
      </c>
      <c r="I41">
        <v>0</v>
      </c>
    </row>
    <row r="42" spans="1:9" x14ac:dyDescent="0.25">
      <c r="A42" t="s">
        <v>221</v>
      </c>
      <c r="B42" t="s">
        <v>222</v>
      </c>
      <c r="C42" t="s">
        <v>220</v>
      </c>
      <c r="D42">
        <v>8380116</v>
      </c>
      <c r="E42">
        <v>161203</v>
      </c>
      <c r="F42">
        <v>8541319</v>
      </c>
      <c r="G42">
        <v>8541.3189999999995</v>
      </c>
      <c r="H42">
        <v>0</v>
      </c>
      <c r="I42">
        <v>0</v>
      </c>
    </row>
    <row r="43" spans="1:9" x14ac:dyDescent="0.25">
      <c r="A43" t="s">
        <v>224</v>
      </c>
      <c r="B43" t="s">
        <v>225</v>
      </c>
      <c r="C43" t="s">
        <v>223</v>
      </c>
      <c r="D43">
        <v>4523979</v>
      </c>
      <c r="E43">
        <v>82398</v>
      </c>
      <c r="F43">
        <v>4606377</v>
      </c>
      <c r="G43">
        <v>4606.3770000000004</v>
      </c>
      <c r="H43">
        <v>0</v>
      </c>
      <c r="I43">
        <v>0</v>
      </c>
    </row>
    <row r="44" spans="1:9" x14ac:dyDescent="0.25">
      <c r="A44" t="s">
        <v>227</v>
      </c>
      <c r="B44" t="s">
        <v>228</v>
      </c>
      <c r="C44" t="s">
        <v>226</v>
      </c>
      <c r="D44">
        <v>9924232</v>
      </c>
      <c r="E44">
        <v>140655</v>
      </c>
      <c r="F44">
        <v>10064887</v>
      </c>
      <c r="G44">
        <v>10064.887000000001</v>
      </c>
      <c r="H44">
        <v>0</v>
      </c>
      <c r="I44">
        <v>0</v>
      </c>
    </row>
    <row r="45" spans="1:9" x14ac:dyDescent="0.25">
      <c r="A45" t="s">
        <v>243</v>
      </c>
      <c r="B45" t="s">
        <v>244</v>
      </c>
      <c r="C45" t="s">
        <v>242</v>
      </c>
      <c r="D45">
        <v>33517094</v>
      </c>
      <c r="E45">
        <v>252024</v>
      </c>
      <c r="F45">
        <v>33769118</v>
      </c>
      <c r="G45">
        <v>33769.118000000002</v>
      </c>
      <c r="H45">
        <v>0</v>
      </c>
      <c r="I45">
        <v>0</v>
      </c>
    </row>
    <row r="46" spans="1:9" x14ac:dyDescent="0.25">
      <c r="A46" t="s">
        <v>246</v>
      </c>
      <c r="B46" t="s">
        <v>247</v>
      </c>
      <c r="C46" t="s">
        <v>245</v>
      </c>
      <c r="D46">
        <v>2361303</v>
      </c>
      <c r="E46">
        <v>0</v>
      </c>
      <c r="F46">
        <v>2361303</v>
      </c>
      <c r="G46">
        <v>2361.3029999999999</v>
      </c>
      <c r="H46">
        <v>0</v>
      </c>
      <c r="I46">
        <v>0</v>
      </c>
    </row>
    <row r="47" spans="1:9" x14ac:dyDescent="0.25">
      <c r="A47" t="s">
        <v>249</v>
      </c>
      <c r="B47" t="s">
        <v>250</v>
      </c>
      <c r="C47" t="s">
        <v>248</v>
      </c>
      <c r="D47">
        <v>5988005</v>
      </c>
      <c r="E47">
        <v>34425</v>
      </c>
      <c r="F47">
        <v>6022430</v>
      </c>
      <c r="G47">
        <v>6022.43</v>
      </c>
      <c r="H47">
        <v>0</v>
      </c>
      <c r="I47">
        <v>0</v>
      </c>
    </row>
    <row r="48" spans="1:9" x14ac:dyDescent="0.25">
      <c r="A48" t="s">
        <v>252</v>
      </c>
      <c r="B48" t="s">
        <v>253</v>
      </c>
      <c r="C48" t="s">
        <v>251</v>
      </c>
      <c r="D48">
        <v>3352395</v>
      </c>
      <c r="E48">
        <v>36255</v>
      </c>
      <c r="F48">
        <v>3388650</v>
      </c>
      <c r="G48">
        <v>3388.65</v>
      </c>
      <c r="H48">
        <v>0</v>
      </c>
      <c r="I48">
        <v>0</v>
      </c>
    </row>
    <row r="49" spans="1:9" x14ac:dyDescent="0.25">
      <c r="A49" t="s">
        <v>255</v>
      </c>
      <c r="B49" t="s">
        <v>256</v>
      </c>
      <c r="C49" t="s">
        <v>254</v>
      </c>
      <c r="D49">
        <v>1292003</v>
      </c>
      <c r="E49">
        <v>28914</v>
      </c>
      <c r="F49">
        <v>1320917</v>
      </c>
      <c r="G49">
        <v>1320.9169999999999</v>
      </c>
      <c r="H49">
        <v>0</v>
      </c>
      <c r="I49">
        <v>0</v>
      </c>
    </row>
    <row r="50" spans="1:9" x14ac:dyDescent="0.25">
      <c r="A50" t="s">
        <v>258</v>
      </c>
      <c r="B50" t="s">
        <v>259</v>
      </c>
      <c r="C50" t="s">
        <v>257</v>
      </c>
      <c r="D50">
        <v>6767752</v>
      </c>
      <c r="E50">
        <v>131747</v>
      </c>
      <c r="F50">
        <v>6899499</v>
      </c>
      <c r="G50">
        <v>6899.4989999999998</v>
      </c>
      <c r="H50">
        <v>217060</v>
      </c>
      <c r="I50">
        <v>217.06</v>
      </c>
    </row>
    <row r="51" spans="1:9" x14ac:dyDescent="0.25">
      <c r="A51" t="s">
        <v>261</v>
      </c>
      <c r="B51" t="s">
        <v>262</v>
      </c>
      <c r="C51" t="s">
        <v>260</v>
      </c>
      <c r="D51">
        <v>2866516</v>
      </c>
      <c r="E51">
        <v>54238</v>
      </c>
      <c r="F51">
        <v>2920754</v>
      </c>
      <c r="G51">
        <v>2920.7539999999999</v>
      </c>
      <c r="H51">
        <v>0</v>
      </c>
      <c r="I51">
        <v>0</v>
      </c>
    </row>
    <row r="52" spans="1:9" x14ac:dyDescent="0.25">
      <c r="A52" t="s">
        <v>264</v>
      </c>
      <c r="B52" t="s">
        <v>265</v>
      </c>
      <c r="C52" t="s">
        <v>263</v>
      </c>
      <c r="D52">
        <v>6570203</v>
      </c>
      <c r="E52">
        <v>88895</v>
      </c>
      <c r="F52">
        <v>6659098</v>
      </c>
      <c r="G52">
        <v>6659.098</v>
      </c>
      <c r="H52">
        <v>0</v>
      </c>
      <c r="I52">
        <v>0</v>
      </c>
    </row>
    <row r="53" spans="1:9" x14ac:dyDescent="0.25">
      <c r="A53" t="s">
        <v>267</v>
      </c>
      <c r="B53" t="s">
        <v>268</v>
      </c>
      <c r="C53" t="s">
        <v>266</v>
      </c>
      <c r="D53">
        <v>5514267</v>
      </c>
      <c r="E53">
        <v>45869</v>
      </c>
      <c r="F53">
        <v>5560136</v>
      </c>
      <c r="G53">
        <v>5560.1360000000004</v>
      </c>
      <c r="H53">
        <v>0</v>
      </c>
      <c r="I53">
        <v>0</v>
      </c>
    </row>
    <row r="54" spans="1:9" x14ac:dyDescent="0.25">
      <c r="A54" t="s">
        <v>270</v>
      </c>
      <c r="B54" t="s">
        <v>271</v>
      </c>
      <c r="C54" t="s">
        <v>269</v>
      </c>
      <c r="D54">
        <v>11282136</v>
      </c>
      <c r="E54">
        <v>55177</v>
      </c>
      <c r="F54">
        <v>11337313</v>
      </c>
      <c r="G54">
        <v>11337.313</v>
      </c>
      <c r="H54">
        <v>0</v>
      </c>
      <c r="I54">
        <v>0</v>
      </c>
    </row>
    <row r="55" spans="1:9" x14ac:dyDescent="0.25">
      <c r="A55" t="s">
        <v>276</v>
      </c>
      <c r="B55" t="s">
        <v>277</v>
      </c>
      <c r="C55" t="s">
        <v>275</v>
      </c>
      <c r="D55">
        <v>12404746</v>
      </c>
      <c r="E55">
        <v>260906</v>
      </c>
      <c r="F55">
        <v>12665652</v>
      </c>
      <c r="G55">
        <v>12665.652</v>
      </c>
      <c r="H55">
        <v>0</v>
      </c>
      <c r="I55">
        <v>0</v>
      </c>
    </row>
    <row r="56" spans="1:9" x14ac:dyDescent="0.25">
      <c r="A56" t="s">
        <v>282</v>
      </c>
      <c r="B56" t="s">
        <v>283</v>
      </c>
      <c r="C56" t="s">
        <v>5415</v>
      </c>
      <c r="D56">
        <v>17362761</v>
      </c>
      <c r="E56">
        <v>247115</v>
      </c>
      <c r="F56">
        <v>17609876</v>
      </c>
      <c r="G56">
        <v>17609.876</v>
      </c>
      <c r="H56">
        <v>0</v>
      </c>
      <c r="I56">
        <v>0</v>
      </c>
    </row>
    <row r="57" spans="1:9" x14ac:dyDescent="0.25">
      <c r="A57" t="s">
        <v>285</v>
      </c>
      <c r="B57" t="s">
        <v>286</v>
      </c>
      <c r="C57" t="s">
        <v>284</v>
      </c>
      <c r="D57">
        <v>2598182</v>
      </c>
      <c r="E57">
        <v>27265</v>
      </c>
      <c r="F57">
        <v>2625447</v>
      </c>
      <c r="G57">
        <v>2625.4470000000001</v>
      </c>
      <c r="H57">
        <v>874008</v>
      </c>
      <c r="I57">
        <v>874.00800000000004</v>
      </c>
    </row>
    <row r="58" spans="1:9" x14ac:dyDescent="0.25">
      <c r="A58" t="s">
        <v>288</v>
      </c>
      <c r="B58" t="s">
        <v>289</v>
      </c>
      <c r="C58" t="s">
        <v>287</v>
      </c>
      <c r="D58">
        <v>6061492</v>
      </c>
      <c r="E58">
        <v>51081</v>
      </c>
      <c r="F58">
        <v>6112573</v>
      </c>
      <c r="G58">
        <v>6112.5730000000003</v>
      </c>
      <c r="H58">
        <v>61113</v>
      </c>
      <c r="I58">
        <v>61.113</v>
      </c>
    </row>
    <row r="59" spans="1:9" x14ac:dyDescent="0.25">
      <c r="A59" t="s">
        <v>291</v>
      </c>
      <c r="B59" t="s">
        <v>292</v>
      </c>
      <c r="C59" t="s">
        <v>290</v>
      </c>
      <c r="D59">
        <v>1940908</v>
      </c>
      <c r="E59">
        <v>67859</v>
      </c>
      <c r="F59">
        <v>2008767</v>
      </c>
      <c r="G59">
        <v>2008.7670000000001</v>
      </c>
      <c r="H59">
        <v>666861</v>
      </c>
      <c r="I59">
        <v>666.86099999999999</v>
      </c>
    </row>
    <row r="60" spans="1:9" x14ac:dyDescent="0.25">
      <c r="A60" t="s">
        <v>294</v>
      </c>
      <c r="B60" t="s">
        <v>295</v>
      </c>
      <c r="C60" t="s">
        <v>293</v>
      </c>
      <c r="D60">
        <v>24549720</v>
      </c>
      <c r="E60">
        <v>37690</v>
      </c>
      <c r="F60">
        <v>24587410</v>
      </c>
      <c r="G60">
        <v>24587.41</v>
      </c>
      <c r="H60">
        <v>0</v>
      </c>
      <c r="I60">
        <v>0</v>
      </c>
    </row>
    <row r="61" spans="1:9" x14ac:dyDescent="0.25">
      <c r="A61" t="s">
        <v>303</v>
      </c>
      <c r="B61" t="s">
        <v>304</v>
      </c>
      <c r="C61" t="s">
        <v>302</v>
      </c>
      <c r="D61">
        <v>6296324</v>
      </c>
      <c r="E61">
        <v>124433</v>
      </c>
      <c r="F61">
        <v>6420757</v>
      </c>
      <c r="G61">
        <v>6420.7569999999996</v>
      </c>
      <c r="H61">
        <v>216499</v>
      </c>
      <c r="I61">
        <v>216.499</v>
      </c>
    </row>
    <row r="62" spans="1:9" x14ac:dyDescent="0.25">
      <c r="A62" t="s">
        <v>306</v>
      </c>
      <c r="B62" t="s">
        <v>307</v>
      </c>
      <c r="C62" t="s">
        <v>305</v>
      </c>
      <c r="D62">
        <v>996641</v>
      </c>
      <c r="E62">
        <v>16491</v>
      </c>
      <c r="F62">
        <v>1013132</v>
      </c>
      <c r="G62">
        <v>1013.1319999999999</v>
      </c>
      <c r="H62">
        <v>0</v>
      </c>
      <c r="I62">
        <v>0</v>
      </c>
    </row>
    <row r="63" spans="1:9" x14ac:dyDescent="0.25">
      <c r="A63" t="s">
        <v>309</v>
      </c>
      <c r="B63" t="s">
        <v>310</v>
      </c>
      <c r="C63" t="s">
        <v>5483</v>
      </c>
      <c r="D63">
        <v>52743306</v>
      </c>
      <c r="E63">
        <v>378486</v>
      </c>
      <c r="F63">
        <v>53121792</v>
      </c>
      <c r="G63">
        <v>53121.792000000001</v>
      </c>
      <c r="H63">
        <v>0</v>
      </c>
      <c r="I63">
        <v>0</v>
      </c>
    </row>
    <row r="64" spans="1:9" x14ac:dyDescent="0.25">
      <c r="A64" t="s">
        <v>312</v>
      </c>
      <c r="B64" t="s">
        <v>313</v>
      </c>
      <c r="C64" t="s">
        <v>311</v>
      </c>
      <c r="D64">
        <v>4045101</v>
      </c>
      <c r="E64">
        <v>27365</v>
      </c>
      <c r="F64">
        <v>4072466</v>
      </c>
      <c r="G64">
        <v>4072.4659999999999</v>
      </c>
      <c r="H64">
        <v>0</v>
      </c>
      <c r="I64">
        <v>0</v>
      </c>
    </row>
    <row r="65" spans="1:9" x14ac:dyDescent="0.25">
      <c r="A65" t="s">
        <v>315</v>
      </c>
      <c r="B65" t="s">
        <v>316</v>
      </c>
      <c r="C65" t="s">
        <v>314</v>
      </c>
      <c r="D65">
        <v>19711569</v>
      </c>
      <c r="E65">
        <v>127113</v>
      </c>
      <c r="F65">
        <v>19838682</v>
      </c>
      <c r="G65">
        <v>19838.682000000001</v>
      </c>
      <c r="H65">
        <v>0</v>
      </c>
      <c r="I65">
        <v>0</v>
      </c>
    </row>
    <row r="66" spans="1:9" x14ac:dyDescent="0.25">
      <c r="A66" t="s">
        <v>318</v>
      </c>
      <c r="B66" t="s">
        <v>319</v>
      </c>
      <c r="C66" t="s">
        <v>317</v>
      </c>
      <c r="D66">
        <v>2081503</v>
      </c>
      <c r="E66">
        <v>15043</v>
      </c>
      <c r="F66">
        <v>2096546</v>
      </c>
      <c r="G66">
        <v>2096.5459999999998</v>
      </c>
      <c r="H66">
        <v>419081</v>
      </c>
      <c r="I66">
        <v>419.08100000000002</v>
      </c>
    </row>
    <row r="67" spans="1:9" x14ac:dyDescent="0.25">
      <c r="A67" t="s">
        <v>321</v>
      </c>
      <c r="B67" t="s">
        <v>322</v>
      </c>
      <c r="C67" t="s">
        <v>320</v>
      </c>
      <c r="D67">
        <v>5713743</v>
      </c>
      <c r="E67">
        <v>99641</v>
      </c>
      <c r="F67">
        <v>5813384</v>
      </c>
      <c r="G67">
        <v>5813.384</v>
      </c>
      <c r="H67">
        <v>0</v>
      </c>
      <c r="I67">
        <v>0</v>
      </c>
    </row>
    <row r="68" spans="1:9" x14ac:dyDescent="0.25">
      <c r="A68" t="s">
        <v>324</v>
      </c>
      <c r="B68" t="s">
        <v>325</v>
      </c>
      <c r="C68" t="s">
        <v>323</v>
      </c>
      <c r="D68">
        <v>12117945</v>
      </c>
      <c r="E68">
        <v>282346</v>
      </c>
      <c r="F68">
        <v>12400291</v>
      </c>
      <c r="G68">
        <v>12400.290999999999</v>
      </c>
      <c r="H68">
        <v>0</v>
      </c>
      <c r="I68">
        <v>0</v>
      </c>
    </row>
    <row r="69" spans="1:9" x14ac:dyDescent="0.25">
      <c r="A69" t="s">
        <v>333</v>
      </c>
      <c r="B69" t="s">
        <v>334</v>
      </c>
      <c r="C69" t="s">
        <v>332</v>
      </c>
      <c r="D69">
        <v>4338080</v>
      </c>
      <c r="E69">
        <v>98251</v>
      </c>
      <c r="F69">
        <v>4436331</v>
      </c>
      <c r="G69">
        <v>4436.3310000000001</v>
      </c>
      <c r="H69">
        <v>0</v>
      </c>
      <c r="I69">
        <v>0</v>
      </c>
    </row>
    <row r="70" spans="1:9" x14ac:dyDescent="0.25">
      <c r="A70" t="s">
        <v>336</v>
      </c>
      <c r="B70" t="s">
        <v>337</v>
      </c>
      <c r="C70" t="s">
        <v>335</v>
      </c>
      <c r="D70">
        <v>3512547</v>
      </c>
      <c r="E70">
        <v>31714</v>
      </c>
      <c r="F70">
        <v>3544261</v>
      </c>
      <c r="G70">
        <v>3544.261</v>
      </c>
      <c r="H70">
        <v>976411</v>
      </c>
      <c r="I70">
        <v>976.41099999999994</v>
      </c>
    </row>
    <row r="71" spans="1:9" x14ac:dyDescent="0.25">
      <c r="A71" t="s">
        <v>339</v>
      </c>
      <c r="B71" t="s">
        <v>340</v>
      </c>
      <c r="C71" t="s">
        <v>338</v>
      </c>
      <c r="D71">
        <v>10287905</v>
      </c>
      <c r="E71">
        <v>63106</v>
      </c>
      <c r="F71">
        <v>10351011</v>
      </c>
      <c r="G71">
        <v>10351.011</v>
      </c>
      <c r="H71">
        <v>0</v>
      </c>
      <c r="I71">
        <v>0</v>
      </c>
    </row>
    <row r="72" spans="1:9" x14ac:dyDescent="0.25">
      <c r="A72" t="s">
        <v>346</v>
      </c>
      <c r="B72" t="s">
        <v>347</v>
      </c>
      <c r="C72" t="s">
        <v>345</v>
      </c>
      <c r="D72">
        <v>7895747</v>
      </c>
      <c r="E72">
        <v>137242</v>
      </c>
      <c r="F72">
        <v>8032989</v>
      </c>
      <c r="G72">
        <v>8032.9889999999996</v>
      </c>
      <c r="H72">
        <v>332821</v>
      </c>
      <c r="I72">
        <v>332.82100000000003</v>
      </c>
    </row>
    <row r="73" spans="1:9" x14ac:dyDescent="0.25">
      <c r="A73" t="s">
        <v>355</v>
      </c>
      <c r="B73" t="s">
        <v>356</v>
      </c>
      <c r="C73" t="s">
        <v>354</v>
      </c>
      <c r="D73">
        <v>2318832</v>
      </c>
      <c r="E73">
        <v>4362</v>
      </c>
      <c r="F73">
        <v>2323194</v>
      </c>
      <c r="G73">
        <v>2323.194</v>
      </c>
      <c r="H73">
        <v>125820</v>
      </c>
      <c r="I73">
        <v>125.82</v>
      </c>
    </row>
    <row r="74" spans="1:9" x14ac:dyDescent="0.25">
      <c r="A74" t="s">
        <v>370</v>
      </c>
      <c r="B74" t="s">
        <v>371</v>
      </c>
      <c r="C74" t="s">
        <v>369</v>
      </c>
      <c r="D74">
        <v>7939944</v>
      </c>
      <c r="E74">
        <v>87181</v>
      </c>
      <c r="F74">
        <v>8027125</v>
      </c>
      <c r="G74">
        <v>8027.125</v>
      </c>
      <c r="H74">
        <v>2610774</v>
      </c>
      <c r="I74">
        <v>2610.7739999999999</v>
      </c>
    </row>
    <row r="75" spans="1:9" x14ac:dyDescent="0.25">
      <c r="A75" t="s">
        <v>373</v>
      </c>
      <c r="B75" t="s">
        <v>374</v>
      </c>
      <c r="C75" t="s">
        <v>5484</v>
      </c>
      <c r="D75">
        <v>14530197</v>
      </c>
      <c r="E75">
        <v>128526</v>
      </c>
      <c r="F75">
        <v>14658723</v>
      </c>
      <c r="G75">
        <v>14658.723</v>
      </c>
      <c r="H75">
        <v>0</v>
      </c>
      <c r="I75">
        <v>0</v>
      </c>
    </row>
    <row r="76" spans="1:9" x14ac:dyDescent="0.25">
      <c r="A76" t="s">
        <v>382</v>
      </c>
      <c r="B76" t="s">
        <v>383</v>
      </c>
      <c r="C76" t="s">
        <v>381</v>
      </c>
      <c r="D76">
        <v>2070880</v>
      </c>
      <c r="E76">
        <v>19352</v>
      </c>
      <c r="F76">
        <v>2090232</v>
      </c>
      <c r="G76">
        <v>2090.232</v>
      </c>
      <c r="H76">
        <v>0</v>
      </c>
      <c r="I76">
        <v>0</v>
      </c>
    </row>
    <row r="77" spans="1:9" x14ac:dyDescent="0.25">
      <c r="A77" t="s">
        <v>385</v>
      </c>
      <c r="B77" t="s">
        <v>386</v>
      </c>
      <c r="C77" t="s">
        <v>384</v>
      </c>
      <c r="D77">
        <v>13179161</v>
      </c>
      <c r="E77">
        <v>105772</v>
      </c>
      <c r="F77">
        <v>13284933</v>
      </c>
      <c r="G77">
        <v>13284.933000000001</v>
      </c>
      <c r="H77">
        <v>0</v>
      </c>
      <c r="I77">
        <v>0</v>
      </c>
    </row>
    <row r="78" spans="1:9" x14ac:dyDescent="0.25">
      <c r="A78" t="s">
        <v>388</v>
      </c>
      <c r="B78" t="s">
        <v>389</v>
      </c>
      <c r="C78" t="s">
        <v>5485</v>
      </c>
      <c r="D78">
        <v>9044164</v>
      </c>
      <c r="E78">
        <v>121393</v>
      </c>
      <c r="F78">
        <v>9165557</v>
      </c>
      <c r="G78">
        <v>9165.5570000000007</v>
      </c>
      <c r="H78">
        <v>0</v>
      </c>
      <c r="I78">
        <v>0</v>
      </c>
    </row>
    <row r="79" spans="1:9" x14ac:dyDescent="0.25">
      <c r="A79" t="s">
        <v>397</v>
      </c>
      <c r="B79" t="s">
        <v>398</v>
      </c>
      <c r="C79" t="s">
        <v>396</v>
      </c>
      <c r="D79">
        <v>10375790</v>
      </c>
      <c r="E79">
        <v>187016</v>
      </c>
      <c r="F79">
        <v>10562806</v>
      </c>
      <c r="G79">
        <v>10562.806</v>
      </c>
      <c r="H79">
        <v>0</v>
      </c>
      <c r="I79">
        <v>0</v>
      </c>
    </row>
    <row r="80" spans="1:9" x14ac:dyDescent="0.25">
      <c r="A80" t="s">
        <v>400</v>
      </c>
      <c r="B80" t="s">
        <v>401</v>
      </c>
      <c r="C80" t="s">
        <v>399</v>
      </c>
      <c r="D80">
        <v>1431862</v>
      </c>
      <c r="E80">
        <v>25671</v>
      </c>
      <c r="F80">
        <v>1457533</v>
      </c>
      <c r="G80">
        <v>1457.5329999999999</v>
      </c>
      <c r="H80">
        <v>144195</v>
      </c>
      <c r="I80">
        <v>144.19499999999999</v>
      </c>
    </row>
    <row r="81" spans="1:9" x14ac:dyDescent="0.25">
      <c r="A81" t="s">
        <v>403</v>
      </c>
      <c r="B81" t="s">
        <v>404</v>
      </c>
      <c r="C81" t="s">
        <v>402</v>
      </c>
      <c r="D81">
        <v>4135360</v>
      </c>
      <c r="E81">
        <v>40624</v>
      </c>
      <c r="F81">
        <v>4175984</v>
      </c>
      <c r="G81">
        <v>4175.9840000000004</v>
      </c>
      <c r="H81">
        <v>705740</v>
      </c>
      <c r="I81">
        <v>705.74</v>
      </c>
    </row>
    <row r="82" spans="1:9" x14ac:dyDescent="0.25">
      <c r="A82" t="s">
        <v>406</v>
      </c>
      <c r="B82" t="s">
        <v>407</v>
      </c>
      <c r="C82" t="s">
        <v>405</v>
      </c>
      <c r="D82">
        <v>3037474</v>
      </c>
      <c r="E82">
        <v>58854</v>
      </c>
      <c r="F82">
        <v>3096328</v>
      </c>
      <c r="G82">
        <v>3096.328</v>
      </c>
      <c r="H82">
        <v>0</v>
      </c>
      <c r="I82">
        <v>0</v>
      </c>
    </row>
    <row r="83" spans="1:9" x14ac:dyDescent="0.25">
      <c r="A83" t="s">
        <v>409</v>
      </c>
      <c r="B83" t="s">
        <v>410</v>
      </c>
      <c r="C83" t="s">
        <v>408</v>
      </c>
      <c r="D83">
        <v>3861674</v>
      </c>
      <c r="E83">
        <v>80179</v>
      </c>
      <c r="F83">
        <v>3941853</v>
      </c>
      <c r="G83">
        <v>3941.8530000000001</v>
      </c>
      <c r="H83">
        <v>0</v>
      </c>
      <c r="I83">
        <v>0</v>
      </c>
    </row>
    <row r="84" spans="1:9" x14ac:dyDescent="0.25">
      <c r="A84" t="s">
        <v>412</v>
      </c>
      <c r="B84" t="s">
        <v>413</v>
      </c>
      <c r="C84" t="s">
        <v>411</v>
      </c>
      <c r="D84">
        <v>4906900</v>
      </c>
      <c r="E84">
        <v>44107</v>
      </c>
      <c r="F84">
        <v>4951007</v>
      </c>
      <c r="G84">
        <v>4951.0069999999996</v>
      </c>
      <c r="H84">
        <v>0</v>
      </c>
      <c r="I84">
        <v>0</v>
      </c>
    </row>
    <row r="85" spans="1:9" x14ac:dyDescent="0.25">
      <c r="A85" t="s">
        <v>418</v>
      </c>
      <c r="B85" t="s">
        <v>419</v>
      </c>
      <c r="C85" t="s">
        <v>417</v>
      </c>
      <c r="D85">
        <v>8480161</v>
      </c>
      <c r="E85">
        <v>138449</v>
      </c>
      <c r="F85">
        <v>8618610</v>
      </c>
      <c r="G85">
        <v>8618.61</v>
      </c>
      <c r="H85">
        <v>0</v>
      </c>
      <c r="I85">
        <v>0</v>
      </c>
    </row>
    <row r="86" spans="1:9" x14ac:dyDescent="0.25">
      <c r="A86" t="s">
        <v>421</v>
      </c>
      <c r="B86" t="s">
        <v>422</v>
      </c>
      <c r="C86" t="s">
        <v>420</v>
      </c>
      <c r="D86">
        <v>3360245</v>
      </c>
      <c r="E86">
        <v>83647</v>
      </c>
      <c r="F86">
        <v>3443892</v>
      </c>
      <c r="G86">
        <v>3443.8919999999998</v>
      </c>
      <c r="H86">
        <v>0</v>
      </c>
      <c r="I86">
        <v>0</v>
      </c>
    </row>
    <row r="87" spans="1:9" x14ac:dyDescent="0.25">
      <c r="A87" t="s">
        <v>424</v>
      </c>
      <c r="B87" t="s">
        <v>425</v>
      </c>
      <c r="C87" t="s">
        <v>423</v>
      </c>
      <c r="D87">
        <v>5843414</v>
      </c>
      <c r="E87">
        <v>73614</v>
      </c>
      <c r="F87">
        <v>5917028</v>
      </c>
      <c r="G87">
        <v>5917.0280000000002</v>
      </c>
      <c r="H87">
        <v>172813</v>
      </c>
      <c r="I87">
        <v>172.81299999999999</v>
      </c>
    </row>
    <row r="88" spans="1:9" x14ac:dyDescent="0.25">
      <c r="A88" t="s">
        <v>433</v>
      </c>
      <c r="B88" t="s">
        <v>434</v>
      </c>
      <c r="C88" t="s">
        <v>432</v>
      </c>
      <c r="D88">
        <v>3725085</v>
      </c>
      <c r="E88">
        <v>65607</v>
      </c>
      <c r="F88">
        <v>3790692</v>
      </c>
      <c r="G88">
        <v>3790.692</v>
      </c>
      <c r="H88">
        <v>739808</v>
      </c>
      <c r="I88">
        <v>739.80799999999999</v>
      </c>
    </row>
    <row r="89" spans="1:9" x14ac:dyDescent="0.25">
      <c r="A89" t="s">
        <v>436</v>
      </c>
      <c r="B89" t="s">
        <v>437</v>
      </c>
      <c r="C89" t="s">
        <v>435</v>
      </c>
      <c r="D89">
        <v>4427449</v>
      </c>
      <c r="E89">
        <v>52229</v>
      </c>
      <c r="F89">
        <v>4479678</v>
      </c>
      <c r="G89">
        <v>4479.6779999999999</v>
      </c>
      <c r="H89">
        <v>1203627</v>
      </c>
      <c r="I89">
        <v>1203.627</v>
      </c>
    </row>
    <row r="90" spans="1:9" x14ac:dyDescent="0.25">
      <c r="A90" t="s">
        <v>439</v>
      </c>
      <c r="B90" t="s">
        <v>440</v>
      </c>
      <c r="C90" t="s">
        <v>438</v>
      </c>
      <c r="D90">
        <v>2653952</v>
      </c>
      <c r="E90">
        <v>14336</v>
      </c>
      <c r="F90">
        <v>2668288</v>
      </c>
      <c r="G90">
        <v>2668.288</v>
      </c>
      <c r="H90">
        <v>0</v>
      </c>
      <c r="I90">
        <v>0</v>
      </c>
    </row>
    <row r="91" spans="1:9" x14ac:dyDescent="0.25">
      <c r="A91" t="s">
        <v>442</v>
      </c>
      <c r="B91" t="s">
        <v>443</v>
      </c>
      <c r="C91" t="s">
        <v>441</v>
      </c>
      <c r="D91">
        <v>6021954</v>
      </c>
      <c r="E91">
        <v>212180</v>
      </c>
      <c r="F91">
        <v>6234134</v>
      </c>
      <c r="G91">
        <v>6234.134</v>
      </c>
      <c r="H91">
        <v>480551</v>
      </c>
      <c r="I91">
        <v>480.55099999999999</v>
      </c>
    </row>
    <row r="92" spans="1:9" x14ac:dyDescent="0.25">
      <c r="A92" t="s">
        <v>445</v>
      </c>
      <c r="B92" t="s">
        <v>446</v>
      </c>
      <c r="C92" t="s">
        <v>444</v>
      </c>
      <c r="D92">
        <v>6288735</v>
      </c>
      <c r="E92">
        <v>106307</v>
      </c>
      <c r="F92">
        <v>6395042</v>
      </c>
      <c r="G92">
        <v>6395.0420000000004</v>
      </c>
      <c r="H92">
        <v>0</v>
      </c>
      <c r="I92">
        <v>0</v>
      </c>
    </row>
    <row r="93" spans="1:9" x14ac:dyDescent="0.25">
      <c r="A93" t="s">
        <v>448</v>
      </c>
      <c r="B93" t="s">
        <v>449</v>
      </c>
      <c r="C93" t="s">
        <v>447</v>
      </c>
      <c r="D93">
        <v>3546561</v>
      </c>
      <c r="E93">
        <v>67489</v>
      </c>
      <c r="F93">
        <v>3614050</v>
      </c>
      <c r="G93">
        <v>3614.05</v>
      </c>
      <c r="H93">
        <v>0</v>
      </c>
      <c r="I93">
        <v>0</v>
      </c>
    </row>
    <row r="94" spans="1:9" x14ac:dyDescent="0.25">
      <c r="A94" t="s">
        <v>451</v>
      </c>
      <c r="B94" t="s">
        <v>452</v>
      </c>
      <c r="C94" t="s">
        <v>5486</v>
      </c>
      <c r="D94">
        <v>2606693</v>
      </c>
      <c r="E94">
        <v>105643</v>
      </c>
      <c r="F94">
        <v>2712336</v>
      </c>
      <c r="G94">
        <v>2712.3359999999998</v>
      </c>
      <c r="H94">
        <v>15134</v>
      </c>
      <c r="I94">
        <v>15.134</v>
      </c>
    </row>
    <row r="95" spans="1:9" x14ac:dyDescent="0.25">
      <c r="A95" t="s">
        <v>454</v>
      </c>
      <c r="B95" t="s">
        <v>455</v>
      </c>
      <c r="C95" t="s">
        <v>453</v>
      </c>
      <c r="D95">
        <v>1626565</v>
      </c>
      <c r="E95">
        <v>54889</v>
      </c>
      <c r="F95">
        <v>1681454</v>
      </c>
      <c r="G95">
        <v>1681.454</v>
      </c>
      <c r="H95">
        <v>0</v>
      </c>
      <c r="I95">
        <v>0</v>
      </c>
    </row>
    <row r="96" spans="1:9" x14ac:dyDescent="0.25">
      <c r="A96" t="s">
        <v>466</v>
      </c>
      <c r="B96" t="s">
        <v>467</v>
      </c>
      <c r="C96" t="s">
        <v>465</v>
      </c>
      <c r="D96">
        <v>8189875</v>
      </c>
      <c r="E96">
        <v>92667</v>
      </c>
      <c r="F96">
        <v>8282542</v>
      </c>
      <c r="G96">
        <v>8282.5419999999995</v>
      </c>
      <c r="H96">
        <v>1683390</v>
      </c>
      <c r="I96">
        <v>1683.39</v>
      </c>
    </row>
    <row r="97" spans="1:9" x14ac:dyDescent="0.25">
      <c r="A97" t="s">
        <v>472</v>
      </c>
      <c r="B97" t="s">
        <v>473</v>
      </c>
      <c r="C97" t="s">
        <v>471</v>
      </c>
      <c r="D97">
        <v>2674038</v>
      </c>
      <c r="E97">
        <v>61764</v>
      </c>
      <c r="F97">
        <v>2735802</v>
      </c>
      <c r="G97">
        <v>2735.8020000000001</v>
      </c>
      <c r="H97">
        <v>148983</v>
      </c>
      <c r="I97">
        <v>148.983</v>
      </c>
    </row>
    <row r="98" spans="1:9" x14ac:dyDescent="0.25">
      <c r="A98" t="s">
        <v>475</v>
      </c>
      <c r="B98" t="s">
        <v>476</v>
      </c>
      <c r="C98" t="s">
        <v>474</v>
      </c>
      <c r="D98">
        <v>1099323</v>
      </c>
      <c r="E98">
        <v>21624</v>
      </c>
      <c r="F98">
        <v>1120947</v>
      </c>
      <c r="G98">
        <v>1120.9469999999999</v>
      </c>
      <c r="H98">
        <v>47403</v>
      </c>
      <c r="I98">
        <v>47.402999999999999</v>
      </c>
    </row>
    <row r="99" spans="1:9" x14ac:dyDescent="0.25">
      <c r="A99" t="s">
        <v>478</v>
      </c>
      <c r="B99" t="s">
        <v>479</v>
      </c>
      <c r="C99" t="s">
        <v>477</v>
      </c>
      <c r="D99">
        <v>2264417</v>
      </c>
      <c r="E99">
        <v>31684</v>
      </c>
      <c r="F99">
        <v>2296101</v>
      </c>
      <c r="G99">
        <v>2296.1010000000001</v>
      </c>
      <c r="H99">
        <v>514147</v>
      </c>
      <c r="I99">
        <v>514.14700000000005</v>
      </c>
    </row>
    <row r="100" spans="1:9" x14ac:dyDescent="0.25">
      <c r="A100" t="s">
        <v>481</v>
      </c>
      <c r="B100" t="s">
        <v>482</v>
      </c>
      <c r="C100" t="s">
        <v>480</v>
      </c>
      <c r="D100">
        <v>1111809</v>
      </c>
      <c r="E100">
        <v>14280</v>
      </c>
      <c r="F100">
        <v>1126089</v>
      </c>
      <c r="G100">
        <v>1126.0889999999999</v>
      </c>
      <c r="H100">
        <v>0</v>
      </c>
      <c r="I100">
        <v>0</v>
      </c>
    </row>
    <row r="101" spans="1:9" x14ac:dyDescent="0.25">
      <c r="A101" t="s">
        <v>484</v>
      </c>
      <c r="B101" t="s">
        <v>485</v>
      </c>
      <c r="C101" t="s">
        <v>483</v>
      </c>
      <c r="D101">
        <v>2435254</v>
      </c>
      <c r="E101">
        <v>35745</v>
      </c>
      <c r="F101">
        <v>2470999</v>
      </c>
      <c r="G101">
        <v>2470.9989999999998</v>
      </c>
      <c r="H101">
        <v>520812</v>
      </c>
      <c r="I101">
        <v>520.81200000000001</v>
      </c>
    </row>
    <row r="102" spans="1:9" x14ac:dyDescent="0.25">
      <c r="A102" t="s">
        <v>487</v>
      </c>
      <c r="B102" t="s">
        <v>488</v>
      </c>
      <c r="C102" t="s">
        <v>486</v>
      </c>
      <c r="D102">
        <v>11520134</v>
      </c>
      <c r="E102">
        <v>58763</v>
      </c>
      <c r="F102">
        <v>11578897</v>
      </c>
      <c r="G102">
        <v>11578.897000000001</v>
      </c>
      <c r="H102">
        <v>0</v>
      </c>
      <c r="I102">
        <v>0</v>
      </c>
    </row>
    <row r="103" spans="1:9" x14ac:dyDescent="0.25">
      <c r="A103" t="s">
        <v>490</v>
      </c>
      <c r="B103" t="s">
        <v>491</v>
      </c>
      <c r="C103" t="s">
        <v>489</v>
      </c>
      <c r="D103">
        <v>1915518</v>
      </c>
      <c r="E103">
        <v>41356</v>
      </c>
      <c r="F103">
        <v>1956874</v>
      </c>
      <c r="G103">
        <v>1956.874</v>
      </c>
      <c r="H103">
        <v>0</v>
      </c>
      <c r="I103">
        <v>0</v>
      </c>
    </row>
    <row r="104" spans="1:9" x14ac:dyDescent="0.25">
      <c r="A104" t="s">
        <v>493</v>
      </c>
      <c r="B104" t="s">
        <v>494</v>
      </c>
      <c r="C104" t="s">
        <v>492</v>
      </c>
      <c r="D104">
        <v>3950592</v>
      </c>
      <c r="E104">
        <v>53084</v>
      </c>
      <c r="F104">
        <v>4003676</v>
      </c>
      <c r="G104">
        <v>4003.6759999999999</v>
      </c>
      <c r="H104">
        <v>0</v>
      </c>
      <c r="I104">
        <v>0</v>
      </c>
    </row>
    <row r="105" spans="1:9" x14ac:dyDescent="0.25">
      <c r="A105" t="s">
        <v>502</v>
      </c>
      <c r="B105" t="s">
        <v>503</v>
      </c>
      <c r="C105" t="s">
        <v>501</v>
      </c>
      <c r="D105">
        <v>1016103</v>
      </c>
      <c r="E105">
        <v>32143</v>
      </c>
      <c r="F105">
        <v>1048246</v>
      </c>
      <c r="G105">
        <v>1048.2460000000001</v>
      </c>
      <c r="H105">
        <v>0</v>
      </c>
      <c r="I105">
        <v>0</v>
      </c>
    </row>
    <row r="106" spans="1:9" x14ac:dyDescent="0.25">
      <c r="A106" t="s">
        <v>505</v>
      </c>
      <c r="B106" t="s">
        <v>506</v>
      </c>
      <c r="C106" t="s">
        <v>504</v>
      </c>
      <c r="D106">
        <v>1496555</v>
      </c>
      <c r="E106">
        <v>40396</v>
      </c>
      <c r="F106">
        <v>1536951</v>
      </c>
      <c r="G106">
        <v>1536.951</v>
      </c>
      <c r="H106">
        <v>553699</v>
      </c>
      <c r="I106">
        <v>553.69899999999996</v>
      </c>
    </row>
    <row r="107" spans="1:9" x14ac:dyDescent="0.25">
      <c r="A107" t="s">
        <v>508</v>
      </c>
      <c r="B107" t="s">
        <v>509</v>
      </c>
      <c r="C107" t="s">
        <v>507</v>
      </c>
      <c r="D107">
        <v>3179362</v>
      </c>
      <c r="E107">
        <v>34790</v>
      </c>
      <c r="F107">
        <v>3214152</v>
      </c>
      <c r="G107">
        <v>3214.152</v>
      </c>
      <c r="H107">
        <v>766358</v>
      </c>
      <c r="I107">
        <v>766.35799999999995</v>
      </c>
    </row>
    <row r="108" spans="1:9" x14ac:dyDescent="0.25">
      <c r="A108" t="s">
        <v>520</v>
      </c>
      <c r="B108" t="s">
        <v>521</v>
      </c>
      <c r="C108" t="s">
        <v>519</v>
      </c>
      <c r="D108">
        <v>6735917</v>
      </c>
      <c r="E108">
        <v>132345</v>
      </c>
      <c r="F108">
        <v>6868262</v>
      </c>
      <c r="G108">
        <v>6868.2619999999997</v>
      </c>
      <c r="H108">
        <v>0</v>
      </c>
      <c r="I108">
        <v>0</v>
      </c>
    </row>
    <row r="109" spans="1:9" x14ac:dyDescent="0.25">
      <c r="A109" t="s">
        <v>524</v>
      </c>
      <c r="B109" t="s">
        <v>525</v>
      </c>
      <c r="C109" t="s">
        <v>523</v>
      </c>
      <c r="D109">
        <v>7756316</v>
      </c>
      <c r="E109">
        <v>179024</v>
      </c>
      <c r="F109">
        <v>7935340</v>
      </c>
      <c r="G109">
        <v>7935.34</v>
      </c>
      <c r="H109">
        <v>0</v>
      </c>
      <c r="I109">
        <v>0</v>
      </c>
    </row>
    <row r="110" spans="1:9" x14ac:dyDescent="0.25">
      <c r="A110" t="s">
        <v>527</v>
      </c>
      <c r="B110" t="s">
        <v>528</v>
      </c>
      <c r="C110" t="s">
        <v>526</v>
      </c>
      <c r="D110">
        <v>10888319</v>
      </c>
      <c r="E110">
        <v>199215</v>
      </c>
      <c r="F110">
        <v>11087534</v>
      </c>
      <c r="G110">
        <v>11087.534</v>
      </c>
      <c r="H110">
        <v>0</v>
      </c>
      <c r="I110">
        <v>0</v>
      </c>
    </row>
    <row r="111" spans="1:9" x14ac:dyDescent="0.25">
      <c r="A111" t="s">
        <v>530</v>
      </c>
      <c r="B111" t="s">
        <v>531</v>
      </c>
      <c r="C111" t="s">
        <v>529</v>
      </c>
      <c r="D111">
        <v>4666560</v>
      </c>
      <c r="E111">
        <v>89283</v>
      </c>
      <c r="F111">
        <v>4755843</v>
      </c>
      <c r="G111">
        <v>4755.8429999999998</v>
      </c>
      <c r="H111">
        <v>0</v>
      </c>
      <c r="I111">
        <v>0</v>
      </c>
    </row>
    <row r="112" spans="1:9" x14ac:dyDescent="0.25">
      <c r="A112" t="s">
        <v>533</v>
      </c>
      <c r="B112" t="s">
        <v>534</v>
      </c>
      <c r="C112" t="s">
        <v>532</v>
      </c>
      <c r="D112">
        <v>2319518</v>
      </c>
      <c r="E112">
        <v>51626</v>
      </c>
      <c r="F112">
        <v>2371144</v>
      </c>
      <c r="G112">
        <v>2371.1439999999998</v>
      </c>
      <c r="H112">
        <v>572046</v>
      </c>
      <c r="I112">
        <v>572.04600000000005</v>
      </c>
    </row>
    <row r="113" spans="1:9" x14ac:dyDescent="0.25">
      <c r="A113" t="s">
        <v>536</v>
      </c>
      <c r="B113" t="s">
        <v>537</v>
      </c>
      <c r="C113" t="s">
        <v>5487</v>
      </c>
      <c r="D113">
        <v>21304013</v>
      </c>
      <c r="E113">
        <v>168765</v>
      </c>
      <c r="F113">
        <v>21472778</v>
      </c>
      <c r="G113">
        <v>21472.777999999998</v>
      </c>
      <c r="H113">
        <v>0</v>
      </c>
      <c r="I113">
        <v>0</v>
      </c>
    </row>
    <row r="114" spans="1:9" x14ac:dyDescent="0.25">
      <c r="A114" t="s">
        <v>548</v>
      </c>
      <c r="B114" t="s">
        <v>549</v>
      </c>
      <c r="C114" t="s">
        <v>547</v>
      </c>
      <c r="D114">
        <v>2021327</v>
      </c>
      <c r="E114">
        <v>40119</v>
      </c>
      <c r="F114">
        <v>2061446</v>
      </c>
      <c r="G114">
        <v>2061.4459999999999</v>
      </c>
      <c r="H114">
        <v>0</v>
      </c>
      <c r="I114">
        <v>0</v>
      </c>
    </row>
    <row r="115" spans="1:9" x14ac:dyDescent="0.25">
      <c r="A115" t="s">
        <v>551</v>
      </c>
      <c r="B115" t="s">
        <v>552</v>
      </c>
      <c r="C115" t="s">
        <v>550</v>
      </c>
      <c r="D115">
        <v>7797772</v>
      </c>
      <c r="E115">
        <v>56029</v>
      </c>
      <c r="F115">
        <v>7853801</v>
      </c>
      <c r="G115">
        <v>7853.8010000000004</v>
      </c>
      <c r="H115">
        <v>0</v>
      </c>
      <c r="I115">
        <v>0</v>
      </c>
    </row>
    <row r="116" spans="1:9" x14ac:dyDescent="0.25">
      <c r="A116" t="s">
        <v>554</v>
      </c>
      <c r="B116" t="s">
        <v>555</v>
      </c>
      <c r="C116" t="s">
        <v>553</v>
      </c>
      <c r="D116">
        <v>3108830</v>
      </c>
      <c r="E116">
        <v>62282</v>
      </c>
      <c r="F116">
        <v>3171112</v>
      </c>
      <c r="G116">
        <v>3171.1120000000001</v>
      </c>
      <c r="H116">
        <v>0</v>
      </c>
      <c r="I116">
        <v>0</v>
      </c>
    </row>
    <row r="117" spans="1:9" x14ac:dyDescent="0.25">
      <c r="A117" t="s">
        <v>557</v>
      </c>
      <c r="B117" t="s">
        <v>558</v>
      </c>
      <c r="C117" t="s">
        <v>556</v>
      </c>
      <c r="D117">
        <v>6820566</v>
      </c>
      <c r="E117">
        <v>111262</v>
      </c>
      <c r="F117">
        <v>6931828</v>
      </c>
      <c r="G117">
        <v>6931.8280000000004</v>
      </c>
      <c r="H117">
        <v>839918</v>
      </c>
      <c r="I117">
        <v>839.91800000000001</v>
      </c>
    </row>
    <row r="118" spans="1:9" x14ac:dyDescent="0.25">
      <c r="A118" t="s">
        <v>560</v>
      </c>
      <c r="B118" t="s">
        <v>561</v>
      </c>
      <c r="C118" t="s">
        <v>559</v>
      </c>
      <c r="D118">
        <v>4718943</v>
      </c>
      <c r="E118">
        <v>126990</v>
      </c>
      <c r="F118">
        <v>4845933</v>
      </c>
      <c r="G118">
        <v>4845.933</v>
      </c>
      <c r="H118">
        <v>0</v>
      </c>
      <c r="I118">
        <v>0</v>
      </c>
    </row>
    <row r="119" spans="1:9" x14ac:dyDescent="0.25">
      <c r="A119" t="s">
        <v>563</v>
      </c>
      <c r="B119" t="s">
        <v>564</v>
      </c>
      <c r="C119" t="s">
        <v>562</v>
      </c>
      <c r="D119">
        <v>2514802</v>
      </c>
      <c r="E119">
        <v>48358</v>
      </c>
      <c r="F119">
        <v>2563160</v>
      </c>
      <c r="G119">
        <v>2563.16</v>
      </c>
      <c r="H119">
        <v>0</v>
      </c>
      <c r="I119">
        <v>0</v>
      </c>
    </row>
    <row r="120" spans="1:9" x14ac:dyDescent="0.25">
      <c r="A120" t="s">
        <v>566</v>
      </c>
      <c r="B120" t="s">
        <v>567</v>
      </c>
      <c r="C120" t="s">
        <v>565</v>
      </c>
      <c r="D120">
        <v>1917791</v>
      </c>
      <c r="E120">
        <v>27927</v>
      </c>
      <c r="F120">
        <v>1945718</v>
      </c>
      <c r="G120">
        <v>1945.7180000000001</v>
      </c>
      <c r="H120">
        <v>736511</v>
      </c>
      <c r="I120">
        <v>736.51099999999997</v>
      </c>
    </row>
    <row r="121" spans="1:9" x14ac:dyDescent="0.25">
      <c r="A121" t="s">
        <v>569</v>
      </c>
      <c r="B121" t="s">
        <v>570</v>
      </c>
      <c r="C121" t="s">
        <v>568</v>
      </c>
      <c r="D121">
        <v>2089489</v>
      </c>
      <c r="E121">
        <v>9953</v>
      </c>
      <c r="F121">
        <v>2099442</v>
      </c>
      <c r="G121">
        <v>2099.442</v>
      </c>
      <c r="H121">
        <v>0</v>
      </c>
      <c r="I121">
        <v>0</v>
      </c>
    </row>
    <row r="122" spans="1:9" x14ac:dyDescent="0.25">
      <c r="A122" t="s">
        <v>572</v>
      </c>
      <c r="B122" t="s">
        <v>573</v>
      </c>
      <c r="C122" t="s">
        <v>571</v>
      </c>
      <c r="D122">
        <v>2461782</v>
      </c>
      <c r="E122">
        <v>62654</v>
      </c>
      <c r="F122">
        <v>2524436</v>
      </c>
      <c r="G122">
        <v>2524.4360000000001</v>
      </c>
      <c r="H122">
        <v>0</v>
      </c>
      <c r="I122">
        <v>0</v>
      </c>
    </row>
    <row r="123" spans="1:9" x14ac:dyDescent="0.25">
      <c r="A123" t="s">
        <v>575</v>
      </c>
      <c r="B123" t="s">
        <v>576</v>
      </c>
      <c r="C123" t="s">
        <v>574</v>
      </c>
      <c r="D123">
        <v>5961821</v>
      </c>
      <c r="E123">
        <v>124090</v>
      </c>
      <c r="F123">
        <v>6085911</v>
      </c>
      <c r="G123">
        <v>6085.9110000000001</v>
      </c>
      <c r="H123">
        <v>0</v>
      </c>
      <c r="I123">
        <v>0</v>
      </c>
    </row>
    <row r="124" spans="1:9" x14ac:dyDescent="0.25">
      <c r="A124" t="s">
        <v>581</v>
      </c>
      <c r="B124" t="s">
        <v>582</v>
      </c>
      <c r="C124" t="s">
        <v>580</v>
      </c>
      <c r="D124">
        <v>6355094</v>
      </c>
      <c r="E124">
        <v>19296</v>
      </c>
      <c r="F124">
        <v>6374390</v>
      </c>
      <c r="G124">
        <v>6374.39</v>
      </c>
      <c r="H124">
        <v>1502587</v>
      </c>
      <c r="I124">
        <v>1502.587</v>
      </c>
    </row>
    <row r="125" spans="1:9" x14ac:dyDescent="0.25">
      <c r="A125" t="s">
        <v>590</v>
      </c>
      <c r="B125" t="s">
        <v>591</v>
      </c>
      <c r="C125" t="s">
        <v>589</v>
      </c>
      <c r="D125">
        <v>3751759</v>
      </c>
      <c r="E125">
        <v>76549</v>
      </c>
      <c r="F125">
        <v>3828308</v>
      </c>
      <c r="G125">
        <v>3828.308</v>
      </c>
      <c r="H125">
        <v>0</v>
      </c>
      <c r="I125">
        <v>0</v>
      </c>
    </row>
    <row r="126" spans="1:9" x14ac:dyDescent="0.25">
      <c r="A126" t="s">
        <v>593</v>
      </c>
      <c r="B126" t="s">
        <v>594</v>
      </c>
      <c r="C126" t="s">
        <v>592</v>
      </c>
      <c r="D126">
        <v>1548735</v>
      </c>
      <c r="E126">
        <v>23428</v>
      </c>
      <c r="F126">
        <v>1572163</v>
      </c>
      <c r="G126">
        <v>1572.163</v>
      </c>
      <c r="H126">
        <v>0</v>
      </c>
      <c r="I126">
        <v>0</v>
      </c>
    </row>
    <row r="127" spans="1:9" x14ac:dyDescent="0.25">
      <c r="A127" t="s">
        <v>596</v>
      </c>
      <c r="B127" t="s">
        <v>597</v>
      </c>
      <c r="C127" t="s">
        <v>595</v>
      </c>
      <c r="D127">
        <v>10706271</v>
      </c>
      <c r="E127">
        <v>124817</v>
      </c>
      <c r="F127">
        <v>10831088</v>
      </c>
      <c r="G127">
        <v>10831.088</v>
      </c>
      <c r="H127">
        <v>0</v>
      </c>
      <c r="I127">
        <v>0</v>
      </c>
    </row>
    <row r="128" spans="1:9" x14ac:dyDescent="0.25">
      <c r="A128" t="s">
        <v>599</v>
      </c>
      <c r="B128" t="s">
        <v>600</v>
      </c>
      <c r="C128" t="s">
        <v>5488</v>
      </c>
      <c r="D128">
        <v>1678510</v>
      </c>
      <c r="E128">
        <v>25934</v>
      </c>
      <c r="F128">
        <v>1704444</v>
      </c>
      <c r="G128">
        <v>1704.444</v>
      </c>
      <c r="H128">
        <v>0</v>
      </c>
      <c r="I128">
        <v>0</v>
      </c>
    </row>
    <row r="129" spans="1:9" x14ac:dyDescent="0.25">
      <c r="A129" t="s">
        <v>602</v>
      </c>
      <c r="B129" t="s">
        <v>603</v>
      </c>
      <c r="C129" t="s">
        <v>601</v>
      </c>
      <c r="D129">
        <v>3666648</v>
      </c>
      <c r="E129">
        <v>90334</v>
      </c>
      <c r="F129">
        <v>3756982</v>
      </c>
      <c r="G129">
        <v>3756.982</v>
      </c>
      <c r="H129">
        <v>0</v>
      </c>
      <c r="I129">
        <v>0</v>
      </c>
    </row>
    <row r="130" spans="1:9" x14ac:dyDescent="0.25">
      <c r="A130" t="s">
        <v>605</v>
      </c>
      <c r="B130" t="s">
        <v>606</v>
      </c>
      <c r="C130" t="s">
        <v>604</v>
      </c>
      <c r="D130">
        <v>8516474</v>
      </c>
      <c r="E130">
        <v>143835</v>
      </c>
      <c r="F130">
        <v>8660309</v>
      </c>
      <c r="G130">
        <v>8660.3089999999993</v>
      </c>
      <c r="H130">
        <v>0</v>
      </c>
      <c r="I130">
        <v>0</v>
      </c>
    </row>
    <row r="131" spans="1:9" x14ac:dyDescent="0.25">
      <c r="A131" t="s">
        <v>614</v>
      </c>
      <c r="B131" t="s">
        <v>615</v>
      </c>
      <c r="C131" t="s">
        <v>613</v>
      </c>
      <c r="D131">
        <v>3421920</v>
      </c>
      <c r="E131">
        <v>34480</v>
      </c>
      <c r="F131">
        <v>3456400</v>
      </c>
      <c r="G131">
        <v>3456.4</v>
      </c>
      <c r="H131">
        <v>0</v>
      </c>
      <c r="I131">
        <v>0</v>
      </c>
    </row>
    <row r="132" spans="1:9" x14ac:dyDescent="0.25">
      <c r="A132" t="s">
        <v>617</v>
      </c>
      <c r="B132" t="s">
        <v>618</v>
      </c>
      <c r="C132" t="s">
        <v>616</v>
      </c>
      <c r="D132">
        <v>1202698</v>
      </c>
      <c r="E132">
        <v>23413</v>
      </c>
      <c r="F132">
        <v>1226111</v>
      </c>
      <c r="G132">
        <v>1226.1110000000001</v>
      </c>
      <c r="H132">
        <v>24111</v>
      </c>
      <c r="I132">
        <v>24.111000000000001</v>
      </c>
    </row>
    <row r="133" spans="1:9" x14ac:dyDescent="0.25">
      <c r="A133" t="s">
        <v>620</v>
      </c>
      <c r="B133" t="s">
        <v>621</v>
      </c>
      <c r="C133" t="s">
        <v>619</v>
      </c>
      <c r="D133">
        <v>5211530</v>
      </c>
      <c r="E133">
        <v>52001</v>
      </c>
      <c r="F133">
        <v>5263531</v>
      </c>
      <c r="G133">
        <v>5263.5309999999999</v>
      </c>
      <c r="H133">
        <v>39032</v>
      </c>
      <c r="I133">
        <v>39.031999999999996</v>
      </c>
    </row>
    <row r="134" spans="1:9" x14ac:dyDescent="0.25">
      <c r="A134" t="s">
        <v>623</v>
      </c>
      <c r="B134" t="s">
        <v>624</v>
      </c>
      <c r="C134" t="s">
        <v>622</v>
      </c>
      <c r="D134">
        <v>5442537</v>
      </c>
      <c r="E134">
        <v>52256</v>
      </c>
      <c r="F134">
        <v>5494793</v>
      </c>
      <c r="G134">
        <v>5494.7929999999997</v>
      </c>
      <c r="H134">
        <v>925879</v>
      </c>
      <c r="I134">
        <v>925.87900000000002</v>
      </c>
    </row>
    <row r="135" spans="1:9" x14ac:dyDescent="0.25">
      <c r="A135" t="s">
        <v>626</v>
      </c>
      <c r="B135" t="s">
        <v>627</v>
      </c>
      <c r="C135" t="s">
        <v>625</v>
      </c>
      <c r="D135">
        <v>461122</v>
      </c>
      <c r="E135">
        <v>0</v>
      </c>
      <c r="F135">
        <v>461122</v>
      </c>
      <c r="G135">
        <v>461.12200000000001</v>
      </c>
      <c r="H135">
        <v>0</v>
      </c>
      <c r="I135">
        <v>0</v>
      </c>
    </row>
    <row r="136" spans="1:9" x14ac:dyDescent="0.25">
      <c r="A136" t="s">
        <v>629</v>
      </c>
      <c r="B136" t="s">
        <v>630</v>
      </c>
      <c r="C136" t="s">
        <v>5489</v>
      </c>
      <c r="D136">
        <v>16393218</v>
      </c>
      <c r="E136">
        <v>119159</v>
      </c>
      <c r="F136">
        <v>16512377</v>
      </c>
      <c r="G136">
        <v>16512.377</v>
      </c>
      <c r="H136">
        <v>0</v>
      </c>
      <c r="I136">
        <v>0</v>
      </c>
    </row>
    <row r="137" spans="1:9" x14ac:dyDescent="0.25">
      <c r="A137" t="s">
        <v>632</v>
      </c>
      <c r="B137" t="s">
        <v>633</v>
      </c>
      <c r="C137" t="s">
        <v>5490</v>
      </c>
      <c r="D137">
        <v>39384697</v>
      </c>
      <c r="E137">
        <v>197698</v>
      </c>
      <c r="F137">
        <v>39582395</v>
      </c>
      <c r="G137">
        <v>39582.394999999997</v>
      </c>
      <c r="H137">
        <v>0</v>
      </c>
      <c r="I137">
        <v>0</v>
      </c>
    </row>
    <row r="138" spans="1:9" x14ac:dyDescent="0.25">
      <c r="A138" t="s">
        <v>644</v>
      </c>
      <c r="B138" t="s">
        <v>645</v>
      </c>
      <c r="C138" t="s">
        <v>5491</v>
      </c>
      <c r="D138">
        <v>3999559</v>
      </c>
      <c r="E138">
        <v>31861</v>
      </c>
      <c r="F138">
        <v>4031420</v>
      </c>
      <c r="G138">
        <v>4031.42</v>
      </c>
      <c r="H138">
        <v>989747</v>
      </c>
      <c r="I138">
        <v>989.74699999999996</v>
      </c>
    </row>
    <row r="139" spans="1:9" x14ac:dyDescent="0.25">
      <c r="A139" t="s">
        <v>647</v>
      </c>
      <c r="B139" t="s">
        <v>648</v>
      </c>
      <c r="C139" t="s">
        <v>646</v>
      </c>
      <c r="D139">
        <v>8581419</v>
      </c>
      <c r="E139">
        <v>59877</v>
      </c>
      <c r="F139">
        <v>8641296</v>
      </c>
      <c r="G139">
        <v>8641.2960000000003</v>
      </c>
      <c r="H139">
        <v>3058066</v>
      </c>
      <c r="I139">
        <v>3058.0659999999998</v>
      </c>
    </row>
    <row r="140" spans="1:9" x14ac:dyDescent="0.25">
      <c r="A140" t="s">
        <v>650</v>
      </c>
      <c r="B140" t="s">
        <v>651</v>
      </c>
      <c r="C140" t="s">
        <v>649</v>
      </c>
      <c r="D140">
        <v>6637753</v>
      </c>
      <c r="E140">
        <v>122921</v>
      </c>
      <c r="F140">
        <v>6760674</v>
      </c>
      <c r="G140">
        <v>6760.674</v>
      </c>
      <c r="H140">
        <v>0</v>
      </c>
      <c r="I140">
        <v>0</v>
      </c>
    </row>
    <row r="141" spans="1:9" x14ac:dyDescent="0.25">
      <c r="A141" t="s">
        <v>653</v>
      </c>
      <c r="B141" t="s">
        <v>654</v>
      </c>
      <c r="C141" t="s">
        <v>652</v>
      </c>
      <c r="D141">
        <v>10539275</v>
      </c>
      <c r="E141">
        <v>329622</v>
      </c>
      <c r="F141">
        <v>10868897</v>
      </c>
      <c r="G141">
        <v>10868.897000000001</v>
      </c>
      <c r="H141">
        <v>0</v>
      </c>
      <c r="I141">
        <v>0</v>
      </c>
    </row>
    <row r="142" spans="1:9" x14ac:dyDescent="0.25">
      <c r="A142" t="s">
        <v>656</v>
      </c>
      <c r="B142" t="s">
        <v>657</v>
      </c>
      <c r="C142" t="s">
        <v>655</v>
      </c>
      <c r="D142">
        <v>3514148</v>
      </c>
      <c r="E142">
        <v>192390</v>
      </c>
      <c r="F142">
        <v>3706538</v>
      </c>
      <c r="G142">
        <v>3706.538</v>
      </c>
      <c r="H142">
        <v>0</v>
      </c>
      <c r="I142">
        <v>0</v>
      </c>
    </row>
    <row r="143" spans="1:9" x14ac:dyDescent="0.25">
      <c r="A143" t="s">
        <v>663</v>
      </c>
      <c r="B143" t="s">
        <v>664</v>
      </c>
      <c r="C143" t="s">
        <v>662</v>
      </c>
      <c r="D143">
        <v>12240953</v>
      </c>
      <c r="E143">
        <v>282164</v>
      </c>
      <c r="F143">
        <v>12523117</v>
      </c>
      <c r="G143">
        <v>12523.117</v>
      </c>
      <c r="H143">
        <v>0</v>
      </c>
      <c r="I143">
        <v>0</v>
      </c>
    </row>
    <row r="144" spans="1:9" x14ac:dyDescent="0.25">
      <c r="A144" t="s">
        <v>675</v>
      </c>
      <c r="B144" t="s">
        <v>676</v>
      </c>
      <c r="C144" t="s">
        <v>674</v>
      </c>
      <c r="D144">
        <v>3363581</v>
      </c>
      <c r="E144">
        <v>24690</v>
      </c>
      <c r="F144">
        <v>3388271</v>
      </c>
      <c r="G144">
        <v>3388.2710000000002</v>
      </c>
      <c r="H144">
        <v>0</v>
      </c>
      <c r="I144">
        <v>0</v>
      </c>
    </row>
    <row r="145" spans="1:9" x14ac:dyDescent="0.25">
      <c r="A145" t="s">
        <v>680</v>
      </c>
      <c r="B145" t="s">
        <v>681</v>
      </c>
      <c r="C145" t="s">
        <v>679</v>
      </c>
      <c r="D145">
        <v>33437910</v>
      </c>
      <c r="E145">
        <v>648512</v>
      </c>
      <c r="F145">
        <v>34086422</v>
      </c>
      <c r="G145">
        <v>34086.421999999999</v>
      </c>
      <c r="H145">
        <v>699328</v>
      </c>
      <c r="I145">
        <v>699.32799999999997</v>
      </c>
    </row>
    <row r="146" spans="1:9" x14ac:dyDescent="0.25">
      <c r="A146" t="s">
        <v>683</v>
      </c>
      <c r="B146" t="s">
        <v>684</v>
      </c>
      <c r="C146" t="s">
        <v>682</v>
      </c>
      <c r="D146">
        <v>10511155</v>
      </c>
      <c r="E146">
        <v>119699</v>
      </c>
      <c r="F146">
        <v>10630854</v>
      </c>
      <c r="G146">
        <v>10630.853999999999</v>
      </c>
      <c r="H146">
        <v>0</v>
      </c>
      <c r="I146">
        <v>0</v>
      </c>
    </row>
    <row r="147" spans="1:9" x14ac:dyDescent="0.25">
      <c r="A147" t="s">
        <v>695</v>
      </c>
      <c r="B147" t="s">
        <v>696</v>
      </c>
      <c r="C147" t="s">
        <v>694</v>
      </c>
      <c r="D147">
        <v>1753291</v>
      </c>
      <c r="E147">
        <v>52114</v>
      </c>
      <c r="F147">
        <v>1805405</v>
      </c>
      <c r="G147">
        <v>1805.405</v>
      </c>
      <c r="H147">
        <v>1048242</v>
      </c>
      <c r="I147">
        <v>1048.242</v>
      </c>
    </row>
    <row r="148" spans="1:9" x14ac:dyDescent="0.25">
      <c r="A148" t="s">
        <v>698</v>
      </c>
      <c r="B148" t="s">
        <v>699</v>
      </c>
      <c r="C148" t="s">
        <v>697</v>
      </c>
      <c r="D148">
        <v>4636215</v>
      </c>
      <c r="E148">
        <v>224050</v>
      </c>
      <c r="F148">
        <v>4860265</v>
      </c>
      <c r="G148">
        <v>4860.2650000000003</v>
      </c>
      <c r="H148">
        <v>0</v>
      </c>
      <c r="I148">
        <v>0</v>
      </c>
    </row>
    <row r="149" spans="1:9" x14ac:dyDescent="0.25">
      <c r="A149" t="s">
        <v>701</v>
      </c>
      <c r="B149" t="s">
        <v>702</v>
      </c>
      <c r="C149" t="s">
        <v>700</v>
      </c>
      <c r="D149">
        <v>2295458</v>
      </c>
      <c r="E149">
        <v>86645</v>
      </c>
      <c r="F149">
        <v>2382103</v>
      </c>
      <c r="G149">
        <v>2382.1030000000001</v>
      </c>
      <c r="H149">
        <v>0</v>
      </c>
      <c r="I149">
        <v>0</v>
      </c>
    </row>
    <row r="150" spans="1:9" x14ac:dyDescent="0.25">
      <c r="A150" t="s">
        <v>704</v>
      </c>
      <c r="B150" t="s">
        <v>705</v>
      </c>
      <c r="C150" t="s">
        <v>703</v>
      </c>
      <c r="D150">
        <v>3921512</v>
      </c>
      <c r="E150">
        <v>49259</v>
      </c>
      <c r="F150">
        <v>3970771</v>
      </c>
      <c r="G150">
        <v>3970.7710000000002</v>
      </c>
      <c r="H150">
        <v>0</v>
      </c>
      <c r="I150">
        <v>0</v>
      </c>
    </row>
    <row r="151" spans="1:9" x14ac:dyDescent="0.25">
      <c r="A151" t="s">
        <v>713</v>
      </c>
      <c r="B151" t="s">
        <v>714</v>
      </c>
      <c r="C151" t="s">
        <v>712</v>
      </c>
      <c r="D151">
        <v>60481876</v>
      </c>
      <c r="E151">
        <v>477498</v>
      </c>
      <c r="F151">
        <v>60959374</v>
      </c>
      <c r="G151">
        <v>60959.374000000003</v>
      </c>
      <c r="H151">
        <v>0</v>
      </c>
      <c r="I151">
        <v>0</v>
      </c>
    </row>
    <row r="152" spans="1:9" x14ac:dyDescent="0.25">
      <c r="A152" t="s">
        <v>719</v>
      </c>
      <c r="B152" t="s">
        <v>720</v>
      </c>
      <c r="C152" t="s">
        <v>718</v>
      </c>
      <c r="D152">
        <v>6750285</v>
      </c>
      <c r="E152">
        <v>51204</v>
      </c>
      <c r="F152">
        <v>6801489</v>
      </c>
      <c r="G152">
        <v>6801.4889999999996</v>
      </c>
      <c r="H152">
        <v>0</v>
      </c>
      <c r="I152">
        <v>0</v>
      </c>
    </row>
    <row r="153" spans="1:9" x14ac:dyDescent="0.25">
      <c r="A153" t="s">
        <v>722</v>
      </c>
      <c r="B153" t="s">
        <v>723</v>
      </c>
      <c r="C153" t="s">
        <v>721</v>
      </c>
      <c r="D153">
        <v>5692314</v>
      </c>
      <c r="E153">
        <v>62934</v>
      </c>
      <c r="F153">
        <v>5755248</v>
      </c>
      <c r="G153">
        <v>5755.2479999999996</v>
      </c>
      <c r="H153">
        <v>1459156</v>
      </c>
      <c r="I153">
        <v>1459.1559999999999</v>
      </c>
    </row>
    <row r="154" spans="1:9" x14ac:dyDescent="0.25">
      <c r="A154" t="s">
        <v>725</v>
      </c>
      <c r="B154" t="s">
        <v>726</v>
      </c>
      <c r="C154" t="s">
        <v>724</v>
      </c>
      <c r="D154">
        <v>1070583</v>
      </c>
      <c r="E154">
        <v>3061</v>
      </c>
      <c r="F154">
        <v>1073644</v>
      </c>
      <c r="G154">
        <v>1073.644</v>
      </c>
      <c r="H154">
        <v>0</v>
      </c>
      <c r="I154">
        <v>0</v>
      </c>
    </row>
    <row r="155" spans="1:9" x14ac:dyDescent="0.25">
      <c r="A155" t="s">
        <v>728</v>
      </c>
      <c r="B155" t="s">
        <v>729</v>
      </c>
      <c r="C155" t="s">
        <v>727</v>
      </c>
      <c r="D155">
        <v>1625559</v>
      </c>
      <c r="E155">
        <v>15579</v>
      </c>
      <c r="F155">
        <v>1641138</v>
      </c>
      <c r="G155">
        <v>1641.1379999999999</v>
      </c>
      <c r="H155">
        <v>0</v>
      </c>
      <c r="I155">
        <v>0</v>
      </c>
    </row>
    <row r="156" spans="1:9" x14ac:dyDescent="0.25">
      <c r="A156" t="s">
        <v>731</v>
      </c>
      <c r="B156" t="s">
        <v>732</v>
      </c>
      <c r="C156" t="s">
        <v>730</v>
      </c>
      <c r="D156">
        <v>79766733</v>
      </c>
      <c r="E156">
        <v>658316</v>
      </c>
      <c r="F156">
        <v>80425049</v>
      </c>
      <c r="G156">
        <v>80425.048999999999</v>
      </c>
      <c r="H156">
        <v>0</v>
      </c>
      <c r="I156">
        <v>0</v>
      </c>
    </row>
    <row r="157" spans="1:9" x14ac:dyDescent="0.25">
      <c r="A157" t="s">
        <v>734</v>
      </c>
      <c r="B157" t="s">
        <v>735</v>
      </c>
      <c r="C157" t="s">
        <v>733</v>
      </c>
      <c r="D157">
        <v>2757562</v>
      </c>
      <c r="E157">
        <v>20773</v>
      </c>
      <c r="F157">
        <v>2778335</v>
      </c>
      <c r="G157">
        <v>2778.335</v>
      </c>
      <c r="H157">
        <v>0</v>
      </c>
      <c r="I157">
        <v>0</v>
      </c>
    </row>
    <row r="158" spans="1:9" x14ac:dyDescent="0.25">
      <c r="A158" t="s">
        <v>737</v>
      </c>
      <c r="B158" t="s">
        <v>738</v>
      </c>
      <c r="C158" t="s">
        <v>5492</v>
      </c>
      <c r="D158">
        <v>7054280</v>
      </c>
      <c r="E158">
        <v>93535</v>
      </c>
      <c r="F158">
        <v>7147815</v>
      </c>
      <c r="G158">
        <v>7147.8149999999996</v>
      </c>
      <c r="H158">
        <v>2522371</v>
      </c>
      <c r="I158">
        <v>2522.3710000000001</v>
      </c>
    </row>
    <row r="159" spans="1:9" x14ac:dyDescent="0.25">
      <c r="A159" t="s">
        <v>740</v>
      </c>
      <c r="B159" t="s">
        <v>741</v>
      </c>
      <c r="C159" t="s">
        <v>739</v>
      </c>
      <c r="D159">
        <v>1019951</v>
      </c>
      <c r="E159">
        <v>15651</v>
      </c>
      <c r="F159">
        <v>1035602</v>
      </c>
      <c r="G159">
        <v>1035.6020000000001</v>
      </c>
      <c r="H159">
        <v>0</v>
      </c>
      <c r="I159">
        <v>0</v>
      </c>
    </row>
    <row r="160" spans="1:9" x14ac:dyDescent="0.25">
      <c r="A160" t="s">
        <v>743</v>
      </c>
      <c r="B160" t="s">
        <v>744</v>
      </c>
      <c r="C160" t="s">
        <v>742</v>
      </c>
      <c r="D160">
        <v>3676512</v>
      </c>
      <c r="E160">
        <v>38220</v>
      </c>
      <c r="F160">
        <v>3714732</v>
      </c>
      <c r="G160">
        <v>3714.732</v>
      </c>
      <c r="H160">
        <v>0</v>
      </c>
      <c r="I160">
        <v>0</v>
      </c>
    </row>
    <row r="161" spans="1:9" x14ac:dyDescent="0.25">
      <c r="A161" t="s">
        <v>755</v>
      </c>
      <c r="B161" t="s">
        <v>756</v>
      </c>
      <c r="C161" t="s">
        <v>754</v>
      </c>
      <c r="D161">
        <v>5795730</v>
      </c>
      <c r="E161">
        <v>150340</v>
      </c>
      <c r="F161">
        <v>5946070</v>
      </c>
      <c r="G161">
        <v>5946.07</v>
      </c>
      <c r="H161">
        <v>0</v>
      </c>
      <c r="I161">
        <v>0</v>
      </c>
    </row>
    <row r="162" spans="1:9" x14ac:dyDescent="0.25">
      <c r="A162" t="s">
        <v>758</v>
      </c>
      <c r="B162" t="s">
        <v>759</v>
      </c>
      <c r="C162" t="s">
        <v>757</v>
      </c>
      <c r="D162">
        <v>1337907</v>
      </c>
      <c r="E162">
        <v>5966</v>
      </c>
      <c r="F162">
        <v>1343873</v>
      </c>
      <c r="G162">
        <v>1343.873</v>
      </c>
      <c r="H162">
        <v>435923</v>
      </c>
      <c r="I162">
        <v>435.923</v>
      </c>
    </row>
    <row r="163" spans="1:9" x14ac:dyDescent="0.25">
      <c r="A163" t="s">
        <v>761</v>
      </c>
      <c r="B163" t="s">
        <v>762</v>
      </c>
      <c r="C163" t="s">
        <v>760</v>
      </c>
      <c r="D163">
        <v>1073430</v>
      </c>
      <c r="E163">
        <v>27362</v>
      </c>
      <c r="F163">
        <v>1100792</v>
      </c>
      <c r="G163">
        <v>1100.7919999999999</v>
      </c>
      <c r="H163">
        <v>0</v>
      </c>
      <c r="I163">
        <v>0</v>
      </c>
    </row>
    <row r="164" spans="1:9" x14ac:dyDescent="0.25">
      <c r="A164" t="s">
        <v>764</v>
      </c>
      <c r="B164" t="s">
        <v>765</v>
      </c>
      <c r="C164" t="s">
        <v>763</v>
      </c>
      <c r="D164">
        <v>3387855</v>
      </c>
      <c r="E164">
        <v>76416</v>
      </c>
      <c r="F164">
        <v>3464271</v>
      </c>
      <c r="G164">
        <v>3464.2710000000002</v>
      </c>
      <c r="H164">
        <v>91664</v>
      </c>
      <c r="I164">
        <v>91.664000000000001</v>
      </c>
    </row>
    <row r="165" spans="1:9" x14ac:dyDescent="0.25">
      <c r="A165" t="s">
        <v>767</v>
      </c>
      <c r="B165" t="s">
        <v>768</v>
      </c>
      <c r="C165" t="s">
        <v>766</v>
      </c>
      <c r="D165">
        <v>4599400</v>
      </c>
      <c r="E165">
        <v>63832</v>
      </c>
      <c r="F165">
        <v>4663232</v>
      </c>
      <c r="G165">
        <v>4663.232</v>
      </c>
      <c r="H165">
        <v>1377380</v>
      </c>
      <c r="I165">
        <v>1377.38</v>
      </c>
    </row>
    <row r="166" spans="1:9" x14ac:dyDescent="0.25">
      <c r="A166" t="s">
        <v>770</v>
      </c>
      <c r="B166" t="s">
        <v>771</v>
      </c>
      <c r="C166" t="s">
        <v>769</v>
      </c>
      <c r="D166">
        <v>15625204</v>
      </c>
      <c r="E166">
        <v>261197</v>
      </c>
      <c r="F166">
        <v>15886401</v>
      </c>
      <c r="G166">
        <v>15886.401</v>
      </c>
      <c r="H166">
        <v>0</v>
      </c>
      <c r="I166">
        <v>0</v>
      </c>
    </row>
    <row r="167" spans="1:9" x14ac:dyDescent="0.25">
      <c r="A167" t="s">
        <v>773</v>
      </c>
      <c r="B167" t="s">
        <v>774</v>
      </c>
      <c r="C167" t="s">
        <v>772</v>
      </c>
      <c r="D167">
        <v>2591211</v>
      </c>
      <c r="E167">
        <v>61028</v>
      </c>
      <c r="F167">
        <v>2652239</v>
      </c>
      <c r="G167">
        <v>2652.239</v>
      </c>
      <c r="H167">
        <v>0</v>
      </c>
      <c r="I167">
        <v>0</v>
      </c>
    </row>
    <row r="168" spans="1:9" x14ac:dyDescent="0.25">
      <c r="A168" t="s">
        <v>776</v>
      </c>
      <c r="B168" t="s">
        <v>777</v>
      </c>
      <c r="C168" t="s">
        <v>775</v>
      </c>
      <c r="D168">
        <v>5646146</v>
      </c>
      <c r="E168">
        <v>50553</v>
      </c>
      <c r="F168">
        <v>5696699</v>
      </c>
      <c r="G168">
        <v>5696.6989999999996</v>
      </c>
      <c r="H168">
        <v>0</v>
      </c>
      <c r="I168">
        <v>0</v>
      </c>
    </row>
    <row r="169" spans="1:9" x14ac:dyDescent="0.25">
      <c r="A169" t="s">
        <v>782</v>
      </c>
      <c r="B169" t="s">
        <v>783</v>
      </c>
      <c r="C169" t="s">
        <v>5493</v>
      </c>
      <c r="D169">
        <v>4042888</v>
      </c>
      <c r="E169">
        <v>48827</v>
      </c>
      <c r="F169">
        <v>4091715</v>
      </c>
      <c r="G169">
        <v>4091.7150000000001</v>
      </c>
      <c r="H169">
        <v>0</v>
      </c>
      <c r="I169">
        <v>0</v>
      </c>
    </row>
    <row r="170" spans="1:9" x14ac:dyDescent="0.25">
      <c r="A170" t="s">
        <v>785</v>
      </c>
      <c r="B170" t="s">
        <v>786</v>
      </c>
      <c r="C170" t="s">
        <v>784</v>
      </c>
      <c r="D170">
        <v>20976383</v>
      </c>
      <c r="E170">
        <v>89018</v>
      </c>
      <c r="F170">
        <v>21065401</v>
      </c>
      <c r="G170">
        <v>21065.401000000002</v>
      </c>
      <c r="H170">
        <v>0</v>
      </c>
      <c r="I170">
        <v>0</v>
      </c>
    </row>
    <row r="171" spans="1:9" x14ac:dyDescent="0.25">
      <c r="A171" t="s">
        <v>788</v>
      </c>
      <c r="B171" t="s">
        <v>789</v>
      </c>
      <c r="C171" t="s">
        <v>787</v>
      </c>
      <c r="D171">
        <v>2189894</v>
      </c>
      <c r="E171">
        <v>16604</v>
      </c>
      <c r="F171">
        <v>2206498</v>
      </c>
      <c r="G171">
        <v>2206.498</v>
      </c>
      <c r="H171">
        <v>0</v>
      </c>
      <c r="I171">
        <v>0</v>
      </c>
    </row>
    <row r="172" spans="1:9" x14ac:dyDescent="0.25">
      <c r="A172" t="s">
        <v>791</v>
      </c>
      <c r="B172" t="s">
        <v>792</v>
      </c>
      <c r="C172" t="s">
        <v>790</v>
      </c>
      <c r="D172">
        <v>15496661</v>
      </c>
      <c r="E172">
        <v>93102</v>
      </c>
      <c r="F172">
        <v>15589763</v>
      </c>
      <c r="G172">
        <v>15589.763000000001</v>
      </c>
      <c r="H172">
        <v>0</v>
      </c>
      <c r="I172">
        <v>0</v>
      </c>
    </row>
    <row r="173" spans="1:9" x14ac:dyDescent="0.25">
      <c r="A173" t="s">
        <v>800</v>
      </c>
      <c r="B173" t="s">
        <v>801</v>
      </c>
      <c r="C173" t="s">
        <v>799</v>
      </c>
      <c r="D173">
        <v>3897493</v>
      </c>
      <c r="E173">
        <v>26991</v>
      </c>
      <c r="F173">
        <v>3924484</v>
      </c>
      <c r="G173">
        <v>3924.4839999999999</v>
      </c>
      <c r="H173">
        <v>0</v>
      </c>
      <c r="I173">
        <v>0</v>
      </c>
    </row>
    <row r="174" spans="1:9" x14ac:dyDescent="0.25">
      <c r="A174" t="s">
        <v>806</v>
      </c>
      <c r="B174" t="s">
        <v>807</v>
      </c>
      <c r="C174" t="s">
        <v>805</v>
      </c>
      <c r="D174">
        <v>1159651</v>
      </c>
      <c r="E174">
        <v>9266</v>
      </c>
      <c r="F174">
        <v>1168917</v>
      </c>
      <c r="G174">
        <v>1168.9169999999999</v>
      </c>
      <c r="H174">
        <v>0</v>
      </c>
      <c r="I174">
        <v>0</v>
      </c>
    </row>
    <row r="175" spans="1:9" x14ac:dyDescent="0.25">
      <c r="A175" t="s">
        <v>809</v>
      </c>
      <c r="B175" t="s">
        <v>810</v>
      </c>
      <c r="C175" t="s">
        <v>808</v>
      </c>
      <c r="D175">
        <v>4358082</v>
      </c>
      <c r="E175">
        <v>37005</v>
      </c>
      <c r="F175">
        <v>4395087</v>
      </c>
      <c r="G175">
        <v>4395.0870000000004</v>
      </c>
      <c r="H175">
        <v>0</v>
      </c>
      <c r="I175">
        <v>0</v>
      </c>
    </row>
    <row r="176" spans="1:9" x14ac:dyDescent="0.25">
      <c r="A176" t="s">
        <v>812</v>
      </c>
      <c r="B176" t="s">
        <v>813</v>
      </c>
      <c r="C176" t="s">
        <v>811</v>
      </c>
      <c r="D176">
        <v>3513608</v>
      </c>
      <c r="E176">
        <v>48064</v>
      </c>
      <c r="F176">
        <v>3561672</v>
      </c>
      <c r="G176">
        <v>3561.672</v>
      </c>
      <c r="H176">
        <v>0</v>
      </c>
      <c r="I176">
        <v>0</v>
      </c>
    </row>
    <row r="177" spans="1:9" x14ac:dyDescent="0.25">
      <c r="A177" t="s">
        <v>815</v>
      </c>
      <c r="B177" t="s">
        <v>816</v>
      </c>
      <c r="C177" t="s">
        <v>814</v>
      </c>
      <c r="D177">
        <v>1621601</v>
      </c>
      <c r="E177">
        <v>47165</v>
      </c>
      <c r="F177">
        <v>1668766</v>
      </c>
      <c r="G177">
        <v>1668.7660000000001</v>
      </c>
      <c r="H177">
        <v>0</v>
      </c>
      <c r="I177">
        <v>0</v>
      </c>
    </row>
    <row r="178" spans="1:9" x14ac:dyDescent="0.25">
      <c r="A178" t="s">
        <v>818</v>
      </c>
      <c r="B178" t="s">
        <v>819</v>
      </c>
      <c r="C178" t="s">
        <v>817</v>
      </c>
      <c r="D178">
        <v>3443347</v>
      </c>
      <c r="E178">
        <v>36241</v>
      </c>
      <c r="F178">
        <v>3479588</v>
      </c>
      <c r="G178">
        <v>3479.5880000000002</v>
      </c>
      <c r="H178">
        <v>0</v>
      </c>
      <c r="I178">
        <v>0</v>
      </c>
    </row>
    <row r="179" spans="1:9" x14ac:dyDescent="0.25">
      <c r="A179" t="s">
        <v>824</v>
      </c>
      <c r="B179" t="s">
        <v>825</v>
      </c>
      <c r="C179" t="s">
        <v>823</v>
      </c>
      <c r="D179">
        <v>3877661</v>
      </c>
      <c r="E179">
        <v>17980</v>
      </c>
      <c r="F179">
        <v>3895641</v>
      </c>
      <c r="G179">
        <v>3895.6410000000001</v>
      </c>
      <c r="H179">
        <v>548403</v>
      </c>
      <c r="I179">
        <v>548.40300000000002</v>
      </c>
    </row>
    <row r="180" spans="1:9" x14ac:dyDescent="0.25">
      <c r="A180" t="s">
        <v>827</v>
      </c>
      <c r="B180" t="s">
        <v>828</v>
      </c>
      <c r="C180" t="s">
        <v>826</v>
      </c>
      <c r="D180">
        <v>6661908</v>
      </c>
      <c r="E180">
        <v>107788</v>
      </c>
      <c r="F180">
        <v>6769696</v>
      </c>
      <c r="G180">
        <v>6769.6959999999999</v>
      </c>
      <c r="H180">
        <v>0</v>
      </c>
      <c r="I180">
        <v>0</v>
      </c>
    </row>
    <row r="181" spans="1:9" x14ac:dyDescent="0.25">
      <c r="A181" t="s">
        <v>833</v>
      </c>
      <c r="B181" t="s">
        <v>834</v>
      </c>
      <c r="C181" t="s">
        <v>832</v>
      </c>
      <c r="D181">
        <v>5874951</v>
      </c>
      <c r="E181">
        <v>98527</v>
      </c>
      <c r="F181">
        <v>5973478</v>
      </c>
      <c r="G181">
        <v>5973.4780000000001</v>
      </c>
      <c r="H181">
        <v>0</v>
      </c>
      <c r="I181">
        <v>0</v>
      </c>
    </row>
    <row r="182" spans="1:9" x14ac:dyDescent="0.25">
      <c r="A182" t="s">
        <v>836</v>
      </c>
      <c r="B182" t="s">
        <v>837</v>
      </c>
      <c r="C182" t="s">
        <v>835</v>
      </c>
      <c r="D182">
        <v>4283222</v>
      </c>
      <c r="E182">
        <v>72469</v>
      </c>
      <c r="F182">
        <v>4355691</v>
      </c>
      <c r="G182">
        <v>4355.6909999999998</v>
      </c>
      <c r="H182">
        <v>0</v>
      </c>
      <c r="I182">
        <v>0</v>
      </c>
    </row>
    <row r="183" spans="1:9" x14ac:dyDescent="0.25">
      <c r="A183" t="s">
        <v>839</v>
      </c>
      <c r="B183" t="s">
        <v>840</v>
      </c>
      <c r="C183" t="s">
        <v>838</v>
      </c>
      <c r="D183">
        <v>1652387</v>
      </c>
      <c r="E183">
        <v>35581</v>
      </c>
      <c r="F183">
        <v>1687968</v>
      </c>
      <c r="G183">
        <v>1687.9680000000001</v>
      </c>
      <c r="H183">
        <v>1039192</v>
      </c>
      <c r="I183">
        <v>1039.192</v>
      </c>
    </row>
    <row r="184" spans="1:9" x14ac:dyDescent="0.25">
      <c r="A184" t="s">
        <v>842</v>
      </c>
      <c r="B184" t="s">
        <v>843</v>
      </c>
      <c r="C184" t="s">
        <v>841</v>
      </c>
      <c r="D184">
        <v>2204581</v>
      </c>
      <c r="E184">
        <v>41512</v>
      </c>
      <c r="F184">
        <v>2246093</v>
      </c>
      <c r="G184">
        <v>2246.0929999999998</v>
      </c>
      <c r="H184">
        <v>0</v>
      </c>
      <c r="I184">
        <v>0</v>
      </c>
    </row>
    <row r="185" spans="1:9" x14ac:dyDescent="0.25">
      <c r="A185" t="s">
        <v>862</v>
      </c>
      <c r="B185" t="s">
        <v>863</v>
      </c>
      <c r="C185" t="s">
        <v>5494</v>
      </c>
      <c r="D185">
        <v>8518459</v>
      </c>
      <c r="E185">
        <v>67599</v>
      </c>
      <c r="F185">
        <v>8586058</v>
      </c>
      <c r="G185">
        <v>8586.0580000000009</v>
      </c>
      <c r="H185">
        <v>0</v>
      </c>
      <c r="I185">
        <v>0</v>
      </c>
    </row>
    <row r="186" spans="1:9" x14ac:dyDescent="0.25">
      <c r="A186" t="s">
        <v>871</v>
      </c>
      <c r="B186" t="s">
        <v>872</v>
      </c>
      <c r="C186" t="s">
        <v>870</v>
      </c>
      <c r="D186">
        <v>9087681</v>
      </c>
      <c r="E186">
        <v>24478</v>
      </c>
      <c r="F186">
        <v>9112159</v>
      </c>
      <c r="G186">
        <v>9112.1589999999997</v>
      </c>
      <c r="H186">
        <v>1156348</v>
      </c>
      <c r="I186">
        <v>1156.348</v>
      </c>
    </row>
    <row r="187" spans="1:9" x14ac:dyDescent="0.25">
      <c r="A187" t="s">
        <v>874</v>
      </c>
      <c r="B187" t="s">
        <v>875</v>
      </c>
      <c r="C187" t="s">
        <v>5495</v>
      </c>
      <c r="D187">
        <v>15620673</v>
      </c>
      <c r="E187">
        <v>141790</v>
      </c>
      <c r="F187">
        <v>15762463</v>
      </c>
      <c r="G187">
        <v>15762.463</v>
      </c>
      <c r="H187">
        <v>4547747</v>
      </c>
      <c r="I187">
        <v>4547.7470000000003</v>
      </c>
    </row>
    <row r="188" spans="1:9" x14ac:dyDescent="0.25">
      <c r="A188" t="s">
        <v>886</v>
      </c>
      <c r="B188" t="s">
        <v>887</v>
      </c>
      <c r="C188" t="s">
        <v>5496</v>
      </c>
      <c r="D188">
        <v>2227875</v>
      </c>
      <c r="E188">
        <v>60592</v>
      </c>
      <c r="F188">
        <v>2288467</v>
      </c>
      <c r="G188">
        <v>2288.4670000000001</v>
      </c>
      <c r="H188">
        <v>0</v>
      </c>
      <c r="I188">
        <v>0</v>
      </c>
    </row>
    <row r="189" spans="1:9" x14ac:dyDescent="0.25">
      <c r="A189" t="s">
        <v>889</v>
      </c>
      <c r="B189" t="s">
        <v>890</v>
      </c>
      <c r="C189" t="s">
        <v>5497</v>
      </c>
      <c r="D189">
        <v>671653</v>
      </c>
      <c r="E189">
        <v>15396</v>
      </c>
      <c r="F189">
        <v>687049</v>
      </c>
      <c r="G189">
        <v>687.04899999999998</v>
      </c>
      <c r="H189">
        <v>0</v>
      </c>
      <c r="I189">
        <v>0</v>
      </c>
    </row>
    <row r="190" spans="1:9" x14ac:dyDescent="0.25">
      <c r="A190" t="s">
        <v>892</v>
      </c>
      <c r="B190" t="s">
        <v>893</v>
      </c>
      <c r="C190" t="s">
        <v>891</v>
      </c>
      <c r="D190">
        <v>8577392</v>
      </c>
      <c r="E190">
        <v>229863</v>
      </c>
      <c r="F190">
        <v>8807255</v>
      </c>
      <c r="G190">
        <v>8807.2549999999992</v>
      </c>
      <c r="H190">
        <v>0</v>
      </c>
      <c r="I190">
        <v>0</v>
      </c>
    </row>
    <row r="191" spans="1:9" x14ac:dyDescent="0.25">
      <c r="A191" t="s">
        <v>895</v>
      </c>
      <c r="B191" t="s">
        <v>896</v>
      </c>
      <c r="C191" t="s">
        <v>894</v>
      </c>
      <c r="D191">
        <v>10701184</v>
      </c>
      <c r="E191">
        <v>74196</v>
      </c>
      <c r="F191">
        <v>10775380</v>
      </c>
      <c r="G191">
        <v>10775.38</v>
      </c>
      <c r="H191">
        <v>0</v>
      </c>
      <c r="I191">
        <v>0</v>
      </c>
    </row>
    <row r="192" spans="1:9" x14ac:dyDescent="0.25">
      <c r="A192" t="s">
        <v>904</v>
      </c>
      <c r="B192" t="s">
        <v>905</v>
      </c>
      <c r="C192" t="s">
        <v>903</v>
      </c>
      <c r="D192">
        <v>1478653</v>
      </c>
      <c r="E192">
        <v>50069</v>
      </c>
      <c r="F192">
        <v>1528722</v>
      </c>
      <c r="G192">
        <v>1528.722</v>
      </c>
      <c r="H192">
        <v>0</v>
      </c>
      <c r="I192">
        <v>0</v>
      </c>
    </row>
    <row r="193" spans="1:9" x14ac:dyDescent="0.25">
      <c r="A193" t="s">
        <v>907</v>
      </c>
      <c r="B193" t="s">
        <v>908</v>
      </c>
      <c r="C193" t="s">
        <v>906</v>
      </c>
      <c r="D193">
        <v>8448723</v>
      </c>
      <c r="E193">
        <v>122590</v>
      </c>
      <c r="F193">
        <v>8571313</v>
      </c>
      <c r="G193">
        <v>8571.3130000000001</v>
      </c>
      <c r="H193">
        <v>484157</v>
      </c>
      <c r="I193">
        <v>484.15699999999998</v>
      </c>
    </row>
    <row r="194" spans="1:9" x14ac:dyDescent="0.25">
      <c r="A194" t="s">
        <v>910</v>
      </c>
      <c r="B194" t="s">
        <v>911</v>
      </c>
      <c r="C194" t="s">
        <v>909</v>
      </c>
      <c r="D194">
        <v>9502387</v>
      </c>
      <c r="E194">
        <v>129691</v>
      </c>
      <c r="F194">
        <v>9632078</v>
      </c>
      <c r="G194">
        <v>9632.0779999999995</v>
      </c>
      <c r="H194">
        <v>2593500</v>
      </c>
      <c r="I194">
        <v>2593.5</v>
      </c>
    </row>
    <row r="195" spans="1:9" x14ac:dyDescent="0.25">
      <c r="A195" t="s">
        <v>913</v>
      </c>
      <c r="B195" t="s">
        <v>914</v>
      </c>
      <c r="C195" t="s">
        <v>912</v>
      </c>
      <c r="D195">
        <v>10320876</v>
      </c>
      <c r="E195">
        <v>92398</v>
      </c>
      <c r="F195">
        <v>10413274</v>
      </c>
      <c r="G195">
        <v>10413.273999999999</v>
      </c>
      <c r="H195">
        <v>0</v>
      </c>
      <c r="I195">
        <v>0</v>
      </c>
    </row>
    <row r="196" spans="1:9" x14ac:dyDescent="0.25">
      <c r="A196" t="s">
        <v>916</v>
      </c>
      <c r="B196" t="s">
        <v>917</v>
      </c>
      <c r="C196" t="s">
        <v>915</v>
      </c>
      <c r="D196">
        <v>5737401</v>
      </c>
      <c r="E196">
        <v>93701</v>
      </c>
      <c r="F196">
        <v>5831102</v>
      </c>
      <c r="G196">
        <v>5831.1019999999999</v>
      </c>
      <c r="H196">
        <v>0</v>
      </c>
      <c r="I196">
        <v>0</v>
      </c>
    </row>
    <row r="197" spans="1:9" x14ac:dyDescent="0.25">
      <c r="A197" t="s">
        <v>919</v>
      </c>
      <c r="B197" t="s">
        <v>920</v>
      </c>
      <c r="C197" t="s">
        <v>918</v>
      </c>
      <c r="D197">
        <v>13111124</v>
      </c>
      <c r="E197">
        <v>333327</v>
      </c>
      <c r="F197">
        <v>13444451</v>
      </c>
      <c r="G197">
        <v>13444.450999999999</v>
      </c>
      <c r="H197">
        <v>0</v>
      </c>
      <c r="I197">
        <v>0</v>
      </c>
    </row>
    <row r="198" spans="1:9" x14ac:dyDescent="0.25">
      <c r="A198" t="s">
        <v>922</v>
      </c>
      <c r="B198" t="s">
        <v>923</v>
      </c>
      <c r="C198" t="s">
        <v>921</v>
      </c>
      <c r="D198">
        <v>5252624</v>
      </c>
      <c r="E198">
        <v>196112</v>
      </c>
      <c r="F198">
        <v>5448736</v>
      </c>
      <c r="G198">
        <v>5448.7359999999999</v>
      </c>
      <c r="H198">
        <v>0</v>
      </c>
      <c r="I198">
        <v>0</v>
      </c>
    </row>
    <row r="199" spans="1:9" x14ac:dyDescent="0.25">
      <c r="A199" t="s">
        <v>925</v>
      </c>
      <c r="B199" t="s">
        <v>926</v>
      </c>
      <c r="C199" t="s">
        <v>5498</v>
      </c>
      <c r="D199">
        <v>1867708</v>
      </c>
      <c r="E199">
        <v>20384</v>
      </c>
      <c r="F199">
        <v>1888092</v>
      </c>
      <c r="G199">
        <v>1888.0920000000001</v>
      </c>
      <c r="H199">
        <v>900444</v>
      </c>
      <c r="I199">
        <v>900.44399999999996</v>
      </c>
    </row>
    <row r="200" spans="1:9" x14ac:dyDescent="0.25">
      <c r="A200" t="s">
        <v>928</v>
      </c>
      <c r="B200" t="s">
        <v>929</v>
      </c>
      <c r="C200" t="s">
        <v>927</v>
      </c>
      <c r="D200">
        <v>1831612</v>
      </c>
      <c r="E200">
        <v>29851</v>
      </c>
      <c r="F200">
        <v>1861463</v>
      </c>
      <c r="G200">
        <v>1861.463</v>
      </c>
      <c r="H200">
        <v>0</v>
      </c>
      <c r="I200">
        <v>0</v>
      </c>
    </row>
    <row r="201" spans="1:9" x14ac:dyDescent="0.25">
      <c r="A201" t="s">
        <v>931</v>
      </c>
      <c r="B201" t="s">
        <v>932</v>
      </c>
      <c r="C201" t="s">
        <v>5499</v>
      </c>
      <c r="D201">
        <v>3558888</v>
      </c>
      <c r="E201">
        <v>75188</v>
      </c>
      <c r="F201">
        <v>3634076</v>
      </c>
      <c r="G201">
        <v>3634.076</v>
      </c>
      <c r="H201">
        <v>17006</v>
      </c>
      <c r="I201">
        <v>17.006</v>
      </c>
    </row>
    <row r="202" spans="1:9" x14ac:dyDescent="0.25">
      <c r="A202" t="s">
        <v>934</v>
      </c>
      <c r="B202" t="s">
        <v>935</v>
      </c>
      <c r="C202" t="s">
        <v>933</v>
      </c>
      <c r="D202">
        <v>1643088</v>
      </c>
      <c r="E202">
        <v>33087</v>
      </c>
      <c r="F202">
        <v>1676175</v>
      </c>
      <c r="G202">
        <v>1676.175</v>
      </c>
      <c r="H202">
        <v>67774</v>
      </c>
      <c r="I202">
        <v>67.774000000000001</v>
      </c>
    </row>
    <row r="203" spans="1:9" x14ac:dyDescent="0.25">
      <c r="A203" t="s">
        <v>937</v>
      </c>
      <c r="B203" t="s">
        <v>938</v>
      </c>
      <c r="C203" t="s">
        <v>936</v>
      </c>
      <c r="D203">
        <v>8019464</v>
      </c>
      <c r="E203">
        <v>248381</v>
      </c>
      <c r="F203">
        <v>8267845</v>
      </c>
      <c r="G203">
        <v>8267.8449999999993</v>
      </c>
      <c r="H203">
        <v>0</v>
      </c>
      <c r="I203">
        <v>0</v>
      </c>
    </row>
    <row r="204" spans="1:9" x14ac:dyDescent="0.25">
      <c r="A204" t="s">
        <v>940</v>
      </c>
      <c r="B204" t="s">
        <v>941</v>
      </c>
      <c r="C204" t="s">
        <v>939</v>
      </c>
      <c r="D204">
        <v>1625934</v>
      </c>
      <c r="E204">
        <v>23163</v>
      </c>
      <c r="F204">
        <v>1649097</v>
      </c>
      <c r="G204">
        <v>1649.097</v>
      </c>
      <c r="H204">
        <v>0</v>
      </c>
      <c r="I204">
        <v>0</v>
      </c>
    </row>
    <row r="205" spans="1:9" x14ac:dyDescent="0.25">
      <c r="A205" t="s">
        <v>943</v>
      </c>
      <c r="B205" t="s">
        <v>944</v>
      </c>
      <c r="C205" t="s">
        <v>942</v>
      </c>
      <c r="D205">
        <v>8578450</v>
      </c>
      <c r="E205">
        <v>289334</v>
      </c>
      <c r="F205">
        <v>8867784</v>
      </c>
      <c r="G205">
        <v>8867.7839999999997</v>
      </c>
      <c r="H205">
        <v>0</v>
      </c>
      <c r="I205">
        <v>0</v>
      </c>
    </row>
    <row r="206" spans="1:9" x14ac:dyDescent="0.25">
      <c r="A206" t="s">
        <v>946</v>
      </c>
      <c r="B206" t="s">
        <v>947</v>
      </c>
      <c r="C206" t="s">
        <v>945</v>
      </c>
      <c r="D206">
        <v>1550166</v>
      </c>
      <c r="E206">
        <v>23517</v>
      </c>
      <c r="F206">
        <v>1573683</v>
      </c>
      <c r="G206">
        <v>1573.683</v>
      </c>
      <c r="H206">
        <v>0</v>
      </c>
      <c r="I206">
        <v>0</v>
      </c>
    </row>
    <row r="207" spans="1:9" x14ac:dyDescent="0.25">
      <c r="A207" t="s">
        <v>949</v>
      </c>
      <c r="B207" t="s">
        <v>950</v>
      </c>
      <c r="C207" t="s">
        <v>948</v>
      </c>
      <c r="D207">
        <v>522176</v>
      </c>
      <c r="E207">
        <v>25407</v>
      </c>
      <c r="F207">
        <v>547583</v>
      </c>
      <c r="G207">
        <v>547.58299999999997</v>
      </c>
      <c r="H207">
        <v>424338</v>
      </c>
      <c r="I207">
        <v>424.33800000000002</v>
      </c>
    </row>
    <row r="208" spans="1:9" x14ac:dyDescent="0.25">
      <c r="A208" t="s">
        <v>952</v>
      </c>
      <c r="B208" t="s">
        <v>953</v>
      </c>
      <c r="C208" t="s">
        <v>951</v>
      </c>
      <c r="D208">
        <v>1891538</v>
      </c>
      <c r="E208">
        <v>15689</v>
      </c>
      <c r="F208">
        <v>1907227</v>
      </c>
      <c r="G208">
        <v>1907.2270000000001</v>
      </c>
      <c r="H208">
        <v>472578</v>
      </c>
      <c r="I208">
        <v>472.57799999999997</v>
      </c>
    </row>
    <row r="209" spans="1:9" x14ac:dyDescent="0.25">
      <c r="A209" t="s">
        <v>955</v>
      </c>
      <c r="B209" t="s">
        <v>956</v>
      </c>
      <c r="C209" t="s">
        <v>954</v>
      </c>
      <c r="D209">
        <v>4017889</v>
      </c>
      <c r="E209">
        <v>94562</v>
      </c>
      <c r="F209">
        <v>4112451</v>
      </c>
      <c r="G209">
        <v>4112.451</v>
      </c>
      <c r="H209">
        <v>0</v>
      </c>
      <c r="I209">
        <v>0</v>
      </c>
    </row>
    <row r="210" spans="1:9" x14ac:dyDescent="0.25">
      <c r="A210" t="s">
        <v>958</v>
      </c>
      <c r="B210" t="s">
        <v>959</v>
      </c>
      <c r="C210" t="s">
        <v>957</v>
      </c>
      <c r="D210">
        <v>2315341</v>
      </c>
      <c r="E210">
        <v>53095</v>
      </c>
      <c r="F210">
        <v>2368436</v>
      </c>
      <c r="G210">
        <v>2368.4360000000001</v>
      </c>
      <c r="H210">
        <v>0</v>
      </c>
      <c r="I210">
        <v>0</v>
      </c>
    </row>
    <row r="211" spans="1:9" x14ac:dyDescent="0.25">
      <c r="A211" t="s">
        <v>961</v>
      </c>
      <c r="B211" t="s">
        <v>962</v>
      </c>
      <c r="C211" t="s">
        <v>960</v>
      </c>
      <c r="D211">
        <v>3266676</v>
      </c>
      <c r="E211">
        <v>34892</v>
      </c>
      <c r="F211">
        <v>3301568</v>
      </c>
      <c r="G211">
        <v>3301.5680000000002</v>
      </c>
      <c r="H211">
        <v>0</v>
      </c>
      <c r="I211">
        <v>0</v>
      </c>
    </row>
    <row r="212" spans="1:9" x14ac:dyDescent="0.25">
      <c r="A212" t="s">
        <v>964</v>
      </c>
      <c r="B212" t="s">
        <v>965</v>
      </c>
      <c r="C212" t="s">
        <v>963</v>
      </c>
      <c r="D212">
        <v>1740993</v>
      </c>
      <c r="E212">
        <v>94161</v>
      </c>
      <c r="F212">
        <v>1835154</v>
      </c>
      <c r="G212">
        <v>1835.154</v>
      </c>
      <c r="H212">
        <v>702554</v>
      </c>
      <c r="I212">
        <v>702.55399999999997</v>
      </c>
    </row>
    <row r="213" spans="1:9" x14ac:dyDescent="0.25">
      <c r="A213" t="s">
        <v>967</v>
      </c>
      <c r="B213" t="s">
        <v>968</v>
      </c>
      <c r="C213" t="s">
        <v>966</v>
      </c>
      <c r="D213">
        <v>3790714</v>
      </c>
      <c r="E213">
        <v>36817</v>
      </c>
      <c r="F213">
        <v>3827531</v>
      </c>
      <c r="G213">
        <v>3827.5309999999999</v>
      </c>
      <c r="H213">
        <v>410246</v>
      </c>
      <c r="I213">
        <v>410.24599999999998</v>
      </c>
    </row>
    <row r="214" spans="1:9" x14ac:dyDescent="0.25">
      <c r="A214" t="s">
        <v>970</v>
      </c>
      <c r="B214" t="s">
        <v>971</v>
      </c>
      <c r="C214" t="s">
        <v>969</v>
      </c>
      <c r="D214">
        <v>1352349</v>
      </c>
      <c r="E214">
        <v>19432</v>
      </c>
      <c r="F214">
        <v>1371781</v>
      </c>
      <c r="G214">
        <v>1371.7809999999999</v>
      </c>
      <c r="H214">
        <v>0</v>
      </c>
      <c r="I214">
        <v>0</v>
      </c>
    </row>
    <row r="215" spans="1:9" x14ac:dyDescent="0.25">
      <c r="A215" t="s">
        <v>973</v>
      </c>
      <c r="B215" t="s">
        <v>974</v>
      </c>
      <c r="C215" t="s">
        <v>972</v>
      </c>
      <c r="D215">
        <v>2029501</v>
      </c>
      <c r="E215">
        <v>12708</v>
      </c>
      <c r="F215">
        <v>2042209</v>
      </c>
      <c r="G215">
        <v>2042.2090000000001</v>
      </c>
      <c r="H215">
        <v>329312</v>
      </c>
      <c r="I215">
        <v>329.31200000000001</v>
      </c>
    </row>
    <row r="216" spans="1:9" x14ac:dyDescent="0.25">
      <c r="A216" t="s">
        <v>976</v>
      </c>
      <c r="B216" t="s">
        <v>977</v>
      </c>
      <c r="C216" t="s">
        <v>975</v>
      </c>
      <c r="D216">
        <v>12233684</v>
      </c>
      <c r="E216">
        <v>429711</v>
      </c>
      <c r="F216">
        <v>12663395</v>
      </c>
      <c r="G216">
        <v>12663.395</v>
      </c>
      <c r="H216">
        <v>988529</v>
      </c>
      <c r="I216">
        <v>988.529</v>
      </c>
    </row>
    <row r="217" spans="1:9" x14ac:dyDescent="0.25">
      <c r="A217" t="s">
        <v>979</v>
      </c>
      <c r="B217" t="s">
        <v>980</v>
      </c>
      <c r="C217" t="s">
        <v>978</v>
      </c>
      <c r="D217">
        <v>11148046</v>
      </c>
      <c r="E217">
        <v>258579</v>
      </c>
      <c r="F217">
        <v>11406625</v>
      </c>
      <c r="G217">
        <v>11406.625</v>
      </c>
      <c r="H217">
        <v>6727485</v>
      </c>
      <c r="I217">
        <v>6727.4849999999997</v>
      </c>
    </row>
    <row r="218" spans="1:9" x14ac:dyDescent="0.25">
      <c r="A218" t="s">
        <v>982</v>
      </c>
      <c r="B218" t="s">
        <v>983</v>
      </c>
      <c r="C218" t="s">
        <v>981</v>
      </c>
      <c r="D218">
        <v>4661379</v>
      </c>
      <c r="E218">
        <v>24304</v>
      </c>
      <c r="F218">
        <v>4685683</v>
      </c>
      <c r="G218">
        <v>4685.683</v>
      </c>
      <c r="H218">
        <v>470154</v>
      </c>
      <c r="I218">
        <v>470.154</v>
      </c>
    </row>
    <row r="219" spans="1:9" x14ac:dyDescent="0.25">
      <c r="A219" t="s">
        <v>985</v>
      </c>
      <c r="B219" t="s">
        <v>986</v>
      </c>
      <c r="C219" t="s">
        <v>984</v>
      </c>
      <c r="D219">
        <v>3346714</v>
      </c>
      <c r="E219">
        <v>35762</v>
      </c>
      <c r="F219">
        <v>3382476</v>
      </c>
      <c r="G219">
        <v>3382.4760000000001</v>
      </c>
      <c r="H219">
        <v>0</v>
      </c>
      <c r="I219">
        <v>0</v>
      </c>
    </row>
    <row r="220" spans="1:9" x14ac:dyDescent="0.25">
      <c r="A220" t="s">
        <v>988</v>
      </c>
      <c r="B220" t="s">
        <v>989</v>
      </c>
      <c r="C220" t="s">
        <v>987</v>
      </c>
      <c r="D220">
        <v>15994120</v>
      </c>
      <c r="E220">
        <v>264009</v>
      </c>
      <c r="F220">
        <v>16258129</v>
      </c>
      <c r="G220">
        <v>16258.129000000001</v>
      </c>
      <c r="H220">
        <v>0</v>
      </c>
      <c r="I220">
        <v>0</v>
      </c>
    </row>
    <row r="221" spans="1:9" x14ac:dyDescent="0.25">
      <c r="A221" t="s">
        <v>991</v>
      </c>
      <c r="B221" t="s">
        <v>992</v>
      </c>
      <c r="C221" t="s">
        <v>990</v>
      </c>
      <c r="D221">
        <v>1481070</v>
      </c>
      <c r="E221">
        <v>40224</v>
      </c>
      <c r="F221">
        <v>1521294</v>
      </c>
      <c r="G221">
        <v>1521.2940000000001</v>
      </c>
      <c r="H221">
        <v>794700</v>
      </c>
      <c r="I221">
        <v>794.7</v>
      </c>
    </row>
    <row r="222" spans="1:9" x14ac:dyDescent="0.25">
      <c r="A222" t="s">
        <v>994</v>
      </c>
      <c r="B222" t="s">
        <v>995</v>
      </c>
      <c r="C222" t="s">
        <v>993</v>
      </c>
      <c r="D222">
        <v>2785988</v>
      </c>
      <c r="E222">
        <v>23108</v>
      </c>
      <c r="F222">
        <v>2809096</v>
      </c>
      <c r="G222">
        <v>2809.096</v>
      </c>
      <c r="H222">
        <v>0</v>
      </c>
      <c r="I222">
        <v>0</v>
      </c>
    </row>
    <row r="223" spans="1:9" x14ac:dyDescent="0.25">
      <c r="A223" t="s">
        <v>997</v>
      </c>
      <c r="B223" t="s">
        <v>998</v>
      </c>
      <c r="C223" t="s">
        <v>996</v>
      </c>
      <c r="D223">
        <v>21806138</v>
      </c>
      <c r="E223">
        <v>257875</v>
      </c>
      <c r="F223">
        <v>22064013</v>
      </c>
      <c r="G223">
        <v>22064.012999999999</v>
      </c>
      <c r="H223">
        <v>0</v>
      </c>
      <c r="I223">
        <v>0</v>
      </c>
    </row>
    <row r="224" spans="1:9" x14ac:dyDescent="0.25">
      <c r="A224" t="s">
        <v>1000</v>
      </c>
      <c r="B224" t="s">
        <v>1001</v>
      </c>
      <c r="C224" t="s">
        <v>5500</v>
      </c>
      <c r="D224">
        <v>10484345</v>
      </c>
      <c r="E224">
        <v>87278</v>
      </c>
      <c r="F224">
        <v>10571623</v>
      </c>
      <c r="G224">
        <v>10571.623</v>
      </c>
      <c r="H224">
        <v>2489646</v>
      </c>
      <c r="I224">
        <v>2489.6460000000002</v>
      </c>
    </row>
    <row r="225" spans="1:9" x14ac:dyDescent="0.25">
      <c r="A225" t="s">
        <v>1006</v>
      </c>
      <c r="B225" t="s">
        <v>1007</v>
      </c>
      <c r="C225" t="s">
        <v>1005</v>
      </c>
      <c r="D225">
        <v>6889516</v>
      </c>
      <c r="E225">
        <v>169151</v>
      </c>
      <c r="F225">
        <v>7058667</v>
      </c>
      <c r="G225">
        <v>7058.6670000000004</v>
      </c>
      <c r="H225">
        <v>0</v>
      </c>
      <c r="I225">
        <v>0</v>
      </c>
    </row>
    <row r="226" spans="1:9" x14ac:dyDescent="0.25">
      <c r="A226" t="s">
        <v>1009</v>
      </c>
      <c r="B226" t="s">
        <v>1010</v>
      </c>
      <c r="C226" t="s">
        <v>1008</v>
      </c>
      <c r="D226">
        <v>22653839</v>
      </c>
      <c r="E226">
        <v>277856</v>
      </c>
      <c r="F226">
        <v>22931695</v>
      </c>
      <c r="G226">
        <v>22931.695</v>
      </c>
      <c r="H226">
        <v>4356918</v>
      </c>
      <c r="I226">
        <v>4356.9179999999997</v>
      </c>
    </row>
    <row r="227" spans="1:9" x14ac:dyDescent="0.25">
      <c r="A227" t="s">
        <v>1015</v>
      </c>
      <c r="B227" t="s">
        <v>1016</v>
      </c>
      <c r="C227" t="s">
        <v>5501</v>
      </c>
      <c r="D227">
        <v>5234094</v>
      </c>
      <c r="E227">
        <v>45790</v>
      </c>
      <c r="F227">
        <v>5279884</v>
      </c>
      <c r="G227">
        <v>5279.884</v>
      </c>
      <c r="H227">
        <v>0</v>
      </c>
      <c r="I227">
        <v>0</v>
      </c>
    </row>
    <row r="228" spans="1:9" x14ac:dyDescent="0.25">
      <c r="A228" t="s">
        <v>1018</v>
      </c>
      <c r="B228" t="s">
        <v>1019</v>
      </c>
      <c r="C228" t="s">
        <v>1017</v>
      </c>
      <c r="D228">
        <v>2822453</v>
      </c>
      <c r="E228">
        <v>103405</v>
      </c>
      <c r="F228">
        <v>2925858</v>
      </c>
      <c r="G228">
        <v>2925.8580000000002</v>
      </c>
      <c r="H228">
        <v>0</v>
      </c>
      <c r="I228">
        <v>0</v>
      </c>
    </row>
    <row r="229" spans="1:9" x14ac:dyDescent="0.25">
      <c r="A229" t="s">
        <v>1021</v>
      </c>
      <c r="B229" t="s">
        <v>1022</v>
      </c>
      <c r="C229" t="s">
        <v>1020</v>
      </c>
      <c r="D229">
        <v>1168392</v>
      </c>
      <c r="E229">
        <v>26620</v>
      </c>
      <c r="F229">
        <v>1195012</v>
      </c>
      <c r="G229">
        <v>1195.0119999999999</v>
      </c>
      <c r="H229">
        <v>0</v>
      </c>
      <c r="I229">
        <v>0</v>
      </c>
    </row>
    <row r="230" spans="1:9" x14ac:dyDescent="0.25">
      <c r="A230" t="s">
        <v>1028</v>
      </c>
      <c r="B230" t="s">
        <v>1029</v>
      </c>
      <c r="C230" t="s">
        <v>1027</v>
      </c>
      <c r="D230">
        <v>20978685</v>
      </c>
      <c r="E230">
        <v>372082</v>
      </c>
      <c r="F230">
        <v>21350767</v>
      </c>
      <c r="G230">
        <v>21350.767</v>
      </c>
      <c r="H230">
        <v>0</v>
      </c>
      <c r="I230">
        <v>0</v>
      </c>
    </row>
    <row r="231" spans="1:9" x14ac:dyDescent="0.25">
      <c r="A231" t="s">
        <v>1031</v>
      </c>
      <c r="B231" t="s">
        <v>1032</v>
      </c>
      <c r="C231" t="s">
        <v>1030</v>
      </c>
      <c r="D231">
        <v>3234245</v>
      </c>
      <c r="E231">
        <v>14559</v>
      </c>
      <c r="F231">
        <v>3248804</v>
      </c>
      <c r="G231">
        <v>3248.8040000000001</v>
      </c>
      <c r="H231">
        <v>0</v>
      </c>
      <c r="I231">
        <v>0</v>
      </c>
    </row>
    <row r="232" spans="1:9" x14ac:dyDescent="0.25">
      <c r="A232" t="s">
        <v>1034</v>
      </c>
      <c r="B232" t="s">
        <v>1035</v>
      </c>
      <c r="C232" t="s">
        <v>1033</v>
      </c>
      <c r="D232">
        <v>1345908</v>
      </c>
      <c r="E232">
        <v>29339</v>
      </c>
      <c r="F232">
        <v>1375247</v>
      </c>
      <c r="G232">
        <v>1375.2470000000001</v>
      </c>
      <c r="H232">
        <v>0</v>
      </c>
      <c r="I232">
        <v>0</v>
      </c>
    </row>
    <row r="233" spans="1:9" x14ac:dyDescent="0.25">
      <c r="A233" t="s">
        <v>1037</v>
      </c>
      <c r="B233" t="s">
        <v>1038</v>
      </c>
      <c r="C233" t="s">
        <v>1036</v>
      </c>
      <c r="D233">
        <v>3278935</v>
      </c>
      <c r="E233">
        <v>74053</v>
      </c>
      <c r="F233">
        <v>3352988</v>
      </c>
      <c r="G233">
        <v>3352.9879999999998</v>
      </c>
      <c r="H233">
        <v>0</v>
      </c>
      <c r="I233">
        <v>0</v>
      </c>
    </row>
    <row r="234" spans="1:9" x14ac:dyDescent="0.25">
      <c r="A234" t="s">
        <v>1040</v>
      </c>
      <c r="B234" t="s">
        <v>1041</v>
      </c>
      <c r="C234" t="s">
        <v>1039</v>
      </c>
      <c r="D234">
        <v>6982562</v>
      </c>
      <c r="E234">
        <v>13586</v>
      </c>
      <c r="F234">
        <v>6996148</v>
      </c>
      <c r="G234">
        <v>6996.1480000000001</v>
      </c>
      <c r="H234">
        <v>0</v>
      </c>
      <c r="I234">
        <v>0</v>
      </c>
    </row>
    <row r="235" spans="1:9" x14ac:dyDescent="0.25">
      <c r="A235" t="s">
        <v>1043</v>
      </c>
      <c r="B235" t="s">
        <v>1044</v>
      </c>
      <c r="C235" t="s">
        <v>1042</v>
      </c>
      <c r="D235">
        <v>2207029</v>
      </c>
      <c r="E235">
        <v>21845</v>
      </c>
      <c r="F235">
        <v>2228874</v>
      </c>
      <c r="G235">
        <v>2228.8739999999998</v>
      </c>
      <c r="H235">
        <v>0</v>
      </c>
      <c r="I235">
        <v>0</v>
      </c>
    </row>
    <row r="236" spans="1:9" x14ac:dyDescent="0.25">
      <c r="A236" t="s">
        <v>1046</v>
      </c>
      <c r="B236" t="s">
        <v>1047</v>
      </c>
      <c r="C236" t="s">
        <v>1045</v>
      </c>
      <c r="D236">
        <v>4395378</v>
      </c>
      <c r="E236">
        <v>37378</v>
      </c>
      <c r="F236">
        <v>4432756</v>
      </c>
      <c r="G236">
        <v>4432.7560000000003</v>
      </c>
      <c r="H236">
        <v>0</v>
      </c>
      <c r="I236">
        <v>0</v>
      </c>
    </row>
    <row r="237" spans="1:9" x14ac:dyDescent="0.25">
      <c r="A237" t="s">
        <v>1049</v>
      </c>
      <c r="B237" t="s">
        <v>1050</v>
      </c>
      <c r="C237" t="s">
        <v>1048</v>
      </c>
      <c r="D237">
        <v>1851979</v>
      </c>
      <c r="E237">
        <v>73901</v>
      </c>
      <c r="F237">
        <v>1925880</v>
      </c>
      <c r="G237">
        <v>1925.88</v>
      </c>
      <c r="H237">
        <v>960280</v>
      </c>
      <c r="I237">
        <v>960.28</v>
      </c>
    </row>
    <row r="238" spans="1:9" x14ac:dyDescent="0.25">
      <c r="A238" t="s">
        <v>1052</v>
      </c>
      <c r="B238" t="s">
        <v>1053</v>
      </c>
      <c r="C238" t="s">
        <v>1051</v>
      </c>
      <c r="D238">
        <v>3892633</v>
      </c>
      <c r="E238">
        <v>42671</v>
      </c>
      <c r="F238">
        <v>3935304</v>
      </c>
      <c r="G238">
        <v>3935.3040000000001</v>
      </c>
      <c r="H238">
        <v>0</v>
      </c>
      <c r="I238">
        <v>0</v>
      </c>
    </row>
    <row r="239" spans="1:9" x14ac:dyDescent="0.25">
      <c r="A239" t="s">
        <v>1055</v>
      </c>
      <c r="B239" t="s">
        <v>1056</v>
      </c>
      <c r="C239" t="s">
        <v>1054</v>
      </c>
      <c r="D239">
        <v>1616240</v>
      </c>
      <c r="E239">
        <v>29748</v>
      </c>
      <c r="F239">
        <v>1645988</v>
      </c>
      <c r="G239">
        <v>1645.9880000000001</v>
      </c>
      <c r="H239">
        <v>0</v>
      </c>
      <c r="I239">
        <v>0</v>
      </c>
    </row>
    <row r="240" spans="1:9" x14ac:dyDescent="0.25">
      <c r="A240" t="s">
        <v>1058</v>
      </c>
      <c r="B240" t="s">
        <v>1059</v>
      </c>
      <c r="C240" t="s">
        <v>1057</v>
      </c>
      <c r="D240">
        <v>2312172</v>
      </c>
      <c r="E240">
        <v>41833</v>
      </c>
      <c r="F240">
        <v>2354005</v>
      </c>
      <c r="G240">
        <v>2354.0050000000001</v>
      </c>
      <c r="H240">
        <v>0</v>
      </c>
      <c r="I240">
        <v>0</v>
      </c>
    </row>
    <row r="241" spans="1:9" x14ac:dyDescent="0.25">
      <c r="A241" t="s">
        <v>1070</v>
      </c>
      <c r="B241" t="s">
        <v>1071</v>
      </c>
      <c r="C241" t="s">
        <v>1069</v>
      </c>
      <c r="D241">
        <v>11888558</v>
      </c>
      <c r="E241">
        <v>122170</v>
      </c>
      <c r="F241">
        <v>12010728</v>
      </c>
      <c r="G241">
        <v>12010.727999999999</v>
      </c>
      <c r="H241">
        <v>0</v>
      </c>
      <c r="I241">
        <v>0</v>
      </c>
    </row>
    <row r="242" spans="1:9" x14ac:dyDescent="0.25">
      <c r="A242" t="s">
        <v>1073</v>
      </c>
      <c r="B242" t="s">
        <v>1074</v>
      </c>
      <c r="C242" t="s">
        <v>1072</v>
      </c>
      <c r="D242">
        <v>6025491</v>
      </c>
      <c r="E242">
        <v>52588</v>
      </c>
      <c r="F242">
        <v>6078079</v>
      </c>
      <c r="G242">
        <v>6078.0789999999997</v>
      </c>
      <c r="H242">
        <v>1224342</v>
      </c>
      <c r="I242">
        <v>1224.3420000000001</v>
      </c>
    </row>
    <row r="243" spans="1:9" x14ac:dyDescent="0.25">
      <c r="A243" t="s">
        <v>1076</v>
      </c>
      <c r="B243" t="s">
        <v>1077</v>
      </c>
      <c r="C243" t="s">
        <v>1075</v>
      </c>
      <c r="D243">
        <v>14796638</v>
      </c>
      <c r="E243">
        <v>180528</v>
      </c>
      <c r="F243">
        <v>14977166</v>
      </c>
      <c r="G243">
        <v>14977.165999999999</v>
      </c>
      <c r="H243">
        <v>0</v>
      </c>
      <c r="I243">
        <v>0</v>
      </c>
    </row>
    <row r="244" spans="1:9" x14ac:dyDescent="0.25">
      <c r="A244" t="s">
        <v>1079</v>
      </c>
      <c r="B244" t="s">
        <v>1080</v>
      </c>
      <c r="C244" t="s">
        <v>1078</v>
      </c>
      <c r="D244">
        <v>3143075</v>
      </c>
      <c r="E244">
        <v>70371</v>
      </c>
      <c r="F244">
        <v>3213446</v>
      </c>
      <c r="G244">
        <v>3213.4459999999999</v>
      </c>
      <c r="H244">
        <v>0</v>
      </c>
      <c r="I244">
        <v>0</v>
      </c>
    </row>
    <row r="245" spans="1:9" x14ac:dyDescent="0.25">
      <c r="A245" t="s">
        <v>1082</v>
      </c>
      <c r="B245" t="s">
        <v>1083</v>
      </c>
      <c r="C245" t="s">
        <v>1081</v>
      </c>
      <c r="D245">
        <v>6219082</v>
      </c>
      <c r="E245">
        <v>164210</v>
      </c>
      <c r="F245">
        <v>6383292</v>
      </c>
      <c r="G245">
        <v>6383.2920000000004</v>
      </c>
      <c r="H245">
        <v>1361430</v>
      </c>
      <c r="I245">
        <v>1361.43</v>
      </c>
    </row>
    <row r="246" spans="1:9" x14ac:dyDescent="0.25">
      <c r="A246" t="s">
        <v>1085</v>
      </c>
      <c r="B246" t="s">
        <v>1086</v>
      </c>
      <c r="C246" t="s">
        <v>5502</v>
      </c>
      <c r="D246">
        <v>7643679</v>
      </c>
      <c r="E246">
        <v>263049</v>
      </c>
      <c r="F246">
        <v>7906728</v>
      </c>
      <c r="G246">
        <v>7906.7280000000001</v>
      </c>
      <c r="H246">
        <v>0</v>
      </c>
      <c r="I246">
        <v>0</v>
      </c>
    </row>
    <row r="247" spans="1:9" x14ac:dyDescent="0.25">
      <c r="A247" t="s">
        <v>1088</v>
      </c>
      <c r="B247" t="s">
        <v>1089</v>
      </c>
      <c r="C247" t="s">
        <v>1087</v>
      </c>
      <c r="D247">
        <v>3339646</v>
      </c>
      <c r="E247">
        <v>80468</v>
      </c>
      <c r="F247">
        <v>3420114</v>
      </c>
      <c r="G247">
        <v>3420.114</v>
      </c>
      <c r="H247">
        <v>0</v>
      </c>
      <c r="I247">
        <v>0</v>
      </c>
    </row>
    <row r="248" spans="1:9" x14ac:dyDescent="0.25">
      <c r="A248" t="s">
        <v>1097</v>
      </c>
      <c r="B248" t="s">
        <v>1098</v>
      </c>
      <c r="C248" t="s">
        <v>1096</v>
      </c>
      <c r="D248">
        <v>1650326</v>
      </c>
      <c r="E248">
        <v>24349</v>
      </c>
      <c r="F248">
        <v>1674675</v>
      </c>
      <c r="G248">
        <v>1674.675</v>
      </c>
      <c r="H248">
        <v>0</v>
      </c>
      <c r="I248">
        <v>0</v>
      </c>
    </row>
    <row r="249" spans="1:9" x14ac:dyDescent="0.25">
      <c r="A249" t="s">
        <v>1103</v>
      </c>
      <c r="B249" t="s">
        <v>1104</v>
      </c>
      <c r="C249" t="s">
        <v>1102</v>
      </c>
      <c r="D249">
        <v>3009388</v>
      </c>
      <c r="E249">
        <v>16480</v>
      </c>
      <c r="F249">
        <v>3025868</v>
      </c>
      <c r="G249">
        <v>3025.8679999999999</v>
      </c>
      <c r="H249">
        <v>0</v>
      </c>
      <c r="I249">
        <v>0</v>
      </c>
    </row>
    <row r="250" spans="1:9" x14ac:dyDescent="0.25">
      <c r="A250" t="s">
        <v>1106</v>
      </c>
      <c r="B250" t="s">
        <v>1107</v>
      </c>
      <c r="C250" t="s">
        <v>1105</v>
      </c>
      <c r="D250">
        <v>17117335</v>
      </c>
      <c r="E250">
        <v>353979</v>
      </c>
      <c r="F250">
        <v>17471314</v>
      </c>
      <c r="G250">
        <v>17471.313999999998</v>
      </c>
      <c r="H250">
        <v>0</v>
      </c>
      <c r="I250">
        <v>0</v>
      </c>
    </row>
    <row r="251" spans="1:9" x14ac:dyDescent="0.25">
      <c r="A251" t="s">
        <v>1109</v>
      </c>
      <c r="B251" t="s">
        <v>1110</v>
      </c>
      <c r="C251" t="s">
        <v>1108</v>
      </c>
      <c r="D251">
        <v>5712735</v>
      </c>
      <c r="E251">
        <v>65528</v>
      </c>
      <c r="F251">
        <v>5778263</v>
      </c>
      <c r="G251">
        <v>5778.2629999999999</v>
      </c>
      <c r="H251">
        <v>1980297</v>
      </c>
      <c r="I251">
        <v>1980.297</v>
      </c>
    </row>
    <row r="252" spans="1:9" x14ac:dyDescent="0.25">
      <c r="A252" t="s">
        <v>1112</v>
      </c>
      <c r="B252" t="s">
        <v>1113</v>
      </c>
      <c r="C252" t="s">
        <v>1111</v>
      </c>
      <c r="D252">
        <v>9153290</v>
      </c>
      <c r="E252">
        <v>79867</v>
      </c>
      <c r="F252">
        <v>9233157</v>
      </c>
      <c r="G252">
        <v>9233.1569999999992</v>
      </c>
      <c r="H252">
        <v>0</v>
      </c>
      <c r="I252">
        <v>0</v>
      </c>
    </row>
    <row r="253" spans="1:9" x14ac:dyDescent="0.25">
      <c r="A253" t="s">
        <v>1115</v>
      </c>
      <c r="B253" t="s">
        <v>1116</v>
      </c>
      <c r="C253" t="s">
        <v>1114</v>
      </c>
      <c r="D253">
        <v>5602558</v>
      </c>
      <c r="E253">
        <v>80547</v>
      </c>
      <c r="F253">
        <v>5683105</v>
      </c>
      <c r="G253">
        <v>5683.1049999999996</v>
      </c>
      <c r="H253">
        <v>0</v>
      </c>
      <c r="I253">
        <v>0</v>
      </c>
    </row>
    <row r="254" spans="1:9" x14ac:dyDescent="0.25">
      <c r="A254" t="s">
        <v>1118</v>
      </c>
      <c r="B254" t="s">
        <v>1119</v>
      </c>
      <c r="C254" t="s">
        <v>1117</v>
      </c>
      <c r="D254">
        <v>2174624</v>
      </c>
      <c r="E254">
        <v>22352</v>
      </c>
      <c r="F254">
        <v>2196976</v>
      </c>
      <c r="G254">
        <v>2196.9760000000001</v>
      </c>
      <c r="H254">
        <v>0</v>
      </c>
      <c r="I254">
        <v>0</v>
      </c>
    </row>
    <row r="255" spans="1:9" x14ac:dyDescent="0.25">
      <c r="A255" t="s">
        <v>1127</v>
      </c>
      <c r="B255" t="s">
        <v>1128</v>
      </c>
      <c r="C255" t="s">
        <v>1126</v>
      </c>
      <c r="D255">
        <v>8229026</v>
      </c>
      <c r="E255">
        <v>54493</v>
      </c>
      <c r="F255">
        <v>8283519</v>
      </c>
      <c r="G255">
        <v>8283.5190000000002</v>
      </c>
      <c r="H255">
        <v>0</v>
      </c>
      <c r="I255">
        <v>0</v>
      </c>
    </row>
    <row r="256" spans="1:9" x14ac:dyDescent="0.25">
      <c r="A256" t="s">
        <v>1133</v>
      </c>
      <c r="B256" t="s">
        <v>1134</v>
      </c>
      <c r="C256" t="s">
        <v>1132</v>
      </c>
      <c r="D256">
        <v>3120678</v>
      </c>
      <c r="E256">
        <v>17091</v>
      </c>
      <c r="F256">
        <v>3137769</v>
      </c>
      <c r="G256">
        <v>3137.7689999999998</v>
      </c>
      <c r="H256">
        <v>0</v>
      </c>
      <c r="I256">
        <v>0</v>
      </c>
    </row>
    <row r="257" spans="1:9" x14ac:dyDescent="0.25">
      <c r="A257" t="s">
        <v>1142</v>
      </c>
      <c r="B257" t="s">
        <v>1143</v>
      </c>
      <c r="C257" t="s">
        <v>1141</v>
      </c>
      <c r="D257">
        <v>2903889</v>
      </c>
      <c r="E257">
        <v>122816</v>
      </c>
      <c r="F257">
        <v>3026705</v>
      </c>
      <c r="G257">
        <v>3026.7049999999999</v>
      </c>
      <c r="H257">
        <v>0</v>
      </c>
      <c r="I257">
        <v>0</v>
      </c>
    </row>
    <row r="258" spans="1:9" x14ac:dyDescent="0.25">
      <c r="A258" t="s">
        <v>1145</v>
      </c>
      <c r="B258" t="s">
        <v>1146</v>
      </c>
      <c r="C258" t="s">
        <v>1144</v>
      </c>
      <c r="D258">
        <v>2562804</v>
      </c>
      <c r="E258">
        <v>33425</v>
      </c>
      <c r="F258">
        <v>2596229</v>
      </c>
      <c r="G258">
        <v>2596.2289999999998</v>
      </c>
      <c r="H258">
        <v>1246996</v>
      </c>
      <c r="I258">
        <v>1246.9960000000001</v>
      </c>
    </row>
    <row r="259" spans="1:9" x14ac:dyDescent="0.25">
      <c r="A259" t="s">
        <v>1148</v>
      </c>
      <c r="B259" t="s">
        <v>1149</v>
      </c>
      <c r="C259" t="s">
        <v>1147</v>
      </c>
      <c r="D259">
        <v>9103340</v>
      </c>
      <c r="E259">
        <v>122245</v>
      </c>
      <c r="F259">
        <v>9225585</v>
      </c>
      <c r="G259">
        <v>9225.5849999999991</v>
      </c>
      <c r="H259">
        <v>501831</v>
      </c>
      <c r="I259">
        <v>501.83100000000002</v>
      </c>
    </row>
    <row r="260" spans="1:9" x14ac:dyDescent="0.25">
      <c r="A260" t="s">
        <v>1151</v>
      </c>
      <c r="B260" t="s">
        <v>1152</v>
      </c>
      <c r="C260" t="s">
        <v>1150</v>
      </c>
      <c r="D260">
        <v>9269023</v>
      </c>
      <c r="E260">
        <v>359639</v>
      </c>
      <c r="F260">
        <v>9628662</v>
      </c>
      <c r="G260">
        <v>9628.6620000000003</v>
      </c>
      <c r="H260">
        <v>206632</v>
      </c>
      <c r="I260">
        <v>206.63200000000001</v>
      </c>
    </row>
    <row r="261" spans="1:9" x14ac:dyDescent="0.25">
      <c r="A261" t="s">
        <v>1154</v>
      </c>
      <c r="B261" t="s">
        <v>1155</v>
      </c>
      <c r="C261" t="s">
        <v>1153</v>
      </c>
      <c r="D261">
        <v>2154254</v>
      </c>
      <c r="E261">
        <v>28750</v>
      </c>
      <c r="F261">
        <v>2183004</v>
      </c>
      <c r="G261">
        <v>2183.0039999999999</v>
      </c>
      <c r="H261">
        <v>0</v>
      </c>
      <c r="I261">
        <v>0</v>
      </c>
    </row>
    <row r="262" spans="1:9" x14ac:dyDescent="0.25">
      <c r="A262" t="s">
        <v>1157</v>
      </c>
      <c r="B262" t="s">
        <v>1158</v>
      </c>
      <c r="C262" t="s">
        <v>1156</v>
      </c>
      <c r="D262">
        <v>2548682</v>
      </c>
      <c r="E262">
        <v>103818</v>
      </c>
      <c r="F262">
        <v>2652500</v>
      </c>
      <c r="G262">
        <v>2652.5</v>
      </c>
      <c r="H262">
        <v>0</v>
      </c>
      <c r="I262">
        <v>0</v>
      </c>
    </row>
    <row r="263" spans="1:9" x14ac:dyDescent="0.25">
      <c r="A263" t="s">
        <v>1164</v>
      </c>
      <c r="B263" t="s">
        <v>1165</v>
      </c>
      <c r="C263" t="s">
        <v>1163</v>
      </c>
      <c r="D263">
        <v>3434772</v>
      </c>
      <c r="E263">
        <v>22898</v>
      </c>
      <c r="F263">
        <v>3457670</v>
      </c>
      <c r="G263">
        <v>3457.67</v>
      </c>
      <c r="H263">
        <v>0</v>
      </c>
      <c r="I263">
        <v>0</v>
      </c>
    </row>
    <row r="264" spans="1:9" x14ac:dyDescent="0.25">
      <c r="A264" t="s">
        <v>1167</v>
      </c>
      <c r="B264" t="s">
        <v>1168</v>
      </c>
      <c r="C264" t="s">
        <v>5503</v>
      </c>
      <c r="D264">
        <v>5003188</v>
      </c>
      <c r="E264">
        <v>121085</v>
      </c>
      <c r="F264">
        <v>5124273</v>
      </c>
      <c r="G264">
        <v>5124.2730000000001</v>
      </c>
      <c r="H264">
        <v>2310283</v>
      </c>
      <c r="I264">
        <v>2310.2829999999999</v>
      </c>
    </row>
    <row r="265" spans="1:9" x14ac:dyDescent="0.25">
      <c r="A265" t="s">
        <v>1170</v>
      </c>
      <c r="B265" t="s">
        <v>1171</v>
      </c>
      <c r="C265" t="s">
        <v>1169</v>
      </c>
      <c r="D265">
        <v>2930336</v>
      </c>
      <c r="E265">
        <v>51342</v>
      </c>
      <c r="F265">
        <v>2981678</v>
      </c>
      <c r="G265">
        <v>2981.6779999999999</v>
      </c>
      <c r="H265">
        <v>0</v>
      </c>
      <c r="I265">
        <v>0</v>
      </c>
    </row>
    <row r="266" spans="1:9" x14ac:dyDescent="0.25">
      <c r="A266" t="s">
        <v>1173</v>
      </c>
      <c r="B266" t="s">
        <v>1174</v>
      </c>
      <c r="C266" t="s">
        <v>1172</v>
      </c>
      <c r="D266">
        <v>3088353</v>
      </c>
      <c r="E266">
        <v>65228</v>
      </c>
      <c r="F266">
        <v>3153581</v>
      </c>
      <c r="G266">
        <v>3153.5810000000001</v>
      </c>
      <c r="H266">
        <v>0</v>
      </c>
      <c r="I266">
        <v>0</v>
      </c>
    </row>
    <row r="267" spans="1:9" x14ac:dyDescent="0.25">
      <c r="A267" t="s">
        <v>1176</v>
      </c>
      <c r="B267" t="s">
        <v>1177</v>
      </c>
      <c r="C267" t="s">
        <v>1175</v>
      </c>
      <c r="D267">
        <v>1598809</v>
      </c>
      <c r="E267">
        <v>23980</v>
      </c>
      <c r="F267">
        <v>1622789</v>
      </c>
      <c r="G267">
        <v>1622.789</v>
      </c>
      <c r="H267">
        <v>85544</v>
      </c>
      <c r="I267">
        <v>85.543999999999997</v>
      </c>
    </row>
    <row r="268" spans="1:9" x14ac:dyDescent="0.25">
      <c r="A268" t="s">
        <v>1182</v>
      </c>
      <c r="B268" t="s">
        <v>1183</v>
      </c>
      <c r="C268" t="s">
        <v>1181</v>
      </c>
      <c r="D268">
        <v>2853457</v>
      </c>
      <c r="E268">
        <v>58297</v>
      </c>
      <c r="F268">
        <v>2911754</v>
      </c>
      <c r="G268">
        <v>2911.7539999999999</v>
      </c>
      <c r="H268">
        <v>0</v>
      </c>
      <c r="I268">
        <v>0</v>
      </c>
    </row>
    <row r="269" spans="1:9" x14ac:dyDescent="0.25">
      <c r="A269" t="s">
        <v>1188</v>
      </c>
      <c r="B269" t="s">
        <v>1189</v>
      </c>
      <c r="C269" t="s">
        <v>1187</v>
      </c>
      <c r="D269">
        <v>1990974</v>
      </c>
      <c r="E269">
        <v>37766</v>
      </c>
      <c r="F269">
        <v>2028740</v>
      </c>
      <c r="G269">
        <v>2028.74</v>
      </c>
      <c r="H269">
        <v>0</v>
      </c>
      <c r="I269">
        <v>0</v>
      </c>
    </row>
    <row r="270" spans="1:9" x14ac:dyDescent="0.25">
      <c r="A270" t="s">
        <v>1191</v>
      </c>
      <c r="B270" t="s">
        <v>1192</v>
      </c>
      <c r="C270" t="s">
        <v>1190</v>
      </c>
      <c r="D270">
        <v>10824574</v>
      </c>
      <c r="E270">
        <v>35709</v>
      </c>
      <c r="F270">
        <v>10860283</v>
      </c>
      <c r="G270">
        <v>10860.282999999999</v>
      </c>
      <c r="H270">
        <v>0</v>
      </c>
      <c r="I270">
        <v>0</v>
      </c>
    </row>
    <row r="271" spans="1:9" x14ac:dyDescent="0.25">
      <c r="A271" t="s">
        <v>1194</v>
      </c>
      <c r="B271" t="s">
        <v>1195</v>
      </c>
      <c r="C271" t="s">
        <v>5504</v>
      </c>
      <c r="D271">
        <v>3427884</v>
      </c>
      <c r="E271">
        <v>34889</v>
      </c>
      <c r="F271">
        <v>3462773</v>
      </c>
      <c r="G271">
        <v>3462.7730000000001</v>
      </c>
      <c r="H271">
        <v>1585788</v>
      </c>
      <c r="I271">
        <v>1585.788</v>
      </c>
    </row>
    <row r="272" spans="1:9" x14ac:dyDescent="0.25">
      <c r="A272" t="s">
        <v>1197</v>
      </c>
      <c r="B272" t="s">
        <v>1198</v>
      </c>
      <c r="C272" t="s">
        <v>1196</v>
      </c>
      <c r="D272">
        <v>6085634</v>
      </c>
      <c r="E272">
        <v>29780</v>
      </c>
      <c r="F272">
        <v>6115414</v>
      </c>
      <c r="G272">
        <v>6115.4139999999998</v>
      </c>
      <c r="H272">
        <v>0</v>
      </c>
      <c r="I272">
        <v>0</v>
      </c>
    </row>
    <row r="273" spans="1:9" x14ac:dyDescent="0.25">
      <c r="A273" t="s">
        <v>1200</v>
      </c>
      <c r="B273" t="s">
        <v>1201</v>
      </c>
      <c r="C273" t="s">
        <v>1199</v>
      </c>
      <c r="D273">
        <v>1365665</v>
      </c>
      <c r="E273">
        <v>9375</v>
      </c>
      <c r="F273">
        <v>1375040</v>
      </c>
      <c r="G273">
        <v>1375.04</v>
      </c>
      <c r="H273">
        <v>298157</v>
      </c>
      <c r="I273">
        <v>298.15699999999998</v>
      </c>
    </row>
    <row r="274" spans="1:9" x14ac:dyDescent="0.25">
      <c r="A274" t="s">
        <v>1203</v>
      </c>
      <c r="B274" t="s">
        <v>1204</v>
      </c>
      <c r="C274" t="s">
        <v>1202</v>
      </c>
      <c r="D274">
        <v>18004888</v>
      </c>
      <c r="E274">
        <v>136833</v>
      </c>
      <c r="F274">
        <v>18141721</v>
      </c>
      <c r="G274">
        <v>18141.721000000001</v>
      </c>
      <c r="H274">
        <v>0</v>
      </c>
      <c r="I274">
        <v>0</v>
      </c>
    </row>
    <row r="275" spans="1:9" x14ac:dyDescent="0.25">
      <c r="A275" t="s">
        <v>1206</v>
      </c>
      <c r="B275" t="s">
        <v>1207</v>
      </c>
      <c r="C275" t="s">
        <v>1205</v>
      </c>
      <c r="D275">
        <v>41656140</v>
      </c>
      <c r="E275">
        <v>464770</v>
      </c>
      <c r="F275">
        <v>42120910</v>
      </c>
      <c r="G275">
        <v>42120.91</v>
      </c>
      <c r="H275">
        <v>0</v>
      </c>
      <c r="I275">
        <v>0</v>
      </c>
    </row>
    <row r="276" spans="1:9" x14ac:dyDescent="0.25">
      <c r="A276" t="s">
        <v>1209</v>
      </c>
      <c r="B276" t="s">
        <v>1210</v>
      </c>
      <c r="C276" t="s">
        <v>1208</v>
      </c>
      <c r="D276">
        <v>5666506</v>
      </c>
      <c r="E276">
        <v>51006</v>
      </c>
      <c r="F276">
        <v>5717512</v>
      </c>
      <c r="G276">
        <v>5717.5119999999997</v>
      </c>
      <c r="H276">
        <v>1214105</v>
      </c>
      <c r="I276">
        <v>1214.105</v>
      </c>
    </row>
    <row r="277" spans="1:9" x14ac:dyDescent="0.25">
      <c r="A277" t="s">
        <v>1215</v>
      </c>
      <c r="B277" t="s">
        <v>1216</v>
      </c>
      <c r="C277" t="s">
        <v>1214</v>
      </c>
      <c r="D277">
        <v>2070609</v>
      </c>
      <c r="E277">
        <v>35563</v>
      </c>
      <c r="F277">
        <v>2106172</v>
      </c>
      <c r="G277">
        <v>2106.172</v>
      </c>
      <c r="H277">
        <v>0</v>
      </c>
      <c r="I277">
        <v>0</v>
      </c>
    </row>
    <row r="278" spans="1:9" x14ac:dyDescent="0.25">
      <c r="A278" t="s">
        <v>1218</v>
      </c>
      <c r="B278" t="s">
        <v>1219</v>
      </c>
      <c r="C278" t="s">
        <v>1217</v>
      </c>
      <c r="D278">
        <v>3414117</v>
      </c>
      <c r="E278">
        <v>47505</v>
      </c>
      <c r="F278">
        <v>3461622</v>
      </c>
      <c r="G278">
        <v>3461.6219999999998</v>
      </c>
      <c r="H278">
        <v>0</v>
      </c>
      <c r="I278">
        <v>0</v>
      </c>
    </row>
    <row r="279" spans="1:9" x14ac:dyDescent="0.25">
      <c r="A279" t="s">
        <v>1221</v>
      </c>
      <c r="B279" t="s">
        <v>1222</v>
      </c>
      <c r="C279" t="s">
        <v>1220</v>
      </c>
      <c r="D279">
        <v>8943772</v>
      </c>
      <c r="E279">
        <v>132344</v>
      </c>
      <c r="F279">
        <v>9076116</v>
      </c>
      <c r="G279">
        <v>9076.116</v>
      </c>
      <c r="H279">
        <v>294438</v>
      </c>
      <c r="I279">
        <v>294.43799999999999</v>
      </c>
    </row>
    <row r="280" spans="1:9" x14ac:dyDescent="0.25">
      <c r="A280" t="s">
        <v>1224</v>
      </c>
      <c r="B280" t="s">
        <v>1225</v>
      </c>
      <c r="C280" t="s">
        <v>1223</v>
      </c>
      <c r="D280">
        <v>8212484</v>
      </c>
      <c r="E280">
        <v>57119</v>
      </c>
      <c r="F280">
        <v>8269603</v>
      </c>
      <c r="G280">
        <v>8269.6029999999992</v>
      </c>
      <c r="H280">
        <v>1493595</v>
      </c>
      <c r="I280">
        <v>1493.595</v>
      </c>
    </row>
    <row r="281" spans="1:9" x14ac:dyDescent="0.25">
      <c r="A281" t="s">
        <v>1227</v>
      </c>
      <c r="B281" t="s">
        <v>1228</v>
      </c>
      <c r="C281" t="s">
        <v>1226</v>
      </c>
      <c r="D281">
        <v>4710142</v>
      </c>
      <c r="E281">
        <v>176215</v>
      </c>
      <c r="F281">
        <v>4886357</v>
      </c>
      <c r="G281">
        <v>4886.357</v>
      </c>
      <c r="H281">
        <v>115773</v>
      </c>
      <c r="I281">
        <v>115.773</v>
      </c>
    </row>
    <row r="282" spans="1:9" x14ac:dyDescent="0.25">
      <c r="A282" t="s">
        <v>1230</v>
      </c>
      <c r="B282" t="s">
        <v>1231</v>
      </c>
      <c r="C282" t="s">
        <v>1229</v>
      </c>
      <c r="D282">
        <v>10960740</v>
      </c>
      <c r="E282">
        <v>485890</v>
      </c>
      <c r="F282">
        <v>11446630</v>
      </c>
      <c r="G282">
        <v>11446.63</v>
      </c>
      <c r="H282">
        <v>0</v>
      </c>
      <c r="I282">
        <v>0</v>
      </c>
    </row>
    <row r="283" spans="1:9" x14ac:dyDescent="0.25">
      <c r="A283" t="s">
        <v>1233</v>
      </c>
      <c r="B283" t="s">
        <v>1234</v>
      </c>
      <c r="C283" t="s">
        <v>1232</v>
      </c>
      <c r="D283">
        <v>9401591</v>
      </c>
      <c r="E283">
        <v>220195</v>
      </c>
      <c r="F283">
        <v>9621786</v>
      </c>
      <c r="G283">
        <v>9621.7860000000001</v>
      </c>
      <c r="H283">
        <v>0</v>
      </c>
      <c r="I283">
        <v>0</v>
      </c>
    </row>
    <row r="284" spans="1:9" x14ac:dyDescent="0.25">
      <c r="A284" t="s">
        <v>1236</v>
      </c>
      <c r="B284" t="s">
        <v>1237</v>
      </c>
      <c r="C284" t="s">
        <v>1235</v>
      </c>
      <c r="D284">
        <v>5184982</v>
      </c>
      <c r="E284">
        <v>116100</v>
      </c>
      <c r="F284">
        <v>5301082</v>
      </c>
      <c r="G284">
        <v>5301.0820000000003</v>
      </c>
      <c r="H284">
        <v>0</v>
      </c>
      <c r="I284">
        <v>0</v>
      </c>
    </row>
    <row r="285" spans="1:9" x14ac:dyDescent="0.25">
      <c r="A285" t="s">
        <v>1245</v>
      </c>
      <c r="B285" t="s">
        <v>1246</v>
      </c>
      <c r="C285" t="s">
        <v>1244</v>
      </c>
      <c r="D285">
        <v>5359741</v>
      </c>
      <c r="E285">
        <v>80258</v>
      </c>
      <c r="F285">
        <v>5439999</v>
      </c>
      <c r="G285">
        <v>5439.9989999999998</v>
      </c>
      <c r="H285">
        <v>0</v>
      </c>
      <c r="I285">
        <v>0</v>
      </c>
    </row>
    <row r="286" spans="1:9" x14ac:dyDescent="0.25">
      <c r="A286" t="s">
        <v>1248</v>
      </c>
      <c r="B286" t="s">
        <v>1249</v>
      </c>
      <c r="C286" t="s">
        <v>1247</v>
      </c>
      <c r="D286">
        <v>4162123</v>
      </c>
      <c r="E286">
        <v>153068</v>
      </c>
      <c r="F286">
        <v>4315191</v>
      </c>
      <c r="G286">
        <v>4315.1909999999998</v>
      </c>
      <c r="H286">
        <v>0</v>
      </c>
      <c r="I286">
        <v>0</v>
      </c>
    </row>
    <row r="287" spans="1:9" x14ac:dyDescent="0.25">
      <c r="A287" t="s">
        <v>1251</v>
      </c>
      <c r="B287" t="s">
        <v>1252</v>
      </c>
      <c r="C287" t="s">
        <v>1250</v>
      </c>
      <c r="D287">
        <v>2940747</v>
      </c>
      <c r="E287">
        <v>63738</v>
      </c>
      <c r="F287">
        <v>3004485</v>
      </c>
      <c r="G287">
        <v>3004.4850000000001</v>
      </c>
      <c r="H287">
        <v>0</v>
      </c>
      <c r="I287">
        <v>0</v>
      </c>
    </row>
    <row r="288" spans="1:9" x14ac:dyDescent="0.25">
      <c r="A288" t="s">
        <v>1254</v>
      </c>
      <c r="B288" t="s">
        <v>1255</v>
      </c>
      <c r="C288" t="s">
        <v>1253</v>
      </c>
      <c r="D288">
        <v>3105819</v>
      </c>
      <c r="E288">
        <v>46854</v>
      </c>
      <c r="F288">
        <v>3152673</v>
      </c>
      <c r="G288">
        <v>3152.6729999999998</v>
      </c>
      <c r="H288">
        <v>252450</v>
      </c>
      <c r="I288">
        <v>252.45</v>
      </c>
    </row>
    <row r="289" spans="1:9" x14ac:dyDescent="0.25">
      <c r="A289" t="s">
        <v>1257</v>
      </c>
      <c r="B289" t="s">
        <v>1258</v>
      </c>
      <c r="C289" t="s">
        <v>1256</v>
      </c>
      <c r="D289">
        <v>7925372</v>
      </c>
      <c r="E289">
        <v>173568</v>
      </c>
      <c r="F289">
        <v>8098940</v>
      </c>
      <c r="G289">
        <v>8098.94</v>
      </c>
      <c r="H289">
        <v>0</v>
      </c>
      <c r="I289">
        <v>0</v>
      </c>
    </row>
    <row r="290" spans="1:9" x14ac:dyDescent="0.25">
      <c r="A290" t="s">
        <v>1260</v>
      </c>
      <c r="B290" t="s">
        <v>1261</v>
      </c>
      <c r="C290" t="s">
        <v>1259</v>
      </c>
      <c r="D290">
        <v>1390843</v>
      </c>
      <c r="E290">
        <v>2787</v>
      </c>
      <c r="F290">
        <v>1393630</v>
      </c>
      <c r="G290">
        <v>1393.63</v>
      </c>
      <c r="H290">
        <v>0</v>
      </c>
      <c r="I290">
        <v>0</v>
      </c>
    </row>
    <row r="291" spans="1:9" x14ac:dyDescent="0.25">
      <c r="A291" t="s">
        <v>1263</v>
      </c>
      <c r="B291" t="s">
        <v>1264</v>
      </c>
      <c r="C291" t="s">
        <v>1262</v>
      </c>
      <c r="D291">
        <v>1979124</v>
      </c>
      <c r="E291">
        <v>24299</v>
      </c>
      <c r="F291">
        <v>2003423</v>
      </c>
      <c r="G291">
        <v>2003.423</v>
      </c>
      <c r="H291">
        <v>0</v>
      </c>
      <c r="I291">
        <v>0</v>
      </c>
    </row>
    <row r="292" spans="1:9" x14ac:dyDescent="0.25">
      <c r="A292" t="s">
        <v>1266</v>
      </c>
      <c r="B292" t="s">
        <v>1267</v>
      </c>
      <c r="C292" t="s">
        <v>1265</v>
      </c>
      <c r="D292">
        <v>968505</v>
      </c>
      <c r="E292">
        <v>12090</v>
      </c>
      <c r="F292">
        <v>980595</v>
      </c>
      <c r="G292">
        <v>980.59500000000003</v>
      </c>
      <c r="H292">
        <v>0</v>
      </c>
      <c r="I292">
        <v>0</v>
      </c>
    </row>
    <row r="293" spans="1:9" x14ac:dyDescent="0.25">
      <c r="A293" t="s">
        <v>1284</v>
      </c>
      <c r="B293" t="s">
        <v>1285</v>
      </c>
      <c r="C293" t="s">
        <v>1283</v>
      </c>
      <c r="D293">
        <v>12303581</v>
      </c>
      <c r="E293">
        <v>246895</v>
      </c>
      <c r="F293">
        <v>12550476</v>
      </c>
      <c r="G293">
        <v>12550.476000000001</v>
      </c>
      <c r="H293">
        <v>4349926</v>
      </c>
      <c r="I293">
        <v>4349.9260000000004</v>
      </c>
    </row>
    <row r="294" spans="1:9" x14ac:dyDescent="0.25">
      <c r="A294" t="s">
        <v>1290</v>
      </c>
      <c r="B294" t="s">
        <v>1291</v>
      </c>
      <c r="C294" t="s">
        <v>1289</v>
      </c>
      <c r="D294">
        <v>3944734</v>
      </c>
      <c r="E294">
        <v>57516</v>
      </c>
      <c r="F294">
        <v>4002250</v>
      </c>
      <c r="G294">
        <v>4002.25</v>
      </c>
      <c r="H294">
        <v>0</v>
      </c>
      <c r="I294">
        <v>0</v>
      </c>
    </row>
    <row r="295" spans="1:9" x14ac:dyDescent="0.25">
      <c r="A295" t="s">
        <v>1293</v>
      </c>
      <c r="B295" t="s">
        <v>1294</v>
      </c>
      <c r="C295" t="s">
        <v>1292</v>
      </c>
      <c r="D295">
        <v>6604401</v>
      </c>
      <c r="E295">
        <v>88145</v>
      </c>
      <c r="F295">
        <v>6692546</v>
      </c>
      <c r="G295">
        <v>6692.5460000000003</v>
      </c>
      <c r="H295">
        <v>373840</v>
      </c>
      <c r="I295">
        <v>373.84</v>
      </c>
    </row>
    <row r="296" spans="1:9" x14ac:dyDescent="0.25">
      <c r="A296" t="s">
        <v>1311</v>
      </c>
      <c r="B296" t="s">
        <v>1312</v>
      </c>
      <c r="C296" t="s">
        <v>1310</v>
      </c>
      <c r="D296">
        <v>182270570</v>
      </c>
      <c r="E296">
        <v>132611</v>
      </c>
      <c r="F296">
        <v>182403181</v>
      </c>
      <c r="G296">
        <v>182403.18100000001</v>
      </c>
      <c r="H296">
        <v>0</v>
      </c>
      <c r="I296">
        <v>0</v>
      </c>
    </row>
    <row r="297" spans="1:9" x14ac:dyDescent="0.25">
      <c r="A297" t="s">
        <v>1314</v>
      </c>
      <c r="B297" t="s">
        <v>1315</v>
      </c>
      <c r="C297" t="s">
        <v>1313</v>
      </c>
      <c r="D297">
        <v>15076542</v>
      </c>
      <c r="E297">
        <v>266838</v>
      </c>
      <c r="F297">
        <v>15343380</v>
      </c>
      <c r="G297">
        <v>15343.38</v>
      </c>
      <c r="H297">
        <v>0</v>
      </c>
      <c r="I297">
        <v>0</v>
      </c>
    </row>
    <row r="298" spans="1:9" x14ac:dyDescent="0.25">
      <c r="A298" t="s">
        <v>1317</v>
      </c>
      <c r="B298" t="s">
        <v>1318</v>
      </c>
      <c r="C298" t="s">
        <v>5505</v>
      </c>
      <c r="D298">
        <v>13744948</v>
      </c>
      <c r="E298">
        <v>88189</v>
      </c>
      <c r="F298">
        <v>13833137</v>
      </c>
      <c r="G298">
        <v>13833.137000000001</v>
      </c>
      <c r="H298">
        <v>97322</v>
      </c>
      <c r="I298">
        <v>97.322000000000003</v>
      </c>
    </row>
    <row r="299" spans="1:9" x14ac:dyDescent="0.25">
      <c r="A299" t="s">
        <v>1323</v>
      </c>
      <c r="B299" t="s">
        <v>1324</v>
      </c>
      <c r="C299" t="s">
        <v>1322</v>
      </c>
      <c r="D299">
        <v>5600512</v>
      </c>
      <c r="E299">
        <v>82645</v>
      </c>
      <c r="F299">
        <v>5683157</v>
      </c>
      <c r="G299">
        <v>5683.1570000000002</v>
      </c>
      <c r="H299">
        <v>1352345</v>
      </c>
      <c r="I299">
        <v>1352.345</v>
      </c>
    </row>
    <row r="300" spans="1:9" x14ac:dyDescent="0.25">
      <c r="A300" t="s">
        <v>1326</v>
      </c>
      <c r="B300" t="s">
        <v>1327</v>
      </c>
      <c r="C300" t="s">
        <v>5506</v>
      </c>
      <c r="D300">
        <v>10551672</v>
      </c>
      <c r="E300">
        <v>190386</v>
      </c>
      <c r="F300">
        <v>10742058</v>
      </c>
      <c r="G300">
        <v>10742.058000000001</v>
      </c>
      <c r="H300">
        <v>0</v>
      </c>
      <c r="I300">
        <v>0</v>
      </c>
    </row>
    <row r="301" spans="1:9" x14ac:dyDescent="0.25">
      <c r="A301" t="s">
        <v>1329</v>
      </c>
      <c r="B301" t="s">
        <v>1330</v>
      </c>
      <c r="C301" t="s">
        <v>1328</v>
      </c>
      <c r="D301">
        <v>11540924</v>
      </c>
      <c r="E301">
        <v>253556</v>
      </c>
      <c r="F301">
        <v>11794480</v>
      </c>
      <c r="G301">
        <v>11794.48</v>
      </c>
      <c r="H301">
        <v>0</v>
      </c>
      <c r="I301">
        <v>0</v>
      </c>
    </row>
    <row r="302" spans="1:9" x14ac:dyDescent="0.25">
      <c r="A302" t="s">
        <v>1332</v>
      </c>
      <c r="B302" t="s">
        <v>1333</v>
      </c>
      <c r="C302" t="s">
        <v>1331</v>
      </c>
      <c r="D302">
        <v>2937203</v>
      </c>
      <c r="E302">
        <v>65581</v>
      </c>
      <c r="F302">
        <v>3002784</v>
      </c>
      <c r="G302">
        <v>3002.7840000000001</v>
      </c>
      <c r="H302">
        <v>0</v>
      </c>
      <c r="I302">
        <v>0</v>
      </c>
    </row>
    <row r="303" spans="1:9" x14ac:dyDescent="0.25">
      <c r="A303" t="s">
        <v>1335</v>
      </c>
      <c r="B303" t="s">
        <v>1336</v>
      </c>
      <c r="C303" t="s">
        <v>1334</v>
      </c>
      <c r="D303">
        <v>4754181</v>
      </c>
      <c r="E303">
        <v>213648</v>
      </c>
      <c r="F303">
        <v>4967829</v>
      </c>
      <c r="G303">
        <v>4967.8289999999997</v>
      </c>
      <c r="H303">
        <v>0</v>
      </c>
      <c r="I303">
        <v>0</v>
      </c>
    </row>
    <row r="304" spans="1:9" x14ac:dyDescent="0.25">
      <c r="A304" t="s">
        <v>1338</v>
      </c>
      <c r="B304" t="s">
        <v>1339</v>
      </c>
      <c r="C304" t="s">
        <v>1337</v>
      </c>
      <c r="D304">
        <v>10858791</v>
      </c>
      <c r="E304">
        <v>131564</v>
      </c>
      <c r="F304">
        <v>10990355</v>
      </c>
      <c r="G304">
        <v>10990.355</v>
      </c>
      <c r="H304">
        <v>5094717</v>
      </c>
      <c r="I304">
        <v>5094.7169999999996</v>
      </c>
    </row>
    <row r="305" spans="1:9" x14ac:dyDescent="0.25">
      <c r="A305" t="s">
        <v>1341</v>
      </c>
      <c r="B305" t="s">
        <v>1342</v>
      </c>
      <c r="C305" t="s">
        <v>1340</v>
      </c>
      <c r="D305">
        <v>3714131</v>
      </c>
      <c r="E305">
        <v>35386</v>
      </c>
      <c r="F305">
        <v>3749517</v>
      </c>
      <c r="G305">
        <v>3749.5169999999998</v>
      </c>
      <c r="H305">
        <v>0</v>
      </c>
      <c r="I305">
        <v>0</v>
      </c>
    </row>
    <row r="306" spans="1:9" x14ac:dyDescent="0.25">
      <c r="A306" t="s">
        <v>1347</v>
      </c>
      <c r="B306" t="s">
        <v>1348</v>
      </c>
      <c r="C306" t="s">
        <v>1346</v>
      </c>
      <c r="D306">
        <v>2398108</v>
      </c>
      <c r="E306">
        <v>99349</v>
      </c>
      <c r="F306">
        <v>2497457</v>
      </c>
      <c r="G306">
        <v>2497.4569999999999</v>
      </c>
      <c r="H306">
        <v>0</v>
      </c>
      <c r="I306">
        <v>0</v>
      </c>
    </row>
    <row r="307" spans="1:9" x14ac:dyDescent="0.25">
      <c r="A307" t="s">
        <v>1350</v>
      </c>
      <c r="B307" t="s">
        <v>1351</v>
      </c>
      <c r="C307" t="s">
        <v>1349</v>
      </c>
      <c r="D307">
        <v>3546810</v>
      </c>
      <c r="E307">
        <v>29430</v>
      </c>
      <c r="F307">
        <v>3576240</v>
      </c>
      <c r="G307">
        <v>3576.24</v>
      </c>
      <c r="H307">
        <v>0</v>
      </c>
      <c r="I307">
        <v>0</v>
      </c>
    </row>
    <row r="308" spans="1:9" x14ac:dyDescent="0.25">
      <c r="A308" t="s">
        <v>1353</v>
      </c>
      <c r="B308" t="s">
        <v>1354</v>
      </c>
      <c r="C308" t="s">
        <v>1352</v>
      </c>
      <c r="D308">
        <v>2758037</v>
      </c>
      <c r="E308">
        <v>25367</v>
      </c>
      <c r="F308">
        <v>2783404</v>
      </c>
      <c r="G308">
        <v>2783.404</v>
      </c>
      <c r="H308">
        <v>0</v>
      </c>
      <c r="I308">
        <v>0</v>
      </c>
    </row>
    <row r="309" spans="1:9" x14ac:dyDescent="0.25">
      <c r="A309" t="s">
        <v>1356</v>
      </c>
      <c r="B309" t="s">
        <v>1357</v>
      </c>
      <c r="C309" t="s">
        <v>1355</v>
      </c>
      <c r="D309">
        <v>2501222</v>
      </c>
      <c r="E309">
        <v>9699</v>
      </c>
      <c r="F309">
        <v>2510921</v>
      </c>
      <c r="G309">
        <v>2510.9209999999998</v>
      </c>
      <c r="H309">
        <v>428073</v>
      </c>
      <c r="I309">
        <v>428.07299999999998</v>
      </c>
    </row>
    <row r="310" spans="1:9" x14ac:dyDescent="0.25">
      <c r="A310" t="s">
        <v>1359</v>
      </c>
      <c r="B310" t="s">
        <v>1360</v>
      </c>
      <c r="C310" t="s">
        <v>1358</v>
      </c>
      <c r="D310">
        <v>14756440</v>
      </c>
      <c r="E310">
        <v>136922</v>
      </c>
      <c r="F310">
        <v>14893362</v>
      </c>
      <c r="G310">
        <v>14893.361999999999</v>
      </c>
      <c r="H310">
        <v>0</v>
      </c>
      <c r="I310">
        <v>0</v>
      </c>
    </row>
    <row r="311" spans="1:9" x14ac:dyDescent="0.25">
      <c r="A311" t="s">
        <v>91</v>
      </c>
      <c r="B311" t="s">
        <v>92</v>
      </c>
      <c r="C311" t="s">
        <v>5507</v>
      </c>
      <c r="D311">
        <v>822073</v>
      </c>
      <c r="E311">
        <v>11281</v>
      </c>
      <c r="F311">
        <v>833354</v>
      </c>
      <c r="G311">
        <v>833.35400000000004</v>
      </c>
      <c r="H311">
        <v>0</v>
      </c>
      <c r="I311">
        <v>0</v>
      </c>
    </row>
    <row r="312" spans="1:9" x14ac:dyDescent="0.25">
      <c r="A312" t="s">
        <v>134</v>
      </c>
      <c r="B312" t="s">
        <v>135</v>
      </c>
      <c r="C312" t="s">
        <v>5508</v>
      </c>
      <c r="D312">
        <v>372097</v>
      </c>
      <c r="E312">
        <v>5190</v>
      </c>
      <c r="F312">
        <v>377287</v>
      </c>
      <c r="G312">
        <v>377.28699999999998</v>
      </c>
      <c r="H312">
        <v>34593</v>
      </c>
      <c r="I312">
        <v>34.593000000000004</v>
      </c>
    </row>
    <row r="313" spans="1:9" x14ac:dyDescent="0.25">
      <c r="A313" t="s">
        <v>140</v>
      </c>
      <c r="B313" t="s">
        <v>141</v>
      </c>
      <c r="C313" t="s">
        <v>5509</v>
      </c>
      <c r="D313">
        <v>986959</v>
      </c>
      <c r="E313">
        <v>26036</v>
      </c>
      <c r="F313">
        <v>1012995</v>
      </c>
      <c r="G313">
        <v>1012.995</v>
      </c>
      <c r="H313">
        <v>0</v>
      </c>
      <c r="I313">
        <v>0</v>
      </c>
    </row>
    <row r="314" spans="1:9" x14ac:dyDescent="0.25">
      <c r="A314" t="s">
        <v>215</v>
      </c>
      <c r="B314" t="s">
        <v>216</v>
      </c>
      <c r="C314" t="s">
        <v>5510</v>
      </c>
      <c r="D314">
        <v>636855</v>
      </c>
      <c r="E314">
        <v>11495</v>
      </c>
      <c r="F314">
        <v>648350</v>
      </c>
      <c r="G314">
        <v>648.35</v>
      </c>
      <c r="H314">
        <v>0</v>
      </c>
      <c r="I314">
        <v>0</v>
      </c>
    </row>
    <row r="315" spans="1:9" x14ac:dyDescent="0.25">
      <c r="A315" t="s">
        <v>230</v>
      </c>
      <c r="B315" t="s">
        <v>231</v>
      </c>
      <c r="C315" t="s">
        <v>229</v>
      </c>
      <c r="D315">
        <v>4181050</v>
      </c>
      <c r="E315">
        <v>73312</v>
      </c>
      <c r="F315">
        <v>4254362</v>
      </c>
      <c r="G315">
        <v>4254.3620000000001</v>
      </c>
      <c r="H315">
        <v>36183</v>
      </c>
      <c r="I315">
        <v>36.183</v>
      </c>
    </row>
    <row r="316" spans="1:9" x14ac:dyDescent="0.25">
      <c r="A316" t="s">
        <v>237</v>
      </c>
      <c r="B316" t="s">
        <v>238</v>
      </c>
      <c r="C316" t="s">
        <v>5511</v>
      </c>
      <c r="D316">
        <v>636985</v>
      </c>
      <c r="E316">
        <v>10648</v>
      </c>
      <c r="F316">
        <v>647633</v>
      </c>
      <c r="G316">
        <v>647.63300000000004</v>
      </c>
      <c r="H316">
        <v>13901</v>
      </c>
      <c r="I316">
        <v>13.901</v>
      </c>
    </row>
    <row r="317" spans="1:9" x14ac:dyDescent="0.25">
      <c r="A317" t="s">
        <v>273</v>
      </c>
      <c r="B317" t="s">
        <v>274</v>
      </c>
      <c r="C317" t="s">
        <v>5512</v>
      </c>
      <c r="D317">
        <v>845204</v>
      </c>
      <c r="E317">
        <v>15764</v>
      </c>
      <c r="F317">
        <v>860968</v>
      </c>
      <c r="G317">
        <v>860.96799999999996</v>
      </c>
      <c r="H317">
        <v>0</v>
      </c>
      <c r="I317">
        <v>0</v>
      </c>
    </row>
    <row r="318" spans="1:9" x14ac:dyDescent="0.25">
      <c r="A318" t="s">
        <v>297</v>
      </c>
      <c r="B318" t="s">
        <v>298</v>
      </c>
      <c r="C318" t="s">
        <v>5513</v>
      </c>
      <c r="D318">
        <v>271173</v>
      </c>
      <c r="E318">
        <v>3626</v>
      </c>
      <c r="F318">
        <v>274799</v>
      </c>
      <c r="G318">
        <v>274.79899999999998</v>
      </c>
      <c r="H318">
        <v>95095</v>
      </c>
      <c r="I318">
        <v>95.094999999999999</v>
      </c>
    </row>
    <row r="319" spans="1:9" x14ac:dyDescent="0.25">
      <c r="A319" t="s">
        <v>327</v>
      </c>
      <c r="B319" t="s">
        <v>328</v>
      </c>
      <c r="C319" t="s">
        <v>326</v>
      </c>
      <c r="D319">
        <v>4645203</v>
      </c>
      <c r="E319">
        <v>26962</v>
      </c>
      <c r="F319">
        <v>4672165</v>
      </c>
      <c r="G319">
        <v>4672.165</v>
      </c>
      <c r="H319">
        <v>0</v>
      </c>
      <c r="I319">
        <v>0</v>
      </c>
    </row>
    <row r="320" spans="1:9" x14ac:dyDescent="0.25">
      <c r="A320" t="s">
        <v>349</v>
      </c>
      <c r="B320" t="s">
        <v>350</v>
      </c>
      <c r="C320" t="s">
        <v>348</v>
      </c>
      <c r="D320">
        <v>3079651</v>
      </c>
      <c r="E320">
        <v>44998</v>
      </c>
      <c r="F320">
        <v>3124649</v>
      </c>
      <c r="G320">
        <v>3124.6489999999999</v>
      </c>
      <c r="H320">
        <v>358783</v>
      </c>
      <c r="I320">
        <v>358.78300000000002</v>
      </c>
    </row>
    <row r="321" spans="1:9" x14ac:dyDescent="0.25">
      <c r="A321" t="s">
        <v>352</v>
      </c>
      <c r="B321" t="s">
        <v>353</v>
      </c>
      <c r="C321" t="s">
        <v>5514</v>
      </c>
      <c r="D321">
        <v>503322</v>
      </c>
      <c r="E321">
        <v>7801</v>
      </c>
      <c r="F321">
        <v>511123</v>
      </c>
      <c r="G321">
        <v>511.12299999999999</v>
      </c>
      <c r="H321">
        <v>46657</v>
      </c>
      <c r="I321">
        <v>46.656999999999996</v>
      </c>
    </row>
    <row r="322" spans="1:9" x14ac:dyDescent="0.25">
      <c r="A322" t="s">
        <v>361</v>
      </c>
      <c r="B322" t="s">
        <v>362</v>
      </c>
      <c r="C322" t="s">
        <v>360</v>
      </c>
      <c r="D322">
        <v>6060224</v>
      </c>
      <c r="E322">
        <v>48569</v>
      </c>
      <c r="F322">
        <v>6108793</v>
      </c>
      <c r="G322">
        <v>6108.7929999999997</v>
      </c>
      <c r="H322">
        <v>696389</v>
      </c>
      <c r="I322">
        <v>696.38900000000001</v>
      </c>
    </row>
    <row r="323" spans="1:9" x14ac:dyDescent="0.25">
      <c r="A323" t="s">
        <v>367</v>
      </c>
      <c r="B323" t="s">
        <v>368</v>
      </c>
      <c r="C323" t="s">
        <v>5515</v>
      </c>
      <c r="D323">
        <v>1395230</v>
      </c>
      <c r="E323">
        <v>12714</v>
      </c>
      <c r="F323">
        <v>1407944</v>
      </c>
      <c r="G323">
        <v>1407.944</v>
      </c>
      <c r="H323">
        <v>130306</v>
      </c>
      <c r="I323">
        <v>130.30600000000001</v>
      </c>
    </row>
    <row r="324" spans="1:9" x14ac:dyDescent="0.25">
      <c r="A324" t="s">
        <v>376</v>
      </c>
      <c r="B324" t="s">
        <v>377</v>
      </c>
      <c r="C324" t="s">
        <v>5516</v>
      </c>
      <c r="D324">
        <v>1152552</v>
      </c>
      <c r="E324">
        <v>11034</v>
      </c>
      <c r="F324">
        <v>1163586</v>
      </c>
      <c r="G324">
        <v>1163.586</v>
      </c>
      <c r="H324">
        <v>12227</v>
      </c>
      <c r="I324">
        <v>12.227</v>
      </c>
    </row>
    <row r="325" spans="1:9" x14ac:dyDescent="0.25">
      <c r="A325" t="s">
        <v>391</v>
      </c>
      <c r="B325" t="s">
        <v>392</v>
      </c>
      <c r="C325" t="s">
        <v>5517</v>
      </c>
      <c r="D325">
        <v>256260</v>
      </c>
      <c r="E325">
        <v>3124</v>
      </c>
      <c r="F325">
        <v>259384</v>
      </c>
      <c r="G325">
        <v>259.38400000000001</v>
      </c>
      <c r="H325">
        <v>19750</v>
      </c>
      <c r="I325">
        <v>19.75</v>
      </c>
    </row>
    <row r="326" spans="1:9" x14ac:dyDescent="0.25">
      <c r="A326" t="s">
        <v>427</v>
      </c>
      <c r="B326" t="s">
        <v>428</v>
      </c>
      <c r="C326" t="s">
        <v>426</v>
      </c>
      <c r="D326">
        <v>2756323</v>
      </c>
      <c r="E326">
        <v>46598</v>
      </c>
      <c r="F326">
        <v>2802921</v>
      </c>
      <c r="G326">
        <v>2802.9209999999998</v>
      </c>
      <c r="H326">
        <v>401157</v>
      </c>
      <c r="I326">
        <v>401.15699999999998</v>
      </c>
    </row>
    <row r="327" spans="1:9" x14ac:dyDescent="0.25">
      <c r="A327" t="s">
        <v>430</v>
      </c>
      <c r="B327" t="s">
        <v>431</v>
      </c>
      <c r="C327" t="s">
        <v>5518</v>
      </c>
      <c r="D327">
        <v>713519</v>
      </c>
      <c r="E327">
        <v>13225</v>
      </c>
      <c r="F327">
        <v>726744</v>
      </c>
      <c r="G327">
        <v>726.74400000000003</v>
      </c>
      <c r="H327">
        <v>44572</v>
      </c>
      <c r="I327">
        <v>44.572000000000003</v>
      </c>
    </row>
    <row r="328" spans="1:9" x14ac:dyDescent="0.25">
      <c r="A328" t="s">
        <v>457</v>
      </c>
      <c r="B328" t="s">
        <v>458</v>
      </c>
      <c r="C328" t="s">
        <v>456</v>
      </c>
      <c r="D328">
        <v>9182776</v>
      </c>
      <c r="E328">
        <v>144672</v>
      </c>
      <c r="F328">
        <v>9327448</v>
      </c>
      <c r="G328">
        <v>9327.4480000000003</v>
      </c>
      <c r="H328">
        <v>627924</v>
      </c>
      <c r="I328">
        <v>627.92399999999998</v>
      </c>
    </row>
    <row r="329" spans="1:9" x14ac:dyDescent="0.25">
      <c r="A329" t="s">
        <v>460</v>
      </c>
      <c r="B329" t="s">
        <v>461</v>
      </c>
      <c r="C329" t="s">
        <v>5519</v>
      </c>
      <c r="D329">
        <v>1364187</v>
      </c>
      <c r="E329">
        <v>17877</v>
      </c>
      <c r="F329">
        <v>1382064</v>
      </c>
      <c r="G329">
        <v>1382.0640000000001</v>
      </c>
      <c r="H329">
        <v>94755</v>
      </c>
      <c r="I329">
        <v>94.754999999999995</v>
      </c>
    </row>
    <row r="330" spans="1:9" x14ac:dyDescent="0.25">
      <c r="A330" t="s">
        <v>496</v>
      </c>
      <c r="B330" t="s">
        <v>497</v>
      </c>
      <c r="C330" t="s">
        <v>495</v>
      </c>
      <c r="D330">
        <v>4598800</v>
      </c>
      <c r="E330">
        <v>46732</v>
      </c>
      <c r="F330">
        <v>4645532</v>
      </c>
      <c r="G330">
        <v>4645.5320000000002</v>
      </c>
      <c r="H330">
        <v>21386</v>
      </c>
      <c r="I330">
        <v>21.385999999999999</v>
      </c>
    </row>
    <row r="331" spans="1:9" x14ac:dyDescent="0.25">
      <c r="A331" t="s">
        <v>511</v>
      </c>
      <c r="B331" t="s">
        <v>512</v>
      </c>
      <c r="C331" t="s">
        <v>510</v>
      </c>
      <c r="D331">
        <v>662198942</v>
      </c>
      <c r="E331">
        <v>6799567</v>
      </c>
      <c r="F331">
        <v>668998509</v>
      </c>
      <c r="G331">
        <v>668998.50899999996</v>
      </c>
      <c r="H331">
        <v>2022312</v>
      </c>
      <c r="I331">
        <v>2022.3119999999999</v>
      </c>
    </row>
    <row r="332" spans="1:9" x14ac:dyDescent="0.25">
      <c r="A332" t="s">
        <v>514</v>
      </c>
      <c r="B332" t="s">
        <v>515</v>
      </c>
      <c r="C332" t="s">
        <v>5520</v>
      </c>
      <c r="D332">
        <v>2175338</v>
      </c>
      <c r="E332">
        <v>36116</v>
      </c>
      <c r="F332">
        <v>2211454</v>
      </c>
      <c r="G332">
        <v>2211.4540000000002</v>
      </c>
      <c r="H332">
        <v>12072</v>
      </c>
      <c r="I332">
        <v>12.071999999999999</v>
      </c>
    </row>
    <row r="333" spans="1:9" x14ac:dyDescent="0.25">
      <c r="A333" t="s">
        <v>539</v>
      </c>
      <c r="B333" t="s">
        <v>540</v>
      </c>
      <c r="C333" t="s">
        <v>538</v>
      </c>
      <c r="D333">
        <v>8895154</v>
      </c>
      <c r="E333">
        <v>158643</v>
      </c>
      <c r="F333">
        <v>9053797</v>
      </c>
      <c r="G333">
        <v>9053.7970000000005</v>
      </c>
      <c r="H333">
        <v>700920</v>
      </c>
      <c r="I333">
        <v>700.92</v>
      </c>
    </row>
    <row r="334" spans="1:9" x14ac:dyDescent="0.25">
      <c r="A334" t="s">
        <v>542</v>
      </c>
      <c r="B334" t="s">
        <v>543</v>
      </c>
      <c r="C334" t="s">
        <v>541</v>
      </c>
      <c r="D334">
        <v>1552677</v>
      </c>
      <c r="E334">
        <v>23072</v>
      </c>
      <c r="F334">
        <v>1575749</v>
      </c>
      <c r="G334">
        <v>1575.749</v>
      </c>
      <c r="H334">
        <v>96776</v>
      </c>
      <c r="I334">
        <v>96.775999999999996</v>
      </c>
    </row>
    <row r="335" spans="1:9" x14ac:dyDescent="0.25">
      <c r="A335" t="s">
        <v>578</v>
      </c>
      <c r="B335" t="s">
        <v>579</v>
      </c>
      <c r="C335" t="s">
        <v>5521</v>
      </c>
      <c r="D335">
        <v>502801</v>
      </c>
      <c r="E335">
        <v>5028</v>
      </c>
      <c r="F335">
        <v>507829</v>
      </c>
      <c r="G335">
        <v>507.82900000000001</v>
      </c>
      <c r="H335">
        <v>39837</v>
      </c>
      <c r="I335">
        <v>39.837000000000003</v>
      </c>
    </row>
    <row r="336" spans="1:9" x14ac:dyDescent="0.25">
      <c r="A336" t="s">
        <v>584</v>
      </c>
      <c r="B336" t="s">
        <v>585</v>
      </c>
      <c r="C336" t="s">
        <v>583</v>
      </c>
      <c r="D336">
        <v>9084967</v>
      </c>
      <c r="E336">
        <v>174294</v>
      </c>
      <c r="F336">
        <v>9259261</v>
      </c>
      <c r="G336">
        <v>9259.2610000000004</v>
      </c>
      <c r="H336">
        <v>403471</v>
      </c>
      <c r="I336">
        <v>403.471</v>
      </c>
    </row>
    <row r="337" spans="1:9" x14ac:dyDescent="0.25">
      <c r="A337" t="s">
        <v>608</v>
      </c>
      <c r="B337" t="s">
        <v>609</v>
      </c>
      <c r="C337" t="s">
        <v>5522</v>
      </c>
      <c r="D337">
        <v>500626</v>
      </c>
      <c r="E337">
        <v>5542</v>
      </c>
      <c r="F337">
        <v>506168</v>
      </c>
      <c r="G337">
        <v>506.16800000000001</v>
      </c>
      <c r="H337">
        <v>60314</v>
      </c>
      <c r="I337">
        <v>60.314</v>
      </c>
    </row>
    <row r="338" spans="1:9" x14ac:dyDescent="0.25">
      <c r="A338" t="s">
        <v>635</v>
      </c>
      <c r="B338" t="s">
        <v>636</v>
      </c>
      <c r="C338" t="s">
        <v>634</v>
      </c>
      <c r="D338">
        <v>11243863</v>
      </c>
      <c r="E338">
        <v>113851</v>
      </c>
      <c r="F338">
        <v>11357714</v>
      </c>
      <c r="G338">
        <v>11357.714</v>
      </c>
      <c r="H338">
        <v>1479125</v>
      </c>
      <c r="I338">
        <v>1479.125</v>
      </c>
    </row>
    <row r="339" spans="1:9" x14ac:dyDescent="0.25">
      <c r="A339" t="s">
        <v>638</v>
      </c>
      <c r="B339" t="s">
        <v>639</v>
      </c>
      <c r="C339" t="s">
        <v>5523</v>
      </c>
      <c r="D339">
        <v>1393283</v>
      </c>
      <c r="E339">
        <v>14560</v>
      </c>
      <c r="F339">
        <v>1407843</v>
      </c>
      <c r="G339">
        <v>1407.8430000000001</v>
      </c>
      <c r="H339">
        <v>215825</v>
      </c>
      <c r="I339">
        <v>215.82499999999999</v>
      </c>
    </row>
    <row r="340" spans="1:9" x14ac:dyDescent="0.25">
      <c r="A340" t="s">
        <v>666</v>
      </c>
      <c r="B340" t="s">
        <v>667</v>
      </c>
      <c r="C340" t="s">
        <v>665</v>
      </c>
      <c r="D340">
        <v>6025690</v>
      </c>
      <c r="E340">
        <v>116160</v>
      </c>
      <c r="F340">
        <v>6141850</v>
      </c>
      <c r="G340">
        <v>6141.85</v>
      </c>
      <c r="H340">
        <v>593337</v>
      </c>
      <c r="I340">
        <v>593.33699999999999</v>
      </c>
    </row>
    <row r="341" spans="1:9" x14ac:dyDescent="0.25">
      <c r="A341" t="s">
        <v>669</v>
      </c>
      <c r="B341" t="s">
        <v>670</v>
      </c>
      <c r="C341" t="s">
        <v>5524</v>
      </c>
      <c r="D341">
        <v>897304</v>
      </c>
      <c r="E341">
        <v>14587</v>
      </c>
      <c r="F341">
        <v>911891</v>
      </c>
      <c r="G341">
        <v>911.89099999999996</v>
      </c>
      <c r="H341">
        <v>84472</v>
      </c>
      <c r="I341">
        <v>84.471999999999994</v>
      </c>
    </row>
    <row r="342" spans="1:9" x14ac:dyDescent="0.25">
      <c r="A342" t="s">
        <v>686</v>
      </c>
      <c r="B342" t="s">
        <v>687</v>
      </c>
      <c r="C342" t="s">
        <v>685</v>
      </c>
      <c r="D342">
        <v>2864363</v>
      </c>
      <c r="E342">
        <v>56117</v>
      </c>
      <c r="F342">
        <v>2920480</v>
      </c>
      <c r="G342">
        <v>2920.48</v>
      </c>
      <c r="H342">
        <v>0</v>
      </c>
      <c r="I342">
        <v>0</v>
      </c>
    </row>
    <row r="343" spans="1:9" x14ac:dyDescent="0.25">
      <c r="A343" t="s">
        <v>689</v>
      </c>
      <c r="B343" t="s">
        <v>690</v>
      </c>
      <c r="C343" t="s">
        <v>5525</v>
      </c>
      <c r="D343">
        <v>550801</v>
      </c>
      <c r="E343">
        <v>9075</v>
      </c>
      <c r="F343">
        <v>559876</v>
      </c>
      <c r="G343">
        <v>559.87599999999998</v>
      </c>
      <c r="H343">
        <v>0</v>
      </c>
      <c r="I343">
        <v>0</v>
      </c>
    </row>
    <row r="344" spans="1:9" x14ac:dyDescent="0.25">
      <c r="A344" t="s">
        <v>707</v>
      </c>
      <c r="B344" t="s">
        <v>708</v>
      </c>
      <c r="C344" t="s">
        <v>706</v>
      </c>
      <c r="D344">
        <v>4401558</v>
      </c>
      <c r="E344">
        <v>73228</v>
      </c>
      <c r="F344">
        <v>4474786</v>
      </c>
      <c r="G344">
        <v>4474.7860000000001</v>
      </c>
      <c r="H344">
        <v>0</v>
      </c>
      <c r="I344">
        <v>0</v>
      </c>
    </row>
    <row r="345" spans="1:9" x14ac:dyDescent="0.25">
      <c r="A345" t="s">
        <v>746</v>
      </c>
      <c r="B345" t="s">
        <v>747</v>
      </c>
      <c r="C345" t="s">
        <v>5526</v>
      </c>
      <c r="D345">
        <v>938974</v>
      </c>
      <c r="E345">
        <v>14339</v>
      </c>
      <c r="F345">
        <v>953313</v>
      </c>
      <c r="G345">
        <v>953.31299999999999</v>
      </c>
      <c r="H345">
        <v>0</v>
      </c>
      <c r="I345">
        <v>0</v>
      </c>
    </row>
    <row r="346" spans="1:9" x14ac:dyDescent="0.25">
      <c r="A346" t="s">
        <v>794</v>
      </c>
      <c r="B346" t="s">
        <v>795</v>
      </c>
      <c r="C346" t="s">
        <v>793</v>
      </c>
      <c r="D346">
        <v>6745523</v>
      </c>
      <c r="E346">
        <v>45319</v>
      </c>
      <c r="F346">
        <v>6790842</v>
      </c>
      <c r="G346">
        <v>6790.8419999999996</v>
      </c>
      <c r="H346">
        <v>1112268</v>
      </c>
      <c r="I346">
        <v>1112.268</v>
      </c>
    </row>
    <row r="347" spans="1:9" x14ac:dyDescent="0.25">
      <c r="A347" t="s">
        <v>848</v>
      </c>
      <c r="B347" t="s">
        <v>849</v>
      </c>
      <c r="C347" t="s">
        <v>847</v>
      </c>
      <c r="D347">
        <v>4729380</v>
      </c>
      <c r="E347">
        <v>62624</v>
      </c>
      <c r="F347">
        <v>4792004</v>
      </c>
      <c r="G347">
        <v>4792.0039999999999</v>
      </c>
      <c r="H347">
        <v>770672</v>
      </c>
      <c r="I347">
        <v>770.67200000000003</v>
      </c>
    </row>
    <row r="348" spans="1:9" x14ac:dyDescent="0.25">
      <c r="A348" t="s">
        <v>851</v>
      </c>
      <c r="B348" t="s">
        <v>852</v>
      </c>
      <c r="C348" t="s">
        <v>5527</v>
      </c>
      <c r="D348">
        <v>823924</v>
      </c>
      <c r="E348">
        <v>9754</v>
      </c>
      <c r="F348">
        <v>833678</v>
      </c>
      <c r="G348">
        <v>833.678</v>
      </c>
      <c r="H348">
        <v>85631</v>
      </c>
      <c r="I348">
        <v>85.631</v>
      </c>
    </row>
    <row r="349" spans="1:9" x14ac:dyDescent="0.25">
      <c r="A349" t="s">
        <v>859</v>
      </c>
      <c r="B349" t="s">
        <v>860</v>
      </c>
      <c r="C349" t="s">
        <v>5528</v>
      </c>
      <c r="D349">
        <v>373205</v>
      </c>
      <c r="E349">
        <v>7239</v>
      </c>
      <c r="F349">
        <v>380444</v>
      </c>
      <c r="G349">
        <v>380.44400000000002</v>
      </c>
      <c r="H349">
        <v>84933</v>
      </c>
      <c r="I349">
        <v>84.933000000000007</v>
      </c>
    </row>
    <row r="350" spans="1:9" x14ac:dyDescent="0.25">
      <c r="A350" t="s">
        <v>877</v>
      </c>
      <c r="B350" t="s">
        <v>878</v>
      </c>
      <c r="C350" t="s">
        <v>876</v>
      </c>
      <c r="D350">
        <v>3714994</v>
      </c>
      <c r="E350">
        <v>78429</v>
      </c>
      <c r="F350">
        <v>3793423</v>
      </c>
      <c r="G350">
        <v>3793.4229999999998</v>
      </c>
      <c r="H350">
        <v>158075</v>
      </c>
      <c r="I350">
        <v>158.07499999999999</v>
      </c>
    </row>
    <row r="351" spans="1:9" x14ac:dyDescent="0.25">
      <c r="A351" t="s">
        <v>880</v>
      </c>
      <c r="B351" t="s">
        <v>881</v>
      </c>
      <c r="C351" t="s">
        <v>5529</v>
      </c>
      <c r="D351">
        <v>713349</v>
      </c>
      <c r="E351">
        <v>11560</v>
      </c>
      <c r="F351">
        <v>724909</v>
      </c>
      <c r="G351">
        <v>724.90899999999999</v>
      </c>
      <c r="H351">
        <v>110375</v>
      </c>
      <c r="I351">
        <v>110.375</v>
      </c>
    </row>
    <row r="352" spans="1:9" x14ac:dyDescent="0.25">
      <c r="A352" t="s">
        <v>898</v>
      </c>
      <c r="B352" t="s">
        <v>899</v>
      </c>
      <c r="C352" t="s">
        <v>897</v>
      </c>
      <c r="D352">
        <v>8387773</v>
      </c>
      <c r="E352">
        <v>66372</v>
      </c>
      <c r="F352">
        <v>8454145</v>
      </c>
      <c r="G352">
        <v>8454.1450000000004</v>
      </c>
      <c r="H352">
        <v>0</v>
      </c>
      <c r="I352">
        <v>0</v>
      </c>
    </row>
    <row r="353" spans="1:9" x14ac:dyDescent="0.25">
      <c r="A353" t="s">
        <v>1003</v>
      </c>
      <c r="B353" t="s">
        <v>1004</v>
      </c>
      <c r="C353" t="s">
        <v>5530</v>
      </c>
      <c r="D353">
        <v>316072</v>
      </c>
      <c r="E353">
        <v>4252</v>
      </c>
      <c r="F353">
        <v>320324</v>
      </c>
      <c r="G353">
        <v>320.32400000000001</v>
      </c>
      <c r="H353">
        <v>97958</v>
      </c>
      <c r="I353">
        <v>97.957999999999998</v>
      </c>
    </row>
    <row r="354" spans="1:9" x14ac:dyDescent="0.25">
      <c r="A354" t="s">
        <v>1012</v>
      </c>
      <c r="B354" t="s">
        <v>1013</v>
      </c>
      <c r="C354" t="s">
        <v>1011</v>
      </c>
      <c r="D354">
        <v>3633739</v>
      </c>
      <c r="E354">
        <v>36550</v>
      </c>
      <c r="F354">
        <v>3670289</v>
      </c>
      <c r="G354">
        <v>3670.2890000000002</v>
      </c>
      <c r="H354">
        <v>0</v>
      </c>
      <c r="I354">
        <v>0</v>
      </c>
    </row>
    <row r="355" spans="1:9" x14ac:dyDescent="0.25">
      <c r="A355" t="s">
        <v>1061</v>
      </c>
      <c r="B355" t="s">
        <v>1062</v>
      </c>
      <c r="C355" t="s">
        <v>5531</v>
      </c>
      <c r="D355">
        <v>723034</v>
      </c>
      <c r="E355">
        <v>10260</v>
      </c>
      <c r="F355">
        <v>733294</v>
      </c>
      <c r="G355">
        <v>733.29399999999998</v>
      </c>
      <c r="H355">
        <v>83155</v>
      </c>
      <c r="I355">
        <v>83.155000000000001</v>
      </c>
    </row>
    <row r="356" spans="1:9" x14ac:dyDescent="0.25">
      <c r="A356" t="s">
        <v>1091</v>
      </c>
      <c r="B356" t="s">
        <v>1092</v>
      </c>
      <c r="C356" t="s">
        <v>1090</v>
      </c>
      <c r="D356">
        <v>4267656</v>
      </c>
      <c r="E356">
        <v>78797</v>
      </c>
      <c r="F356">
        <v>4346453</v>
      </c>
      <c r="G356">
        <v>4346.4530000000004</v>
      </c>
      <c r="H356">
        <v>0</v>
      </c>
      <c r="I356">
        <v>0</v>
      </c>
    </row>
    <row r="357" spans="1:9" x14ac:dyDescent="0.25">
      <c r="A357" t="s">
        <v>1094</v>
      </c>
      <c r="B357" t="s">
        <v>1095</v>
      </c>
      <c r="C357" t="s">
        <v>5532</v>
      </c>
      <c r="D357">
        <v>656264</v>
      </c>
      <c r="E357">
        <v>10386</v>
      </c>
      <c r="F357">
        <v>666650</v>
      </c>
      <c r="G357">
        <v>666.65</v>
      </c>
      <c r="H357">
        <v>0</v>
      </c>
      <c r="I357">
        <v>0</v>
      </c>
    </row>
    <row r="358" spans="1:9" x14ac:dyDescent="0.25">
      <c r="A358" t="s">
        <v>1121</v>
      </c>
      <c r="B358" t="s">
        <v>1122</v>
      </c>
      <c r="C358" t="s">
        <v>1120</v>
      </c>
      <c r="D358">
        <v>5143914</v>
      </c>
      <c r="E358">
        <v>69560</v>
      </c>
      <c r="F358">
        <v>5213474</v>
      </c>
      <c r="G358">
        <v>5213.4740000000002</v>
      </c>
      <c r="H358">
        <v>146126</v>
      </c>
      <c r="I358">
        <v>146.126</v>
      </c>
    </row>
    <row r="359" spans="1:9" x14ac:dyDescent="0.25">
      <c r="A359" t="s">
        <v>1130</v>
      </c>
      <c r="B359" t="s">
        <v>1131</v>
      </c>
      <c r="C359" t="s">
        <v>1129</v>
      </c>
      <c r="D359">
        <v>10428377</v>
      </c>
      <c r="E359">
        <v>269471</v>
      </c>
      <c r="F359">
        <v>10697848</v>
      </c>
      <c r="G359">
        <v>10697.848</v>
      </c>
      <c r="H359">
        <v>128173</v>
      </c>
      <c r="I359">
        <v>128.173</v>
      </c>
    </row>
    <row r="360" spans="1:9" x14ac:dyDescent="0.25">
      <c r="A360" t="s">
        <v>1212</v>
      </c>
      <c r="B360" t="s">
        <v>1213</v>
      </c>
      <c r="C360" t="s">
        <v>5533</v>
      </c>
      <c r="D360">
        <v>924445</v>
      </c>
      <c r="E360">
        <v>6383</v>
      </c>
      <c r="F360">
        <v>930828</v>
      </c>
      <c r="G360">
        <v>930.82799999999997</v>
      </c>
      <c r="H360">
        <v>0</v>
      </c>
      <c r="I360">
        <v>0</v>
      </c>
    </row>
    <row r="361" spans="1:9" x14ac:dyDescent="0.25">
      <c r="A361" t="s">
        <v>1239</v>
      </c>
      <c r="B361" t="s">
        <v>1240</v>
      </c>
      <c r="C361" t="s">
        <v>1238</v>
      </c>
      <c r="D361">
        <v>4245786</v>
      </c>
      <c r="E361">
        <v>86479</v>
      </c>
      <c r="F361">
        <v>4332265</v>
      </c>
      <c r="G361">
        <v>4332.2650000000003</v>
      </c>
      <c r="H361">
        <v>259798</v>
      </c>
      <c r="I361">
        <v>259.798</v>
      </c>
    </row>
    <row r="362" spans="1:9" x14ac:dyDescent="0.25">
      <c r="A362" t="s">
        <v>1278</v>
      </c>
      <c r="B362" t="s">
        <v>1279</v>
      </c>
      <c r="C362" t="s">
        <v>5534</v>
      </c>
      <c r="D362">
        <v>1801974</v>
      </c>
      <c r="E362">
        <v>27915</v>
      </c>
      <c r="F362">
        <v>1829889</v>
      </c>
      <c r="G362">
        <v>1829.8889999999999</v>
      </c>
      <c r="H362">
        <v>177278</v>
      </c>
      <c r="I362">
        <v>177.27799999999999</v>
      </c>
    </row>
    <row r="363" spans="1:9" x14ac:dyDescent="0.25">
      <c r="A363" t="s">
        <v>1287</v>
      </c>
      <c r="B363" t="s">
        <v>1288</v>
      </c>
      <c r="C363" t="s">
        <v>5535</v>
      </c>
      <c r="D363">
        <v>3527889</v>
      </c>
      <c r="E363">
        <v>47793</v>
      </c>
      <c r="F363">
        <v>3575682</v>
      </c>
      <c r="G363">
        <v>3575.6819999999998</v>
      </c>
      <c r="H363">
        <v>0</v>
      </c>
      <c r="I363">
        <v>0</v>
      </c>
    </row>
    <row r="364" spans="1:9" x14ac:dyDescent="0.25">
      <c r="A364" t="s">
        <v>1296</v>
      </c>
      <c r="B364" t="s">
        <v>1297</v>
      </c>
      <c r="C364" t="s">
        <v>1295</v>
      </c>
      <c r="D364">
        <v>6511175</v>
      </c>
      <c r="E364">
        <v>115544</v>
      </c>
      <c r="F364">
        <v>6626719</v>
      </c>
      <c r="G364">
        <v>6626.7190000000001</v>
      </c>
      <c r="H364">
        <v>38194</v>
      </c>
      <c r="I364">
        <v>38.194000000000003</v>
      </c>
    </row>
    <row r="365" spans="1:9" x14ac:dyDescent="0.25">
      <c r="A365" t="s">
        <v>1302</v>
      </c>
      <c r="B365" t="s">
        <v>1303</v>
      </c>
      <c r="C365" t="s">
        <v>5536</v>
      </c>
      <c r="D365">
        <v>1412834</v>
      </c>
      <c r="E365">
        <v>30083</v>
      </c>
      <c r="F365">
        <v>1442917</v>
      </c>
      <c r="G365">
        <v>1442.9169999999999</v>
      </c>
      <c r="H365">
        <v>20281</v>
      </c>
      <c r="I365">
        <v>20.280999999999999</v>
      </c>
    </row>
    <row r="366" spans="1:9" x14ac:dyDescent="0.25">
      <c r="A366" t="s">
        <v>1344</v>
      </c>
      <c r="B366" t="s">
        <v>1345</v>
      </c>
      <c r="C366" t="s">
        <v>1343</v>
      </c>
      <c r="D366">
        <v>3378222</v>
      </c>
      <c r="E366">
        <v>41714</v>
      </c>
      <c r="F366">
        <v>3419936</v>
      </c>
      <c r="G366">
        <v>3419.9360000000001</v>
      </c>
      <c r="H366">
        <v>96316</v>
      </c>
      <c r="I366">
        <v>96.316000000000003</v>
      </c>
    </row>
    <row r="367" spans="1:9" x14ac:dyDescent="0.25">
      <c r="A367" t="s">
        <v>86</v>
      </c>
      <c r="B367" t="s">
        <v>87</v>
      </c>
      <c r="C367" t="s">
        <v>85</v>
      </c>
      <c r="D367">
        <v>0</v>
      </c>
      <c r="E367">
        <v>0</v>
      </c>
      <c r="F367">
        <v>0</v>
      </c>
      <c r="G367">
        <v>0</v>
      </c>
      <c r="H367">
        <v>0</v>
      </c>
      <c r="I367">
        <v>0</v>
      </c>
    </row>
    <row r="368" spans="1:9" x14ac:dyDescent="0.25">
      <c r="A368" t="s">
        <v>137</v>
      </c>
      <c r="B368" t="s">
        <v>138</v>
      </c>
      <c r="C368" t="s">
        <v>136</v>
      </c>
      <c r="D368">
        <v>0</v>
      </c>
      <c r="E368">
        <v>0</v>
      </c>
      <c r="F368">
        <v>0</v>
      </c>
      <c r="G368">
        <v>0</v>
      </c>
      <c r="H368">
        <v>0</v>
      </c>
      <c r="I368">
        <v>0</v>
      </c>
    </row>
    <row r="369" spans="1:9" x14ac:dyDescent="0.25">
      <c r="A369" t="s">
        <v>233</v>
      </c>
      <c r="B369" t="s">
        <v>234</v>
      </c>
      <c r="C369" t="s">
        <v>232</v>
      </c>
      <c r="D369">
        <v>0</v>
      </c>
      <c r="E369">
        <v>0</v>
      </c>
      <c r="F369">
        <v>0</v>
      </c>
      <c r="G369">
        <v>0</v>
      </c>
      <c r="H369">
        <v>0</v>
      </c>
      <c r="I369">
        <v>0</v>
      </c>
    </row>
    <row r="370" spans="1:9" x14ac:dyDescent="0.25">
      <c r="A370" t="s">
        <v>240</v>
      </c>
      <c r="B370" t="s">
        <v>241</v>
      </c>
      <c r="C370" t="s">
        <v>239</v>
      </c>
      <c r="D370">
        <v>0</v>
      </c>
      <c r="E370">
        <v>0</v>
      </c>
      <c r="F370">
        <v>0</v>
      </c>
      <c r="G370">
        <v>0</v>
      </c>
      <c r="H370">
        <v>0</v>
      </c>
      <c r="I370">
        <v>0</v>
      </c>
    </row>
    <row r="371" spans="1:9" x14ac:dyDescent="0.25">
      <c r="A371" t="s">
        <v>279</v>
      </c>
      <c r="B371" t="s">
        <v>280</v>
      </c>
      <c r="C371" t="s">
        <v>278</v>
      </c>
      <c r="D371">
        <v>0</v>
      </c>
      <c r="E371">
        <v>0</v>
      </c>
      <c r="F371">
        <v>0</v>
      </c>
      <c r="G371">
        <v>0</v>
      </c>
      <c r="H371">
        <v>0</v>
      </c>
      <c r="I371">
        <v>0</v>
      </c>
    </row>
    <row r="372" spans="1:9" x14ac:dyDescent="0.25">
      <c r="A372" t="s">
        <v>300</v>
      </c>
      <c r="B372" t="s">
        <v>301</v>
      </c>
      <c r="C372" t="s">
        <v>299</v>
      </c>
      <c r="D372">
        <v>0</v>
      </c>
      <c r="E372">
        <v>0</v>
      </c>
      <c r="F372">
        <v>0</v>
      </c>
      <c r="G372">
        <v>0</v>
      </c>
      <c r="H372">
        <v>0</v>
      </c>
      <c r="I372">
        <v>0</v>
      </c>
    </row>
    <row r="373" spans="1:9" x14ac:dyDescent="0.25">
      <c r="A373" t="s">
        <v>330</v>
      </c>
      <c r="B373" t="s">
        <v>331</v>
      </c>
      <c r="C373" t="s">
        <v>329</v>
      </c>
      <c r="D373">
        <v>0</v>
      </c>
      <c r="E373">
        <v>0</v>
      </c>
      <c r="F373">
        <v>0</v>
      </c>
      <c r="G373">
        <v>0</v>
      </c>
      <c r="H373">
        <v>0</v>
      </c>
      <c r="I373">
        <v>0</v>
      </c>
    </row>
    <row r="374" spans="1:9" x14ac:dyDescent="0.25">
      <c r="A374" t="s">
        <v>342</v>
      </c>
      <c r="B374" t="s">
        <v>343</v>
      </c>
      <c r="C374" t="s">
        <v>341</v>
      </c>
      <c r="D374">
        <v>0</v>
      </c>
      <c r="E374">
        <v>0</v>
      </c>
      <c r="F374">
        <v>0</v>
      </c>
      <c r="G374">
        <v>0</v>
      </c>
      <c r="H374">
        <v>0</v>
      </c>
      <c r="I374">
        <v>0</v>
      </c>
    </row>
    <row r="375" spans="1:9" x14ac:dyDescent="0.25">
      <c r="A375" t="s">
        <v>358</v>
      </c>
      <c r="B375" t="s">
        <v>359</v>
      </c>
      <c r="C375" t="s">
        <v>357</v>
      </c>
      <c r="D375">
        <v>0</v>
      </c>
      <c r="E375">
        <v>0</v>
      </c>
      <c r="F375">
        <v>0</v>
      </c>
      <c r="G375">
        <v>0</v>
      </c>
      <c r="H375">
        <v>0</v>
      </c>
      <c r="I375">
        <v>0</v>
      </c>
    </row>
    <row r="376" spans="1:9" x14ac:dyDescent="0.25">
      <c r="A376" t="s">
        <v>364</v>
      </c>
      <c r="B376" t="s">
        <v>365</v>
      </c>
      <c r="C376" t="s">
        <v>363</v>
      </c>
      <c r="D376">
        <v>0</v>
      </c>
      <c r="E376">
        <v>0</v>
      </c>
      <c r="F376">
        <v>0</v>
      </c>
      <c r="G376">
        <v>0</v>
      </c>
      <c r="H376">
        <v>0</v>
      </c>
      <c r="I376">
        <v>0</v>
      </c>
    </row>
    <row r="377" spans="1:9" x14ac:dyDescent="0.25">
      <c r="A377" t="s">
        <v>379</v>
      </c>
      <c r="B377" t="s">
        <v>380</v>
      </c>
      <c r="C377" t="s">
        <v>378</v>
      </c>
      <c r="D377">
        <v>0</v>
      </c>
      <c r="E377">
        <v>0</v>
      </c>
      <c r="F377">
        <v>0</v>
      </c>
      <c r="G377">
        <v>0</v>
      </c>
      <c r="H377">
        <v>0</v>
      </c>
      <c r="I377">
        <v>0</v>
      </c>
    </row>
    <row r="378" spans="1:9" x14ac:dyDescent="0.25">
      <c r="A378" t="s">
        <v>394</v>
      </c>
      <c r="B378" t="s">
        <v>395</v>
      </c>
      <c r="C378" t="s">
        <v>393</v>
      </c>
      <c r="D378">
        <v>0</v>
      </c>
      <c r="E378">
        <v>0</v>
      </c>
      <c r="F378">
        <v>0</v>
      </c>
      <c r="G378">
        <v>0</v>
      </c>
      <c r="H378">
        <v>0</v>
      </c>
      <c r="I378">
        <v>0</v>
      </c>
    </row>
    <row r="379" spans="1:9" x14ac:dyDescent="0.25">
      <c r="A379" t="s">
        <v>415</v>
      </c>
      <c r="B379" t="s">
        <v>416</v>
      </c>
      <c r="C379" t="s">
        <v>414</v>
      </c>
      <c r="D379">
        <v>0</v>
      </c>
      <c r="E379">
        <v>0</v>
      </c>
      <c r="F379">
        <v>0</v>
      </c>
      <c r="G379">
        <v>0</v>
      </c>
      <c r="H379">
        <v>0</v>
      </c>
      <c r="I379">
        <v>0</v>
      </c>
    </row>
    <row r="380" spans="1:9" x14ac:dyDescent="0.25">
      <c r="A380" t="s">
        <v>463</v>
      </c>
      <c r="B380" t="s">
        <v>464</v>
      </c>
      <c r="C380" t="s">
        <v>462</v>
      </c>
      <c r="D380">
        <v>0</v>
      </c>
      <c r="E380">
        <v>0</v>
      </c>
      <c r="F380">
        <v>0</v>
      </c>
      <c r="G380">
        <v>0</v>
      </c>
      <c r="H380">
        <v>0</v>
      </c>
      <c r="I380">
        <v>0</v>
      </c>
    </row>
    <row r="381" spans="1:9" x14ac:dyDescent="0.25">
      <c r="A381" t="s">
        <v>469</v>
      </c>
      <c r="B381" t="s">
        <v>470</v>
      </c>
      <c r="C381" t="s">
        <v>468</v>
      </c>
      <c r="D381">
        <v>0</v>
      </c>
      <c r="E381">
        <v>0</v>
      </c>
      <c r="F381">
        <v>0</v>
      </c>
      <c r="G381">
        <v>0</v>
      </c>
      <c r="H381">
        <v>0</v>
      </c>
      <c r="I381">
        <v>0</v>
      </c>
    </row>
    <row r="382" spans="1:9" x14ac:dyDescent="0.25">
      <c r="A382" t="s">
        <v>499</v>
      </c>
      <c r="B382" t="s">
        <v>500</v>
      </c>
      <c r="C382" t="s">
        <v>498</v>
      </c>
      <c r="D382">
        <v>0</v>
      </c>
      <c r="E382">
        <v>0</v>
      </c>
      <c r="F382">
        <v>0</v>
      </c>
      <c r="G382">
        <v>0</v>
      </c>
      <c r="H382">
        <v>0</v>
      </c>
      <c r="I382">
        <v>0</v>
      </c>
    </row>
    <row r="383" spans="1:9" x14ac:dyDescent="0.25">
      <c r="A383" t="s">
        <v>517</v>
      </c>
      <c r="B383" t="s">
        <v>518</v>
      </c>
      <c r="C383" t="s">
        <v>516</v>
      </c>
      <c r="D383">
        <v>0</v>
      </c>
      <c r="E383">
        <v>0</v>
      </c>
      <c r="F383">
        <v>0</v>
      </c>
      <c r="G383">
        <v>0</v>
      </c>
      <c r="H383">
        <v>0</v>
      </c>
      <c r="I383">
        <v>0</v>
      </c>
    </row>
    <row r="384" spans="1:9" x14ac:dyDescent="0.25">
      <c r="A384" t="s">
        <v>545</v>
      </c>
      <c r="B384" t="s">
        <v>546</v>
      </c>
      <c r="C384" t="s">
        <v>544</v>
      </c>
      <c r="D384">
        <v>0</v>
      </c>
      <c r="E384">
        <v>0</v>
      </c>
      <c r="F384">
        <v>0</v>
      </c>
      <c r="G384">
        <v>0</v>
      </c>
      <c r="H384">
        <v>0</v>
      </c>
      <c r="I384">
        <v>0</v>
      </c>
    </row>
    <row r="385" spans="1:9" x14ac:dyDescent="0.25">
      <c r="A385" t="s">
        <v>587</v>
      </c>
      <c r="B385" t="s">
        <v>588</v>
      </c>
      <c r="C385" t="s">
        <v>586</v>
      </c>
      <c r="D385">
        <v>0</v>
      </c>
      <c r="E385">
        <v>0</v>
      </c>
      <c r="F385">
        <v>0</v>
      </c>
      <c r="G385">
        <v>0</v>
      </c>
      <c r="H385">
        <v>0</v>
      </c>
      <c r="I385">
        <v>0</v>
      </c>
    </row>
    <row r="386" spans="1:9" x14ac:dyDescent="0.25">
      <c r="A386" t="s">
        <v>611</v>
      </c>
      <c r="B386" t="s">
        <v>612</v>
      </c>
      <c r="C386" t="s">
        <v>610</v>
      </c>
      <c r="D386">
        <v>0</v>
      </c>
      <c r="E386">
        <v>0</v>
      </c>
      <c r="F386">
        <v>0</v>
      </c>
      <c r="G386">
        <v>0</v>
      </c>
      <c r="H386">
        <v>0</v>
      </c>
      <c r="I386">
        <v>0</v>
      </c>
    </row>
    <row r="387" spans="1:9" x14ac:dyDescent="0.25">
      <c r="A387" t="s">
        <v>641</v>
      </c>
      <c r="B387" t="s">
        <v>642</v>
      </c>
      <c r="C387" t="s">
        <v>640</v>
      </c>
      <c r="D387">
        <v>0</v>
      </c>
      <c r="E387">
        <v>0</v>
      </c>
      <c r="F387">
        <v>0</v>
      </c>
      <c r="G387">
        <v>0</v>
      </c>
      <c r="H387">
        <v>0</v>
      </c>
      <c r="I387">
        <v>0</v>
      </c>
    </row>
    <row r="388" spans="1:9" x14ac:dyDescent="0.25">
      <c r="A388" t="s">
        <v>659</v>
      </c>
      <c r="B388" t="s">
        <v>660</v>
      </c>
      <c r="C388" t="s">
        <v>5432</v>
      </c>
      <c r="D388">
        <v>0</v>
      </c>
      <c r="E388">
        <v>0</v>
      </c>
      <c r="F388">
        <v>0</v>
      </c>
      <c r="G388">
        <v>0</v>
      </c>
      <c r="H388">
        <v>0</v>
      </c>
      <c r="I388">
        <v>0</v>
      </c>
    </row>
    <row r="389" spans="1:9" x14ac:dyDescent="0.25">
      <c r="A389" t="s">
        <v>672</v>
      </c>
      <c r="B389" t="s">
        <v>673</v>
      </c>
      <c r="C389" t="s">
        <v>671</v>
      </c>
      <c r="D389">
        <v>0</v>
      </c>
      <c r="E389">
        <v>0</v>
      </c>
      <c r="F389">
        <v>0</v>
      </c>
      <c r="G389">
        <v>0</v>
      </c>
      <c r="H389">
        <v>0</v>
      </c>
      <c r="I389">
        <v>0</v>
      </c>
    </row>
    <row r="390" spans="1:9" x14ac:dyDescent="0.25">
      <c r="A390" t="s">
        <v>678</v>
      </c>
      <c r="B390" t="s">
        <v>678</v>
      </c>
      <c r="C390" t="s">
        <v>677</v>
      </c>
      <c r="D390">
        <v>0</v>
      </c>
      <c r="E390">
        <v>0</v>
      </c>
      <c r="F390">
        <v>0</v>
      </c>
      <c r="G390">
        <v>0</v>
      </c>
      <c r="H390">
        <v>0</v>
      </c>
      <c r="I390">
        <v>0</v>
      </c>
    </row>
    <row r="391" spans="1:9" x14ac:dyDescent="0.25">
      <c r="A391" t="s">
        <v>692</v>
      </c>
      <c r="B391" t="s">
        <v>693</v>
      </c>
      <c r="C391" t="s">
        <v>691</v>
      </c>
      <c r="D391">
        <v>0</v>
      </c>
      <c r="E391">
        <v>0</v>
      </c>
      <c r="F391">
        <v>0</v>
      </c>
      <c r="G391">
        <v>0</v>
      </c>
      <c r="H391">
        <v>0</v>
      </c>
      <c r="I391">
        <v>0</v>
      </c>
    </row>
    <row r="392" spans="1:9" x14ac:dyDescent="0.25">
      <c r="A392" t="s">
        <v>710</v>
      </c>
      <c r="B392" t="s">
        <v>711</v>
      </c>
      <c r="C392" t="s">
        <v>709</v>
      </c>
      <c r="D392">
        <v>0</v>
      </c>
      <c r="E392">
        <v>0</v>
      </c>
      <c r="F392">
        <v>0</v>
      </c>
      <c r="G392">
        <v>0</v>
      </c>
      <c r="H392">
        <v>0</v>
      </c>
      <c r="I392">
        <v>0</v>
      </c>
    </row>
    <row r="393" spans="1:9" x14ac:dyDescent="0.25">
      <c r="A393" t="s">
        <v>716</v>
      </c>
      <c r="B393" t="s">
        <v>717</v>
      </c>
      <c r="C393" t="s">
        <v>715</v>
      </c>
      <c r="D393">
        <v>0</v>
      </c>
      <c r="E393">
        <v>0</v>
      </c>
      <c r="F393">
        <v>0</v>
      </c>
      <c r="G393">
        <v>0</v>
      </c>
      <c r="H393">
        <v>0</v>
      </c>
      <c r="I393">
        <v>0</v>
      </c>
    </row>
    <row r="394" spans="1:9" x14ac:dyDescent="0.25">
      <c r="A394" t="s">
        <v>749</v>
      </c>
      <c r="B394" t="s">
        <v>750</v>
      </c>
      <c r="C394" t="s">
        <v>748</v>
      </c>
      <c r="D394">
        <v>0</v>
      </c>
      <c r="E394">
        <v>0</v>
      </c>
      <c r="F394">
        <v>0</v>
      </c>
      <c r="G394">
        <v>0</v>
      </c>
      <c r="H394">
        <v>0</v>
      </c>
      <c r="I394">
        <v>0</v>
      </c>
    </row>
    <row r="395" spans="1:9" x14ac:dyDescent="0.25">
      <c r="A395" t="s">
        <v>752</v>
      </c>
      <c r="B395" t="s">
        <v>753</v>
      </c>
      <c r="C395" t="s">
        <v>5437</v>
      </c>
      <c r="D395">
        <v>0</v>
      </c>
      <c r="E395">
        <v>0</v>
      </c>
      <c r="F395">
        <v>0</v>
      </c>
      <c r="G395">
        <v>0</v>
      </c>
      <c r="H395">
        <v>0</v>
      </c>
      <c r="I395">
        <v>0</v>
      </c>
    </row>
    <row r="396" spans="1:9" x14ac:dyDescent="0.25">
      <c r="A396" t="s">
        <v>779</v>
      </c>
      <c r="B396" t="s">
        <v>780</v>
      </c>
      <c r="C396" t="s">
        <v>5438</v>
      </c>
      <c r="D396">
        <v>0</v>
      </c>
      <c r="E396">
        <v>0</v>
      </c>
      <c r="F396">
        <v>0</v>
      </c>
      <c r="G396">
        <v>0</v>
      </c>
      <c r="H396">
        <v>0</v>
      </c>
      <c r="I396">
        <v>0</v>
      </c>
    </row>
    <row r="397" spans="1:9" x14ac:dyDescent="0.25">
      <c r="A397" t="s">
        <v>797</v>
      </c>
      <c r="B397" t="s">
        <v>798</v>
      </c>
      <c r="C397" t="s">
        <v>796</v>
      </c>
      <c r="D397">
        <v>0</v>
      </c>
      <c r="E397">
        <v>0</v>
      </c>
      <c r="F397">
        <v>0</v>
      </c>
      <c r="G397">
        <v>0</v>
      </c>
      <c r="H397">
        <v>0</v>
      </c>
      <c r="I397">
        <v>0</v>
      </c>
    </row>
    <row r="398" spans="1:9" x14ac:dyDescent="0.25">
      <c r="A398" t="s">
        <v>803</v>
      </c>
      <c r="B398" t="s">
        <v>804</v>
      </c>
      <c r="C398" t="s">
        <v>802</v>
      </c>
      <c r="D398">
        <v>0</v>
      </c>
      <c r="E398">
        <v>0</v>
      </c>
      <c r="F398">
        <v>0</v>
      </c>
      <c r="G398">
        <v>0</v>
      </c>
      <c r="H398">
        <v>0</v>
      </c>
      <c r="I398">
        <v>0</v>
      </c>
    </row>
    <row r="399" spans="1:9" x14ac:dyDescent="0.25">
      <c r="A399" t="s">
        <v>821</v>
      </c>
      <c r="B399" t="s">
        <v>822</v>
      </c>
      <c r="C399" t="s">
        <v>820</v>
      </c>
      <c r="D399">
        <v>0</v>
      </c>
      <c r="E399">
        <v>0</v>
      </c>
      <c r="F399">
        <v>0</v>
      </c>
      <c r="G399">
        <v>0</v>
      </c>
      <c r="H399">
        <v>0</v>
      </c>
      <c r="I399">
        <v>0</v>
      </c>
    </row>
    <row r="400" spans="1:9" x14ac:dyDescent="0.25">
      <c r="A400" t="s">
        <v>830</v>
      </c>
      <c r="B400" t="s">
        <v>831</v>
      </c>
      <c r="C400" t="s">
        <v>829</v>
      </c>
      <c r="D400">
        <v>0</v>
      </c>
      <c r="E400">
        <v>0</v>
      </c>
      <c r="F400">
        <v>0</v>
      </c>
      <c r="G400">
        <v>0</v>
      </c>
      <c r="H400">
        <v>0</v>
      </c>
      <c r="I400">
        <v>0</v>
      </c>
    </row>
    <row r="401" spans="1:9" x14ac:dyDescent="0.25">
      <c r="A401" t="s">
        <v>845</v>
      </c>
      <c r="B401" t="s">
        <v>846</v>
      </c>
      <c r="C401" t="s">
        <v>844</v>
      </c>
      <c r="D401">
        <v>0</v>
      </c>
      <c r="E401">
        <v>0</v>
      </c>
      <c r="F401">
        <v>0</v>
      </c>
      <c r="G401">
        <v>0</v>
      </c>
      <c r="H401">
        <v>0</v>
      </c>
      <c r="I401">
        <v>0</v>
      </c>
    </row>
    <row r="402" spans="1:9" x14ac:dyDescent="0.25">
      <c r="A402" t="s">
        <v>854</v>
      </c>
      <c r="B402" t="s">
        <v>855</v>
      </c>
      <c r="C402" t="s">
        <v>853</v>
      </c>
      <c r="D402">
        <v>0</v>
      </c>
      <c r="E402">
        <v>0</v>
      </c>
      <c r="F402">
        <v>0</v>
      </c>
      <c r="G402">
        <v>0</v>
      </c>
      <c r="H402">
        <v>0</v>
      </c>
      <c r="I402">
        <v>0</v>
      </c>
    </row>
    <row r="403" spans="1:9" x14ac:dyDescent="0.25">
      <c r="A403" t="s">
        <v>857</v>
      </c>
      <c r="B403" t="s">
        <v>858</v>
      </c>
      <c r="C403" t="s">
        <v>856</v>
      </c>
      <c r="D403">
        <v>0</v>
      </c>
      <c r="E403">
        <v>0</v>
      </c>
      <c r="F403">
        <v>0</v>
      </c>
      <c r="G403">
        <v>0</v>
      </c>
      <c r="H403">
        <v>0</v>
      </c>
      <c r="I403">
        <v>0</v>
      </c>
    </row>
    <row r="404" spans="1:9" x14ac:dyDescent="0.25">
      <c r="A404" t="s">
        <v>865</v>
      </c>
      <c r="B404" t="s">
        <v>866</v>
      </c>
      <c r="C404" t="s">
        <v>864</v>
      </c>
      <c r="D404">
        <v>0</v>
      </c>
      <c r="E404">
        <v>0</v>
      </c>
      <c r="F404">
        <v>0</v>
      </c>
      <c r="G404">
        <v>0</v>
      </c>
      <c r="H404">
        <v>0</v>
      </c>
      <c r="I404">
        <v>0</v>
      </c>
    </row>
    <row r="405" spans="1:9" x14ac:dyDescent="0.25">
      <c r="A405" t="s">
        <v>868</v>
      </c>
      <c r="B405" t="s">
        <v>869</v>
      </c>
      <c r="C405" t="s">
        <v>867</v>
      </c>
      <c r="D405">
        <v>0</v>
      </c>
      <c r="E405">
        <v>0</v>
      </c>
      <c r="F405">
        <v>0</v>
      </c>
      <c r="G405">
        <v>0</v>
      </c>
      <c r="H405">
        <v>0</v>
      </c>
      <c r="I405">
        <v>0</v>
      </c>
    </row>
    <row r="406" spans="1:9" x14ac:dyDescent="0.25">
      <c r="A406" t="s">
        <v>883</v>
      </c>
      <c r="B406" t="s">
        <v>884</v>
      </c>
      <c r="C406" t="s">
        <v>882</v>
      </c>
      <c r="D406">
        <v>0</v>
      </c>
      <c r="E406">
        <v>0</v>
      </c>
      <c r="F406">
        <v>0</v>
      </c>
      <c r="G406">
        <v>0</v>
      </c>
      <c r="H406">
        <v>0</v>
      </c>
      <c r="I406">
        <v>0</v>
      </c>
    </row>
    <row r="407" spans="1:9" x14ac:dyDescent="0.25">
      <c r="A407" t="s">
        <v>901</v>
      </c>
      <c r="B407" t="s">
        <v>902</v>
      </c>
      <c r="C407" t="s">
        <v>900</v>
      </c>
      <c r="D407">
        <v>0</v>
      </c>
      <c r="E407">
        <v>0</v>
      </c>
      <c r="F407">
        <v>0</v>
      </c>
      <c r="G407">
        <v>0</v>
      </c>
      <c r="H407">
        <v>0</v>
      </c>
      <c r="I407">
        <v>0</v>
      </c>
    </row>
    <row r="408" spans="1:9" x14ac:dyDescent="0.25">
      <c r="A408" t="s">
        <v>1064</v>
      </c>
      <c r="B408" t="s">
        <v>1065</v>
      </c>
      <c r="C408" t="s">
        <v>1063</v>
      </c>
      <c r="D408">
        <v>0</v>
      </c>
      <c r="E408">
        <v>0</v>
      </c>
      <c r="F408">
        <v>0</v>
      </c>
      <c r="G408">
        <v>0</v>
      </c>
      <c r="H408">
        <v>0</v>
      </c>
      <c r="I408">
        <v>0</v>
      </c>
    </row>
    <row r="409" spans="1:9" x14ac:dyDescent="0.25">
      <c r="A409" t="s">
        <v>1024</v>
      </c>
      <c r="B409" t="s">
        <v>1025</v>
      </c>
      <c r="C409" t="s">
        <v>1023</v>
      </c>
      <c r="D409">
        <v>0</v>
      </c>
      <c r="E409">
        <v>0</v>
      </c>
      <c r="F409">
        <v>0</v>
      </c>
      <c r="G409">
        <v>0</v>
      </c>
      <c r="H409">
        <v>0</v>
      </c>
      <c r="I409">
        <v>0</v>
      </c>
    </row>
    <row r="410" spans="1:9" x14ac:dyDescent="0.25">
      <c r="A410" t="s">
        <v>1067</v>
      </c>
      <c r="B410" t="s">
        <v>1068</v>
      </c>
      <c r="C410" t="s">
        <v>1066</v>
      </c>
      <c r="D410">
        <v>0</v>
      </c>
      <c r="E410">
        <v>0</v>
      </c>
      <c r="F410">
        <v>0</v>
      </c>
      <c r="G410">
        <v>0</v>
      </c>
      <c r="H410">
        <v>0</v>
      </c>
      <c r="I410">
        <v>0</v>
      </c>
    </row>
    <row r="411" spans="1:9" x14ac:dyDescent="0.25">
      <c r="A411" t="s">
        <v>1100</v>
      </c>
      <c r="B411" t="s">
        <v>1101</v>
      </c>
      <c r="C411" t="s">
        <v>1099</v>
      </c>
      <c r="D411">
        <v>0</v>
      </c>
      <c r="E411">
        <v>0</v>
      </c>
      <c r="F411">
        <v>0</v>
      </c>
      <c r="G411">
        <v>0</v>
      </c>
      <c r="H411">
        <v>0</v>
      </c>
      <c r="I411">
        <v>0</v>
      </c>
    </row>
    <row r="412" spans="1:9" x14ac:dyDescent="0.25">
      <c r="A412" t="s">
        <v>1124</v>
      </c>
      <c r="B412" t="s">
        <v>1125</v>
      </c>
      <c r="C412" t="s">
        <v>1123</v>
      </c>
      <c r="D412">
        <v>0</v>
      </c>
      <c r="E412">
        <v>0</v>
      </c>
      <c r="F412">
        <v>0</v>
      </c>
      <c r="G412">
        <v>0</v>
      </c>
      <c r="H412">
        <v>0</v>
      </c>
      <c r="I412">
        <v>0</v>
      </c>
    </row>
    <row r="413" spans="1:9" x14ac:dyDescent="0.25">
      <c r="A413" t="s">
        <v>1136</v>
      </c>
      <c r="B413" t="s">
        <v>1137</v>
      </c>
      <c r="C413" t="s">
        <v>1135</v>
      </c>
      <c r="D413">
        <v>0</v>
      </c>
      <c r="E413">
        <v>0</v>
      </c>
      <c r="F413">
        <v>0</v>
      </c>
      <c r="G413">
        <v>0</v>
      </c>
      <c r="H413">
        <v>0</v>
      </c>
      <c r="I413">
        <v>0</v>
      </c>
    </row>
    <row r="414" spans="1:9" x14ac:dyDescent="0.25">
      <c r="A414" t="s">
        <v>1139</v>
      </c>
      <c r="B414" t="s">
        <v>1140</v>
      </c>
      <c r="C414" t="s">
        <v>1138</v>
      </c>
      <c r="D414">
        <v>0</v>
      </c>
      <c r="E414">
        <v>0</v>
      </c>
      <c r="F414">
        <v>0</v>
      </c>
      <c r="G414">
        <v>0</v>
      </c>
      <c r="H414">
        <v>0</v>
      </c>
      <c r="I414">
        <v>0</v>
      </c>
    </row>
    <row r="415" spans="1:9" x14ac:dyDescent="0.25">
      <c r="A415" t="s">
        <v>1160</v>
      </c>
      <c r="B415" t="s">
        <v>1161</v>
      </c>
      <c r="C415" t="s">
        <v>1159</v>
      </c>
      <c r="D415">
        <v>0</v>
      </c>
      <c r="E415">
        <v>0</v>
      </c>
      <c r="F415">
        <v>0</v>
      </c>
      <c r="G415">
        <v>0</v>
      </c>
      <c r="H415">
        <v>0</v>
      </c>
      <c r="I415">
        <v>0</v>
      </c>
    </row>
    <row r="416" spans="1:9" x14ac:dyDescent="0.25">
      <c r="A416" t="s">
        <v>1179</v>
      </c>
      <c r="B416" t="s">
        <v>1180</v>
      </c>
      <c r="C416" t="s">
        <v>1178</v>
      </c>
      <c r="D416">
        <v>0</v>
      </c>
      <c r="E416">
        <v>0</v>
      </c>
      <c r="F416">
        <v>0</v>
      </c>
      <c r="G416">
        <v>0</v>
      </c>
      <c r="H416">
        <v>0</v>
      </c>
      <c r="I416">
        <v>0</v>
      </c>
    </row>
    <row r="417" spans="1:9" x14ac:dyDescent="0.25">
      <c r="A417" t="s">
        <v>1185</v>
      </c>
      <c r="B417" t="s">
        <v>1186</v>
      </c>
      <c r="C417" t="s">
        <v>1184</v>
      </c>
      <c r="D417">
        <v>0</v>
      </c>
      <c r="E417">
        <v>0</v>
      </c>
      <c r="F417">
        <v>0</v>
      </c>
      <c r="G417">
        <v>0</v>
      </c>
      <c r="H417">
        <v>0</v>
      </c>
      <c r="I417">
        <v>0</v>
      </c>
    </row>
    <row r="418" spans="1:9" x14ac:dyDescent="0.25">
      <c r="A418" t="s">
        <v>1299</v>
      </c>
      <c r="B418" t="s">
        <v>1300</v>
      </c>
      <c r="C418" t="s">
        <v>5449</v>
      </c>
      <c r="D418">
        <v>0</v>
      </c>
      <c r="E418">
        <v>0</v>
      </c>
      <c r="F418">
        <v>0</v>
      </c>
      <c r="G418">
        <v>0</v>
      </c>
      <c r="H418">
        <v>0</v>
      </c>
      <c r="I418">
        <v>0</v>
      </c>
    </row>
    <row r="419" spans="1:9" x14ac:dyDescent="0.25">
      <c r="A419" t="s">
        <v>1242</v>
      </c>
      <c r="B419" t="s">
        <v>1243</v>
      </c>
      <c r="C419" t="s">
        <v>1241</v>
      </c>
      <c r="D419">
        <v>0</v>
      </c>
      <c r="E419">
        <v>0</v>
      </c>
      <c r="F419">
        <v>0</v>
      </c>
      <c r="G419">
        <v>0</v>
      </c>
      <c r="H419">
        <v>0</v>
      </c>
      <c r="I419">
        <v>0</v>
      </c>
    </row>
    <row r="420" spans="1:9" x14ac:dyDescent="0.25">
      <c r="A420" t="s">
        <v>1269</v>
      </c>
      <c r="B420" t="s">
        <v>1270</v>
      </c>
      <c r="C420" t="s">
        <v>1268</v>
      </c>
      <c r="D420">
        <v>0</v>
      </c>
      <c r="E420">
        <v>0</v>
      </c>
      <c r="F420">
        <v>0</v>
      </c>
      <c r="G420">
        <v>0</v>
      </c>
      <c r="H420">
        <v>0</v>
      </c>
      <c r="I420">
        <v>0</v>
      </c>
    </row>
    <row r="421" spans="1:9" x14ac:dyDescent="0.25">
      <c r="A421" t="s">
        <v>1272</v>
      </c>
      <c r="B421" t="s">
        <v>1273</v>
      </c>
      <c r="C421" t="s">
        <v>1271</v>
      </c>
      <c r="D421">
        <v>0</v>
      </c>
      <c r="E421">
        <v>0</v>
      </c>
      <c r="F421">
        <v>0</v>
      </c>
      <c r="G421">
        <v>0</v>
      </c>
      <c r="H421">
        <v>0</v>
      </c>
      <c r="I421">
        <v>0</v>
      </c>
    </row>
    <row r="422" spans="1:9" x14ac:dyDescent="0.25">
      <c r="A422" t="s">
        <v>1275</v>
      </c>
      <c r="B422" t="s">
        <v>1276</v>
      </c>
      <c r="C422" t="s">
        <v>1274</v>
      </c>
      <c r="D422">
        <v>0</v>
      </c>
      <c r="E422">
        <v>0</v>
      </c>
      <c r="F422">
        <v>0</v>
      </c>
      <c r="G422">
        <v>0</v>
      </c>
      <c r="H422">
        <v>0</v>
      </c>
      <c r="I422">
        <v>0</v>
      </c>
    </row>
    <row r="423" spans="1:9" x14ac:dyDescent="0.25">
      <c r="A423" t="s">
        <v>1281</v>
      </c>
      <c r="B423" t="s">
        <v>1282</v>
      </c>
      <c r="C423" t="s">
        <v>1280</v>
      </c>
      <c r="D423">
        <v>0</v>
      </c>
      <c r="E423">
        <v>0</v>
      </c>
      <c r="F423">
        <v>0</v>
      </c>
      <c r="G423">
        <v>0</v>
      </c>
      <c r="H423">
        <v>0</v>
      </c>
      <c r="I423">
        <v>0</v>
      </c>
    </row>
    <row r="424" spans="1:9" x14ac:dyDescent="0.25">
      <c r="A424" t="s">
        <v>1305</v>
      </c>
      <c r="B424" t="s">
        <v>1306</v>
      </c>
      <c r="C424" s="425" t="s">
        <v>1304</v>
      </c>
      <c r="D424">
        <v>0</v>
      </c>
      <c r="E424">
        <v>0</v>
      </c>
      <c r="F424">
        <v>0</v>
      </c>
      <c r="G424">
        <v>0</v>
      </c>
      <c r="H424">
        <v>0</v>
      </c>
      <c r="I424">
        <v>0</v>
      </c>
    </row>
    <row r="425" spans="1:9" x14ac:dyDescent="0.25">
      <c r="A425" t="s">
        <v>1308</v>
      </c>
      <c r="B425" t="s">
        <v>1309</v>
      </c>
      <c r="C425" t="s">
        <v>1307</v>
      </c>
      <c r="D425">
        <v>0</v>
      </c>
      <c r="E425">
        <v>0</v>
      </c>
      <c r="F425">
        <v>0</v>
      </c>
      <c r="G425">
        <v>0</v>
      </c>
      <c r="H425">
        <v>0</v>
      </c>
      <c r="I425">
        <v>0</v>
      </c>
    </row>
    <row r="426" spans="1:9" x14ac:dyDescent="0.25">
      <c r="A426" t="s">
        <v>1320</v>
      </c>
      <c r="B426" t="s">
        <v>1321</v>
      </c>
      <c r="C426" t="s">
        <v>1319</v>
      </c>
      <c r="D426">
        <v>0</v>
      </c>
      <c r="E426">
        <v>0</v>
      </c>
      <c r="F426">
        <v>0</v>
      </c>
      <c r="G426">
        <v>0</v>
      </c>
      <c r="H426">
        <v>0</v>
      </c>
      <c r="I426">
        <v>0</v>
      </c>
    </row>
    <row r="427" spans="1:9" x14ac:dyDescent="0.25">
      <c r="A427" t="s">
        <v>1362</v>
      </c>
      <c r="B427" t="s">
        <v>1363</v>
      </c>
      <c r="C427" t="s">
        <v>1361</v>
      </c>
      <c r="D427">
        <v>0</v>
      </c>
      <c r="E427">
        <v>0</v>
      </c>
      <c r="F427">
        <v>0</v>
      </c>
      <c r="G427">
        <v>0</v>
      </c>
      <c r="H427">
        <v>0</v>
      </c>
      <c r="I427">
        <v>0</v>
      </c>
    </row>
    <row r="428" spans="1:9" x14ac:dyDescent="0.25">
      <c r="D428" s="928">
        <v>3211853112</v>
      </c>
      <c r="E428" s="928">
        <v>41675944</v>
      </c>
      <c r="F428" s="928">
        <v>3253529056</v>
      </c>
      <c r="G428" s="928">
        <v>3253529.0560000017</v>
      </c>
      <c r="H428" s="928">
        <v>108618090</v>
      </c>
      <c r="I428" s="928">
        <v>108618.09000000001</v>
      </c>
    </row>
  </sheetData>
  <sheetProtection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theme="8" tint="0.59999389629810485"/>
  </sheetPr>
  <dimension ref="A1:BZ1038"/>
  <sheetViews>
    <sheetView showGridLines="0" zoomScale="80" zoomScaleNormal="80" workbookViewId="0">
      <selection sqref="A1:N1"/>
    </sheetView>
  </sheetViews>
  <sheetFormatPr defaultColWidth="0" defaultRowHeight="12.5" zeroHeight="1" x14ac:dyDescent="0.25"/>
  <cols>
    <col min="1" max="1" width="8.7265625" style="17" customWidth="1"/>
    <col min="2" max="2" width="93.453125" customWidth="1"/>
    <col min="3" max="3" width="6.7265625" customWidth="1"/>
    <col min="4" max="4" width="43.453125" customWidth="1"/>
    <col min="5" max="5" width="16.7265625" customWidth="1"/>
    <col min="6" max="6" width="15.81640625" customWidth="1"/>
    <col min="7" max="7" width="16" customWidth="1"/>
    <col min="8" max="8" width="71" style="900" customWidth="1"/>
    <col min="9" max="9" width="72.453125" style="900" customWidth="1"/>
    <col min="10" max="10" width="75.26953125" style="869" customWidth="1"/>
    <col min="11" max="11" width="2.7265625" style="869" customWidth="1"/>
    <col min="12" max="13" width="16.7265625" style="869" customWidth="1"/>
    <col min="14" max="14" width="2.7265625" style="869" customWidth="1"/>
    <col min="15" max="15" width="12.54296875" style="869" customWidth="1"/>
    <col min="16" max="16" width="15.81640625" style="869" customWidth="1"/>
    <col min="17" max="17" width="15.26953125" style="869" customWidth="1"/>
    <col min="18" max="22" width="0" style="869" hidden="1" customWidth="1"/>
    <col min="23" max="26" width="0" hidden="1" customWidth="1"/>
    <col min="27" max="27" width="0" style="146" hidden="1" customWidth="1"/>
    <col min="28" max="78" width="0" hidden="1" customWidth="1"/>
    <col min="79" max="16384" width="15.26953125" hidden="1"/>
  </cols>
  <sheetData>
    <row r="1" spans="1:27" ht="60" customHeight="1" x14ac:dyDescent="0.25">
      <c r="A1" s="1192" t="str">
        <f>ContactDetails!A36</f>
        <v>IMPORTANT: Please DO NOT alter this spreadsheet by inserting/deleting, merging any cells, or even using cut &amp; paste, as the data from this spreadsheet are directly transferred into the DLUHC database by a macro and these could break the references in the form.</v>
      </c>
      <c r="B1" s="1192"/>
      <c r="C1" s="1192"/>
      <c r="D1" s="1193"/>
      <c r="E1" s="1193"/>
      <c r="F1" s="1193"/>
      <c r="G1" s="1193"/>
      <c r="H1" s="1193"/>
      <c r="I1" s="1193"/>
      <c r="J1" s="1193"/>
      <c r="K1" s="1193"/>
      <c r="L1" s="1193"/>
      <c r="M1" s="1193"/>
      <c r="N1" s="1193"/>
    </row>
    <row r="2" spans="1:27" ht="32.15" customHeight="1" x14ac:dyDescent="0.35">
      <c r="A2" s="821" t="str">
        <f>IF(AND(COUNTIF($G$29:$G$189,"Error")=0,COUNTIF($G$29:$G$189,"Warning")=0),("There are no outstanding errors or warnings with the "&amp;TRIM(LEFT(A$11,3))&amp;" section of the form. Thank you."),("There are "&amp;COUNTIF($G$29:$G$189,"Error")&amp;" outstanding error(s) and "&amp;COUNTIF($G$29:$G$189,"Warning")&amp;" outstanding warning(s) with the "&amp;TRIM(LEFT(A$11,3))&amp;" section of the form. Please resolve and/or explain these before submitting."))</f>
        <v>There are no outstanding errors or warnings with the RS section of the form. Thank you.</v>
      </c>
      <c r="B2" s="822"/>
      <c r="C2" s="822"/>
      <c r="D2" s="822"/>
      <c r="E2" s="822"/>
      <c r="F2" s="822"/>
      <c r="G2" s="822"/>
      <c r="H2" s="889"/>
      <c r="I2" s="889"/>
      <c r="J2" s="870"/>
      <c r="K2" s="871"/>
      <c r="L2" s="871"/>
      <c r="M2" s="871"/>
      <c r="N2" s="871"/>
      <c r="O2" s="872"/>
      <c r="Z2" s="582" t="s">
        <v>1371</v>
      </c>
    </row>
    <row r="3" spans="1:27" ht="12.75" customHeight="1" x14ac:dyDescent="0.35">
      <c r="A3" s="178"/>
      <c r="B3" s="179"/>
      <c r="C3" s="179"/>
      <c r="D3" s="180"/>
      <c r="E3" s="4"/>
      <c r="F3" s="54"/>
      <c r="G3" s="181"/>
      <c r="H3" s="890"/>
      <c r="I3" s="890"/>
      <c r="J3" s="873"/>
      <c r="K3" s="873"/>
      <c r="L3" s="873"/>
      <c r="M3" s="873"/>
      <c r="N3" s="873"/>
    </row>
    <row r="4" spans="1:27" ht="27.75" customHeight="1" x14ac:dyDescent="0.6">
      <c r="A4" s="178"/>
      <c r="B4" s="179"/>
      <c r="C4" s="179"/>
      <c r="D4" s="180"/>
      <c r="E4" s="4"/>
      <c r="F4" s="4"/>
      <c r="G4" s="112"/>
      <c r="H4" s="890"/>
      <c r="I4" s="890"/>
      <c r="J4" s="873"/>
      <c r="K4" s="873"/>
      <c r="M4" s="182" t="str">
        <f>"RS "&amp;fyear</f>
        <v>RS 2022-23</v>
      </c>
      <c r="N4" s="873"/>
    </row>
    <row r="5" spans="1:27" ht="12.75" customHeight="1" x14ac:dyDescent="0.35">
      <c r="A5" s="178"/>
      <c r="B5" s="179"/>
      <c r="C5" s="179"/>
      <c r="D5" s="180"/>
      <c r="E5" s="4"/>
      <c r="F5" s="4"/>
      <c r="G5" s="112"/>
      <c r="H5" s="890"/>
      <c r="I5" s="890"/>
      <c r="J5" s="873"/>
      <c r="K5" s="873"/>
      <c r="L5" s="873"/>
      <c r="M5" s="873"/>
      <c r="N5" s="873"/>
    </row>
    <row r="6" spans="1:27" ht="12.75" customHeight="1" x14ac:dyDescent="0.35">
      <c r="A6" s="178"/>
      <c r="B6" s="179"/>
      <c r="C6" s="179"/>
      <c r="D6" s="180"/>
      <c r="E6" s="4"/>
      <c r="F6" s="4"/>
      <c r="G6" s="112"/>
      <c r="H6" s="890"/>
      <c r="I6" s="890"/>
      <c r="J6" s="873"/>
      <c r="K6" s="873"/>
      <c r="L6" s="873"/>
      <c r="M6" s="873"/>
      <c r="N6" s="873"/>
    </row>
    <row r="7" spans="1:27" ht="12.75" customHeight="1" x14ac:dyDescent="0.35">
      <c r="A7" s="178"/>
      <c r="B7" s="179"/>
      <c r="C7" s="179"/>
      <c r="D7" s="180"/>
      <c r="E7" s="4"/>
      <c r="F7" s="4"/>
      <c r="G7" s="112"/>
      <c r="H7" s="890"/>
      <c r="I7" s="890"/>
      <c r="J7" s="873"/>
      <c r="K7" s="873"/>
      <c r="L7" s="873"/>
      <c r="M7" s="873"/>
      <c r="N7" s="873"/>
    </row>
    <row r="8" spans="1:27" ht="12.75" customHeight="1" x14ac:dyDescent="0.35">
      <c r="A8" s="178"/>
      <c r="B8" s="179"/>
      <c r="C8" s="179"/>
      <c r="D8" s="180"/>
      <c r="E8" s="4"/>
      <c r="F8" s="4"/>
      <c r="G8" s="112"/>
      <c r="H8" s="890"/>
      <c r="I8" s="890"/>
      <c r="J8" s="873"/>
      <c r="K8" s="873"/>
      <c r="L8" s="873"/>
      <c r="M8" s="873"/>
      <c r="N8" s="873"/>
    </row>
    <row r="9" spans="1:27" ht="12.75" customHeight="1" x14ac:dyDescent="0.35">
      <c r="A9" s="178"/>
      <c r="B9" s="179"/>
      <c r="C9" s="179"/>
      <c r="D9" s="180"/>
      <c r="E9" s="4"/>
      <c r="F9" s="4"/>
      <c r="G9" s="112"/>
      <c r="H9" s="890"/>
      <c r="I9" s="890"/>
      <c r="J9" s="873"/>
      <c r="K9" s="873"/>
      <c r="L9" s="873"/>
      <c r="M9" s="873"/>
      <c r="N9" s="873"/>
    </row>
    <row r="10" spans="1:27" s="132" customFormat="1" ht="33" customHeight="1" x14ac:dyDescent="0.25">
      <c r="A10" s="1195" t="s">
        <v>1372</v>
      </c>
      <c r="B10" s="1195"/>
      <c r="C10" s="1195"/>
      <c r="D10" s="1195"/>
      <c r="E10" s="1195"/>
      <c r="F10" s="1195"/>
      <c r="G10" s="1195"/>
      <c r="H10" s="1195"/>
      <c r="I10" s="1195"/>
      <c r="J10" s="1195"/>
      <c r="K10" s="1195"/>
      <c r="L10" s="1195"/>
      <c r="M10" s="1196"/>
      <c r="N10" s="874"/>
      <c r="O10" s="875"/>
      <c r="P10" s="875"/>
      <c r="Q10" s="875"/>
      <c r="R10" s="875"/>
      <c r="S10" s="875"/>
      <c r="T10" s="875"/>
      <c r="U10" s="875"/>
      <c r="V10" s="875"/>
      <c r="AA10" s="147"/>
    </row>
    <row r="11" spans="1:27" s="132" customFormat="1" ht="33" customHeight="1" x14ac:dyDescent="0.25">
      <c r="A11" s="1195" t="str">
        <f>"RS - REVENUE OUTTURN SUMMARY "&amp;fyear</f>
        <v>RS - REVENUE OUTTURN SUMMARY 2022-23</v>
      </c>
      <c r="B11" s="1195"/>
      <c r="C11" s="1195"/>
      <c r="D11" s="1195"/>
      <c r="E11" s="1195"/>
      <c r="F11" s="1195"/>
      <c r="G11" s="1195"/>
      <c r="H11" s="1195"/>
      <c r="I11" s="1195"/>
      <c r="J11" s="1195"/>
      <c r="K11" s="1195"/>
      <c r="L11" s="1195"/>
      <c r="M11" s="1196"/>
      <c r="N11" s="874"/>
      <c r="O11" s="875"/>
      <c r="P11" s="875"/>
      <c r="Q11" s="875"/>
      <c r="R11" s="875"/>
      <c r="S11" s="875"/>
      <c r="T11" s="875"/>
      <c r="U11" s="875"/>
      <c r="V11" s="875"/>
      <c r="AA11" s="147"/>
    </row>
    <row r="12" spans="1:27" ht="14.15" customHeight="1" x14ac:dyDescent="0.6">
      <c r="A12" s="184"/>
      <c r="B12" s="185"/>
      <c r="C12" s="185"/>
      <c r="D12" s="185"/>
      <c r="E12" s="185"/>
      <c r="F12" s="185"/>
      <c r="G12" s="185"/>
      <c r="H12" s="891"/>
      <c r="I12" s="890"/>
      <c r="J12" s="873"/>
      <c r="K12" s="873"/>
      <c r="L12" s="873"/>
      <c r="M12" s="873"/>
      <c r="N12" s="873"/>
    </row>
    <row r="13" spans="1:27" ht="18.75" customHeight="1" x14ac:dyDescent="0.4">
      <c r="A13" s="1197" t="s">
        <v>1373</v>
      </c>
      <c r="B13" s="1197"/>
      <c r="C13" s="1197"/>
      <c r="D13" s="1197"/>
      <c r="E13" s="1197"/>
      <c r="F13" s="1197"/>
      <c r="G13" s="1197"/>
      <c r="H13" s="1197"/>
      <c r="I13" s="1197"/>
      <c r="J13" s="1197"/>
      <c r="K13" s="1197"/>
      <c r="L13" s="1197"/>
      <c r="M13" s="1198"/>
      <c r="N13" s="873"/>
    </row>
    <row r="14" spans="1:27" ht="12" customHeight="1" x14ac:dyDescent="0.25">
      <c r="A14" s="54"/>
      <c r="B14" s="54"/>
      <c r="C14" s="54"/>
      <c r="D14" s="54"/>
      <c r="E14" s="54"/>
      <c r="F14" s="54"/>
      <c r="G14" s="54"/>
      <c r="H14" s="892"/>
      <c r="I14" s="892"/>
      <c r="J14" s="876"/>
      <c r="K14" s="871"/>
      <c r="L14" s="871"/>
      <c r="M14" s="871"/>
      <c r="N14" s="871"/>
      <c r="O14" s="872"/>
    </row>
    <row r="15" spans="1:27" ht="21" customHeight="1" x14ac:dyDescent="0.25">
      <c r="A15" s="1199" t="s">
        <v>1374</v>
      </c>
      <c r="B15" s="1199"/>
      <c r="C15" s="1199"/>
      <c r="D15" s="1199"/>
      <c r="E15" s="1199"/>
      <c r="F15" s="1199"/>
      <c r="G15" s="1199"/>
      <c r="H15" s="1199"/>
      <c r="I15" s="1199"/>
      <c r="J15" s="1199"/>
      <c r="K15" s="1199"/>
      <c r="L15" s="1199"/>
      <c r="M15" s="1196"/>
      <c r="N15" s="877"/>
      <c r="O15" s="878"/>
    </row>
    <row r="16" spans="1:27" ht="21" customHeight="1" x14ac:dyDescent="0.25">
      <c r="A16" s="1200" t="s">
        <v>1375</v>
      </c>
      <c r="B16" s="1200"/>
      <c r="C16" s="1200"/>
      <c r="D16" s="1200"/>
      <c r="E16" s="1200"/>
      <c r="F16" s="1200"/>
      <c r="G16" s="1200"/>
      <c r="H16" s="1200"/>
      <c r="I16" s="1200"/>
      <c r="J16" s="1200"/>
      <c r="K16" s="1200"/>
      <c r="L16" s="1200"/>
      <c r="M16" s="1196"/>
      <c r="N16" s="871"/>
      <c r="O16" s="872"/>
    </row>
    <row r="17" spans="1:37" ht="20" x14ac:dyDescent="0.35">
      <c r="A17" s="186"/>
      <c r="B17" s="187"/>
      <c r="C17" s="187"/>
      <c r="D17" s="54"/>
      <c r="E17" s="188"/>
      <c r="F17" s="54"/>
      <c r="G17" s="54"/>
      <c r="H17" s="893"/>
      <c r="I17" s="892"/>
      <c r="J17" s="876"/>
      <c r="K17" s="871"/>
      <c r="L17" s="871"/>
      <c r="M17" s="871"/>
      <c r="N17" s="871"/>
      <c r="O17" s="872"/>
    </row>
    <row r="18" spans="1:37" ht="19.5" customHeight="1" x14ac:dyDescent="0.35">
      <c r="A18" s="191" t="str">
        <f>"Please note, your authority is only required to complete and return the following forms: "&amp;VLOOKUP(LA_name,LA_list,9,0)</f>
        <v>Please note, your authority is only required to complete and return the following forms: Forms to be completed will appear here !</v>
      </c>
      <c r="B18" s="192"/>
      <c r="C18" s="192"/>
      <c r="D18" s="190"/>
      <c r="E18" s="190"/>
      <c r="F18" s="190"/>
      <c r="G18" s="190"/>
      <c r="H18" s="892"/>
      <c r="I18" s="892"/>
      <c r="J18" s="876"/>
      <c r="K18" s="871"/>
      <c r="L18" s="871"/>
      <c r="M18" s="871"/>
      <c r="N18" s="871"/>
      <c r="O18" s="872"/>
      <c r="AA18"/>
    </row>
    <row r="19" spans="1:37" ht="12" customHeight="1" x14ac:dyDescent="0.35">
      <c r="A19" s="987" t="s">
        <v>1376</v>
      </c>
      <c r="B19" s="192"/>
      <c r="C19" s="192"/>
      <c r="D19" s="190"/>
      <c r="E19" s="190"/>
      <c r="F19" s="190"/>
      <c r="G19" s="190"/>
      <c r="H19" s="892"/>
      <c r="I19" s="892"/>
      <c r="J19" s="876"/>
      <c r="K19" s="871"/>
      <c r="L19" s="871"/>
      <c r="M19" s="871"/>
      <c r="N19" s="871"/>
      <c r="O19" s="872"/>
      <c r="AA19"/>
    </row>
    <row r="20" spans="1:37" ht="26.25" customHeight="1" x14ac:dyDescent="0.5">
      <c r="A20" s="138" t="str">
        <f>VLOOKUP(ContactDetails!$C$21,LA_list,2,FALSE)</f>
        <v>Please select your authority name on Title page</v>
      </c>
      <c r="B20" s="708"/>
      <c r="C20" s="708"/>
      <c r="D20" s="708"/>
      <c r="E20" s="4"/>
      <c r="F20" s="202"/>
      <c r="G20" s="127"/>
      <c r="H20" s="890"/>
      <c r="I20" s="890"/>
      <c r="J20" s="873"/>
      <c r="K20" s="873"/>
      <c r="L20" s="873"/>
      <c r="M20" s="873"/>
      <c r="N20" s="873"/>
    </row>
    <row r="21" spans="1:37" ht="18" customHeight="1" x14ac:dyDescent="0.4">
      <c r="A21" s="140" t="str">
        <f>ContactDetails!C25</f>
        <v>E-code</v>
      </c>
      <c r="B21" s="708"/>
      <c r="C21" s="708"/>
      <c r="D21" s="708"/>
      <c r="E21" s="1194" t="s">
        <v>1377</v>
      </c>
      <c r="F21" s="1190"/>
      <c r="G21" s="1190"/>
      <c r="H21" s="894"/>
      <c r="I21" s="890"/>
      <c r="J21" s="873"/>
      <c r="K21" s="873"/>
      <c r="L21" s="873"/>
      <c r="M21" s="873"/>
      <c r="N21" s="873"/>
    </row>
    <row r="22" spans="1:37" ht="18" customHeight="1" x14ac:dyDescent="0.35">
      <c r="A22" s="258"/>
      <c r="B22" s="506"/>
      <c r="C22" s="506"/>
      <c r="D22" s="61"/>
      <c r="E22" s="1194"/>
      <c r="F22" s="1190"/>
      <c r="G22" s="1190"/>
      <c r="H22" s="894"/>
      <c r="I22" s="890"/>
      <c r="J22" s="873"/>
      <c r="K22" s="873"/>
      <c r="L22" s="873"/>
      <c r="M22" s="873"/>
      <c r="N22" s="873"/>
    </row>
    <row r="23" spans="1:37" ht="15.5" x14ac:dyDescent="0.35">
      <c r="A23" s="258"/>
      <c r="B23" s="4"/>
      <c r="C23" s="4"/>
      <c r="D23" s="55"/>
      <c r="E23" s="1194"/>
      <c r="F23" s="1190"/>
      <c r="G23" s="1190"/>
      <c r="H23" s="894"/>
      <c r="I23" s="890"/>
      <c r="J23" s="873"/>
      <c r="K23" s="873"/>
      <c r="L23" s="873"/>
      <c r="M23" s="873"/>
      <c r="N23" s="873"/>
    </row>
    <row r="24" spans="1:37" ht="15.5" x14ac:dyDescent="0.35">
      <c r="A24" s="193"/>
      <c r="B24" s="194"/>
      <c r="C24" s="194"/>
      <c r="D24" s="89"/>
      <c r="E24" s="502"/>
      <c r="F24" s="502"/>
      <c r="G24" s="502"/>
      <c r="H24" s="894"/>
      <c r="I24" s="890"/>
      <c r="J24" s="873"/>
      <c r="K24" s="873"/>
      <c r="L24" s="873"/>
      <c r="M24" s="873"/>
      <c r="N24" s="873"/>
    </row>
    <row r="25" spans="1:37" ht="15.5" x14ac:dyDescent="0.35">
      <c r="A25" s="258"/>
      <c r="B25" s="127"/>
      <c r="C25" s="127"/>
      <c r="D25" s="4"/>
      <c r="E25" s="507" t="s">
        <v>1378</v>
      </c>
      <c r="F25" s="97"/>
      <c r="G25" s="97"/>
      <c r="H25" s="895"/>
      <c r="I25" s="890"/>
      <c r="J25" s="873"/>
      <c r="K25" s="873"/>
      <c r="L25" s="873"/>
      <c r="M25" s="873"/>
      <c r="N25" s="873"/>
    </row>
    <row r="26" spans="1:37" ht="15.75" customHeight="1" x14ac:dyDescent="0.3">
      <c r="A26" s="258"/>
      <c r="B26" s="4"/>
      <c r="C26" s="4"/>
      <c r="D26" s="4"/>
      <c r="E26" s="30"/>
      <c r="F26" s="127"/>
      <c r="G26" s="508"/>
      <c r="H26" s="895"/>
      <c r="I26" s="890"/>
      <c r="J26" s="873"/>
      <c r="K26" s="873"/>
      <c r="L26" s="873"/>
      <c r="M26" s="873"/>
      <c r="N26" s="873"/>
    </row>
    <row r="27" spans="1:37" ht="15.75" customHeight="1" x14ac:dyDescent="0.35">
      <c r="A27" s="258"/>
      <c r="B27" s="4"/>
      <c r="C27" s="4"/>
      <c r="D27" s="4"/>
      <c r="E27" s="509" t="s">
        <v>1379</v>
      </c>
      <c r="F27" s="399"/>
      <c r="G27" s="397"/>
      <c r="H27" s="895"/>
      <c r="I27" s="890"/>
      <c r="J27" s="873"/>
      <c r="K27" s="873"/>
      <c r="L27" s="873"/>
      <c r="M27" s="873"/>
      <c r="N27" s="873"/>
      <c r="AB27" s="461" t="s">
        <v>1380</v>
      </c>
    </row>
    <row r="28" spans="1:37" ht="15.75" customHeight="1" x14ac:dyDescent="0.3">
      <c r="A28" s="258"/>
      <c r="B28" s="4"/>
      <c r="C28" s="4"/>
      <c r="D28" s="4"/>
      <c r="E28" s="30"/>
      <c r="F28" s="127"/>
      <c r="G28" s="508"/>
      <c r="H28" s="895"/>
      <c r="I28" s="890"/>
      <c r="J28" s="873"/>
      <c r="K28" s="873"/>
      <c r="L28" s="873"/>
      <c r="M28" s="873"/>
      <c r="N28" s="873"/>
      <c r="AB28" s="461" t="s">
        <v>1381</v>
      </c>
      <c r="AC28" s="461" t="s">
        <v>1382</v>
      </c>
      <c r="AD28" s="461" t="s">
        <v>1383</v>
      </c>
      <c r="AE28" s="461" t="s">
        <v>1384</v>
      </c>
      <c r="AF28" s="461" t="s">
        <v>1385</v>
      </c>
      <c r="AG28" s="461" t="s">
        <v>1386</v>
      </c>
      <c r="AH28" s="461" t="s">
        <v>1387</v>
      </c>
      <c r="AI28" s="461" t="s">
        <v>1388</v>
      </c>
      <c r="AJ28" s="461" t="s">
        <v>1389</v>
      </c>
      <c r="AK28" s="461" t="s">
        <v>1390</v>
      </c>
    </row>
    <row r="29" spans="1:37" ht="15.5" x14ac:dyDescent="0.35">
      <c r="A29" s="705">
        <v>190</v>
      </c>
      <c r="B29" s="796" t="s">
        <v>1391</v>
      </c>
      <c r="C29" s="787"/>
      <c r="D29" s="962" t="s">
        <v>1392</v>
      </c>
      <c r="E29" s="1037">
        <f>'RO1'!J40</f>
        <v>0</v>
      </c>
      <c r="F29" s="481" t="str">
        <f>IF(ISERROR(G29),"",IF((G29="Error"),"add explanation",IF((G29="Warning"),"add explanation","")))</f>
        <v/>
      </c>
      <c r="G29" s="158" t="e">
        <f>IF($E29&lt;&gt;'RO1'!$J$40,"Error",IF(AA29&lt;&gt;"","Information",""))</f>
        <v>#N/A</v>
      </c>
      <c r="H29" s="896" t="e">
        <f t="shared" ref="H29:H42" si="0">IF($G29="Error","The total for "&amp;$B29&amp;" here does not match the total in "&amp;TRIM($D29)&amp;", please correct",IF($G29="Information",TRIM(AA29)&amp;", please complete or correct "&amp;TRIM($D29),""))</f>
        <v>#N/A</v>
      </c>
      <c r="I29" s="890"/>
      <c r="J29" s="880"/>
      <c r="K29" s="873"/>
      <c r="L29" s="873"/>
      <c r="M29" s="873"/>
      <c r="N29" s="873"/>
      <c r="AA29" s="148" t="e">
        <f>BA542</f>
        <v>#N/A</v>
      </c>
      <c r="AB29">
        <f t="shared" ref="AB29:AB41" si="1">VLOOKUP("RS"&amp;$A29,data_val_parameters,9,0)/100</f>
        <v>0.12</v>
      </c>
      <c r="AC29">
        <f t="shared" ref="AC29:AC41" si="2">VLOOKUP("RS"&amp;$A29,data_val_parameters,7,0)</f>
        <v>2000</v>
      </c>
    </row>
    <row r="30" spans="1:37" ht="15.5" x14ac:dyDescent="0.35">
      <c r="A30" s="705">
        <v>290</v>
      </c>
      <c r="B30" s="797" t="s">
        <v>1393</v>
      </c>
      <c r="C30" s="787"/>
      <c r="D30" s="962" t="s">
        <v>1394</v>
      </c>
      <c r="E30" s="1037">
        <f>'RO2'!J64</f>
        <v>0</v>
      </c>
      <c r="F30" s="481" t="str">
        <f t="shared" ref="F30:F42" si="3">IF(ISERROR(G30),"",IF((G30="Error"),"add explanation",IF((G30="Warning"),"add explanation","")))</f>
        <v/>
      </c>
      <c r="G30" s="158" t="e">
        <f>IF($E30&lt;&gt;'RO2'!$J$64,"Error",IF(AA30&lt;&gt;"","Information",""))</f>
        <v>#N/A</v>
      </c>
      <c r="H30" s="896" t="e">
        <f t="shared" si="0"/>
        <v>#N/A</v>
      </c>
      <c r="I30" s="890"/>
      <c r="J30" s="873"/>
      <c r="K30" s="873"/>
      <c r="L30" s="873"/>
      <c r="M30" s="873"/>
      <c r="N30" s="873"/>
      <c r="AA30" s="148" t="e">
        <f>BB542</f>
        <v>#N/A</v>
      </c>
      <c r="AB30">
        <f t="shared" si="1"/>
        <v>0.25</v>
      </c>
      <c r="AC30">
        <f t="shared" si="2"/>
        <v>2000</v>
      </c>
    </row>
    <row r="31" spans="1:37" ht="15.5" x14ac:dyDescent="0.35">
      <c r="A31" s="705">
        <v>330</v>
      </c>
      <c r="B31" s="797" t="s">
        <v>1395</v>
      </c>
      <c r="C31" s="787"/>
      <c r="D31" s="962" t="s">
        <v>1396</v>
      </c>
      <c r="E31" s="1037">
        <f>'RO3'!J44</f>
        <v>0</v>
      </c>
      <c r="F31" s="481" t="str">
        <f t="shared" si="3"/>
        <v/>
      </c>
      <c r="G31" s="158" t="e">
        <f>IF($E31&lt;&gt;'RO3'!$J$44,"Error",IF(AA31&lt;&gt;"","Information",""))</f>
        <v>#N/A</v>
      </c>
      <c r="H31" s="896" t="e">
        <f t="shared" si="0"/>
        <v>#N/A</v>
      </c>
      <c r="I31" s="890"/>
      <c r="J31" s="873"/>
      <c r="K31" s="873"/>
      <c r="L31" s="873"/>
      <c r="M31" s="873"/>
      <c r="N31" s="873"/>
      <c r="AA31" s="148" t="e">
        <f>BC542</f>
        <v>#N/A</v>
      </c>
      <c r="AB31">
        <f t="shared" si="1"/>
        <v>0.25</v>
      </c>
      <c r="AC31">
        <f t="shared" si="2"/>
        <v>2000</v>
      </c>
    </row>
    <row r="32" spans="1:37" ht="15.5" x14ac:dyDescent="0.35">
      <c r="A32" s="705">
        <v>360</v>
      </c>
      <c r="B32" s="797" t="s">
        <v>1397</v>
      </c>
      <c r="C32" s="787"/>
      <c r="D32" s="963" t="s">
        <v>1398</v>
      </c>
      <c r="E32" s="1037">
        <f>'RO3'!J83</f>
        <v>0</v>
      </c>
      <c r="F32" s="481" t="str">
        <f t="shared" si="3"/>
        <v/>
      </c>
      <c r="G32" s="158" t="e">
        <f>IF($E32&lt;&gt;'RO3'!$J$83,"Error",IF(AA32&lt;&gt;"","Information",""))</f>
        <v>#N/A</v>
      </c>
      <c r="H32" s="896" t="e">
        <f t="shared" si="0"/>
        <v>#N/A</v>
      </c>
      <c r="I32" s="890"/>
      <c r="J32" s="873"/>
      <c r="K32" s="873"/>
      <c r="L32" s="873"/>
      <c r="M32" s="873"/>
      <c r="N32" s="873"/>
      <c r="AA32" s="148" t="e">
        <f>BJ542</f>
        <v>#N/A</v>
      </c>
      <c r="AB32">
        <f t="shared" si="1"/>
        <v>0.25</v>
      </c>
      <c r="AC32">
        <f t="shared" si="2"/>
        <v>2000</v>
      </c>
    </row>
    <row r="33" spans="1:37" ht="15.5" x14ac:dyDescent="0.35">
      <c r="A33" s="705">
        <v>390</v>
      </c>
      <c r="B33" s="797" t="s">
        <v>1399</v>
      </c>
      <c r="C33" s="787"/>
      <c r="D33" s="963" t="s">
        <v>1400</v>
      </c>
      <c r="E33" s="1037">
        <f>'RO3'!J117</f>
        <v>0</v>
      </c>
      <c r="F33" s="481" t="str">
        <f t="shared" si="3"/>
        <v/>
      </c>
      <c r="G33" s="158" t="e">
        <f>IF($E33&lt;&gt;'RO3'!$J$117,"Error",IF(AA33&lt;&gt;"","Information",""))</f>
        <v>#N/A</v>
      </c>
      <c r="H33" s="896" t="e">
        <f t="shared" si="0"/>
        <v>#N/A</v>
      </c>
      <c r="I33" s="890"/>
      <c r="J33" s="873"/>
      <c r="K33" s="873"/>
      <c r="L33" s="873"/>
      <c r="M33" s="873"/>
      <c r="N33" s="873"/>
      <c r="AA33" s="148" t="e">
        <f>IF((VLOOKUP(LA_code,LA_Data,37,0))=1,IF(E33=0,"Entry expected for your class",""),"")</f>
        <v>#N/A</v>
      </c>
      <c r="AB33">
        <f t="shared" si="1"/>
        <v>0.25</v>
      </c>
      <c r="AC33">
        <f t="shared" si="2"/>
        <v>2000</v>
      </c>
    </row>
    <row r="34" spans="1:37" ht="15.5" x14ac:dyDescent="0.35">
      <c r="A34" s="705">
        <v>490</v>
      </c>
      <c r="B34" s="796" t="s">
        <v>1401</v>
      </c>
      <c r="C34" s="787"/>
      <c r="D34" s="962" t="s">
        <v>1402</v>
      </c>
      <c r="E34" s="1037">
        <f>'RO4'!J64</f>
        <v>0</v>
      </c>
      <c r="F34" s="481" t="str">
        <f t="shared" si="3"/>
        <v/>
      </c>
      <c r="G34" s="158" t="e">
        <f>IF($E34&lt;&gt;'RO4'!$J$64,"Error",IF(AA34&lt;&gt;"","Information",""))</f>
        <v>#N/A</v>
      </c>
      <c r="H34" s="896" t="e">
        <f t="shared" si="0"/>
        <v>#N/A</v>
      </c>
      <c r="I34" s="890"/>
      <c r="J34" s="873"/>
      <c r="K34" s="873"/>
      <c r="L34" s="873"/>
      <c r="M34" s="873"/>
      <c r="N34" s="873"/>
      <c r="AA34" s="148" t="e">
        <f>BD542</f>
        <v>#N/A</v>
      </c>
      <c r="AB34">
        <f t="shared" si="1"/>
        <v>0.25</v>
      </c>
      <c r="AC34">
        <f t="shared" si="2"/>
        <v>2000</v>
      </c>
    </row>
    <row r="35" spans="1:37" ht="15.5" x14ac:dyDescent="0.35">
      <c r="A35" s="705">
        <v>509</v>
      </c>
      <c r="B35" s="797" t="s">
        <v>1403</v>
      </c>
      <c r="C35" s="787"/>
      <c r="D35" s="962" t="s">
        <v>1404</v>
      </c>
      <c r="E35" s="1037">
        <f>'RO5'!J52</f>
        <v>0</v>
      </c>
      <c r="F35" s="481" t="str">
        <f t="shared" si="3"/>
        <v/>
      </c>
      <c r="G35" s="158" t="e">
        <f>IF($E35&lt;&gt;'RO5'!$J$52,"Error",IF(AA35&lt;&gt;"","Information",""))</f>
        <v>#N/A</v>
      </c>
      <c r="H35" s="896" t="e">
        <f t="shared" si="0"/>
        <v>#N/A</v>
      </c>
      <c r="I35" s="890"/>
      <c r="J35" s="873"/>
      <c r="K35" s="873"/>
      <c r="L35" s="873"/>
      <c r="M35" s="873"/>
      <c r="N35" s="873"/>
      <c r="AA35" s="148" t="e">
        <f>BE542</f>
        <v>#N/A</v>
      </c>
      <c r="AB35">
        <f t="shared" si="1"/>
        <v>0.25</v>
      </c>
      <c r="AC35">
        <f t="shared" si="2"/>
        <v>2000</v>
      </c>
    </row>
    <row r="36" spans="1:37" ht="15.5" x14ac:dyDescent="0.35">
      <c r="A36" s="705">
        <v>590</v>
      </c>
      <c r="B36" s="797" t="s">
        <v>1405</v>
      </c>
      <c r="C36" s="787"/>
      <c r="D36" s="962" t="s">
        <v>1406</v>
      </c>
      <c r="E36" s="1037">
        <f>'RO5'!J100</f>
        <v>0</v>
      </c>
      <c r="F36" s="481" t="str">
        <f t="shared" si="3"/>
        <v/>
      </c>
      <c r="G36" s="158" t="e">
        <f>IF($E36&lt;&gt;'RO5'!$J$100,"Error",IF(AA36&lt;&gt;"","Information",""))</f>
        <v>#N/A</v>
      </c>
      <c r="H36" s="896" t="e">
        <f t="shared" si="0"/>
        <v>#N/A</v>
      </c>
      <c r="I36" s="890"/>
      <c r="J36" s="873"/>
      <c r="K36" s="873"/>
      <c r="L36" s="873"/>
      <c r="M36" s="873"/>
      <c r="N36" s="873"/>
      <c r="AA36" s="148" t="e">
        <f>BF542</f>
        <v>#N/A</v>
      </c>
      <c r="AB36">
        <f t="shared" si="1"/>
        <v>0.25</v>
      </c>
      <c r="AC36">
        <f t="shared" si="2"/>
        <v>2000</v>
      </c>
    </row>
    <row r="37" spans="1:37" ht="15.5" x14ac:dyDescent="0.35">
      <c r="A37" s="705">
        <v>599</v>
      </c>
      <c r="B37" s="797" t="s">
        <v>1407</v>
      </c>
      <c r="C37" s="787"/>
      <c r="D37" s="962" t="s">
        <v>1408</v>
      </c>
      <c r="E37" s="1037">
        <f>'RO5'!J124</f>
        <v>0</v>
      </c>
      <c r="F37" s="481" t="str">
        <f t="shared" si="3"/>
        <v/>
      </c>
      <c r="G37" s="158" t="e">
        <f>IF($E37&lt;&gt;'RO5'!$J$124,"Error",IF(AA37&lt;&gt;"","Information",""))</f>
        <v>#N/A</v>
      </c>
      <c r="H37" s="896" t="e">
        <f t="shared" si="0"/>
        <v>#N/A</v>
      </c>
      <c r="I37" s="890"/>
      <c r="J37" s="873"/>
      <c r="K37" s="873"/>
      <c r="L37" s="873"/>
      <c r="M37" s="873"/>
      <c r="N37" s="873"/>
      <c r="AA37" s="149" t="e">
        <f>BG542</f>
        <v>#N/A</v>
      </c>
      <c r="AB37">
        <f t="shared" si="1"/>
        <v>0.25</v>
      </c>
      <c r="AC37">
        <f t="shared" si="2"/>
        <v>3000</v>
      </c>
    </row>
    <row r="38" spans="1:37" ht="15.5" x14ac:dyDescent="0.35">
      <c r="A38" s="705">
        <v>601</v>
      </c>
      <c r="B38" s="796" t="s">
        <v>1409</v>
      </c>
      <c r="C38" s="787"/>
      <c r="D38" s="962" t="s">
        <v>1410</v>
      </c>
      <c r="E38" s="1037">
        <f>'RO6'!J32</f>
        <v>0</v>
      </c>
      <c r="F38" s="481" t="str">
        <f t="shared" si="3"/>
        <v/>
      </c>
      <c r="G38" s="158" t="e">
        <f>IF($E38&lt;&gt;'RO6'!$J$32,"Error",IF(AA38&lt;&gt;"","Information",""))</f>
        <v>#N/A</v>
      </c>
      <c r="H38" s="896" t="e">
        <f t="shared" si="0"/>
        <v>#N/A</v>
      </c>
      <c r="I38" s="890"/>
      <c r="J38" s="873"/>
      <c r="K38" s="873"/>
      <c r="L38" s="873"/>
      <c r="M38" s="873"/>
      <c r="N38" s="873"/>
      <c r="AA38" s="148" t="e">
        <f>BH542</f>
        <v>#N/A</v>
      </c>
      <c r="AB38">
        <f t="shared" si="1"/>
        <v>0.25</v>
      </c>
      <c r="AC38">
        <f t="shared" si="2"/>
        <v>2000</v>
      </c>
    </row>
    <row r="39" spans="1:37" ht="15.5" x14ac:dyDescent="0.35">
      <c r="A39" s="705">
        <v>602</v>
      </c>
      <c r="B39" s="796" t="s">
        <v>1411</v>
      </c>
      <c r="C39" s="787"/>
      <c r="D39" s="962" t="s">
        <v>1412</v>
      </c>
      <c r="E39" s="1037">
        <f>'RO6'!J42</f>
        <v>0</v>
      </c>
      <c r="F39" s="481" t="str">
        <f t="shared" si="3"/>
        <v/>
      </c>
      <c r="G39" s="158" t="e">
        <f>IF($E39&lt;&gt;'RO6'!$J$42,"Error",IF(AA39&lt;&gt;"","Information",""))</f>
        <v>#N/A</v>
      </c>
      <c r="H39" s="896" t="e">
        <f t="shared" si="0"/>
        <v>#N/A</v>
      </c>
      <c r="I39" s="890"/>
      <c r="J39" s="873"/>
      <c r="K39" s="873"/>
      <c r="L39" s="873"/>
      <c r="M39" s="873"/>
      <c r="N39" s="873"/>
      <c r="AA39" s="148" t="e">
        <f>BI542</f>
        <v>#N/A</v>
      </c>
      <c r="AB39">
        <f t="shared" si="1"/>
        <v>0.25</v>
      </c>
      <c r="AC39">
        <f t="shared" si="2"/>
        <v>2000</v>
      </c>
    </row>
    <row r="40" spans="1:37" ht="15.5" x14ac:dyDescent="0.35">
      <c r="A40" s="705">
        <v>690</v>
      </c>
      <c r="B40" s="796" t="s">
        <v>1413</v>
      </c>
      <c r="C40" s="787"/>
      <c r="D40" s="962" t="s">
        <v>1414</v>
      </c>
      <c r="E40" s="1037">
        <f>'RO6'!J86</f>
        <v>0</v>
      </c>
      <c r="F40" s="481" t="str">
        <f t="shared" si="3"/>
        <v/>
      </c>
      <c r="G40" s="158" t="e">
        <f>IF($E40&lt;&gt;'RO6'!$J$86,"Error",IF(AA40&lt;&gt;"","Information",""))</f>
        <v>#N/A</v>
      </c>
      <c r="H40" s="896" t="e">
        <f t="shared" si="0"/>
        <v>#N/A</v>
      </c>
      <c r="I40" s="890"/>
      <c r="J40" s="873"/>
      <c r="K40" s="873"/>
      <c r="L40" s="873"/>
      <c r="M40" s="873"/>
      <c r="N40" s="873"/>
      <c r="AA40" s="150" t="e">
        <f>IF(E40=0,AA37,"")</f>
        <v>#N/A</v>
      </c>
      <c r="AB40">
        <f t="shared" si="1"/>
        <v>0.3</v>
      </c>
      <c r="AC40">
        <f t="shared" si="2"/>
        <v>3000</v>
      </c>
    </row>
    <row r="41" spans="1:37" ht="15.5" x14ac:dyDescent="0.35">
      <c r="A41" s="705">
        <v>698</v>
      </c>
      <c r="B41" s="796" t="s">
        <v>1415</v>
      </c>
      <c r="C41" s="787"/>
      <c r="D41" s="962" t="s">
        <v>1416</v>
      </c>
      <c r="E41" s="1037">
        <f>'RO6'!J100</f>
        <v>0</v>
      </c>
      <c r="F41" s="481" t="str">
        <f t="shared" si="3"/>
        <v/>
      </c>
      <c r="G41" s="158" t="str">
        <f>IF($E41&lt;&gt;'RO6'!$J$100,"Error",IF(AA41&lt;&gt;"","Information",""))</f>
        <v/>
      </c>
      <c r="H41" s="896" t="str">
        <f t="shared" si="0"/>
        <v/>
      </c>
      <c r="I41" s="890"/>
      <c r="J41" s="873"/>
      <c r="K41" s="873"/>
      <c r="L41" s="873"/>
      <c r="M41" s="873"/>
      <c r="N41" s="873"/>
      <c r="AA41" s="150"/>
      <c r="AB41">
        <f t="shared" si="1"/>
        <v>0.3</v>
      </c>
      <c r="AC41">
        <f t="shared" si="2"/>
        <v>5000</v>
      </c>
    </row>
    <row r="42" spans="1:37" s="37" customFormat="1" ht="18" x14ac:dyDescent="0.4">
      <c r="A42" s="798">
        <v>699</v>
      </c>
      <c r="B42" s="799" t="s">
        <v>1417</v>
      </c>
      <c r="C42" s="787"/>
      <c r="D42" s="197" t="s">
        <v>1418</v>
      </c>
      <c r="E42" s="1038">
        <f>SUM(E29:E41)</f>
        <v>0</v>
      </c>
      <c r="F42" s="481" t="str">
        <f t="shared" si="3"/>
        <v/>
      </c>
      <c r="G42" s="158" t="str">
        <f>IF($E42&lt;&gt;RSX!$J$44,"Error",IF(AA42&lt;&gt;"","Information",""))</f>
        <v/>
      </c>
      <c r="H42" s="896" t="str">
        <f t="shared" si="0"/>
        <v/>
      </c>
      <c r="I42" s="895"/>
      <c r="J42" s="877"/>
      <c r="K42" s="877"/>
      <c r="L42" s="877"/>
      <c r="M42" s="877"/>
      <c r="N42" s="877"/>
      <c r="O42" s="878"/>
      <c r="P42" s="878"/>
      <c r="Q42" s="878"/>
      <c r="R42" s="878"/>
      <c r="S42" s="878"/>
      <c r="T42" s="878"/>
      <c r="U42" s="878"/>
      <c r="V42" s="878"/>
      <c r="W42" s="512"/>
      <c r="X42" s="512"/>
      <c r="Y42" s="512"/>
      <c r="Z42" s="512"/>
      <c r="AA42" s="151"/>
      <c r="AB42" s="512"/>
      <c r="AC42" s="512"/>
      <c r="AD42" s="512"/>
      <c r="AE42" s="512"/>
      <c r="AF42" s="512"/>
      <c r="AG42" s="512"/>
      <c r="AH42" s="512"/>
      <c r="AI42" s="512"/>
      <c r="AJ42" s="512"/>
      <c r="AK42" s="512"/>
    </row>
    <row r="43" spans="1:37" s="37" customFormat="1" ht="18" x14ac:dyDescent="0.4">
      <c r="A43" s="798"/>
      <c r="B43" s="799"/>
      <c r="C43" s="787"/>
      <c r="D43" s="197"/>
      <c r="E43" s="656"/>
      <c r="F43" s="481"/>
      <c r="G43" s="158"/>
      <c r="H43" s="896"/>
      <c r="I43" s="895"/>
      <c r="J43" s="877"/>
      <c r="K43" s="877"/>
      <c r="L43" s="877"/>
      <c r="M43" s="877"/>
      <c r="N43" s="877"/>
      <c r="O43" s="878"/>
      <c r="P43" s="878"/>
      <c r="Q43" s="878"/>
      <c r="R43" s="878"/>
      <c r="S43" s="878"/>
      <c r="T43" s="878"/>
      <c r="U43" s="878"/>
      <c r="V43" s="878"/>
      <c r="W43" s="512"/>
      <c r="X43" s="512"/>
      <c r="Y43" s="512"/>
      <c r="Z43" s="512"/>
      <c r="AA43" s="151"/>
      <c r="AB43" s="512"/>
      <c r="AC43" s="512"/>
      <c r="AD43" s="512"/>
      <c r="AE43" s="512"/>
      <c r="AF43" s="512"/>
      <c r="AG43" s="512"/>
      <c r="AH43" s="512"/>
      <c r="AI43" s="512"/>
      <c r="AJ43" s="512"/>
      <c r="AK43" s="512"/>
    </row>
    <row r="44" spans="1:37" ht="15.5" x14ac:dyDescent="0.35">
      <c r="A44" s="705">
        <v>711</v>
      </c>
      <c r="B44" s="800" t="s">
        <v>1419</v>
      </c>
      <c r="C44" s="800"/>
      <c r="D44" s="98"/>
      <c r="E44" s="1039"/>
      <c r="F44" s="481" t="str">
        <f>IF(ISERROR(G44),"",IF((G44="Error"),"add explanation",IF((G44="Warning"),"add explanation","")))</f>
        <v/>
      </c>
      <c r="G44" s="158" t="e">
        <f>IF(AA44&lt;&gt;"","Warning","")</f>
        <v>#N/A</v>
      </c>
      <c r="H44" s="896" t="e">
        <f>IF($G44="Warning",$AA44,IF(AK44="Warning","This year's figure is over "&amp;AC44/1000&amp;" million and "&amp;(AB44*100)&amp;"% different to "&amp;TEXT(AD44,"#,###")&amp;" last year, please explain",""))</f>
        <v>#N/A</v>
      </c>
      <c r="I44" s="890"/>
      <c r="J44" s="873"/>
      <c r="K44" s="873"/>
      <c r="L44" s="873"/>
      <c r="M44" s="873"/>
      <c r="N44" s="873"/>
      <c r="AA44" s="152" t="e">
        <f>BQ542</f>
        <v>#N/A</v>
      </c>
      <c r="AB44">
        <f>VLOOKUP("RS"&amp;$A44,data_val_parameters,9,0)/100</f>
        <v>0.4</v>
      </c>
      <c r="AC44">
        <f>VLOOKUP("RS"&amp;$A44,data_val_parameters,7,0)</f>
        <v>4000</v>
      </c>
      <c r="AD44" t="e">
        <f>VLOOKUP(LA_code,data_prev_year,MATCH("RS"&amp;$A44&amp;"1",data_prev_year_headers,0),0)</f>
        <v>#N/A</v>
      </c>
      <c r="AE44" t="e">
        <f>AD44+AC44</f>
        <v>#N/A</v>
      </c>
      <c r="AF44" t="e">
        <f>AD44-AC44</f>
        <v>#N/A</v>
      </c>
      <c r="AG44" t="e">
        <f>AD44+(AD44*AB44)</f>
        <v>#N/A</v>
      </c>
      <c r="AH44" t="e">
        <f>AD44-(AD44*AB44)</f>
        <v>#N/A</v>
      </c>
      <c r="AI44" t="e">
        <f>IF(OR(E44&lt;AF44,E44&gt;AE44),"Warning","")</f>
        <v>#N/A</v>
      </c>
      <c r="AJ44" t="e">
        <f>IF(OR(E44&gt;(AG44),E44&lt;(AH44)),"Warning","")</f>
        <v>#N/A</v>
      </c>
      <c r="AK44" t="str">
        <f>IF(OR(E44=0),"",IF(AND(AI44="Warning",AJ44="Warning"),"Warning",""))</f>
        <v/>
      </c>
    </row>
    <row r="45" spans="1:37" ht="15.5" x14ac:dyDescent="0.35">
      <c r="A45" s="705">
        <v>712</v>
      </c>
      <c r="B45" s="800" t="s">
        <v>1420</v>
      </c>
      <c r="C45" s="800"/>
      <c r="D45" s="98"/>
      <c r="E45" s="1039"/>
      <c r="F45" s="481" t="str">
        <f>IF(ISERROR(G45),"",IF((G45="Error"),"add explanation",IF((G45="Warning"),"add explanation","")))</f>
        <v/>
      </c>
      <c r="G45" s="158" t="e">
        <f>IF(AA45&lt;&gt;"","Warning","")</f>
        <v>#N/A</v>
      </c>
      <c r="H45" s="896" t="e">
        <f>IF($G45="Warning",$AA45,IF(AK45="Warning","This year's figure is over "&amp;AC45/1000&amp;" million and "&amp;(AB45*100)&amp;"% different to "&amp;TEXT(AD45,"#,###")&amp;" last year, please explain",""))</f>
        <v>#N/A</v>
      </c>
      <c r="I45" s="890"/>
      <c r="J45" s="873"/>
      <c r="K45" s="873"/>
      <c r="L45" s="873"/>
      <c r="M45" s="873"/>
      <c r="N45" s="873"/>
      <c r="AA45" s="152" t="e">
        <f>BR542</f>
        <v>#N/A</v>
      </c>
      <c r="AB45">
        <f>VLOOKUP("RS"&amp;$A45,data_val_parameters,9,0)/100</f>
        <v>0.4</v>
      </c>
      <c r="AC45">
        <f>VLOOKUP("RS"&amp;$A45,data_val_parameters,7,0)</f>
        <v>8000</v>
      </c>
      <c r="AD45" t="e">
        <f>VLOOKUP(LA_code,data_prev_year,MATCH("RS"&amp;$A45&amp;"1",data_prev_year_headers,0),0)</f>
        <v>#N/A</v>
      </c>
      <c r="AE45" t="e">
        <f t="shared" ref="AE45:AE48" si="4">AD45+AC45</f>
        <v>#N/A</v>
      </c>
      <c r="AF45" t="e">
        <f t="shared" ref="AF45:AF48" si="5">AD45-AC45</f>
        <v>#N/A</v>
      </c>
      <c r="AG45" t="e">
        <f t="shared" ref="AG45:AG48" si="6">AD45+(AD45*AB45)</f>
        <v>#N/A</v>
      </c>
      <c r="AH45" t="e">
        <f t="shared" ref="AH45:AH48" si="7">AD45-(AD45*AB45)</f>
        <v>#N/A</v>
      </c>
      <c r="AI45" t="e">
        <f t="shared" ref="AI45:AI48" si="8">IF(OR(E45&lt;AF45,E45&gt;AE45),"Warning","")</f>
        <v>#N/A</v>
      </c>
      <c r="AJ45" t="e">
        <f t="shared" ref="AJ45:AJ48" si="9">IF(OR(E45&gt;(AG45),E45&lt;(AH45)),"Warning","")</f>
        <v>#N/A</v>
      </c>
      <c r="AK45" t="str">
        <f t="shared" ref="AK45:AK48" si="10">IF(OR(E45=0),"",IF(AND(AI45="Warning",AJ45="Warning"),"Warning",""))</f>
        <v/>
      </c>
    </row>
    <row r="46" spans="1:37" ht="15.5" x14ac:dyDescent="0.35">
      <c r="A46" s="705">
        <v>713</v>
      </c>
      <c r="B46" s="800" t="s">
        <v>1421</v>
      </c>
      <c r="C46" s="800"/>
      <c r="D46" s="98"/>
      <c r="E46" s="1039"/>
      <c r="F46" s="481" t="str">
        <f t="shared" ref="F46:F48" si="11">IF(ISERROR(G46),"",IF((G46="Error"),"add explanation",IF((G46="Warning"),"add explanation","")))</f>
        <v/>
      </c>
      <c r="G46" s="158" t="str">
        <f>IF(AK46="Warning","Warning","")</f>
        <v/>
      </c>
      <c r="H46" s="896" t="str">
        <f>IF($G46="Warning","This year's figure is over "&amp;AC46/1000&amp;" million and "&amp;(AB46*100)&amp;"% different to "&amp;TEXT(AD46,"#,###")&amp;" last year, please explain","")</f>
        <v/>
      </c>
      <c r="I46" s="890"/>
      <c r="J46" s="873"/>
      <c r="K46" s="873"/>
      <c r="L46" s="873"/>
      <c r="M46" s="873"/>
      <c r="N46" s="873"/>
      <c r="AA46" s="152" t="e">
        <f>BS542</f>
        <v>#N/A</v>
      </c>
      <c r="AB46">
        <f>VLOOKUP("RS"&amp;$A46,data_val_parameters,9,0)/100</f>
        <v>0.4</v>
      </c>
      <c r="AC46">
        <f>VLOOKUP("RS"&amp;$A46,data_val_parameters,7,0)</f>
        <v>4000</v>
      </c>
      <c r="AD46" t="e">
        <f>VLOOKUP(LA_code,data_prev_year,MATCH("RS"&amp;$A46&amp;"1",data_prev_year_headers,0),0)</f>
        <v>#N/A</v>
      </c>
      <c r="AE46" t="e">
        <f t="shared" si="4"/>
        <v>#N/A</v>
      </c>
      <c r="AF46" t="e">
        <f t="shared" si="5"/>
        <v>#N/A</v>
      </c>
      <c r="AG46" t="e">
        <f t="shared" si="6"/>
        <v>#N/A</v>
      </c>
      <c r="AH46" t="e">
        <f t="shared" si="7"/>
        <v>#N/A</v>
      </c>
      <c r="AI46" t="e">
        <f t="shared" si="8"/>
        <v>#N/A</v>
      </c>
      <c r="AJ46" t="e">
        <f t="shared" si="9"/>
        <v>#N/A</v>
      </c>
      <c r="AK46" t="str">
        <f t="shared" si="10"/>
        <v/>
      </c>
    </row>
    <row r="47" spans="1:37" ht="15.5" x14ac:dyDescent="0.35">
      <c r="A47" s="705">
        <v>714</v>
      </c>
      <c r="B47" s="800" t="s">
        <v>1422</v>
      </c>
      <c r="C47" s="800"/>
      <c r="D47" s="198"/>
      <c r="E47" s="1039"/>
      <c r="F47" s="481" t="str">
        <f t="shared" si="11"/>
        <v/>
      </c>
      <c r="G47" s="158" t="str">
        <f t="shared" ref="G47:G48" si="12">IF(AK47="Warning","Warning","")</f>
        <v/>
      </c>
      <c r="H47" s="896" t="str">
        <f t="shared" ref="H47:H48" si="13">IF($G47="Warning","This year's figure is over "&amp;AC47/1000&amp;" million and "&amp;(AB47*100)&amp;"% different to "&amp;TEXT(AD47,"#,###")&amp;" last year, please explain","")</f>
        <v/>
      </c>
      <c r="I47" s="890"/>
      <c r="J47" s="873"/>
      <c r="K47" s="873"/>
      <c r="L47" s="873"/>
      <c r="M47" s="873"/>
      <c r="N47" s="873"/>
      <c r="AA47" s="152"/>
      <c r="AB47">
        <f>VLOOKUP("RS"&amp;$A47,data_val_parameters,9,0)/100</f>
        <v>0.4</v>
      </c>
      <c r="AC47">
        <f>VLOOKUP("RS"&amp;$A47,data_val_parameters,7,0)</f>
        <v>4000</v>
      </c>
      <c r="AD47" t="e">
        <f>VLOOKUP(LA_code,data_prev_year,MATCH("RS"&amp;$A47&amp;"1",data_prev_year_headers,0),0)</f>
        <v>#N/A</v>
      </c>
      <c r="AE47" t="e">
        <f t="shared" si="4"/>
        <v>#N/A</v>
      </c>
      <c r="AF47" t="e">
        <f t="shared" si="5"/>
        <v>#N/A</v>
      </c>
      <c r="AG47" t="e">
        <f t="shared" si="6"/>
        <v>#N/A</v>
      </c>
      <c r="AH47" t="e">
        <f t="shared" si="7"/>
        <v>#N/A</v>
      </c>
      <c r="AI47" t="e">
        <f t="shared" si="8"/>
        <v>#N/A</v>
      </c>
      <c r="AJ47" t="e">
        <f t="shared" si="9"/>
        <v>#N/A</v>
      </c>
      <c r="AK47" t="str">
        <f t="shared" si="10"/>
        <v/>
      </c>
    </row>
    <row r="48" spans="1:37" ht="15.5" x14ac:dyDescent="0.35">
      <c r="A48" s="705">
        <v>718</v>
      </c>
      <c r="B48" s="800" t="s">
        <v>1423</v>
      </c>
      <c r="C48" s="800"/>
      <c r="D48" s="11"/>
      <c r="E48" s="1039"/>
      <c r="F48" s="481" t="str">
        <f t="shared" si="11"/>
        <v/>
      </c>
      <c r="G48" s="158" t="str">
        <f t="shared" si="12"/>
        <v/>
      </c>
      <c r="H48" s="896" t="str">
        <f t="shared" si="13"/>
        <v/>
      </c>
      <c r="I48" s="890"/>
      <c r="J48" s="873"/>
      <c r="K48" s="873"/>
      <c r="L48" s="873"/>
      <c r="M48" s="873"/>
      <c r="N48" s="873"/>
      <c r="AA48" s="152" t="e">
        <f>BP542</f>
        <v>#N/A</v>
      </c>
      <c r="AB48">
        <f>VLOOKUP("RS"&amp;$A48,data_val_parameters,9,0)/100</f>
        <v>0.4</v>
      </c>
      <c r="AC48">
        <f>VLOOKUP("RS"&amp;$A48,data_val_parameters,7,0)</f>
        <v>4000</v>
      </c>
      <c r="AD48" t="e">
        <f>VLOOKUP(LA_code,data_prev_year,MATCH("RS"&amp;$A48&amp;"1",data_prev_year_headers,0),0)</f>
        <v>#N/A</v>
      </c>
      <c r="AE48" t="e">
        <f t="shared" si="4"/>
        <v>#N/A</v>
      </c>
      <c r="AF48" t="e">
        <f t="shared" si="5"/>
        <v>#N/A</v>
      </c>
      <c r="AG48" t="e">
        <f t="shared" si="6"/>
        <v>#N/A</v>
      </c>
      <c r="AH48" t="e">
        <f t="shared" si="7"/>
        <v>#N/A</v>
      </c>
      <c r="AI48" t="e">
        <f t="shared" si="8"/>
        <v>#N/A</v>
      </c>
      <c r="AJ48" t="e">
        <f t="shared" si="9"/>
        <v>#N/A</v>
      </c>
      <c r="AK48" t="str">
        <f t="shared" si="10"/>
        <v/>
      </c>
    </row>
    <row r="49" spans="1:37" ht="15.5" x14ac:dyDescent="0.35">
      <c r="A49" s="705"/>
      <c r="B49" s="800"/>
      <c r="C49" s="800"/>
      <c r="D49" s="11"/>
      <c r="E49" s="33"/>
      <c r="F49" s="482"/>
      <c r="G49" s="158"/>
      <c r="H49" s="896"/>
      <c r="I49" s="890"/>
      <c r="J49" s="873"/>
      <c r="K49" s="873"/>
      <c r="L49" s="873"/>
      <c r="M49" s="873"/>
      <c r="N49" s="873"/>
    </row>
    <row r="50" spans="1:37" s="5" customFormat="1" ht="16.399999999999999" customHeight="1" x14ac:dyDescent="0.4">
      <c r="A50" s="801" t="s">
        <v>1424</v>
      </c>
      <c r="B50" s="802"/>
      <c r="C50" s="797"/>
      <c r="D50" s="11"/>
      <c r="E50" s="35"/>
      <c r="F50" s="483"/>
      <c r="G50" s="158"/>
      <c r="H50" s="896"/>
      <c r="I50" s="895"/>
      <c r="J50" s="877"/>
      <c r="K50" s="877"/>
      <c r="L50" s="877"/>
      <c r="M50" s="877"/>
      <c r="N50" s="877"/>
      <c r="O50" s="878"/>
      <c r="P50" s="878"/>
      <c r="Q50" s="878"/>
      <c r="R50" s="878"/>
      <c r="S50" s="878"/>
      <c r="T50" s="878"/>
      <c r="U50" s="878"/>
      <c r="V50" s="878"/>
      <c r="AA50" s="95"/>
    </row>
    <row r="51" spans="1:37" ht="15.5" x14ac:dyDescent="0.35">
      <c r="A51" s="705">
        <v>721</v>
      </c>
      <c r="B51" s="564" t="s">
        <v>1425</v>
      </c>
      <c r="C51" s="564"/>
      <c r="D51" s="88"/>
      <c r="E51" s="1040">
        <f>IFERROR(VLOOKUP(LA_code,LA_Data,29,0),0)</f>
        <v>0</v>
      </c>
      <c r="F51" s="481" t="str">
        <f t="shared" ref="F51:F62" si="14">IF(ISERROR(G51),"",IF((G51="Error"),"add explanation",IF((G51="Warning"),"add explanation","")))</f>
        <v/>
      </c>
      <c r="G51" s="501" t="e">
        <f>IF(ABS(E51-VLOOKUP($A$21,LA_Data,29,FALSE))&lt;2,"","Error")</f>
        <v>#N/A</v>
      </c>
      <c r="H51" s="896" t="e">
        <f>IF(ABS(E51-VLOOKUP($A$21,LA_Data,29,FALSE))&lt;2,"",("Does not match the figure in CTR, "&amp;TEXT(VLOOKUP($A$21,LA_Data,29,FALSE),"#,##0"))&amp;" expected here. Please refer to the RS notes.")</f>
        <v>#N/A</v>
      </c>
      <c r="I51" s="890"/>
      <c r="J51" s="873"/>
      <c r="K51" s="873"/>
      <c r="L51" s="873"/>
      <c r="M51" s="873"/>
      <c r="N51" s="873"/>
      <c r="AB51">
        <f t="shared" ref="AB51:AB62" si="15">VLOOKUP("RS"&amp;$A51,data_val_parameters,9,0)/100</f>
        <v>0.4</v>
      </c>
      <c r="AC51">
        <f t="shared" ref="AC51:AC62" si="16">VLOOKUP("RS"&amp;$A51,data_val_parameters,7,0)</f>
        <v>4000</v>
      </c>
      <c r="AD51" t="e">
        <f t="shared" ref="AD51:AD61" si="17">VLOOKUP(LA_code,data_prev_year,MATCH("RS"&amp;$A51&amp;"1",data_prev_year_headers,0),0)</f>
        <v>#N/A</v>
      </c>
      <c r="AE51" t="e">
        <f t="shared" ref="AE51" si="18">AD51+AC51</f>
        <v>#N/A</v>
      </c>
      <c r="AF51" t="e">
        <f t="shared" ref="AF51" si="19">AD51-AC51</f>
        <v>#N/A</v>
      </c>
      <c r="AG51" t="e">
        <f t="shared" ref="AG51" si="20">AD51+(AD51*AB51)</f>
        <v>#N/A</v>
      </c>
      <c r="AH51" t="e">
        <f t="shared" ref="AH51" si="21">AD51-(AD51*AB51)</f>
        <v>#N/A</v>
      </c>
      <c r="AI51" t="e">
        <f t="shared" ref="AI51" si="22">IF(OR(E51&lt;AF51,E51&gt;AE51),"Warning","")</f>
        <v>#N/A</v>
      </c>
      <c r="AJ51" t="e">
        <f t="shared" ref="AJ51" si="23">IF(OR(E51&gt;(AG51),E51&lt;(AH51)),"Warning","")</f>
        <v>#N/A</v>
      </c>
      <c r="AK51" t="str">
        <f t="shared" ref="AK51" si="24">IF(OR(E51=0),"",IF(AND(AI51="Warning",AJ51="Warning"),"Warning",""))</f>
        <v/>
      </c>
    </row>
    <row r="52" spans="1:37" ht="15.5" x14ac:dyDescent="0.35">
      <c r="A52" s="705">
        <v>722</v>
      </c>
      <c r="B52" s="564" t="s">
        <v>1426</v>
      </c>
      <c r="C52" s="564"/>
      <c r="D52" s="199"/>
      <c r="E52" s="1039"/>
      <c r="F52" s="481" t="str">
        <f t="shared" si="14"/>
        <v/>
      </c>
      <c r="G52" s="158" t="str">
        <f>IF(H52&lt;&gt;"","Warning","")</f>
        <v/>
      </c>
      <c r="H52" s="896" t="str">
        <f>IF($AK52="Warning","This year's figure is over "&amp;AC52/1000&amp;" million and "&amp;(AB52*100)&amp;"% different to "&amp;TEXT(AD52,"#,###")&amp;" last year, please explain","")</f>
        <v/>
      </c>
      <c r="I52" s="890"/>
      <c r="J52" s="873"/>
      <c r="K52" s="873"/>
      <c r="L52" s="873"/>
      <c r="M52" s="873"/>
      <c r="N52" s="873"/>
      <c r="AB52">
        <f t="shared" si="15"/>
        <v>0.4</v>
      </c>
      <c r="AC52">
        <f t="shared" si="16"/>
        <v>12000</v>
      </c>
      <c r="AD52" t="e">
        <f t="shared" si="17"/>
        <v>#N/A</v>
      </c>
      <c r="AE52" t="e">
        <f t="shared" ref="AE52:AE61" si="25">AD52+AC52</f>
        <v>#N/A</v>
      </c>
      <c r="AF52" t="e">
        <f t="shared" ref="AF52:AF61" si="26">AD52-AC52</f>
        <v>#N/A</v>
      </c>
      <c r="AG52" t="e">
        <f t="shared" ref="AG52:AG61" si="27">AD52+(AD52*AB52)</f>
        <v>#N/A</v>
      </c>
      <c r="AH52" t="e">
        <f t="shared" ref="AH52:AH61" si="28">AD52-(AD52*AB52)</f>
        <v>#N/A</v>
      </c>
      <c r="AI52" t="e">
        <f t="shared" ref="AI52:AI61" si="29">IF(OR(E52&lt;AF52,E52&gt;AE52),"Warning","")</f>
        <v>#N/A</v>
      </c>
      <c r="AJ52" t="e">
        <f t="shared" ref="AJ52:AJ61" si="30">IF(OR(E52&gt;(AG52),E52&lt;(AH52)),"Warning","")</f>
        <v>#N/A</v>
      </c>
      <c r="AK52" t="str">
        <f t="shared" ref="AK52:AK61" si="31">IF(OR(E52=0),"",IF(AND(AI52="Warning",AJ52="Warning"),"Warning",""))</f>
        <v/>
      </c>
    </row>
    <row r="53" spans="1:37" ht="15.5" x14ac:dyDescent="0.35">
      <c r="A53" s="705">
        <v>724</v>
      </c>
      <c r="B53" s="564" t="s">
        <v>1427</v>
      </c>
      <c r="C53" s="564"/>
      <c r="D53" s="199"/>
      <c r="E53" s="1039"/>
      <c r="F53" s="481" t="str">
        <f t="shared" si="14"/>
        <v/>
      </c>
      <c r="G53" s="158" t="str">
        <f>IF(H53&lt;&gt;"","Warning","")</f>
        <v/>
      </c>
      <c r="H53" s="896" t="str">
        <f>IF($AK53="Warning","This year's figure is over "&amp;AC53/1000&amp;" million and "&amp;(AB53*100)&amp;"% different to "&amp;TEXT(AD53,"#,###")&amp;" last year, please explain","")</f>
        <v/>
      </c>
      <c r="I53" s="890"/>
      <c r="J53" s="873"/>
      <c r="K53" s="873"/>
      <c r="L53" s="873"/>
      <c r="M53" s="873"/>
      <c r="N53" s="873"/>
      <c r="AB53">
        <f t="shared" si="15"/>
        <v>0.5</v>
      </c>
      <c r="AC53">
        <f t="shared" si="16"/>
        <v>12000</v>
      </c>
      <c r="AD53" t="e">
        <f t="shared" si="17"/>
        <v>#N/A</v>
      </c>
      <c r="AE53" t="e">
        <f t="shared" si="25"/>
        <v>#N/A</v>
      </c>
      <c r="AF53" t="e">
        <f t="shared" si="26"/>
        <v>#N/A</v>
      </c>
      <c r="AG53" t="e">
        <f t="shared" si="27"/>
        <v>#N/A</v>
      </c>
      <c r="AH53" t="e">
        <f t="shared" si="28"/>
        <v>#N/A</v>
      </c>
      <c r="AI53" t="e">
        <f t="shared" si="29"/>
        <v>#N/A</v>
      </c>
      <c r="AJ53" t="e">
        <f t="shared" si="30"/>
        <v>#N/A</v>
      </c>
      <c r="AK53" t="str">
        <f t="shared" si="31"/>
        <v/>
      </c>
    </row>
    <row r="54" spans="1:37" ht="15.5" x14ac:dyDescent="0.35">
      <c r="A54" s="705">
        <v>727</v>
      </c>
      <c r="B54" s="564" t="s">
        <v>1428</v>
      </c>
      <c r="C54" s="564"/>
      <c r="D54" s="199"/>
      <c r="E54" s="1039"/>
      <c r="F54" s="481" t="str">
        <f t="shared" si="14"/>
        <v/>
      </c>
      <c r="G54" s="158" t="e">
        <f>IF(AA54&lt;&gt;"","Warning","")</f>
        <v>#N/A</v>
      </c>
      <c r="H54" s="896" t="e">
        <f>IF($G54="Warning",BN542,IF(AK54="Warning","This year'sfigure is over "&amp;AC54/1000&amp;" million and "&amp;(AB54*100)&amp;"% different to "&amp;TEXT(AD54,"#,###")&amp;" last year, pleae explain",""))</f>
        <v>#N/A</v>
      </c>
      <c r="I54" s="890"/>
      <c r="J54" s="873"/>
      <c r="K54" s="873"/>
      <c r="L54" s="873"/>
      <c r="M54" s="873"/>
      <c r="N54" s="873"/>
      <c r="AA54" s="152" t="e">
        <f>BN542</f>
        <v>#N/A</v>
      </c>
      <c r="AB54">
        <f t="shared" si="15"/>
        <v>0.4</v>
      </c>
      <c r="AC54">
        <f t="shared" si="16"/>
        <v>4000</v>
      </c>
      <c r="AD54" t="e">
        <f t="shared" si="17"/>
        <v>#N/A</v>
      </c>
      <c r="AE54" t="e">
        <f t="shared" si="25"/>
        <v>#N/A</v>
      </c>
      <c r="AF54" t="e">
        <f t="shared" si="26"/>
        <v>#N/A</v>
      </c>
      <c r="AG54" t="e">
        <f t="shared" si="27"/>
        <v>#N/A</v>
      </c>
      <c r="AH54" t="e">
        <f t="shared" si="28"/>
        <v>#N/A</v>
      </c>
      <c r="AI54" t="e">
        <f t="shared" si="29"/>
        <v>#N/A</v>
      </c>
      <c r="AJ54" t="e">
        <f t="shared" si="30"/>
        <v>#N/A</v>
      </c>
      <c r="AK54" t="str">
        <f t="shared" si="31"/>
        <v/>
      </c>
    </row>
    <row r="55" spans="1:37" ht="15.5" x14ac:dyDescent="0.35">
      <c r="A55" s="705">
        <v>728</v>
      </c>
      <c r="B55" s="564" t="s">
        <v>1429</v>
      </c>
      <c r="C55" s="564"/>
      <c r="D55" s="199"/>
      <c r="E55" s="1039"/>
      <c r="F55" s="481" t="str">
        <f t="shared" si="14"/>
        <v/>
      </c>
      <c r="G55" s="158" t="str">
        <f>IF(AK55="Warning","Warning","")</f>
        <v/>
      </c>
      <c r="H55" s="896" t="str">
        <f>IF($G55="Warning","This year's figure is over "&amp;AC55/1000&amp;" million and "&amp;(AB55*100)&amp;"% different to "&amp;TEXT(AD55,"#,###")&amp;" last year, please explain","")</f>
        <v/>
      </c>
      <c r="I55" s="890"/>
      <c r="J55" s="873"/>
      <c r="K55" s="873"/>
      <c r="L55" s="873"/>
      <c r="M55" s="873"/>
      <c r="N55" s="873"/>
      <c r="AB55">
        <f t="shared" si="15"/>
        <v>0.4</v>
      </c>
      <c r="AC55">
        <f t="shared" si="16"/>
        <v>8000</v>
      </c>
      <c r="AD55" t="e">
        <f t="shared" si="17"/>
        <v>#N/A</v>
      </c>
      <c r="AE55" t="e">
        <f t="shared" si="25"/>
        <v>#N/A</v>
      </c>
      <c r="AF55" t="e">
        <f t="shared" si="26"/>
        <v>#N/A</v>
      </c>
      <c r="AG55" t="e">
        <f t="shared" si="27"/>
        <v>#N/A</v>
      </c>
      <c r="AH55" t="e">
        <f t="shared" si="28"/>
        <v>#N/A</v>
      </c>
      <c r="AI55" t="e">
        <f t="shared" si="29"/>
        <v>#N/A</v>
      </c>
      <c r="AJ55" t="e">
        <f t="shared" si="30"/>
        <v>#N/A</v>
      </c>
      <c r="AK55" t="str">
        <f t="shared" si="31"/>
        <v/>
      </c>
    </row>
    <row r="56" spans="1:37" ht="15.5" x14ac:dyDescent="0.35">
      <c r="A56" s="705">
        <v>731</v>
      </c>
      <c r="B56" s="796" t="s">
        <v>1430</v>
      </c>
      <c r="C56" s="796"/>
      <c r="D56" s="962" t="s">
        <v>1431</v>
      </c>
      <c r="E56" s="1037">
        <f>TSR!H57</f>
        <v>0</v>
      </c>
      <c r="F56" s="481" t="str">
        <f t="shared" si="14"/>
        <v/>
      </c>
      <c r="G56" s="158" t="str">
        <f t="shared" ref="G56:G61" si="32">IF(AK56="Warning","Warning","")</f>
        <v/>
      </c>
      <c r="H56" s="896" t="str">
        <f t="shared" ref="H56:H61" si="33">IF($G56="Warning","This year's figure is over "&amp;AC56/1000&amp;" million and "&amp;(AB56*100)&amp;"% different to "&amp;TEXT(AD56,"#,###")&amp;" last year, please explain","")</f>
        <v/>
      </c>
      <c r="I56" s="890"/>
      <c r="J56" s="873"/>
      <c r="K56" s="873"/>
      <c r="L56" s="873"/>
      <c r="M56" s="873"/>
      <c r="N56" s="873"/>
      <c r="AB56">
        <f t="shared" si="15"/>
        <v>0.4</v>
      </c>
      <c r="AC56">
        <f t="shared" si="16"/>
        <v>10000</v>
      </c>
      <c r="AD56" t="e">
        <f t="shared" si="17"/>
        <v>#N/A</v>
      </c>
      <c r="AE56" t="e">
        <f t="shared" si="25"/>
        <v>#N/A</v>
      </c>
      <c r="AF56" t="e">
        <f t="shared" si="26"/>
        <v>#N/A</v>
      </c>
      <c r="AG56" t="e">
        <f t="shared" si="27"/>
        <v>#N/A</v>
      </c>
      <c r="AH56" t="e">
        <f t="shared" si="28"/>
        <v>#N/A</v>
      </c>
      <c r="AI56" t="e">
        <f t="shared" si="29"/>
        <v>#N/A</v>
      </c>
      <c r="AJ56" t="e">
        <f t="shared" si="30"/>
        <v>#N/A</v>
      </c>
      <c r="AK56" t="str">
        <f t="shared" si="31"/>
        <v/>
      </c>
    </row>
    <row r="57" spans="1:37" ht="15.5" x14ac:dyDescent="0.35">
      <c r="A57" s="705">
        <v>732</v>
      </c>
      <c r="B57" s="796" t="s">
        <v>1432</v>
      </c>
      <c r="C57" s="796"/>
      <c r="D57" s="962" t="s">
        <v>1433</v>
      </c>
      <c r="E57" s="1037">
        <f>TSR!H90</f>
        <v>0</v>
      </c>
      <c r="F57" s="481" t="str">
        <f t="shared" si="14"/>
        <v/>
      </c>
      <c r="G57" s="158" t="str">
        <f t="shared" si="32"/>
        <v/>
      </c>
      <c r="H57" s="896" t="str">
        <f t="shared" si="33"/>
        <v/>
      </c>
      <c r="I57" s="890"/>
      <c r="J57" s="873"/>
      <c r="K57" s="873"/>
      <c r="L57" s="873"/>
      <c r="M57" s="873"/>
      <c r="N57" s="873"/>
      <c r="AB57">
        <f t="shared" si="15"/>
        <v>0.5</v>
      </c>
      <c r="AC57">
        <f t="shared" si="16"/>
        <v>4000</v>
      </c>
      <c r="AD57" t="e">
        <f t="shared" si="17"/>
        <v>#N/A</v>
      </c>
      <c r="AE57" t="e">
        <f t="shared" si="25"/>
        <v>#N/A</v>
      </c>
      <c r="AF57" t="e">
        <f t="shared" si="26"/>
        <v>#N/A</v>
      </c>
      <c r="AG57" t="e">
        <f t="shared" si="27"/>
        <v>#N/A</v>
      </c>
      <c r="AH57" t="e">
        <f t="shared" si="28"/>
        <v>#N/A</v>
      </c>
      <c r="AI57" t="e">
        <f t="shared" si="29"/>
        <v>#N/A</v>
      </c>
      <c r="AJ57" t="e">
        <f t="shared" si="30"/>
        <v>#N/A</v>
      </c>
      <c r="AK57" t="str">
        <f t="shared" si="31"/>
        <v/>
      </c>
    </row>
    <row r="58" spans="1:37" ht="15.5" x14ac:dyDescent="0.35">
      <c r="A58" s="705">
        <v>741</v>
      </c>
      <c r="B58" s="800" t="s">
        <v>1434</v>
      </c>
      <c r="C58" s="800"/>
      <c r="D58" s="962" t="s">
        <v>1435</v>
      </c>
      <c r="E58" s="1037">
        <f>TSR!H56*-1</f>
        <v>0</v>
      </c>
      <c r="F58" s="481" t="str">
        <f t="shared" si="14"/>
        <v/>
      </c>
      <c r="G58" s="158" t="str">
        <f t="shared" si="32"/>
        <v/>
      </c>
      <c r="H58" s="896" t="str">
        <f t="shared" si="33"/>
        <v/>
      </c>
      <c r="I58" s="890"/>
      <c r="J58" s="873"/>
      <c r="K58" s="873"/>
      <c r="L58" s="873"/>
      <c r="M58" s="873"/>
      <c r="N58" s="873"/>
      <c r="AB58">
        <f t="shared" si="15"/>
        <v>0.4</v>
      </c>
      <c r="AC58">
        <f t="shared" si="16"/>
        <v>4000</v>
      </c>
      <c r="AD58" t="e">
        <f t="shared" si="17"/>
        <v>#N/A</v>
      </c>
      <c r="AE58" t="e">
        <f t="shared" si="25"/>
        <v>#N/A</v>
      </c>
      <c r="AF58" t="e">
        <f t="shared" si="26"/>
        <v>#N/A</v>
      </c>
      <c r="AG58" t="e">
        <f t="shared" si="27"/>
        <v>#N/A</v>
      </c>
      <c r="AH58" t="e">
        <f t="shared" si="28"/>
        <v>#N/A</v>
      </c>
      <c r="AI58" t="e">
        <f t="shared" si="29"/>
        <v>#N/A</v>
      </c>
      <c r="AJ58" t="e">
        <f t="shared" si="30"/>
        <v>#N/A</v>
      </c>
      <c r="AK58" t="str">
        <f t="shared" si="31"/>
        <v/>
      </c>
    </row>
    <row r="59" spans="1:37" ht="15.5" x14ac:dyDescent="0.35">
      <c r="A59" s="705">
        <v>742</v>
      </c>
      <c r="B59" s="800" t="s">
        <v>1436</v>
      </c>
      <c r="C59" s="800"/>
      <c r="D59" s="962" t="s">
        <v>1437</v>
      </c>
      <c r="E59" s="1037">
        <f>TSR!H89*-1</f>
        <v>0</v>
      </c>
      <c r="F59" s="481" t="str">
        <f t="shared" si="14"/>
        <v/>
      </c>
      <c r="G59" s="158" t="str">
        <f t="shared" si="32"/>
        <v/>
      </c>
      <c r="H59" s="896" t="str">
        <f t="shared" si="33"/>
        <v/>
      </c>
      <c r="I59" s="890"/>
      <c r="J59" s="873"/>
      <c r="K59" s="873"/>
      <c r="L59" s="873"/>
      <c r="M59" s="873"/>
      <c r="N59" s="873"/>
      <c r="AB59">
        <f t="shared" si="15"/>
        <v>0.4</v>
      </c>
      <c r="AC59">
        <f t="shared" si="16"/>
        <v>12000</v>
      </c>
      <c r="AD59" t="e">
        <f t="shared" si="17"/>
        <v>#N/A</v>
      </c>
      <c r="AE59" t="e">
        <f t="shared" si="25"/>
        <v>#N/A</v>
      </c>
      <c r="AF59" t="e">
        <f t="shared" si="26"/>
        <v>#N/A</v>
      </c>
      <c r="AG59" t="e">
        <f t="shared" si="27"/>
        <v>#N/A</v>
      </c>
      <c r="AH59" t="e">
        <f t="shared" si="28"/>
        <v>#N/A</v>
      </c>
      <c r="AI59" t="e">
        <f t="shared" si="29"/>
        <v>#N/A</v>
      </c>
      <c r="AJ59" t="e">
        <f t="shared" si="30"/>
        <v>#N/A</v>
      </c>
      <c r="AK59" t="str">
        <f t="shared" si="31"/>
        <v/>
      </c>
    </row>
    <row r="60" spans="1:37" s="3" customFormat="1" ht="15.5" x14ac:dyDescent="0.35">
      <c r="A60" s="705">
        <v>747</v>
      </c>
      <c r="B60" s="705" t="s">
        <v>1438</v>
      </c>
      <c r="C60" s="564"/>
      <c r="D60" s="510"/>
      <c r="E60" s="1039"/>
      <c r="F60" s="481" t="str">
        <f t="shared" si="14"/>
        <v/>
      </c>
      <c r="G60" s="158" t="str">
        <f t="shared" si="32"/>
        <v/>
      </c>
      <c r="H60" s="896" t="str">
        <f t="shared" si="33"/>
        <v/>
      </c>
      <c r="I60" s="895"/>
      <c r="J60" s="873"/>
      <c r="K60" s="877"/>
      <c r="L60" s="877"/>
      <c r="M60" s="877"/>
      <c r="N60" s="877"/>
      <c r="O60" s="878"/>
      <c r="P60" s="878"/>
      <c r="Q60" s="878"/>
      <c r="R60" s="878"/>
      <c r="S60" s="878"/>
      <c r="T60" s="878"/>
      <c r="U60" s="878"/>
      <c r="V60" s="878"/>
      <c r="AA60" s="153"/>
      <c r="AB60">
        <f t="shared" si="15"/>
        <v>0.4</v>
      </c>
      <c r="AC60" s="3">
        <f t="shared" si="16"/>
        <v>10000</v>
      </c>
      <c r="AD60" t="e">
        <f t="shared" si="17"/>
        <v>#N/A</v>
      </c>
      <c r="AE60" t="e">
        <f t="shared" si="25"/>
        <v>#N/A</v>
      </c>
      <c r="AF60" t="e">
        <f t="shared" si="26"/>
        <v>#N/A</v>
      </c>
      <c r="AG60" t="e">
        <f t="shared" si="27"/>
        <v>#N/A</v>
      </c>
      <c r="AH60" t="e">
        <f t="shared" si="28"/>
        <v>#N/A</v>
      </c>
      <c r="AI60" t="e">
        <f t="shared" si="29"/>
        <v>#N/A</v>
      </c>
      <c r="AJ60" t="e">
        <f t="shared" si="30"/>
        <v>#N/A</v>
      </c>
      <c r="AK60" t="str">
        <f t="shared" si="31"/>
        <v/>
      </c>
    </row>
    <row r="61" spans="1:37" ht="15.5" x14ac:dyDescent="0.35">
      <c r="A61" s="705">
        <v>748</v>
      </c>
      <c r="B61" s="564" t="s">
        <v>1439</v>
      </c>
      <c r="C61" s="564"/>
      <c r="D61" s="200"/>
      <c r="E61" s="1039"/>
      <c r="F61" s="481" t="str">
        <f t="shared" si="14"/>
        <v/>
      </c>
      <c r="G61" s="158" t="str">
        <f t="shared" si="32"/>
        <v/>
      </c>
      <c r="H61" s="896" t="str">
        <f t="shared" si="33"/>
        <v/>
      </c>
      <c r="I61" s="890"/>
      <c r="J61" s="873"/>
      <c r="K61" s="873"/>
      <c r="L61" s="873"/>
      <c r="M61" s="873"/>
      <c r="N61" s="873"/>
      <c r="AB61">
        <f t="shared" si="15"/>
        <v>0.4</v>
      </c>
      <c r="AC61">
        <f t="shared" si="16"/>
        <v>4000</v>
      </c>
      <c r="AD61" t="e">
        <f t="shared" si="17"/>
        <v>#N/A</v>
      </c>
      <c r="AE61" t="e">
        <f t="shared" si="25"/>
        <v>#N/A</v>
      </c>
      <c r="AF61" t="e">
        <f t="shared" si="26"/>
        <v>#N/A</v>
      </c>
      <c r="AG61" t="e">
        <f t="shared" si="27"/>
        <v>#N/A</v>
      </c>
      <c r="AH61" t="e">
        <f t="shared" si="28"/>
        <v>#N/A</v>
      </c>
      <c r="AI61" t="e">
        <f t="shared" si="29"/>
        <v>#N/A</v>
      </c>
      <c r="AJ61" t="e">
        <f t="shared" si="30"/>
        <v>#N/A</v>
      </c>
      <c r="AK61" t="str">
        <f t="shared" si="31"/>
        <v/>
      </c>
    </row>
    <row r="62" spans="1:37" s="37" customFormat="1" ht="18" x14ac:dyDescent="0.4">
      <c r="A62" s="798">
        <v>749</v>
      </c>
      <c r="B62" s="799" t="s">
        <v>1440</v>
      </c>
      <c r="C62" s="799"/>
      <c r="D62" s="68"/>
      <c r="E62" s="1038">
        <f>SUM(E42,E44:E48,E51:E61)</f>
        <v>0</v>
      </c>
      <c r="F62" s="481" t="str">
        <f t="shared" si="14"/>
        <v/>
      </c>
      <c r="G62" s="158" t="str">
        <f t="shared" ref="G62" si="34">IF(AK62="Warning","Warning","")</f>
        <v/>
      </c>
      <c r="H62" s="896"/>
      <c r="I62" s="895"/>
      <c r="J62" s="873"/>
      <c r="K62" s="877"/>
      <c r="L62" s="877"/>
      <c r="M62" s="877"/>
      <c r="N62" s="877"/>
      <c r="O62" s="878"/>
      <c r="P62" s="878"/>
      <c r="Q62" s="878"/>
      <c r="R62" s="878"/>
      <c r="S62" s="878"/>
      <c r="T62" s="878"/>
      <c r="U62" s="878"/>
      <c r="V62" s="878"/>
      <c r="W62" s="512"/>
      <c r="X62" s="512"/>
      <c r="Y62" s="512"/>
      <c r="Z62" s="512"/>
      <c r="AA62" s="513"/>
      <c r="AB62">
        <f t="shared" si="15"/>
        <v>0.15</v>
      </c>
      <c r="AC62" s="512">
        <f t="shared" si="16"/>
        <v>2000</v>
      </c>
      <c r="AD62" s="512"/>
      <c r="AE62" s="512"/>
      <c r="AF62" s="512"/>
      <c r="AG62" s="512"/>
      <c r="AH62" s="512"/>
      <c r="AI62" s="512"/>
      <c r="AJ62" s="512"/>
      <c r="AK62" s="512"/>
    </row>
    <row r="63" spans="1:37" ht="18" x14ac:dyDescent="0.4">
      <c r="A63" s="705"/>
      <c r="B63" s="800"/>
      <c r="C63" s="800"/>
      <c r="D63" s="68"/>
      <c r="E63" s="36"/>
      <c r="F63" s="482"/>
      <c r="G63" s="158"/>
      <c r="H63" s="896"/>
      <c r="I63" s="890"/>
      <c r="J63" s="873"/>
      <c r="K63" s="873"/>
      <c r="L63" s="873"/>
      <c r="M63" s="873"/>
      <c r="N63" s="873"/>
    </row>
    <row r="64" spans="1:37" ht="15.5" x14ac:dyDescent="0.35">
      <c r="A64" s="705">
        <v>759</v>
      </c>
      <c r="B64" s="800" t="s">
        <v>1441</v>
      </c>
      <c r="C64" s="800"/>
      <c r="D64" s="201"/>
      <c r="E64" s="1039"/>
      <c r="F64" s="481" t="str">
        <f t="shared" ref="F64:F95" si="35">IF(ISERROR(G64),"",IF((G64="Error"),"add explanation",IF((G64="Warning"),"add explanation","")))</f>
        <v/>
      </c>
      <c r="G64" s="158" t="e">
        <f>IF(AA64&lt;&gt;"","Warning","")</f>
        <v>#N/A</v>
      </c>
      <c r="H64" s="896" t="e">
        <f>IF($G64="Warning","A greater than zero value is expected for your class of local authority please complete",IF(AK64="Warning","This year's figure is over "&amp;AC64/1000&amp;" million and "&amp;(AB64*100)&amp;"% different to "&amp;TEXT(AD64,"#,###")&amp;" last year, please explain",""))</f>
        <v>#N/A</v>
      </c>
      <c r="I64" s="890"/>
      <c r="J64" s="873"/>
      <c r="K64" s="873"/>
      <c r="L64" s="873"/>
      <c r="M64" s="873"/>
      <c r="N64" s="873"/>
      <c r="AA64" s="152" t="e">
        <f>BV542</f>
        <v>#N/A</v>
      </c>
      <c r="AB64">
        <f>VLOOKUP("RS"&amp;$A64,data_val_parameters,9,0)/100</f>
        <v>0.4</v>
      </c>
      <c r="AC64">
        <f t="shared" ref="AC64:AC95" si="36">VLOOKUP("RS"&amp;$A64,data_val_parameters,7,0)</f>
        <v>4000</v>
      </c>
      <c r="AD64" t="e">
        <f>VLOOKUP(LA_code,data_prev_year,MATCH("RS"&amp;$A64&amp;"1",data_prev_year_headers,0),0)</f>
        <v>#N/A</v>
      </c>
      <c r="AE64" t="e">
        <f t="shared" ref="AE64" si="37">AD64+AC64</f>
        <v>#N/A</v>
      </c>
      <c r="AF64" t="e">
        <f t="shared" ref="AF64" si="38">AD64-AC64</f>
        <v>#N/A</v>
      </c>
      <c r="AG64" t="e">
        <f t="shared" ref="AG64" si="39">AD64+(AD64*AB64)</f>
        <v>#N/A</v>
      </c>
      <c r="AH64" t="e">
        <f t="shared" ref="AH64" si="40">AD64-(AD64*AB64)</f>
        <v>#N/A</v>
      </c>
      <c r="AI64" t="e">
        <f t="shared" ref="AI64" si="41">IF(OR(E64&lt;AF64,E64&gt;AE64),"Warning","")</f>
        <v>#N/A</v>
      </c>
      <c r="AJ64" t="e">
        <f t="shared" ref="AJ64" si="42">IF(OR(E64&gt;(AG64),E64&lt;(AH64)),"Warning","")</f>
        <v>#N/A</v>
      </c>
      <c r="AK64" t="str">
        <f t="shared" ref="AK64" si="43">IF(OR(E64=0),"",IF(AND(AI64="Warning",AJ64="Warning"),"Warning",""))</f>
        <v/>
      </c>
    </row>
    <row r="65" spans="1:37" ht="15.5" x14ac:dyDescent="0.35">
      <c r="A65" s="705">
        <v>765</v>
      </c>
      <c r="B65" s="564" t="s">
        <v>1442</v>
      </c>
      <c r="C65" s="564"/>
      <c r="D65" s="11"/>
      <c r="E65" s="1039"/>
      <c r="F65" s="481" t="str">
        <f t="shared" si="35"/>
        <v/>
      </c>
      <c r="G65" s="142" t="e">
        <f>IF(E65&lt;0,"Error",IF(AND(E65=0,VLOOKUP(LA_code,LA_Data,33,0)&gt;10),"Warning",IF(AK65="Warning","Warning","")))</f>
        <v>#N/A</v>
      </c>
      <c r="H65" s="897" t="e">
        <f>IF(G65="Warning",IFERROR(VLOOKUP(LA_code,LA_Data,33,0),0),"")</f>
        <v>#N/A</v>
      </c>
      <c r="I65" s="896" t="e">
        <f>IF(E65&lt;0,"Only Zero or a Positive figure can be entered in this cell.",IF(G65="Warning","This is the figure reported in the Revenue Account Budget return for 2022-23",IF(AK65="Warning","This year's figure is over "&amp;AC65/1000&amp;" million and "&amp;(AB65*100)&amp;"% different to "&amp;TEXT(AD65,"#,###")&amp;" last year, please explain","")))</f>
        <v>#N/A</v>
      </c>
      <c r="J65" s="873"/>
      <c r="K65" s="873"/>
      <c r="L65" s="873"/>
      <c r="M65" s="873"/>
      <c r="N65" s="873"/>
      <c r="AB65">
        <f>VLOOKUP("RS"&amp;$A65,data_val_parameters,9,0)/100</f>
        <v>0.4</v>
      </c>
      <c r="AC65">
        <f t="shared" si="36"/>
        <v>4000</v>
      </c>
      <c r="AD65" t="e">
        <f>VLOOKUP(LA_code,data_prev_year,MATCH("RS"&amp;$A65&amp;"1",data_prev_year_headers,0),0)</f>
        <v>#N/A</v>
      </c>
      <c r="AE65" t="e">
        <f t="shared" ref="AE65:AE66" si="44">AD65+AC65</f>
        <v>#N/A</v>
      </c>
      <c r="AF65" t="e">
        <f t="shared" ref="AF65:AF66" si="45">AD65-AC65</f>
        <v>#N/A</v>
      </c>
      <c r="AG65" t="e">
        <f t="shared" ref="AG65:AG66" si="46">AD65+(AD65*AB65)</f>
        <v>#N/A</v>
      </c>
      <c r="AH65" t="e">
        <f t="shared" ref="AH65:AH66" si="47">AD65-(AD65*AB65)</f>
        <v>#N/A</v>
      </c>
      <c r="AI65" t="e">
        <f t="shared" ref="AI65:AI66" si="48">IF(OR(E65&lt;AF65,E65&gt;AE65),"Warning","")</f>
        <v>#N/A</v>
      </c>
      <c r="AJ65" t="e">
        <f t="shared" ref="AJ65:AJ66" si="49">IF(OR(E65&gt;(AG65),E65&lt;(AH65)),"Warning","")</f>
        <v>#N/A</v>
      </c>
      <c r="AK65" t="str">
        <f t="shared" ref="AK65:AK66" si="50">IF(OR(E65=0),"",IF(AND(AI65="Warning",AJ65="Warning"),"Warning",""))</f>
        <v/>
      </c>
    </row>
    <row r="66" spans="1:37" ht="15.5" x14ac:dyDescent="0.35">
      <c r="A66" s="705">
        <v>766</v>
      </c>
      <c r="B66" s="564" t="s">
        <v>1443</v>
      </c>
      <c r="C66" s="564"/>
      <c r="D66" s="11"/>
      <c r="E66" s="1039"/>
      <c r="F66" s="481" t="str">
        <f t="shared" si="35"/>
        <v/>
      </c>
      <c r="G66" s="142" t="str">
        <f>IF(E66&lt;0,"Error",IF(E66&gt;(0.25*SUM(RG!$G$32)),"Warning",""))</f>
        <v/>
      </c>
      <c r="H66" s="896" t="str">
        <f>IF(E66&lt;0,"Only Zero or a Positive figure can be entered in this cell.",IF(E66&gt;(0.25*SUM(RG!$G$32)),"Public Health CERA is greater than 25% of the PH Grant, please either review or explain in the memo",""))</f>
        <v/>
      </c>
      <c r="I66" s="898" t="str">
        <f>IF(AK66="Warning","This year's figure is over "&amp;AC66/1000&amp;" million and "&amp;(AB66*100)&amp;"% different to "&amp;TEXT(AD66,"#,###")&amp;" last year, please explain","")</f>
        <v/>
      </c>
      <c r="J66" s="873"/>
      <c r="K66" s="873"/>
      <c r="L66" s="873"/>
      <c r="M66" s="873"/>
      <c r="N66" s="873"/>
      <c r="AB66">
        <f>VLOOKUP("RS"&amp;$A66,data_val_parameters,9,0)/100</f>
        <v>0.4</v>
      </c>
      <c r="AC66">
        <f t="shared" si="36"/>
        <v>4000</v>
      </c>
      <c r="AD66" t="e">
        <f>VLOOKUP(LA_code,data_prev_year,MATCH("RS"&amp;$A66&amp;"1",data_prev_year_headers,0),0)</f>
        <v>#N/A</v>
      </c>
      <c r="AE66" t="e">
        <f t="shared" si="44"/>
        <v>#N/A</v>
      </c>
      <c r="AF66" t="e">
        <f t="shared" si="45"/>
        <v>#N/A</v>
      </c>
      <c r="AG66" t="e">
        <f t="shared" si="46"/>
        <v>#N/A</v>
      </c>
      <c r="AH66" t="e">
        <f t="shared" si="47"/>
        <v>#N/A</v>
      </c>
      <c r="AI66" t="e">
        <f t="shared" si="48"/>
        <v>#N/A</v>
      </c>
      <c r="AJ66" t="e">
        <f t="shared" si="49"/>
        <v>#N/A</v>
      </c>
      <c r="AK66" t="str">
        <f t="shared" si="50"/>
        <v/>
      </c>
    </row>
    <row r="67" spans="1:37" ht="15.65" customHeight="1" x14ac:dyDescent="0.35">
      <c r="A67" s="569">
        <v>767</v>
      </c>
      <c r="B67" s="803" t="s">
        <v>1444</v>
      </c>
      <c r="C67" s="564"/>
      <c r="D67" s="409"/>
      <c r="E67" s="1039"/>
      <c r="F67" s="481" t="str">
        <f t="shared" si="35"/>
        <v/>
      </c>
      <c r="G67" s="142" t="str">
        <f>IF(E67&gt;0,"Error","")</f>
        <v/>
      </c>
      <c r="H67" s="898" t="str">
        <f>IF(E67&gt;0,"Only Zero or a negative figure can be entered in this cell","")</f>
        <v/>
      </c>
      <c r="I67" s="899" t="e">
        <f>" Your authority provided the figure "&amp;TEXT(VLOOKUP(LA_code,LA_Data,34,FALSE),"#,##0")&amp;" in your CER 22-23 return and "&amp;TEXT(VLOOKUP(LA_code,LA_Data,36,FALSE),"#,##0")&amp;" in your RA 22-23 return"</f>
        <v>#N/A</v>
      </c>
      <c r="J67" s="873"/>
      <c r="K67" s="873"/>
      <c r="L67" s="873"/>
      <c r="M67" s="873"/>
      <c r="N67" s="873"/>
    </row>
    <row r="68" spans="1:37" ht="15.5" x14ac:dyDescent="0.35">
      <c r="A68" s="705">
        <v>768</v>
      </c>
      <c r="B68" s="564" t="s">
        <v>1445</v>
      </c>
      <c r="C68" s="564"/>
      <c r="D68" s="409"/>
      <c r="E68" s="1039"/>
      <c r="F68" s="686" t="str">
        <f t="shared" si="35"/>
        <v/>
      </c>
      <c r="G68" s="310" t="str">
        <f>IF(E68&gt;0,"Error","")</f>
        <v/>
      </c>
      <c r="H68" s="898" t="str">
        <f>IF(G68="Error","A negative figure is expected","")</f>
        <v/>
      </c>
      <c r="J68" s="873"/>
      <c r="K68" s="873"/>
      <c r="L68" s="873"/>
      <c r="M68" s="873"/>
      <c r="N68" s="873"/>
    </row>
    <row r="69" spans="1:37" ht="15.5" x14ac:dyDescent="0.35">
      <c r="A69" s="705">
        <v>771</v>
      </c>
      <c r="B69" s="564" t="s">
        <v>1446</v>
      </c>
      <c r="C69" s="705"/>
      <c r="D69" s="11"/>
      <c r="E69" s="1039"/>
      <c r="F69" s="481" t="str">
        <f t="shared" si="35"/>
        <v/>
      </c>
      <c r="G69" s="158" t="str">
        <f>IF(AK69="Warning","Warning","")</f>
        <v/>
      </c>
      <c r="H69" s="896" t="str">
        <f>IF($G69="Warning","This year's figure is over "&amp;AC69/1000&amp;" million and "&amp;(AB69*100)&amp;"% different to "&amp;TEXT(AD69,"#,###")&amp;" last year, please explain","")</f>
        <v/>
      </c>
      <c r="I69" s="890"/>
      <c r="J69" s="873"/>
      <c r="K69" s="873"/>
      <c r="L69" s="873"/>
      <c r="M69" s="873"/>
      <c r="N69" s="873"/>
      <c r="AB69">
        <f t="shared" ref="AB69:AB95" si="51">VLOOKUP("RS"&amp;$A69,data_val_parameters,9,0)/100</f>
        <v>0.4</v>
      </c>
      <c r="AC69">
        <f t="shared" si="36"/>
        <v>8000</v>
      </c>
      <c r="AD69" t="e">
        <f t="shared" ref="AD69:AD93" si="52">VLOOKUP(LA_code,data_prev_year,MATCH("RS"&amp;$A69&amp;"1",data_prev_year_headers,0),0)</f>
        <v>#N/A</v>
      </c>
      <c r="AE69" t="e">
        <f t="shared" ref="AE69" si="53">AD69+AC69</f>
        <v>#N/A</v>
      </c>
      <c r="AF69" t="e">
        <f t="shared" ref="AF69" si="54">AD69-AC69</f>
        <v>#N/A</v>
      </c>
      <c r="AG69" t="e">
        <f t="shared" ref="AG69" si="55">AD69+(AD69*AB69)</f>
        <v>#N/A</v>
      </c>
      <c r="AH69" t="e">
        <f t="shared" ref="AH69" si="56">AD69-(AD69*AB69)</f>
        <v>#N/A</v>
      </c>
      <c r="AI69" t="e">
        <f t="shared" ref="AI69" si="57">IF(OR(E69&lt;AF69,E69&gt;AE69),"Warning","")</f>
        <v>#N/A</v>
      </c>
      <c r="AJ69" t="e">
        <f t="shared" ref="AJ69" si="58">IF(OR(E69&gt;(AG69),E69&lt;(AH69)),"Warning","")</f>
        <v>#N/A</v>
      </c>
      <c r="AK69" t="str">
        <f t="shared" ref="AK69" si="59">IF(OR(E69=0),"",IF(AND(AI69="Warning",AJ69="Warning"),"Warning",""))</f>
        <v/>
      </c>
    </row>
    <row r="70" spans="1:37" ht="15.5" x14ac:dyDescent="0.35">
      <c r="A70" s="705">
        <v>773</v>
      </c>
      <c r="B70" s="564" t="s">
        <v>1447</v>
      </c>
      <c r="C70" s="564"/>
      <c r="D70" s="199"/>
      <c r="E70" s="1039"/>
      <c r="F70" s="481" t="str">
        <f t="shared" si="35"/>
        <v/>
      </c>
      <c r="G70" s="158" t="str">
        <f t="shared" ref="G70:G73" si="60">IF(AK70="Warning","Warning","")</f>
        <v/>
      </c>
      <c r="H70" s="896" t="str">
        <f t="shared" ref="H70:H73" si="61">IF($G70="Warning","This year's figure is over "&amp;AC70/1000&amp;" million and "&amp;(AB70*100)&amp;"% different to "&amp;TEXT(AD70,"#,###")&amp;" last year, please explain","")</f>
        <v/>
      </c>
      <c r="I70" s="890"/>
      <c r="J70" s="873"/>
      <c r="K70" s="873"/>
      <c r="L70" s="873"/>
      <c r="M70" s="873"/>
      <c r="N70" s="873"/>
      <c r="AB70">
        <f t="shared" si="51"/>
        <v>0.4</v>
      </c>
      <c r="AC70">
        <f t="shared" si="36"/>
        <v>10000</v>
      </c>
      <c r="AD70" t="e">
        <f t="shared" si="52"/>
        <v>#N/A</v>
      </c>
      <c r="AE70" t="e">
        <f t="shared" ref="AE70:AE93" si="62">AD70+AC70</f>
        <v>#N/A</v>
      </c>
      <c r="AF70" t="e">
        <f t="shared" ref="AF70:AF93" si="63">AD70-AC70</f>
        <v>#N/A</v>
      </c>
      <c r="AG70" t="e">
        <f t="shared" ref="AG70:AG93" si="64">AD70+(AD70*AB70)</f>
        <v>#N/A</v>
      </c>
      <c r="AH70" t="e">
        <f t="shared" ref="AH70:AH93" si="65">AD70-(AD70*AB70)</f>
        <v>#N/A</v>
      </c>
      <c r="AI70" t="e">
        <f t="shared" ref="AI70:AI93" si="66">IF(OR(E70&lt;AF70,E70&gt;AE70),"Warning","")</f>
        <v>#N/A</v>
      </c>
      <c r="AJ70" t="e">
        <f t="shared" ref="AJ70:AJ93" si="67">IF(OR(E70&gt;(AG70),E70&lt;(AH70)),"Warning","")</f>
        <v>#N/A</v>
      </c>
      <c r="AK70" t="str">
        <f t="shared" ref="AK70:AK93" si="68">IF(OR(E70=0),"",IF(AND(AI70="Warning",AJ70="Warning"),"Warning",""))</f>
        <v/>
      </c>
    </row>
    <row r="71" spans="1:37" ht="15.5" x14ac:dyDescent="0.35">
      <c r="A71" s="705">
        <v>776</v>
      </c>
      <c r="B71" s="564" t="s">
        <v>1448</v>
      </c>
      <c r="C71" s="564"/>
      <c r="D71" s="11"/>
      <c r="E71" s="1039"/>
      <c r="F71" s="481" t="str">
        <f t="shared" si="35"/>
        <v/>
      </c>
      <c r="G71" s="158" t="str">
        <f t="shared" si="60"/>
        <v/>
      </c>
      <c r="H71" s="896" t="str">
        <f t="shared" si="61"/>
        <v/>
      </c>
      <c r="I71" s="890"/>
      <c r="J71" s="873"/>
      <c r="K71" s="873"/>
      <c r="L71" s="873"/>
      <c r="M71" s="873"/>
      <c r="N71" s="873"/>
      <c r="AB71">
        <f t="shared" si="51"/>
        <v>0.4</v>
      </c>
      <c r="AC71">
        <f t="shared" si="36"/>
        <v>4000</v>
      </c>
      <c r="AD71" t="e">
        <f t="shared" si="52"/>
        <v>#N/A</v>
      </c>
      <c r="AE71" t="e">
        <f t="shared" si="62"/>
        <v>#N/A</v>
      </c>
      <c r="AF71" t="e">
        <f t="shared" si="63"/>
        <v>#N/A</v>
      </c>
      <c r="AG71" t="e">
        <f t="shared" si="64"/>
        <v>#N/A</v>
      </c>
      <c r="AH71" t="e">
        <f t="shared" si="65"/>
        <v>#N/A</v>
      </c>
      <c r="AI71" t="e">
        <f t="shared" si="66"/>
        <v>#N/A</v>
      </c>
      <c r="AJ71" t="e">
        <f t="shared" si="67"/>
        <v>#N/A</v>
      </c>
      <c r="AK71" t="str">
        <f t="shared" si="68"/>
        <v/>
      </c>
    </row>
    <row r="72" spans="1:37" ht="15.5" x14ac:dyDescent="0.35">
      <c r="A72" s="705">
        <v>781</v>
      </c>
      <c r="B72" s="564" t="s">
        <v>1449</v>
      </c>
      <c r="C72" s="800"/>
      <c r="D72" s="11"/>
      <c r="E72" s="1041">
        <f>IF(ISERROR(VLOOKUP(LA_code,LA_Data,40,0)),0,ROUND(VLOOKUP(LA_code,LA_Data,40,0),0))</f>
        <v>0</v>
      </c>
      <c r="F72" s="481" t="str">
        <f t="shared" si="35"/>
        <v/>
      </c>
      <c r="G72" s="158" t="e">
        <f>IF(E72&lt;0,"Error",IF($E72&lt;ROUND(VLOOKUP(LA_code,LA_Data,40,0),0),"Warning",IF(AK72="Warning","Warning","")))</f>
        <v>#N/A</v>
      </c>
      <c r="H72" s="896" t="e">
        <f>IF($G72="ERROR","A positive figure is expected here",IF($AK72="Warning","This year's figure is over "&amp;AC72/1000&amp;" million and "&amp;(AB72*100)&amp;"% different to "&amp;TEXT(AD72,"#,###")&amp;" last year, please explain",""))</f>
        <v>#N/A</v>
      </c>
      <c r="I72" s="901" t="e">
        <f>IF($E72&lt;ROUND(VLOOKUP(LA_code,LA_Data,40,0),0),"This amount is less than the interest that was payable for your PWLB loans, please explain","")</f>
        <v>#N/A</v>
      </c>
      <c r="J72" s="873"/>
      <c r="K72" s="873"/>
      <c r="L72" s="873"/>
      <c r="M72" s="873"/>
      <c r="N72" s="873"/>
      <c r="AB72">
        <f t="shared" si="51"/>
        <v>0.4</v>
      </c>
      <c r="AC72">
        <f t="shared" si="36"/>
        <v>4000</v>
      </c>
      <c r="AD72" t="e">
        <f t="shared" si="52"/>
        <v>#N/A</v>
      </c>
      <c r="AE72" t="e">
        <f t="shared" si="62"/>
        <v>#N/A</v>
      </c>
      <c r="AF72" t="e">
        <f t="shared" si="63"/>
        <v>#N/A</v>
      </c>
      <c r="AG72" t="e">
        <f t="shared" si="64"/>
        <v>#N/A</v>
      </c>
      <c r="AH72" t="e">
        <f t="shared" si="65"/>
        <v>#N/A</v>
      </c>
      <c r="AI72" t="e">
        <f t="shared" si="66"/>
        <v>#N/A</v>
      </c>
      <c r="AJ72" t="e">
        <f t="shared" si="67"/>
        <v>#N/A</v>
      </c>
      <c r="AK72" t="str">
        <f t="shared" si="68"/>
        <v/>
      </c>
    </row>
    <row r="73" spans="1:37" ht="15.5" x14ac:dyDescent="0.35">
      <c r="A73" s="705">
        <v>783</v>
      </c>
      <c r="B73" s="800" t="s">
        <v>1450</v>
      </c>
      <c r="C73" s="800"/>
      <c r="D73" s="11"/>
      <c r="E73" s="1039"/>
      <c r="F73" s="481" t="str">
        <f t="shared" si="35"/>
        <v/>
      </c>
      <c r="G73" s="158" t="str">
        <f t="shared" si="60"/>
        <v/>
      </c>
      <c r="H73" s="896" t="str">
        <f t="shared" si="61"/>
        <v/>
      </c>
      <c r="I73" s="890"/>
      <c r="J73" s="873"/>
      <c r="K73" s="873"/>
      <c r="L73" s="873"/>
      <c r="M73" s="873"/>
      <c r="N73" s="873"/>
      <c r="AB73">
        <f t="shared" si="51"/>
        <v>0.4</v>
      </c>
      <c r="AC73">
        <f t="shared" si="36"/>
        <v>8000</v>
      </c>
      <c r="AD73" t="e">
        <f t="shared" si="52"/>
        <v>#N/A</v>
      </c>
      <c r="AE73" t="e">
        <f t="shared" si="62"/>
        <v>#N/A</v>
      </c>
      <c r="AF73" t="e">
        <f t="shared" si="63"/>
        <v>#N/A</v>
      </c>
      <c r="AG73" t="e">
        <f t="shared" si="64"/>
        <v>#N/A</v>
      </c>
      <c r="AH73" t="e">
        <f t="shared" si="65"/>
        <v>#N/A</v>
      </c>
      <c r="AI73" t="e">
        <f t="shared" si="66"/>
        <v>#N/A</v>
      </c>
      <c r="AJ73" t="e">
        <f t="shared" si="67"/>
        <v>#N/A</v>
      </c>
      <c r="AK73" t="str">
        <f t="shared" si="68"/>
        <v/>
      </c>
    </row>
    <row r="74" spans="1:37" s="38" customFormat="1" ht="15.5" x14ac:dyDescent="0.35">
      <c r="A74" s="804">
        <v>785</v>
      </c>
      <c r="B74" s="805" t="s">
        <v>1451</v>
      </c>
      <c r="C74" s="805"/>
      <c r="D74" s="477"/>
      <c r="E74" s="1042">
        <f>SUM(E62,E64:E73)</f>
        <v>0</v>
      </c>
      <c r="F74" s="684"/>
      <c r="G74" s="142"/>
      <c r="H74" s="896"/>
      <c r="I74" s="894"/>
      <c r="J74" s="873"/>
      <c r="K74" s="879"/>
      <c r="L74" s="879"/>
      <c r="M74" s="879"/>
      <c r="N74" s="879"/>
      <c r="O74" s="881"/>
      <c r="P74" s="881"/>
      <c r="Q74" s="881"/>
      <c r="R74" s="881"/>
      <c r="S74" s="881"/>
      <c r="T74" s="881"/>
      <c r="U74" s="881"/>
      <c r="V74" s="881"/>
      <c r="W74" s="41"/>
      <c r="X74" s="41"/>
      <c r="Y74" s="41"/>
      <c r="Z74" s="41"/>
      <c r="AA74" s="155"/>
      <c r="AB74">
        <f t="shared" si="51"/>
        <v>0.25</v>
      </c>
      <c r="AC74" s="41">
        <f t="shared" si="36"/>
        <v>2000</v>
      </c>
      <c r="AD74" t="e">
        <f t="shared" si="52"/>
        <v>#N/A</v>
      </c>
      <c r="AE74" t="e">
        <f t="shared" si="62"/>
        <v>#N/A</v>
      </c>
      <c r="AF74" t="e">
        <f t="shared" si="63"/>
        <v>#N/A</v>
      </c>
      <c r="AG74" t="e">
        <f t="shared" si="64"/>
        <v>#N/A</v>
      </c>
      <c r="AH74" t="e">
        <f t="shared" si="65"/>
        <v>#N/A</v>
      </c>
      <c r="AI74" t="e">
        <f t="shared" si="66"/>
        <v>#N/A</v>
      </c>
      <c r="AJ74" t="e">
        <f t="shared" si="67"/>
        <v>#N/A</v>
      </c>
      <c r="AK74" t="str">
        <f t="shared" si="68"/>
        <v/>
      </c>
    </row>
    <row r="75" spans="1:37" ht="15.5" x14ac:dyDescent="0.35">
      <c r="A75" s="705">
        <v>786</v>
      </c>
      <c r="B75" s="800" t="s">
        <v>1452</v>
      </c>
      <c r="C75" s="806"/>
      <c r="D75" s="916" t="str">
        <f>IF(SUM(E76:E77)&lt;&gt;E75, "The sum of lines 820-821 should equal line 786", "")</f>
        <v/>
      </c>
      <c r="E75" s="1043">
        <f>E76+E77</f>
        <v>0</v>
      </c>
      <c r="F75" s="481" t="str">
        <f t="shared" si="35"/>
        <v/>
      </c>
      <c r="G75" s="142" t="str">
        <f>IF(E75&gt;0,"Error",IF(AK75="Warning","Warning",""))</f>
        <v/>
      </c>
      <c r="H75" s="896" t="str">
        <f>IF(E75&gt;0,"Only Zero or a Negative figure can be entered in this cell","")</f>
        <v/>
      </c>
      <c r="I75" s="898" t="str">
        <f>IF(AK75="Warning","This year's figure is over "&amp;AC75/1000&amp;" million and "&amp;(AB75*100)&amp;"% different to "&amp;TEXT(AD75,"#,###")&amp;" last year, please explain","")</f>
        <v/>
      </c>
      <c r="J75" s="873"/>
      <c r="K75" s="873"/>
      <c r="L75" s="873"/>
      <c r="M75" s="873"/>
      <c r="N75" s="873"/>
      <c r="AB75">
        <f t="shared" si="51"/>
        <v>0.4</v>
      </c>
      <c r="AC75" s="125">
        <v>5000</v>
      </c>
      <c r="AD75" t="e">
        <f t="shared" si="52"/>
        <v>#N/A</v>
      </c>
      <c r="AE75" t="e">
        <f t="shared" si="62"/>
        <v>#N/A</v>
      </c>
      <c r="AF75" t="e">
        <f t="shared" si="63"/>
        <v>#N/A</v>
      </c>
      <c r="AG75" t="e">
        <f t="shared" si="64"/>
        <v>#N/A</v>
      </c>
      <c r="AH75" t="e">
        <f t="shared" si="65"/>
        <v>#N/A</v>
      </c>
      <c r="AI75" t="e">
        <f t="shared" si="66"/>
        <v>#N/A</v>
      </c>
      <c r="AJ75" t="e">
        <f t="shared" si="67"/>
        <v>#N/A</v>
      </c>
      <c r="AK75" t="str">
        <f t="shared" si="68"/>
        <v/>
      </c>
    </row>
    <row r="76" spans="1:37" ht="15.5" x14ac:dyDescent="0.35">
      <c r="A76" s="705">
        <v>820</v>
      </c>
      <c r="B76" s="564" t="s">
        <v>1453</v>
      </c>
      <c r="C76" s="806"/>
      <c r="D76" s="88"/>
      <c r="E76" s="1039"/>
      <c r="F76" s="760" t="str">
        <f>IF((G76="Error"),"add explanation","")</f>
        <v/>
      </c>
      <c r="G76" s="759" t="str">
        <f>IF(E76&gt;0,"Error","")</f>
        <v/>
      </c>
      <c r="H76" s="896" t="str">
        <f>IF(E76&gt;0,"Only Zero or a Negative figure can be entered in this cell.","")</f>
        <v/>
      </c>
      <c r="I76" s="890"/>
      <c r="J76" s="873"/>
      <c r="K76" s="873"/>
      <c r="L76" s="873"/>
      <c r="M76" s="873"/>
      <c r="N76" s="873"/>
    </row>
    <row r="77" spans="1:37" ht="15.5" x14ac:dyDescent="0.35">
      <c r="A77" s="705">
        <v>821</v>
      </c>
      <c r="B77" s="564" t="s">
        <v>1454</v>
      </c>
      <c r="C77" s="806"/>
      <c r="D77" s="916" t="str">
        <f>IF(SUM(E78:E85)&lt;&gt;E77, "The sum of lines 822-829 should equal line 821", "")</f>
        <v/>
      </c>
      <c r="E77" s="1043">
        <f>SUM(E78:E85)</f>
        <v>0</v>
      </c>
      <c r="F77" s="760" t="str">
        <f t="shared" ref="F77:F85" si="69">IF((G77="Error"),"add explanation","")</f>
        <v/>
      </c>
      <c r="G77" s="759" t="str">
        <f t="shared" ref="G77:G85" si="70">IF(E77&gt;0,"Error","")</f>
        <v/>
      </c>
      <c r="H77" s="896" t="str">
        <f>IF(E77&gt;0,"Only Zero or a Negative figure can be entered in this cell.","")</f>
        <v/>
      </c>
      <c r="I77" s="890"/>
      <c r="J77" s="873"/>
      <c r="K77" s="873"/>
      <c r="L77" s="873"/>
      <c r="M77" s="873"/>
      <c r="N77" s="873"/>
    </row>
    <row r="78" spans="1:37" ht="15.5" x14ac:dyDescent="0.35">
      <c r="A78" s="705">
        <v>822</v>
      </c>
      <c r="B78" s="564" t="s">
        <v>1455</v>
      </c>
      <c r="C78" s="806"/>
      <c r="D78" s="88"/>
      <c r="E78" s="1039"/>
      <c r="F78" s="760" t="str">
        <f t="shared" si="69"/>
        <v/>
      </c>
      <c r="G78" s="759" t="str">
        <f t="shared" si="70"/>
        <v/>
      </c>
      <c r="H78" s="896" t="str">
        <f t="shared" ref="H78:H85" si="71">IF(E78&gt;0,"Only Zero or a Negative figure can be entered in this cell.","")</f>
        <v/>
      </c>
      <c r="I78" s="890"/>
      <c r="J78" s="873"/>
      <c r="K78" s="873"/>
      <c r="L78" s="873"/>
      <c r="M78" s="873"/>
      <c r="N78" s="873"/>
      <c r="AB78" s="125">
        <v>0.4</v>
      </c>
      <c r="AC78" s="125">
        <v>1000</v>
      </c>
      <c r="AD78" s="834"/>
      <c r="AE78" s="125">
        <f t="shared" si="62"/>
        <v>1000</v>
      </c>
      <c r="AF78" s="125">
        <f t="shared" si="63"/>
        <v>-1000</v>
      </c>
      <c r="AG78" s="125">
        <f t="shared" si="64"/>
        <v>0</v>
      </c>
      <c r="AH78" s="125">
        <f t="shared" si="65"/>
        <v>0</v>
      </c>
      <c r="AI78" s="833" t="str">
        <f t="shared" si="66"/>
        <v/>
      </c>
      <c r="AJ78" s="833" t="str">
        <f t="shared" si="67"/>
        <v/>
      </c>
      <c r="AK78" s="833" t="str">
        <f t="shared" si="68"/>
        <v/>
      </c>
    </row>
    <row r="79" spans="1:37" ht="15.5" x14ac:dyDescent="0.35">
      <c r="A79" s="705">
        <v>823</v>
      </c>
      <c r="B79" s="564" t="s">
        <v>1456</v>
      </c>
      <c r="C79" s="806"/>
      <c r="D79" s="88"/>
      <c r="E79" s="1039"/>
      <c r="F79" s="760" t="str">
        <f t="shared" si="69"/>
        <v/>
      </c>
      <c r="G79" s="759" t="str">
        <f t="shared" si="70"/>
        <v/>
      </c>
      <c r="H79" s="896" t="str">
        <f t="shared" si="71"/>
        <v/>
      </c>
      <c r="I79" s="890"/>
      <c r="J79" s="873"/>
      <c r="K79" s="873"/>
      <c r="L79" s="873"/>
      <c r="M79" s="873"/>
      <c r="N79" s="873"/>
      <c r="AB79" s="125">
        <v>0.4</v>
      </c>
      <c r="AC79" s="125">
        <v>5000</v>
      </c>
      <c r="AD79" s="834"/>
      <c r="AE79" s="125">
        <f t="shared" si="62"/>
        <v>5000</v>
      </c>
      <c r="AF79" s="125">
        <f t="shared" si="63"/>
        <v>-5000</v>
      </c>
      <c r="AG79" s="125">
        <f t="shared" si="64"/>
        <v>0</v>
      </c>
      <c r="AH79" s="125">
        <f t="shared" si="65"/>
        <v>0</v>
      </c>
      <c r="AI79" s="833" t="str">
        <f t="shared" si="66"/>
        <v/>
      </c>
      <c r="AJ79" s="833" t="str">
        <f t="shared" si="67"/>
        <v/>
      </c>
      <c r="AK79" s="833" t="str">
        <f t="shared" si="68"/>
        <v/>
      </c>
    </row>
    <row r="80" spans="1:37" ht="15.5" x14ac:dyDescent="0.35">
      <c r="A80" s="705">
        <v>824</v>
      </c>
      <c r="B80" s="564" t="s">
        <v>1457</v>
      </c>
      <c r="C80" s="806"/>
      <c r="D80" s="88"/>
      <c r="E80" s="1039"/>
      <c r="F80" s="760" t="str">
        <f t="shared" si="69"/>
        <v/>
      </c>
      <c r="G80" s="759" t="str">
        <f t="shared" si="70"/>
        <v/>
      </c>
      <c r="H80" s="896" t="str">
        <f t="shared" si="71"/>
        <v/>
      </c>
      <c r="I80" s="890"/>
      <c r="J80" s="873"/>
      <c r="K80" s="873"/>
      <c r="L80" s="873"/>
      <c r="M80" s="873"/>
      <c r="N80" s="873"/>
      <c r="AB80" s="125">
        <v>0.4</v>
      </c>
      <c r="AC80" s="125">
        <v>5000</v>
      </c>
      <c r="AD80" s="834"/>
      <c r="AE80" s="125">
        <f t="shared" si="62"/>
        <v>5000</v>
      </c>
      <c r="AF80" s="125">
        <f t="shared" si="63"/>
        <v>-5000</v>
      </c>
      <c r="AG80" s="125">
        <f t="shared" si="64"/>
        <v>0</v>
      </c>
      <c r="AH80" s="125">
        <f t="shared" si="65"/>
        <v>0</v>
      </c>
      <c r="AI80" s="833" t="str">
        <f t="shared" si="66"/>
        <v/>
      </c>
      <c r="AJ80" s="833" t="str">
        <f t="shared" si="67"/>
        <v/>
      </c>
      <c r="AK80" s="833" t="str">
        <f t="shared" si="68"/>
        <v/>
      </c>
    </row>
    <row r="81" spans="1:50" ht="15.5" x14ac:dyDescent="0.35">
      <c r="A81" s="705">
        <v>825</v>
      </c>
      <c r="B81" s="564" t="s">
        <v>1458</v>
      </c>
      <c r="C81" s="806"/>
      <c r="D81" s="88"/>
      <c r="E81" s="1039"/>
      <c r="F81" s="760" t="str">
        <f t="shared" si="69"/>
        <v/>
      </c>
      <c r="G81" s="759" t="str">
        <f t="shared" si="70"/>
        <v/>
      </c>
      <c r="H81" s="896" t="str">
        <f t="shared" si="71"/>
        <v/>
      </c>
      <c r="I81" s="890"/>
      <c r="J81" s="873"/>
      <c r="K81" s="873"/>
      <c r="L81" s="873"/>
      <c r="M81" s="873"/>
      <c r="N81" s="873"/>
      <c r="AB81" s="125">
        <v>0.4</v>
      </c>
      <c r="AC81" s="125">
        <v>5000</v>
      </c>
      <c r="AD81" s="834"/>
      <c r="AE81" s="125">
        <f t="shared" si="62"/>
        <v>5000</v>
      </c>
      <c r="AF81" s="125">
        <f t="shared" si="63"/>
        <v>-5000</v>
      </c>
      <c r="AG81" s="125">
        <f t="shared" si="64"/>
        <v>0</v>
      </c>
      <c r="AH81" s="125">
        <f t="shared" si="65"/>
        <v>0</v>
      </c>
      <c r="AI81" s="833" t="str">
        <f t="shared" si="66"/>
        <v/>
      </c>
      <c r="AJ81" s="833" t="str">
        <f t="shared" si="67"/>
        <v/>
      </c>
      <c r="AK81" s="833" t="str">
        <f t="shared" si="68"/>
        <v/>
      </c>
    </row>
    <row r="82" spans="1:50" ht="15.5" x14ac:dyDescent="0.35">
      <c r="A82" s="705">
        <v>826</v>
      </c>
      <c r="B82" s="564" t="s">
        <v>1459</v>
      </c>
      <c r="C82" s="806"/>
      <c r="D82" s="88"/>
      <c r="E82" s="1039"/>
      <c r="F82" s="760" t="str">
        <f t="shared" si="69"/>
        <v/>
      </c>
      <c r="G82" s="759" t="str">
        <f t="shared" si="70"/>
        <v/>
      </c>
      <c r="H82" s="896" t="str">
        <f t="shared" si="71"/>
        <v/>
      </c>
      <c r="I82" s="890"/>
      <c r="J82" s="873"/>
      <c r="K82" s="873"/>
      <c r="L82" s="873"/>
      <c r="M82" s="873"/>
      <c r="N82" s="873"/>
      <c r="AB82" s="125">
        <v>0.4</v>
      </c>
      <c r="AC82" s="125">
        <v>1000</v>
      </c>
      <c r="AD82" s="834"/>
      <c r="AE82" s="125">
        <f t="shared" si="62"/>
        <v>1000</v>
      </c>
      <c r="AF82" s="125">
        <f t="shared" si="63"/>
        <v>-1000</v>
      </c>
      <c r="AG82" s="125">
        <f t="shared" si="64"/>
        <v>0</v>
      </c>
      <c r="AH82" s="125">
        <f t="shared" si="65"/>
        <v>0</v>
      </c>
      <c r="AI82" s="833" t="str">
        <f t="shared" si="66"/>
        <v/>
      </c>
      <c r="AJ82" s="833" t="str">
        <f t="shared" si="67"/>
        <v/>
      </c>
      <c r="AK82" s="833" t="str">
        <f t="shared" si="68"/>
        <v/>
      </c>
    </row>
    <row r="83" spans="1:50" ht="15.5" x14ac:dyDescent="0.35">
      <c r="A83" s="705">
        <v>827</v>
      </c>
      <c r="B83" s="564" t="s">
        <v>1460</v>
      </c>
      <c r="C83" s="806"/>
      <c r="D83" s="88"/>
      <c r="E83" s="1039"/>
      <c r="F83" s="760" t="str">
        <f t="shared" si="69"/>
        <v/>
      </c>
      <c r="G83" s="759" t="str">
        <f t="shared" si="70"/>
        <v/>
      </c>
      <c r="H83" s="896" t="str">
        <f t="shared" si="71"/>
        <v/>
      </c>
      <c r="I83" s="890"/>
      <c r="J83" s="873"/>
      <c r="K83" s="873"/>
      <c r="L83" s="873"/>
      <c r="M83" s="873"/>
      <c r="N83" s="873"/>
      <c r="AB83" s="125">
        <v>0.4</v>
      </c>
      <c r="AC83" s="125">
        <v>1000</v>
      </c>
      <c r="AD83" s="834"/>
      <c r="AE83" s="125">
        <f t="shared" si="62"/>
        <v>1000</v>
      </c>
      <c r="AF83" s="125">
        <f t="shared" si="63"/>
        <v>-1000</v>
      </c>
      <c r="AG83" s="125">
        <f t="shared" si="64"/>
        <v>0</v>
      </c>
      <c r="AH83" s="125">
        <f t="shared" si="65"/>
        <v>0</v>
      </c>
      <c r="AI83" s="833" t="str">
        <f t="shared" si="66"/>
        <v/>
      </c>
      <c r="AJ83" s="833" t="str">
        <f t="shared" si="67"/>
        <v/>
      </c>
      <c r="AK83" s="833" t="str">
        <f t="shared" si="68"/>
        <v/>
      </c>
    </row>
    <row r="84" spans="1:50" ht="15.5" x14ac:dyDescent="0.35">
      <c r="A84" s="705">
        <v>828</v>
      </c>
      <c r="B84" s="564" t="s">
        <v>1461</v>
      </c>
      <c r="C84" s="806"/>
      <c r="D84" s="88"/>
      <c r="E84" s="1039"/>
      <c r="F84" s="760" t="str">
        <f t="shared" si="69"/>
        <v/>
      </c>
      <c r="G84" s="759" t="str">
        <f t="shared" si="70"/>
        <v/>
      </c>
      <c r="H84" s="896" t="str">
        <f t="shared" si="71"/>
        <v/>
      </c>
      <c r="I84" s="890"/>
      <c r="J84" s="873"/>
      <c r="K84" s="873"/>
      <c r="L84" s="873"/>
      <c r="M84" s="873"/>
      <c r="N84" s="873"/>
      <c r="AB84" s="125">
        <v>0.4</v>
      </c>
      <c r="AC84" s="125">
        <v>1000</v>
      </c>
      <c r="AD84" s="834"/>
      <c r="AE84" s="125">
        <f t="shared" si="62"/>
        <v>1000</v>
      </c>
      <c r="AF84" s="125">
        <f t="shared" si="63"/>
        <v>-1000</v>
      </c>
      <c r="AG84" s="125">
        <f t="shared" si="64"/>
        <v>0</v>
      </c>
      <c r="AH84" s="125">
        <f t="shared" si="65"/>
        <v>0</v>
      </c>
      <c r="AI84" s="833" t="str">
        <f t="shared" si="66"/>
        <v/>
      </c>
      <c r="AJ84" s="833" t="str">
        <f t="shared" si="67"/>
        <v/>
      </c>
      <c r="AK84" s="833" t="str">
        <f t="shared" si="68"/>
        <v/>
      </c>
    </row>
    <row r="85" spans="1:50" ht="15.5" x14ac:dyDescent="0.35">
      <c r="A85" s="705">
        <v>829</v>
      </c>
      <c r="B85" s="564" t="s">
        <v>1462</v>
      </c>
      <c r="C85" s="806"/>
      <c r="D85" s="88"/>
      <c r="E85" s="1039"/>
      <c r="F85" s="760" t="str">
        <f t="shared" si="69"/>
        <v/>
      </c>
      <c r="G85" s="759" t="str">
        <f t="shared" si="70"/>
        <v/>
      </c>
      <c r="H85" s="896" t="str">
        <f t="shared" si="71"/>
        <v/>
      </c>
      <c r="I85" s="890"/>
      <c r="J85" s="873"/>
      <c r="K85" s="873"/>
      <c r="L85" s="873"/>
      <c r="M85" s="873"/>
      <c r="N85" s="873"/>
      <c r="AB85" s="125">
        <v>0.4</v>
      </c>
      <c r="AC85" s="125">
        <v>1000</v>
      </c>
      <c r="AD85" s="834"/>
      <c r="AE85" s="125">
        <f t="shared" si="62"/>
        <v>1000</v>
      </c>
      <c r="AF85" s="125">
        <f t="shared" si="63"/>
        <v>-1000</v>
      </c>
      <c r="AG85" s="125">
        <f t="shared" si="64"/>
        <v>0</v>
      </c>
      <c r="AH85" s="125">
        <f t="shared" si="65"/>
        <v>0</v>
      </c>
      <c r="AI85" s="833" t="str">
        <f t="shared" si="66"/>
        <v/>
      </c>
      <c r="AJ85" s="833" t="str">
        <f t="shared" si="67"/>
        <v/>
      </c>
      <c r="AK85" s="833" t="str">
        <f t="shared" si="68"/>
        <v/>
      </c>
    </row>
    <row r="86" spans="1:50" s="3" customFormat="1" ht="15.5" x14ac:dyDescent="0.35">
      <c r="A86" s="124">
        <v>788</v>
      </c>
      <c r="B86" s="108" t="s">
        <v>1463</v>
      </c>
      <c r="C86" s="117"/>
      <c r="D86" s="98"/>
      <c r="E86" s="1039"/>
      <c r="F86" s="481" t="str">
        <f t="shared" si="35"/>
        <v/>
      </c>
      <c r="G86" s="158" t="str">
        <f t="shared" ref="G86" si="72">IF(AK86="Warning","Warning","")</f>
        <v/>
      </c>
      <c r="H86" s="896" t="str">
        <f t="shared" ref="H86" si="73">IF($G86="Warning","This year's figure is over "&amp;AC86/1000&amp;" million and "&amp;(AB86*100)&amp;"% different to "&amp;TEXT(AD86,"#,###")&amp;" last year, please explain","")</f>
        <v/>
      </c>
      <c r="I86" s="895"/>
      <c r="J86" s="873"/>
      <c r="K86" s="877"/>
      <c r="L86" s="877"/>
      <c r="M86" s="877"/>
      <c r="N86" s="877"/>
      <c r="O86" s="878"/>
      <c r="P86" s="878"/>
      <c r="Q86" s="878"/>
      <c r="R86" s="878"/>
      <c r="S86" s="878"/>
      <c r="T86" s="878"/>
      <c r="U86" s="878"/>
      <c r="V86" s="878"/>
      <c r="AA86" s="153"/>
      <c r="AB86">
        <f t="shared" si="51"/>
        <v>0.4</v>
      </c>
      <c r="AC86" s="3">
        <f t="shared" si="36"/>
        <v>4000</v>
      </c>
      <c r="AD86" t="e">
        <f t="shared" si="52"/>
        <v>#N/A</v>
      </c>
      <c r="AE86" t="e">
        <f t="shared" si="62"/>
        <v>#N/A</v>
      </c>
      <c r="AF86" t="e">
        <f t="shared" si="63"/>
        <v>#N/A</v>
      </c>
      <c r="AG86" t="e">
        <f t="shared" si="64"/>
        <v>#N/A</v>
      </c>
      <c r="AH86" t="e">
        <f t="shared" si="65"/>
        <v>#N/A</v>
      </c>
      <c r="AI86" t="e">
        <f t="shared" si="66"/>
        <v>#N/A</v>
      </c>
      <c r="AJ86" t="e">
        <f t="shared" si="67"/>
        <v>#N/A</v>
      </c>
      <c r="AK86" t="str">
        <f t="shared" si="68"/>
        <v/>
      </c>
    </row>
    <row r="87" spans="1:50" s="3" customFormat="1" ht="15.5" x14ac:dyDescent="0.35">
      <c r="A87" s="124">
        <v>789</v>
      </c>
      <c r="B87" s="108" t="s">
        <v>1464</v>
      </c>
      <c r="C87" s="117"/>
      <c r="D87" s="88"/>
      <c r="E87" s="1039"/>
      <c r="F87" s="481" t="str">
        <f t="shared" si="35"/>
        <v/>
      </c>
      <c r="G87" s="158" t="str">
        <f t="shared" ref="G87:G88" si="74">IF(AK87="Warning","Warning","")</f>
        <v/>
      </c>
      <c r="H87" s="896" t="str">
        <f t="shared" ref="H87:H88" si="75">IF($G87="Warning","This year's figure is over "&amp;AC87/1000&amp;" million and "&amp;(AB87*100)&amp;"% different to "&amp;TEXT(AD87,"#,###")&amp;" last year, please explain","")</f>
        <v/>
      </c>
      <c r="I87" s="895"/>
      <c r="J87" s="873"/>
      <c r="K87" s="877"/>
      <c r="L87" s="877"/>
      <c r="M87" s="877"/>
      <c r="N87" s="877"/>
      <c r="O87" s="878"/>
      <c r="P87" s="878"/>
      <c r="Q87" s="878"/>
      <c r="R87" s="878"/>
      <c r="S87" s="878"/>
      <c r="T87" s="878"/>
      <c r="U87" s="878"/>
      <c r="V87" s="878"/>
      <c r="AA87" s="153"/>
      <c r="AB87">
        <f t="shared" si="51"/>
        <v>0.5</v>
      </c>
      <c r="AC87" s="3">
        <f t="shared" si="36"/>
        <v>10000</v>
      </c>
      <c r="AD87" t="e">
        <f t="shared" si="52"/>
        <v>#N/A</v>
      </c>
      <c r="AE87" t="e">
        <f t="shared" si="62"/>
        <v>#N/A</v>
      </c>
      <c r="AF87" t="e">
        <f t="shared" si="63"/>
        <v>#N/A</v>
      </c>
      <c r="AG87" t="e">
        <f t="shared" si="64"/>
        <v>#N/A</v>
      </c>
      <c r="AH87" t="e">
        <f t="shared" si="65"/>
        <v>#N/A</v>
      </c>
      <c r="AI87" t="e">
        <f t="shared" si="66"/>
        <v>#N/A</v>
      </c>
      <c r="AJ87" t="e">
        <f t="shared" si="67"/>
        <v>#N/A</v>
      </c>
      <c r="AK87" t="str">
        <f t="shared" si="68"/>
        <v/>
      </c>
    </row>
    <row r="88" spans="1:50" s="3" customFormat="1" ht="15.5" x14ac:dyDescent="0.35">
      <c r="A88" s="124">
        <v>790</v>
      </c>
      <c r="B88" s="108" t="s">
        <v>1465</v>
      </c>
      <c r="C88" s="117"/>
      <c r="D88" s="88"/>
      <c r="E88" s="1039"/>
      <c r="F88" s="481" t="str">
        <f t="shared" si="35"/>
        <v/>
      </c>
      <c r="G88" s="158" t="str">
        <f t="shared" si="74"/>
        <v/>
      </c>
      <c r="H88" s="896" t="str">
        <f t="shared" si="75"/>
        <v/>
      </c>
      <c r="I88" s="895"/>
      <c r="J88" s="873"/>
      <c r="K88" s="877"/>
      <c r="L88" s="877"/>
      <c r="M88" s="877"/>
      <c r="N88" s="877"/>
      <c r="O88" s="878"/>
      <c r="P88" s="878"/>
      <c r="Q88" s="878"/>
      <c r="R88" s="878"/>
      <c r="S88" s="878"/>
      <c r="T88" s="878"/>
      <c r="U88" s="878"/>
      <c r="V88" s="878"/>
      <c r="AA88" s="153"/>
      <c r="AB88">
        <f t="shared" si="51"/>
        <v>0.4</v>
      </c>
      <c r="AC88" s="3">
        <f t="shared" si="36"/>
        <v>4000</v>
      </c>
      <c r="AD88" t="e">
        <f t="shared" si="52"/>
        <v>#N/A</v>
      </c>
      <c r="AE88" t="e">
        <f t="shared" si="62"/>
        <v>#N/A</v>
      </c>
      <c r="AF88" t="e">
        <f t="shared" si="63"/>
        <v>#N/A</v>
      </c>
      <c r="AG88" t="e">
        <f t="shared" si="64"/>
        <v>#N/A</v>
      </c>
      <c r="AH88" t="e">
        <f t="shared" si="65"/>
        <v>#N/A</v>
      </c>
      <c r="AI88" t="e">
        <f t="shared" si="66"/>
        <v>#N/A</v>
      </c>
      <c r="AJ88" t="e">
        <f t="shared" si="67"/>
        <v>#N/A</v>
      </c>
      <c r="AK88" t="str">
        <f t="shared" si="68"/>
        <v/>
      </c>
    </row>
    <row r="89" spans="1:50" ht="15.5" x14ac:dyDescent="0.35">
      <c r="A89" s="124">
        <v>791</v>
      </c>
      <c r="B89" s="110" t="s">
        <v>1466</v>
      </c>
      <c r="C89" s="108"/>
      <c r="D89" s="962" t="s">
        <v>1467</v>
      </c>
      <c r="E89" s="1037">
        <f>RG!G77*-1</f>
        <v>0</v>
      </c>
      <c r="F89" s="481" t="str">
        <f t="shared" si="35"/>
        <v/>
      </c>
      <c r="G89" s="142" t="str">
        <f>IF(E89&gt;0,"Error","")</f>
        <v/>
      </c>
      <c r="H89" s="896" t="str">
        <f>IF(E89&gt;0,"Only Zero or Negative figure can be entered in this cell, the figures in the RG form should be positive and converted by formula in the RS","")</f>
        <v/>
      </c>
      <c r="I89" s="890"/>
      <c r="J89" s="873"/>
      <c r="K89" s="873"/>
      <c r="L89" s="873"/>
      <c r="M89" s="873"/>
      <c r="N89" s="873"/>
      <c r="AB89">
        <f t="shared" si="51"/>
        <v>0.4</v>
      </c>
      <c r="AC89">
        <f t="shared" si="36"/>
        <v>4000</v>
      </c>
      <c r="AD89" t="e">
        <f t="shared" si="52"/>
        <v>#N/A</v>
      </c>
      <c r="AE89" t="e">
        <f t="shared" si="62"/>
        <v>#N/A</v>
      </c>
      <c r="AF89" t="e">
        <f t="shared" si="63"/>
        <v>#N/A</v>
      </c>
      <c r="AG89" t="e">
        <f t="shared" si="64"/>
        <v>#N/A</v>
      </c>
      <c r="AH89" t="e">
        <f t="shared" si="65"/>
        <v>#N/A</v>
      </c>
      <c r="AI89" t="e">
        <f t="shared" si="66"/>
        <v>#N/A</v>
      </c>
      <c r="AJ89" t="e">
        <f t="shared" si="67"/>
        <v>#N/A</v>
      </c>
      <c r="AK89" t="str">
        <f t="shared" si="68"/>
        <v/>
      </c>
    </row>
    <row r="90" spans="1:50" ht="15.5" x14ac:dyDescent="0.35">
      <c r="A90" s="124">
        <v>793</v>
      </c>
      <c r="B90" s="108" t="s">
        <v>1468</v>
      </c>
      <c r="C90" s="108"/>
      <c r="D90" s="510"/>
      <c r="E90" s="1039"/>
      <c r="F90" s="481" t="str">
        <f t="shared" si="35"/>
        <v/>
      </c>
      <c r="G90" s="762" t="str">
        <f>IF(E90&lt;&gt;0,"Warning","")</f>
        <v/>
      </c>
      <c r="H90" s="902" t="str">
        <f>IF($G90="Warning","Please note the arrangement or project(s) to which this relates - see guidance","")</f>
        <v/>
      </c>
      <c r="I90" s="898" t="str">
        <f>IF(AK90="Warning","This year's figure is over "&amp;AC90/1000&amp;" million and "&amp;(AB90*100)&amp;"% different to "&amp;TEXT(AD90,"#,###")&amp;" last year, please explain","")</f>
        <v/>
      </c>
      <c r="J90" s="873"/>
      <c r="K90" s="873"/>
      <c r="L90" s="873"/>
      <c r="M90" s="873"/>
      <c r="N90" s="873"/>
      <c r="AB90">
        <f t="shared" si="51"/>
        <v>0.4</v>
      </c>
      <c r="AC90">
        <f t="shared" si="36"/>
        <v>4000</v>
      </c>
      <c r="AD90" t="e">
        <f t="shared" si="52"/>
        <v>#N/A</v>
      </c>
      <c r="AE90" t="e">
        <f t="shared" si="62"/>
        <v>#N/A</v>
      </c>
      <c r="AF90" t="e">
        <f t="shared" si="63"/>
        <v>#N/A</v>
      </c>
      <c r="AG90" t="e">
        <f t="shared" si="64"/>
        <v>#N/A</v>
      </c>
      <c r="AH90" t="e">
        <f t="shared" si="65"/>
        <v>#N/A</v>
      </c>
      <c r="AI90" t="e">
        <f t="shared" si="66"/>
        <v>#N/A</v>
      </c>
      <c r="AJ90" t="e">
        <f t="shared" si="67"/>
        <v>#N/A</v>
      </c>
      <c r="AK90" t="str">
        <f t="shared" si="68"/>
        <v/>
      </c>
    </row>
    <row r="91" spans="1:50" ht="15.5" x14ac:dyDescent="0.35">
      <c r="A91" s="124">
        <v>794</v>
      </c>
      <c r="B91" s="108" t="s">
        <v>1469</v>
      </c>
      <c r="C91" s="108"/>
      <c r="D91" s="510"/>
      <c r="E91" s="1039"/>
      <c r="F91" s="481" t="str">
        <f>IF(ISERROR(G91),"",IF((G91="Error"),"add explanation",IF((G91="Warning"),"add explanation","")))</f>
        <v/>
      </c>
      <c r="G91" s="478" t="str">
        <f>IF(E91&gt;0,"Error",IF(AND(E91=0,VLOOKUP(LA_code,CIL_list,10,0)=1),"Warning",""))</f>
        <v/>
      </c>
      <c r="H91" s="898" t="str">
        <f>IF(E91&gt;0,"Only Zero or a Negative figure can be entered in this cell.",IF(G91="Warning","CIL figure is expected from your authority",""))</f>
        <v/>
      </c>
      <c r="I91" s="903" t="str">
        <f>IF(AK91="Warning","This year's figure is over "&amp;AC91/1000&amp;" million and "&amp;(AB91*100)&amp;"% different to "&amp;TEXT(AD91,"#,###")&amp;" last year, please explain","")</f>
        <v/>
      </c>
      <c r="J91" s="873"/>
      <c r="K91" s="873"/>
      <c r="L91" s="873"/>
      <c r="M91" s="873"/>
      <c r="N91" s="873"/>
      <c r="Z91" s="153"/>
      <c r="AA91" s="3"/>
      <c r="AB91">
        <f t="shared" si="51"/>
        <v>0.4</v>
      </c>
      <c r="AC91">
        <f t="shared" si="36"/>
        <v>20000</v>
      </c>
      <c r="AD91" t="e">
        <f t="shared" si="52"/>
        <v>#N/A</v>
      </c>
      <c r="AE91" t="e">
        <f t="shared" si="62"/>
        <v>#N/A</v>
      </c>
      <c r="AF91" t="e">
        <f t="shared" si="63"/>
        <v>#N/A</v>
      </c>
      <c r="AG91" t="e">
        <f t="shared" si="64"/>
        <v>#N/A</v>
      </c>
      <c r="AH91" t="e">
        <f t="shared" si="65"/>
        <v>#N/A</v>
      </c>
      <c r="AI91" t="e">
        <f t="shared" si="66"/>
        <v>#N/A</v>
      </c>
      <c r="AJ91" t="e">
        <f t="shared" si="67"/>
        <v>#N/A</v>
      </c>
      <c r="AK91" t="str">
        <f t="shared" si="68"/>
        <v/>
      </c>
    </row>
    <row r="92" spans="1:50" ht="15.5" x14ac:dyDescent="0.35">
      <c r="A92" s="124">
        <v>795</v>
      </c>
      <c r="B92" s="108" t="s">
        <v>1470</v>
      </c>
      <c r="C92" s="108"/>
      <c r="D92" s="510"/>
      <c r="E92" s="1039"/>
      <c r="F92" s="481" t="str">
        <f t="shared" si="35"/>
        <v/>
      </c>
      <c r="G92" s="478" t="str">
        <f>IF(E92&lt;0,"Error",IF(AK92="Warning","Warning",""))</f>
        <v/>
      </c>
      <c r="H92" s="902" t="str">
        <f>IF(E92&lt;0,"Only Zero or positive figure can be entered in this cell",IF(G92="Warning","This year's figure is over "&amp;AC92/1000&amp;" million and "&amp;(AB92*100)&amp;"% different to "&amp;TEXT(AD92,"#,###")&amp;" last year, please explain",""))</f>
        <v/>
      </c>
      <c r="I92" s="890"/>
      <c r="J92" s="873"/>
      <c r="K92" s="873"/>
      <c r="L92" s="873"/>
      <c r="M92" s="873"/>
      <c r="N92" s="873"/>
      <c r="AB92">
        <f t="shared" si="51"/>
        <v>0.4</v>
      </c>
      <c r="AC92">
        <f t="shared" si="36"/>
        <v>4000</v>
      </c>
      <c r="AD92" t="e">
        <f t="shared" si="52"/>
        <v>#N/A</v>
      </c>
      <c r="AE92" t="e">
        <f t="shared" si="62"/>
        <v>#N/A</v>
      </c>
      <c r="AF92" t="e">
        <f t="shared" si="63"/>
        <v>#N/A</v>
      </c>
      <c r="AG92" t="e">
        <f t="shared" si="64"/>
        <v>#N/A</v>
      </c>
      <c r="AH92" t="e">
        <f t="shared" si="65"/>
        <v>#N/A</v>
      </c>
      <c r="AI92" t="e">
        <f t="shared" si="66"/>
        <v>#N/A</v>
      </c>
      <c r="AJ92" t="e">
        <f t="shared" si="67"/>
        <v>#N/A</v>
      </c>
      <c r="AK92" t="str">
        <f t="shared" si="68"/>
        <v/>
      </c>
    </row>
    <row r="93" spans="1:50" ht="15.5" x14ac:dyDescent="0.35">
      <c r="A93" s="124">
        <v>796</v>
      </c>
      <c r="B93" s="108" t="s">
        <v>1471</v>
      </c>
      <c r="C93" s="108"/>
      <c r="D93" s="510"/>
      <c r="E93" s="1039"/>
      <c r="F93" s="481" t="str">
        <f t="shared" si="35"/>
        <v/>
      </c>
      <c r="G93" s="478" t="str">
        <f>IF(E93&gt;0,"Error",IF(AK93="Warning","Warning",""))</f>
        <v/>
      </c>
      <c r="H93" s="902" t="str">
        <f>IF(E93&gt;0,"Only Zero or Negative figure can be entered in this cell",IF(G93="Warning","This year's figure is over "&amp;AC93/1000&amp;" million and "&amp;(AB93*100)&amp;"% different to "&amp;TEXT(AD93,"#,###")&amp;" last year, please explain",""))</f>
        <v/>
      </c>
      <c r="I93" s="890"/>
      <c r="J93" s="873"/>
      <c r="K93" s="873"/>
      <c r="L93" s="873"/>
      <c r="M93" s="873"/>
      <c r="N93" s="873"/>
      <c r="AB93">
        <f t="shared" si="51"/>
        <v>0.4</v>
      </c>
      <c r="AC93">
        <f t="shared" si="36"/>
        <v>4000</v>
      </c>
      <c r="AD93" t="e">
        <f t="shared" si="52"/>
        <v>#N/A</v>
      </c>
      <c r="AE93" t="e">
        <f t="shared" si="62"/>
        <v>#N/A</v>
      </c>
      <c r="AF93" t="e">
        <f t="shared" si="63"/>
        <v>#N/A</v>
      </c>
      <c r="AG93" t="e">
        <f t="shared" si="64"/>
        <v>#N/A</v>
      </c>
      <c r="AH93" t="e">
        <f t="shared" si="65"/>
        <v>#N/A</v>
      </c>
      <c r="AI93" t="e">
        <f t="shared" si="66"/>
        <v>#N/A</v>
      </c>
      <c r="AJ93" t="e">
        <f t="shared" si="67"/>
        <v>#N/A</v>
      </c>
      <c r="AK93" t="str">
        <f t="shared" si="68"/>
        <v/>
      </c>
    </row>
    <row r="94" spans="1:50" s="125" customFormat="1" ht="15.5" x14ac:dyDescent="0.35">
      <c r="A94" s="124">
        <v>797</v>
      </c>
      <c r="B94" s="108" t="s">
        <v>1472</v>
      </c>
      <c r="C94" s="724"/>
      <c r="D94" s="725"/>
      <c r="E94" s="1044"/>
      <c r="F94" s="686"/>
      <c r="G94" s="726"/>
      <c r="H94" s="904"/>
      <c r="I94" s="905"/>
      <c r="J94" s="883"/>
      <c r="K94" s="883"/>
      <c r="L94" s="883"/>
      <c r="M94" s="883"/>
      <c r="N94" s="883"/>
      <c r="O94" s="884"/>
      <c r="P94" s="884"/>
      <c r="Q94" s="884"/>
      <c r="R94" s="884"/>
      <c r="S94" s="884"/>
      <c r="T94" s="884"/>
      <c r="U94" s="884"/>
      <c r="V94" s="884"/>
      <c r="AA94" s="727"/>
    </row>
    <row r="95" spans="1:50" s="40" customFormat="1" ht="18" x14ac:dyDescent="0.4">
      <c r="A95" s="196">
        <v>800</v>
      </c>
      <c r="B95" s="109" t="s">
        <v>1473</v>
      </c>
      <c r="C95" s="109"/>
      <c r="D95" s="203"/>
      <c r="E95" s="1038">
        <f>SUM(E74,E75,E86:E94)</f>
        <v>0</v>
      </c>
      <c r="F95" s="481" t="str">
        <f t="shared" si="35"/>
        <v/>
      </c>
      <c r="G95" s="142"/>
      <c r="H95" s="896"/>
      <c r="I95" s="894"/>
      <c r="J95" s="873"/>
      <c r="K95" s="879"/>
      <c r="L95" s="879"/>
      <c r="M95" s="879"/>
      <c r="N95" s="879"/>
      <c r="O95" s="881"/>
      <c r="P95" s="881"/>
      <c r="Q95" s="881"/>
      <c r="R95" s="881"/>
      <c r="S95" s="881"/>
      <c r="T95" s="881"/>
      <c r="U95" s="881"/>
      <c r="V95" s="881"/>
      <c r="W95" s="42"/>
      <c r="X95" s="42"/>
      <c r="Y95" s="42"/>
      <c r="Z95" s="42"/>
      <c r="AA95" s="154"/>
      <c r="AB95">
        <f t="shared" si="51"/>
        <v>0.15</v>
      </c>
      <c r="AC95" s="42">
        <f t="shared" si="36"/>
        <v>2000</v>
      </c>
      <c r="AD95" s="42"/>
      <c r="AE95" s="42"/>
      <c r="AF95" s="42"/>
      <c r="AG95" s="42"/>
      <c r="AH95" s="42"/>
      <c r="AI95" s="42"/>
      <c r="AJ95" s="42"/>
      <c r="AK95" s="42"/>
      <c r="AL95" s="42"/>
      <c r="AM95" s="42"/>
      <c r="AN95" s="42"/>
      <c r="AO95" s="42"/>
      <c r="AP95" s="42"/>
      <c r="AQ95" s="42"/>
      <c r="AR95" s="42"/>
      <c r="AS95" s="42"/>
      <c r="AT95" s="42"/>
      <c r="AU95" s="42"/>
      <c r="AV95" s="42"/>
      <c r="AW95" s="42"/>
      <c r="AX95" s="42"/>
    </row>
    <row r="96" spans="1:50" s="40" customFormat="1" ht="18" x14ac:dyDescent="0.4">
      <c r="A96" s="196"/>
      <c r="B96" s="109"/>
      <c r="C96" s="109"/>
      <c r="D96" s="203"/>
      <c r="E96" s="34"/>
      <c r="F96" s="483"/>
      <c r="G96" s="142"/>
      <c r="H96" s="896"/>
      <c r="I96" s="894"/>
      <c r="J96" s="879"/>
      <c r="K96" s="879"/>
      <c r="L96" s="879"/>
      <c r="M96" s="879"/>
      <c r="N96" s="879"/>
      <c r="O96" s="881"/>
      <c r="P96" s="881"/>
      <c r="Q96" s="881"/>
      <c r="R96" s="881"/>
      <c r="S96" s="881"/>
      <c r="T96" s="881"/>
      <c r="U96" s="881"/>
      <c r="V96" s="881"/>
      <c r="W96" s="42"/>
      <c r="X96" s="42"/>
      <c r="Y96" s="42"/>
      <c r="Z96" s="42"/>
      <c r="AA96" s="154"/>
      <c r="AB96" s="42"/>
      <c r="AC96" s="42"/>
      <c r="AD96" s="42"/>
      <c r="AE96" s="42"/>
      <c r="AF96" s="42"/>
      <c r="AG96" s="42"/>
      <c r="AH96" s="42"/>
      <c r="AI96" s="42"/>
      <c r="AJ96" s="42"/>
      <c r="AK96" s="42"/>
      <c r="AL96" s="42"/>
      <c r="AM96" s="42"/>
      <c r="AN96" s="42"/>
      <c r="AO96" s="42"/>
      <c r="AP96" s="42"/>
      <c r="AQ96" s="42"/>
      <c r="AR96" s="42"/>
      <c r="AS96" s="42"/>
      <c r="AT96" s="42"/>
      <c r="AU96" s="42"/>
      <c r="AV96" s="42"/>
      <c r="AW96" s="42"/>
      <c r="AX96" s="42"/>
    </row>
    <row r="97" spans="1:50" s="40" customFormat="1" ht="18" x14ac:dyDescent="0.4">
      <c r="A97" s="124">
        <v>803</v>
      </c>
      <c r="B97" s="124" t="s">
        <v>1474</v>
      </c>
      <c r="C97" s="108"/>
      <c r="D97" s="510"/>
      <c r="E97" s="1039"/>
      <c r="F97" s="481" t="str">
        <f t="shared" ref="F97:F107" si="76">IF(ISERROR(G97),"",IF((G97="Error"),"add explanation",IF((G97="Warning"),"add explanation","")))</f>
        <v/>
      </c>
      <c r="G97" s="142" t="str">
        <f>IF(E97&gt;0,"Error",IF(AK97="Warning","Warning",""))</f>
        <v/>
      </c>
      <c r="H97" s="896" t="str">
        <f>IF(E97&gt;0,"Only Zero or Negative figure can be entered in this cell",IF(G97="Warning","This year's figure is over "&amp;AC97/1000&amp;" million and "&amp;(AB97*100)&amp;"% different to "&amp;TEXT(AD97,"#,###")&amp;" last year, please explain",""))</f>
        <v/>
      </c>
      <c r="I97" s="894"/>
      <c r="J97" s="873"/>
      <c r="K97" s="879"/>
      <c r="L97" s="879"/>
      <c r="M97" s="879"/>
      <c r="N97" s="879"/>
      <c r="O97" s="881"/>
      <c r="P97" s="881"/>
      <c r="Q97" s="881"/>
      <c r="R97" s="881"/>
      <c r="S97" s="881"/>
      <c r="T97" s="881"/>
      <c r="U97" s="881"/>
      <c r="V97" s="881"/>
      <c r="W97" s="42"/>
      <c r="X97" s="42"/>
      <c r="Y97" s="42"/>
      <c r="Z97" s="42"/>
      <c r="AA97" s="154"/>
      <c r="AB97" s="42">
        <f>VLOOKUP("RS"&amp;$A97,data_val_parameters,9,0)/100</f>
        <v>0.4</v>
      </c>
      <c r="AC97" s="42">
        <f t="shared" ref="AC97:AC107" si="77">VLOOKUP("RS"&amp;$A97,data_val_parameters,7,0)</f>
        <v>4000</v>
      </c>
      <c r="AD97" t="e">
        <f>VLOOKUP(LA_code,data_prev_year,MATCH("RS"&amp;$A97&amp;"1",data_prev_year_headers,0),0)</f>
        <v>#N/A</v>
      </c>
      <c r="AE97" t="e">
        <f t="shared" ref="AE97" si="78">AD97+AC97</f>
        <v>#N/A</v>
      </c>
      <c r="AF97" t="e">
        <f t="shared" ref="AF97" si="79">AD97-AC97</f>
        <v>#N/A</v>
      </c>
      <c r="AG97" t="e">
        <f t="shared" ref="AG97" si="80">AD97+(AD97*AB97)</f>
        <v>#N/A</v>
      </c>
      <c r="AH97" t="e">
        <f t="shared" ref="AH97" si="81">AD97-(AD97*AB97)</f>
        <v>#N/A</v>
      </c>
      <c r="AI97" t="e">
        <f t="shared" ref="AI97" si="82">IF(OR(E97&lt;AF97,E97&gt;AE97),"Warning","")</f>
        <v>#N/A</v>
      </c>
      <c r="AJ97" t="e">
        <f t="shared" ref="AJ97" si="83">IF(OR(E97&gt;(AG97),E97&lt;(AH97)),"Warning","")</f>
        <v>#N/A</v>
      </c>
      <c r="AK97" t="str">
        <f t="shared" ref="AK97" si="84">IF(OR(E97=0),"",IF(AND(AI97="Warning",AJ97="Warning"),"Warning",""))</f>
        <v/>
      </c>
      <c r="AL97" s="42"/>
      <c r="AM97" s="42"/>
      <c r="AN97" s="42"/>
      <c r="AO97" s="42"/>
      <c r="AP97" s="42"/>
      <c r="AQ97" s="42"/>
      <c r="AR97" s="42"/>
      <c r="AS97" s="42"/>
      <c r="AT97" s="42"/>
      <c r="AU97" s="42"/>
      <c r="AV97" s="42"/>
      <c r="AW97" s="42"/>
      <c r="AX97" s="42"/>
    </row>
    <row r="98" spans="1:50" ht="15.5" x14ac:dyDescent="0.35">
      <c r="A98" s="124">
        <v>804</v>
      </c>
      <c r="B98" s="110" t="s">
        <v>1475</v>
      </c>
      <c r="C98" s="108"/>
      <c r="D98" s="962" t="s">
        <v>1476</v>
      </c>
      <c r="E98" s="1037">
        <f>RG!G67*-1</f>
        <v>0</v>
      </c>
      <c r="F98" s="481" t="str">
        <f t="shared" si="76"/>
        <v/>
      </c>
      <c r="G98" s="142" t="str">
        <f>IF(E98&gt;0,"Error",IF(AK98="Warning","Warning",""))</f>
        <v/>
      </c>
      <c r="H98" s="896" t="str">
        <f>IF(E98&gt;0,"Only Zero or Negative figure can be entered in this cell, the figures in the RG form should be positive and converted by formula in the RS",IF(G98="Warning","This year's figure is over "&amp;AC98/1000&amp;" million and "&amp;(AB98*100)&amp;"% different to "&amp;TEXT(AD98,"#,###")&amp;" last year, please explain",""))</f>
        <v/>
      </c>
      <c r="I98" s="890"/>
      <c r="J98" s="873"/>
      <c r="K98" s="873"/>
      <c r="L98" s="873"/>
      <c r="M98" s="873"/>
      <c r="N98" s="873"/>
      <c r="AB98">
        <f>VLOOKUP("RS"&amp;$A98,data_val_parameters,9,0)/100</f>
        <v>0.4</v>
      </c>
      <c r="AC98">
        <f t="shared" si="77"/>
        <v>4000</v>
      </c>
      <c r="AD98" t="e">
        <f>VLOOKUP(LA_code,data_prev_year,MATCH("RS"&amp;$A98&amp;"1",data_prev_year_headers,0),0)</f>
        <v>#N/A</v>
      </c>
      <c r="AE98" t="e">
        <f t="shared" ref="AE98" si="85">AD98+AC98</f>
        <v>#N/A</v>
      </c>
      <c r="AF98" t="e">
        <f t="shared" ref="AF98" si="86">AD98-AC98</f>
        <v>#N/A</v>
      </c>
      <c r="AG98" t="e">
        <f t="shared" ref="AG98" si="87">AD98+(AD98*AB98)</f>
        <v>#N/A</v>
      </c>
      <c r="AH98" t="e">
        <f t="shared" ref="AH98" si="88">AD98-(AD98*AB98)</f>
        <v>#N/A</v>
      </c>
      <c r="AI98" t="e">
        <f t="shared" ref="AI98" si="89">IF(OR(E98&lt;AF98,E98&gt;AE98),"Warning","")</f>
        <v>#N/A</v>
      </c>
      <c r="AJ98" t="e">
        <f t="shared" ref="AJ98" si="90">IF(OR(E98&gt;(AG98),E98&lt;(AH98)),"Warning","")</f>
        <v>#N/A</v>
      </c>
      <c r="AK98" t="str">
        <f t="shared" ref="AK98" si="91">IF(OR(E98=0),"",IF(AND(AI98="Warning",AJ98="Warning"),"Warning",""))</f>
        <v/>
      </c>
    </row>
    <row r="99" spans="1:50" s="38" customFormat="1" ht="15.5" x14ac:dyDescent="0.35">
      <c r="A99" s="474">
        <v>805</v>
      </c>
      <c r="B99" s="475" t="s">
        <v>1477</v>
      </c>
      <c r="C99" s="475"/>
      <c r="D99" s="476"/>
      <c r="E99" s="1042">
        <f>SUM(E95,E97:E98)</f>
        <v>0</v>
      </c>
      <c r="F99" s="684"/>
      <c r="G99" s="142"/>
      <c r="H99" s="896"/>
      <c r="I99" s="894"/>
      <c r="J99" s="873"/>
      <c r="K99" s="879"/>
      <c r="L99" s="879"/>
      <c r="M99" s="879"/>
      <c r="N99" s="879"/>
      <c r="O99" s="881"/>
      <c r="P99" s="881"/>
      <c r="Q99" s="881"/>
      <c r="R99" s="881"/>
      <c r="S99" s="881"/>
      <c r="T99" s="881"/>
      <c r="U99" s="881"/>
      <c r="V99" s="881"/>
      <c r="W99" s="41"/>
      <c r="X99" s="41"/>
      <c r="Y99" s="41"/>
      <c r="Z99" s="41"/>
      <c r="AA99" s="155"/>
      <c r="AB99" s="41">
        <f>VLOOKUP("RS"&amp;$A99,data_val_parameters,9,0)/100</f>
        <v>0.25</v>
      </c>
      <c r="AC99" s="41">
        <f t="shared" si="77"/>
        <v>2000</v>
      </c>
      <c r="AD99" t="e">
        <f>VLOOKUP(LA_code,data_prev_year,MATCH("RS"&amp;$A99&amp;"1",data_prev_year_headers,0),0)</f>
        <v>#N/A</v>
      </c>
      <c r="AE99" t="e">
        <f t="shared" ref="AE99:AE101" si="92">AD99+AC99</f>
        <v>#N/A</v>
      </c>
      <c r="AF99" t="e">
        <f t="shared" ref="AF99:AF101" si="93">AD99-AC99</f>
        <v>#N/A</v>
      </c>
      <c r="AG99" t="e">
        <f t="shared" ref="AG99:AG101" si="94">AD99+(AD99*AB99)</f>
        <v>#N/A</v>
      </c>
      <c r="AH99" t="e">
        <f t="shared" ref="AH99:AH101" si="95">AD99-(AD99*AB99)</f>
        <v>#N/A</v>
      </c>
      <c r="AI99" t="e">
        <f t="shared" ref="AI99:AI101" si="96">IF(OR(E99&lt;AF99,E99&gt;AE99),"Warning","")</f>
        <v>#N/A</v>
      </c>
      <c r="AJ99" t="e">
        <f t="shared" ref="AJ99:AJ101" si="97">IF(OR(E99&gt;(AG99),E99&lt;(AH99)),"Warning","")</f>
        <v>#N/A</v>
      </c>
      <c r="AK99" t="str">
        <f t="shared" ref="AK99:AK101" si="98">IF(OR(E99=0),"",IF(AND(AI99="Warning",AJ99="Warning"),"Warning",""))</f>
        <v/>
      </c>
      <c r="AL99" s="41"/>
      <c r="AM99" s="41"/>
      <c r="AN99" s="41"/>
      <c r="AO99" s="41"/>
      <c r="AP99" s="41"/>
      <c r="AQ99" s="41"/>
      <c r="AR99" s="41"/>
      <c r="AS99" s="41"/>
      <c r="AT99" s="41"/>
      <c r="AU99" s="41"/>
      <c r="AV99" s="41"/>
      <c r="AW99" s="41"/>
      <c r="AX99" s="41"/>
    </row>
    <row r="100" spans="1:50" ht="15.5" x14ac:dyDescent="0.35">
      <c r="A100" s="124">
        <v>806</v>
      </c>
      <c r="B100" s="108" t="s">
        <v>1478</v>
      </c>
      <c r="C100" s="108"/>
      <c r="D100" s="11"/>
      <c r="E100" s="1039"/>
      <c r="F100" s="481" t="str">
        <f t="shared" si="76"/>
        <v/>
      </c>
      <c r="G100" s="142" t="str">
        <f>IF(AK100="Warning","Warning","")</f>
        <v/>
      </c>
      <c r="H100" s="896" t="str">
        <f>IF(G100="Warning","This year's figure is over "&amp;AC100/1000&amp;" million and "&amp;(AB100*100)&amp;"% different to "&amp;TEXT(AD100,"#,###")&amp;" last year, please explain","")</f>
        <v/>
      </c>
      <c r="I100" s="890"/>
      <c r="J100" s="873"/>
      <c r="K100" s="873"/>
      <c r="L100" s="873"/>
      <c r="M100" s="873"/>
      <c r="N100" s="873"/>
      <c r="AB100">
        <f>VLOOKUP("RS"&amp;$A100,data_val_parameters,9,0)/100</f>
        <v>0.4</v>
      </c>
      <c r="AC100">
        <f t="shared" si="77"/>
        <v>4000</v>
      </c>
      <c r="AD100" t="e">
        <f>VLOOKUP(LA_code,data_prev_year,MATCH("RS"&amp;$A100&amp;"1",data_prev_year_headers,0),0)</f>
        <v>#N/A</v>
      </c>
      <c r="AE100" t="e">
        <f t="shared" si="92"/>
        <v>#N/A</v>
      </c>
      <c r="AF100" t="e">
        <f t="shared" si="93"/>
        <v>#N/A</v>
      </c>
      <c r="AG100" t="e">
        <f t="shared" si="94"/>
        <v>#N/A</v>
      </c>
      <c r="AH100" t="e">
        <f t="shared" si="95"/>
        <v>#N/A</v>
      </c>
      <c r="AI100" t="e">
        <f t="shared" si="96"/>
        <v>#N/A</v>
      </c>
      <c r="AJ100" t="e">
        <f t="shared" si="97"/>
        <v>#N/A</v>
      </c>
      <c r="AK100" t="str">
        <f t="shared" si="98"/>
        <v/>
      </c>
    </row>
    <row r="101" spans="1:50" ht="15.5" x14ac:dyDescent="0.35">
      <c r="A101" s="124">
        <v>811</v>
      </c>
      <c r="B101" s="108" t="s">
        <v>1479</v>
      </c>
      <c r="C101" s="108"/>
      <c r="D101" s="11"/>
      <c r="E101" s="1039"/>
      <c r="F101" s="481" t="str">
        <f t="shared" si="76"/>
        <v/>
      </c>
      <c r="G101" s="142" t="str">
        <f t="shared" ref="G101:G107" si="99">IF(AK101="Warning","Warning","")</f>
        <v/>
      </c>
      <c r="H101" s="896" t="str">
        <f t="shared" ref="H101:H107" si="100">IF(G101="Warning","This year's figure is over "&amp;AC101/1000&amp;" million and "&amp;(AB101*100)&amp;"% different to "&amp;TEXT(AD101,"#,###")&amp;" last year, please explain","")</f>
        <v/>
      </c>
      <c r="I101" s="890"/>
      <c r="J101" s="873"/>
      <c r="K101" s="873"/>
      <c r="L101" s="873"/>
      <c r="M101" s="873"/>
      <c r="N101" s="873"/>
      <c r="AB101">
        <f>VLOOKUP("RS"&amp;$A101,data_val_parameters,9,0)/100</f>
        <v>0.45</v>
      </c>
      <c r="AC101">
        <f t="shared" si="77"/>
        <v>10000</v>
      </c>
      <c r="AD101" t="e">
        <f>VLOOKUP(LA_code,data_prev_year,MATCH("RS"&amp;$A101&amp;"1",data_prev_year_headers,0),0)</f>
        <v>#N/A</v>
      </c>
      <c r="AE101" t="e">
        <f t="shared" si="92"/>
        <v>#N/A</v>
      </c>
      <c r="AF101" t="e">
        <f t="shared" si="93"/>
        <v>#N/A</v>
      </c>
      <c r="AG101" t="e">
        <f t="shared" si="94"/>
        <v>#N/A</v>
      </c>
      <c r="AH101" t="e">
        <f t="shared" si="95"/>
        <v>#N/A</v>
      </c>
      <c r="AI101" t="e">
        <f t="shared" si="96"/>
        <v>#N/A</v>
      </c>
      <c r="AJ101" t="e">
        <f t="shared" si="97"/>
        <v>#N/A</v>
      </c>
      <c r="AK101" t="str">
        <f t="shared" si="98"/>
        <v/>
      </c>
    </row>
    <row r="102" spans="1:50" ht="15.5" x14ac:dyDescent="0.35">
      <c r="A102" s="124">
        <v>813</v>
      </c>
      <c r="B102" s="108" t="s">
        <v>1480</v>
      </c>
      <c r="C102" s="108"/>
      <c r="D102" s="11"/>
      <c r="E102" s="1039"/>
      <c r="F102" s="481" t="str">
        <f t="shared" si="76"/>
        <v/>
      </c>
      <c r="G102" s="142" t="str">
        <f t="shared" si="99"/>
        <v/>
      </c>
      <c r="H102" s="896" t="str">
        <f t="shared" si="100"/>
        <v/>
      </c>
      <c r="I102" s="890"/>
      <c r="J102" s="873"/>
      <c r="K102" s="873"/>
      <c r="L102" s="873"/>
      <c r="M102" s="873"/>
      <c r="N102" s="873"/>
    </row>
    <row r="103" spans="1:50" ht="15.5" x14ac:dyDescent="0.35">
      <c r="A103" s="124">
        <v>814</v>
      </c>
      <c r="B103" s="108" t="s">
        <v>1481</v>
      </c>
      <c r="C103" s="108"/>
      <c r="D103" s="11"/>
      <c r="E103" s="1039"/>
      <c r="F103" s="481" t="str">
        <f t="shared" si="76"/>
        <v/>
      </c>
      <c r="G103" s="142" t="str">
        <f>IF(E103&gt;(0.25*SUM(RG!$G$32)),"Warning","")</f>
        <v/>
      </c>
      <c r="H103" s="896" t="str">
        <f>IF(E103&gt;(0.25*SUM(RG!$G$32)),"Appropriations to Public Health reserves are greater than 25% of the PH Grant, please either review or explain in the memo","")</f>
        <v/>
      </c>
      <c r="I103" s="896" t="str">
        <f>IF(AK103="Warning","This year's figure is over "&amp;AC103/1000&amp;" million and "&amp;(AB103*100)&amp;"% different to "&amp;TEXT(AD103,"#,###")&amp;" last year, please explain","")</f>
        <v/>
      </c>
      <c r="J103" s="873"/>
      <c r="K103" s="873"/>
      <c r="L103" s="873"/>
      <c r="M103" s="885"/>
      <c r="N103" s="873"/>
      <c r="AB103">
        <f>VLOOKUP("RS"&amp;$A103,data_val_parameters,9,0)/100</f>
        <v>0.45</v>
      </c>
      <c r="AC103">
        <f t="shared" si="77"/>
        <v>10000</v>
      </c>
      <c r="AD103" t="e">
        <f>VLOOKUP(LA_code,data_prev_year,MATCH("RS"&amp;$A103&amp;"1",data_prev_year_headers,0),0)</f>
        <v>#N/A</v>
      </c>
      <c r="AE103" t="e">
        <f t="shared" ref="AE103" si="101">AD103+AC103</f>
        <v>#N/A</v>
      </c>
      <c r="AF103" t="e">
        <f t="shared" ref="AF103" si="102">AD103-AC103</f>
        <v>#N/A</v>
      </c>
      <c r="AG103" t="e">
        <f t="shared" ref="AG103" si="103">AD103+(AD103*AB103)</f>
        <v>#N/A</v>
      </c>
      <c r="AH103" t="e">
        <f t="shared" ref="AH103" si="104">AD103-(AD103*AB103)</f>
        <v>#N/A</v>
      </c>
      <c r="AI103" t="e">
        <f t="shared" ref="AI103" si="105">IF(OR(E103&lt;AF103,E103&gt;AE103),"Warning","")</f>
        <v>#N/A</v>
      </c>
      <c r="AJ103" t="e">
        <f t="shared" ref="AJ103" si="106">IF(OR(E103&gt;(AG103),E103&lt;(AH103)),"Warning","")</f>
        <v>#N/A</v>
      </c>
      <c r="AK103" t="str">
        <f t="shared" ref="AK103" si="107">IF(OR(E103=0),"",IF(AND(AI103="Warning",AJ103="Warning"),"Warning",""))</f>
        <v/>
      </c>
    </row>
    <row r="104" spans="1:50" ht="23.5" customHeight="1" x14ac:dyDescent="0.4">
      <c r="A104" s="705">
        <v>815</v>
      </c>
      <c r="B104" s="564" t="s">
        <v>1482</v>
      </c>
      <c r="C104" s="564"/>
      <c r="D104" s="929" t="str">
        <f>IF(SUM(E105:E106)&lt;&gt;E104, "The sum of lines 815a-815d must equal line 815. Please resinstate the formula in E104", ".")</f>
        <v>.</v>
      </c>
      <c r="E104" s="1045">
        <f>E105+E106</f>
        <v>0</v>
      </c>
      <c r="F104" s="481" t="str">
        <f t="shared" si="76"/>
        <v/>
      </c>
      <c r="G104" s="142" t="str">
        <f t="shared" si="99"/>
        <v/>
      </c>
      <c r="H104" s="896" t="str">
        <f t="shared" si="100"/>
        <v/>
      </c>
      <c r="I104" s="890"/>
      <c r="J104" s="873"/>
      <c r="K104" s="873"/>
      <c r="L104" s="873"/>
      <c r="M104" s="873"/>
      <c r="N104" s="873"/>
      <c r="AB104">
        <f>VLOOKUP("RS"&amp;$A104,data_val_parameters,9,0)/100</f>
        <v>0.55000000000000004</v>
      </c>
      <c r="AC104">
        <f t="shared" si="77"/>
        <v>20000</v>
      </c>
      <c r="AD104" t="e">
        <f>VLOOKUP(LA_code,data_prev_year,MATCH("RS"&amp;$A104&amp;"1",data_prev_year_headers,0),0)</f>
        <v>#N/A</v>
      </c>
      <c r="AE104" t="e">
        <f t="shared" ref="AE104:AE107" si="108">AD104+AC104</f>
        <v>#N/A</v>
      </c>
      <c r="AF104" t="e">
        <f t="shared" ref="AF104:AF107" si="109">AD104-AC104</f>
        <v>#N/A</v>
      </c>
      <c r="AG104" t="e">
        <f t="shared" ref="AG104:AG107" si="110">AD104+(AD104*AB104)</f>
        <v>#N/A</v>
      </c>
      <c r="AH104" t="e">
        <f t="shared" ref="AH104:AH107" si="111">AD104-(AD104*AB104)</f>
        <v>#N/A</v>
      </c>
      <c r="AI104" t="e">
        <f t="shared" ref="AI104:AI107" si="112">IF(OR(E104&lt;AF104,E104&gt;AE104),"Warning","")</f>
        <v>#N/A</v>
      </c>
      <c r="AJ104" t="e">
        <f t="shared" ref="AJ104:AJ107" si="113">IF(OR(E104&gt;(AG104),E104&lt;(AH104)),"Warning","")</f>
        <v>#N/A</v>
      </c>
      <c r="AK104" t="str">
        <f t="shared" ref="AK104:AK107" si="114">IF(OR(E104=0),"",IF(AND(AI104="Warning",AJ104="Warning"),"Warning",""))</f>
        <v/>
      </c>
    </row>
    <row r="105" spans="1:50" ht="15.5" x14ac:dyDescent="0.35">
      <c r="A105" s="705" t="s">
        <v>1483</v>
      </c>
      <c r="B105" s="807" t="s">
        <v>1484</v>
      </c>
      <c r="C105" s="564"/>
      <c r="D105" s="11"/>
      <c r="E105" s="1039"/>
      <c r="F105" s="686"/>
      <c r="G105" s="142"/>
      <c r="H105" s="896"/>
      <c r="I105" s="890"/>
      <c r="J105" s="873"/>
      <c r="K105" s="873"/>
      <c r="L105" s="873"/>
      <c r="M105" s="873"/>
      <c r="N105" s="873"/>
    </row>
    <row r="106" spans="1:50" ht="19.5" x14ac:dyDescent="0.35">
      <c r="A106" s="705" t="s">
        <v>1485</v>
      </c>
      <c r="B106" s="807" t="s">
        <v>1486</v>
      </c>
      <c r="C106" s="564"/>
      <c r="D106" s="930" t="str">
        <f>IF((F134+F135-E134-E135)&lt;&gt;E106,"This must equal the combined change in reserves levels in lines 1028+1029. Please resinstate the formulae in E106.","This will update when you have completed lines 1028 &amp; 1029 for 31 March       -&gt;")</f>
        <v>This will update when you have completed lines 1028 &amp; 1029 for 31 March       -&gt;</v>
      </c>
      <c r="E106" s="1043">
        <f>F134+F135-E134-E135</f>
        <v>0</v>
      </c>
      <c r="F106" s="686" t="str">
        <f>IF((G106="Error"),"add explanation","")</f>
        <v/>
      </c>
      <c r="G106" s="142" t="str">
        <f>IF(E106&gt;0,"Error","")</f>
        <v/>
      </c>
      <c r="H106" s="918" t="str">
        <f>IF(E106&gt;0,"Only Zero or a Negative figure can be entered in this cell.","")</f>
        <v/>
      </c>
      <c r="I106" s="890"/>
      <c r="J106" s="873"/>
      <c r="K106" s="873"/>
      <c r="L106" s="873"/>
      <c r="M106" s="873"/>
      <c r="N106" s="873"/>
    </row>
    <row r="107" spans="1:50" ht="15.5" x14ac:dyDescent="0.35">
      <c r="A107" s="705">
        <v>816</v>
      </c>
      <c r="B107" s="564" t="s">
        <v>1487</v>
      </c>
      <c r="C107" s="564"/>
      <c r="D107" s="11"/>
      <c r="E107" s="1039"/>
      <c r="F107" s="481" t="str">
        <f t="shared" si="76"/>
        <v/>
      </c>
      <c r="G107" s="142" t="str">
        <f t="shared" si="99"/>
        <v/>
      </c>
      <c r="H107" s="896" t="str">
        <f t="shared" si="100"/>
        <v/>
      </c>
      <c r="I107" s="890"/>
      <c r="J107" s="873"/>
      <c r="K107" s="873"/>
      <c r="L107" s="873"/>
      <c r="M107" s="873"/>
      <c r="N107" s="873"/>
      <c r="AB107">
        <f>VLOOKUP("RS"&amp;$A107,data_val_parameters,9,0)/100</f>
        <v>0.55000000000000004</v>
      </c>
      <c r="AC107">
        <f t="shared" si="77"/>
        <v>20000</v>
      </c>
      <c r="AD107" t="e">
        <f>VLOOKUP(LA_code,data_prev_year,MATCH("RS"&amp;$A107&amp;"1",data_prev_year_headers,0),0)</f>
        <v>#N/A</v>
      </c>
      <c r="AE107" t="e">
        <f t="shared" si="108"/>
        <v>#N/A</v>
      </c>
      <c r="AF107" t="e">
        <f t="shared" si="109"/>
        <v>#N/A</v>
      </c>
      <c r="AG107" t="e">
        <f t="shared" si="110"/>
        <v>#N/A</v>
      </c>
      <c r="AH107" t="e">
        <f t="shared" si="111"/>
        <v>#N/A</v>
      </c>
      <c r="AI107" t="e">
        <f t="shared" si="112"/>
        <v>#N/A</v>
      </c>
      <c r="AJ107" t="e">
        <f t="shared" si="113"/>
        <v>#N/A</v>
      </c>
      <c r="AK107" t="str">
        <f t="shared" si="114"/>
        <v/>
      </c>
    </row>
    <row r="108" spans="1:50" ht="15.5" x14ac:dyDescent="0.35">
      <c r="A108" s="124">
        <v>851</v>
      </c>
      <c r="B108" s="739" t="s">
        <v>1488</v>
      </c>
      <c r="C108" s="124"/>
      <c r="D108" s="199"/>
      <c r="E108" s="1040">
        <f>IF(ISERROR(VLOOKUP(LA_code,LA_Data,'LA Data'!F1,0)),0,ROUND(VLOOKUP(LA_code,LA_Data,'LA Data'!F1,0),0))</f>
        <v>0</v>
      </c>
      <c r="F108" s="481" t="str">
        <f t="shared" ref="F108:F113" si="115">IF(ISERROR(G108),"",IF((G108="Error"),"add explanation",IF((G108="Warning"),"add explanation","")))</f>
        <v/>
      </c>
      <c r="G108" s="158" t="e">
        <f>IF(ROUND(VLOOKUP(LA_code,LA_Data,6,0),0)&lt;&gt;$E108,"Warning","")</f>
        <v>#N/A</v>
      </c>
      <c r="H108" s="906" t="e">
        <f>IF(ROUND(VLOOKUP(LA_code,LA_Data,6,0),0)&lt;&gt;$E108,"Revenue Support Grant does not match published Settlement data, please add a comment to the memo","")</f>
        <v>#N/A</v>
      </c>
      <c r="I108" s="890"/>
      <c r="J108" s="873"/>
      <c r="K108" s="873"/>
      <c r="L108" s="873"/>
      <c r="M108" s="873"/>
      <c r="N108" s="873"/>
      <c r="AB108">
        <f>VLOOKUP("RS"&amp;$A108,data_val_parameters,9,0)/100</f>
        <v>0.4</v>
      </c>
      <c r="AC108">
        <f t="shared" ref="AC108:AC113" si="116">VLOOKUP("RS"&amp;$A108,data_val_parameters,7,0)</f>
        <v>4000</v>
      </c>
      <c r="AD108" t="e">
        <f>VLOOKUP(LA_code,data_prev_year,MATCH("RS"&amp;$A108&amp;"1",data_prev_year_headers,0),0)</f>
        <v>#N/A</v>
      </c>
      <c r="AE108" t="e">
        <f t="shared" ref="AE108" si="117">AD108+AC108</f>
        <v>#N/A</v>
      </c>
      <c r="AF108" t="e">
        <f t="shared" ref="AF108" si="118">AD108-AC108</f>
        <v>#N/A</v>
      </c>
      <c r="AG108" t="e">
        <f t="shared" ref="AG108" si="119">AD108+(AD108*AB108)</f>
        <v>#N/A</v>
      </c>
      <c r="AH108" t="e">
        <f t="shared" ref="AH108" si="120">AD108-(AD108*AB108)</f>
        <v>#N/A</v>
      </c>
      <c r="AI108" t="e">
        <f t="shared" ref="AI108" si="121">IF(OR(E108&lt;AF108,E108&gt;AE108),"Warning","")</f>
        <v>#N/A</v>
      </c>
      <c r="AJ108" t="e">
        <f t="shared" ref="AJ108" si="122">IF(OR(E108&gt;(AG108),E108&lt;(AH108)),"Warning","")</f>
        <v>#N/A</v>
      </c>
      <c r="AK108" t="str">
        <f t="shared" ref="AK108" si="123">IF(OR(E108=0),"",IF(AND(AI108="Warning",AJ108="Warning"),"Warning",""))</f>
        <v/>
      </c>
    </row>
    <row r="109" spans="1:50" ht="15.5" x14ac:dyDescent="0.35">
      <c r="A109" s="124">
        <v>856</v>
      </c>
      <c r="B109" s="738" t="s">
        <v>1489</v>
      </c>
      <c r="C109" s="108"/>
      <c r="D109" s="199"/>
      <c r="E109" s="1040">
        <f>IF(ISERROR(VLOOKUP(LA_code,LA_Data,8,0)),0,ROUND(VLOOKUP(LA_code,LA_Data,8,0),0))</f>
        <v>0</v>
      </c>
      <c r="F109" s="481" t="str">
        <f t="shared" si="115"/>
        <v/>
      </c>
      <c r="G109" s="158" t="e">
        <f>IF(ROUND(VLOOKUP(LA_code,LA_Data,8,0),0)&lt;&gt;$E109,"Warning","")</f>
        <v>#N/A</v>
      </c>
      <c r="H109" s="906" t="e">
        <f>IF(ROUND(VLOOKUP(LA_code,LA_Data,8,0),0)&lt;&gt;$E109,"Police Grant does not match published data, please add a comment to the memo","")</f>
        <v>#N/A</v>
      </c>
      <c r="I109" s="890"/>
      <c r="J109" s="873"/>
      <c r="K109" s="873"/>
      <c r="L109" s="873"/>
      <c r="M109" s="873"/>
      <c r="N109" s="873"/>
      <c r="AB109">
        <f>VLOOKUP("RS"&amp;$A109,data_val_parameters,9,0)/100</f>
        <v>0.4</v>
      </c>
      <c r="AC109">
        <f t="shared" si="116"/>
        <v>4000</v>
      </c>
      <c r="AD109" t="e">
        <f>VLOOKUP(LA_code,data_prev_year,MATCH("RS"&amp;$A109&amp;"1",data_prev_year_headers,0),0)</f>
        <v>#N/A</v>
      </c>
      <c r="AE109" t="e">
        <f t="shared" ref="AE109" si="124">AD109+AC109</f>
        <v>#N/A</v>
      </c>
      <c r="AF109" t="e">
        <f t="shared" ref="AF109" si="125">AD109-AC109</f>
        <v>#N/A</v>
      </c>
      <c r="AG109" t="e">
        <f t="shared" ref="AG109" si="126">AD109+(AD109*AB109)</f>
        <v>#N/A</v>
      </c>
      <c r="AH109" t="e">
        <f t="shared" ref="AH109" si="127">AD109-(AD109*AB109)</f>
        <v>#N/A</v>
      </c>
      <c r="AI109" t="e">
        <f t="shared" ref="AI109" si="128">IF(OR(E109&lt;AF109,E109&gt;AE109),"Warning","")</f>
        <v>#N/A</v>
      </c>
      <c r="AJ109" t="e">
        <f t="shared" ref="AJ109" si="129">IF(OR(E109&gt;(AG109),E109&lt;(AH109)),"Warning","")</f>
        <v>#N/A</v>
      </c>
      <c r="AK109" t="str">
        <f t="shared" ref="AK109" si="130">IF(OR(E109=0),"",IF(AND(AI109="Warning",AJ109="Warning"),"Warning",""))</f>
        <v/>
      </c>
      <c r="AQ109" s="1046" t="s">
        <v>1490</v>
      </c>
      <c r="AR109" s="1047" t="s">
        <v>1491</v>
      </c>
      <c r="AS109" s="1048"/>
      <c r="AT109" s="1047" t="s">
        <v>1492</v>
      </c>
      <c r="AU109" s="1047"/>
      <c r="AV109" s="1049" t="s">
        <v>1493</v>
      </c>
      <c r="AW109" s="102"/>
      <c r="AX109" s="102"/>
    </row>
    <row r="110" spans="1:50" ht="21" x14ac:dyDescent="0.35">
      <c r="A110" s="124">
        <v>870</v>
      </c>
      <c r="B110" s="108" t="s">
        <v>1494</v>
      </c>
      <c r="C110" s="108"/>
      <c r="D110" s="112"/>
      <c r="E110" s="1050"/>
      <c r="F110" s="481" t="str">
        <f t="shared" si="115"/>
        <v/>
      </c>
      <c r="G110" s="158" t="b">
        <f>IF(E110&gt;0,"Error",IF(AK110="Warning","Warning"))</f>
        <v>0</v>
      </c>
      <c r="H110" s="906" t="str">
        <f>IF(E110&gt;0,"Only Zero or Negative figure can be entered in this cell",IF(G110="Warning","This year's figure is over "&amp;AC110/1000&amp;" million and "&amp;(AB110*100)&amp;"% different to "&amp;TEXT(AD110,"#,###")&amp;" last year, please explain",""))</f>
        <v/>
      </c>
      <c r="I110" s="981" t="s">
        <v>1495</v>
      </c>
      <c r="J110" s="873"/>
      <c r="K110" s="873"/>
      <c r="L110" s="873"/>
      <c r="M110" s="873"/>
      <c r="N110" s="873"/>
      <c r="AB110">
        <f>VLOOKUP("RS"&amp;$A110,data_val_parameters,9,0)/100</f>
        <v>0.4</v>
      </c>
      <c r="AC110">
        <f t="shared" si="116"/>
        <v>4000</v>
      </c>
      <c r="AD110" t="e">
        <f>VLOOKUP(LA_code,data_prev_year,MATCH("RS"&amp;$A110&amp;"1",data_prev_year_headers,0),0)</f>
        <v>#N/A</v>
      </c>
      <c r="AE110" t="e">
        <f t="shared" ref="AE110" si="131">AD110+AC110</f>
        <v>#N/A</v>
      </c>
      <c r="AF110" t="e">
        <f t="shared" ref="AF110" si="132">AD110-AC110</f>
        <v>#N/A</v>
      </c>
      <c r="AG110" t="e">
        <f t="shared" ref="AG110" si="133">AD110+(AD110*AB110)</f>
        <v>#N/A</v>
      </c>
      <c r="AH110" t="e">
        <f t="shared" ref="AH110" si="134">AD110-(AD110*AB110)</f>
        <v>#N/A</v>
      </c>
      <c r="AI110" t="e">
        <f t="shared" ref="AI110" si="135">IF(OR(E110&lt;AF110,E110&gt;AE110),"Warning","")</f>
        <v>#N/A</v>
      </c>
      <c r="AJ110" t="e">
        <f t="shared" ref="AJ110" si="136">IF(OR(E110&gt;(AG110),E110&lt;(AH110)),"Warning","")</f>
        <v>#N/A</v>
      </c>
      <c r="AK110" s="425" t="str">
        <f t="shared" ref="AK110" si="137">IF(OR(E110=0),"",IF(AND(AI110="Warning",AJ110="Warning"),"Warning",""))</f>
        <v/>
      </c>
      <c r="AQ110" s="1051" t="e">
        <f>VLOOKUP($A$21,LA_Data,36,FALSE)</f>
        <v>#N/A</v>
      </c>
      <c r="AR110" s="1051" t="e">
        <f>ABS(E110-AQ110)</f>
        <v>#N/A</v>
      </c>
      <c r="AS110" s="1052"/>
      <c r="AT110" s="1053" t="e">
        <f>ABS(AR110/AQ110)-1</f>
        <v>#N/A</v>
      </c>
      <c r="AU110" s="1052"/>
      <c r="AV110" s="1052" t="e">
        <f>IF(AND(AR110&gt;10000,AT110&gt;0.1),1,0)</f>
        <v>#N/A</v>
      </c>
      <c r="AW110" s="101"/>
      <c r="AX110" s="101"/>
    </row>
    <row r="111" spans="1:50" ht="18" customHeight="1" x14ac:dyDescent="0.35">
      <c r="A111" s="124">
        <v>880</v>
      </c>
      <c r="B111" s="296" t="s">
        <v>1496</v>
      </c>
      <c r="C111" s="108"/>
      <c r="D111" s="1191"/>
      <c r="E111" s="1054"/>
      <c r="F111" s="481" t="str">
        <f t="shared" si="115"/>
        <v/>
      </c>
      <c r="G111" s="158"/>
      <c r="H111" s="906"/>
      <c r="I111" s="890"/>
      <c r="J111" s="873"/>
      <c r="K111" s="873"/>
      <c r="L111" s="873"/>
      <c r="M111" s="873"/>
      <c r="N111" s="873"/>
    </row>
    <row r="112" spans="1:50" ht="18" customHeight="1" x14ac:dyDescent="0.35">
      <c r="A112" s="124">
        <v>885</v>
      </c>
      <c r="B112" s="108" t="s">
        <v>1497</v>
      </c>
      <c r="C112" s="108"/>
      <c r="D112" s="1191"/>
      <c r="E112" s="1054"/>
      <c r="F112" s="982" t="str">
        <f>IF(E112&lt;&gt;0,"description of what is being recorded here required","")</f>
        <v/>
      </c>
      <c r="G112" s="158" t="str">
        <f>IF(AK112="Warning","Warning","")</f>
        <v/>
      </c>
      <c r="H112" s="906" t="str">
        <f>IF(G112="Warning","This year's figure is over "&amp;AC112/1000&amp;" million and "&amp;(AB112*100)&amp;"% different to "&amp;TEXT(AD112,"#,###")&amp;" last year, please explain","")</f>
        <v/>
      </c>
      <c r="I112" s="890"/>
      <c r="J112" s="873"/>
      <c r="K112" s="873"/>
      <c r="L112" s="873"/>
      <c r="M112" s="873"/>
      <c r="N112" s="873"/>
      <c r="AB112">
        <f>VLOOKUP("RS"&amp;$A112,data_val_parameters,9,0)/100</f>
        <v>0.4</v>
      </c>
      <c r="AC112">
        <f t="shared" si="116"/>
        <v>4000</v>
      </c>
      <c r="AD112" t="e">
        <f>VLOOKUP(LA_code,data_prev_year,MATCH("RS"&amp;$A112&amp;"1",data_prev_year_headers,0),0)</f>
        <v>#N/A</v>
      </c>
      <c r="AE112" t="e">
        <f t="shared" ref="AE112:AE113" si="138">AD112+AC112</f>
        <v>#N/A</v>
      </c>
      <c r="AF112" t="e">
        <f t="shared" ref="AF112:AF113" si="139">AD112-AC112</f>
        <v>#N/A</v>
      </c>
      <c r="AG112" t="e">
        <f t="shared" ref="AG112:AG113" si="140">AD112+(AD112*AB112)</f>
        <v>#N/A</v>
      </c>
      <c r="AH112" t="e">
        <f t="shared" ref="AH112:AH113" si="141">AD112-(AD112*AB112)</f>
        <v>#N/A</v>
      </c>
      <c r="AI112" t="e">
        <f t="shared" ref="AI112:AI113" si="142">IF(OR(E112&lt;AF112,E112&gt;AE112),"Warning","")</f>
        <v>#N/A</v>
      </c>
      <c r="AJ112" t="e">
        <f t="shared" ref="AJ112:AJ113" si="143">IF(OR(E112&gt;(AG112),E112&lt;(AH112)),"Warning","")</f>
        <v>#N/A</v>
      </c>
      <c r="AK112" t="str">
        <f t="shared" ref="AK112:AK113" si="144">IF(OR(E112=0),"",IF(AND(AI112="Warning",AJ112="Warning"),"Warning",""))</f>
        <v/>
      </c>
    </row>
    <row r="113" spans="1:47" s="42" customFormat="1" ht="17.149999999999999" customHeight="1" x14ac:dyDescent="0.4">
      <c r="A113" s="196">
        <v>890</v>
      </c>
      <c r="B113" s="109" t="s">
        <v>1498</v>
      </c>
      <c r="C113" s="109"/>
      <c r="D113" s="764">
        <f>SUM(E99:E104,E107:E112)-E113</f>
        <v>0</v>
      </c>
      <c r="E113" s="1055">
        <f>IF(ISERROR(VLOOKUP(LA_code,LA_Data,30,0)),0,ROUND(VLOOKUP(LA_code,LA_Data,30,0),0))</f>
        <v>0</v>
      </c>
      <c r="F113" s="481" t="str">
        <f t="shared" si="115"/>
        <v/>
      </c>
      <c r="G113" s="158" t="e">
        <f>IF(ABS(D113)&gt;2,"Error",IF(ROUND(VLOOKUP(LA_code,LA_Data,30,0),0)&lt;&gt;$E113,"Warning",""))</f>
        <v>#N/A</v>
      </c>
      <c r="H113" s="907" t="e">
        <f>IF(ABS(D113)&gt;2,"The sum of lines 805 to 885 does not equal line 890, please amend the data",IF(ROUND(VLOOKUP(LA_code,LA_Data,30,0),0)&lt;&gt;$E113,"Council Tax Requirement does not match CTR data, please add a comment to the memo",""))</f>
        <v>#N/A</v>
      </c>
      <c r="I113" s="894"/>
      <c r="J113" s="873"/>
      <c r="K113" s="879"/>
      <c r="L113" s="879"/>
      <c r="M113" s="879"/>
      <c r="N113" s="879"/>
      <c r="O113" s="881"/>
      <c r="P113" s="881"/>
      <c r="Q113" s="881"/>
      <c r="R113" s="881"/>
      <c r="S113" s="881"/>
      <c r="T113" s="881"/>
      <c r="U113" s="881"/>
      <c r="V113" s="881"/>
      <c r="AA113" s="154"/>
      <c r="AB113" s="42">
        <f>VLOOKUP("RS"&amp;$A113,data_val_parameters,9,0)/100</f>
        <v>0.4</v>
      </c>
      <c r="AC113" s="42">
        <f t="shared" si="116"/>
        <v>4000</v>
      </c>
      <c r="AD113" t="e">
        <f>VLOOKUP(LA_code,data_prev_year,MATCH("RS"&amp;$A113&amp;"1",data_prev_year_headers,0),0)</f>
        <v>#N/A</v>
      </c>
      <c r="AE113" t="e">
        <f t="shared" si="138"/>
        <v>#N/A</v>
      </c>
      <c r="AF113" t="e">
        <f t="shared" si="139"/>
        <v>#N/A</v>
      </c>
      <c r="AG113" t="e">
        <f t="shared" si="140"/>
        <v>#N/A</v>
      </c>
      <c r="AH113" t="e">
        <f t="shared" si="141"/>
        <v>#N/A</v>
      </c>
      <c r="AI113" t="e">
        <f t="shared" si="142"/>
        <v>#N/A</v>
      </c>
      <c r="AJ113" t="e">
        <f t="shared" si="143"/>
        <v>#N/A</v>
      </c>
      <c r="AK113" t="str">
        <f t="shared" si="144"/>
        <v/>
      </c>
    </row>
    <row r="114" spans="1:47" s="42" customFormat="1" ht="17.25" customHeight="1" x14ac:dyDescent="0.4">
      <c r="A114" s="196"/>
      <c r="B114" s="109"/>
      <c r="C114" s="109"/>
      <c r="D114" s="765" t="s">
        <v>1499</v>
      </c>
      <c r="E114" s="100"/>
      <c r="F114" s="431"/>
      <c r="G114" s="144"/>
      <c r="H114" s="896"/>
      <c r="I114" s="894"/>
      <c r="J114" s="879"/>
      <c r="K114" s="879"/>
      <c r="L114" s="879"/>
      <c r="M114" s="879"/>
      <c r="N114" s="879"/>
      <c r="O114" s="881"/>
      <c r="P114" s="881"/>
      <c r="Q114" s="881"/>
      <c r="R114" s="881"/>
      <c r="S114" s="881"/>
      <c r="T114" s="881"/>
      <c r="U114" s="881"/>
      <c r="V114" s="881"/>
      <c r="AA114" s="154"/>
    </row>
    <row r="115" spans="1:47" ht="16" thickBot="1" x14ac:dyDescent="0.4">
      <c r="A115" s="204"/>
      <c r="B115" s="205" t="s">
        <v>84</v>
      </c>
      <c r="C115" s="205"/>
      <c r="D115" s="766" t="s">
        <v>1500</v>
      </c>
      <c r="E115" s="206"/>
      <c r="F115" s="432"/>
      <c r="G115" s="207"/>
      <c r="H115" s="908"/>
      <c r="I115" s="890"/>
      <c r="J115" s="873"/>
      <c r="K115" s="873"/>
      <c r="L115" s="873"/>
      <c r="M115" s="873"/>
      <c r="N115" s="873"/>
    </row>
    <row r="116" spans="1:47" ht="15.5" x14ac:dyDescent="0.35">
      <c r="A116" s="121"/>
      <c r="B116" s="209"/>
      <c r="C116" s="209"/>
      <c r="D116" s="61"/>
      <c r="E116" s="1186"/>
      <c r="F116" s="1188"/>
      <c r="G116" s="210"/>
      <c r="H116" s="908"/>
      <c r="I116" s="890"/>
      <c r="J116" s="873"/>
      <c r="K116" s="873"/>
      <c r="L116" s="873"/>
      <c r="M116" s="873"/>
      <c r="N116" s="873"/>
    </row>
    <row r="117" spans="1:47" ht="18" x14ac:dyDescent="0.4">
      <c r="A117" s="27" t="s">
        <v>1501</v>
      </c>
      <c r="B117" s="202"/>
      <c r="C117" s="202"/>
      <c r="D117" s="86"/>
      <c r="E117" s="1187"/>
      <c r="F117" s="1189"/>
      <c r="G117" s="210"/>
      <c r="H117" s="908"/>
      <c r="I117" s="890"/>
      <c r="J117" s="873"/>
      <c r="K117" s="873"/>
      <c r="L117" s="873"/>
      <c r="M117" s="873"/>
      <c r="N117" s="873"/>
    </row>
    <row r="118" spans="1:47" s="468" customFormat="1" ht="19.5" customHeight="1" x14ac:dyDescent="0.35">
      <c r="A118" s="273" t="s">
        <v>1502</v>
      </c>
      <c r="B118" s="699"/>
      <c r="C118" s="699"/>
      <c r="D118" s="700"/>
      <c r="E118" s="701"/>
      <c r="F118" s="701"/>
      <c r="G118" s="164"/>
      <c r="H118" s="909"/>
      <c r="I118" s="910"/>
      <c r="J118" s="886"/>
      <c r="K118" s="886"/>
      <c r="L118" s="886"/>
      <c r="M118" s="886"/>
      <c r="N118" s="886"/>
      <c r="O118" s="887"/>
      <c r="P118" s="887"/>
      <c r="Q118" s="887"/>
      <c r="R118" s="887"/>
      <c r="S118" s="887"/>
      <c r="T118" s="887"/>
      <c r="U118" s="887"/>
      <c r="V118" s="887"/>
      <c r="AA118" s="702"/>
    </row>
    <row r="119" spans="1:47" ht="32.15" customHeight="1" x14ac:dyDescent="0.35">
      <c r="A119" s="231" t="s">
        <v>1503</v>
      </c>
      <c r="B119" s="11"/>
      <c r="C119" s="11"/>
      <c r="D119" s="211"/>
      <c r="E119" s="709" t="s">
        <v>1504</v>
      </c>
      <c r="F119" s="709" t="s">
        <v>1505</v>
      </c>
      <c r="G119" s="212"/>
      <c r="H119" s="908"/>
      <c r="K119" s="873"/>
      <c r="L119" s="873"/>
      <c r="M119" s="873"/>
      <c r="N119" s="873"/>
    </row>
    <row r="120" spans="1:47" s="3" customFormat="1" ht="15.5" x14ac:dyDescent="0.35">
      <c r="A120" s="11" t="s">
        <v>1506</v>
      </c>
      <c r="B120" s="127"/>
      <c r="C120" s="127"/>
      <c r="D120" s="127"/>
      <c r="E120" s="97" t="s">
        <v>1378</v>
      </c>
      <c r="F120" s="97" t="s">
        <v>1378</v>
      </c>
      <c r="G120" s="210"/>
      <c r="H120" s="908"/>
      <c r="I120" s="900"/>
      <c r="J120" s="869"/>
      <c r="K120" s="877"/>
      <c r="L120" s="877"/>
      <c r="M120" s="877"/>
      <c r="N120" s="877"/>
      <c r="O120" s="878"/>
      <c r="P120" s="878"/>
      <c r="Q120" s="878"/>
      <c r="R120" s="878"/>
      <c r="S120" s="878"/>
      <c r="T120" s="878"/>
      <c r="U120" s="878"/>
      <c r="V120" s="878"/>
      <c r="AA120" s="153"/>
    </row>
    <row r="121" spans="1:47" ht="15.5" x14ac:dyDescent="0.35">
      <c r="A121" s="124">
        <v>911</v>
      </c>
      <c r="B121" s="108" t="s">
        <v>1507</v>
      </c>
      <c r="C121" s="108"/>
      <c r="D121" s="11"/>
      <c r="E121" s="1056" t="e">
        <f>VLOOKUP(LA_code,data_prev_year,MATCH("RS"&amp;$A121&amp;"3",data_prev_year_headers,0),0)</f>
        <v>#N/A</v>
      </c>
      <c r="F121" s="1057" t="e">
        <f>SUM(E121,E101)</f>
        <v>#N/A</v>
      </c>
      <c r="G121" s="158" t="e">
        <f>IF(OR(E121&lt;0,F121&lt;0,AA121=1),"Warning","")</f>
        <v>#N/A</v>
      </c>
      <c r="H121" s="906" t="e">
        <f>IF(OR(E121&lt;0,F121&lt;0),"Reserves levels should be non-negative, and the change must accord with appropriations (811). Please amend or explain on the memo sheet","")</f>
        <v>#N/A</v>
      </c>
      <c r="I121" s="903" t="e">
        <f>IF(E101+E121=F121,"","Reserves level at end of March does not equal appropriations (line811) added or taken from figure on 1 April")</f>
        <v>#N/A</v>
      </c>
      <c r="J121" s="882" t="e">
        <f>IF(AK121="Warning","This year's opening balance figure is over "&amp;AC121/1000&amp;" million and "&amp;(AB121*100)&amp;"% different to "&amp;TEXT(AD121,"#,###")&amp;" last year, please explain","")</f>
        <v>#N/A</v>
      </c>
      <c r="K121" s="873"/>
      <c r="L121" s="873" t="str">
        <f>IF(AU121="Warning","This year's closing balance figure is over "&amp;AM121/1000&amp;" million and "&amp;(AL121*100)&amp;"% different to "&amp;TEXT(AN121,"#,###")&amp;" last year, please explain","")</f>
        <v/>
      </c>
      <c r="M121" s="873"/>
      <c r="N121" s="873"/>
      <c r="AA121" s="430" t="e">
        <f>IF(E101+E121=F121,0,1)</f>
        <v>#N/A</v>
      </c>
      <c r="AB121">
        <f t="shared" ref="AB121:AB139" si="145">VLOOKUP("RS"&amp;$A121,data_val_parameters,9,0)/100</f>
        <v>0.45</v>
      </c>
      <c r="AC121">
        <f t="shared" ref="AC121:AC139" si="146">VLOOKUP("RS"&amp;$A121,data_val_parameters,7,0)</f>
        <v>10000</v>
      </c>
      <c r="AD121" t="e">
        <f t="shared" ref="AD121:AD139" si="147">VLOOKUP(LA_code,data_prev_year,MATCH("RS"&amp;$A121&amp;"2",data_prev_year_headers,0),0)</f>
        <v>#N/A</v>
      </c>
      <c r="AE121" t="e">
        <f t="shared" ref="AE121" si="148">AD121+AC121</f>
        <v>#N/A</v>
      </c>
      <c r="AF121" t="e">
        <f t="shared" ref="AF121" si="149">AD121-AC121</f>
        <v>#N/A</v>
      </c>
      <c r="AG121" t="e">
        <f t="shared" ref="AG121" si="150">AD121+(AD121*AB121)</f>
        <v>#N/A</v>
      </c>
      <c r="AH121" t="e">
        <f t="shared" ref="AH121" si="151">AD121-(AD121*AB121)</f>
        <v>#N/A</v>
      </c>
      <c r="AI121" t="e">
        <f t="shared" ref="AI121" si="152">IF(OR(E121&lt;AF121,E121&gt;AE121),"Warning","")</f>
        <v>#N/A</v>
      </c>
      <c r="AJ121" t="e">
        <f t="shared" ref="AJ121" si="153">IF(OR(E121&gt;(AG121),E121&lt;(AH121)),"Warning","")</f>
        <v>#N/A</v>
      </c>
      <c r="AK121" t="e">
        <f t="shared" ref="AK121" si="154">IF(OR(E121=0),"",IF(AND(AI121="Warning",AJ121="Warning"),"Warning",""))</f>
        <v>#N/A</v>
      </c>
      <c r="AL121">
        <f>VLOOKUP("RS"&amp;$A121,data_val_parameters,9,0)/100</f>
        <v>0.45</v>
      </c>
      <c r="AM121">
        <f t="shared" ref="AM121:AM138" si="155">VLOOKUP("RS"&amp;$A121,data_val_parameters,7,0)</f>
        <v>10000</v>
      </c>
      <c r="AN121" t="e">
        <f>VLOOKUP(LA_code,data_prev_year,MATCH("RS"&amp;$A121&amp;"3",data_prev_year_headers,0),0)</f>
        <v>#N/A</v>
      </c>
      <c r="AO121" t="e">
        <f t="shared" ref="AO121:AO138" si="156">AN121+AM121</f>
        <v>#N/A</v>
      </c>
      <c r="AP121" t="e">
        <f t="shared" ref="AP121:AP138" si="157">AN121-AM121</f>
        <v>#N/A</v>
      </c>
      <c r="AQ121" t="e">
        <f t="shared" ref="AQ121:AQ138" si="158">AN121+(AN121*AL121)</f>
        <v>#N/A</v>
      </c>
      <c r="AR121" t="e">
        <f t="shared" ref="AR121:AR138" si="159">AN121-(AN121*AL121)</f>
        <v>#N/A</v>
      </c>
      <c r="AS121" t="e">
        <f t="shared" ref="AS121:AS138" si="160">IF(OR(O121&lt;AP121,O121&gt;AO121),"Warning","")</f>
        <v>#N/A</v>
      </c>
      <c r="AT121" t="e">
        <f t="shared" ref="AT121:AT138" si="161">IF(OR(O121&gt;(AQ121),O121&lt;(AR121)),"Warning","")</f>
        <v>#N/A</v>
      </c>
      <c r="AU121" t="str">
        <f t="shared" ref="AU121:AU138" si="162">IF(OR(O121=0),"",IF(AND(AS121="Warning",AT121="Warning"),"Warning",""))</f>
        <v/>
      </c>
    </row>
    <row r="122" spans="1:47" ht="15.65" customHeight="1" x14ac:dyDescent="0.35">
      <c r="A122" s="868">
        <v>912</v>
      </c>
      <c r="B122" s="724" t="s">
        <v>1508</v>
      </c>
      <c r="C122" s="108"/>
      <c r="D122" s="11"/>
      <c r="E122" s="1058"/>
      <c r="F122" s="1057">
        <f>E122+E94</f>
        <v>0</v>
      </c>
      <c r="G122" s="158" t="str">
        <f>IF(OR(E122&gt;0,F122&gt;0,AA122=1),"Warning","")</f>
        <v/>
      </c>
      <c r="H122" s="917" t="str">
        <f>IF(OR(E122&gt;0,F122&gt;0),"Adjustment Account levels cannot be positive, and the change must accord with appropriations (797). Please amend.","")</f>
        <v/>
      </c>
      <c r="I122" s="903" t="str">
        <f>IF(E94+E122=F122,"","Reserves level at end of March does not equal appropriations (line797) added or taken from figure on 1 April")</f>
        <v/>
      </c>
      <c r="J122" s="882"/>
      <c r="K122" s="873"/>
      <c r="L122" s="873"/>
      <c r="M122" s="873"/>
      <c r="N122" s="873"/>
      <c r="AA122" s="430"/>
    </row>
    <row r="123" spans="1:47" ht="15.5" x14ac:dyDescent="0.35">
      <c r="A123" s="124">
        <v>913</v>
      </c>
      <c r="B123" s="108" t="s">
        <v>1509</v>
      </c>
      <c r="C123" s="108"/>
      <c r="D123" s="11"/>
      <c r="E123" s="1056" t="e">
        <f>VLOOKUP(LA_code,data_prev_year,MATCH("RS"&amp;$A123&amp;"3",data_prev_year_headers,0),0)</f>
        <v>#N/A</v>
      </c>
      <c r="F123" s="1057" t="e">
        <f>SUM(E123,E102)</f>
        <v>#N/A</v>
      </c>
      <c r="G123" s="158" t="e">
        <f>IF(OR(E123&lt;0,F123&lt;0,AA123=1),"Warning","")</f>
        <v>#N/A</v>
      </c>
      <c r="H123" s="906" t="e">
        <f>IF(OR(E123&lt;0,F123&lt;0),"Reserves levels should be non-negative, and the change must accord with appropriations (813). Please amend or explain on the memo sheet","")</f>
        <v>#N/A</v>
      </c>
      <c r="I123" s="903" t="e">
        <f>IF(E102+E123=F123,"","Reserves level at end of March does not equal appropriations (line813) added or taken from figure on 1 April")</f>
        <v>#N/A</v>
      </c>
      <c r="J123" s="882" t="e">
        <f t="shared" ref="J123:J138" si="163">IF(AK123="Warning","This year's opening balance figure is over "&amp;AC123/1000&amp;" million and "&amp;(AB123*100)&amp;"% different to "&amp;TEXT(AD123,"#,###")&amp;" last year, please explain","")</f>
        <v>#N/A</v>
      </c>
      <c r="K123" s="873"/>
      <c r="L123" s="873" t="str">
        <f t="shared" ref="L123:L125" si="164">IF(AU123="Warning","This year's closing balance figure is over "&amp;AM123/1000&amp;" million and "&amp;(AL123*100)&amp;"% different to "&amp;TEXT(AN123,"#,###")&amp;" last year, please explain","")</f>
        <v/>
      </c>
      <c r="M123" s="873"/>
      <c r="N123" s="873"/>
      <c r="AA123" s="430" t="e">
        <f>IF(E102+E123=F123,0,1)</f>
        <v>#N/A</v>
      </c>
      <c r="AB123">
        <f t="shared" si="145"/>
        <v>0.45</v>
      </c>
      <c r="AC123">
        <f t="shared" si="146"/>
        <v>10000</v>
      </c>
      <c r="AD123" t="e">
        <f t="shared" si="147"/>
        <v>#N/A</v>
      </c>
      <c r="AE123" t="e">
        <f t="shared" ref="AE123:AE138" si="165">AD123+AC123</f>
        <v>#N/A</v>
      </c>
      <c r="AF123" t="e">
        <f t="shared" ref="AF123:AF138" si="166">AD123-AC123</f>
        <v>#N/A</v>
      </c>
      <c r="AG123" t="e">
        <f t="shared" ref="AG123:AG138" si="167">AD123+(AD123*AB123)</f>
        <v>#N/A</v>
      </c>
      <c r="AH123" t="e">
        <f t="shared" ref="AH123:AH138" si="168">AD123-(AD123*AB123)</f>
        <v>#N/A</v>
      </c>
      <c r="AI123" t="e">
        <f t="shared" ref="AI123:AI138" si="169">IF(OR(E123&lt;AF123,E123&gt;AE123),"Warning","")</f>
        <v>#N/A</v>
      </c>
      <c r="AJ123" t="e">
        <f t="shared" ref="AJ123:AJ138" si="170">IF(OR(E123&gt;(AG123),E123&lt;(AH123)),"Warning","")</f>
        <v>#N/A</v>
      </c>
      <c r="AK123" t="e">
        <f t="shared" ref="AK123:AK138" si="171">IF(OR(E123=0),"",IF(AND(AI123="Warning",AJ123="Warning"),"Warning",""))</f>
        <v>#N/A</v>
      </c>
      <c r="AL123">
        <f>VLOOKUP("RS"&amp;$A123,data_val_parameters,9,0)/100</f>
        <v>0.45</v>
      </c>
      <c r="AM123">
        <f t="shared" si="155"/>
        <v>10000</v>
      </c>
      <c r="AN123" t="e">
        <f>VLOOKUP(LA_code,data_prev_year,MATCH("RS"&amp;$A123&amp;"3",data_prev_year_headers,0),0)</f>
        <v>#N/A</v>
      </c>
      <c r="AO123" t="e">
        <f t="shared" si="156"/>
        <v>#N/A</v>
      </c>
      <c r="AP123" t="e">
        <f t="shared" si="157"/>
        <v>#N/A</v>
      </c>
      <c r="AQ123" t="e">
        <f t="shared" si="158"/>
        <v>#N/A</v>
      </c>
      <c r="AR123" t="e">
        <f t="shared" si="159"/>
        <v>#N/A</v>
      </c>
      <c r="AS123" t="e">
        <f t="shared" si="160"/>
        <v>#N/A</v>
      </c>
      <c r="AT123" t="e">
        <f t="shared" si="161"/>
        <v>#N/A</v>
      </c>
      <c r="AU123" t="str">
        <f t="shared" si="162"/>
        <v/>
      </c>
    </row>
    <row r="124" spans="1:47" ht="15.5" x14ac:dyDescent="0.35">
      <c r="A124" s="124">
        <v>914</v>
      </c>
      <c r="B124" s="108" t="s">
        <v>1510</v>
      </c>
      <c r="C124" s="108"/>
      <c r="D124" s="11"/>
      <c r="E124" s="1056" t="e">
        <f>VLOOKUP(LA_code,data_prev_year,MATCH("RS"&amp;$A124&amp;"3",data_prev_year_headers,0),0)</f>
        <v>#N/A</v>
      </c>
      <c r="F124" s="1057" t="e">
        <f>SUM(E124,E103)</f>
        <v>#N/A</v>
      </c>
      <c r="G124" s="158" t="e">
        <f>IF(OR(E124&lt;0,F124&lt;0,AA124=1),"Warning","")</f>
        <v>#N/A</v>
      </c>
      <c r="H124" s="906" t="e">
        <f>IF(OR(E124&lt;0,F124&lt;0),"Reserves levels should be non-negative, and the change must accord with appropriations (814). Please amend or explain on the memo sheet","")</f>
        <v>#N/A</v>
      </c>
      <c r="I124" s="903" t="e">
        <f>IF(E103+E124=F124,"","Reserves level at end of March does not equal appropriations (line814) added or taken from figure on 1 April")</f>
        <v>#N/A</v>
      </c>
      <c r="J124" s="882" t="e">
        <f t="shared" si="163"/>
        <v>#N/A</v>
      </c>
      <c r="K124" s="873"/>
      <c r="L124" s="873" t="str">
        <f t="shared" si="164"/>
        <v/>
      </c>
      <c r="M124" s="873"/>
      <c r="N124" s="873"/>
      <c r="AA124" s="430" t="e">
        <f>IF(E103+E124=F124,0,1)</f>
        <v>#N/A</v>
      </c>
      <c r="AB124">
        <f t="shared" si="145"/>
        <v>0.45</v>
      </c>
      <c r="AC124">
        <f t="shared" si="146"/>
        <v>10000</v>
      </c>
      <c r="AD124" t="e">
        <f t="shared" si="147"/>
        <v>#N/A</v>
      </c>
      <c r="AE124" t="e">
        <f t="shared" si="165"/>
        <v>#N/A</v>
      </c>
      <c r="AF124" t="e">
        <f t="shared" si="166"/>
        <v>#N/A</v>
      </c>
      <c r="AG124" t="e">
        <f t="shared" si="167"/>
        <v>#N/A</v>
      </c>
      <c r="AH124" t="e">
        <f t="shared" si="168"/>
        <v>#N/A</v>
      </c>
      <c r="AI124" t="e">
        <f t="shared" si="169"/>
        <v>#N/A</v>
      </c>
      <c r="AJ124" t="e">
        <f t="shared" si="170"/>
        <v>#N/A</v>
      </c>
      <c r="AK124" t="e">
        <f t="shared" si="171"/>
        <v>#N/A</v>
      </c>
      <c r="AL124">
        <f>VLOOKUP("RS"&amp;$A124,data_val_parameters,9,0)/100</f>
        <v>0.45</v>
      </c>
      <c r="AM124">
        <f t="shared" si="155"/>
        <v>10000</v>
      </c>
      <c r="AN124" t="e">
        <f>VLOOKUP(LA_code,data_prev_year,MATCH("RS"&amp;$A124&amp;"3",data_prev_year_headers,0),0)</f>
        <v>#N/A</v>
      </c>
      <c r="AO124" t="e">
        <f t="shared" si="156"/>
        <v>#N/A</v>
      </c>
      <c r="AP124" t="e">
        <f t="shared" si="157"/>
        <v>#N/A</v>
      </c>
      <c r="AQ124" t="e">
        <f t="shared" si="158"/>
        <v>#N/A</v>
      </c>
      <c r="AR124" t="e">
        <f t="shared" si="159"/>
        <v>#N/A</v>
      </c>
      <c r="AS124" t="e">
        <f t="shared" si="160"/>
        <v>#N/A</v>
      </c>
      <c r="AT124" t="e">
        <f t="shared" si="161"/>
        <v>#N/A</v>
      </c>
      <c r="AU124" t="str">
        <f t="shared" si="162"/>
        <v/>
      </c>
    </row>
    <row r="125" spans="1:47" ht="15.5" x14ac:dyDescent="0.35">
      <c r="A125" s="124">
        <v>915</v>
      </c>
      <c r="B125" s="108" t="s">
        <v>1511</v>
      </c>
      <c r="C125" s="108"/>
      <c r="D125" s="744"/>
      <c r="E125" s="1059" t="e">
        <f>SUM(E128:E132)</f>
        <v>#VALUE!</v>
      </c>
      <c r="F125" s="1057" t="e">
        <f>SUM(E125,E104)</f>
        <v>#VALUE!</v>
      </c>
      <c r="G125" s="158" t="e">
        <f>IF(OR(E125&lt;0,F125&lt;0,AA125=1),"Warning","")</f>
        <v>#VALUE!</v>
      </c>
      <c r="H125" s="906" t="e">
        <f>IF(OR(E125&lt;0,F125&lt;0),"Reserves levels should be non-negative, and the change must accord with appropriations (815). Please amend or explain on the memo sheet","")</f>
        <v>#VALUE!</v>
      </c>
      <c r="I125" s="903" t="e">
        <f>IF(E104+E125=F125,"","Reserves level at end of March does not equal appropriations (line815) added or taken from figure on 1 April")</f>
        <v>#VALUE!</v>
      </c>
      <c r="J125" s="882" t="e">
        <f t="shared" si="163"/>
        <v>#VALUE!</v>
      </c>
      <c r="K125" s="873"/>
      <c r="L125" s="873" t="str">
        <f t="shared" si="164"/>
        <v/>
      </c>
      <c r="M125" s="873"/>
      <c r="N125" s="873"/>
      <c r="AA125" s="430" t="e">
        <f>IF(E104+E125=F125,0,1)</f>
        <v>#VALUE!</v>
      </c>
      <c r="AB125">
        <f t="shared" si="145"/>
        <v>0.55000000000000004</v>
      </c>
      <c r="AC125">
        <f t="shared" si="146"/>
        <v>20000</v>
      </c>
      <c r="AD125" t="e">
        <f t="shared" si="147"/>
        <v>#N/A</v>
      </c>
      <c r="AE125" t="e">
        <f t="shared" si="165"/>
        <v>#N/A</v>
      </c>
      <c r="AF125" t="e">
        <f t="shared" si="166"/>
        <v>#N/A</v>
      </c>
      <c r="AG125" t="e">
        <f t="shared" si="167"/>
        <v>#N/A</v>
      </c>
      <c r="AH125" t="e">
        <f t="shared" si="168"/>
        <v>#N/A</v>
      </c>
      <c r="AI125" t="e">
        <f t="shared" si="169"/>
        <v>#VALUE!</v>
      </c>
      <c r="AJ125" t="e">
        <f t="shared" si="170"/>
        <v>#VALUE!</v>
      </c>
      <c r="AK125" t="e">
        <f t="shared" si="171"/>
        <v>#VALUE!</v>
      </c>
      <c r="AL125">
        <f>VLOOKUP("RS"&amp;$A125,data_val_parameters,9,0)/100</f>
        <v>0.55000000000000004</v>
      </c>
      <c r="AM125">
        <f t="shared" si="155"/>
        <v>20000</v>
      </c>
      <c r="AN125" t="e">
        <f>VLOOKUP(LA_code,data_prev_year,MATCH("RS"&amp;$A125&amp;"3",data_prev_year_headers,0),0)</f>
        <v>#N/A</v>
      </c>
      <c r="AO125" t="e">
        <f t="shared" si="156"/>
        <v>#N/A</v>
      </c>
      <c r="AP125" t="e">
        <f t="shared" si="157"/>
        <v>#N/A</v>
      </c>
      <c r="AQ125" t="e">
        <f t="shared" si="158"/>
        <v>#N/A</v>
      </c>
      <c r="AR125" t="e">
        <f t="shared" si="159"/>
        <v>#N/A</v>
      </c>
      <c r="AS125" t="e">
        <f t="shared" si="160"/>
        <v>#N/A</v>
      </c>
      <c r="AT125" t="e">
        <f t="shared" si="161"/>
        <v>#N/A</v>
      </c>
      <c r="AU125" t="str">
        <f t="shared" si="162"/>
        <v/>
      </c>
    </row>
    <row r="126" spans="1:47" ht="15.5" x14ac:dyDescent="0.35">
      <c r="A126" s="868" t="s">
        <v>1512</v>
      </c>
      <c r="B126" s="724" t="s">
        <v>1513</v>
      </c>
      <c r="C126" s="108"/>
      <c r="D126" s="744"/>
      <c r="E126" s="1059" t="e">
        <f>E125-E134-E135</f>
        <v>#VALUE!</v>
      </c>
      <c r="F126" s="1059" t="e">
        <f>F125-F134-F135</f>
        <v>#VALUE!</v>
      </c>
      <c r="G126" s="158"/>
      <c r="H126" s="906"/>
      <c r="I126" s="903"/>
      <c r="J126" s="882"/>
      <c r="K126" s="873"/>
      <c r="L126" s="873"/>
      <c r="M126" s="873"/>
      <c r="N126" s="873"/>
      <c r="AA126" s="430"/>
    </row>
    <row r="127" spans="1:47" ht="31" customHeight="1" x14ac:dyDescent="0.35">
      <c r="A127" s="808" t="s">
        <v>1514</v>
      </c>
      <c r="B127" s="564"/>
      <c r="C127" s="108"/>
      <c r="D127" s="931" t="e">
        <f>IF(AND(E128="", E129="", E130="", E131="", E125&lt;&gt;0), "Please provide a breakdown for line 915 in lines 1023-1026.", "")</f>
        <v>#VALUE!</v>
      </c>
      <c r="E127" s="931" t="e">
        <f>IF(SUM(E128:E132)&lt;&gt;E125, "The sum of lines 1023-1027 must equal line 915", "")</f>
        <v>#VALUE!</v>
      </c>
      <c r="F127" s="930" t="e">
        <f>IF(SUM(F128:F132)&lt;&gt;F125, "The sum of lines 1023-1027 must equal line 915", "")</f>
        <v>#VALUE!</v>
      </c>
      <c r="G127" s="931" t="e">
        <f>IF(AND(F128="", F129="", F130="", F131="", F125&lt;&gt;0), "Sub-components of line 915 must be provided in lines 1023-1030.", "")</f>
        <v>#VALUE!</v>
      </c>
      <c r="H127" s="906"/>
      <c r="I127" s="903"/>
      <c r="K127" s="873"/>
      <c r="L127" s="873"/>
      <c r="M127" s="873"/>
      <c r="N127" s="873"/>
      <c r="AA127" s="430"/>
    </row>
    <row r="128" spans="1:47" ht="15.5" x14ac:dyDescent="0.35">
      <c r="A128" s="809">
        <v>1023</v>
      </c>
      <c r="B128" s="810" t="s">
        <v>1515</v>
      </c>
      <c r="C128" s="961"/>
      <c r="D128" s="960" t="s">
        <v>1516</v>
      </c>
      <c r="E128" s="1056" t="e">
        <f>IF(ISERROR(VLOOKUP(LA_code,'Pre-populated reserves'!$A$2:$L$428,5,0)),0,ROUND(VLOOKUP(LA_code,'Pre-populated reserves'!$A$2:$L$428,5,0),0))</f>
        <v>#VALUE!</v>
      </c>
      <c r="F128" s="1060"/>
      <c r="G128" s="761" t="e">
        <f>IF(OR(E128&lt;0,F128&lt;0),"Warning","")</f>
        <v>#VALUE!</v>
      </c>
      <c r="H128" s="906" t="e">
        <f>IF(OR(E128&lt;0,F128&lt;0),"Reserves levels should be non-negative. Please amend or explain on the memo sheet","")</f>
        <v>#VALUE!</v>
      </c>
      <c r="I128" s="903"/>
      <c r="K128" s="873"/>
      <c r="L128" s="873"/>
      <c r="M128" s="873"/>
      <c r="N128" s="873"/>
      <c r="AA128" s="430"/>
    </row>
    <row r="129" spans="1:47" ht="15.5" x14ac:dyDescent="0.35">
      <c r="A129" s="809">
        <v>1024</v>
      </c>
      <c r="B129" s="810" t="s">
        <v>1517</v>
      </c>
      <c r="C129" s="961"/>
      <c r="D129" s="960" t="s">
        <v>1518</v>
      </c>
      <c r="E129" s="1056" t="e">
        <f>IF(ISERROR(VLOOKUP(LA_code,'Pre-populated reserves'!$A$2:$L$428,6,0)),0,ROUND(VLOOKUP(LA_code,'Pre-populated reserves'!$A$2:$L$428,6,0),0))</f>
        <v>#VALUE!</v>
      </c>
      <c r="F129" s="1060"/>
      <c r="G129" s="761" t="e">
        <f t="shared" ref="G129:G136" si="172">IF(OR(E129&lt;0,F129&lt;0),"Warning","")</f>
        <v>#VALUE!</v>
      </c>
      <c r="H129" s="906" t="e">
        <f t="shared" ref="H129:H136" si="173">IF(OR(E129&lt;0,F129&lt;0),"Reserves levels should be non-negative. Please amend or explain on the memo sheet","")</f>
        <v>#VALUE!</v>
      </c>
      <c r="I129" s="903"/>
      <c r="K129" s="873"/>
      <c r="L129" s="873"/>
      <c r="M129" s="873"/>
      <c r="N129" s="873"/>
      <c r="AA129" s="430"/>
    </row>
    <row r="130" spans="1:47" ht="15.5" x14ac:dyDescent="0.35">
      <c r="A130" s="809">
        <v>1025</v>
      </c>
      <c r="B130" s="810" t="s">
        <v>1519</v>
      </c>
      <c r="C130" s="961"/>
      <c r="D130" s="960" t="s">
        <v>1520</v>
      </c>
      <c r="E130" s="1056" t="e">
        <f>IF(ISERROR(VLOOKUP(LA_code,'Pre-populated reserves'!$A$2:$L$428,7,0)),0,ROUND(VLOOKUP(LA_code,'Pre-populated reserves'!$A$2:$L$428,7,0),0))</f>
        <v>#VALUE!</v>
      </c>
      <c r="F130" s="1060"/>
      <c r="G130" s="761" t="e">
        <f t="shared" si="172"/>
        <v>#VALUE!</v>
      </c>
      <c r="H130" s="906" t="e">
        <f t="shared" si="173"/>
        <v>#VALUE!</v>
      </c>
      <c r="I130" s="903"/>
      <c r="K130" s="873"/>
      <c r="L130" s="873"/>
      <c r="M130" s="873"/>
      <c r="N130" s="873"/>
      <c r="AA130" s="430"/>
    </row>
    <row r="131" spans="1:47" ht="15.5" x14ac:dyDescent="0.35">
      <c r="A131" s="809">
        <v>1026</v>
      </c>
      <c r="B131" s="810" t="s">
        <v>1521</v>
      </c>
      <c r="C131" s="961"/>
      <c r="D131" s="960" t="s">
        <v>1522</v>
      </c>
      <c r="E131" s="1056" t="e">
        <f>IF(ISERROR(VLOOKUP(LA_code,'Pre-populated reserves'!$A$2:$L$428,8,0)),0,ROUND(VLOOKUP(LA_code,'Pre-populated reserves'!$A$2:$L$428,8,0),0))</f>
        <v>#VALUE!</v>
      </c>
      <c r="F131" s="1060"/>
      <c r="G131" s="761" t="e">
        <f t="shared" si="172"/>
        <v>#VALUE!</v>
      </c>
      <c r="H131" s="906" t="e">
        <f t="shared" si="173"/>
        <v>#VALUE!</v>
      </c>
      <c r="I131" s="903"/>
      <c r="K131" s="873"/>
      <c r="L131" s="873"/>
      <c r="M131" s="873"/>
      <c r="N131" s="873"/>
      <c r="AA131" s="430"/>
    </row>
    <row r="132" spans="1:47" ht="15.5" x14ac:dyDescent="0.35">
      <c r="A132" s="809">
        <v>1027</v>
      </c>
      <c r="B132" s="810" t="s">
        <v>1523</v>
      </c>
      <c r="C132" s="108"/>
      <c r="D132" s="11"/>
      <c r="E132" s="1059" t="e">
        <f>SUM(E134:E136)</f>
        <v>#VALUE!</v>
      </c>
      <c r="F132" s="1059">
        <f>SUM(F134:F136)</f>
        <v>0</v>
      </c>
      <c r="G132" s="761" t="e">
        <f t="shared" si="172"/>
        <v>#VALUE!</v>
      </c>
      <c r="H132" s="906" t="e">
        <f t="shared" si="173"/>
        <v>#VALUE!</v>
      </c>
      <c r="I132" s="903"/>
      <c r="K132" s="873"/>
      <c r="L132" s="873"/>
      <c r="M132" s="873"/>
      <c r="N132" s="873"/>
      <c r="AA132" s="430"/>
    </row>
    <row r="133" spans="1:47" ht="35.5" customHeight="1" x14ac:dyDescent="0.35">
      <c r="A133" s="811" t="s">
        <v>1524</v>
      </c>
      <c r="B133" s="564"/>
      <c r="C133" s="108"/>
      <c r="D133" s="11"/>
      <c r="E133" s="931" t="e">
        <f>IF(SUM(E134:E136)&lt;&gt;E132, "The sum of lines 1028-1030 must equal line 1027", "")</f>
        <v>#VALUE!</v>
      </c>
      <c r="F133" s="931" t="str">
        <f>IF(SUM(F134:F136)&lt;&gt;F132, "The sum of lines 1028-1030 must equal line 1027", "")</f>
        <v/>
      </c>
      <c r="G133" s="761"/>
      <c r="H133" s="906"/>
      <c r="I133" s="903"/>
      <c r="K133" s="873"/>
      <c r="L133" s="873"/>
      <c r="M133" s="873"/>
      <c r="N133" s="873"/>
      <c r="AA133" s="430"/>
    </row>
    <row r="134" spans="1:47" s="132" customFormat="1" ht="30" customHeight="1" x14ac:dyDescent="0.25">
      <c r="A134" s="812">
        <v>1028</v>
      </c>
      <c r="B134" s="813" t="s">
        <v>1525</v>
      </c>
      <c r="C134" s="745"/>
      <c r="D134" s="746"/>
      <c r="E134" s="1061">
        <f>IF(ISERROR(VLOOKUP(LA_code,'Line 1028+1029'!$A$2:$I$427,7,0)),0,ROUND(VLOOKUP(LA_code,'Line 1028+1029'!$A$2:$I$427,7,0),0))</f>
        <v>0</v>
      </c>
      <c r="F134" s="1062"/>
      <c r="G134" s="761" t="str">
        <f t="shared" si="172"/>
        <v/>
      </c>
      <c r="H134" s="906" t="str">
        <f t="shared" si="173"/>
        <v/>
      </c>
      <c r="I134" s="903"/>
      <c r="J134" s="875"/>
      <c r="K134" s="874"/>
      <c r="L134" s="874"/>
      <c r="M134" s="874"/>
      <c r="N134" s="874"/>
      <c r="O134" s="875"/>
      <c r="P134" s="875"/>
      <c r="Q134" s="875"/>
      <c r="R134" s="875"/>
      <c r="S134" s="875"/>
      <c r="T134" s="875"/>
      <c r="U134" s="875"/>
      <c r="V134" s="875"/>
      <c r="AA134" s="462"/>
    </row>
    <row r="135" spans="1:47" s="132" customFormat="1" ht="33" customHeight="1" x14ac:dyDescent="0.25">
      <c r="A135" s="812">
        <v>1029</v>
      </c>
      <c r="B135" s="814" t="s">
        <v>1526</v>
      </c>
      <c r="C135" s="745"/>
      <c r="D135" s="746"/>
      <c r="E135" s="1061">
        <f>IF(ISERROR(VLOOKUP(LA_code,'Line 1028+1029'!$A$2:$I$427,9,0)),0,ROUND(VLOOKUP(LA_code,'Line 1028+1029'!$A$2:$I$427,9,0),0))</f>
        <v>0</v>
      </c>
      <c r="F135" s="1062"/>
      <c r="G135" s="761" t="str">
        <f t="shared" si="172"/>
        <v/>
      </c>
      <c r="H135" s="906" t="str">
        <f t="shared" si="173"/>
        <v/>
      </c>
      <c r="I135" s="903"/>
      <c r="J135" s="875"/>
      <c r="K135" s="874"/>
      <c r="L135" s="874"/>
      <c r="M135" s="874"/>
      <c r="N135" s="874"/>
      <c r="O135" s="875"/>
      <c r="P135" s="875"/>
      <c r="Q135" s="875"/>
      <c r="R135" s="875"/>
      <c r="S135" s="875"/>
      <c r="T135" s="875"/>
      <c r="U135" s="875"/>
      <c r="V135" s="875"/>
      <c r="AA135" s="462"/>
    </row>
    <row r="136" spans="1:47" ht="30" customHeight="1" x14ac:dyDescent="0.35">
      <c r="A136" s="809">
        <v>1030</v>
      </c>
      <c r="B136" s="810" t="s">
        <v>1527</v>
      </c>
      <c r="C136" s="108"/>
      <c r="D136" s="959" t="s">
        <v>1528</v>
      </c>
      <c r="E136" s="1056" t="e">
        <f>IF(ISERROR(VLOOKUP(LA_code,'Pre-populated reserves'!$A$2:$L$428,12,0)),0,ROUND(VLOOKUP(LA_code,'Pre-populated reserves'!$A$2:$L$428,12,0),0))</f>
        <v>#VALUE!</v>
      </c>
      <c r="F136" s="1060"/>
      <c r="G136" s="932" t="e">
        <f t="shared" si="172"/>
        <v>#VALUE!</v>
      </c>
      <c r="H136" s="933" t="e">
        <f t="shared" si="173"/>
        <v>#VALUE!</v>
      </c>
      <c r="I136" s="934"/>
      <c r="K136" s="873"/>
      <c r="L136" s="873"/>
      <c r="M136" s="873"/>
      <c r="N136" s="873"/>
      <c r="AA136" s="430"/>
    </row>
    <row r="137" spans="1:47" ht="15.5" x14ac:dyDescent="0.35">
      <c r="A137" s="935" t="s">
        <v>1529</v>
      </c>
      <c r="B137" s="1063" t="s">
        <v>1530</v>
      </c>
      <c r="C137" s="108"/>
      <c r="D137" s="11"/>
      <c r="E137" s="11"/>
      <c r="F137" s="11"/>
      <c r="G137" s="747"/>
      <c r="H137" s="906"/>
      <c r="I137" s="903"/>
      <c r="K137" s="873"/>
      <c r="L137" s="873"/>
      <c r="M137" s="873"/>
      <c r="N137" s="873"/>
      <c r="AA137" s="430"/>
    </row>
    <row r="138" spans="1:47" ht="15.5" x14ac:dyDescent="0.35">
      <c r="A138" s="124">
        <v>916</v>
      </c>
      <c r="B138" s="108" t="s">
        <v>1531</v>
      </c>
      <c r="C138" s="108"/>
      <c r="D138" s="11"/>
      <c r="E138" s="1064" t="e">
        <f>VLOOKUP(LA_code,data_prev_year,MATCH("RS"&amp;$A138&amp;"3",data_prev_year_headers,0),0)</f>
        <v>#N/A</v>
      </c>
      <c r="F138" s="1057" t="e">
        <f>SUM(E138,E107)</f>
        <v>#N/A</v>
      </c>
      <c r="G138" s="158" t="e">
        <f>IF(OR(E138&lt;0,F138&lt;0,AA138=1),"Warning","")</f>
        <v>#N/A</v>
      </c>
      <c r="H138" s="906" t="e">
        <f>IF(OR(E138&lt;0,F138&lt;0),"Reserves levels should be non-negative, and the change must accord with appropriations (816). Please amend or explain on the memo sheet","")</f>
        <v>#N/A</v>
      </c>
      <c r="I138" s="903" t="e">
        <f>IF(E107+E138=F138,"","Reserves level at end of March does not equal appropriations (line816) added or taken from figure on 1 April")</f>
        <v>#N/A</v>
      </c>
      <c r="J138" s="882" t="e">
        <f t="shared" si="163"/>
        <v>#N/A</v>
      </c>
      <c r="K138" s="873"/>
      <c r="L138" s="873" t="str">
        <f>IF(AU138="Warning","This year's closing balance figure is over "&amp;AM138/1000&amp;" million and "&amp;(AL138*100)&amp;"% different to "&amp;TEXT(AN138,"#,###")&amp;" last year, please explain","")</f>
        <v/>
      </c>
      <c r="M138" s="873"/>
      <c r="N138" s="873"/>
      <c r="O138" s="888"/>
      <c r="P138" s="888"/>
      <c r="AA138" s="430" t="e">
        <f>IF(E107+E138=F138,0,1)</f>
        <v>#N/A</v>
      </c>
      <c r="AB138">
        <f t="shared" si="145"/>
        <v>0.55000000000000004</v>
      </c>
      <c r="AC138">
        <f t="shared" si="146"/>
        <v>20000</v>
      </c>
      <c r="AD138" t="e">
        <f t="shared" si="147"/>
        <v>#N/A</v>
      </c>
      <c r="AE138" t="e">
        <f t="shared" si="165"/>
        <v>#N/A</v>
      </c>
      <c r="AF138" t="e">
        <f t="shared" si="166"/>
        <v>#N/A</v>
      </c>
      <c r="AG138" t="e">
        <f t="shared" si="167"/>
        <v>#N/A</v>
      </c>
      <c r="AH138" t="e">
        <f t="shared" si="168"/>
        <v>#N/A</v>
      </c>
      <c r="AI138" t="e">
        <f t="shared" si="169"/>
        <v>#N/A</v>
      </c>
      <c r="AJ138" t="e">
        <f t="shared" si="170"/>
        <v>#N/A</v>
      </c>
      <c r="AK138" t="e">
        <f t="shared" si="171"/>
        <v>#N/A</v>
      </c>
      <c r="AL138">
        <f>VLOOKUP("RS"&amp;$A138,data_val_parameters,9,0)/100</f>
        <v>0.55000000000000004</v>
      </c>
      <c r="AM138">
        <f t="shared" si="155"/>
        <v>20000</v>
      </c>
      <c r="AN138" t="e">
        <f>VLOOKUP(LA_code,data_prev_year,MATCH("RS"&amp;$A138&amp;"2",data_prev_year_headers,0),0)</f>
        <v>#N/A</v>
      </c>
      <c r="AO138" t="e">
        <f t="shared" si="156"/>
        <v>#N/A</v>
      </c>
      <c r="AP138" t="e">
        <f t="shared" si="157"/>
        <v>#N/A</v>
      </c>
      <c r="AQ138" t="e">
        <f t="shared" si="158"/>
        <v>#N/A</v>
      </c>
      <c r="AR138" t="e">
        <f t="shared" si="159"/>
        <v>#N/A</v>
      </c>
      <c r="AS138" t="e">
        <f t="shared" si="160"/>
        <v>#N/A</v>
      </c>
      <c r="AT138" t="e">
        <f t="shared" si="161"/>
        <v>#N/A</v>
      </c>
      <c r="AU138" t="str">
        <f t="shared" si="162"/>
        <v/>
      </c>
    </row>
    <row r="139" spans="1:47" ht="15.5" x14ac:dyDescent="0.35">
      <c r="A139" s="124">
        <v>920</v>
      </c>
      <c r="B139" s="124" t="s">
        <v>1532</v>
      </c>
      <c r="C139" s="124"/>
      <c r="D139" s="11"/>
      <c r="E139" s="1060"/>
      <c r="F139" s="484"/>
      <c r="H139" s="911"/>
      <c r="I139" s="912"/>
      <c r="J139" s="869" t="str">
        <f>IF(AK139="Warning","This year's figure is over "&amp;AC139/1000&amp;" million and "&amp;(AB139*100)&amp;"% different to "&amp;TEXT(AD139,"#,###")&amp;" last year, please explain","")</f>
        <v/>
      </c>
      <c r="K139" s="873"/>
      <c r="L139" s="873"/>
      <c r="M139" s="873"/>
      <c r="N139" s="873"/>
      <c r="AB139">
        <f t="shared" si="145"/>
        <v>0.4</v>
      </c>
      <c r="AC139">
        <f t="shared" si="146"/>
        <v>4000</v>
      </c>
      <c r="AD139" t="e">
        <f t="shared" si="147"/>
        <v>#N/A</v>
      </c>
      <c r="AE139" t="e">
        <f t="shared" ref="AE139" si="174">AD139+AC139</f>
        <v>#N/A</v>
      </c>
      <c r="AF139" t="e">
        <f t="shared" ref="AF139" si="175">AD139-AC139</f>
        <v>#N/A</v>
      </c>
      <c r="AG139" t="e">
        <f t="shared" ref="AG139" si="176">AD139+(AD139*AB139)</f>
        <v>#N/A</v>
      </c>
      <c r="AH139" t="e">
        <f t="shared" ref="AH139" si="177">AD139-(AD139*AB139)</f>
        <v>#N/A</v>
      </c>
      <c r="AI139" t="e">
        <f t="shared" ref="AI139" si="178">IF(OR(E139&lt;AF139,E139&gt;AE139),"Warning","")</f>
        <v>#N/A</v>
      </c>
      <c r="AJ139" t="e">
        <f t="shared" ref="AJ139" si="179">IF(OR(E139&gt;(AG139),E139&lt;(AH139)),"Warning","")</f>
        <v>#N/A</v>
      </c>
      <c r="AK139" t="str">
        <f t="shared" ref="AK139" si="180">IF(OR(E139=0),"",IF(AND(AI139="Warning",AJ139="Warning"),"Warning",""))</f>
        <v/>
      </c>
    </row>
    <row r="140" spans="1:47" ht="15.5" x14ac:dyDescent="0.35">
      <c r="A140" s="214" t="s">
        <v>1533</v>
      </c>
      <c r="B140" s="61"/>
      <c r="C140" s="61"/>
      <c r="D140" s="61"/>
      <c r="E140" s="31"/>
      <c r="F140" s="485"/>
      <c r="G140" s="213"/>
      <c r="H140" s="911"/>
      <c r="I140" s="890"/>
      <c r="J140" s="873"/>
      <c r="K140" s="873"/>
      <c r="L140" s="873"/>
      <c r="M140" s="873"/>
      <c r="N140" s="873"/>
      <c r="AA140"/>
    </row>
    <row r="141" spans="1:47" ht="15.5" x14ac:dyDescent="0.35">
      <c r="A141" s="214"/>
      <c r="B141" s="61"/>
      <c r="C141" s="61"/>
      <c r="D141" s="61"/>
      <c r="E141" s="31"/>
      <c r="F141" s="919"/>
      <c r="G141" s="213"/>
      <c r="H141" s="911"/>
      <c r="I141" s="890"/>
      <c r="J141" s="873"/>
      <c r="K141" s="873"/>
      <c r="L141" s="873"/>
      <c r="M141" s="873"/>
      <c r="N141" s="873"/>
      <c r="AA141"/>
    </row>
    <row r="142" spans="1:47" ht="17.25" customHeight="1" x14ac:dyDescent="0.4">
      <c r="A142" s="39" t="s">
        <v>1534</v>
      </c>
      <c r="B142" s="112"/>
      <c r="C142" s="215"/>
      <c r="D142" s="211"/>
      <c r="E142" s="4"/>
      <c r="F142" s="920"/>
      <c r="G142" s="213"/>
      <c r="H142" s="911"/>
      <c r="I142" s="890"/>
      <c r="J142" s="873"/>
      <c r="K142" s="873"/>
      <c r="L142" s="873"/>
      <c r="M142" s="873"/>
      <c r="N142" s="873"/>
    </row>
    <row r="143" spans="1:47" ht="17.25" customHeight="1" x14ac:dyDescent="0.35">
      <c r="A143" s="216"/>
      <c r="B143" s="215"/>
      <c r="C143" s="215"/>
      <c r="D143" s="211"/>
      <c r="E143" s="507" t="s">
        <v>1378</v>
      </c>
      <c r="F143" s="486"/>
      <c r="G143" s="213"/>
      <c r="H143" s="911"/>
      <c r="I143" s="890"/>
      <c r="J143" s="873"/>
      <c r="K143" s="873"/>
      <c r="L143" s="873"/>
      <c r="M143" s="873"/>
      <c r="N143" s="873"/>
    </row>
    <row r="144" spans="1:47" ht="15.5" x14ac:dyDescent="0.35">
      <c r="A144" s="705">
        <v>931</v>
      </c>
      <c r="B144" s="705" t="s">
        <v>1535</v>
      </c>
      <c r="C144" s="705"/>
      <c r="D144" s="31"/>
      <c r="E144" s="1058"/>
      <c r="F144" s="685" t="str">
        <f t="shared" ref="F144:F155" si="181">IF(ISERROR(G144),"",IF((G144="Error"),"add explanation",IF((G144="Warning"),"add explanation","")))</f>
        <v/>
      </c>
      <c r="G144" s="158" t="str">
        <f>IF(AK144="Warning","Warning","")</f>
        <v/>
      </c>
      <c r="H144" s="906" t="str">
        <f>IF(G144="Warning","This year's figure is over "&amp;AC144/1000&amp;" million and "&amp;(AB144*100)&amp;"% different to "&amp;TEXT(AD144,"#,###")&amp;" last year, please explain","")</f>
        <v/>
      </c>
      <c r="I144" s="890"/>
      <c r="J144" s="873"/>
      <c r="K144" s="873"/>
      <c r="L144" s="873"/>
      <c r="M144" s="873"/>
      <c r="N144" s="873"/>
      <c r="AB144">
        <f>VLOOKUP("RS"&amp;$A144,data_val_parameters,9,0)/100</f>
        <v>0.65</v>
      </c>
      <c r="AC144">
        <f t="shared" ref="AC144:AC154" si="182">VLOOKUP("RS"&amp;$A144,data_val_parameters,7,0)</f>
        <v>15000</v>
      </c>
      <c r="AD144" t="e">
        <f>VLOOKUP(LA_code,data_prev_year,MATCH("RS"&amp;$A144&amp;"1",data_prev_year_headers,0),0)</f>
        <v>#N/A</v>
      </c>
      <c r="AE144" t="e">
        <f t="shared" ref="AE144" si="183">AD144+AC144</f>
        <v>#N/A</v>
      </c>
      <c r="AF144" t="e">
        <f t="shared" ref="AF144" si="184">AD144-AC144</f>
        <v>#N/A</v>
      </c>
      <c r="AG144" t="e">
        <f t="shared" ref="AG144" si="185">AD144+(AD144*AB144)</f>
        <v>#N/A</v>
      </c>
      <c r="AH144" t="e">
        <f t="shared" ref="AH144" si="186">AD144-(AD144*AB144)</f>
        <v>#N/A</v>
      </c>
      <c r="AI144" t="e">
        <f t="shared" ref="AI144" si="187">IF(OR(E144&lt;AF144,E144&gt;AE144),"Warning","")</f>
        <v>#N/A</v>
      </c>
      <c r="AJ144" t="e">
        <f t="shared" ref="AJ144" si="188">IF(OR(E144&gt;(AG144),E144&lt;(AH144)),"Warning","")</f>
        <v>#N/A</v>
      </c>
      <c r="AK144" t="str">
        <f t="shared" ref="AK144" si="189">IF(OR(E144=0),"",IF(AND(AI144="Warning",AJ144="Warning"),"Warning",""))</f>
        <v/>
      </c>
    </row>
    <row r="145" spans="1:37" ht="15.5" x14ac:dyDescent="0.35">
      <c r="A145" s="705">
        <v>933</v>
      </c>
      <c r="B145" s="564" t="s">
        <v>1536</v>
      </c>
      <c r="C145" s="564"/>
      <c r="D145" s="31"/>
      <c r="E145" s="1058"/>
      <c r="F145" s="685" t="str">
        <f t="shared" si="181"/>
        <v/>
      </c>
      <c r="G145" s="158" t="str">
        <f t="shared" ref="G145:G154" si="190">IF(AK145="Warning","Warning","")</f>
        <v/>
      </c>
      <c r="H145" s="906" t="str">
        <f t="shared" ref="H145:H154" si="191">IF(G145="Warning","This year's figure is over "&amp;AC145/1000&amp;" million and "&amp;(AB145*100)&amp;"% different to "&amp;TEXT(AD145,"#,###")&amp;" last year, please explain","")</f>
        <v/>
      </c>
      <c r="I145" s="890"/>
      <c r="J145" s="873"/>
      <c r="K145" s="873"/>
      <c r="L145" s="873"/>
      <c r="M145" s="873"/>
      <c r="N145" s="873"/>
      <c r="AB145">
        <f>VLOOKUP("RS"&amp;$A145,data_val_parameters,9,0)/100</f>
        <v>0.65</v>
      </c>
      <c r="AC145">
        <f t="shared" si="182"/>
        <v>15000</v>
      </c>
      <c r="AD145" t="e">
        <f>VLOOKUP(LA_code,data_prev_year,MATCH("RS"&amp;$A145&amp;"1",data_prev_year_headers,0),0)</f>
        <v>#N/A</v>
      </c>
      <c r="AE145" t="e">
        <f t="shared" ref="AE145:AE154" si="192">AD145+AC145</f>
        <v>#N/A</v>
      </c>
      <c r="AF145" t="e">
        <f t="shared" ref="AF145:AF154" si="193">AD145-AC145</f>
        <v>#N/A</v>
      </c>
      <c r="AG145" t="e">
        <f t="shared" ref="AG145:AG154" si="194">AD145+(AD145*AB145)</f>
        <v>#N/A</v>
      </c>
      <c r="AH145" t="e">
        <f t="shared" ref="AH145:AH154" si="195">AD145-(AD145*AB145)</f>
        <v>#N/A</v>
      </c>
      <c r="AI145" t="e">
        <f t="shared" ref="AI145:AI154" si="196">IF(OR(E145&lt;AF145,E145&gt;AE145),"Warning","")</f>
        <v>#N/A</v>
      </c>
      <c r="AJ145" t="e">
        <f t="shared" ref="AJ145:AJ154" si="197">IF(OR(E145&gt;(AG145),E145&lt;(AH145)),"Warning","")</f>
        <v>#N/A</v>
      </c>
      <c r="AK145" t="str">
        <f t="shared" ref="AK145:AK154" si="198">IF(OR(E145=0),"",IF(AND(AI145="Warning",AJ145="Warning"),"Warning",""))</f>
        <v/>
      </c>
    </row>
    <row r="146" spans="1:37" ht="15.5" x14ac:dyDescent="0.35">
      <c r="A146" s="705">
        <v>943</v>
      </c>
      <c r="B146" s="564" t="s">
        <v>1537</v>
      </c>
      <c r="C146" s="564"/>
      <c r="D146" s="31"/>
      <c r="E146" s="1058"/>
      <c r="F146" s="685"/>
      <c r="G146" s="158"/>
      <c r="H146" s="906"/>
      <c r="I146" s="890"/>
      <c r="J146" s="873"/>
      <c r="K146" s="873"/>
      <c r="L146" s="873"/>
      <c r="M146" s="873"/>
      <c r="N146" s="873"/>
    </row>
    <row r="147" spans="1:37" ht="15.5" x14ac:dyDescent="0.35">
      <c r="A147" s="705">
        <v>944</v>
      </c>
      <c r="B147" s="564" t="s">
        <v>1538</v>
      </c>
      <c r="C147" s="564"/>
      <c r="D147" s="31"/>
      <c r="E147" s="1058"/>
      <c r="F147" s="685"/>
      <c r="G147" s="158"/>
      <c r="H147" s="906"/>
      <c r="I147" s="890"/>
      <c r="J147" s="873"/>
      <c r="K147" s="873"/>
      <c r="L147" s="873"/>
      <c r="M147" s="873"/>
      <c r="N147" s="873"/>
    </row>
    <row r="148" spans="1:37" ht="15.5" x14ac:dyDescent="0.35">
      <c r="A148" s="705">
        <v>934</v>
      </c>
      <c r="B148" s="564" t="s">
        <v>1539</v>
      </c>
      <c r="C148" s="564"/>
      <c r="D148" s="31"/>
      <c r="E148" s="1058"/>
      <c r="F148" s="685" t="str">
        <f t="shared" si="181"/>
        <v/>
      </c>
      <c r="G148" s="158" t="str">
        <f t="shared" si="190"/>
        <v/>
      </c>
      <c r="H148" s="906" t="str">
        <f t="shared" si="191"/>
        <v/>
      </c>
      <c r="I148" s="890"/>
      <c r="J148" s="873"/>
      <c r="K148" s="873"/>
      <c r="L148" s="873"/>
      <c r="M148" s="873"/>
      <c r="N148" s="873"/>
      <c r="AB148">
        <f>VLOOKUP("RS"&amp;$A148,data_val_parameters,9,0)/100</f>
        <v>0.65</v>
      </c>
      <c r="AC148">
        <f t="shared" si="182"/>
        <v>30000</v>
      </c>
      <c r="AD148" t="e">
        <f>VLOOKUP(LA_code,data_prev_year,MATCH("RS"&amp;$A148&amp;"1",data_prev_year_headers,0),0)</f>
        <v>#N/A</v>
      </c>
      <c r="AE148" t="e">
        <f t="shared" si="192"/>
        <v>#N/A</v>
      </c>
      <c r="AF148" t="e">
        <f t="shared" si="193"/>
        <v>#N/A</v>
      </c>
      <c r="AG148" t="e">
        <f t="shared" si="194"/>
        <v>#N/A</v>
      </c>
      <c r="AH148" t="e">
        <f t="shared" si="195"/>
        <v>#N/A</v>
      </c>
      <c r="AI148" t="e">
        <f t="shared" si="196"/>
        <v>#N/A</v>
      </c>
      <c r="AJ148" t="e">
        <f t="shared" si="197"/>
        <v>#N/A</v>
      </c>
      <c r="AK148" t="str">
        <f t="shared" si="198"/>
        <v/>
      </c>
    </row>
    <row r="149" spans="1:37" ht="15.5" x14ac:dyDescent="0.35">
      <c r="A149" s="705">
        <v>945</v>
      </c>
      <c r="B149" s="564" t="s">
        <v>1540</v>
      </c>
      <c r="C149" s="564"/>
      <c r="D149" s="31"/>
      <c r="E149" s="1058"/>
      <c r="F149" s="685"/>
      <c r="G149" s="158"/>
      <c r="H149" s="906"/>
      <c r="I149" s="890"/>
      <c r="J149" s="873"/>
      <c r="K149" s="873"/>
      <c r="L149" s="873"/>
      <c r="M149" s="873"/>
      <c r="N149" s="873"/>
    </row>
    <row r="150" spans="1:37" ht="15.5" x14ac:dyDescent="0.35">
      <c r="A150" s="705">
        <v>946</v>
      </c>
      <c r="B150" s="564" t="s">
        <v>1541</v>
      </c>
      <c r="C150" s="564"/>
      <c r="D150" s="31"/>
      <c r="E150" s="1058"/>
      <c r="F150" s="685"/>
      <c r="G150" s="158"/>
      <c r="H150" s="906"/>
      <c r="I150" s="890"/>
      <c r="J150" s="873"/>
      <c r="K150" s="873"/>
      <c r="L150" s="873"/>
      <c r="M150" s="873"/>
      <c r="N150" s="873"/>
    </row>
    <row r="151" spans="1:37" ht="15.5" x14ac:dyDescent="0.35">
      <c r="A151" s="705">
        <v>947</v>
      </c>
      <c r="B151" s="564" t="s">
        <v>1542</v>
      </c>
      <c r="C151" s="564"/>
      <c r="D151" s="31"/>
      <c r="E151" s="1058"/>
      <c r="F151" s="685"/>
      <c r="G151" s="158"/>
      <c r="H151" s="906"/>
      <c r="I151" s="890"/>
      <c r="J151" s="873"/>
      <c r="K151" s="873"/>
      <c r="L151" s="873"/>
      <c r="M151" s="873"/>
      <c r="N151" s="873"/>
    </row>
    <row r="152" spans="1:37" ht="15.5" x14ac:dyDescent="0.35">
      <c r="A152" s="705">
        <v>948</v>
      </c>
      <c r="B152" s="564" t="s">
        <v>1543</v>
      </c>
      <c r="C152" s="564"/>
      <c r="D152" s="31"/>
      <c r="E152" s="1058"/>
      <c r="F152" s="685"/>
      <c r="G152" s="158"/>
      <c r="H152" s="906"/>
      <c r="I152" s="890"/>
      <c r="J152" s="873"/>
      <c r="K152" s="873"/>
      <c r="L152" s="873"/>
      <c r="M152" s="873"/>
      <c r="N152" s="873"/>
    </row>
    <row r="153" spans="1:37" ht="15.5" x14ac:dyDescent="0.35">
      <c r="A153" s="705">
        <v>935</v>
      </c>
      <c r="B153" s="564" t="s">
        <v>1544</v>
      </c>
      <c r="C153" s="564"/>
      <c r="D153" s="31"/>
      <c r="E153" s="1058"/>
      <c r="F153" s="685" t="str">
        <f t="shared" si="181"/>
        <v/>
      </c>
      <c r="G153" s="158" t="str">
        <f t="shared" si="190"/>
        <v/>
      </c>
      <c r="H153" s="906" t="str">
        <f t="shared" si="191"/>
        <v/>
      </c>
      <c r="I153" s="890"/>
      <c r="J153" s="873"/>
      <c r="K153" s="873"/>
      <c r="L153" s="873"/>
      <c r="M153" s="873"/>
      <c r="N153" s="873"/>
      <c r="AB153">
        <f>VLOOKUP("RS"&amp;$A153,data_val_parameters,9,0)/100</f>
        <v>0.65</v>
      </c>
      <c r="AC153">
        <f t="shared" si="182"/>
        <v>10000</v>
      </c>
      <c r="AD153" t="e">
        <f>VLOOKUP(LA_code,data_prev_year,MATCH("RS"&amp;$A153&amp;"1",data_prev_year_headers,0),0)</f>
        <v>#N/A</v>
      </c>
      <c r="AE153" t="e">
        <f t="shared" si="192"/>
        <v>#N/A</v>
      </c>
      <c r="AF153" t="e">
        <f t="shared" si="193"/>
        <v>#N/A</v>
      </c>
      <c r="AG153" t="e">
        <f t="shared" si="194"/>
        <v>#N/A</v>
      </c>
      <c r="AH153" t="e">
        <f t="shared" si="195"/>
        <v>#N/A</v>
      </c>
      <c r="AI153" t="e">
        <f t="shared" si="196"/>
        <v>#N/A</v>
      </c>
      <c r="AJ153" t="e">
        <f t="shared" si="197"/>
        <v>#N/A</v>
      </c>
      <c r="AK153" t="str">
        <f t="shared" si="198"/>
        <v/>
      </c>
    </row>
    <row r="154" spans="1:37" ht="15.5" x14ac:dyDescent="0.35">
      <c r="A154" s="217">
        <v>936</v>
      </c>
      <c r="B154" s="124" t="s">
        <v>1545</v>
      </c>
      <c r="C154" s="218"/>
      <c r="D154" s="219"/>
      <c r="E154" s="1058"/>
      <c r="F154" s="685" t="str">
        <f t="shared" si="181"/>
        <v/>
      </c>
      <c r="G154" s="158" t="str">
        <f t="shared" si="190"/>
        <v/>
      </c>
      <c r="H154" s="906" t="str">
        <f t="shared" si="191"/>
        <v/>
      </c>
      <c r="I154" s="890"/>
      <c r="J154" s="873"/>
      <c r="K154" s="873"/>
      <c r="L154" s="873"/>
      <c r="M154" s="873"/>
      <c r="N154" s="873"/>
      <c r="AB154">
        <f>VLOOKUP("RS"&amp;$A154,data_val_parameters,9,0)/100</f>
        <v>0.65</v>
      </c>
      <c r="AC154">
        <f t="shared" si="182"/>
        <v>10000</v>
      </c>
      <c r="AD154" t="e">
        <f>VLOOKUP(LA_code,data_prev_year,MATCH("RS"&amp;$A154&amp;"1",data_prev_year_headers,0),0)</f>
        <v>#N/A</v>
      </c>
      <c r="AE154" t="e">
        <f t="shared" si="192"/>
        <v>#N/A</v>
      </c>
      <c r="AF154" t="e">
        <f t="shared" si="193"/>
        <v>#N/A</v>
      </c>
      <c r="AG154" t="e">
        <f t="shared" si="194"/>
        <v>#N/A</v>
      </c>
      <c r="AH154" t="e">
        <f t="shared" si="195"/>
        <v>#N/A</v>
      </c>
      <c r="AI154" t="e">
        <f t="shared" si="196"/>
        <v>#N/A</v>
      </c>
      <c r="AJ154" t="e">
        <f t="shared" si="197"/>
        <v>#N/A</v>
      </c>
      <c r="AK154" t="str">
        <f t="shared" si="198"/>
        <v/>
      </c>
    </row>
    <row r="155" spans="1:37" s="41" customFormat="1" ht="17.25" customHeight="1" x14ac:dyDescent="0.35">
      <c r="A155" s="202">
        <v>939</v>
      </c>
      <c r="B155" s="345" t="s">
        <v>1546</v>
      </c>
      <c r="C155" s="220"/>
      <c r="D155" s="86"/>
      <c r="E155" s="1065">
        <f>SUM(E144:E154)</f>
        <v>0</v>
      </c>
      <c r="F155" s="685" t="str">
        <f t="shared" si="181"/>
        <v/>
      </c>
      <c r="G155" s="143"/>
      <c r="H155" s="913"/>
      <c r="I155" s="894"/>
      <c r="J155" s="873"/>
      <c r="K155" s="879"/>
      <c r="L155" s="879"/>
      <c r="M155" s="879"/>
      <c r="N155" s="879"/>
      <c r="O155" s="881"/>
      <c r="P155" s="881"/>
      <c r="Q155" s="881"/>
      <c r="R155" s="881"/>
      <c r="S155" s="881"/>
      <c r="T155" s="881"/>
      <c r="U155" s="881"/>
      <c r="V155" s="881"/>
      <c r="AA155" s="155"/>
    </row>
    <row r="156" spans="1:37" ht="15.5" x14ac:dyDescent="0.35">
      <c r="A156" s="222"/>
      <c r="B156" s="11"/>
      <c r="C156" s="11"/>
      <c r="D156" s="11"/>
      <c r="E156" s="11"/>
      <c r="F156" s="483"/>
      <c r="G156" s="210"/>
      <c r="H156" s="908"/>
      <c r="I156" s="890"/>
      <c r="J156" s="873"/>
      <c r="K156" s="873"/>
      <c r="L156" s="873"/>
      <c r="M156" s="873"/>
      <c r="N156" s="873"/>
    </row>
    <row r="157" spans="1:37" ht="15.5" x14ac:dyDescent="0.35">
      <c r="A157" s="222"/>
      <c r="B157" s="11"/>
      <c r="C157" s="11"/>
      <c r="D157" s="11"/>
      <c r="E157" s="11"/>
      <c r="F157" s="483"/>
      <c r="G157" s="210"/>
      <c r="H157" s="908"/>
      <c r="I157" s="890"/>
      <c r="J157" s="873"/>
      <c r="K157" s="873"/>
      <c r="L157" s="873"/>
      <c r="M157" s="873"/>
      <c r="N157" s="873"/>
    </row>
    <row r="158" spans="1:37" ht="18" x14ac:dyDescent="0.4">
      <c r="A158" s="39" t="s">
        <v>1547</v>
      </c>
      <c r="B158" s="11"/>
      <c r="C158" s="11"/>
      <c r="D158" s="11"/>
      <c r="E158" s="11"/>
      <c r="F158" s="483"/>
      <c r="G158" s="210"/>
      <c r="H158" s="908"/>
      <c r="I158" s="890"/>
      <c r="J158" s="873"/>
      <c r="K158" s="873"/>
      <c r="L158" s="873"/>
      <c r="M158" s="873"/>
      <c r="N158" s="873"/>
    </row>
    <row r="159" spans="1:37" ht="15.5" x14ac:dyDescent="0.35">
      <c r="A159" s="223"/>
      <c r="B159" s="11"/>
      <c r="C159" s="11"/>
      <c r="D159" s="11"/>
      <c r="E159" s="97" t="s">
        <v>1378</v>
      </c>
      <c r="F159" s="483"/>
      <c r="G159" s="210"/>
      <c r="H159" s="908"/>
      <c r="I159" s="890"/>
      <c r="J159" s="873"/>
      <c r="K159" s="873"/>
      <c r="L159" s="873"/>
      <c r="M159" s="873"/>
      <c r="N159" s="873"/>
    </row>
    <row r="160" spans="1:37" ht="15.5" x14ac:dyDescent="0.35">
      <c r="A160" s="108">
        <v>941</v>
      </c>
      <c r="B160" s="11" t="s">
        <v>1548</v>
      </c>
      <c r="C160" s="11"/>
      <c r="D160" s="11"/>
      <c r="E160" s="1058"/>
      <c r="F160" s="685" t="str">
        <f>IF(ISERROR(G160),"",IF((G160="Error"),"add explanation",IF((G160="Warning"),"add explanation","")))</f>
        <v/>
      </c>
      <c r="G160" s="158" t="str">
        <f>IF(AK160="Warning","Warning","")</f>
        <v/>
      </c>
      <c r="H160" s="906" t="str">
        <f t="shared" ref="H160" si="199">IF(G160="Warning","This year's figure is over "&amp;AC160/1000&amp;" million and "&amp;(AB160*100)&amp;"% different to "&amp;TEXT(AD160,"#,###")&amp;" last year, please explain","")</f>
        <v/>
      </c>
      <c r="I160" s="890"/>
      <c r="J160" s="873"/>
      <c r="K160" s="873"/>
      <c r="L160" s="873"/>
      <c r="M160" s="873"/>
      <c r="N160" s="873"/>
      <c r="AB160">
        <f>VLOOKUP("RS"&amp;$A160,data_val_parameters,9,0)/100</f>
        <v>0.65</v>
      </c>
      <c r="AC160">
        <f t="shared" ref="AC160:AC161" si="200">VLOOKUP("RS"&amp;$A160,data_val_parameters,7,0)</f>
        <v>20000</v>
      </c>
      <c r="AD160" t="e">
        <f>VLOOKUP(LA_code,data_prev_year,MATCH("RS"&amp;$A160&amp;"1",data_prev_year_headers,0),0)</f>
        <v>#N/A</v>
      </c>
      <c r="AE160" t="e">
        <f t="shared" ref="AE160" si="201">AD160+AC160</f>
        <v>#N/A</v>
      </c>
      <c r="AF160" t="e">
        <f t="shared" ref="AF160" si="202">AD160-AC160</f>
        <v>#N/A</v>
      </c>
      <c r="AG160" t="e">
        <f t="shared" ref="AG160" si="203">AD160+(AD160*AB160)</f>
        <v>#N/A</v>
      </c>
      <c r="AH160" t="e">
        <f t="shared" ref="AH160" si="204">AD160-(AD160*AB160)</f>
        <v>#N/A</v>
      </c>
      <c r="AI160" t="e">
        <f t="shared" ref="AI160" si="205">IF(OR(E160&lt;AF160,E160&gt;AE160),"Warning","")</f>
        <v>#N/A</v>
      </c>
      <c r="AJ160" t="e">
        <f t="shared" ref="AJ160" si="206">IF(OR(E160&gt;(AG160),E160&lt;(AH160)),"Warning","")</f>
        <v>#N/A</v>
      </c>
      <c r="AK160" t="str">
        <f t="shared" ref="AK160" si="207">IF(OR(E160=0),"",IF(AND(AI160="Warning",AJ160="Warning"),"Warning",""))</f>
        <v/>
      </c>
    </row>
    <row r="161" spans="1:37" ht="15.5" x14ac:dyDescent="0.35">
      <c r="A161" s="108">
        <v>942</v>
      </c>
      <c r="B161" s="11" t="s">
        <v>1549</v>
      </c>
      <c r="C161" s="11"/>
      <c r="D161" s="11"/>
      <c r="E161" s="1058"/>
      <c r="F161" s="685" t="str">
        <f>IF(ISERROR(G161),"",IF((G161="Error"),"add explanation",IF((G161="Warning"),"add explanation","")))</f>
        <v/>
      </c>
      <c r="G161" s="158" t="str">
        <f>IF(AK161="Warning","Warning","")</f>
        <v/>
      </c>
      <c r="H161" s="906" t="str">
        <f t="shared" ref="H161" si="208">IF(G161="Warning","This year's figure is over "&amp;AC161/1000&amp;" million and "&amp;(AB161*100)&amp;"% different to "&amp;TEXT(AD161,"#,###")&amp;" last year, please explain","")</f>
        <v/>
      </c>
      <c r="I161" s="890"/>
      <c r="J161" s="873"/>
      <c r="K161" s="873"/>
      <c r="L161" s="873"/>
      <c r="M161" s="873"/>
      <c r="N161" s="873"/>
      <c r="AB161">
        <f>VLOOKUP("RS"&amp;$A161,data_val_parameters,9,0)/100</f>
        <v>0.65</v>
      </c>
      <c r="AC161">
        <f t="shared" si="200"/>
        <v>20000</v>
      </c>
      <c r="AD161" t="e">
        <f>VLOOKUP(LA_code,data_prev_year,MATCH("RS"&amp;$A161&amp;"1",data_prev_year_headers,0),0)</f>
        <v>#N/A</v>
      </c>
      <c r="AE161" t="e">
        <f t="shared" ref="AE161" si="209">AD161+AC161</f>
        <v>#N/A</v>
      </c>
      <c r="AF161" t="e">
        <f t="shared" ref="AF161" si="210">AD161-AC161</f>
        <v>#N/A</v>
      </c>
      <c r="AG161" t="e">
        <f t="shared" ref="AG161" si="211">AD161+(AD161*AB161)</f>
        <v>#N/A</v>
      </c>
      <c r="AH161" t="e">
        <f t="shared" ref="AH161" si="212">AD161-(AD161*AB161)</f>
        <v>#N/A</v>
      </c>
      <c r="AI161" t="e">
        <f t="shared" ref="AI161" si="213">IF(OR(E161&lt;AF161,E161&gt;AE161),"Warning","")</f>
        <v>#N/A</v>
      </c>
      <c r="AJ161" t="e">
        <f t="shared" ref="AJ161" si="214">IF(OR(E161&gt;(AG161),E161&lt;(AH161)),"Warning","")</f>
        <v>#N/A</v>
      </c>
      <c r="AK161" t="str">
        <f t="shared" ref="AK161" si="215">IF(OR(E161=0),"",IF(AND(AI161="Warning",AJ161="Warning"),"Warning",""))</f>
        <v/>
      </c>
    </row>
    <row r="162" spans="1:37" ht="15.5" x14ac:dyDescent="0.35">
      <c r="A162" s="108"/>
      <c r="B162" s="11"/>
      <c r="C162" s="11"/>
      <c r="D162" s="11"/>
      <c r="E162" s="31"/>
      <c r="F162" s="483"/>
      <c r="G162" s="210"/>
      <c r="H162" s="908"/>
      <c r="I162" s="890"/>
      <c r="J162" s="873"/>
      <c r="K162" s="873"/>
      <c r="L162" s="873"/>
      <c r="M162" s="873"/>
      <c r="N162" s="873"/>
    </row>
    <row r="163" spans="1:37" s="3" customFormat="1" ht="16" thickBot="1" x14ac:dyDescent="0.4">
      <c r="A163" s="108"/>
      <c r="B163" s="31"/>
      <c r="C163" s="11"/>
      <c r="D163" s="11"/>
      <c r="E163" s="66"/>
      <c r="F163" s="483"/>
      <c r="G163" s="210"/>
      <c r="H163" s="908"/>
      <c r="I163" s="895"/>
      <c r="J163" s="877"/>
      <c r="K163" s="877"/>
      <c r="L163" s="877"/>
      <c r="M163" s="877"/>
      <c r="N163" s="877"/>
      <c r="O163" s="878"/>
      <c r="P163" s="878"/>
      <c r="Q163" s="878"/>
      <c r="R163" s="878"/>
      <c r="S163" s="878"/>
      <c r="T163" s="878"/>
      <c r="U163" s="878"/>
      <c r="V163" s="878"/>
      <c r="AA163" s="153"/>
    </row>
    <row r="164" spans="1:37" s="5" customFormat="1" ht="25.5" customHeight="1" thickBot="1" x14ac:dyDescent="0.4">
      <c r="A164" s="428">
        <v>960</v>
      </c>
      <c r="B164" s="427" t="s">
        <v>1550</v>
      </c>
      <c r="C164" s="11"/>
      <c r="D164" s="11"/>
      <c r="E164" s="233" t="s">
        <v>1551</v>
      </c>
      <c r="F164" s="481" t="str">
        <f>IF(ISERROR(G164),"",IF((G164="Error"),"add explanation",IF((G164="Warning"),"add explanation","")))</f>
        <v/>
      </c>
      <c r="G164" s="142" t="str">
        <f>IF(E164="NO","Information","")</f>
        <v>Information</v>
      </c>
      <c r="H164" s="896" t="str">
        <f>IF(E164="NO","Please confirm the RO suite of forms are completed on non-IAS19 and PFI Off-Balance Sheet basis ","")</f>
        <v xml:space="preserve">Please confirm the RO suite of forms are completed on non-IAS19 and PFI Off-Balance Sheet basis </v>
      </c>
      <c r="I164" s="895"/>
      <c r="J164" s="873"/>
      <c r="K164" s="877"/>
      <c r="L164" s="877"/>
      <c r="M164" s="877"/>
      <c r="N164" s="877"/>
      <c r="O164" s="878"/>
      <c r="P164" s="878"/>
      <c r="Q164" s="878"/>
      <c r="R164" s="878"/>
      <c r="S164" s="878"/>
      <c r="T164" s="878"/>
      <c r="U164" s="878"/>
      <c r="V164" s="878"/>
      <c r="AA164" s="95"/>
    </row>
    <row r="165" spans="1:37" s="5" customFormat="1" ht="16.399999999999999" customHeight="1" x14ac:dyDescent="0.35">
      <c r="A165" s="225"/>
      <c r="B165" s="226" t="s">
        <v>1552</v>
      </c>
      <c r="C165" s="11"/>
      <c r="D165" s="11"/>
      <c r="E165" s="10"/>
      <c r="F165" s="488"/>
      <c r="G165" s="227"/>
      <c r="H165" s="914"/>
      <c r="I165" s="895"/>
      <c r="J165" s="877"/>
      <c r="K165" s="877"/>
      <c r="L165" s="877"/>
      <c r="M165" s="877"/>
      <c r="N165" s="877"/>
      <c r="O165" s="878"/>
      <c r="P165" s="878"/>
      <c r="Q165" s="878"/>
      <c r="R165" s="878"/>
      <c r="S165" s="878"/>
      <c r="T165" s="878"/>
      <c r="U165" s="878"/>
      <c r="V165" s="878"/>
      <c r="AA165" s="95"/>
    </row>
    <row r="166" spans="1:37" s="5" customFormat="1" ht="34.5" customHeight="1" x14ac:dyDescent="0.35">
      <c r="A166" s="157" t="s">
        <v>1553</v>
      </c>
      <c r="B166" s="228"/>
      <c r="C166" s="11"/>
      <c r="D166" s="11"/>
      <c r="E166" s="145"/>
      <c r="F166" s="483"/>
      <c r="G166" s="227"/>
      <c r="H166" s="914"/>
      <c r="I166" s="895"/>
      <c r="J166" s="877"/>
      <c r="K166" s="877"/>
      <c r="L166" s="877"/>
      <c r="M166" s="877"/>
      <c r="N166" s="877"/>
      <c r="O166" s="878"/>
      <c r="P166" s="878"/>
      <c r="Q166" s="878"/>
      <c r="R166" s="878"/>
      <c r="S166" s="878"/>
      <c r="T166" s="878"/>
      <c r="U166" s="878"/>
      <c r="V166" s="878"/>
      <c r="AA166" s="95"/>
    </row>
    <row r="167" spans="1:37" s="3" customFormat="1" ht="15.5" x14ac:dyDescent="0.35">
      <c r="A167" s="224"/>
      <c r="B167" s="11"/>
      <c r="C167" s="11"/>
      <c r="D167" s="11"/>
      <c r="E167" s="66"/>
      <c r="F167" s="489"/>
      <c r="G167" s="210"/>
      <c r="H167" s="908"/>
      <c r="I167" s="895"/>
      <c r="J167" s="877"/>
      <c r="K167" s="877"/>
      <c r="L167" s="877"/>
      <c r="M167" s="877"/>
      <c r="N167" s="877"/>
      <c r="O167" s="878"/>
      <c r="P167" s="878"/>
      <c r="Q167" s="878"/>
      <c r="R167" s="878"/>
      <c r="S167" s="878"/>
      <c r="T167" s="878"/>
      <c r="U167" s="878"/>
      <c r="V167" s="878"/>
      <c r="AA167" s="153"/>
    </row>
    <row r="168" spans="1:37" s="3" customFormat="1" ht="18" x14ac:dyDescent="0.4">
      <c r="A168" s="39" t="s">
        <v>1554</v>
      </c>
      <c r="B168" s="11"/>
      <c r="C168" s="11"/>
      <c r="D168" s="11"/>
      <c r="E168" s="66"/>
      <c r="F168" s="487"/>
      <c r="G168" s="210"/>
      <c r="H168" s="908"/>
      <c r="I168" s="895"/>
      <c r="J168" s="877"/>
      <c r="K168" s="877"/>
      <c r="L168" s="877"/>
      <c r="M168" s="877"/>
      <c r="N168" s="877"/>
      <c r="O168" s="878"/>
      <c r="P168" s="878"/>
      <c r="Q168" s="878"/>
      <c r="R168" s="878"/>
      <c r="S168" s="878"/>
      <c r="T168" s="878"/>
      <c r="U168" s="878"/>
      <c r="V168" s="878"/>
      <c r="AA168" s="153"/>
    </row>
    <row r="169" spans="1:37" s="3" customFormat="1" ht="18" x14ac:dyDescent="0.4">
      <c r="A169" s="229"/>
      <c r="B169" s="11"/>
      <c r="C169" s="11"/>
      <c r="D169" s="11"/>
      <c r="E169" s="66"/>
      <c r="F169" s="487"/>
      <c r="G169" s="210"/>
      <c r="H169" s="908"/>
      <c r="I169" s="895"/>
      <c r="J169" s="877"/>
      <c r="K169" s="877"/>
      <c r="L169" s="877"/>
      <c r="M169" s="877"/>
      <c r="N169" s="877"/>
      <c r="O169" s="878"/>
      <c r="P169" s="878"/>
      <c r="Q169" s="878"/>
      <c r="R169" s="878"/>
      <c r="S169" s="878"/>
      <c r="T169" s="878"/>
      <c r="U169" s="878"/>
      <c r="V169" s="878"/>
      <c r="AA169" s="153"/>
    </row>
    <row r="170" spans="1:37" s="3" customFormat="1" ht="15.5" x14ac:dyDescent="0.35">
      <c r="A170" s="112"/>
      <c r="B170" s="4"/>
      <c r="C170" s="4"/>
      <c r="D170" s="11"/>
      <c r="E170" s="106" t="s">
        <v>1555</v>
      </c>
      <c r="F170" s="487"/>
      <c r="G170" s="210"/>
      <c r="H170" s="908"/>
      <c r="I170" s="895"/>
      <c r="J170" s="877"/>
      <c r="K170" s="877"/>
      <c r="L170" s="877"/>
      <c r="M170" s="877"/>
      <c r="N170" s="877"/>
      <c r="O170" s="878"/>
      <c r="P170" s="878"/>
      <c r="Q170" s="878"/>
      <c r="R170" s="878"/>
      <c r="S170" s="878"/>
      <c r="T170" s="878"/>
      <c r="U170" s="878"/>
      <c r="V170" s="878"/>
      <c r="AA170" s="153"/>
    </row>
    <row r="171" spans="1:37" s="3" customFormat="1" ht="15.5" x14ac:dyDescent="0.35">
      <c r="A171" s="193"/>
      <c r="B171" s="4"/>
      <c r="C171" s="4"/>
      <c r="D171" s="11"/>
      <c r="E171" s="97" t="s">
        <v>1378</v>
      </c>
      <c r="F171" s="487"/>
      <c r="G171" s="210"/>
      <c r="H171" s="908"/>
      <c r="I171" s="895"/>
      <c r="J171" s="877"/>
      <c r="K171" s="877"/>
      <c r="L171" s="877"/>
      <c r="M171" s="877"/>
      <c r="N171" s="877"/>
      <c r="O171" s="878"/>
      <c r="P171" s="878"/>
      <c r="Q171" s="878"/>
      <c r="R171" s="878"/>
      <c r="S171" s="878"/>
      <c r="T171" s="878"/>
      <c r="U171" s="878"/>
      <c r="V171" s="878"/>
      <c r="AA171" s="153"/>
    </row>
    <row r="172" spans="1:37" s="3" customFormat="1" ht="15.5" x14ac:dyDescent="0.35">
      <c r="A172" s="230">
        <v>980</v>
      </c>
      <c r="B172" s="593" t="s">
        <v>1556</v>
      </c>
      <c r="C172" s="127"/>
      <c r="D172" s="962" t="s">
        <v>1557</v>
      </c>
      <c r="E172" s="1065">
        <f>'RO4'!D84</f>
        <v>0</v>
      </c>
      <c r="F172" s="686" t="str">
        <f>IF(ISERROR(G172),"",IF((G172="Error"),"add explanation",IF((G172="Warning"),"add explanation","")))</f>
        <v/>
      </c>
      <c r="G172" s="158" t="str">
        <f>IF(AK172="Warning","Warning","")</f>
        <v/>
      </c>
      <c r="H172" s="906" t="str">
        <f t="shared" ref="H172" si="216">IF(G172="Warning","This year's figure is over "&amp;AC172/1000&amp;" million and "&amp;(AB172*100)&amp;"% different to "&amp;TEXT(AD172,"#,###")&amp;" last year, please explain","")</f>
        <v/>
      </c>
      <c r="I172" s="895"/>
      <c r="J172" s="873"/>
      <c r="K172" s="877"/>
      <c r="L172" s="877"/>
      <c r="M172" s="877"/>
      <c r="N172" s="877"/>
      <c r="O172" s="878"/>
      <c r="P172" s="878"/>
      <c r="Q172" s="878"/>
      <c r="R172" s="878"/>
      <c r="S172" s="878"/>
      <c r="T172" s="878"/>
      <c r="U172" s="878"/>
      <c r="V172" s="878"/>
      <c r="AA172" s="153"/>
      <c r="AB172">
        <f>VLOOKUP("RS"&amp;$A172,data_val_parameters,9,0)/100</f>
        <v>0.55000000000000004</v>
      </c>
      <c r="AC172">
        <f t="shared" ref="AC172:AC174" si="217">VLOOKUP("RS"&amp;$A172,data_val_parameters,7,0)</f>
        <v>8000</v>
      </c>
      <c r="AD172" t="e">
        <f>VLOOKUP(LA_code,data_prev_year,MATCH("RS"&amp;$A172&amp;"5",data_prev_year_headers,0),0)</f>
        <v>#N/A</v>
      </c>
      <c r="AE172" t="e">
        <f t="shared" ref="AE172" si="218">AD172+AC172</f>
        <v>#N/A</v>
      </c>
      <c r="AF172" t="e">
        <f t="shared" ref="AF172" si="219">AD172-AC172</f>
        <v>#N/A</v>
      </c>
      <c r="AG172" t="e">
        <f t="shared" ref="AG172" si="220">AD172+(AD172*AB172)</f>
        <v>#N/A</v>
      </c>
      <c r="AH172" t="e">
        <f t="shared" ref="AH172" si="221">AD172-(AD172*AB172)</f>
        <v>#N/A</v>
      </c>
      <c r="AI172" t="e">
        <f t="shared" ref="AI172" si="222">IF(OR(E172&lt;AF172,E172&gt;AE172),"Warning","")</f>
        <v>#N/A</v>
      </c>
      <c r="AJ172" t="e">
        <f t="shared" ref="AJ172" si="223">IF(OR(E172&gt;(AG172),E172&lt;(AH172)),"Warning","")</f>
        <v>#N/A</v>
      </c>
      <c r="AK172" t="str">
        <f t="shared" ref="AK172" si="224">IF(OR(E172=0),"",IF(AND(AI172="Warning",AJ172="Warning"),"Warning",""))</f>
        <v/>
      </c>
    </row>
    <row r="173" spans="1:37" s="3" customFormat="1" ht="15.5" x14ac:dyDescent="0.35">
      <c r="A173" s="121">
        <v>981</v>
      </c>
      <c r="B173" s="593" t="s">
        <v>1558</v>
      </c>
      <c r="C173" s="127"/>
      <c r="D173" s="962" t="s">
        <v>1559</v>
      </c>
      <c r="E173" s="1065">
        <f>'RO4'!D98</f>
        <v>0</v>
      </c>
      <c r="F173" s="686" t="str">
        <f>IF(ISERROR(G173),"",IF((G173="Error"),"add explanation",IF((G173="Warning"),"add explanation","")))</f>
        <v/>
      </c>
      <c r="G173" s="158" t="str">
        <f t="shared" ref="G173:G174" si="225">IF(AK173="Warning","Warning","")</f>
        <v/>
      </c>
      <c r="H173" s="906" t="str">
        <f t="shared" ref="H173:H174" si="226">IF(G173="Warning","This year's figure is over "&amp;AC173/1000&amp;" million and "&amp;(AB173*100)&amp;"% different to "&amp;TEXT(AD173,"#,###")&amp;" last year, please explain","")</f>
        <v/>
      </c>
      <c r="I173" s="895"/>
      <c r="J173" s="873"/>
      <c r="K173" s="877"/>
      <c r="L173" s="877"/>
      <c r="M173" s="877"/>
      <c r="N173" s="877"/>
      <c r="O173" s="878"/>
      <c r="P173" s="878"/>
      <c r="Q173" s="878"/>
      <c r="R173" s="878"/>
      <c r="S173" s="878"/>
      <c r="T173" s="878"/>
      <c r="U173" s="878"/>
      <c r="V173" s="878"/>
      <c r="AA173" s="153"/>
      <c r="AB173">
        <f>VLOOKUP("RS"&amp;$A173,data_val_parameters,9,0)/100</f>
        <v>0.55000000000000004</v>
      </c>
      <c r="AC173">
        <f t="shared" si="217"/>
        <v>8000</v>
      </c>
      <c r="AD173" t="e">
        <f>VLOOKUP(LA_code,data_prev_year,MATCH("RS"&amp;$A173&amp;"5",data_prev_year_headers,0),0)</f>
        <v>#N/A</v>
      </c>
      <c r="AE173" t="e">
        <f t="shared" ref="AE173:AE174" si="227">AD173+AC173</f>
        <v>#N/A</v>
      </c>
      <c r="AF173" t="e">
        <f t="shared" ref="AF173:AF174" si="228">AD173-AC173</f>
        <v>#N/A</v>
      </c>
      <c r="AG173" t="e">
        <f t="shared" ref="AG173:AG174" si="229">AD173+(AD173*AB173)</f>
        <v>#N/A</v>
      </c>
      <c r="AH173" t="e">
        <f t="shared" ref="AH173:AH174" si="230">AD173-(AD173*AB173)</f>
        <v>#N/A</v>
      </c>
      <c r="AI173" t="e">
        <f t="shared" ref="AI173:AI174" si="231">IF(OR(E173&lt;AF173,E173&gt;AE173),"Warning","")</f>
        <v>#N/A</v>
      </c>
      <c r="AJ173" t="e">
        <f t="shared" ref="AJ173:AJ174" si="232">IF(OR(E173&gt;(AG173),E173&lt;(AH173)),"Warning","")</f>
        <v>#N/A</v>
      </c>
      <c r="AK173" t="str">
        <f t="shared" ref="AK173:AK174" si="233">IF(OR(E173=0),"",IF(AND(AI173="Warning",AJ173="Warning"),"Warning",""))</f>
        <v/>
      </c>
    </row>
    <row r="174" spans="1:37" s="3" customFormat="1" ht="15.5" x14ac:dyDescent="0.35">
      <c r="A174" s="107">
        <v>982</v>
      </c>
      <c r="B174" s="86" t="s">
        <v>1560</v>
      </c>
      <c r="C174" s="127"/>
      <c r="D174" s="962" t="s">
        <v>1561</v>
      </c>
      <c r="E174" s="1065">
        <f>'RO4'!D100</f>
        <v>0</v>
      </c>
      <c r="F174" s="686" t="str">
        <f>IF(ISERROR(G174),"",IF((G174="Error"),"add explanation",IF((G174="Warning"),"add explanation","")))</f>
        <v/>
      </c>
      <c r="G174" s="158" t="str">
        <f t="shared" si="225"/>
        <v/>
      </c>
      <c r="H174" s="906" t="str">
        <f t="shared" si="226"/>
        <v/>
      </c>
      <c r="I174" s="895"/>
      <c r="J174" s="873"/>
      <c r="K174" s="877"/>
      <c r="L174" s="877"/>
      <c r="M174" s="877"/>
      <c r="N174" s="877"/>
      <c r="O174" s="878"/>
      <c r="P174" s="878"/>
      <c r="Q174" s="878"/>
      <c r="R174" s="878"/>
      <c r="S174" s="878"/>
      <c r="T174" s="878"/>
      <c r="U174" s="878"/>
      <c r="V174" s="878"/>
      <c r="AA174" s="153"/>
      <c r="AB174">
        <f>VLOOKUP("RS"&amp;$A174,data_val_parameters,9,0)/100</f>
        <v>0.4</v>
      </c>
      <c r="AC174">
        <f t="shared" si="217"/>
        <v>8000</v>
      </c>
      <c r="AD174" t="e">
        <f>VLOOKUP(LA_code,data_prev_year,MATCH("RS"&amp;$A174&amp;"5",data_prev_year_headers,0),0)</f>
        <v>#N/A</v>
      </c>
      <c r="AE174" t="e">
        <f t="shared" si="227"/>
        <v>#N/A</v>
      </c>
      <c r="AF174" t="e">
        <f t="shared" si="228"/>
        <v>#N/A</v>
      </c>
      <c r="AG174" t="e">
        <f t="shared" si="229"/>
        <v>#N/A</v>
      </c>
      <c r="AH174" t="e">
        <f t="shared" si="230"/>
        <v>#N/A</v>
      </c>
      <c r="AI174" t="e">
        <f t="shared" si="231"/>
        <v>#N/A</v>
      </c>
      <c r="AJ174" t="e">
        <f t="shared" si="232"/>
        <v>#N/A</v>
      </c>
      <c r="AK174" t="str">
        <f t="shared" si="233"/>
        <v/>
      </c>
    </row>
    <row r="175" spans="1:37" s="3" customFormat="1" ht="18" x14ac:dyDescent="0.4">
      <c r="A175" s="39"/>
      <c r="B175" s="11"/>
      <c r="C175" s="11"/>
      <c r="D175" s="11"/>
      <c r="E175" s="66"/>
      <c r="F175" s="11"/>
      <c r="G175" s="210"/>
      <c r="H175" s="908"/>
      <c r="I175" s="895"/>
      <c r="J175" s="877"/>
      <c r="K175" s="877"/>
      <c r="L175" s="877"/>
      <c r="M175" s="877"/>
      <c r="N175" s="877"/>
      <c r="O175" s="878"/>
      <c r="P175" s="878"/>
      <c r="Q175" s="878"/>
      <c r="R175" s="878"/>
      <c r="S175" s="878"/>
      <c r="T175" s="878"/>
      <c r="U175" s="878"/>
      <c r="V175" s="878"/>
      <c r="AA175" s="153"/>
    </row>
    <row r="176" spans="1:37" s="425" customFormat="1" ht="19.5" customHeight="1" x14ac:dyDescent="0.35">
      <c r="A176" s="273"/>
      <c r="B176" s="11"/>
      <c r="C176" s="11"/>
      <c r="D176" s="211"/>
      <c r="E176" s="397"/>
      <c r="F176" s="397"/>
      <c r="G176" s="305"/>
      <c r="H176" s="912"/>
      <c r="I176" s="890"/>
      <c r="J176" s="873"/>
      <c r="K176" s="873"/>
      <c r="L176" s="873"/>
      <c r="M176" s="873"/>
      <c r="N176" s="873"/>
      <c r="O176" s="869"/>
      <c r="P176" s="869"/>
      <c r="Q176" s="869"/>
      <c r="R176" s="869"/>
      <c r="S176" s="869"/>
      <c r="T176" s="869"/>
      <c r="U176" s="869"/>
      <c r="V176" s="869"/>
      <c r="AA176" s="703"/>
    </row>
    <row r="177" spans="1:38" ht="32.15" customHeight="1" x14ac:dyDescent="0.35">
      <c r="A177" s="231"/>
      <c r="B177" s="11"/>
      <c r="C177" s="11"/>
      <c r="D177" s="211"/>
      <c r="E177" s="709" t="s">
        <v>1504</v>
      </c>
      <c r="F177" s="709" t="s">
        <v>1505</v>
      </c>
      <c r="G177" s="212"/>
      <c r="H177" s="908"/>
      <c r="I177" s="890"/>
      <c r="J177" s="873"/>
      <c r="K177" s="873"/>
      <c r="L177" s="873"/>
      <c r="M177" s="873"/>
      <c r="N177" s="873"/>
    </row>
    <row r="178" spans="1:38" s="3" customFormat="1" ht="15.5" x14ac:dyDescent="0.35">
      <c r="A178" s="11" t="s">
        <v>1506</v>
      </c>
      <c r="B178" s="127"/>
      <c r="C178" s="127"/>
      <c r="D178" s="127"/>
      <c r="E178" s="97" t="s">
        <v>1378</v>
      </c>
      <c r="F178" s="97" t="s">
        <v>1378</v>
      </c>
      <c r="G178" s="210"/>
      <c r="H178" s="908"/>
      <c r="I178" s="895"/>
      <c r="J178" s="877"/>
      <c r="K178" s="877"/>
      <c r="L178" s="877"/>
      <c r="M178" s="877"/>
      <c r="N178" s="877"/>
      <c r="O178" s="878"/>
      <c r="P178" s="878"/>
      <c r="Q178" s="878"/>
      <c r="R178" s="878"/>
      <c r="S178" s="878"/>
      <c r="T178" s="878"/>
      <c r="U178" s="878"/>
      <c r="V178" s="878"/>
      <c r="AA178" s="763"/>
      <c r="AB178">
        <f>VLOOKUP("RS"&amp;$A179,data_val_parameters,9,0)/100</f>
        <v>0.45</v>
      </c>
      <c r="AC178">
        <f>VLOOKUP("RS"&amp;$A179,data_val_parameters,7,0)</f>
        <v>10000</v>
      </c>
      <c r="AD178" s="645" t="e">
        <f>VLOOKUP(LA_code,data_prev_year,MATCH("RS"&amp;$A179&amp;"6",data_prev_year_headers,0),0)</f>
        <v>#N/A</v>
      </c>
      <c r="AE178" t="e">
        <f t="shared" ref="AE178:AE179" si="234">AD178+AC178</f>
        <v>#N/A</v>
      </c>
      <c r="AF178" t="e">
        <f t="shared" ref="AF178:AF179" si="235">AD178-AC178</f>
        <v>#N/A</v>
      </c>
      <c r="AG178" t="e">
        <f t="shared" ref="AG178:AG179" si="236">AD178+(AD178*AB178)</f>
        <v>#N/A</v>
      </c>
      <c r="AH178" t="e">
        <f t="shared" ref="AH178:AH179" si="237">AD178-(AD178*AB178)</f>
        <v>#N/A</v>
      </c>
      <c r="AI178" t="e">
        <f>IF(OR(E179&lt;AF178,E179&gt;AE178),"Warning","")</f>
        <v>#N/A</v>
      </c>
      <c r="AJ178" t="e">
        <f>IF(OR(E179&gt;(AG178),E179&lt;(AH178)),"Warning","")</f>
        <v>#N/A</v>
      </c>
      <c r="AK178" t="e">
        <f>IF(OR(E179=0),"",IF(AND(AI178="Warning",AJ178="Warning"),"Warning",""))</f>
        <v>#N/A</v>
      </c>
    </row>
    <row r="179" spans="1:38" s="3" customFormat="1" ht="15.5" x14ac:dyDescent="0.35">
      <c r="A179" s="121">
        <v>983</v>
      </c>
      <c r="B179" s="11" t="s">
        <v>1562</v>
      </c>
      <c r="C179" s="127"/>
      <c r="D179" s="962" t="s">
        <v>1563</v>
      </c>
      <c r="E179" s="1057" t="e">
        <f>'RO4'!D105</f>
        <v>#N/A</v>
      </c>
      <c r="F179" s="1057" t="e">
        <f>'RO4'!E105</f>
        <v>#N/A</v>
      </c>
      <c r="G179" s="587" t="str">
        <f t="shared" ref="G179" si="238">IF(ISERROR(H179),"",IF((H179="Error"),"add explanation",IF((H179="Warning"),"add explanation","")))</f>
        <v/>
      </c>
      <c r="H179" s="915" t="e">
        <f>IF(OR(AK178="Warning",AK179="Warning"),"Warning","")</f>
        <v>#N/A</v>
      </c>
      <c r="I179" s="898" t="e">
        <f>IF(AK178="Warning","This year's opening balance figure is over "&amp;AC178/1000&amp;" million and "&amp;(AB178*100)&amp;"% different to "&amp;TEXT(AD178,"#,###")&amp;" last year, please explain","")</f>
        <v>#N/A</v>
      </c>
      <c r="J179" s="873"/>
      <c r="K179" s="877"/>
      <c r="L179" s="877"/>
      <c r="M179" s="877"/>
      <c r="N179" s="877"/>
      <c r="O179" s="878"/>
      <c r="P179" s="878"/>
      <c r="Q179" s="878"/>
      <c r="R179" s="878"/>
      <c r="S179" s="878"/>
      <c r="T179" s="878"/>
      <c r="U179" s="878"/>
      <c r="V179" s="878"/>
      <c r="AA179" s="763"/>
      <c r="AB179">
        <f>VLOOKUP("RS"&amp;$A179,data_val_parameters,9,0)/100</f>
        <v>0.45</v>
      </c>
      <c r="AC179">
        <f>'Validation Parameters'!G334</f>
        <v>20000</v>
      </c>
      <c r="AD179" t="e">
        <f>VLOOKUP(LA_code,data_prev_year,MATCH("RS"&amp;$A179&amp;"7",data_prev_year_headers,0),0)</f>
        <v>#N/A</v>
      </c>
      <c r="AE179" t="e">
        <f t="shared" si="234"/>
        <v>#N/A</v>
      </c>
      <c r="AF179" t="e">
        <f t="shared" si="235"/>
        <v>#N/A</v>
      </c>
      <c r="AG179" t="e">
        <f t="shared" si="236"/>
        <v>#N/A</v>
      </c>
      <c r="AH179" t="e">
        <f t="shared" si="237"/>
        <v>#N/A</v>
      </c>
      <c r="AI179" t="e">
        <f>IF(OR(F179&lt;AF179,E179&gt;AE179),"Warning","")</f>
        <v>#N/A</v>
      </c>
      <c r="AJ179" t="e">
        <f>IF(OR(F179&gt;(AG179),F179&lt;(AH179)),"Warning","")</f>
        <v>#N/A</v>
      </c>
      <c r="AK179" t="e">
        <f>IF(OR(F179=0),"",IF(AND(AI179="Warning",AJ179="Warning"),"Warning",""))</f>
        <v>#N/A</v>
      </c>
    </row>
    <row r="180" spans="1:38" ht="15.5" x14ac:dyDescent="0.35">
      <c r="A180" s="232"/>
      <c r="B180" s="232"/>
      <c r="C180" s="232"/>
      <c r="D180" s="11"/>
      <c r="E180" s="11"/>
      <c r="F180" s="11"/>
      <c r="G180" s="210"/>
      <c r="H180" s="908"/>
      <c r="I180" s="898" t="e">
        <f>IF(AK179="Warning","This year's closing balance figure is over "&amp;AC179/1000&amp;" million and "&amp;(AB179*100)&amp;"% different to "&amp;TEXT(AD179,"#,###")&amp;" last year, please explain","")</f>
        <v>#N/A</v>
      </c>
      <c r="J180" s="873"/>
      <c r="K180" s="873"/>
      <c r="L180" s="873"/>
      <c r="M180" s="873"/>
      <c r="N180" s="873"/>
      <c r="AA180" s="156"/>
      <c r="AB180" s="72"/>
      <c r="AC180" s="72"/>
      <c r="AD180" s="71"/>
    </row>
    <row r="181" spans="1:38" s="3" customFormat="1" ht="15.5" x14ac:dyDescent="0.35">
      <c r="A181" s="224"/>
      <c r="B181" s="11"/>
      <c r="C181" s="11"/>
      <c r="D181" s="11"/>
      <c r="E181" s="66"/>
      <c r="F181" s="193"/>
      <c r="G181" s="210"/>
      <c r="H181" s="908"/>
      <c r="I181" s="895"/>
      <c r="J181" s="877"/>
      <c r="K181" s="877"/>
      <c r="L181" s="877"/>
      <c r="M181" s="877"/>
      <c r="N181" s="877"/>
      <c r="O181" s="878"/>
      <c r="P181" s="878"/>
      <c r="Q181" s="878"/>
      <c r="R181" s="878"/>
      <c r="S181" s="878"/>
      <c r="T181" s="878"/>
      <c r="U181" s="878"/>
      <c r="V181" s="878"/>
      <c r="AA181" s="153"/>
    </row>
    <row r="182" spans="1:38" s="3" customFormat="1" ht="18" x14ac:dyDescent="0.4">
      <c r="A182" s="39" t="s">
        <v>1564</v>
      </c>
      <c r="B182" s="11"/>
      <c r="C182" s="11"/>
      <c r="D182" s="11"/>
      <c r="E182" s="66"/>
      <c r="F182" s="193"/>
      <c r="G182" s="210"/>
      <c r="H182" s="908"/>
      <c r="I182" s="890"/>
      <c r="J182" s="877"/>
      <c r="K182" s="877"/>
      <c r="L182" s="877"/>
      <c r="M182" s="877"/>
      <c r="N182" s="877"/>
      <c r="O182" s="878"/>
      <c r="P182" s="878"/>
      <c r="Q182" s="878"/>
      <c r="R182" s="878"/>
      <c r="S182" s="878"/>
      <c r="T182" s="878"/>
      <c r="U182" s="878"/>
      <c r="V182" s="878"/>
      <c r="AA182" s="153"/>
    </row>
    <row r="183" spans="1:38" s="3" customFormat="1" ht="15.5" x14ac:dyDescent="0.35">
      <c r="A183" s="592" t="s">
        <v>1565</v>
      </c>
      <c r="B183" s="584"/>
      <c r="C183" s="585"/>
      <c r="D183" s="585"/>
      <c r="E183" s="97" t="s">
        <v>1378</v>
      </c>
      <c r="F183" s="193"/>
      <c r="G183" s="210"/>
      <c r="H183" s="908"/>
      <c r="I183" s="890"/>
      <c r="J183" s="877"/>
      <c r="K183" s="877"/>
      <c r="L183" s="877"/>
      <c r="M183" s="877"/>
      <c r="N183" s="877"/>
      <c r="O183" s="878"/>
      <c r="P183" s="878"/>
      <c r="Q183" s="878"/>
      <c r="R183" s="878"/>
      <c r="S183" s="878"/>
      <c r="T183" s="878"/>
      <c r="U183" s="878"/>
      <c r="V183" s="878"/>
      <c r="AA183" s="153"/>
    </row>
    <row r="184" spans="1:38" s="3" customFormat="1" ht="15.5" x14ac:dyDescent="0.35">
      <c r="A184" s="108">
        <v>994</v>
      </c>
      <c r="B184" s="31" t="s">
        <v>1566</v>
      </c>
      <c r="C184" s="11"/>
      <c r="D184" s="11"/>
      <c r="E184" s="1058"/>
      <c r="F184" s="587" t="str">
        <f t="shared" ref="F184:F185" si="239">IF(ISERROR(G184),"",IF((G184="Error"),"add explanation",IF((G184="Warning"),"add explanation","")))</f>
        <v/>
      </c>
      <c r="G184" s="158" t="str">
        <f>IF(AA184&lt;&gt;"","Warning",IF(E184&gt;40000,"Warning",""))</f>
        <v/>
      </c>
      <c r="H184" s="896" t="str">
        <f>IF(AND($G184="Warning",$E184=0),"A value is expected for your class of local authority please complete",IF(AND($G184="Warning",$E184&gt;40000),"Please check that you have entered this in £000 and not £",""))</f>
        <v/>
      </c>
      <c r="I184" s="898" t="e">
        <f>IF(AL184="Warning","This year's figure is over "&amp;AD184/1000&amp;" million and "&amp;(AC184*100)&amp;"% different to "&amp;TEXT(AE184,"#,###")&amp;" last year, please explain","")</f>
        <v>#N/A</v>
      </c>
      <c r="J184" s="873"/>
      <c r="K184" s="877"/>
      <c r="L184" s="877"/>
      <c r="M184" s="877"/>
      <c r="N184" s="877"/>
      <c r="O184" s="878"/>
      <c r="P184" s="878"/>
      <c r="Q184" s="878"/>
      <c r="R184" s="878"/>
      <c r="S184" s="878"/>
      <c r="T184" s="878"/>
      <c r="U184" s="878"/>
      <c r="V184" s="878"/>
      <c r="AA184" s="153" t="str">
        <f>IF(AND(E184=0,AB184=1),"Warning","")</f>
        <v/>
      </c>
      <c r="AB184" s="3">
        <f>VLOOKUP(LA_code,LCTS_list,9,0)</f>
        <v>0</v>
      </c>
      <c r="AC184">
        <f>VLOOKUP("RS"&amp;$A184,data_val_parameters,9,0)/100</f>
        <v>0.35</v>
      </c>
      <c r="AD184">
        <f t="shared" ref="AD184:AD186" si="240">VLOOKUP("RS"&amp;$A184,data_val_parameters,7,0)</f>
        <v>500</v>
      </c>
      <c r="AE184" t="e">
        <f>VLOOKUP(LA_code,data_prev_year,MATCH("RS"&amp;$A184&amp;"8",data_prev_year_headers,0),0)</f>
        <v>#N/A</v>
      </c>
      <c r="AF184" t="e">
        <f t="shared" ref="AF184" si="241">AE184+AD184</f>
        <v>#N/A</v>
      </c>
      <c r="AG184" t="e">
        <f t="shared" ref="AG184" si="242">AE184-AD184</f>
        <v>#N/A</v>
      </c>
      <c r="AH184" t="e">
        <f t="shared" ref="AH184" si="243">AE184+(AE184*AC184)</f>
        <v>#N/A</v>
      </c>
      <c r="AI184" t="e">
        <f t="shared" ref="AI184" si="244">AE184-(AE184*AC184)</f>
        <v>#N/A</v>
      </c>
      <c r="AJ184" t="e">
        <f t="shared" ref="AJ184" si="245">IF(OR(F184&lt;AG184,F184&gt;AF184),"Warning","")</f>
        <v>#N/A</v>
      </c>
      <c r="AK184" t="e">
        <f t="shared" ref="AK184" si="246">IF(OR(F184&gt;(AH184),F184&lt;(AI184)),"Warning","")</f>
        <v>#N/A</v>
      </c>
      <c r="AL184" t="e">
        <f t="shared" ref="AL184" si="247">IF(OR(F184=0),"",IF(AND(AJ184="Warning",AK184="Warning"),"Warning",""))</f>
        <v>#N/A</v>
      </c>
    </row>
    <row r="185" spans="1:38" s="3" customFormat="1" ht="15.5" x14ac:dyDescent="0.35">
      <c r="A185" s="108">
        <v>995</v>
      </c>
      <c r="B185" s="31" t="s">
        <v>1567</v>
      </c>
      <c r="C185" s="11"/>
      <c r="D185" s="11"/>
      <c r="E185" s="1058"/>
      <c r="F185" s="587" t="str">
        <f t="shared" si="239"/>
        <v/>
      </c>
      <c r="G185" s="158" t="str">
        <f>IF(AA185&lt;&gt;"","Warning",IF(E185&gt;75000,"Warning",""))</f>
        <v/>
      </c>
      <c r="H185" s="896" t="str">
        <f>IF(AND($G185="Warning",$E185=0),"A value is expected for your class of local authority please complete",IF(AND($G185="Warning",$E185&gt;75000),"Please check that you have entered this in £000 and not £",""))</f>
        <v/>
      </c>
      <c r="I185" s="898" t="e">
        <f t="shared" ref="I185:I186" si="248">IF(AL185="Warning","This year's figure is over "&amp;AD185/1000&amp;" million and "&amp;(AC185*100)&amp;"% different to "&amp;TEXT(AE185,"#,###")&amp;" last year, please explain","")</f>
        <v>#N/A</v>
      </c>
      <c r="J185" s="873"/>
      <c r="K185" s="877"/>
      <c r="L185" s="877"/>
      <c r="M185" s="877"/>
      <c r="N185" s="877"/>
      <c r="O185" s="878"/>
      <c r="P185" s="878"/>
      <c r="Q185" s="878"/>
      <c r="R185" s="878"/>
      <c r="S185" s="878"/>
      <c r="T185" s="878"/>
      <c r="U185" s="878"/>
      <c r="V185" s="878"/>
      <c r="AA185" s="153" t="str">
        <f t="shared" ref="AA185" si="249">IF(AND(E185=0,AB185=1),"Warning","")</f>
        <v/>
      </c>
      <c r="AB185" s="3">
        <f>VLOOKUP(LA_code,LCTS_list,9,0)</f>
        <v>0</v>
      </c>
      <c r="AC185">
        <f>VLOOKUP("RS"&amp;$A185,data_val_parameters,9,0)/100</f>
        <v>0.35</v>
      </c>
      <c r="AD185">
        <f t="shared" si="240"/>
        <v>500</v>
      </c>
      <c r="AE185" t="e">
        <f>VLOOKUP(LA_code,data_prev_year,MATCH("RS"&amp;$A185&amp;"8",data_prev_year_headers,0),0)</f>
        <v>#N/A</v>
      </c>
      <c r="AF185" t="e">
        <f t="shared" ref="AF185:AF186" si="250">AE185+AD185</f>
        <v>#N/A</v>
      </c>
      <c r="AG185" t="e">
        <f t="shared" ref="AG185:AG186" si="251">AE185-AD185</f>
        <v>#N/A</v>
      </c>
      <c r="AH185" t="e">
        <f t="shared" ref="AH185:AH186" si="252">AE185+(AE185*AC185)</f>
        <v>#N/A</v>
      </c>
      <c r="AI185" t="e">
        <f t="shared" ref="AI185:AI186" si="253">AE185-(AE185*AC185)</f>
        <v>#N/A</v>
      </c>
      <c r="AJ185" t="e">
        <f t="shared" ref="AJ185:AJ186" si="254">IF(OR(F185&lt;AG185,F185&gt;AF185),"Warning","")</f>
        <v>#N/A</v>
      </c>
      <c r="AK185" t="e">
        <f t="shared" ref="AK185:AK186" si="255">IF(OR(F185&gt;(AH185),F185&lt;(AI185)),"Warning","")</f>
        <v>#N/A</v>
      </c>
      <c r="AL185" t="e">
        <f t="shared" ref="AL185:AL186" si="256">IF(OR(F185=0),"",IF(AND(AJ185="Warning",AK185="Warning"),"Warning",""))</f>
        <v>#N/A</v>
      </c>
    </row>
    <row r="186" spans="1:38" s="3" customFormat="1" ht="15.5" x14ac:dyDescent="0.35">
      <c r="A186" s="108">
        <v>996</v>
      </c>
      <c r="B186" s="106" t="s">
        <v>1568</v>
      </c>
      <c r="C186" s="11"/>
      <c r="D186" s="11"/>
      <c r="E186" s="1065">
        <f>SUM(E184:E185)</f>
        <v>0</v>
      </c>
      <c r="F186" s="587" t="str">
        <f>IF(ISERROR(G186),"",IF((G186="Error"),"add explanation",IF((G186="Warning"),"add explanation","")))</f>
        <v/>
      </c>
      <c r="G186" s="158" t="str">
        <f>IF(AA186&lt;&gt;"","Warning",IF(E186&gt;115000,"Warning",""))</f>
        <v/>
      </c>
      <c r="H186" s="896" t="str">
        <f>IF(AND($G186="Warning",$E186=0),"A value is expected for your class of local authority please complete",IF(AND($G186="Warning",$E186&gt;115000),"Please check that you have entered this in £000 and not £",""))</f>
        <v/>
      </c>
      <c r="I186" s="898" t="e">
        <f t="shared" si="248"/>
        <v>#N/A</v>
      </c>
      <c r="J186" s="873"/>
      <c r="K186" s="877"/>
      <c r="L186" s="877"/>
      <c r="M186" s="877"/>
      <c r="N186" s="877"/>
      <c r="O186" s="878"/>
      <c r="P186" s="878"/>
      <c r="Q186" s="878"/>
      <c r="R186" s="878"/>
      <c r="S186" s="878"/>
      <c r="T186" s="878"/>
      <c r="U186" s="878"/>
      <c r="V186" s="878"/>
      <c r="AA186" s="153" t="str">
        <f>IF(AND(E186=0,AB186=1),"Warning","")</f>
        <v/>
      </c>
      <c r="AB186" s="3">
        <f>VLOOKUP(LA_code,LCTS_list,9,0)</f>
        <v>0</v>
      </c>
      <c r="AC186">
        <f>VLOOKUP("RS"&amp;$A186,data_val_parameters,9,0)/100</f>
        <v>0.35</v>
      </c>
      <c r="AD186">
        <f t="shared" si="240"/>
        <v>500</v>
      </c>
      <c r="AE186" t="e">
        <f>VLOOKUP(LA_code,data_prev_year,MATCH("RS"&amp;$A186&amp;"8",data_prev_year_headers,0),0)</f>
        <v>#N/A</v>
      </c>
      <c r="AF186" t="e">
        <f t="shared" si="250"/>
        <v>#N/A</v>
      </c>
      <c r="AG186" t="e">
        <f t="shared" si="251"/>
        <v>#N/A</v>
      </c>
      <c r="AH186" t="e">
        <f t="shared" si="252"/>
        <v>#N/A</v>
      </c>
      <c r="AI186" t="e">
        <f t="shared" si="253"/>
        <v>#N/A</v>
      </c>
      <c r="AJ186" t="e">
        <f t="shared" si="254"/>
        <v>#N/A</v>
      </c>
      <c r="AK186" t="e">
        <f t="shared" si="255"/>
        <v>#N/A</v>
      </c>
      <c r="AL186" t="e">
        <f t="shared" si="256"/>
        <v>#N/A</v>
      </c>
    </row>
    <row r="187" spans="1:38" s="3" customFormat="1" ht="15.5" x14ac:dyDescent="0.35">
      <c r="A187" s="108"/>
      <c r="B187" s="31"/>
      <c r="C187" s="11"/>
      <c r="D187" s="11"/>
      <c r="E187" s="66"/>
      <c r="F187" s="433"/>
      <c r="G187" s="210"/>
      <c r="H187" s="908"/>
      <c r="I187" s="890"/>
      <c r="J187" s="877"/>
      <c r="K187" s="877"/>
      <c r="L187" s="877"/>
      <c r="M187" s="877"/>
      <c r="N187" s="877"/>
      <c r="O187" s="878"/>
      <c r="P187" s="878"/>
      <c r="Q187" s="878"/>
      <c r="R187" s="878"/>
      <c r="S187" s="878"/>
      <c r="T187" s="878"/>
      <c r="U187" s="878"/>
      <c r="V187" s="878"/>
      <c r="AA187" s="153"/>
    </row>
    <row r="188" spans="1:38" s="3" customFormat="1" ht="15.5" x14ac:dyDescent="0.35">
      <c r="A188" s="592"/>
      <c r="B188" s="31"/>
      <c r="C188" s="11"/>
      <c r="D188" s="11"/>
      <c r="E188" s="97" t="s">
        <v>1378</v>
      </c>
      <c r="F188" s="433"/>
      <c r="G188" s="210"/>
      <c r="H188" s="908"/>
      <c r="I188" s="890"/>
      <c r="J188" s="877"/>
      <c r="K188" s="877"/>
      <c r="L188" s="877"/>
      <c r="M188" s="877"/>
      <c r="N188" s="877"/>
      <c r="O188" s="878"/>
      <c r="P188" s="878"/>
      <c r="Q188" s="878"/>
      <c r="R188" s="878"/>
      <c r="S188" s="878"/>
      <c r="T188" s="878"/>
      <c r="U188" s="878"/>
      <c r="V188" s="878"/>
      <c r="AA188" s="153"/>
    </row>
    <row r="189" spans="1:38" s="3" customFormat="1" ht="28.5" x14ac:dyDescent="0.35">
      <c r="A189" s="108">
        <v>997</v>
      </c>
      <c r="B189" s="595" t="s">
        <v>1569</v>
      </c>
      <c r="C189" s="11"/>
      <c r="D189" s="11"/>
      <c r="E189" s="1058"/>
      <c r="F189" s="587" t="str">
        <f>IF(ISERROR(G189),"",IF((G189="Error"),"add explanation",IF((G189="Warning"),"add explanation","")))</f>
        <v/>
      </c>
      <c r="G189" s="158" t="str">
        <f>IF(AK189="Warning","Warning","")</f>
        <v/>
      </c>
      <c r="H189" s="898" t="str">
        <f>IF(G189="Warning","This year's figure is over "&amp;AC189/1000&amp;" million and "&amp;(AB189*100)&amp;"% different to "&amp;TEXT(AD189,"#,###")&amp;" last year, please explain","")</f>
        <v/>
      </c>
      <c r="I189" s="890"/>
      <c r="J189" s="873"/>
      <c r="K189" s="877"/>
      <c r="L189" s="877"/>
      <c r="M189" s="877"/>
      <c r="N189" s="877"/>
      <c r="O189" s="878"/>
      <c r="P189" s="878"/>
      <c r="Q189" s="878"/>
      <c r="R189" s="878"/>
      <c r="S189" s="878"/>
      <c r="T189" s="878"/>
      <c r="U189" s="878"/>
      <c r="V189" s="878"/>
      <c r="AA189" s="153"/>
      <c r="AB189">
        <f>VLOOKUP("RS"&amp;$A189,data_val_parameters,9,0)/100</f>
        <v>0.45</v>
      </c>
      <c r="AC189">
        <f t="shared" ref="AC189" si="257">VLOOKUP("RS"&amp;$A189,data_val_parameters,7,0)</f>
        <v>4000</v>
      </c>
      <c r="AD189" t="e">
        <f>VLOOKUP(LA_code,data_prev_year,MATCH("RS"&amp;$A189&amp;"8",data_prev_year_headers,0),0)</f>
        <v>#N/A</v>
      </c>
      <c r="AE189" t="e">
        <f t="shared" ref="AE189" si="258">AD189+AC189</f>
        <v>#N/A</v>
      </c>
      <c r="AF189" t="e">
        <f t="shared" ref="AF189" si="259">AD189-AC189</f>
        <v>#N/A</v>
      </c>
      <c r="AG189" t="e">
        <f t="shared" ref="AG189" si="260">AD189+(AD189*AB189)</f>
        <v>#N/A</v>
      </c>
      <c r="AH189" t="e">
        <f t="shared" ref="AH189" si="261">AD189-(AD189*AB189)</f>
        <v>#N/A</v>
      </c>
      <c r="AI189" t="e">
        <f t="shared" ref="AI189" si="262">IF(OR(E189&lt;AF189,E189&gt;AE189),"Warning","")</f>
        <v>#N/A</v>
      </c>
      <c r="AJ189" t="e">
        <f t="shared" ref="AJ189" si="263">IF(OR(E189&gt;(AG189),E189&lt;(AH189)),"Warning","")</f>
        <v>#N/A</v>
      </c>
      <c r="AK189" t="str">
        <f t="shared" ref="AK189" si="264">IF(OR(E189=0),"",IF(AND(AI189="Warning",AJ189="Warning"),"Warning",""))</f>
        <v/>
      </c>
    </row>
    <row r="190" spans="1:38" s="3" customFormat="1" ht="15.5" x14ac:dyDescent="0.35">
      <c r="A190" s="108"/>
      <c r="B190" s="425"/>
      <c r="C190" s="11"/>
      <c r="D190" s="11"/>
      <c r="E190" s="66"/>
      <c r="F190" s="433"/>
      <c r="G190" s="210"/>
      <c r="H190" s="908"/>
      <c r="I190" s="895"/>
      <c r="J190" s="877"/>
      <c r="K190" s="877"/>
      <c r="L190" s="877"/>
      <c r="M190" s="877"/>
      <c r="N190" s="877"/>
      <c r="O190" s="878"/>
      <c r="P190" s="878"/>
      <c r="Q190" s="878"/>
      <c r="R190" s="878"/>
      <c r="S190" s="878"/>
      <c r="T190" s="878"/>
      <c r="U190" s="878"/>
      <c r="V190" s="878"/>
      <c r="AA190" s="153"/>
    </row>
    <row r="191" spans="1:38" ht="15.5" x14ac:dyDescent="0.35">
      <c r="A191" s="232"/>
      <c r="B191" s="11"/>
      <c r="C191" s="11"/>
      <c r="D191" s="11"/>
      <c r="E191" s="11"/>
      <c r="F191" s="98"/>
      <c r="G191" s="11"/>
      <c r="H191" s="890"/>
      <c r="I191" s="890"/>
      <c r="J191" s="873"/>
      <c r="K191" s="873"/>
      <c r="L191" s="873"/>
      <c r="M191" s="873"/>
      <c r="N191" s="873"/>
    </row>
    <row r="192" spans="1:38" x14ac:dyDescent="0.25">
      <c r="A192" s="258"/>
      <c r="B192" s="112"/>
      <c r="C192" s="112"/>
      <c r="D192" s="112"/>
      <c r="E192" s="112"/>
      <c r="F192" s="112"/>
      <c r="G192" s="112"/>
      <c r="H192" s="890"/>
      <c r="I192" s="890"/>
      <c r="J192" s="873"/>
      <c r="K192" s="873"/>
      <c r="L192" s="873"/>
      <c r="M192" s="873"/>
      <c r="N192" s="873"/>
    </row>
    <row r="193" spans="1:1" x14ac:dyDescent="0.25">
      <c r="A193" s="655"/>
    </row>
    <row r="194" spans="1:1" x14ac:dyDescent="0.25">
      <c r="A194" s="655"/>
    </row>
    <row r="195" spans="1:1" x14ac:dyDescent="0.25">
      <c r="A195" s="655"/>
    </row>
    <row r="196" spans="1:1" x14ac:dyDescent="0.25">
      <c r="A196" s="655"/>
    </row>
    <row r="197" spans="1:1" x14ac:dyDescent="0.25">
      <c r="A197" s="655"/>
    </row>
    <row r="198" spans="1:1" x14ac:dyDescent="0.25">
      <c r="A198" s="655"/>
    </row>
    <row r="199" spans="1:1" x14ac:dyDescent="0.25">
      <c r="A199" s="655"/>
    </row>
    <row r="200" spans="1:1" hidden="1" x14ac:dyDescent="0.25">
      <c r="A200" s="655"/>
    </row>
    <row r="201" spans="1:1" hidden="1" x14ac:dyDescent="0.25">
      <c r="A201" s="655"/>
    </row>
    <row r="202" spans="1:1" hidden="1" x14ac:dyDescent="0.25">
      <c r="A202" s="655"/>
    </row>
    <row r="203" spans="1:1" hidden="1" x14ac:dyDescent="0.25">
      <c r="A203" s="655"/>
    </row>
    <row r="204" spans="1:1" hidden="1" x14ac:dyDescent="0.25">
      <c r="A204" s="655"/>
    </row>
    <row r="205" spans="1:1" hidden="1" x14ac:dyDescent="0.25">
      <c r="A205" s="655"/>
    </row>
    <row r="206" spans="1:1" hidden="1" x14ac:dyDescent="0.25">
      <c r="A206" s="655"/>
    </row>
    <row r="207" spans="1:1" hidden="1" x14ac:dyDescent="0.25">
      <c r="A207" s="655"/>
    </row>
    <row r="208" spans="1:1" hidden="1" x14ac:dyDescent="0.25">
      <c r="A208" s="655"/>
    </row>
    <row r="209" spans="1:1" hidden="1" x14ac:dyDescent="0.25">
      <c r="A209" s="655"/>
    </row>
    <row r="210" spans="1:1" hidden="1" x14ac:dyDescent="0.25">
      <c r="A210" s="655"/>
    </row>
    <row r="211" spans="1:1" hidden="1" x14ac:dyDescent="0.25">
      <c r="A211" s="655"/>
    </row>
    <row r="212" spans="1:1" hidden="1" x14ac:dyDescent="0.25">
      <c r="A212" s="655"/>
    </row>
    <row r="213" spans="1:1" hidden="1" x14ac:dyDescent="0.25">
      <c r="A213" s="655"/>
    </row>
    <row r="214" spans="1:1" hidden="1" x14ac:dyDescent="0.25">
      <c r="A214" s="655"/>
    </row>
    <row r="215" spans="1:1" hidden="1" x14ac:dyDescent="0.25">
      <c r="A215" s="655"/>
    </row>
    <row r="216" spans="1:1" hidden="1" x14ac:dyDescent="0.25">
      <c r="A216" s="655"/>
    </row>
    <row r="217" spans="1:1" hidden="1" x14ac:dyDescent="0.25">
      <c r="A217" s="655"/>
    </row>
    <row r="218" spans="1:1" hidden="1" x14ac:dyDescent="0.25">
      <c r="A218" s="655"/>
    </row>
    <row r="219" spans="1:1" hidden="1" x14ac:dyDescent="0.25">
      <c r="A219" s="655"/>
    </row>
    <row r="220" spans="1:1" hidden="1" x14ac:dyDescent="0.25">
      <c r="A220" s="655"/>
    </row>
    <row r="221" spans="1:1" hidden="1" x14ac:dyDescent="0.25">
      <c r="A221" s="655"/>
    </row>
    <row r="222" spans="1:1" hidden="1" x14ac:dyDescent="0.25">
      <c r="A222" s="655"/>
    </row>
    <row r="223" spans="1:1" hidden="1" x14ac:dyDescent="0.25">
      <c r="A223" s="655"/>
    </row>
    <row r="224" spans="1:1" hidden="1" x14ac:dyDescent="0.25">
      <c r="A224" s="655"/>
    </row>
    <row r="225" spans="1:1" hidden="1" x14ac:dyDescent="0.25">
      <c r="A225" s="655"/>
    </row>
    <row r="226" spans="1:1" hidden="1" x14ac:dyDescent="0.25">
      <c r="A226" s="655"/>
    </row>
    <row r="227" spans="1:1" hidden="1" x14ac:dyDescent="0.25">
      <c r="A227" s="655"/>
    </row>
    <row r="228" spans="1:1" hidden="1" x14ac:dyDescent="0.25">
      <c r="A228" s="655"/>
    </row>
    <row r="229" spans="1:1" hidden="1" x14ac:dyDescent="0.25">
      <c r="A229" s="655"/>
    </row>
    <row r="230" spans="1:1" hidden="1" x14ac:dyDescent="0.25">
      <c r="A230" s="655"/>
    </row>
    <row r="231" spans="1:1" hidden="1" x14ac:dyDescent="0.25">
      <c r="A231" s="655"/>
    </row>
    <row r="232" spans="1:1" hidden="1" x14ac:dyDescent="0.25">
      <c r="A232" s="655"/>
    </row>
    <row r="233" spans="1:1" hidden="1" x14ac:dyDescent="0.25">
      <c r="A233" s="655"/>
    </row>
    <row r="234" spans="1:1" hidden="1" x14ac:dyDescent="0.25">
      <c r="A234" s="655"/>
    </row>
    <row r="235" spans="1:1" hidden="1" x14ac:dyDescent="0.25">
      <c r="A235" s="655"/>
    </row>
    <row r="236" spans="1:1" hidden="1" x14ac:dyDescent="0.25">
      <c r="A236" s="655"/>
    </row>
    <row r="237" spans="1:1" hidden="1" x14ac:dyDescent="0.25">
      <c r="A237" s="655"/>
    </row>
    <row r="238" spans="1:1" hidden="1" x14ac:dyDescent="0.25">
      <c r="A238" s="655"/>
    </row>
    <row r="239" spans="1:1" hidden="1" x14ac:dyDescent="0.25">
      <c r="A239" s="655"/>
    </row>
    <row r="240" spans="1:1" hidden="1" x14ac:dyDescent="0.25">
      <c r="A240" s="655"/>
    </row>
    <row r="241" spans="1:1" hidden="1" x14ac:dyDescent="0.25">
      <c r="A241" s="655"/>
    </row>
    <row r="242" spans="1:1" hidden="1" x14ac:dyDescent="0.25">
      <c r="A242" s="655"/>
    </row>
    <row r="243" spans="1:1" hidden="1" x14ac:dyDescent="0.25">
      <c r="A243" s="655"/>
    </row>
    <row r="244" spans="1:1" hidden="1" x14ac:dyDescent="0.25">
      <c r="A244" s="655"/>
    </row>
    <row r="245" spans="1:1" hidden="1" x14ac:dyDescent="0.25">
      <c r="A245" s="655"/>
    </row>
    <row r="246" spans="1:1" hidden="1" x14ac:dyDescent="0.25">
      <c r="A246" s="655"/>
    </row>
    <row r="247" spans="1:1" hidden="1" x14ac:dyDescent="0.25">
      <c r="A247" s="655"/>
    </row>
    <row r="248" spans="1:1" ht="11.5" hidden="1" customHeight="1" x14ac:dyDescent="0.25">
      <c r="A248" s="655"/>
    </row>
    <row r="249" spans="1:1" ht="11.5" hidden="1" customHeight="1" x14ac:dyDescent="0.25">
      <c r="A249" s="655"/>
    </row>
    <row r="250" spans="1:1" ht="11.5" hidden="1" customHeight="1" x14ac:dyDescent="0.25">
      <c r="A250" s="655"/>
    </row>
    <row r="251" spans="1:1" ht="11.5" hidden="1" customHeight="1" x14ac:dyDescent="0.25">
      <c r="A251" s="655"/>
    </row>
    <row r="252" spans="1:1" ht="11.5" hidden="1" customHeight="1" x14ac:dyDescent="0.25">
      <c r="A252" s="655"/>
    </row>
    <row r="253" spans="1:1" ht="11.5" hidden="1" customHeight="1" x14ac:dyDescent="0.25">
      <c r="A253" s="655"/>
    </row>
    <row r="254" spans="1:1" ht="11.5" hidden="1" customHeight="1" x14ac:dyDescent="0.25">
      <c r="A254" s="655"/>
    </row>
    <row r="255" spans="1:1" ht="11.5" hidden="1" customHeight="1" x14ac:dyDescent="0.25">
      <c r="A255" s="655"/>
    </row>
    <row r="256" spans="1:1" ht="11.5" hidden="1" customHeight="1" x14ac:dyDescent="0.25">
      <c r="A256" s="655"/>
    </row>
    <row r="257" spans="1:1" ht="11.5" hidden="1" customHeight="1" x14ac:dyDescent="0.25">
      <c r="A257" s="655"/>
    </row>
    <row r="258" spans="1:1" ht="11.5" hidden="1" customHeight="1" x14ac:dyDescent="0.25">
      <c r="A258" s="655"/>
    </row>
    <row r="259" spans="1:1" ht="11.5" hidden="1" customHeight="1" x14ac:dyDescent="0.25">
      <c r="A259" s="655"/>
    </row>
    <row r="260" spans="1:1" ht="11.5" hidden="1" customHeight="1" x14ac:dyDescent="0.25">
      <c r="A260" s="655"/>
    </row>
    <row r="261" spans="1:1" ht="11.5" hidden="1" customHeight="1" x14ac:dyDescent="0.25">
      <c r="A261" s="655"/>
    </row>
    <row r="262" spans="1:1" ht="11.5" hidden="1" customHeight="1" x14ac:dyDescent="0.25">
      <c r="A262" s="655"/>
    </row>
    <row r="263" spans="1:1" ht="11.5" hidden="1" customHeight="1" x14ac:dyDescent="0.25">
      <c r="A263" s="655"/>
    </row>
    <row r="264" spans="1:1" ht="11.5" hidden="1" customHeight="1" x14ac:dyDescent="0.25">
      <c r="A264" s="655"/>
    </row>
    <row r="265" spans="1:1" ht="11.5" hidden="1" customHeight="1" x14ac:dyDescent="0.25">
      <c r="A265" s="655"/>
    </row>
    <row r="266" spans="1:1" ht="11.5" hidden="1" customHeight="1" x14ac:dyDescent="0.25">
      <c r="A266" s="655"/>
    </row>
    <row r="267" spans="1:1" ht="11.5" hidden="1" customHeight="1" x14ac:dyDescent="0.25">
      <c r="A267" s="655"/>
    </row>
    <row r="268" spans="1:1" ht="11.5" hidden="1" customHeight="1" x14ac:dyDescent="0.25">
      <c r="A268" s="655"/>
    </row>
    <row r="269" spans="1:1" ht="11.5" hidden="1" customHeight="1" x14ac:dyDescent="0.25">
      <c r="A269" s="655"/>
    </row>
    <row r="270" spans="1:1" ht="11.5" hidden="1" customHeight="1" x14ac:dyDescent="0.25">
      <c r="A270" s="655"/>
    </row>
    <row r="271" spans="1:1" ht="11.5" hidden="1" customHeight="1" x14ac:dyDescent="0.25">
      <c r="A271" s="655"/>
    </row>
    <row r="272" spans="1:1" ht="11.5" hidden="1" customHeight="1" x14ac:dyDescent="0.25">
      <c r="A272" s="655"/>
    </row>
    <row r="273" spans="1:1" ht="11.5" hidden="1" customHeight="1" x14ac:dyDescent="0.25">
      <c r="A273" s="655"/>
    </row>
    <row r="274" spans="1:1" ht="11.5" hidden="1" customHeight="1" x14ac:dyDescent="0.25">
      <c r="A274" s="655"/>
    </row>
    <row r="275" spans="1:1" ht="11.5" hidden="1" customHeight="1" x14ac:dyDescent="0.25">
      <c r="A275" s="655"/>
    </row>
    <row r="276" spans="1:1" ht="11.5" hidden="1" customHeight="1" x14ac:dyDescent="0.25">
      <c r="A276" s="655"/>
    </row>
    <row r="277" spans="1:1" ht="11.5" hidden="1" customHeight="1" x14ac:dyDescent="0.25">
      <c r="A277" s="655"/>
    </row>
    <row r="278" spans="1:1" ht="11.5" hidden="1" customHeight="1" x14ac:dyDescent="0.25">
      <c r="A278" s="655"/>
    </row>
    <row r="279" spans="1:1" ht="11.5" hidden="1" customHeight="1" x14ac:dyDescent="0.25">
      <c r="A279" s="655"/>
    </row>
    <row r="280" spans="1:1" ht="11.5" hidden="1" customHeight="1" x14ac:dyDescent="0.25">
      <c r="A280" s="655"/>
    </row>
    <row r="281" spans="1:1" ht="11.5" hidden="1" customHeight="1" x14ac:dyDescent="0.25">
      <c r="A281" s="655"/>
    </row>
    <row r="282" spans="1:1" ht="11.5" hidden="1" customHeight="1" x14ac:dyDescent="0.25">
      <c r="A282" s="655"/>
    </row>
    <row r="283" spans="1:1" ht="11.5" hidden="1" customHeight="1" x14ac:dyDescent="0.25">
      <c r="A283" s="655"/>
    </row>
    <row r="284" spans="1:1" ht="11.5" hidden="1" customHeight="1" x14ac:dyDescent="0.25">
      <c r="A284" s="655"/>
    </row>
    <row r="285" spans="1:1" ht="11.5" hidden="1" customHeight="1" x14ac:dyDescent="0.25">
      <c r="A285" s="655"/>
    </row>
    <row r="286" spans="1:1" ht="11.5" hidden="1" customHeight="1" x14ac:dyDescent="0.25">
      <c r="A286" s="655"/>
    </row>
    <row r="287" spans="1:1" ht="11.5" hidden="1" customHeight="1" x14ac:dyDescent="0.25">
      <c r="A287" s="655"/>
    </row>
    <row r="288" spans="1:1" ht="11.5" hidden="1" customHeight="1" x14ac:dyDescent="0.25">
      <c r="A288" s="655"/>
    </row>
    <row r="289" spans="1:1" ht="11.5" hidden="1" customHeight="1" x14ac:dyDescent="0.25">
      <c r="A289" s="655"/>
    </row>
    <row r="290" spans="1:1" ht="11.5" hidden="1" customHeight="1" x14ac:dyDescent="0.25">
      <c r="A290" s="655"/>
    </row>
    <row r="291" spans="1:1" ht="11.5" hidden="1" customHeight="1" x14ac:dyDescent="0.25">
      <c r="A291" s="655"/>
    </row>
    <row r="292" spans="1:1" ht="11.5" hidden="1" customHeight="1" x14ac:dyDescent="0.25">
      <c r="A292" s="655"/>
    </row>
    <row r="293" spans="1:1" ht="11.5" hidden="1" customHeight="1" x14ac:dyDescent="0.25">
      <c r="A293" s="655"/>
    </row>
    <row r="294" spans="1:1" ht="11.5" hidden="1" customHeight="1" x14ac:dyDescent="0.25">
      <c r="A294" s="655"/>
    </row>
    <row r="295" spans="1:1" ht="11.5" hidden="1" customHeight="1" x14ac:dyDescent="0.25">
      <c r="A295" s="655"/>
    </row>
    <row r="296" spans="1:1" ht="11.5" hidden="1" customHeight="1" x14ac:dyDescent="0.25">
      <c r="A296" s="655"/>
    </row>
    <row r="297" spans="1:1" ht="11.5" hidden="1" customHeight="1" x14ac:dyDescent="0.25">
      <c r="A297" s="655"/>
    </row>
    <row r="298" spans="1:1" ht="11.5" hidden="1" customHeight="1" x14ac:dyDescent="0.25">
      <c r="A298" s="655"/>
    </row>
    <row r="299" spans="1:1" ht="11.5" hidden="1" customHeight="1" x14ac:dyDescent="0.25">
      <c r="A299" s="655"/>
    </row>
    <row r="300" spans="1:1" ht="11.5" hidden="1" customHeight="1" x14ac:dyDescent="0.25">
      <c r="A300" s="655"/>
    </row>
    <row r="301" spans="1:1" ht="11.5" hidden="1" customHeight="1" x14ac:dyDescent="0.25">
      <c r="A301" s="655"/>
    </row>
    <row r="302" spans="1:1" ht="11.5" hidden="1" customHeight="1" x14ac:dyDescent="0.25">
      <c r="A302" s="655"/>
    </row>
    <row r="303" spans="1:1" ht="11.5" hidden="1" customHeight="1" x14ac:dyDescent="0.25">
      <c r="A303" s="655"/>
    </row>
    <row r="304" spans="1:1" ht="11.5" hidden="1" customHeight="1" x14ac:dyDescent="0.25">
      <c r="A304" s="655"/>
    </row>
    <row r="305" spans="1:27" ht="11.5" hidden="1" customHeight="1" x14ac:dyDescent="0.25">
      <c r="A305" s="655"/>
    </row>
    <row r="306" spans="1:27" ht="11.5" hidden="1" customHeight="1" x14ac:dyDescent="0.25">
      <c r="A306" s="655"/>
    </row>
    <row r="307" spans="1:27" ht="11.5" hidden="1" customHeight="1" x14ac:dyDescent="0.25">
      <c r="A307" s="655"/>
    </row>
    <row r="308" spans="1:27" ht="11.5" hidden="1" customHeight="1" x14ac:dyDescent="0.25">
      <c r="A308" s="655"/>
    </row>
    <row r="309" spans="1:27" ht="11.5" hidden="1" customHeight="1" x14ac:dyDescent="0.25">
      <c r="A309" s="655"/>
    </row>
    <row r="310" spans="1:27" ht="11.5" hidden="1" customHeight="1" x14ac:dyDescent="0.25">
      <c r="A310" s="655"/>
    </row>
    <row r="311" spans="1:27" ht="11.5" hidden="1" customHeight="1" x14ac:dyDescent="0.25">
      <c r="A311" s="655"/>
    </row>
    <row r="312" spans="1:27" ht="11.5" hidden="1" customHeight="1" x14ac:dyDescent="0.25">
      <c r="A312" s="655"/>
    </row>
    <row r="313" spans="1:27" ht="11.5" hidden="1" customHeight="1" x14ac:dyDescent="0.25">
      <c r="A313" s="655"/>
    </row>
    <row r="314" spans="1:27" ht="11.5" hidden="1" customHeight="1" x14ac:dyDescent="0.25">
      <c r="A314" s="655"/>
    </row>
    <row r="315" spans="1:27" ht="11.5" hidden="1" customHeight="1" x14ac:dyDescent="0.25">
      <c r="A315" s="655"/>
    </row>
    <row r="316" spans="1:27" ht="11.5" hidden="1" customHeight="1" x14ac:dyDescent="0.25">
      <c r="A316" s="655"/>
    </row>
    <row r="317" spans="1:27" ht="11.5" hidden="1" customHeight="1" x14ac:dyDescent="0.25">
      <c r="A317" s="655"/>
    </row>
    <row r="318" spans="1:27" ht="11.5" hidden="1" customHeight="1" x14ac:dyDescent="0.25">
      <c r="A318" s="655"/>
    </row>
    <row r="319" spans="1:27" ht="11.5" hidden="1" customHeight="1" x14ac:dyDescent="0.25">
      <c r="A319"/>
      <c r="AA319"/>
    </row>
    <row r="320" spans="1:27" ht="11.5" hidden="1" customHeight="1" x14ac:dyDescent="0.25">
      <c r="A320"/>
      <c r="AA320"/>
    </row>
    <row r="321" spans="1:27" ht="11.5" hidden="1" customHeight="1" x14ac:dyDescent="0.25">
      <c r="A321"/>
      <c r="AA321"/>
    </row>
    <row r="322" spans="1:27" ht="11.5" hidden="1" customHeight="1" x14ac:dyDescent="0.25">
      <c r="A322"/>
      <c r="AA322"/>
    </row>
    <row r="323" spans="1:27" ht="11.5" hidden="1" customHeight="1" x14ac:dyDescent="0.25">
      <c r="A323"/>
      <c r="AA323"/>
    </row>
    <row r="324" spans="1:27" ht="11.5" hidden="1" customHeight="1" x14ac:dyDescent="0.25">
      <c r="A324"/>
      <c r="AA324"/>
    </row>
    <row r="325" spans="1:27" ht="11.5" hidden="1" customHeight="1" x14ac:dyDescent="0.25">
      <c r="A325"/>
      <c r="AA325"/>
    </row>
    <row r="326" spans="1:27" ht="11.5" hidden="1" customHeight="1" x14ac:dyDescent="0.25">
      <c r="A326"/>
      <c r="AA326"/>
    </row>
    <row r="327" spans="1:27" ht="11.5" hidden="1" customHeight="1" x14ac:dyDescent="0.25">
      <c r="A327"/>
      <c r="AA327"/>
    </row>
    <row r="328" spans="1:27" ht="11.5" hidden="1" customHeight="1" x14ac:dyDescent="0.25">
      <c r="A328"/>
      <c r="AA328"/>
    </row>
    <row r="329" spans="1:27" ht="11.5" hidden="1" customHeight="1" x14ac:dyDescent="0.25">
      <c r="A329"/>
      <c r="AA329"/>
    </row>
    <row r="330" spans="1:27" ht="11.5" hidden="1" customHeight="1" x14ac:dyDescent="0.25">
      <c r="A330"/>
      <c r="AA330"/>
    </row>
    <row r="331" spans="1:27" ht="11.5" hidden="1" customHeight="1" x14ac:dyDescent="0.25">
      <c r="A331"/>
      <c r="AA331"/>
    </row>
    <row r="332" spans="1:27" ht="11.5" hidden="1" customHeight="1" x14ac:dyDescent="0.25">
      <c r="A332"/>
      <c r="AA332"/>
    </row>
    <row r="333" spans="1:27" ht="11.5" hidden="1" customHeight="1" x14ac:dyDescent="0.25">
      <c r="A333"/>
      <c r="AA333"/>
    </row>
    <row r="334" spans="1:27" ht="11.5" hidden="1" customHeight="1" x14ac:dyDescent="0.25">
      <c r="A334"/>
      <c r="AA334"/>
    </row>
    <row r="335" spans="1:27" ht="11.5" hidden="1" customHeight="1" x14ac:dyDescent="0.25">
      <c r="A335"/>
      <c r="AA335"/>
    </row>
    <row r="336" spans="1:27" ht="11.5" hidden="1" customHeight="1" x14ac:dyDescent="0.25">
      <c r="A336"/>
      <c r="AA336"/>
    </row>
    <row r="337" spans="1:27" ht="11.5" hidden="1" customHeight="1" x14ac:dyDescent="0.25">
      <c r="A337"/>
      <c r="AA337"/>
    </row>
    <row r="338" spans="1:27" ht="11.5" hidden="1" customHeight="1" x14ac:dyDescent="0.25">
      <c r="A338"/>
      <c r="AA338"/>
    </row>
    <row r="339" spans="1:27" ht="11.5" hidden="1" customHeight="1" x14ac:dyDescent="0.25">
      <c r="A339"/>
      <c r="AA339"/>
    </row>
    <row r="340" spans="1:27" ht="11.5" hidden="1" customHeight="1" x14ac:dyDescent="0.25">
      <c r="A340"/>
      <c r="AA340"/>
    </row>
    <row r="341" spans="1:27" ht="11.5" hidden="1" customHeight="1" x14ac:dyDescent="0.25">
      <c r="A341"/>
      <c r="AA341"/>
    </row>
    <row r="342" spans="1:27" ht="11.5" hidden="1" customHeight="1" x14ac:dyDescent="0.25">
      <c r="A342"/>
      <c r="AA342"/>
    </row>
    <row r="343" spans="1:27" ht="11.5" hidden="1" customHeight="1" x14ac:dyDescent="0.25">
      <c r="A343"/>
      <c r="AA343"/>
    </row>
    <row r="344" spans="1:27" ht="11.5" hidden="1" customHeight="1" x14ac:dyDescent="0.25">
      <c r="A344"/>
      <c r="AA344"/>
    </row>
    <row r="345" spans="1:27" ht="11.5" hidden="1" customHeight="1" x14ac:dyDescent="0.25">
      <c r="A345"/>
      <c r="AA345"/>
    </row>
    <row r="346" spans="1:27" ht="11.5" hidden="1" customHeight="1" x14ac:dyDescent="0.25">
      <c r="A346"/>
      <c r="AA346"/>
    </row>
    <row r="347" spans="1:27" ht="11.5" hidden="1" customHeight="1" x14ac:dyDescent="0.25">
      <c r="A347"/>
      <c r="AA347"/>
    </row>
    <row r="348" spans="1:27" ht="11.5" hidden="1" customHeight="1" x14ac:dyDescent="0.25">
      <c r="A348"/>
      <c r="AA348"/>
    </row>
    <row r="349" spans="1:27" ht="11.5" hidden="1" customHeight="1" x14ac:dyDescent="0.25">
      <c r="A349"/>
      <c r="AA349"/>
    </row>
    <row r="350" spans="1:27" ht="11.5" hidden="1" customHeight="1" x14ac:dyDescent="0.25">
      <c r="A350"/>
      <c r="AA350"/>
    </row>
    <row r="351" spans="1:27" ht="11.5" hidden="1" customHeight="1" x14ac:dyDescent="0.25">
      <c r="A351"/>
      <c r="AA351"/>
    </row>
    <row r="352" spans="1:27" ht="11.5" hidden="1" customHeight="1" x14ac:dyDescent="0.25">
      <c r="A352"/>
      <c r="AA352"/>
    </row>
    <row r="353" spans="1:27" ht="11.5" hidden="1" customHeight="1" x14ac:dyDescent="0.25">
      <c r="A353"/>
      <c r="AA353"/>
    </row>
    <row r="354" spans="1:27" ht="11.5" hidden="1" customHeight="1" x14ac:dyDescent="0.25">
      <c r="A354"/>
      <c r="AA354"/>
    </row>
    <row r="355" spans="1:27" ht="11.5" hidden="1" customHeight="1" x14ac:dyDescent="0.25">
      <c r="A355"/>
      <c r="AA355"/>
    </row>
    <row r="356" spans="1:27" ht="11.5" hidden="1" customHeight="1" x14ac:dyDescent="0.25">
      <c r="A356"/>
      <c r="AA356"/>
    </row>
    <row r="357" spans="1:27" ht="11.5" hidden="1" customHeight="1" x14ac:dyDescent="0.25">
      <c r="A357"/>
      <c r="AA357"/>
    </row>
    <row r="358" spans="1:27" ht="11.5" hidden="1" customHeight="1" x14ac:dyDescent="0.25">
      <c r="A358"/>
      <c r="AA358"/>
    </row>
    <row r="359" spans="1:27" ht="11.5" hidden="1" customHeight="1" x14ac:dyDescent="0.25">
      <c r="A359"/>
      <c r="AA359"/>
    </row>
    <row r="360" spans="1:27" ht="11.5" hidden="1" customHeight="1" x14ac:dyDescent="0.25">
      <c r="A360"/>
      <c r="AA360"/>
    </row>
    <row r="361" spans="1:27" ht="11.5" hidden="1" customHeight="1" x14ac:dyDescent="0.25">
      <c r="A361"/>
      <c r="AA361"/>
    </row>
    <row r="362" spans="1:27" ht="11.5" hidden="1" customHeight="1" x14ac:dyDescent="0.25">
      <c r="A362"/>
      <c r="AA362"/>
    </row>
    <row r="363" spans="1:27" ht="11.5" hidden="1" customHeight="1" x14ac:dyDescent="0.25">
      <c r="A363"/>
      <c r="AA363"/>
    </row>
    <row r="364" spans="1:27" ht="11.5" hidden="1" customHeight="1" x14ac:dyDescent="0.25">
      <c r="A364"/>
      <c r="AA364"/>
    </row>
    <row r="365" spans="1:27" ht="11.5" hidden="1" customHeight="1" x14ac:dyDescent="0.25">
      <c r="A365"/>
      <c r="AA365"/>
    </row>
    <row r="366" spans="1:27" ht="11.5" hidden="1" customHeight="1" x14ac:dyDescent="0.25">
      <c r="A366"/>
      <c r="AA366"/>
    </row>
    <row r="367" spans="1:27" ht="11.5" hidden="1" customHeight="1" x14ac:dyDescent="0.25">
      <c r="A367"/>
      <c r="AA367"/>
    </row>
    <row r="368" spans="1:27" ht="11.5" hidden="1" customHeight="1" x14ac:dyDescent="0.25">
      <c r="A368"/>
      <c r="AA368"/>
    </row>
    <row r="369" spans="1:27" ht="11.5" hidden="1" customHeight="1" x14ac:dyDescent="0.25">
      <c r="A369"/>
      <c r="AA369"/>
    </row>
    <row r="370" spans="1:27" ht="11.5" hidden="1" customHeight="1" x14ac:dyDescent="0.25">
      <c r="A370"/>
      <c r="AA370"/>
    </row>
    <row r="371" spans="1:27" ht="11.5" hidden="1" customHeight="1" x14ac:dyDescent="0.25">
      <c r="A371"/>
      <c r="AA371"/>
    </row>
    <row r="372" spans="1:27" ht="11.5" hidden="1" customHeight="1" x14ac:dyDescent="0.25">
      <c r="A372"/>
      <c r="AA372"/>
    </row>
    <row r="373" spans="1:27" ht="11.5" hidden="1" customHeight="1" x14ac:dyDescent="0.25">
      <c r="A373"/>
      <c r="AA373"/>
    </row>
    <row r="374" spans="1:27" ht="11.5" hidden="1" customHeight="1" x14ac:dyDescent="0.25">
      <c r="A374"/>
      <c r="AA374"/>
    </row>
    <row r="375" spans="1:27" ht="11.5" hidden="1" customHeight="1" x14ac:dyDescent="0.25">
      <c r="A375"/>
      <c r="AA375"/>
    </row>
    <row r="376" spans="1:27" ht="11.5" hidden="1" customHeight="1" x14ac:dyDescent="0.25">
      <c r="A376"/>
      <c r="AA376"/>
    </row>
    <row r="377" spans="1:27" ht="11.5" hidden="1" customHeight="1" x14ac:dyDescent="0.25">
      <c r="A377"/>
      <c r="AA377"/>
    </row>
    <row r="378" spans="1:27" ht="11.5" hidden="1" customHeight="1" x14ac:dyDescent="0.25">
      <c r="A378"/>
      <c r="AA378"/>
    </row>
    <row r="379" spans="1:27" ht="11.5" hidden="1" customHeight="1" x14ac:dyDescent="0.25">
      <c r="A379"/>
      <c r="AA379"/>
    </row>
    <row r="380" spans="1:27" ht="11.5" hidden="1" customHeight="1" x14ac:dyDescent="0.25">
      <c r="A380"/>
      <c r="AA380"/>
    </row>
    <row r="381" spans="1:27" ht="11.5" hidden="1" customHeight="1" x14ac:dyDescent="0.25">
      <c r="A381"/>
      <c r="AA381"/>
    </row>
    <row r="382" spans="1:27" ht="11.5" hidden="1" customHeight="1" x14ac:dyDescent="0.25">
      <c r="A382"/>
      <c r="AA382"/>
    </row>
    <row r="383" spans="1:27" ht="11.5" hidden="1" customHeight="1" x14ac:dyDescent="0.25">
      <c r="A383"/>
      <c r="AA383"/>
    </row>
    <row r="384" spans="1:27" ht="11.5" hidden="1" customHeight="1" x14ac:dyDescent="0.25">
      <c r="A384"/>
      <c r="AA384"/>
    </row>
    <row r="385" spans="1:27" ht="11.5" hidden="1" customHeight="1" x14ac:dyDescent="0.25">
      <c r="A385"/>
      <c r="AA385"/>
    </row>
    <row r="386" spans="1:27" ht="11.5" hidden="1" customHeight="1" x14ac:dyDescent="0.25">
      <c r="A386"/>
      <c r="AA386"/>
    </row>
    <row r="387" spans="1:27" ht="11.5" hidden="1" customHeight="1" x14ac:dyDescent="0.25">
      <c r="A387"/>
      <c r="AA387"/>
    </row>
    <row r="388" spans="1:27" ht="11.5" hidden="1" customHeight="1" x14ac:dyDescent="0.25">
      <c r="A388"/>
      <c r="AA388"/>
    </row>
    <row r="389" spans="1:27" ht="11.5" hidden="1" customHeight="1" x14ac:dyDescent="0.25">
      <c r="A389"/>
      <c r="AA389"/>
    </row>
    <row r="390" spans="1:27" ht="11.5" hidden="1" customHeight="1" x14ac:dyDescent="0.25">
      <c r="A390"/>
      <c r="AA390"/>
    </row>
    <row r="391" spans="1:27" ht="11.5" hidden="1" customHeight="1" x14ac:dyDescent="0.25">
      <c r="A391"/>
      <c r="AA391"/>
    </row>
    <row r="392" spans="1:27" ht="11.5" hidden="1" customHeight="1" x14ac:dyDescent="0.25">
      <c r="A392"/>
      <c r="AA392"/>
    </row>
    <row r="393" spans="1:27" ht="11.5" hidden="1" customHeight="1" x14ac:dyDescent="0.25">
      <c r="A393"/>
      <c r="AA393"/>
    </row>
    <row r="394" spans="1:27" ht="11.5" hidden="1" customHeight="1" x14ac:dyDescent="0.25">
      <c r="A394"/>
      <c r="AA394"/>
    </row>
    <row r="395" spans="1:27" ht="11.5" hidden="1" customHeight="1" x14ac:dyDescent="0.25">
      <c r="A395"/>
      <c r="AA395"/>
    </row>
    <row r="396" spans="1:27" ht="11.5" hidden="1" customHeight="1" x14ac:dyDescent="0.25">
      <c r="A396"/>
      <c r="AA396"/>
    </row>
    <row r="397" spans="1:27" ht="11.5" hidden="1" customHeight="1" x14ac:dyDescent="0.25">
      <c r="A397"/>
      <c r="AA397"/>
    </row>
    <row r="398" spans="1:27" ht="11.5" hidden="1" customHeight="1" x14ac:dyDescent="0.25">
      <c r="A398"/>
      <c r="AA398"/>
    </row>
    <row r="399" spans="1:27" ht="11.5" hidden="1" customHeight="1" x14ac:dyDescent="0.25">
      <c r="A399"/>
      <c r="AA399"/>
    </row>
    <row r="400" spans="1:27" ht="11.5" hidden="1" customHeight="1" x14ac:dyDescent="0.25">
      <c r="A400"/>
      <c r="AA400"/>
    </row>
    <row r="401" spans="1:27" ht="11.5" hidden="1" customHeight="1" x14ac:dyDescent="0.25">
      <c r="A401"/>
      <c r="AA401"/>
    </row>
    <row r="402" spans="1:27" ht="11.5" hidden="1" customHeight="1" x14ac:dyDescent="0.25">
      <c r="A402"/>
      <c r="AA402"/>
    </row>
    <row r="403" spans="1:27" ht="11.5" hidden="1" customHeight="1" x14ac:dyDescent="0.25">
      <c r="A403"/>
      <c r="AA403"/>
    </row>
    <row r="404" spans="1:27" ht="11.5" hidden="1" customHeight="1" x14ac:dyDescent="0.25">
      <c r="A404"/>
      <c r="AA404"/>
    </row>
    <row r="405" spans="1:27" ht="11.5" hidden="1" customHeight="1" x14ac:dyDescent="0.25">
      <c r="A405"/>
      <c r="AA405"/>
    </row>
    <row r="406" spans="1:27" ht="11.5" hidden="1" customHeight="1" x14ac:dyDescent="0.25">
      <c r="A406"/>
      <c r="AA406"/>
    </row>
    <row r="407" spans="1:27" ht="11.5" hidden="1" customHeight="1" x14ac:dyDescent="0.25">
      <c r="A407"/>
      <c r="AA407"/>
    </row>
    <row r="408" spans="1:27" ht="11.5" hidden="1" customHeight="1" x14ac:dyDescent="0.25">
      <c r="A408"/>
      <c r="AA408"/>
    </row>
    <row r="409" spans="1:27" ht="11.5" hidden="1" customHeight="1" x14ac:dyDescent="0.25">
      <c r="A409"/>
      <c r="AA409"/>
    </row>
    <row r="410" spans="1:27" ht="11.5" hidden="1" customHeight="1" x14ac:dyDescent="0.25">
      <c r="A410"/>
      <c r="AA410"/>
    </row>
    <row r="411" spans="1:27" ht="11.5" hidden="1" customHeight="1" x14ac:dyDescent="0.25">
      <c r="A411"/>
      <c r="AA411"/>
    </row>
    <row r="412" spans="1:27" ht="11.5" hidden="1" customHeight="1" x14ac:dyDescent="0.25">
      <c r="A412"/>
      <c r="AA412"/>
    </row>
    <row r="413" spans="1:27" ht="11.5" hidden="1" customHeight="1" x14ac:dyDescent="0.25">
      <c r="A413"/>
      <c r="AA413"/>
    </row>
    <row r="414" spans="1:27" ht="11.5" hidden="1" customHeight="1" x14ac:dyDescent="0.25">
      <c r="A414"/>
      <c r="AA414"/>
    </row>
    <row r="415" spans="1:27" ht="11.5" hidden="1" customHeight="1" x14ac:dyDescent="0.25">
      <c r="A415"/>
      <c r="AA415"/>
    </row>
    <row r="416" spans="1:27" ht="11.5" hidden="1" customHeight="1" x14ac:dyDescent="0.25">
      <c r="A416"/>
      <c r="AA416"/>
    </row>
    <row r="417" spans="1:27" ht="11.5" hidden="1" customHeight="1" x14ac:dyDescent="0.25">
      <c r="A417"/>
      <c r="AA417"/>
    </row>
    <row r="418" spans="1:27" ht="11.5" hidden="1" customHeight="1" x14ac:dyDescent="0.25">
      <c r="A418"/>
      <c r="AA418"/>
    </row>
    <row r="419" spans="1:27" ht="11.5" hidden="1" customHeight="1" x14ac:dyDescent="0.25">
      <c r="A419"/>
      <c r="AA419"/>
    </row>
    <row r="420" spans="1:27" ht="11.5" hidden="1" customHeight="1" x14ac:dyDescent="0.25">
      <c r="A420"/>
      <c r="AA420"/>
    </row>
    <row r="421" spans="1:27" ht="11.5" hidden="1" customHeight="1" x14ac:dyDescent="0.25">
      <c r="A421"/>
      <c r="AA421"/>
    </row>
    <row r="422" spans="1:27" ht="11.5" hidden="1" customHeight="1" x14ac:dyDescent="0.25">
      <c r="A422"/>
      <c r="AA422"/>
    </row>
    <row r="423" spans="1:27" ht="11.5" hidden="1" customHeight="1" x14ac:dyDescent="0.25">
      <c r="A423"/>
      <c r="AA423"/>
    </row>
    <row r="424" spans="1:27" ht="11.5" hidden="1" customHeight="1" x14ac:dyDescent="0.25">
      <c r="A424"/>
      <c r="AA424"/>
    </row>
    <row r="425" spans="1:27" ht="11.5" hidden="1" customHeight="1" x14ac:dyDescent="0.25">
      <c r="A425"/>
      <c r="AA425"/>
    </row>
    <row r="426" spans="1:27" ht="11.5" hidden="1" customHeight="1" x14ac:dyDescent="0.25">
      <c r="A426"/>
      <c r="AA426"/>
    </row>
    <row r="427" spans="1:27" ht="11.5" hidden="1" customHeight="1" x14ac:dyDescent="0.25">
      <c r="A427"/>
      <c r="AA427"/>
    </row>
    <row r="428" spans="1:27" ht="11.5" hidden="1" customHeight="1" x14ac:dyDescent="0.25">
      <c r="A428"/>
      <c r="AA428"/>
    </row>
    <row r="429" spans="1:27" ht="11.5" hidden="1" customHeight="1" x14ac:dyDescent="0.25">
      <c r="A429"/>
      <c r="AA429"/>
    </row>
    <row r="430" spans="1:27" ht="11.5" hidden="1" customHeight="1" x14ac:dyDescent="0.25">
      <c r="A430"/>
      <c r="AA430"/>
    </row>
    <row r="431" spans="1:27" ht="11.5" hidden="1" customHeight="1" x14ac:dyDescent="0.25">
      <c r="A431"/>
      <c r="AA431"/>
    </row>
    <row r="432" spans="1:27" ht="11.5" hidden="1" customHeight="1" x14ac:dyDescent="0.25">
      <c r="A432"/>
      <c r="AA432"/>
    </row>
    <row r="433" spans="1:27" ht="11.5" hidden="1" customHeight="1" x14ac:dyDescent="0.25">
      <c r="A433"/>
      <c r="AA433"/>
    </row>
    <row r="434" spans="1:27" ht="11.5" hidden="1" customHeight="1" x14ac:dyDescent="0.25">
      <c r="A434"/>
      <c r="AA434"/>
    </row>
    <row r="435" spans="1:27" ht="11.5" hidden="1" customHeight="1" x14ac:dyDescent="0.25">
      <c r="A435"/>
      <c r="AA435"/>
    </row>
    <row r="436" spans="1:27" ht="11.5" hidden="1" customHeight="1" x14ac:dyDescent="0.25">
      <c r="A436"/>
      <c r="AA436"/>
    </row>
    <row r="437" spans="1:27" ht="11.5" hidden="1" customHeight="1" x14ac:dyDescent="0.25">
      <c r="A437"/>
      <c r="AA437"/>
    </row>
    <row r="438" spans="1:27" ht="11.5" hidden="1" customHeight="1" x14ac:dyDescent="0.25">
      <c r="A438"/>
      <c r="AA438"/>
    </row>
    <row r="439" spans="1:27" ht="11.5" hidden="1" customHeight="1" x14ac:dyDescent="0.25">
      <c r="A439"/>
      <c r="AA439"/>
    </row>
    <row r="440" spans="1:27" ht="11.5" hidden="1" customHeight="1" x14ac:dyDescent="0.25">
      <c r="A440"/>
      <c r="AA440"/>
    </row>
    <row r="441" spans="1:27" ht="11.5" hidden="1" customHeight="1" x14ac:dyDescent="0.25">
      <c r="A441"/>
      <c r="AA441"/>
    </row>
    <row r="442" spans="1:27" ht="11.5" hidden="1" customHeight="1" x14ac:dyDescent="0.25">
      <c r="A442"/>
      <c r="AA442"/>
    </row>
    <row r="443" spans="1:27" ht="11.5" hidden="1" customHeight="1" x14ac:dyDescent="0.25">
      <c r="A443"/>
      <c r="AA443"/>
    </row>
    <row r="444" spans="1:27" ht="11.5" hidden="1" customHeight="1" x14ac:dyDescent="0.25">
      <c r="A444"/>
      <c r="AA444"/>
    </row>
    <row r="445" spans="1:27" ht="11.5" hidden="1" customHeight="1" x14ac:dyDescent="0.25">
      <c r="A445"/>
      <c r="AA445"/>
    </row>
    <row r="446" spans="1:27" ht="11.5" hidden="1" customHeight="1" x14ac:dyDescent="0.25">
      <c r="A446"/>
      <c r="AA446"/>
    </row>
    <row r="447" spans="1:27" ht="11.5" hidden="1" customHeight="1" x14ac:dyDescent="0.25">
      <c r="A447"/>
      <c r="AA447"/>
    </row>
    <row r="448" spans="1:27" ht="11.5" hidden="1" customHeight="1" x14ac:dyDescent="0.25">
      <c r="A448"/>
      <c r="AA448"/>
    </row>
    <row r="449" spans="1:27" ht="11.5" hidden="1" customHeight="1" x14ac:dyDescent="0.25">
      <c r="A449"/>
      <c r="AA449"/>
    </row>
    <row r="450" spans="1:27" ht="11.5" hidden="1" customHeight="1" x14ac:dyDescent="0.25">
      <c r="A450"/>
      <c r="AA450"/>
    </row>
    <row r="451" spans="1:27" ht="11.5" hidden="1" customHeight="1" x14ac:dyDescent="0.25">
      <c r="A451"/>
      <c r="AA451"/>
    </row>
    <row r="452" spans="1:27" ht="11.5" hidden="1" customHeight="1" x14ac:dyDescent="0.25">
      <c r="A452"/>
      <c r="AA452"/>
    </row>
    <row r="453" spans="1:27" ht="11.5" hidden="1" customHeight="1" x14ac:dyDescent="0.25">
      <c r="A453"/>
      <c r="AA453"/>
    </row>
    <row r="454" spans="1:27" ht="11.5" hidden="1" customHeight="1" x14ac:dyDescent="0.25">
      <c r="A454"/>
      <c r="AA454"/>
    </row>
    <row r="455" spans="1:27" ht="11.5" hidden="1" customHeight="1" x14ac:dyDescent="0.25">
      <c r="A455"/>
      <c r="AA455"/>
    </row>
    <row r="456" spans="1:27" ht="11.5" hidden="1" customHeight="1" x14ac:dyDescent="0.25">
      <c r="A456"/>
      <c r="AA456"/>
    </row>
    <row r="457" spans="1:27" ht="11.5" hidden="1" customHeight="1" x14ac:dyDescent="0.25">
      <c r="A457"/>
      <c r="AA457"/>
    </row>
    <row r="458" spans="1:27" ht="11.5" hidden="1" customHeight="1" x14ac:dyDescent="0.25">
      <c r="A458"/>
      <c r="AA458"/>
    </row>
    <row r="459" spans="1:27" ht="11.5" hidden="1" customHeight="1" x14ac:dyDescent="0.25">
      <c r="A459"/>
      <c r="AA459"/>
    </row>
    <row r="460" spans="1:27" ht="11.5" hidden="1" customHeight="1" x14ac:dyDescent="0.25">
      <c r="A460"/>
      <c r="AA460"/>
    </row>
    <row r="461" spans="1:27" ht="11.5" hidden="1" customHeight="1" x14ac:dyDescent="0.25">
      <c r="A461"/>
      <c r="AA461"/>
    </row>
    <row r="462" spans="1:27" ht="11.5" hidden="1" customHeight="1" x14ac:dyDescent="0.25">
      <c r="A462"/>
      <c r="AA462"/>
    </row>
    <row r="463" spans="1:27" ht="11.5" hidden="1" customHeight="1" x14ac:dyDescent="0.25">
      <c r="A463"/>
      <c r="AA463"/>
    </row>
    <row r="464" spans="1:27" ht="11.5" hidden="1" customHeight="1" x14ac:dyDescent="0.25">
      <c r="A464"/>
      <c r="AA464"/>
    </row>
    <row r="465" spans="1:27" ht="11.5" hidden="1" customHeight="1" x14ac:dyDescent="0.25">
      <c r="A465"/>
      <c r="AA465"/>
    </row>
    <row r="466" spans="1:27" ht="11.5" hidden="1" customHeight="1" x14ac:dyDescent="0.25">
      <c r="A466"/>
      <c r="AA466"/>
    </row>
    <row r="467" spans="1:27" ht="11.5" hidden="1" customHeight="1" x14ac:dyDescent="0.25">
      <c r="A467"/>
      <c r="AA467"/>
    </row>
    <row r="468" spans="1:27" ht="11.5" hidden="1" customHeight="1" x14ac:dyDescent="0.25">
      <c r="A468"/>
      <c r="AA468"/>
    </row>
    <row r="469" spans="1:27" ht="11.5" hidden="1" customHeight="1" x14ac:dyDescent="0.25">
      <c r="A469"/>
      <c r="AA469"/>
    </row>
    <row r="470" spans="1:27" ht="11.5" hidden="1" customHeight="1" x14ac:dyDescent="0.25">
      <c r="A470"/>
      <c r="AA470"/>
    </row>
    <row r="471" spans="1:27" ht="11.5" hidden="1" customHeight="1" x14ac:dyDescent="0.25">
      <c r="A471"/>
      <c r="AA471"/>
    </row>
    <row r="472" spans="1:27" ht="11.5" hidden="1" customHeight="1" x14ac:dyDescent="0.25">
      <c r="A472"/>
      <c r="AA472"/>
    </row>
    <row r="473" spans="1:27" ht="11.5" hidden="1" customHeight="1" x14ac:dyDescent="0.25">
      <c r="A473"/>
      <c r="AA473"/>
    </row>
    <row r="474" spans="1:27" ht="11.5" hidden="1" customHeight="1" x14ac:dyDescent="0.25">
      <c r="A474"/>
      <c r="AA474"/>
    </row>
    <row r="475" spans="1:27" ht="11.5" hidden="1" customHeight="1" x14ac:dyDescent="0.25">
      <c r="A475"/>
      <c r="AA475"/>
    </row>
    <row r="476" spans="1:27" ht="11.5" hidden="1" customHeight="1" x14ac:dyDescent="0.25">
      <c r="A476"/>
      <c r="AA476"/>
    </row>
    <row r="477" spans="1:27" ht="11.5" hidden="1" customHeight="1" x14ac:dyDescent="0.25">
      <c r="A477"/>
      <c r="AA477"/>
    </row>
    <row r="478" spans="1:27" ht="11.5" hidden="1" customHeight="1" x14ac:dyDescent="0.25">
      <c r="A478"/>
      <c r="AA478"/>
    </row>
    <row r="479" spans="1:27" ht="11.5" hidden="1" customHeight="1" x14ac:dyDescent="0.25">
      <c r="A479"/>
      <c r="AA479"/>
    </row>
    <row r="480" spans="1:27" ht="11.5" hidden="1" customHeight="1" x14ac:dyDescent="0.25">
      <c r="A480"/>
      <c r="AA480"/>
    </row>
    <row r="481" spans="1:27" ht="11.5" hidden="1" customHeight="1" x14ac:dyDescent="0.25">
      <c r="A481"/>
      <c r="AA481"/>
    </row>
    <row r="482" spans="1:27" ht="11.5" hidden="1" customHeight="1" x14ac:dyDescent="0.25">
      <c r="A482"/>
      <c r="AA482"/>
    </row>
    <row r="483" spans="1:27" ht="11.5" hidden="1" customHeight="1" x14ac:dyDescent="0.25">
      <c r="A483"/>
      <c r="AA483"/>
    </row>
    <row r="484" spans="1:27" ht="11.5" hidden="1" customHeight="1" x14ac:dyDescent="0.25">
      <c r="A484"/>
      <c r="AA484"/>
    </row>
    <row r="485" spans="1:27" ht="11.5" hidden="1" customHeight="1" x14ac:dyDescent="0.25">
      <c r="A485"/>
      <c r="AA485"/>
    </row>
    <row r="486" spans="1:27" ht="11.5" hidden="1" customHeight="1" x14ac:dyDescent="0.25">
      <c r="A486"/>
      <c r="AA486"/>
    </row>
    <row r="487" spans="1:27" ht="11.5" hidden="1" customHeight="1" x14ac:dyDescent="0.25">
      <c r="A487"/>
      <c r="AA487"/>
    </row>
    <row r="488" spans="1:27" ht="11.5" hidden="1" customHeight="1" x14ac:dyDescent="0.25">
      <c r="A488"/>
      <c r="AA488"/>
    </row>
    <row r="489" spans="1:27" ht="11.5" hidden="1" customHeight="1" x14ac:dyDescent="0.25">
      <c r="A489"/>
      <c r="AA489"/>
    </row>
    <row r="490" spans="1:27" ht="11.5" hidden="1" customHeight="1" x14ac:dyDescent="0.25">
      <c r="A490"/>
      <c r="AA490"/>
    </row>
    <row r="491" spans="1:27" ht="11.5" hidden="1" customHeight="1" x14ac:dyDescent="0.25">
      <c r="A491"/>
      <c r="AA491"/>
    </row>
    <row r="492" spans="1:27" ht="11.5" hidden="1" customHeight="1" x14ac:dyDescent="0.25">
      <c r="A492"/>
      <c r="AA492"/>
    </row>
    <row r="493" spans="1:27" ht="11.5" hidden="1" customHeight="1" x14ac:dyDescent="0.25">
      <c r="A493"/>
      <c r="AA493"/>
    </row>
    <row r="494" spans="1:27" ht="11.5" hidden="1" customHeight="1" x14ac:dyDescent="0.25">
      <c r="A494"/>
      <c r="AA494"/>
    </row>
    <row r="495" spans="1:27" ht="11.5" hidden="1" customHeight="1" x14ac:dyDescent="0.25">
      <c r="A495"/>
      <c r="AA495"/>
    </row>
    <row r="496" spans="1:27" ht="11.5" hidden="1" customHeight="1" x14ac:dyDescent="0.25">
      <c r="A496"/>
      <c r="AA496"/>
    </row>
    <row r="497" spans="1:55" ht="11.5" hidden="1" customHeight="1" x14ac:dyDescent="0.25">
      <c r="A497"/>
      <c r="AA497"/>
    </row>
    <row r="498" spans="1:55" ht="11.5" hidden="1" customHeight="1" x14ac:dyDescent="0.25">
      <c r="A498"/>
      <c r="AA498"/>
    </row>
    <row r="499" spans="1:55" ht="11.5" hidden="1" customHeight="1" x14ac:dyDescent="0.25">
      <c r="A499"/>
      <c r="AA499"/>
    </row>
    <row r="500" spans="1:55" ht="11.5" hidden="1" customHeight="1" x14ac:dyDescent="0.25">
      <c r="A500"/>
      <c r="AA500"/>
    </row>
    <row r="501" spans="1:55" ht="11.5" hidden="1" customHeight="1" x14ac:dyDescent="0.25">
      <c r="A501"/>
      <c r="AA501"/>
    </row>
    <row r="502" spans="1:55" ht="11.5" hidden="1" customHeight="1" x14ac:dyDescent="0.25">
      <c r="A502"/>
      <c r="AA502"/>
    </row>
    <row r="503" spans="1:55" ht="11.5" hidden="1" customHeight="1" x14ac:dyDescent="0.25">
      <c r="A503"/>
      <c r="AA503"/>
    </row>
    <row r="504" spans="1:55" ht="11.5" hidden="1" customHeight="1" x14ac:dyDescent="0.25">
      <c r="A504"/>
      <c r="AA504"/>
    </row>
    <row r="505" spans="1:55" ht="11.5" hidden="1" customHeight="1" x14ac:dyDescent="0.25">
      <c r="A505"/>
      <c r="AA505"/>
    </row>
    <row r="506" spans="1:55" ht="11.5" hidden="1" customHeight="1" x14ac:dyDescent="0.35">
      <c r="A506"/>
      <c r="AA506"/>
      <c r="BA506" s="16"/>
      <c r="BC506" s="16"/>
    </row>
    <row r="507" spans="1:55" ht="11.5" hidden="1" customHeight="1" x14ac:dyDescent="0.25">
      <c r="A507"/>
      <c r="AA507"/>
    </row>
    <row r="508" spans="1:55" ht="11.5" hidden="1" customHeight="1" x14ac:dyDescent="0.25">
      <c r="A508"/>
      <c r="AA508"/>
    </row>
    <row r="509" spans="1:55" ht="11.5" hidden="1" customHeight="1" x14ac:dyDescent="0.25">
      <c r="A509"/>
      <c r="AA509"/>
    </row>
    <row r="510" spans="1:55" ht="11.5" hidden="1" customHeight="1" x14ac:dyDescent="0.25">
      <c r="A510"/>
      <c r="AA510"/>
    </row>
    <row r="511" spans="1:55" ht="11.5" hidden="1" customHeight="1" x14ac:dyDescent="0.25">
      <c r="A511"/>
      <c r="AA511"/>
    </row>
    <row r="512" spans="1:55" ht="11.5" hidden="1" customHeight="1" x14ac:dyDescent="0.25">
      <c r="A512"/>
      <c r="AA512"/>
    </row>
    <row r="513" spans="1:27" ht="11.5" hidden="1" customHeight="1" x14ac:dyDescent="0.25">
      <c r="A513"/>
      <c r="AA513"/>
    </row>
    <row r="514" spans="1:27" ht="11.5" hidden="1" customHeight="1" x14ac:dyDescent="0.25">
      <c r="A514"/>
      <c r="AA514"/>
    </row>
    <row r="515" spans="1:27" ht="11.5" hidden="1" customHeight="1" x14ac:dyDescent="0.25">
      <c r="A515"/>
      <c r="AA515"/>
    </row>
    <row r="516" spans="1:27" ht="11.5" hidden="1" customHeight="1" x14ac:dyDescent="0.25">
      <c r="A516"/>
      <c r="AA516"/>
    </row>
    <row r="517" spans="1:27" ht="11.5" hidden="1" customHeight="1" x14ac:dyDescent="0.25">
      <c r="A517"/>
      <c r="AA517"/>
    </row>
    <row r="518" spans="1:27" ht="11.5" hidden="1" customHeight="1" x14ac:dyDescent="0.25">
      <c r="A518"/>
      <c r="AA518"/>
    </row>
    <row r="519" spans="1:27" ht="11.5" hidden="1" customHeight="1" x14ac:dyDescent="0.25">
      <c r="A519"/>
      <c r="AA519"/>
    </row>
    <row r="520" spans="1:27" ht="11.5" hidden="1" customHeight="1" x14ac:dyDescent="0.25">
      <c r="A520"/>
      <c r="AA520"/>
    </row>
    <row r="521" spans="1:27" ht="11.5" hidden="1" customHeight="1" x14ac:dyDescent="0.25">
      <c r="A521"/>
      <c r="AA521"/>
    </row>
    <row r="522" spans="1:27" ht="11.5" hidden="1" customHeight="1" x14ac:dyDescent="0.25">
      <c r="A522"/>
      <c r="AA522"/>
    </row>
    <row r="523" spans="1:27" ht="11.5" hidden="1" customHeight="1" x14ac:dyDescent="0.25">
      <c r="A523"/>
      <c r="AA523"/>
    </row>
    <row r="524" spans="1:27" ht="11.5" hidden="1" customHeight="1" x14ac:dyDescent="0.25">
      <c r="A524"/>
      <c r="AA524"/>
    </row>
    <row r="525" spans="1:27" ht="11.5" hidden="1" customHeight="1" x14ac:dyDescent="0.25">
      <c r="A525"/>
      <c r="AA525"/>
    </row>
    <row r="526" spans="1:27" ht="11.5" hidden="1" customHeight="1" x14ac:dyDescent="0.25">
      <c r="A526"/>
      <c r="AA526"/>
    </row>
    <row r="527" spans="1:27" ht="11.5" hidden="1" customHeight="1" x14ac:dyDescent="0.25">
      <c r="A527"/>
      <c r="AA527"/>
    </row>
    <row r="528" spans="1:27" ht="11.5" hidden="1" customHeight="1" x14ac:dyDescent="0.25">
      <c r="A528"/>
      <c r="AA528"/>
    </row>
    <row r="529" spans="1:78" ht="11.5" hidden="1" customHeight="1" x14ac:dyDescent="0.25">
      <c r="A529"/>
      <c r="AA529"/>
    </row>
    <row r="530" spans="1:78" ht="11.5" hidden="1" customHeight="1" x14ac:dyDescent="0.25">
      <c r="A530"/>
      <c r="AA530"/>
    </row>
    <row r="531" spans="1:78" ht="11.5" hidden="1" customHeight="1" x14ac:dyDescent="0.25">
      <c r="A531"/>
      <c r="AA531"/>
    </row>
    <row r="532" spans="1:78" ht="11.5" hidden="1" customHeight="1" x14ac:dyDescent="0.25">
      <c r="A532"/>
      <c r="AA532"/>
    </row>
    <row r="533" spans="1:78" ht="11.5" hidden="1" customHeight="1" x14ac:dyDescent="0.25">
      <c r="A533"/>
      <c r="AA533"/>
    </row>
    <row r="534" spans="1:78" ht="11.5" hidden="1" customHeight="1" x14ac:dyDescent="0.25">
      <c r="A534"/>
      <c r="AA534"/>
    </row>
    <row r="535" spans="1:78" ht="11.5" hidden="1" customHeight="1" x14ac:dyDescent="0.25">
      <c r="A535"/>
      <c r="AA535"/>
    </row>
    <row r="536" spans="1:78" ht="11.5" hidden="1" customHeight="1" x14ac:dyDescent="0.25">
      <c r="A536"/>
      <c r="AA536"/>
      <c r="AW536" t="s">
        <v>33</v>
      </c>
    </row>
    <row r="537" spans="1:78" ht="11.5" hidden="1" customHeight="1" x14ac:dyDescent="0.25">
      <c r="A537"/>
      <c r="AA537"/>
      <c r="AM537" s="3"/>
    </row>
    <row r="538" spans="1:78" ht="11.5" hidden="1" customHeight="1" x14ac:dyDescent="0.4">
      <c r="A538"/>
      <c r="Z538" s="4"/>
      <c r="AA538" s="13"/>
      <c r="AB538" s="4"/>
      <c r="AC538" s="4"/>
      <c r="AD538" s="4"/>
      <c r="AE538" s="4"/>
      <c r="AF538" s="4"/>
      <c r="AG538" s="4"/>
      <c r="AH538" s="4"/>
      <c r="AI538" s="4"/>
      <c r="AJ538" s="4"/>
      <c r="AK538" s="4"/>
      <c r="AL538" s="4"/>
      <c r="BA538" s="23" t="s">
        <v>1570</v>
      </c>
    </row>
    <row r="539" spans="1:78" ht="11.5" hidden="1" customHeight="1" thickBot="1" x14ac:dyDescent="0.3">
      <c r="A539"/>
      <c r="Z539" s="4"/>
      <c r="AA539" s="13"/>
      <c r="AB539" s="4"/>
      <c r="AC539" s="4"/>
      <c r="AD539" s="4"/>
      <c r="AE539" s="4"/>
      <c r="AF539" s="4"/>
      <c r="AG539" s="4"/>
      <c r="AH539" s="4"/>
      <c r="AI539" s="4"/>
      <c r="AJ539" s="4"/>
      <c r="AK539" s="4"/>
      <c r="AL539" s="4"/>
    </row>
    <row r="540" spans="1:78" ht="11.5" hidden="1" customHeight="1" thickBot="1" x14ac:dyDescent="0.35">
      <c r="A540"/>
      <c r="Z540" s="4"/>
      <c r="AA540" s="12"/>
      <c r="AB540" s="4"/>
      <c r="AC540" s="4"/>
      <c r="AD540" s="4"/>
      <c r="AE540" s="4"/>
      <c r="AF540" s="4"/>
      <c r="AG540" s="4"/>
      <c r="AH540" s="4"/>
      <c r="AI540" s="4"/>
      <c r="AJ540" s="4"/>
      <c r="AK540" s="4"/>
      <c r="AL540" s="4"/>
      <c r="AZ540" s="514">
        <v>1</v>
      </c>
      <c r="BA540" s="515">
        <v>2</v>
      </c>
      <c r="BB540" s="516">
        <v>3</v>
      </c>
      <c r="BC540" s="515">
        <v>4</v>
      </c>
      <c r="BD540" s="516">
        <v>5</v>
      </c>
      <c r="BE540" s="515">
        <v>6</v>
      </c>
      <c r="BF540" s="516">
        <v>7</v>
      </c>
      <c r="BG540" s="516">
        <v>8</v>
      </c>
      <c r="BH540" s="515">
        <v>9</v>
      </c>
      <c r="BI540" s="516">
        <v>10</v>
      </c>
      <c r="BJ540" s="517">
        <v>11</v>
      </c>
      <c r="BK540" s="518">
        <v>12</v>
      </c>
      <c r="BL540" s="519">
        <v>13</v>
      </c>
      <c r="BM540" s="515">
        <v>14</v>
      </c>
      <c r="BN540" s="517">
        <v>15</v>
      </c>
      <c r="BO540" s="518">
        <v>16</v>
      </c>
      <c r="BP540" s="519">
        <v>17</v>
      </c>
      <c r="BQ540" s="515">
        <v>18</v>
      </c>
      <c r="BR540" s="516">
        <v>19</v>
      </c>
      <c r="BS540" s="516">
        <v>20</v>
      </c>
      <c r="BT540" s="520">
        <v>21</v>
      </c>
      <c r="BU540" s="520">
        <v>22</v>
      </c>
      <c r="BV540" s="521">
        <v>23</v>
      </c>
      <c r="BW540" s="520">
        <v>24</v>
      </c>
      <c r="BX540" s="522">
        <v>25</v>
      </c>
      <c r="BY540" s="523">
        <v>26</v>
      </c>
    </row>
    <row r="541" spans="1:78" ht="129" hidden="1" customHeight="1" thickBot="1" x14ac:dyDescent="0.4">
      <c r="A541"/>
      <c r="Z541" s="4"/>
      <c r="AA541" s="12"/>
      <c r="AB541" s="4"/>
      <c r="AC541" s="4"/>
      <c r="AD541" s="4"/>
      <c r="AE541" s="4"/>
      <c r="AF541" s="4"/>
      <c r="AG541" s="4"/>
      <c r="AH541" s="4"/>
      <c r="AI541" s="4"/>
      <c r="AJ541" s="4"/>
      <c r="AK541" s="4"/>
      <c r="AL541" s="4"/>
      <c r="AZ541" s="15" t="s">
        <v>44</v>
      </c>
      <c r="BA541" s="524" t="str">
        <f>$B29</f>
        <v>Education services</v>
      </c>
      <c r="BB541" s="524" t="str">
        <f>$B30</f>
        <v>Highways and transport services</v>
      </c>
      <c r="BC541" s="524" t="str">
        <f>$B31</f>
        <v>Children Social Care</v>
      </c>
      <c r="BD541" s="524" t="str">
        <f>$B34</f>
        <v>Housing services (GFRA only)</v>
      </c>
      <c r="BE541" s="524" t="str">
        <f>$B35</f>
        <v>Cultural and related services</v>
      </c>
      <c r="BF541" s="524" t="str">
        <f>$B36</f>
        <v>Environmental and regulatory services</v>
      </c>
      <c r="BG541" s="525" t="s">
        <v>1571</v>
      </c>
      <c r="BH541" s="524" t="str">
        <f>$B38</f>
        <v>Police services</v>
      </c>
      <c r="BI541" s="524" t="str">
        <f>$B39</f>
        <v>Fire and rescue services</v>
      </c>
      <c r="BJ541" s="524" t="str">
        <f>$B32</f>
        <v>Adult Social Care</v>
      </c>
      <c r="BK541" s="24" t="s">
        <v>84</v>
      </c>
      <c r="BL541" s="526" t="str">
        <f>$B52</f>
        <v>Integrated Transport Authority levy (- for authorities for which this is an income, + for others)</v>
      </c>
      <c r="BM541" s="526" t="str">
        <f>$B53</f>
        <v>Waste Disposal Authority levy (- for authorities for which this is an income, + for others)</v>
      </c>
      <c r="BN541" s="526" t="str">
        <f>$B54</f>
        <v xml:space="preserve">London Pensions Fund Authority levy </v>
      </c>
      <c r="BO541" s="24" t="s">
        <v>84</v>
      </c>
      <c r="BP541" s="526" t="str">
        <f>$B48</f>
        <v>Contribution to the HRA re items shared by the whole community</v>
      </c>
      <c r="BQ541" s="526" t="str">
        <f>$B44</f>
        <v>Housing benefits: rent allowances - mandatory payments</v>
      </c>
      <c r="BR541" s="526" t="str">
        <f>$B45</f>
        <v>Housing benefits: non-HRA rent rebates - mandatory payments</v>
      </c>
      <c r="BS541" s="527" t="s">
        <v>1572</v>
      </c>
      <c r="BT541" s="528" t="s">
        <v>1573</v>
      </c>
      <c r="BU541" s="529" t="s">
        <v>1574</v>
      </c>
      <c r="BV541" s="530" t="str">
        <f>$B64</f>
        <v>Levy: Environment Agency flood defence: payments(+) receipts(-)</v>
      </c>
      <c r="BW541" s="528" t="str">
        <f>$B121</f>
        <v>Schools reserves level</v>
      </c>
      <c r="BX541" s="528" t="str">
        <f>$B125</f>
        <v>Other earmarked financial reserves level (including exceptional elements)</v>
      </c>
      <c r="BY541" s="528" t="str">
        <f>$B138</f>
        <v>Unallocated financial reserves level</v>
      </c>
    </row>
    <row r="542" spans="1:78" ht="11.5" hidden="1" customHeight="1" thickBot="1" x14ac:dyDescent="0.45">
      <c r="A542"/>
      <c r="Z542" s="4"/>
      <c r="AZ542" s="649" t="e">
        <f>VLOOKUP($A$20,LA_list,5,FALSE)</f>
        <v>#N/A</v>
      </c>
      <c r="BA542" s="14" t="e">
        <f>VLOOKUP(VLOOKUP($A$20,LA_list,5,FALSE),CLASS_CHECK,2,FALSE)</f>
        <v>#N/A</v>
      </c>
      <c r="BB542" s="14" t="e">
        <f>VLOOKUP(VLOOKUP($A$20,LA_list,5,FALSE),CLASS_CHECK,3,FALSE)</f>
        <v>#N/A</v>
      </c>
      <c r="BC542" s="14" t="e">
        <f>VLOOKUP(VLOOKUP($A$20,LA_list,5,FALSE),CLASS_CHECK,4,FALSE)</f>
        <v>#N/A</v>
      </c>
      <c r="BD542" s="14" t="e">
        <f>VLOOKUP(VLOOKUP($A$20,LA_list,5,FALSE),CLASS_CHECK,5,FALSE)</f>
        <v>#N/A</v>
      </c>
      <c r="BE542" s="14" t="e">
        <f>VLOOKUP(VLOOKUP($A$20,LA_list,5,FALSE),CLASS_CHECK,6,FALSE)</f>
        <v>#N/A</v>
      </c>
      <c r="BF542" s="14" t="e">
        <f>VLOOKUP(VLOOKUP($A$20,LA_list,5,FALSE),CLASS_CHECK,7,FALSE)</f>
        <v>#N/A</v>
      </c>
      <c r="BG542" s="14" t="e">
        <f>VLOOKUP(VLOOKUP($A$20,LA_list,5,FALSE),CLASS_CHECK,8,FALSE)</f>
        <v>#N/A</v>
      </c>
      <c r="BH542" s="14" t="e">
        <f>VLOOKUP(VLOOKUP($A$20,LA_list,5,FALSE),CLASS_CHECK,9,FALSE)</f>
        <v>#N/A</v>
      </c>
      <c r="BI542" s="14" t="e">
        <f>VLOOKUP(VLOOKUP($A$20,LA_list,5,FALSE),CLASS_CHECK,10,FALSE)</f>
        <v>#N/A</v>
      </c>
      <c r="BJ542" s="14" t="e">
        <f>VLOOKUP(VLOOKUP($A$20,LA_list,5,FALSE),CLASS_CHECK,11,FALSE)</f>
        <v>#N/A</v>
      </c>
      <c r="BK542" s="25" t="s">
        <v>84</v>
      </c>
      <c r="BL542" s="14" t="e">
        <f>VLOOKUP(VLOOKUP($A$20,LA_list,5,FALSE),CLASS_CHECK,13,FALSE)</f>
        <v>#N/A</v>
      </c>
      <c r="BM542" s="14" t="e">
        <f>VLOOKUP(VLOOKUP($A$20,LA_list,5,FALSE),CLASS_CHECK,14,FALSE)</f>
        <v>#N/A</v>
      </c>
      <c r="BN542" s="14" t="e">
        <f>VLOOKUP(VLOOKUP($A$20,LA_list,5,FALSE),CLASS_CHECK,15,FALSE)</f>
        <v>#N/A</v>
      </c>
      <c r="BO542" s="25" t="s">
        <v>84</v>
      </c>
      <c r="BP542" s="14" t="e">
        <f>VLOOKUP(VLOOKUP($A$20,LA_list,5,FALSE),CLASS_CHECK,17,FALSE)</f>
        <v>#N/A</v>
      </c>
      <c r="BQ542" s="14" t="e">
        <f>VLOOKUP(VLOOKUP($A$20,LA_list,5,FALSE),CLASS_CHECK,18,FALSE)</f>
        <v>#N/A</v>
      </c>
      <c r="BR542" s="14" t="e">
        <f>VLOOKUP(VLOOKUP($A$20,LA_list,5,FALSE),CLASS_CHECK,19,FALSE)</f>
        <v>#N/A</v>
      </c>
      <c r="BS542" s="14" t="e">
        <f>VLOOKUP(VLOOKUP($A$20,LA_list,5,FALSE),CLASS_CHECK,20,FALSE)</f>
        <v>#N/A</v>
      </c>
      <c r="BT542" s="360" t="e">
        <f>VLOOKUP(VLOOKUP($A$20,LA_list,5,FALSE),CLASS_CHECK,21,FALSE)</f>
        <v>#N/A</v>
      </c>
      <c r="BU542" s="360" t="e">
        <f>VLOOKUP(VLOOKUP($A$20,LA_list,5,FALSE),CLASS_CHECK,22,FALSE)</f>
        <v>#N/A</v>
      </c>
      <c r="BV542" s="364" t="e">
        <f>VLOOKUP(VLOOKUP($A$20,LA_list,5,FALSE),CLASS_CHECK,23,FALSE)</f>
        <v>#N/A</v>
      </c>
      <c r="BW542" s="360" t="e">
        <f>VLOOKUP(VLOOKUP($A$20,LA_list,5,FALSE),CLASS_CHECK,24,FALSE)</f>
        <v>#N/A</v>
      </c>
      <c r="BX542" s="360" t="e">
        <f>VLOOKUP(VLOOKUP($A$20,LA_list,5,FALSE),CLASS_CHECK,25,FALSE)</f>
        <v>#N/A</v>
      </c>
      <c r="BY542" s="360" t="e">
        <f>VLOOKUP(VLOOKUP($A$20,LA_list,5,FALSE),CLASS_CHECK,26,FALSE)</f>
        <v>#N/A</v>
      </c>
      <c r="BZ542" s="8" t="s">
        <v>84</v>
      </c>
    </row>
    <row r="543" spans="1:78" ht="11.5" hidden="1" customHeight="1" thickBot="1" x14ac:dyDescent="0.4">
      <c r="A543"/>
      <c r="AZ543" s="73"/>
      <c r="BA543" s="531" t="str">
        <f>"RS LINE " &amp; $A29</f>
        <v>RS LINE 190</v>
      </c>
      <c r="BB543" s="532" t="str">
        <f>"RS LINE " &amp; $A30</f>
        <v>RS LINE 290</v>
      </c>
      <c r="BC543" s="532" t="str">
        <f>"RS LINE " &amp; $A31</f>
        <v>RS LINE 330</v>
      </c>
      <c r="BD543" s="532" t="str">
        <f>"RS LINE " &amp; $A34</f>
        <v>RS LINE 490</v>
      </c>
      <c r="BE543" s="532" t="str">
        <f>"RS LINE " &amp; $A35</f>
        <v>RS LINE 509</v>
      </c>
      <c r="BF543" s="532" t="str">
        <f>"RS LINE " &amp; $A36</f>
        <v>RS LINE 590</v>
      </c>
      <c r="BG543" s="532" t="str">
        <f>"RS LINE " &amp; $A37</f>
        <v>RS LINE 599</v>
      </c>
      <c r="BH543" s="532" t="str">
        <f>"RS LINE " &amp; $A38</f>
        <v>RS LINE 601</v>
      </c>
      <c r="BI543" s="532" t="str">
        <f>"RS LINE " &amp; $A39</f>
        <v>RS LINE 602</v>
      </c>
      <c r="BJ543" s="532" t="str">
        <f>"RS LINE " &amp; $A32</f>
        <v>RS LINE 360</v>
      </c>
      <c r="BK543" s="56" t="s">
        <v>84</v>
      </c>
      <c r="BL543" s="533" t="str">
        <f>"RS LINE " &amp; $A52</f>
        <v>RS LINE 722</v>
      </c>
      <c r="BM543" s="532" t="str">
        <f>"RS LINE " &amp; $A53</f>
        <v>RS LINE 724</v>
      </c>
      <c r="BN543" s="534" t="str">
        <f>"RS LINE " &amp; $A54</f>
        <v>RS LINE 727</v>
      </c>
      <c r="BO543" s="56" t="s">
        <v>84</v>
      </c>
      <c r="BP543" s="533" t="str">
        <f>"RS LINE " &amp; $A48</f>
        <v>RS LINE 718</v>
      </c>
      <c r="BQ543" s="532" t="str">
        <f>"RS LINE " &amp; $A44</f>
        <v>RS LINE 711</v>
      </c>
      <c r="BR543" s="532" t="str">
        <f>"RS LINE " &amp; $A45</f>
        <v>RS LINE 712</v>
      </c>
      <c r="BS543" s="532" t="str">
        <f>"RS LINE " &amp; $A46</f>
        <v>RS LINE 713</v>
      </c>
      <c r="BT543" s="535" t="str">
        <f>"RG LINE " &amp;RG!A44</f>
        <v>RG LINE 543</v>
      </c>
      <c r="BU543" s="535" t="e">
        <f>"RS LINE " &amp;#REF!</f>
        <v>#REF!</v>
      </c>
      <c r="BV543" s="536" t="str">
        <f>"RS LINE " &amp; $A64</f>
        <v>RS LINE 759</v>
      </c>
      <c r="BW543" s="535" t="str">
        <f>"RS LINE " &amp; $A121</f>
        <v>RS LINE 911</v>
      </c>
      <c r="BX543" s="535" t="str">
        <f>"RS LINE " &amp; $A125</f>
        <v>RS LINE 915</v>
      </c>
      <c r="BY543" s="537" t="str">
        <f>"RS LINE " &amp; $A138</f>
        <v>RS LINE 916</v>
      </c>
    </row>
    <row r="544" spans="1:78" ht="11.5" hidden="1" customHeight="1" x14ac:dyDescent="0.35">
      <c r="A544"/>
      <c r="AZ544" s="74" t="s">
        <v>57</v>
      </c>
      <c r="BA544" s="75" t="str">
        <f>IF($E$29&lt;&gt;0,"","Entry expected for your class")</f>
        <v>Entry expected for your class</v>
      </c>
      <c r="BB544" s="76" t="str">
        <f>IF($E$30&lt;&gt;0,"","Entry expected for your class")</f>
        <v>Entry expected for your class</v>
      </c>
      <c r="BC544" s="76" t="str">
        <f>IF($E$31&lt;&gt;0,"","Entry expected for your class")</f>
        <v>Entry expected for your class</v>
      </c>
      <c r="BD544" s="77" t="s">
        <v>84</v>
      </c>
      <c r="BE544" s="76" t="str">
        <f>IF($E$35&lt;&gt;0,"","Entry expected for your class")</f>
        <v>Entry expected for your class</v>
      </c>
      <c r="BF544" s="78" t="str">
        <f>IF($E$36&lt;&gt;0,"","Entry expected for your class")</f>
        <v>Entry expected for your class</v>
      </c>
      <c r="BG544" s="79" t="str">
        <f>IF($E$37&lt;&gt;0,"","Entry expected for your class")</f>
        <v>Entry expected for your class</v>
      </c>
      <c r="BH544" s="80" t="s">
        <v>84</v>
      </c>
      <c r="BI544" s="77" t="s">
        <v>84</v>
      </c>
      <c r="BJ544" s="76" t="str">
        <f>IF($E$32&lt;&gt;0,"","Entry expected for your class")</f>
        <v>Entry expected for your class</v>
      </c>
      <c r="BK544" s="77" t="s">
        <v>84</v>
      </c>
      <c r="BL544" s="81" t="str">
        <f t="shared" ref="BL544:BL549" si="265">IF($E$52=0,"","Zero entry expected for your class")</f>
        <v/>
      </c>
      <c r="BM544" s="81" t="str">
        <f t="shared" ref="BM544:BM549" si="266">IF($E$53=0,"","Zero entry expected for your class")</f>
        <v/>
      </c>
      <c r="BN544" s="81" t="str">
        <f>IF($E$54=0,"","Zero entry expected for your class")</f>
        <v/>
      </c>
      <c r="BO544" s="77" t="s">
        <v>84</v>
      </c>
      <c r="BP544" s="81" t="str">
        <f>IF($E$48=0,"","WARNING: Col 1 - Zero entry expected for your class")</f>
        <v/>
      </c>
      <c r="BQ544" s="81" t="str">
        <f>IF($E$44=0,"","Zero entry expected for your class")</f>
        <v/>
      </c>
      <c r="BR544" s="82" t="str">
        <f>IF($E$45=0,"","Zero entry expected for your class")</f>
        <v/>
      </c>
      <c r="BS544" s="79" t="str">
        <f>IF($E$46=0,"","Zero entry expected for your class")</f>
        <v/>
      </c>
      <c r="BT544" s="361" t="str">
        <f>IF(RG!G44=0,"","WARNING: Col 1 - Zero entry expected for your class")</f>
        <v/>
      </c>
      <c r="BU544" s="1066" t="e">
        <f>IF(#REF!=0,"","WARNING: Col 1 - Zero entry expected for your class")</f>
        <v>#REF!</v>
      </c>
      <c r="BV544" s="365" t="str">
        <f>IF($E$64&gt;0,"","Greater than zero expected for your class")</f>
        <v>Greater than zero expected for your class</v>
      </c>
      <c r="BW544" s="362" t="e">
        <f>IF($E$121&gt;0,"","WARNING: Col 1 - Greater than zero expected for your class")</f>
        <v>#N/A</v>
      </c>
      <c r="BX544" s="362" t="e">
        <f>IF($E$125&gt;0,"","WARNING: Col 1 - Greater than zero expected for your class")</f>
        <v>#VALUE!</v>
      </c>
      <c r="BY544" s="363" t="e">
        <f>IF($E$138&gt;0,"","WARNING: Col 1 - Greater than zero expected for your class")</f>
        <v>#N/A</v>
      </c>
      <c r="BZ544" s="538"/>
    </row>
    <row r="545" spans="1:78" ht="11.5" hidden="1" customHeight="1" x14ac:dyDescent="0.35">
      <c r="A545"/>
      <c r="AA545"/>
      <c r="AO545" s="53"/>
      <c r="AP545" s="18"/>
      <c r="AQ545" s="18"/>
      <c r="AR545" s="18"/>
      <c r="AS545" s="18"/>
      <c r="AT545" s="18"/>
      <c r="AU545" s="18"/>
      <c r="AV545" s="18"/>
      <c r="AW545" s="18"/>
      <c r="AX545" s="18"/>
      <c r="AZ545" s="1067" t="s">
        <v>63</v>
      </c>
      <c r="BA545" s="1068" t="str">
        <f>IF($E$29=0,"","Zero entry expected for your class")</f>
        <v/>
      </c>
      <c r="BB545" s="1069" t="str">
        <f>IF($E$30=0,"","Zero entry expected for your class")</f>
        <v/>
      </c>
      <c r="BC545" s="1069" t="str">
        <f>IF($E$31=0,"","Zero entry expected for your class")</f>
        <v/>
      </c>
      <c r="BD545" s="1069" t="str">
        <f>IF($E$34=0,"","Zero entry expected for your class")</f>
        <v/>
      </c>
      <c r="BE545" s="1069" t="str">
        <f>IF($E$35=0,"","Zero entry expected for your class")</f>
        <v/>
      </c>
      <c r="BF545" s="1070" t="s">
        <v>84</v>
      </c>
      <c r="BG545" s="659" t="str">
        <f>IF($E$37=0,"","Zero entry expected for your class")</f>
        <v/>
      </c>
      <c r="BH545" s="1071" t="str">
        <f>IF($E$38=0,"","Zero entry expected for your class")</f>
        <v/>
      </c>
      <c r="BI545" s="1072" t="str">
        <f>IF($E$39&lt;&gt;0,"","Entry expected for your class")</f>
        <v>Entry expected for your class</v>
      </c>
      <c r="BJ545" s="1069" t="str">
        <f>IF($E$32=0,"","Zero entry expected for your class")</f>
        <v/>
      </c>
      <c r="BK545" s="1073" t="s">
        <v>84</v>
      </c>
      <c r="BL545" s="1069" t="str">
        <f t="shared" si="265"/>
        <v/>
      </c>
      <c r="BM545" s="1069" t="str">
        <f t="shared" si="266"/>
        <v/>
      </c>
      <c r="BN545" s="1069" t="str">
        <f>IF($E$54=0,"","Zero entry expected for your class")</f>
        <v/>
      </c>
      <c r="BO545" s="1073" t="s">
        <v>84</v>
      </c>
      <c r="BP545" s="1069" t="str">
        <f>IF($E$48=0,"","WARNING: Col 1 - Zero entry expected for your class")</f>
        <v/>
      </c>
      <c r="BQ545" s="1069" t="str">
        <f>IF($E$44=0,"","Zero entry expected for your class")</f>
        <v/>
      </c>
      <c r="BR545" s="1074" t="str">
        <f>IF($E$45=0,"","Zero entry expected for your class")</f>
        <v/>
      </c>
      <c r="BS545" s="660" t="str">
        <f>IF($E$46=0,"","Zero entry expected for your class")</f>
        <v/>
      </c>
      <c r="BT545" s="1075" t="str">
        <f>IF(RG!G44=0,"","WARNING: Col 1 - Zero entry expected for your class")</f>
        <v/>
      </c>
      <c r="BU545" s="1066" t="e">
        <f>IF(#REF!=0,"","WARNING: Col 1 - Zero entry expected for your class")</f>
        <v>#REF!</v>
      </c>
      <c r="BV545" s="1076" t="str">
        <f>IF($E$64=0,"","Zero entry expected for your class")</f>
        <v/>
      </c>
      <c r="BW545" s="1066" t="e">
        <f>IF($E$121=0,"","WARNING: Col 1 - Zero entry expected for your class")</f>
        <v>#N/A</v>
      </c>
      <c r="BX545" s="1077" t="e">
        <f>IF($E$125&gt;=0,"","WARNING: Col 1 - Greater than or equal to zero expected for your class")</f>
        <v>#VALUE!</v>
      </c>
      <c r="BY545" s="1078" t="e">
        <f>IF($E$138&gt;=0,"","WARNING: Col 1 - Greater than or equal to zero expected for your class")</f>
        <v>#N/A</v>
      </c>
      <c r="BZ545" s="538"/>
    </row>
    <row r="546" spans="1:78" ht="11.5" hidden="1" customHeight="1" x14ac:dyDescent="0.35">
      <c r="A546"/>
      <c r="AA546"/>
      <c r="AZ546" s="1067" t="s">
        <v>67</v>
      </c>
      <c r="BA546" s="1079" t="str">
        <f>IF($E$29&lt;&gt;0,"","Entry expected for your class")</f>
        <v>Entry expected for your class</v>
      </c>
      <c r="BB546" s="1072" t="str">
        <f>IF($E$30&lt;&gt;0,"","Entry expected for your class")</f>
        <v>Entry expected for your class</v>
      </c>
      <c r="BC546" s="1072" t="str">
        <f>IF($E$31&lt;&gt;0,"","Entry expected for your class")</f>
        <v>Entry expected for your class</v>
      </c>
      <c r="BD546" s="1073" t="s">
        <v>84</v>
      </c>
      <c r="BE546" s="1072" t="str">
        <f>IF($E$35&lt;&gt;0,"","Entry expected for your class")</f>
        <v>Entry expected for your class</v>
      </c>
      <c r="BF546" s="1070" t="s">
        <v>84</v>
      </c>
      <c r="BG546" s="660" t="str">
        <f>IF($E$37&lt;&gt;0,"","Entry expected for your class")</f>
        <v>Entry expected for your class</v>
      </c>
      <c r="BH546" s="1080" t="str">
        <f>IF($E$38&lt;&gt;0,"","Entry expected for your class")</f>
        <v>Entry expected for your class</v>
      </c>
      <c r="BI546" s="1069" t="str">
        <f>IF($E$39=0,"","Zero entry expected for your class")</f>
        <v/>
      </c>
      <c r="BJ546" s="1072" t="str">
        <f>IF($E$32&lt;&gt;0,"","Entry expected for your class")</f>
        <v>Entry expected for your class</v>
      </c>
      <c r="BK546" s="1073" t="s">
        <v>84</v>
      </c>
      <c r="BL546" s="1069" t="str">
        <f t="shared" si="265"/>
        <v/>
      </c>
      <c r="BM546" s="1069" t="str">
        <f t="shared" si="266"/>
        <v/>
      </c>
      <c r="BN546" s="1072" t="str">
        <f>IF($E$54&gt;0,"","Greater than zero expected for your class")</f>
        <v>Greater than zero expected for your class</v>
      </c>
      <c r="BO546" s="1073" t="s">
        <v>84</v>
      </c>
      <c r="BP546" s="1073" t="s">
        <v>84</v>
      </c>
      <c r="BQ546" s="1072" t="str">
        <f>IF($E$44&gt;0,"","Greater than zero expected for your class")</f>
        <v>Greater than zero expected for your class</v>
      </c>
      <c r="BR546" s="1070" t="s">
        <v>84</v>
      </c>
      <c r="BS546" s="1072" t="str">
        <f>IF($E$46&gt;0,"","Greater than zero expected for your class")</f>
        <v>Greater than zero expected for your class</v>
      </c>
      <c r="BT546" s="1081" t="str">
        <f>IF(RG!G44&gt;0,"","WARNING: Col 1 - Greater than zero expected for your class")</f>
        <v>WARNING: Col 1 - Greater than zero expected for your class</v>
      </c>
      <c r="BU546" s="1082" t="s">
        <v>84</v>
      </c>
      <c r="BV546" s="1083" t="str">
        <f>IF($E$64&gt;0,"","Greater than zero expected for your class")</f>
        <v>Greater than zero expected for your class</v>
      </c>
      <c r="BW546" s="1084" t="e">
        <f>IF($E$121&gt;0,"","WARNING: Col 1 - Greater than zero expected for your class")</f>
        <v>#N/A</v>
      </c>
      <c r="BX546" s="1084" t="e">
        <f>IF($E$125&gt;0,"","WARNING: Col 1 - Greater than zero expected for your class")</f>
        <v>#VALUE!</v>
      </c>
      <c r="BY546" s="1085" t="e">
        <f>IF($E$138&gt;0,"","WARNING: Col 1 - Greater than zero expected for your class")</f>
        <v>#N/A</v>
      </c>
      <c r="BZ546" s="538"/>
    </row>
    <row r="547" spans="1:78" ht="11.5" hidden="1" customHeight="1" x14ac:dyDescent="0.35">
      <c r="A547"/>
      <c r="AA547"/>
      <c r="AM547" s="3"/>
      <c r="AY547" s="3"/>
      <c r="AZ547" s="1086" t="s">
        <v>71</v>
      </c>
      <c r="BA547" s="1068" t="str">
        <f>IF($E$29=0,"","Zero entry expected for your class")</f>
        <v/>
      </c>
      <c r="BB547" s="1069" t="str">
        <f>IF($E$30=0,"","Zero entry expected for your class")</f>
        <v/>
      </c>
      <c r="BC547" s="1069" t="str">
        <f>IF($E$31=0,"","Zero entry expected for your class")</f>
        <v/>
      </c>
      <c r="BD547" s="1069" t="str">
        <f>IF($E$34=0,"","Zero entry expected for your class")</f>
        <v/>
      </c>
      <c r="BE547" s="1069" t="str">
        <f>IF($E$35=0,"","Zero entry expected for your class")</f>
        <v/>
      </c>
      <c r="BF547" s="1070" t="s">
        <v>84</v>
      </c>
      <c r="BG547" s="661" t="str">
        <f>IF($E$37=0,"","Zero entry expected for your class")</f>
        <v/>
      </c>
      <c r="BH547" s="1080" t="str">
        <f>IF($E$38&lt;&gt;0,"","Entry expected for your class")</f>
        <v>Entry expected for your class</v>
      </c>
      <c r="BI547" s="1069" t="str">
        <f>IF($E$39=0,"","Zero entry expected for your class")</f>
        <v/>
      </c>
      <c r="BJ547" s="1069" t="str">
        <f>IF($E$32=0,"","Zero entry expected for your class")</f>
        <v/>
      </c>
      <c r="BK547" s="1073" t="s">
        <v>84</v>
      </c>
      <c r="BL547" s="1069" t="str">
        <f t="shared" si="265"/>
        <v/>
      </c>
      <c r="BM547" s="1069" t="str">
        <f t="shared" si="266"/>
        <v/>
      </c>
      <c r="BN547" s="1069" t="str">
        <f>IF($E$54=0,"","Zero entry expected for your class")</f>
        <v/>
      </c>
      <c r="BO547" s="1073" t="s">
        <v>84</v>
      </c>
      <c r="BP547" s="1069" t="str">
        <f>IF($E$48=0,"","WARNING: Col 1 - Zero entry expected for your class")</f>
        <v/>
      </c>
      <c r="BQ547" s="1069" t="str">
        <f>IF($E$44=0,"","Zero entry expected for your class")</f>
        <v/>
      </c>
      <c r="BR547" s="1074" t="str">
        <f>IF($E$45=0,"","Zero entry expected for your class")</f>
        <v/>
      </c>
      <c r="BS547" s="660" t="str">
        <f>IF($E$46=0,"","Zero entry expected for your class")</f>
        <v/>
      </c>
      <c r="BT547" s="1075" t="str">
        <f>IF(RG!G44=0,"","WARNING: Col 1 - Zero entry expected for your class")</f>
        <v/>
      </c>
      <c r="BU547" s="1066" t="e">
        <f>IF(#REF!=0,"","WARNING: Col 1 - Zero entry expected for your class")</f>
        <v>#REF!</v>
      </c>
      <c r="BV547" s="1076" t="str">
        <f>IF($E$64=0,"","Zero entry expected for your class")</f>
        <v/>
      </c>
      <c r="BW547" s="1066" t="e">
        <f>IF($E$121=0,"","WARNING: Col 1 - Zero entry expected for your class")</f>
        <v>#N/A</v>
      </c>
      <c r="BX547" s="1077" t="e">
        <f>IF($E$125&gt;=0,"","WARNING: Col 1 - Greater than or equal to zero expected for your class")</f>
        <v>#VALUE!</v>
      </c>
      <c r="BY547" s="1078" t="e">
        <f>IF($E$138&gt;=0,"","WARNING: Col 1 - Greater than or equal to zero expected for your class")</f>
        <v>#N/A</v>
      </c>
      <c r="BZ547" s="538"/>
    </row>
    <row r="548" spans="1:78" ht="11.5" hidden="1" customHeight="1" x14ac:dyDescent="0.35">
      <c r="A548"/>
      <c r="AA548"/>
      <c r="AM548" s="3"/>
      <c r="AY548" s="3"/>
      <c r="AZ548" s="1067" t="s">
        <v>75</v>
      </c>
      <c r="BA548" s="1068" t="str">
        <f>IF($E$29=0,"","Zero entry expected for your class")</f>
        <v/>
      </c>
      <c r="BB548" s="1069" t="str">
        <f>IF($E$30=0,"","Zero entry expected for your class")</f>
        <v/>
      </c>
      <c r="BC548" s="1069" t="str">
        <f>IF($E$31=0,"","Zero entry expected for your class")</f>
        <v/>
      </c>
      <c r="BD548" s="1069" t="str">
        <f>IF($E$34=0,"","Zero entry expected for your class")</f>
        <v/>
      </c>
      <c r="BE548" s="1069" t="str">
        <f>IF($E$35=0,"","Zero entry expected for your class")</f>
        <v/>
      </c>
      <c r="BF548" s="1070" t="s">
        <v>84</v>
      </c>
      <c r="BG548" s="659" t="str">
        <f>IF($E$37=0,"","Zero entry expected for your class")</f>
        <v/>
      </c>
      <c r="BH548" s="1071" t="str">
        <f>IF($E$38=0,"","Zero entry expected for your class")</f>
        <v/>
      </c>
      <c r="BI548" s="1072" t="str">
        <f>IF($E$39&lt;&gt;0,"","Entry expected for your class")</f>
        <v>Entry expected for your class</v>
      </c>
      <c r="BJ548" s="1069" t="str">
        <f>IF($E$32=0,"","Zero entry expected for your class")</f>
        <v/>
      </c>
      <c r="BK548" s="1073" t="s">
        <v>84</v>
      </c>
      <c r="BL548" s="1069" t="str">
        <f t="shared" si="265"/>
        <v/>
      </c>
      <c r="BM548" s="1069" t="str">
        <f t="shared" si="266"/>
        <v/>
      </c>
      <c r="BN548" s="1069" t="str">
        <f>IF($E$54=0,"","Zero entry expected for your class")</f>
        <v/>
      </c>
      <c r="BO548" s="1073" t="s">
        <v>84</v>
      </c>
      <c r="BP548" s="1069" t="str">
        <f>IF($E$48=0,"","WARNING: Col 1 - Zero entry expected for your class")</f>
        <v/>
      </c>
      <c r="BQ548" s="1069" t="str">
        <f>IF($E$44=0,"","Zero entry expected for your class")</f>
        <v/>
      </c>
      <c r="BR548" s="1074" t="str">
        <f>IF($E$45=0,"","Zero entry expected for your class")</f>
        <v/>
      </c>
      <c r="BS548" s="660" t="str">
        <f>IF($E$46=0,"","Zero entry expected for your class")</f>
        <v/>
      </c>
      <c r="BT548" s="1075" t="str">
        <f>IF(RG!G44=0,"","WARNING: Col 1 - Zero entry expected for your class")</f>
        <v/>
      </c>
      <c r="BU548" s="1066" t="e">
        <f>IF(#REF!=0,"","WARNING: Col 1 - Zero entry expected for your class")</f>
        <v>#REF!</v>
      </c>
      <c r="BV548" s="1076" t="str">
        <f>IF($E$64=0,"","Zero entry expected for your class")</f>
        <v/>
      </c>
      <c r="BW548" s="1066" t="e">
        <f>IF($E$121=0,"","WARNING: Col 1 - Zero entry expected for your class")</f>
        <v>#N/A</v>
      </c>
      <c r="BX548" s="1077" t="e">
        <f>IF($E$125&gt;=0,"","WARNING: Col 1 - Greater than or equal to zero expected for your class")</f>
        <v>#VALUE!</v>
      </c>
      <c r="BY548" s="1078" t="e">
        <f>IF($E$138&gt;=0,"","WARNING: Col 1 - Greater than or equal to zero expected for your class")</f>
        <v>#N/A</v>
      </c>
      <c r="BZ548" s="538"/>
    </row>
    <row r="549" spans="1:78" ht="11.5" hidden="1" customHeight="1" x14ac:dyDescent="0.35">
      <c r="A549"/>
      <c r="AA549"/>
      <c r="AZ549" s="1067" t="s">
        <v>79</v>
      </c>
      <c r="BA549" s="1068" t="str">
        <f>IF($E$29=0,"","Zero entry expected for your class")</f>
        <v/>
      </c>
      <c r="BB549" s="1072" t="str">
        <f>IF($E$30&lt;&gt;0,"","Entry expected for your class")</f>
        <v>Entry expected for your class</v>
      </c>
      <c r="BC549" s="1069" t="str">
        <f>IF($E$31=0,"","Zero entry expected for your class")</f>
        <v/>
      </c>
      <c r="BD549" s="1069" t="str">
        <f>IF($E$34=0,"","Zero entry expected for your class")</f>
        <v/>
      </c>
      <c r="BE549" s="1072" t="str">
        <f>IF($E$35&lt;&gt;0,"","Entry expected for your class")</f>
        <v>Entry expected for your class</v>
      </c>
      <c r="BF549" s="1087" t="str">
        <f>IF($E$36&lt;&gt;0,"","Entry expected for your class")</f>
        <v>Entry expected for your class</v>
      </c>
      <c r="BG549" s="660" t="str">
        <f>IF($E$37&lt;&gt;0,"","Entry expected for your class")</f>
        <v>Entry expected for your class</v>
      </c>
      <c r="BH549" s="1080" t="str">
        <f>IF($E$38&lt;&gt;0,"","Entry expected for your class")</f>
        <v>Entry expected for your class</v>
      </c>
      <c r="BI549" s="1072" t="str">
        <f>IF($E$39&lt;&gt;0,"","Entry expected for your class")</f>
        <v>Entry expected for your class</v>
      </c>
      <c r="BJ549" s="1069" t="str">
        <f>IF($E$32=0,"","Zero entry expected for your class")</f>
        <v/>
      </c>
      <c r="BK549" s="1073" t="s">
        <v>84</v>
      </c>
      <c r="BL549" s="1069" t="str">
        <f t="shared" si="265"/>
        <v/>
      </c>
      <c r="BM549" s="1069" t="str">
        <f t="shared" si="266"/>
        <v/>
      </c>
      <c r="BN549" s="1069" t="str">
        <f>IF($E$54=0,"","Zero entry expected for your class")</f>
        <v/>
      </c>
      <c r="BO549" s="1073" t="s">
        <v>84</v>
      </c>
      <c r="BP549" s="1069" t="str">
        <f>IF($E$48=0,"","WARNING: Col 1 - Zero entry expected for your class")</f>
        <v/>
      </c>
      <c r="BQ549" s="1069" t="str">
        <f>IF($E$44=0,"","Zero entry expected for your class")</f>
        <v/>
      </c>
      <c r="BR549" s="1074" t="str">
        <f>IF($E$45=0,"","Zero entry expected for your class")</f>
        <v/>
      </c>
      <c r="BS549" s="660" t="str">
        <f>IF($E$46=0,"","Zero entry expected for your class")</f>
        <v/>
      </c>
      <c r="BT549" s="1075" t="str">
        <f>IF(RG!G44=0,"","WARNING: Col 1 - Zero entry expected for your class")</f>
        <v/>
      </c>
      <c r="BU549" s="1066" t="e">
        <f>IF(#REF!=0,"","WARNING: Col 1 - Zero entry expected for your class")</f>
        <v>#REF!</v>
      </c>
      <c r="BV549" s="1076" t="str">
        <f>IF($E$64=0,"","Zero entry expected for your class")</f>
        <v/>
      </c>
      <c r="BW549" s="1066" t="e">
        <f>IF($E$121=0,"","WARNING: Col 1 - Zero entry expected for your class")</f>
        <v>#N/A</v>
      </c>
      <c r="BX549" s="1084" t="e">
        <f>IF($E$125&gt;0,"","WARNING: Col 1 - Greater than zero expected for your class")</f>
        <v>#VALUE!</v>
      </c>
      <c r="BY549" s="1085" t="e">
        <f>IF($E$138&gt;0,"","WARNING: Col 1 - Greater than zero expected for your class")</f>
        <v>#N/A</v>
      </c>
      <c r="BZ549" s="538"/>
    </row>
    <row r="550" spans="1:78" ht="11.5" hidden="1" customHeight="1" x14ac:dyDescent="0.35">
      <c r="A550"/>
      <c r="AA550"/>
      <c r="AZ550" s="1088" t="s">
        <v>84</v>
      </c>
      <c r="BA550" s="1088" t="s">
        <v>84</v>
      </c>
      <c r="BB550" s="1073" t="s">
        <v>84</v>
      </c>
      <c r="BC550" s="1073" t="s">
        <v>84</v>
      </c>
      <c r="BD550" s="1073" t="s">
        <v>84</v>
      </c>
      <c r="BE550" s="1073" t="s">
        <v>84</v>
      </c>
      <c r="BF550" s="1070" t="s">
        <v>84</v>
      </c>
      <c r="BG550" s="1070" t="s">
        <v>84</v>
      </c>
      <c r="BH550" s="1089" t="s">
        <v>84</v>
      </c>
      <c r="BI550" s="1073" t="s">
        <v>84</v>
      </c>
      <c r="BJ550" s="1073" t="s">
        <v>84</v>
      </c>
      <c r="BK550" s="1073" t="s">
        <v>84</v>
      </c>
      <c r="BL550" s="1073" t="s">
        <v>84</v>
      </c>
      <c r="BM550" s="1073" t="s">
        <v>84</v>
      </c>
      <c r="BN550" s="1073" t="s">
        <v>84</v>
      </c>
      <c r="BO550" s="1073" t="s">
        <v>84</v>
      </c>
      <c r="BP550" s="1073" t="s">
        <v>84</v>
      </c>
      <c r="BQ550" s="1073" t="s">
        <v>84</v>
      </c>
      <c r="BR550" s="1070" t="s">
        <v>84</v>
      </c>
      <c r="BS550" s="662" t="s">
        <v>84</v>
      </c>
      <c r="BT550" s="1090" t="s">
        <v>84</v>
      </c>
      <c r="BU550" s="1090"/>
      <c r="BV550" s="1091" t="s">
        <v>84</v>
      </c>
      <c r="BW550" s="1092" t="s">
        <v>84</v>
      </c>
      <c r="BX550" s="1092" t="s">
        <v>84</v>
      </c>
      <c r="BY550" s="1093" t="s">
        <v>84</v>
      </c>
      <c r="BZ550" s="538"/>
    </row>
    <row r="551" spans="1:78" ht="11.5" hidden="1" customHeight="1" x14ac:dyDescent="0.35">
      <c r="A551"/>
      <c r="AA551"/>
      <c r="AZ551" s="1067" t="s">
        <v>89</v>
      </c>
      <c r="BA551" s="1079" t="str">
        <f>IF($E$29&lt;&gt;0,"","Entry expected for your class")</f>
        <v>Entry expected for your class</v>
      </c>
      <c r="BB551" s="1072" t="str">
        <f>IF($E$30&lt;&gt;0,"","Entry expected for your class")</f>
        <v>Entry expected for your class</v>
      </c>
      <c r="BC551" s="1072" t="str">
        <f>IF($E$31&lt;&gt;0,"","Entry expected for your class")</f>
        <v>Entry expected for your class</v>
      </c>
      <c r="BD551" s="1072" t="str">
        <f>IF($E$34&lt;&gt;0,"","Entry expected for your class")</f>
        <v>Entry expected for your class</v>
      </c>
      <c r="BE551" s="1072" t="str">
        <f>IF($E$35&lt;&gt;0,"","Entry expected for your class")</f>
        <v>Entry expected for your class</v>
      </c>
      <c r="BF551" s="1087" t="str">
        <f>IF($E$36&lt;&gt;0,"","Entry expected for your class")</f>
        <v>Entry expected for your class</v>
      </c>
      <c r="BG551" s="660" t="str">
        <f>IF($E$37&lt;&gt;0,"","Entry expected for your class")</f>
        <v>Entry expected for your class</v>
      </c>
      <c r="BH551" s="1071" t="str">
        <f>IF($E$38=0,"","Zero entry expected for your class")</f>
        <v/>
      </c>
      <c r="BI551" s="1069" t="str">
        <f>IF($E$39=0,"","Zero entry expected for your class")</f>
        <v/>
      </c>
      <c r="BJ551" s="1072" t="str">
        <f>IF($E$32&lt;&gt;0,"","Entry expected for your class")</f>
        <v>Entry expected for your class</v>
      </c>
      <c r="BK551" s="1073" t="s">
        <v>84</v>
      </c>
      <c r="BL551" s="1069" t="str">
        <f>IF($E$52=0,"","Zero entry expected for your class")</f>
        <v/>
      </c>
      <c r="BM551" s="1073" t="s">
        <v>84</v>
      </c>
      <c r="BN551" s="1072" t="str">
        <f>IF($E$54&gt;0,"","Greater than zero expected for your class")</f>
        <v>Greater than zero expected for your class</v>
      </c>
      <c r="BO551" s="1073" t="s">
        <v>84</v>
      </c>
      <c r="BP551" s="1073" t="s">
        <v>84</v>
      </c>
      <c r="BQ551" s="1072" t="str">
        <f>IF($E$44&gt;0,"","Greater than zero expected for your class")</f>
        <v>Greater than zero expected for your class</v>
      </c>
      <c r="BR551" s="1087" t="str">
        <f>IF($E$45&gt;0,"","Greater than zero expected for your class")</f>
        <v>Greater than zero expected for your class</v>
      </c>
      <c r="BS551" s="1072" t="str">
        <f>IF($E$46&gt;0,"","Greater than zero expected for your class")</f>
        <v>Greater than zero expected for your class</v>
      </c>
      <c r="BT551" s="1081" t="str">
        <f>IF(RG!G44&gt;0,"","WARNING: Col 1 - Greater than zero expected for your class")</f>
        <v>WARNING: Col 1 - Greater than zero expected for your class</v>
      </c>
      <c r="BU551" s="1082" t="s">
        <v>84</v>
      </c>
      <c r="BV551" s="1083" t="str">
        <f>IF($E$64&gt;0,"","Greater than zero expected for your class")</f>
        <v>Greater than zero expected for your class</v>
      </c>
      <c r="BW551" s="1084" t="e">
        <f>IF($E$121&gt;0,"","WARNING: Col 1 - Greater than zero expected for your class")</f>
        <v>#N/A</v>
      </c>
      <c r="BX551" s="1084" t="e">
        <f>IF($E$125&gt;0,"","WARNING: Col 1 - Greater than zero expected for your class")</f>
        <v>#VALUE!</v>
      </c>
      <c r="BY551" s="1085" t="e">
        <f>IF($E$138&gt;0,"","WARNING: Col 1 - Greater than zero expected for your class")</f>
        <v>#N/A</v>
      </c>
      <c r="BZ551" s="538"/>
    </row>
    <row r="552" spans="1:78" ht="11.5" hidden="1" customHeight="1" x14ac:dyDescent="0.35">
      <c r="A552"/>
      <c r="AA552"/>
      <c r="AZ552" s="1088" t="s">
        <v>84</v>
      </c>
      <c r="BA552" s="1088" t="s">
        <v>84</v>
      </c>
      <c r="BB552" s="1073" t="s">
        <v>84</v>
      </c>
      <c r="BC552" s="1073" t="s">
        <v>84</v>
      </c>
      <c r="BD552" s="1073" t="s">
        <v>84</v>
      </c>
      <c r="BE552" s="1073" t="s">
        <v>84</v>
      </c>
      <c r="BF552" s="1070" t="s">
        <v>84</v>
      </c>
      <c r="BG552" s="1070" t="s">
        <v>84</v>
      </c>
      <c r="BH552" s="1089" t="s">
        <v>84</v>
      </c>
      <c r="BI552" s="1073" t="s">
        <v>84</v>
      </c>
      <c r="BJ552" s="1073" t="s">
        <v>84</v>
      </c>
      <c r="BK552" s="1073" t="s">
        <v>84</v>
      </c>
      <c r="BL552" s="1073" t="s">
        <v>84</v>
      </c>
      <c r="BM552" s="1073" t="s">
        <v>84</v>
      </c>
      <c r="BN552" s="1073" t="s">
        <v>84</v>
      </c>
      <c r="BO552" s="1073" t="s">
        <v>84</v>
      </c>
      <c r="BP552" s="1073" t="s">
        <v>84</v>
      </c>
      <c r="BQ552" s="1073" t="s">
        <v>84</v>
      </c>
      <c r="BR552" s="1070" t="s">
        <v>84</v>
      </c>
      <c r="BS552" s="662" t="s">
        <v>84</v>
      </c>
      <c r="BT552" s="1090" t="s">
        <v>84</v>
      </c>
      <c r="BU552" s="1090"/>
      <c r="BV552" s="1091" t="s">
        <v>84</v>
      </c>
      <c r="BW552" s="1092" t="s">
        <v>84</v>
      </c>
      <c r="BX552" s="1092" t="s">
        <v>84</v>
      </c>
      <c r="BY552" s="1093" t="s">
        <v>84</v>
      </c>
      <c r="BZ552" s="538"/>
    </row>
    <row r="553" spans="1:78" ht="11.5" hidden="1" customHeight="1" x14ac:dyDescent="0.35">
      <c r="A553"/>
      <c r="AA553"/>
      <c r="AZ553" s="1067" t="s">
        <v>97</v>
      </c>
      <c r="BA553" s="1079" t="str">
        <f>IF($E$29&lt;&gt;0,"","Entry expected for your class")</f>
        <v>Entry expected for your class</v>
      </c>
      <c r="BB553" s="1072" t="str">
        <f>IF($E$30&lt;&gt;0,"","Entry expected for your class")</f>
        <v>Entry expected for your class</v>
      </c>
      <c r="BC553" s="1072" t="str">
        <f>IF($E$31&lt;&gt;0,"","Entry expected for your class")</f>
        <v>Entry expected for your class</v>
      </c>
      <c r="BD553" s="1072" t="str">
        <f>IF($E$34&lt;&gt;0,"","Entry expected for your class")</f>
        <v>Entry expected for your class</v>
      </c>
      <c r="BE553" s="1072" t="str">
        <f>IF($E$35&lt;&gt;0,"","Entry expected for your class")</f>
        <v>Entry expected for your class</v>
      </c>
      <c r="BF553" s="1087" t="str">
        <f>IF($E$36&lt;&gt;0,"","Entry expected for your class")</f>
        <v>Entry expected for your class</v>
      </c>
      <c r="BG553" s="660" t="str">
        <f>IF($E$37&lt;&gt;0,"","Entry expected for your class")</f>
        <v>Entry expected for your class</v>
      </c>
      <c r="BH553" s="1071" t="str">
        <f>IF($E$38=0,"","Zero entry expected for your class")</f>
        <v/>
      </c>
      <c r="BI553" s="1069" t="str">
        <f>IF($E$39=0,"","Zero entry expected for your class")</f>
        <v/>
      </c>
      <c r="BJ553" s="1072" t="str">
        <f>IF($E$32&lt;&gt;0,"","Entry expected for your class")</f>
        <v>Entry expected for your class</v>
      </c>
      <c r="BK553" s="1073" t="s">
        <v>84</v>
      </c>
      <c r="BL553" s="1072" t="str">
        <f>IF($E$52&gt;0,"","Greater than zero expected for your class")</f>
        <v>Greater than zero expected for your class</v>
      </c>
      <c r="BM553" s="1073" t="s">
        <v>84</v>
      </c>
      <c r="BN553" s="1069" t="str">
        <f>IF($E$54=0,"","Zero entry expected for your class")</f>
        <v/>
      </c>
      <c r="BO553" s="1073" t="s">
        <v>84</v>
      </c>
      <c r="BP553" s="1073" t="s">
        <v>84</v>
      </c>
      <c r="BQ553" s="1072" t="str">
        <f>IF($E$44&gt;0,"","Greater than zero expected for your class")</f>
        <v>Greater than zero expected for your class</v>
      </c>
      <c r="BR553" s="1094" t="str">
        <f>IF($E$45&gt;=0,"","Greater than or equal to zero expected for your class")</f>
        <v/>
      </c>
      <c r="BS553" s="662" t="s">
        <v>84</v>
      </c>
      <c r="BT553" s="1081" t="str">
        <f>IF(RG!G44&gt;0,"","WARNING: Col 1 - Greater than zero expected for your class")</f>
        <v>WARNING: Col 1 - Greater than zero expected for your class</v>
      </c>
      <c r="BU553" s="1082" t="s">
        <v>84</v>
      </c>
      <c r="BV553" s="1083" t="str">
        <f>IF($E$64&gt;0,"","Greater than zero expected for your class")</f>
        <v>Greater than zero expected for your class</v>
      </c>
      <c r="BW553" s="1084" t="e">
        <f>IF($E$121&gt;0,"","WARNING: Col 1 - Greater than zero expected for your class")</f>
        <v>#N/A</v>
      </c>
      <c r="BX553" s="1084" t="e">
        <f>IF($E$125&gt;0,"","WARNING: Col 1 - Greater than zero expected for your class")</f>
        <v>#VALUE!</v>
      </c>
      <c r="BY553" s="1085" t="e">
        <f>IF($E$138&gt;0,"","WARNING: Col 1 - Greater than zero expected for your class")</f>
        <v>#N/A</v>
      </c>
      <c r="BZ553" s="538"/>
    </row>
    <row r="554" spans="1:78" ht="11.5" hidden="1" customHeight="1" x14ac:dyDescent="0.35">
      <c r="A554"/>
      <c r="AA554"/>
      <c r="AZ554" s="1088" t="s">
        <v>84</v>
      </c>
      <c r="BA554" s="1088" t="s">
        <v>84</v>
      </c>
      <c r="BB554" s="1073" t="s">
        <v>84</v>
      </c>
      <c r="BC554" s="1073" t="s">
        <v>84</v>
      </c>
      <c r="BD554" s="1073" t="s">
        <v>84</v>
      </c>
      <c r="BE554" s="1073" t="s">
        <v>84</v>
      </c>
      <c r="BF554" s="1070" t="s">
        <v>84</v>
      </c>
      <c r="BG554" s="1070" t="s">
        <v>84</v>
      </c>
      <c r="BH554" s="1089" t="s">
        <v>84</v>
      </c>
      <c r="BI554" s="1073" t="s">
        <v>84</v>
      </c>
      <c r="BJ554" s="1073" t="s">
        <v>84</v>
      </c>
      <c r="BK554" s="1073" t="s">
        <v>84</v>
      </c>
      <c r="BL554" s="1073" t="s">
        <v>84</v>
      </c>
      <c r="BM554" s="1073" t="s">
        <v>84</v>
      </c>
      <c r="BN554" s="1073" t="s">
        <v>84</v>
      </c>
      <c r="BO554" s="1073" t="s">
        <v>84</v>
      </c>
      <c r="BP554" s="1073" t="s">
        <v>84</v>
      </c>
      <c r="BQ554" s="1073" t="s">
        <v>84</v>
      </c>
      <c r="BR554" s="1070" t="s">
        <v>84</v>
      </c>
      <c r="BS554" s="662" t="s">
        <v>84</v>
      </c>
      <c r="BT554" s="1090" t="s">
        <v>84</v>
      </c>
      <c r="BU554" s="1090"/>
      <c r="BV554" s="1091" t="s">
        <v>84</v>
      </c>
      <c r="BW554" s="1092" t="s">
        <v>84</v>
      </c>
      <c r="BX554" s="1092" t="s">
        <v>84</v>
      </c>
      <c r="BY554" s="1093" t="s">
        <v>84</v>
      </c>
      <c r="BZ554" s="538"/>
    </row>
    <row r="555" spans="1:78" ht="11.5" hidden="1" customHeight="1" x14ac:dyDescent="0.35">
      <c r="A555"/>
      <c r="AA555"/>
      <c r="AZ555" s="1067" t="s">
        <v>101</v>
      </c>
      <c r="BA555" s="1079" t="str">
        <f>IF($E$29&lt;&gt;0,"","Entry expected for your class")</f>
        <v>Entry expected for your class</v>
      </c>
      <c r="BB555" s="1072" t="str">
        <f>IF($E$30&lt;&gt;0,"","Entry expected for your class")</f>
        <v>Entry expected for your class</v>
      </c>
      <c r="BC555" s="1072" t="str">
        <f>IF($E$31&lt;&gt;0,"","Entry expected for your class")</f>
        <v>Entry expected for your class</v>
      </c>
      <c r="BD555" s="1072" t="str">
        <f>IF($E$34&lt;&gt;0,"","Entry expected for your class")</f>
        <v>Entry expected for your class</v>
      </c>
      <c r="BE555" s="1072" t="str">
        <f>IF($E$35&lt;&gt;0,"","Entry expected for your class")</f>
        <v>Entry expected for your class</v>
      </c>
      <c r="BF555" s="1087" t="str">
        <f>IF($E$36&lt;&gt;0,"","Entry expected for your class")</f>
        <v>Entry expected for your class</v>
      </c>
      <c r="BG555" s="660" t="str">
        <f>IF($E$37&lt;&gt;0,"","Entry expected for your class")</f>
        <v>Entry expected for your class</v>
      </c>
      <c r="BH555" s="1071" t="str">
        <f t="shared" ref="BH555:BH561" si="267">IF($E$38=0,"","Zero entry expected for your class")</f>
        <v/>
      </c>
      <c r="BI555" s="1069" t="str">
        <f>IF($E$39=0,"","Zero entry expected for your class")</f>
        <v/>
      </c>
      <c r="BJ555" s="1072" t="str">
        <f>IF($E$32&lt;&gt;0,"","Entry expected for your class")</f>
        <v>Entry expected for your class</v>
      </c>
      <c r="BK555" s="1073" t="s">
        <v>84</v>
      </c>
      <c r="BL555" s="1069" t="str">
        <f>IF($E$52=0,"","Zero entry expected for your class")</f>
        <v/>
      </c>
      <c r="BM555" s="1073" t="s">
        <v>84</v>
      </c>
      <c r="BN555" s="1072" t="str">
        <f>IF($E$54&gt;0,"","Greater than zero expected for your class")</f>
        <v>Greater than zero expected for your class</v>
      </c>
      <c r="BO555" s="1073" t="s">
        <v>84</v>
      </c>
      <c r="BP555" s="1073" t="s">
        <v>84</v>
      </c>
      <c r="BQ555" s="1072" t="str">
        <f>IF($E$44&gt;0,"","Greater than zero expected for your class")</f>
        <v>Greater than zero expected for your class</v>
      </c>
      <c r="BR555" s="1087" t="str">
        <f>IF($E$45&gt;0,"","Greater than zero expected for your class")</f>
        <v>Greater than zero expected for your class</v>
      </c>
      <c r="BS555" s="662" t="s">
        <v>84</v>
      </c>
      <c r="BT555" s="1081" t="str">
        <f>IF(RG!G44&gt;0,"","WARNING: Col 1 - Greater than zero expected for your class")</f>
        <v>WARNING: Col 1 - Greater than zero expected for your class</v>
      </c>
      <c r="BU555" s="1082" t="s">
        <v>84</v>
      </c>
      <c r="BV555" s="1083" t="str">
        <f>IF($E$64&gt;0,"","Greater than zero expected for your class")</f>
        <v>Greater than zero expected for your class</v>
      </c>
      <c r="BW555" s="1084" t="e">
        <f>IF($E$121&gt;0,"","WARNING: Col 1 - Greater than zero expected for your class")</f>
        <v>#N/A</v>
      </c>
      <c r="BX555" s="1084" t="e">
        <f>IF($E$125&gt;0,"","WARNING: Col 1 - Greater than zero expected for your class")</f>
        <v>#VALUE!</v>
      </c>
      <c r="BY555" s="1085" t="e">
        <f>IF($E$138&gt;0,"","WARNING: Col 1 - Greater than zero expected for your class")</f>
        <v>#N/A</v>
      </c>
      <c r="BZ555" s="538"/>
    </row>
    <row r="556" spans="1:78" ht="11.5" hidden="1" customHeight="1" x14ac:dyDescent="0.35">
      <c r="A556"/>
      <c r="AA556"/>
      <c r="AZ556" s="1067" t="s">
        <v>110</v>
      </c>
      <c r="BA556" s="1068" t="str">
        <f>IF($E$29=0,"","Zero entry expected for your class")</f>
        <v/>
      </c>
      <c r="BB556" s="1073" t="s">
        <v>84</v>
      </c>
      <c r="BC556" s="1069" t="str">
        <f>IF($E$31=0,"","Zero entry expected for your class")</f>
        <v/>
      </c>
      <c r="BD556" s="1069" t="str">
        <f>IF($E$34=0,"","Zero entry expected for your class")</f>
        <v/>
      </c>
      <c r="BE556" s="1072" t="str">
        <f>IF($E$35&lt;&gt;0,"","Entry expected for your class")</f>
        <v>Entry expected for your class</v>
      </c>
      <c r="BF556" s="1070" t="s">
        <v>84</v>
      </c>
      <c r="BG556" s="660" t="str">
        <f>IF($E$37&lt;&gt;0,"","Entry expected for your class")</f>
        <v>Entry expected for your class</v>
      </c>
      <c r="BH556" s="1071" t="str">
        <f t="shared" si="267"/>
        <v/>
      </c>
      <c r="BI556" s="1069" t="str">
        <f>IF($E$39=0,"","Zero entry expected for your class")</f>
        <v/>
      </c>
      <c r="BJ556" s="1069" t="str">
        <f>IF($E$32=0,"","Zero entry expected for your class")</f>
        <v/>
      </c>
      <c r="BK556" s="1073" t="s">
        <v>84</v>
      </c>
      <c r="BL556" s="1069" t="str">
        <f>IF($E$52=0,"","Zero entry expected for your class")</f>
        <v/>
      </c>
      <c r="BM556" s="1069" t="str">
        <f>IF($E$53=0,"","Zero entry expected for your class")</f>
        <v/>
      </c>
      <c r="BN556" s="1069" t="str">
        <f t="shared" ref="BN556:BN561" si="268">IF($E$54=0,"","Zero entry expected for your class")</f>
        <v/>
      </c>
      <c r="BO556" s="1073" t="s">
        <v>84</v>
      </c>
      <c r="BP556" s="1069" t="str">
        <f>IF($E$48=0,"","WARNING: Col 1 - Zero entry expected for your class")</f>
        <v/>
      </c>
      <c r="BQ556" s="1069" t="str">
        <f>IF($E$44=0,"","Zero entry expected for your class")</f>
        <v/>
      </c>
      <c r="BR556" s="1074" t="str">
        <f>IF($E$45=0,"","Zero entry expected for your class")</f>
        <v/>
      </c>
      <c r="BS556" s="660" t="str">
        <f>IF($E$46=0,"","Zero entry expected for your class")</f>
        <v/>
      </c>
      <c r="BT556" s="1075" t="str">
        <f>IF(RG!G44=0,"","WARNING: Col 1 - Zero entry expected for your class")</f>
        <v/>
      </c>
      <c r="BU556" s="1066" t="e">
        <f>IF(#REF!=0,"","WARNING: Col 1 - Zero entry expected for your class")</f>
        <v>#REF!</v>
      </c>
      <c r="BV556" s="1076" t="str">
        <f>IF($E$64=0,"","Zero entry expected for your class")</f>
        <v/>
      </c>
      <c r="BW556" s="1066" t="e">
        <f>IF($E$121=0,"","WARNING: Col 1 - Zero entry expected for your class")</f>
        <v>#N/A</v>
      </c>
      <c r="BX556" s="1077" t="e">
        <f>IF($E$125&gt;=0,"","WARNING: Col 1 - Greater than or equal to zero expected for your class")</f>
        <v>#VALUE!</v>
      </c>
      <c r="BY556" s="1078" t="e">
        <f>IF($E$138&gt;=0,"","WARNING: Col 1 - Greater than or equal to zero expected for your class")</f>
        <v>#N/A</v>
      </c>
      <c r="BZ556" s="538"/>
    </row>
    <row r="557" spans="1:78" ht="11.5" hidden="1" customHeight="1" x14ac:dyDescent="0.35">
      <c r="A557"/>
      <c r="AA557"/>
      <c r="AZ557" s="1067" t="s">
        <v>114</v>
      </c>
      <c r="BA557" s="1068" t="str">
        <f>IF($E$29=0,"","Zero entry expected for your class")</f>
        <v/>
      </c>
      <c r="BB557" s="1072" t="str">
        <f>IF($E$30&lt;&gt;0,"","Entry expected for your class")</f>
        <v>Entry expected for your class</v>
      </c>
      <c r="BC557" s="1069" t="str">
        <f>IF($E$31=0,"","Zero entry expected for your class")</f>
        <v/>
      </c>
      <c r="BD557" s="1069" t="str">
        <f>IF($E$34=0,"","Zero entry expected for your class")</f>
        <v/>
      </c>
      <c r="BE557" s="1069" t="str">
        <f>IF($E$35=0,"","Zero entry expected for your class")</f>
        <v/>
      </c>
      <c r="BF557" s="1074" t="str">
        <f>IF($E$36=0,"","Zero entry expected for your class")</f>
        <v/>
      </c>
      <c r="BG557" s="1073" t="s">
        <v>84</v>
      </c>
      <c r="BH557" s="1071" t="str">
        <f t="shared" si="267"/>
        <v/>
      </c>
      <c r="BI557" s="1069" t="str">
        <f>IF($E$39=0,"","Zero entry expected for your class")</f>
        <v/>
      </c>
      <c r="BJ557" s="1069" t="str">
        <f>IF($E$32=0,"","Zero entry expected for your class")</f>
        <v/>
      </c>
      <c r="BK557" s="1073" t="s">
        <v>84</v>
      </c>
      <c r="BL557" s="1095" t="str">
        <f>IF($E$52&lt;0,"","Negative entry expected for your class - also give levy breakdown in the Levy tab")</f>
        <v>Negative entry expected for your class - also give levy breakdown in the Levy tab</v>
      </c>
      <c r="BM557" s="1069"/>
      <c r="BN557" s="1069" t="str">
        <f t="shared" si="268"/>
        <v/>
      </c>
      <c r="BO557" s="1073" t="s">
        <v>84</v>
      </c>
      <c r="BP557" s="1069" t="str">
        <f>IF($E$48=0,"","WARNING: Col 1 - Zero entry expected for your class")</f>
        <v/>
      </c>
      <c r="BQ557" s="1069" t="str">
        <f>IF($E$44=0,"","Zero entry expected for your class")</f>
        <v/>
      </c>
      <c r="BR557" s="1074" t="str">
        <f>IF($E$45=0,"","Zero entry expected for your class")</f>
        <v/>
      </c>
      <c r="BS557" s="662" t="s">
        <v>84</v>
      </c>
      <c r="BT557" s="1075" t="str">
        <f>IF(RG!G44=0,"","WARNING: Col 1 - Zero entry expected for your class")</f>
        <v/>
      </c>
      <c r="BU557" s="1066" t="e">
        <f>IF(#REF!=0,"","WARNING: Col 1 - Zero entry expected for your class")</f>
        <v>#REF!</v>
      </c>
      <c r="BV557" s="1076" t="str">
        <f>IF($E$64=0,"","Zero entry expected for your class")</f>
        <v/>
      </c>
      <c r="BW557" s="1066" t="e">
        <f>IF($E$121=0,"","WARNING: Col 1 - Zero entry expected for your class")</f>
        <v>#N/A</v>
      </c>
      <c r="BX557" s="1077" t="e">
        <f>IF($E$125&gt;=0,"","WARNING: Col 1 - Greater than or equal to zero expected for your class")</f>
        <v>#VALUE!</v>
      </c>
      <c r="BY557" s="1078" t="e">
        <f>IF($E$138&gt;=0,"","WARNING: Col 1 - Greater than or equal to zero expected for your class")</f>
        <v>#N/A</v>
      </c>
      <c r="BZ557" s="538"/>
    </row>
    <row r="558" spans="1:78" ht="11.5" hidden="1" customHeight="1" x14ac:dyDescent="0.35">
      <c r="A558"/>
      <c r="AA558"/>
      <c r="AZ558" s="1067" t="s">
        <v>118</v>
      </c>
      <c r="BA558" s="1079" t="str">
        <f>IF($E$29&lt;&gt;0,"","Entry expected for your class")</f>
        <v>Entry expected for your class</v>
      </c>
      <c r="BB558" s="1072" t="str">
        <f>IF($E$30&lt;&gt;0,"","Entry expected for your class")</f>
        <v>Entry expected for your class</v>
      </c>
      <c r="BC558" s="1072" t="str">
        <f>IF($E$31&lt;&gt;0,"","Entry expected for your class")</f>
        <v>Entry expected for your class</v>
      </c>
      <c r="BD558" s="1073" t="s">
        <v>84</v>
      </c>
      <c r="BE558" s="1072" t="str">
        <f>IF($E$35&lt;&gt;0,"","Entry expected for your class")</f>
        <v>Entry expected for your class</v>
      </c>
      <c r="BF558" s="1087" t="str">
        <f>IF($E$36&lt;&gt;0,"","Entry expected for your class")</f>
        <v>Entry expected for your class</v>
      </c>
      <c r="BG558" s="660" t="str">
        <f>IF($E$37&lt;&gt;0,"","Entry expected for your class")</f>
        <v>Entry expected for your class</v>
      </c>
      <c r="BH558" s="1071" t="str">
        <f t="shared" si="267"/>
        <v/>
      </c>
      <c r="BI558" s="1072" t="str">
        <f>IF($E$39&lt;&gt;0,"","Entry expected for your class")</f>
        <v>Entry expected for your class</v>
      </c>
      <c r="BJ558" s="1072" t="str">
        <f>IF($E$32&lt;&gt;0,"","Entry expected for your class")</f>
        <v>Entry expected for your class</v>
      </c>
      <c r="BK558" s="1073" t="s">
        <v>84</v>
      </c>
      <c r="BL558" s="1069" t="str">
        <f>IF($E$52=0,"","Zero entry expected for your class")</f>
        <v/>
      </c>
      <c r="BM558" s="1069" t="str">
        <f>IF($E$53=0,"","Zero entry expected for your class")</f>
        <v/>
      </c>
      <c r="BN558" s="1069" t="str">
        <f t="shared" si="268"/>
        <v/>
      </c>
      <c r="BO558" s="1073" t="s">
        <v>84</v>
      </c>
      <c r="BP558" s="1073" t="s">
        <v>84</v>
      </c>
      <c r="BQ558" s="1072" t="str">
        <f>IF($E$44&gt;0,"","Greater than zero expected for your class")</f>
        <v>Greater than zero expected for your class</v>
      </c>
      <c r="BR558" s="1087" t="str">
        <f>IF($E$45&gt;0,"","Greater than zero expected for your class")</f>
        <v>Greater than zero expected for your class</v>
      </c>
      <c r="BS558" s="660" t="str">
        <f>IF($E$46=0,"","Zero entry expected for your class")</f>
        <v/>
      </c>
      <c r="BT558" s="1081" t="str">
        <f>IF(RG!G44&gt;0,"","WARNING: Col 1 - Greater than zero expected for your class")</f>
        <v>WARNING: Col 1 - Greater than zero expected for your class</v>
      </c>
      <c r="BU558" s="1082" t="s">
        <v>84</v>
      </c>
      <c r="BV558" s="1076" t="str">
        <f>IF($E$64=0,"","Zero entry expected for your class")</f>
        <v/>
      </c>
      <c r="BW558" s="1084" t="e">
        <f>IF($E$121&gt;0,"","WARNING: Col 1 - Greater than zero expected for your class")</f>
        <v>#N/A</v>
      </c>
      <c r="BX558" s="1084" t="e">
        <f>IF($E$125&gt;0,"","WARNING: Col 1 - Greater than zero expected for your class")</f>
        <v>#VALUE!</v>
      </c>
      <c r="BY558" s="1085" t="e">
        <f>IF($E$138&gt;0,"","WARNING: Col 1 - Greater than zero expected for your class")</f>
        <v>#N/A</v>
      </c>
      <c r="BZ558" s="538"/>
    </row>
    <row r="559" spans="1:78" ht="11.5" hidden="1" customHeight="1" x14ac:dyDescent="0.35">
      <c r="A559"/>
      <c r="AA559"/>
      <c r="AZ559" s="1067" t="s">
        <v>61</v>
      </c>
      <c r="BA559" s="1068" t="str">
        <f>IF($E$29=0,"","Zero entry expected for your class")</f>
        <v/>
      </c>
      <c r="BB559" s="1073" t="s">
        <v>84</v>
      </c>
      <c r="BC559" s="1073" t="s">
        <v>84</v>
      </c>
      <c r="BD559" s="1072" t="str">
        <f>IF($E$34&lt;&gt;0,"","Entry expected for your class")</f>
        <v>Entry expected for your class</v>
      </c>
      <c r="BE559" s="1072" t="str">
        <f>IF($E$35&lt;&gt;0,"","Entry expected for your class")</f>
        <v>Entry expected for your class</v>
      </c>
      <c r="BF559" s="1087" t="str">
        <f>IF($E$36&lt;&gt;0,"","Entry expected for your class")</f>
        <v>Entry expected for your class</v>
      </c>
      <c r="BG559" s="660" t="str">
        <f>IF($E$37&lt;&gt;0,"","Entry expected for your class")</f>
        <v>Entry expected for your class</v>
      </c>
      <c r="BH559" s="1071" t="str">
        <f t="shared" si="267"/>
        <v/>
      </c>
      <c r="BI559" s="1069" t="str">
        <f>IF($E$39=0,"","Zero entry expected for your class")</f>
        <v/>
      </c>
      <c r="BJ559" s="1073" t="s">
        <v>84</v>
      </c>
      <c r="BK559" s="1073" t="s">
        <v>84</v>
      </c>
      <c r="BL559" s="1069" t="str">
        <f>IF($E$52=0,"","Zero entry expected for your class")</f>
        <v/>
      </c>
      <c r="BM559" s="1069" t="str">
        <f>IF($E$53=0,"","Zero entry expected for your class")</f>
        <v/>
      </c>
      <c r="BN559" s="1069" t="str">
        <f t="shared" si="268"/>
        <v/>
      </c>
      <c r="BO559" s="1073" t="s">
        <v>84</v>
      </c>
      <c r="BP559" s="1073" t="s">
        <v>84</v>
      </c>
      <c r="BQ559" s="1072" t="str">
        <f>IF($E$44&gt;0,"","Greater than zero expected for your class")</f>
        <v>Greater than zero expected for your class</v>
      </c>
      <c r="BR559" s="1094" t="str">
        <f>IF($E$45&gt;=0,"","Greater than or equal to zero expected for your class")</f>
        <v/>
      </c>
      <c r="BS559" s="662" t="s">
        <v>84</v>
      </c>
      <c r="BT559" s="1081" t="str">
        <f>IF(RG!G44&gt;0,"","WARNING: Col 1 - Greater than zero expected for your class")</f>
        <v>WARNING: Col 1 - Greater than zero expected for your class</v>
      </c>
      <c r="BU559" s="1082" t="s">
        <v>84</v>
      </c>
      <c r="BV559" s="1076" t="str">
        <f>IF($E$64=0,"","Zero entry expected for your class")</f>
        <v/>
      </c>
      <c r="BW559" s="1066" t="e">
        <f>IF($E$121=0,"","WARNING: Col 1 - Zero entry expected for your class")</f>
        <v>#N/A</v>
      </c>
      <c r="BX559" s="1084" t="e">
        <f>IF($E$125&gt;0,"","WARNING: Col 1 - Greater than zero expected for your class")</f>
        <v>#VALUE!</v>
      </c>
      <c r="BY559" s="1085" t="e">
        <f>IF($E$138&gt;0,"","WARNING: Col 1 - Greater than zero expected for your class")</f>
        <v>#N/A</v>
      </c>
      <c r="BZ559" s="538"/>
    </row>
    <row r="560" spans="1:78" ht="11.5" hidden="1" customHeight="1" x14ac:dyDescent="0.35">
      <c r="A560"/>
      <c r="AA560"/>
      <c r="AZ560" s="1067" t="s">
        <v>125</v>
      </c>
      <c r="BA560" s="1079" t="str">
        <f>IF($E$29&lt;&gt;0,"","Entry expected for your class")</f>
        <v>Entry expected for your class</v>
      </c>
      <c r="BB560" s="1072" t="str">
        <f>IF($E$30&lt;&gt;0,"","Entry expected for your class")</f>
        <v>Entry expected for your class</v>
      </c>
      <c r="BC560" s="1072" t="str">
        <f>IF($E$31&lt;&gt;0,"","Entry expected for your class")</f>
        <v>Entry expected for your class</v>
      </c>
      <c r="BD560" s="1072" t="str">
        <f>IF($E$34&lt;&gt;0,"","Entry expected for your class")</f>
        <v>Entry expected for your class</v>
      </c>
      <c r="BE560" s="1072" t="str">
        <f>IF($E$35&lt;&gt;0,"","Entry expected for your class")</f>
        <v>Entry expected for your class</v>
      </c>
      <c r="BF560" s="1087" t="str">
        <f>IF($E$36&lt;&gt;0,"","Entry expected for your class")</f>
        <v>Entry expected for your class</v>
      </c>
      <c r="BG560" s="660" t="str">
        <f>IF($E$37&lt;&gt;0,"","Entry expected for your class")</f>
        <v>Entry expected for your class</v>
      </c>
      <c r="BH560" s="1071" t="str">
        <f t="shared" si="267"/>
        <v/>
      </c>
      <c r="BI560" s="1073" t="s">
        <v>84</v>
      </c>
      <c r="BJ560" s="1072" t="str">
        <f>IF($E$32&lt;&gt;0,"","Entry expected for your class")</f>
        <v>Entry expected for your class</v>
      </c>
      <c r="BK560" s="1073" t="s">
        <v>84</v>
      </c>
      <c r="BL560" s="1069" t="str">
        <f>IF($E$52=0,"","Zero entry expected for your class")</f>
        <v/>
      </c>
      <c r="BM560" s="1069" t="str">
        <f>IF($E$53=0,"","Zero entry expected for your class")</f>
        <v/>
      </c>
      <c r="BN560" s="1069" t="str">
        <f t="shared" si="268"/>
        <v/>
      </c>
      <c r="BO560" s="1073" t="s">
        <v>84</v>
      </c>
      <c r="BP560" s="1073" t="s">
        <v>84</v>
      </c>
      <c r="BQ560" s="1072" t="str">
        <f>IF($E$44&gt;0,"","Greater than zero expected for your class")</f>
        <v>Greater than zero expected for your class</v>
      </c>
      <c r="BR560" s="1094" t="str">
        <f>IF($E$45&gt;=0,"","Greater than or equal to zero expected for your class")</f>
        <v/>
      </c>
      <c r="BS560" s="662" t="s">
        <v>84</v>
      </c>
      <c r="BT560" s="1081" t="str">
        <f>IF(RG!G44&gt;0,"","WARNING: Col 1 - Greater than zero expected for your class")</f>
        <v>WARNING: Col 1 - Greater than zero expected for your class</v>
      </c>
      <c r="BU560" s="1082" t="s">
        <v>84</v>
      </c>
      <c r="BV560" s="1083" t="str">
        <f>IF($E$64&gt;0,"","Greater than zero expected for your class")</f>
        <v>Greater than zero expected for your class</v>
      </c>
      <c r="BW560" s="1084" t="e">
        <f>IF($E$121&gt;0,"","WARNING: Col 1 - Greater than zero expected for your class")</f>
        <v>#N/A</v>
      </c>
      <c r="BX560" s="1084" t="e">
        <f>IF($E$125&gt;0,"","WARNING: Col 1 - Greater than zero expected for your class")</f>
        <v>#VALUE!</v>
      </c>
      <c r="BY560" s="1085" t="e">
        <f>IF($E$138&gt;0,"","WARNING: Col 1 - Greater than zero expected for your class")</f>
        <v>#N/A</v>
      </c>
      <c r="BZ560" s="538"/>
    </row>
    <row r="561" spans="1:78" ht="11.5" hidden="1" customHeight="1" thickBot="1" x14ac:dyDescent="0.4">
      <c r="A561"/>
      <c r="AA561"/>
      <c r="AZ561" s="1096" t="s">
        <v>129</v>
      </c>
      <c r="BA561" s="1097" t="str">
        <f>IF($E$29=0,"","Zero entry expected for your class")</f>
        <v/>
      </c>
      <c r="BB561" s="1098" t="str">
        <f>IF($E$30=0,"","Zero entry expected for your class")</f>
        <v/>
      </c>
      <c r="BC561" s="1098" t="str">
        <f>IF($E$31=0,"","Zero entry expected for your class")</f>
        <v/>
      </c>
      <c r="BD561" s="1098" t="str">
        <f>IF($E$34=0,"","Zero entry expected for your class")</f>
        <v/>
      </c>
      <c r="BE561" s="1098" t="str">
        <f>IF($E$35=0,"","Zero entry expected for your class")</f>
        <v/>
      </c>
      <c r="BF561" s="1099" t="str">
        <f>IF($E$36&lt;&gt;0,"","Entry expected for your class")</f>
        <v>Entry expected for your class</v>
      </c>
      <c r="BG561" s="84" t="str">
        <f>IF($E$37=0,"","Zero entry expected for your class")</f>
        <v/>
      </c>
      <c r="BH561" s="1100" t="str">
        <f t="shared" si="267"/>
        <v/>
      </c>
      <c r="BI561" s="1098" t="str">
        <f>IF($E$39=0,"","Zero entry expected for your class")</f>
        <v/>
      </c>
      <c r="BJ561" s="1098" t="str">
        <f>IF($E$32=0,"","Zero entry expected for your class")</f>
        <v/>
      </c>
      <c r="BK561" s="1101" t="s">
        <v>84</v>
      </c>
      <c r="BL561" s="1098" t="str">
        <f>IF($E$52=0,"","Zero entry expected for your class")</f>
        <v/>
      </c>
      <c r="BM561" s="1102" t="str">
        <f>IF($E$53&lt;0,"","Negative entry expected for your class - also give a levy breakdown in the Levy tab")</f>
        <v>Negative entry expected for your class - also give a levy breakdown in the Levy tab</v>
      </c>
      <c r="BN561" s="1098" t="str">
        <f t="shared" si="268"/>
        <v/>
      </c>
      <c r="BO561" s="1101" t="s">
        <v>84</v>
      </c>
      <c r="BP561" s="1098" t="str">
        <f>IF($E$48=0,"","WARNING: Col 1 - Zero entry expected for your class")</f>
        <v/>
      </c>
      <c r="BQ561" s="1098" t="str">
        <f>IF($E$44=0,"","Zero entry expected for your class")</f>
        <v/>
      </c>
      <c r="BR561" s="1103" t="str">
        <f>IF($E$45=0,"","Zero entry expected for your class")</f>
        <v/>
      </c>
      <c r="BS561" s="83" t="str">
        <f>IF($E$46=0,"","Zero entry expected for your class")</f>
        <v/>
      </c>
      <c r="BT561" s="1104" t="str">
        <f>IF(RG!G44=0,"","WARNING: Col 1 - Zero entry expected for your class")</f>
        <v/>
      </c>
      <c r="BU561" s="1105" t="e">
        <f>IF(#REF!=0,"","WARNING: Col 1 - Zero entry expected for your class")</f>
        <v>#REF!</v>
      </c>
      <c r="BV561" s="1106" t="str">
        <f>IF($E$64=0,"","Zero entry expected for your class")</f>
        <v/>
      </c>
      <c r="BW561" s="1105" t="e">
        <f>IF($E$121=0,"","WARNING: Col 1 - Zero entry expected for your class")</f>
        <v>#N/A</v>
      </c>
      <c r="BX561" s="1107" t="e">
        <f>IF($E$125&gt;=0,"","WARNING: Col 1 - Greater than or equal to zero expected for your class")</f>
        <v>#VALUE!</v>
      </c>
      <c r="BY561" s="1108" t="e">
        <f>IF($E$138&gt;=0,"","WARNING: Col 1 - Greater than or equal to zero expected for your class")</f>
        <v>#N/A</v>
      </c>
      <c r="BZ561" s="538"/>
    </row>
    <row r="562" spans="1:78" ht="11.5" hidden="1" customHeight="1" x14ac:dyDescent="0.25">
      <c r="A562" s="655"/>
    </row>
    <row r="563" spans="1:78" ht="11.5" hidden="1" customHeight="1" x14ac:dyDescent="0.25">
      <c r="A563" s="655"/>
    </row>
    <row r="564" spans="1:78" ht="11.5" hidden="1" customHeight="1" x14ac:dyDescent="0.25">
      <c r="A564" s="655"/>
    </row>
    <row r="565" spans="1:78" ht="11.5" hidden="1" customHeight="1" x14ac:dyDescent="0.25">
      <c r="A565" s="655"/>
    </row>
    <row r="566" spans="1:78" ht="11.5" hidden="1" customHeight="1" x14ac:dyDescent="0.25">
      <c r="A566" s="655"/>
    </row>
    <row r="567" spans="1:78" ht="11.5" hidden="1" customHeight="1" x14ac:dyDescent="0.25">
      <c r="A567" s="655"/>
    </row>
    <row r="568" spans="1:78" ht="11.5" hidden="1" customHeight="1" x14ac:dyDescent="0.25">
      <c r="A568" s="655"/>
    </row>
    <row r="569" spans="1:78" ht="11.5" hidden="1" customHeight="1" x14ac:dyDescent="0.25">
      <c r="A569" s="655"/>
    </row>
    <row r="570" spans="1:78" ht="11.5" hidden="1" customHeight="1" x14ac:dyDescent="0.25">
      <c r="A570" s="655"/>
    </row>
    <row r="571" spans="1:78" ht="11.5" hidden="1" customHeight="1" x14ac:dyDescent="0.25">
      <c r="A571" s="655"/>
    </row>
    <row r="572" spans="1:78" ht="11.5" hidden="1" customHeight="1" x14ac:dyDescent="0.25">
      <c r="A572" s="655"/>
    </row>
    <row r="573" spans="1:78" ht="11.5" hidden="1" customHeight="1" x14ac:dyDescent="0.25">
      <c r="A573" s="655"/>
    </row>
    <row r="574" spans="1:78" ht="11.5" hidden="1" customHeight="1" x14ac:dyDescent="0.25">
      <c r="A574" s="655"/>
    </row>
    <row r="575" spans="1:78" ht="11.5" hidden="1" customHeight="1" x14ac:dyDescent="0.25">
      <c r="A575" s="655"/>
    </row>
    <row r="576" spans="1:78" ht="11.5" hidden="1" customHeight="1" x14ac:dyDescent="0.25">
      <c r="A576" s="655"/>
    </row>
    <row r="577" spans="1:1" ht="11.5" hidden="1" customHeight="1" x14ac:dyDescent="0.25">
      <c r="A577" s="655"/>
    </row>
    <row r="578" spans="1:1" ht="11.5" hidden="1" customHeight="1" x14ac:dyDescent="0.25">
      <c r="A578" s="655"/>
    </row>
    <row r="579" spans="1:1" ht="11.5" hidden="1" customHeight="1" x14ac:dyDescent="0.25">
      <c r="A579" s="655"/>
    </row>
    <row r="580" spans="1:1" ht="11.5" hidden="1" customHeight="1" x14ac:dyDescent="0.25">
      <c r="A580" s="655"/>
    </row>
    <row r="581" spans="1:1" ht="11.5" hidden="1" customHeight="1" x14ac:dyDescent="0.25">
      <c r="A581" s="655"/>
    </row>
    <row r="582" spans="1:1" ht="11.5" hidden="1" customHeight="1" x14ac:dyDescent="0.25">
      <c r="A582" s="655"/>
    </row>
    <row r="583" spans="1:1" ht="11.5" hidden="1" customHeight="1" x14ac:dyDescent="0.25">
      <c r="A583" s="655"/>
    </row>
    <row r="584" spans="1:1" ht="11.5" hidden="1" customHeight="1" x14ac:dyDescent="0.25">
      <c r="A584" s="655"/>
    </row>
    <row r="585" spans="1:1" ht="11.5" hidden="1" customHeight="1" x14ac:dyDescent="0.25">
      <c r="A585" s="655"/>
    </row>
    <row r="586" spans="1:1" ht="11.5" hidden="1" customHeight="1" x14ac:dyDescent="0.25">
      <c r="A586" s="655"/>
    </row>
    <row r="587" spans="1:1" ht="11.5" hidden="1" customHeight="1" x14ac:dyDescent="0.25">
      <c r="A587" s="655"/>
    </row>
    <row r="588" spans="1:1" ht="11.5" hidden="1" customHeight="1" x14ac:dyDescent="0.25">
      <c r="A588" s="655"/>
    </row>
    <row r="589" spans="1:1" ht="11.5" hidden="1" customHeight="1" x14ac:dyDescent="0.25">
      <c r="A589" s="655"/>
    </row>
    <row r="590" spans="1:1" ht="11.5" hidden="1" customHeight="1" x14ac:dyDescent="0.25">
      <c r="A590" s="655"/>
    </row>
    <row r="591" spans="1:1" ht="11.5" hidden="1" customHeight="1" x14ac:dyDescent="0.25">
      <c r="A591" s="655"/>
    </row>
    <row r="592" spans="1:1" ht="11.5" hidden="1" customHeight="1" x14ac:dyDescent="0.25">
      <c r="A592" s="655"/>
    </row>
    <row r="593" spans="1:1" ht="11.5" hidden="1" customHeight="1" x14ac:dyDescent="0.25">
      <c r="A593" s="655"/>
    </row>
    <row r="594" spans="1:1" ht="11.5" hidden="1" customHeight="1" x14ac:dyDescent="0.25">
      <c r="A594" s="655"/>
    </row>
    <row r="595" spans="1:1" ht="11.5" hidden="1" customHeight="1" x14ac:dyDescent="0.25">
      <c r="A595" s="655"/>
    </row>
    <row r="596" spans="1:1" ht="11.5" hidden="1" customHeight="1" x14ac:dyDescent="0.25">
      <c r="A596" s="655"/>
    </row>
    <row r="597" spans="1:1" ht="11.5" hidden="1" customHeight="1" x14ac:dyDescent="0.25">
      <c r="A597" s="655"/>
    </row>
    <row r="598" spans="1:1" ht="11.5" hidden="1" customHeight="1" x14ac:dyDescent="0.25">
      <c r="A598" s="655"/>
    </row>
    <row r="599" spans="1:1" ht="11.5" hidden="1" customHeight="1" x14ac:dyDescent="0.25">
      <c r="A599" s="655"/>
    </row>
    <row r="600" spans="1:1" ht="11.5" hidden="1" customHeight="1" x14ac:dyDescent="0.25">
      <c r="A600" s="655"/>
    </row>
    <row r="601" spans="1:1" ht="11.5" hidden="1" customHeight="1" x14ac:dyDescent="0.25">
      <c r="A601" s="655"/>
    </row>
    <row r="602" spans="1:1" ht="11.5" hidden="1" customHeight="1" x14ac:dyDescent="0.25">
      <c r="A602" s="655"/>
    </row>
    <row r="603" spans="1:1" ht="11.5" hidden="1" customHeight="1" x14ac:dyDescent="0.25">
      <c r="A603" s="655"/>
    </row>
    <row r="604" spans="1:1" ht="11.5" hidden="1" customHeight="1" x14ac:dyDescent="0.25">
      <c r="A604" s="655"/>
    </row>
    <row r="605" spans="1:1" ht="11.5" hidden="1" customHeight="1" x14ac:dyDescent="0.25">
      <c r="A605" s="655"/>
    </row>
    <row r="606" spans="1:1" ht="11.5" hidden="1" customHeight="1" x14ac:dyDescent="0.25">
      <c r="A606" s="655"/>
    </row>
    <row r="607" spans="1:1" ht="11.5" hidden="1" customHeight="1" x14ac:dyDescent="0.25">
      <c r="A607" s="655"/>
    </row>
    <row r="608" spans="1:1" ht="11.5" hidden="1" customHeight="1" x14ac:dyDescent="0.25">
      <c r="A608" s="655"/>
    </row>
    <row r="609" spans="1:1" ht="11.5" hidden="1" customHeight="1" x14ac:dyDescent="0.25">
      <c r="A609" s="655"/>
    </row>
    <row r="610" spans="1:1" ht="11.5" hidden="1" customHeight="1" x14ac:dyDescent="0.25">
      <c r="A610" s="655"/>
    </row>
    <row r="611" spans="1:1" ht="11.5" hidden="1" customHeight="1" x14ac:dyDescent="0.25">
      <c r="A611" s="655"/>
    </row>
    <row r="612" spans="1:1" ht="11.5" hidden="1" customHeight="1" x14ac:dyDescent="0.25">
      <c r="A612" s="655"/>
    </row>
    <row r="613" spans="1:1" ht="11.5" hidden="1" customHeight="1" x14ac:dyDescent="0.25">
      <c r="A613" s="655"/>
    </row>
    <row r="614" spans="1:1" ht="11.5" hidden="1" customHeight="1" x14ac:dyDescent="0.25">
      <c r="A614" s="655"/>
    </row>
    <row r="615" spans="1:1" ht="11.5" hidden="1" customHeight="1" x14ac:dyDescent="0.25">
      <c r="A615" s="655"/>
    </row>
    <row r="616" spans="1:1" ht="11.5" hidden="1" customHeight="1" x14ac:dyDescent="0.25">
      <c r="A616" s="655"/>
    </row>
    <row r="617" spans="1:1" ht="11.5" hidden="1" customHeight="1" x14ac:dyDescent="0.25">
      <c r="A617" s="655"/>
    </row>
    <row r="618" spans="1:1" ht="11.5" hidden="1" customHeight="1" x14ac:dyDescent="0.25">
      <c r="A618" s="655"/>
    </row>
    <row r="619" spans="1:1" ht="11.5" hidden="1" customHeight="1" x14ac:dyDescent="0.25">
      <c r="A619" s="655"/>
    </row>
    <row r="620" spans="1:1" ht="11.5" hidden="1" customHeight="1" x14ac:dyDescent="0.25">
      <c r="A620" s="655"/>
    </row>
    <row r="621" spans="1:1" ht="11.5" hidden="1" customHeight="1" x14ac:dyDescent="0.25">
      <c r="A621" s="655"/>
    </row>
    <row r="622" spans="1:1" ht="11.5" hidden="1" customHeight="1" x14ac:dyDescent="0.25">
      <c r="A622" s="655"/>
    </row>
    <row r="623" spans="1:1" ht="11.5" hidden="1" customHeight="1" x14ac:dyDescent="0.25">
      <c r="A623" s="655"/>
    </row>
    <row r="624" spans="1:1" ht="11.5" hidden="1" customHeight="1" x14ac:dyDescent="0.25">
      <c r="A624" s="655"/>
    </row>
    <row r="625" spans="1:1" ht="11.5" hidden="1" customHeight="1" x14ac:dyDescent="0.25">
      <c r="A625" s="655"/>
    </row>
    <row r="626" spans="1:1" ht="11.5" hidden="1" customHeight="1" x14ac:dyDescent="0.25">
      <c r="A626" s="655"/>
    </row>
    <row r="627" spans="1:1" ht="11.5" hidden="1" customHeight="1" x14ac:dyDescent="0.25">
      <c r="A627" s="655"/>
    </row>
    <row r="628" spans="1:1" ht="11.5" hidden="1" customHeight="1" x14ac:dyDescent="0.25">
      <c r="A628" s="655"/>
    </row>
    <row r="629" spans="1:1" ht="11.5" hidden="1" customHeight="1" x14ac:dyDescent="0.25">
      <c r="A629" s="655"/>
    </row>
    <row r="630" spans="1:1" ht="11.5" hidden="1" customHeight="1" x14ac:dyDescent="0.25">
      <c r="A630" s="655"/>
    </row>
    <row r="631" spans="1:1" ht="11.5" hidden="1" customHeight="1" x14ac:dyDescent="0.25">
      <c r="A631" s="655"/>
    </row>
    <row r="632" spans="1:1" ht="11.5" hidden="1" customHeight="1" x14ac:dyDescent="0.25">
      <c r="A632" s="655"/>
    </row>
    <row r="633" spans="1:1" ht="11.5" hidden="1" customHeight="1" x14ac:dyDescent="0.25">
      <c r="A633" s="655"/>
    </row>
    <row r="634" spans="1:1" ht="11.5" hidden="1" customHeight="1" x14ac:dyDescent="0.25">
      <c r="A634" s="655"/>
    </row>
    <row r="635" spans="1:1" ht="11.5" hidden="1" customHeight="1" x14ac:dyDescent="0.25">
      <c r="A635" s="655"/>
    </row>
    <row r="636" spans="1:1" ht="11.5" hidden="1" customHeight="1" x14ac:dyDescent="0.25">
      <c r="A636" s="655"/>
    </row>
    <row r="637" spans="1:1" ht="11.5" hidden="1" customHeight="1" x14ac:dyDescent="0.25">
      <c r="A637" s="655"/>
    </row>
    <row r="638" spans="1:1" ht="11.5" hidden="1" customHeight="1" x14ac:dyDescent="0.25">
      <c r="A638" s="655"/>
    </row>
    <row r="639" spans="1:1" ht="11.5" hidden="1" customHeight="1" x14ac:dyDescent="0.25">
      <c r="A639" s="655"/>
    </row>
    <row r="640" spans="1:1" ht="11.5" hidden="1" customHeight="1" x14ac:dyDescent="0.25">
      <c r="A640" s="655"/>
    </row>
    <row r="641" spans="1:1" ht="11.5" hidden="1" customHeight="1" x14ac:dyDescent="0.25">
      <c r="A641" s="655"/>
    </row>
    <row r="642" spans="1:1" ht="11.5" hidden="1" customHeight="1" x14ac:dyDescent="0.25">
      <c r="A642" s="655"/>
    </row>
    <row r="643" spans="1:1" ht="11.5" hidden="1" customHeight="1" x14ac:dyDescent="0.25">
      <c r="A643" s="655"/>
    </row>
    <row r="644" spans="1:1" ht="11.5" hidden="1" customHeight="1" x14ac:dyDescent="0.25">
      <c r="A644" s="655"/>
    </row>
    <row r="645" spans="1:1" ht="11.5" hidden="1" customHeight="1" x14ac:dyDescent="0.25">
      <c r="A645" s="655"/>
    </row>
    <row r="646" spans="1:1" ht="11.5" hidden="1" customHeight="1" x14ac:dyDescent="0.25">
      <c r="A646" s="655"/>
    </row>
    <row r="647" spans="1:1" ht="11.5" hidden="1" customHeight="1" x14ac:dyDescent="0.25">
      <c r="A647" s="655"/>
    </row>
    <row r="648" spans="1:1" ht="11.5" hidden="1" customHeight="1" x14ac:dyDescent="0.25">
      <c r="A648" s="655"/>
    </row>
    <row r="649" spans="1:1" ht="11.5" hidden="1" customHeight="1" x14ac:dyDescent="0.25">
      <c r="A649" s="655"/>
    </row>
    <row r="650" spans="1:1" ht="11.5" hidden="1" customHeight="1" x14ac:dyDescent="0.25">
      <c r="A650" s="655"/>
    </row>
    <row r="651" spans="1:1" ht="11.5" hidden="1" customHeight="1" x14ac:dyDescent="0.25">
      <c r="A651" s="655"/>
    </row>
    <row r="652" spans="1:1" ht="11.5" hidden="1" customHeight="1" x14ac:dyDescent="0.25">
      <c r="A652" s="655"/>
    </row>
    <row r="653" spans="1:1" ht="11.5" hidden="1" customHeight="1" x14ac:dyDescent="0.25">
      <c r="A653" s="655"/>
    </row>
    <row r="654" spans="1:1" ht="11.5" hidden="1" customHeight="1" x14ac:dyDescent="0.25">
      <c r="A654" s="655"/>
    </row>
    <row r="655" spans="1:1" ht="11.5" hidden="1" customHeight="1" x14ac:dyDescent="0.25">
      <c r="A655" s="655"/>
    </row>
    <row r="656" spans="1:1" ht="11.5" hidden="1" customHeight="1" x14ac:dyDescent="0.25">
      <c r="A656" s="655"/>
    </row>
    <row r="657" ht="11.5" hidden="1" customHeight="1" x14ac:dyDescent="0.25"/>
    <row r="658" ht="11.5" hidden="1" customHeight="1" x14ac:dyDescent="0.25"/>
    <row r="659" ht="11.5" hidden="1" customHeight="1" x14ac:dyDescent="0.25"/>
    <row r="660" ht="11.5" hidden="1" customHeight="1" x14ac:dyDescent="0.25"/>
    <row r="661" ht="11.5" hidden="1" customHeight="1" x14ac:dyDescent="0.25"/>
    <row r="662" ht="11.5" hidden="1" customHeight="1" x14ac:dyDescent="0.25"/>
    <row r="663" ht="11.5" hidden="1" customHeight="1" x14ac:dyDescent="0.25"/>
    <row r="664" ht="11.5" hidden="1" customHeight="1" x14ac:dyDescent="0.25"/>
    <row r="665" ht="11.5" hidden="1" customHeight="1" x14ac:dyDescent="0.25"/>
    <row r="666" ht="11.5" hidden="1" customHeight="1" x14ac:dyDescent="0.25"/>
    <row r="667" ht="11.5" hidden="1" customHeight="1" x14ac:dyDescent="0.25"/>
    <row r="668" ht="11.5" hidden="1" customHeight="1" x14ac:dyDescent="0.25"/>
    <row r="669" ht="11.5" hidden="1" customHeight="1" x14ac:dyDescent="0.25"/>
    <row r="670" ht="11.5" hidden="1" customHeight="1" x14ac:dyDescent="0.25"/>
    <row r="671" ht="11.5" hidden="1" customHeight="1" x14ac:dyDescent="0.25"/>
    <row r="672" ht="11.5" hidden="1" customHeight="1" x14ac:dyDescent="0.25"/>
    <row r="673" ht="11.5" hidden="1" customHeight="1" x14ac:dyDescent="0.25"/>
    <row r="674" ht="11.5" hidden="1" customHeight="1" x14ac:dyDescent="0.25"/>
    <row r="675" ht="11.5" hidden="1" customHeight="1" x14ac:dyDescent="0.25"/>
    <row r="676" ht="11.5" hidden="1" customHeight="1" x14ac:dyDescent="0.25"/>
    <row r="677" ht="11.5" hidden="1" customHeight="1" x14ac:dyDescent="0.25"/>
    <row r="678" ht="11.5" hidden="1" customHeight="1" x14ac:dyDescent="0.25"/>
    <row r="679" ht="11.5" hidden="1" customHeight="1" x14ac:dyDescent="0.25"/>
    <row r="680" ht="11.5" hidden="1" customHeight="1" x14ac:dyDescent="0.25"/>
    <row r="681" ht="11.5" hidden="1" customHeight="1" x14ac:dyDescent="0.25"/>
    <row r="682" ht="11.5" hidden="1" customHeight="1" x14ac:dyDescent="0.25"/>
    <row r="683" ht="11.5" hidden="1" customHeight="1" x14ac:dyDescent="0.25"/>
    <row r="684" ht="11.5" hidden="1" customHeight="1" x14ac:dyDescent="0.25"/>
    <row r="685" ht="11.5" hidden="1" customHeight="1" x14ac:dyDescent="0.25"/>
    <row r="686" ht="11.5" hidden="1" customHeight="1" x14ac:dyDescent="0.25"/>
    <row r="687" ht="11.5" hidden="1" customHeight="1" x14ac:dyDescent="0.25"/>
    <row r="688" ht="11.5" hidden="1" customHeight="1" x14ac:dyDescent="0.25"/>
    <row r="689" ht="11.5" hidden="1" customHeight="1" x14ac:dyDescent="0.25"/>
    <row r="690" ht="11.5" hidden="1" customHeight="1" x14ac:dyDescent="0.25"/>
    <row r="691" ht="11.5" hidden="1" customHeight="1" x14ac:dyDescent="0.25"/>
    <row r="692" ht="11.5" hidden="1" customHeight="1" x14ac:dyDescent="0.25"/>
    <row r="693" ht="11.5" hidden="1" customHeight="1" x14ac:dyDescent="0.25"/>
    <row r="694" ht="11.5" hidden="1" customHeight="1" x14ac:dyDescent="0.25"/>
    <row r="695" ht="11.5" hidden="1" customHeight="1" x14ac:dyDescent="0.25"/>
    <row r="696" ht="11.5" hidden="1" customHeight="1" x14ac:dyDescent="0.25"/>
    <row r="697" ht="11.5" hidden="1" customHeight="1" x14ac:dyDescent="0.25"/>
    <row r="698" ht="11.5" hidden="1" customHeight="1" x14ac:dyDescent="0.25"/>
    <row r="699" ht="11.5" hidden="1" customHeight="1" x14ac:dyDescent="0.25"/>
    <row r="700" ht="11.5" hidden="1" customHeight="1" x14ac:dyDescent="0.25"/>
    <row r="701" ht="11.5" hidden="1" customHeight="1" x14ac:dyDescent="0.25"/>
    <row r="702" ht="11.5" hidden="1" customHeight="1" x14ac:dyDescent="0.25"/>
    <row r="703" ht="11.5" hidden="1" customHeight="1" x14ac:dyDescent="0.25"/>
    <row r="704" ht="11.5" hidden="1" customHeight="1" x14ac:dyDescent="0.25"/>
    <row r="705" ht="11.5" hidden="1" customHeight="1" x14ac:dyDescent="0.25"/>
    <row r="706" ht="11.5" hidden="1" customHeight="1" x14ac:dyDescent="0.25"/>
    <row r="707" ht="11.5" hidden="1" customHeight="1" x14ac:dyDescent="0.25"/>
    <row r="708" ht="11.5" hidden="1" customHeight="1" x14ac:dyDescent="0.25"/>
    <row r="709" ht="11.5" hidden="1" customHeight="1" x14ac:dyDescent="0.25"/>
    <row r="710" ht="11.5" hidden="1" customHeight="1" x14ac:dyDescent="0.25"/>
    <row r="711" ht="11.5" hidden="1" customHeight="1" x14ac:dyDescent="0.25"/>
    <row r="712" ht="11.5" hidden="1" customHeight="1" x14ac:dyDescent="0.25"/>
    <row r="713" ht="11.5" hidden="1" customHeight="1" x14ac:dyDescent="0.25"/>
    <row r="714" ht="11.5" hidden="1" customHeight="1" x14ac:dyDescent="0.25"/>
    <row r="715" ht="11.5" hidden="1" customHeight="1" x14ac:dyDescent="0.25"/>
    <row r="716" ht="11.5" hidden="1" customHeight="1" x14ac:dyDescent="0.25"/>
    <row r="717" ht="11.5" hidden="1" customHeight="1" x14ac:dyDescent="0.25"/>
    <row r="718" ht="11.5" hidden="1" customHeight="1" x14ac:dyDescent="0.25"/>
    <row r="719" ht="11.5" hidden="1" customHeight="1" x14ac:dyDescent="0.25"/>
    <row r="720" ht="11.5" hidden="1" customHeight="1" x14ac:dyDescent="0.25"/>
    <row r="721" ht="11.5" hidden="1" customHeight="1" x14ac:dyDescent="0.25"/>
    <row r="722" ht="11.5" hidden="1" customHeight="1" x14ac:dyDescent="0.25"/>
    <row r="723" ht="11.5" hidden="1" customHeight="1" x14ac:dyDescent="0.25"/>
    <row r="724" ht="11.5" hidden="1" customHeight="1" x14ac:dyDescent="0.25"/>
    <row r="725" ht="11.5" hidden="1" customHeight="1" x14ac:dyDescent="0.25"/>
    <row r="726" ht="11.5" hidden="1" customHeight="1" x14ac:dyDescent="0.25"/>
    <row r="727" ht="11.5" hidden="1" customHeight="1" x14ac:dyDescent="0.25"/>
    <row r="728" ht="11.5" hidden="1" customHeight="1" x14ac:dyDescent="0.25"/>
    <row r="729" ht="11.5" hidden="1" customHeight="1" x14ac:dyDescent="0.25"/>
    <row r="730" ht="11.5" hidden="1" customHeight="1" x14ac:dyDescent="0.25"/>
    <row r="731" ht="11.5" hidden="1" customHeight="1" x14ac:dyDescent="0.25"/>
    <row r="732" ht="11.5" hidden="1" customHeight="1" x14ac:dyDescent="0.25"/>
    <row r="733" ht="11.5" hidden="1" customHeight="1" x14ac:dyDescent="0.25"/>
    <row r="734" ht="11.5" hidden="1" customHeight="1" x14ac:dyDescent="0.25"/>
    <row r="735" ht="11.5" hidden="1" customHeight="1" x14ac:dyDescent="0.25"/>
    <row r="736" ht="11.5" hidden="1" customHeight="1" x14ac:dyDescent="0.25"/>
    <row r="737" ht="11.5" hidden="1" customHeight="1" x14ac:dyDescent="0.25"/>
    <row r="738" ht="11.5" hidden="1" customHeight="1" x14ac:dyDescent="0.25"/>
    <row r="739" ht="11.5" hidden="1" customHeight="1" x14ac:dyDescent="0.25"/>
    <row r="740" ht="11.5" hidden="1" customHeight="1" x14ac:dyDescent="0.25"/>
    <row r="741" ht="11.5" hidden="1" customHeight="1" x14ac:dyDescent="0.25"/>
    <row r="742" ht="11.5" hidden="1" customHeight="1" x14ac:dyDescent="0.25"/>
    <row r="743" ht="11.5" hidden="1" customHeight="1" x14ac:dyDescent="0.25"/>
    <row r="744" ht="11.5" hidden="1" customHeight="1" x14ac:dyDescent="0.25"/>
    <row r="745" ht="11.5" hidden="1" customHeight="1" x14ac:dyDescent="0.25"/>
    <row r="746" ht="11.5" hidden="1" customHeight="1" x14ac:dyDescent="0.25"/>
    <row r="747" ht="11.5" hidden="1" customHeight="1" x14ac:dyDescent="0.25"/>
    <row r="748" ht="11.5" hidden="1" customHeight="1" x14ac:dyDescent="0.25"/>
    <row r="749" ht="11.5" hidden="1" customHeight="1" x14ac:dyDescent="0.25"/>
    <row r="750" ht="11.5" hidden="1" customHeight="1" x14ac:dyDescent="0.25"/>
    <row r="751" ht="11.5" hidden="1" customHeight="1" x14ac:dyDescent="0.25"/>
    <row r="752" ht="11.5" hidden="1" customHeight="1" x14ac:dyDescent="0.25"/>
    <row r="753" ht="11.5" hidden="1" customHeight="1" x14ac:dyDescent="0.25"/>
    <row r="754" ht="11.5" hidden="1" customHeight="1" x14ac:dyDescent="0.25"/>
    <row r="755" ht="11.5" hidden="1" customHeight="1" x14ac:dyDescent="0.25"/>
    <row r="756" ht="11.5" hidden="1" customHeight="1" x14ac:dyDescent="0.25"/>
    <row r="757" ht="11.5" hidden="1" customHeight="1" x14ac:dyDescent="0.25"/>
    <row r="758" ht="11.5" hidden="1" customHeight="1" x14ac:dyDescent="0.25"/>
    <row r="759" ht="11.5" hidden="1" customHeight="1" x14ac:dyDescent="0.25"/>
    <row r="760" ht="11.5" hidden="1" customHeight="1" x14ac:dyDescent="0.25"/>
    <row r="761" ht="11.5" hidden="1" customHeight="1" x14ac:dyDescent="0.25"/>
    <row r="762" ht="11.5" hidden="1" customHeight="1" x14ac:dyDescent="0.25"/>
    <row r="763" ht="11.5" hidden="1" customHeight="1" x14ac:dyDescent="0.25"/>
    <row r="764" ht="11.5" hidden="1" customHeight="1" x14ac:dyDescent="0.25"/>
    <row r="765" ht="11.5" hidden="1" customHeight="1" x14ac:dyDescent="0.25"/>
    <row r="766" ht="11.5" hidden="1" customHeight="1" x14ac:dyDescent="0.25"/>
    <row r="767" ht="11.5" hidden="1" customHeight="1" x14ac:dyDescent="0.25"/>
    <row r="768" ht="11.5" hidden="1" customHeight="1" x14ac:dyDescent="0.25"/>
    <row r="769" ht="11.5" hidden="1" customHeight="1" x14ac:dyDescent="0.25"/>
    <row r="770" ht="11.5" hidden="1" customHeight="1" x14ac:dyDescent="0.25"/>
    <row r="771" ht="11.5" hidden="1" customHeight="1" x14ac:dyDescent="0.25"/>
    <row r="772" ht="11.5" hidden="1" customHeight="1" x14ac:dyDescent="0.25"/>
    <row r="773" ht="11.5" hidden="1" customHeight="1" x14ac:dyDescent="0.25"/>
    <row r="774" ht="11.5" hidden="1" customHeight="1" x14ac:dyDescent="0.25"/>
    <row r="775" ht="11.5" hidden="1" customHeight="1" x14ac:dyDescent="0.25"/>
    <row r="776" ht="11.5" hidden="1" customHeight="1" x14ac:dyDescent="0.25"/>
    <row r="777" ht="11.5" hidden="1" customHeight="1" x14ac:dyDescent="0.25"/>
    <row r="778" ht="11.5" hidden="1" customHeight="1" x14ac:dyDescent="0.25"/>
    <row r="779" ht="11.5" hidden="1" customHeight="1" x14ac:dyDescent="0.25"/>
    <row r="780" ht="11.5" hidden="1" customHeight="1" x14ac:dyDescent="0.25"/>
    <row r="781" ht="11.5" hidden="1" customHeight="1" x14ac:dyDescent="0.25"/>
    <row r="782" ht="11.5" hidden="1" customHeight="1" x14ac:dyDescent="0.25"/>
    <row r="783" ht="11.5" hidden="1" customHeight="1" x14ac:dyDescent="0.25"/>
    <row r="784" ht="11.5" hidden="1" customHeight="1" x14ac:dyDescent="0.25"/>
    <row r="785" ht="11.5" hidden="1" customHeight="1" x14ac:dyDescent="0.25"/>
    <row r="786" ht="11.5" hidden="1" customHeight="1" x14ac:dyDescent="0.25"/>
    <row r="787" ht="11.5" hidden="1" customHeight="1" x14ac:dyDescent="0.25"/>
    <row r="788" ht="11.5" hidden="1" customHeight="1" x14ac:dyDescent="0.25"/>
    <row r="789" ht="11.5" hidden="1" customHeight="1" x14ac:dyDescent="0.25"/>
    <row r="790" ht="11.5" hidden="1" customHeight="1" x14ac:dyDescent="0.25"/>
    <row r="791" ht="11.5" hidden="1" customHeight="1" x14ac:dyDescent="0.25"/>
    <row r="792" ht="11.5" hidden="1" customHeight="1" x14ac:dyDescent="0.25"/>
    <row r="793" ht="11.5" hidden="1" customHeight="1" x14ac:dyDescent="0.25"/>
    <row r="794" ht="11.5" hidden="1" customHeight="1" x14ac:dyDescent="0.25"/>
    <row r="795" ht="11.5" hidden="1" customHeight="1" x14ac:dyDescent="0.25"/>
    <row r="796" ht="11.5" hidden="1" customHeight="1" x14ac:dyDescent="0.25"/>
    <row r="797" ht="11.5" hidden="1" customHeight="1" x14ac:dyDescent="0.25"/>
    <row r="798" ht="11.5" hidden="1" customHeight="1" x14ac:dyDescent="0.25"/>
    <row r="799" ht="11.5" hidden="1" customHeight="1" x14ac:dyDescent="0.25"/>
    <row r="800" ht="11.5" hidden="1" customHeight="1" x14ac:dyDescent="0.25"/>
    <row r="801" ht="11.5" hidden="1" customHeight="1" x14ac:dyDescent="0.25"/>
    <row r="802" ht="11.5" hidden="1" customHeight="1" x14ac:dyDescent="0.25"/>
    <row r="803" ht="11.5" hidden="1" customHeight="1" x14ac:dyDescent="0.25"/>
    <row r="804" ht="11.5" hidden="1" customHeight="1" x14ac:dyDescent="0.25"/>
    <row r="805" ht="11.5" hidden="1" customHeight="1" x14ac:dyDescent="0.25"/>
    <row r="806" ht="11.5" hidden="1" customHeight="1" x14ac:dyDescent="0.25"/>
    <row r="807" ht="11.5" hidden="1" customHeight="1" x14ac:dyDescent="0.25"/>
    <row r="808" ht="11.5" hidden="1" customHeight="1" x14ac:dyDescent="0.25"/>
    <row r="809" ht="11.5" hidden="1" customHeight="1" x14ac:dyDescent="0.25"/>
    <row r="810" ht="11.5" hidden="1" customHeight="1" x14ac:dyDescent="0.25"/>
    <row r="811" ht="11.5" hidden="1" customHeight="1" x14ac:dyDescent="0.25"/>
    <row r="812" ht="11.5" hidden="1" customHeight="1" x14ac:dyDescent="0.25"/>
    <row r="813" ht="11.5" hidden="1" customHeight="1" x14ac:dyDescent="0.25"/>
    <row r="814" ht="11.5" hidden="1" customHeight="1" x14ac:dyDescent="0.25"/>
    <row r="815" ht="11.5" hidden="1" customHeight="1" x14ac:dyDescent="0.25"/>
    <row r="816" ht="11.5" hidden="1" customHeight="1" x14ac:dyDescent="0.25"/>
    <row r="817" ht="11.5" hidden="1" customHeight="1" x14ac:dyDescent="0.25"/>
    <row r="818" ht="11.5" hidden="1" customHeight="1" x14ac:dyDescent="0.25"/>
    <row r="819" ht="11.5" hidden="1" customHeight="1" x14ac:dyDescent="0.25"/>
    <row r="820" ht="11.5" hidden="1" customHeight="1" x14ac:dyDescent="0.25"/>
    <row r="821" ht="11.5" hidden="1" customHeight="1" x14ac:dyDescent="0.25"/>
    <row r="822" ht="11.5" hidden="1" customHeight="1" x14ac:dyDescent="0.25"/>
    <row r="823" ht="11.5" hidden="1" customHeight="1" x14ac:dyDescent="0.25"/>
    <row r="824" ht="11.5" hidden="1" customHeight="1" x14ac:dyDescent="0.25"/>
    <row r="825" ht="11.5" hidden="1" customHeight="1" x14ac:dyDescent="0.25"/>
    <row r="826" ht="11.5" hidden="1" customHeight="1" x14ac:dyDescent="0.25"/>
    <row r="827" ht="11.5" hidden="1" customHeight="1" x14ac:dyDescent="0.25"/>
    <row r="828" ht="11.5" hidden="1" customHeight="1" x14ac:dyDescent="0.25"/>
    <row r="829" ht="11.5" hidden="1" customHeight="1" x14ac:dyDescent="0.25"/>
    <row r="830" ht="11.5" hidden="1" customHeight="1" x14ac:dyDescent="0.25"/>
    <row r="831" ht="11.5" hidden="1" customHeight="1" x14ac:dyDescent="0.25"/>
    <row r="832" ht="11.5" hidden="1" customHeight="1" x14ac:dyDescent="0.25"/>
    <row r="833" ht="11.5" hidden="1" customHeight="1" x14ac:dyDescent="0.25"/>
    <row r="834" ht="11.5" hidden="1" customHeight="1" x14ac:dyDescent="0.25"/>
    <row r="835" ht="11.5" hidden="1" customHeight="1" x14ac:dyDescent="0.25"/>
    <row r="836" ht="11.5" hidden="1" customHeight="1" x14ac:dyDescent="0.25"/>
    <row r="837" ht="11.5" hidden="1" customHeight="1" x14ac:dyDescent="0.25"/>
    <row r="838" ht="11.5" hidden="1" customHeight="1" x14ac:dyDescent="0.25"/>
    <row r="839" ht="11.5" hidden="1" customHeight="1" x14ac:dyDescent="0.25"/>
    <row r="840" ht="11.5" hidden="1" customHeight="1" x14ac:dyDescent="0.25"/>
    <row r="841" ht="11.5" hidden="1" customHeight="1" x14ac:dyDescent="0.25"/>
    <row r="842" ht="11.5" hidden="1" customHeight="1" x14ac:dyDescent="0.25"/>
    <row r="843" ht="11.5" hidden="1" customHeight="1" x14ac:dyDescent="0.25"/>
    <row r="844" ht="11.5" hidden="1" customHeight="1" x14ac:dyDescent="0.25"/>
    <row r="845" ht="11.5" hidden="1" customHeight="1" x14ac:dyDescent="0.25"/>
    <row r="846" ht="11.5" hidden="1" customHeight="1" x14ac:dyDescent="0.25"/>
    <row r="847" ht="11.5" hidden="1" customHeight="1" x14ac:dyDescent="0.25"/>
    <row r="848" ht="11.5" hidden="1" customHeight="1" x14ac:dyDescent="0.25"/>
    <row r="849" ht="11.5" hidden="1" customHeight="1" x14ac:dyDescent="0.25"/>
    <row r="850" ht="11.5" hidden="1" customHeight="1" x14ac:dyDescent="0.25"/>
    <row r="851" ht="11.5" hidden="1" customHeight="1" x14ac:dyDescent="0.25"/>
    <row r="852" ht="11.5" hidden="1" customHeight="1" x14ac:dyDescent="0.25"/>
    <row r="853" ht="11.5" hidden="1" customHeight="1" x14ac:dyDescent="0.25"/>
    <row r="854" ht="11.5" hidden="1" customHeight="1" x14ac:dyDescent="0.25"/>
    <row r="855" ht="11.5" hidden="1" customHeight="1" x14ac:dyDescent="0.25"/>
    <row r="856" ht="11.5" hidden="1" customHeight="1" x14ac:dyDescent="0.25"/>
    <row r="857" ht="11.5" hidden="1" customHeight="1" x14ac:dyDescent="0.25"/>
    <row r="858" ht="11.5" hidden="1" customHeight="1" x14ac:dyDescent="0.25"/>
    <row r="859" ht="11.5" hidden="1" customHeight="1" x14ac:dyDescent="0.25"/>
    <row r="860" ht="11.5" hidden="1" customHeight="1" x14ac:dyDescent="0.25"/>
    <row r="861" ht="11.5" hidden="1" customHeight="1" x14ac:dyDescent="0.25"/>
    <row r="862" ht="11.5" hidden="1" customHeight="1" x14ac:dyDescent="0.25"/>
    <row r="863" ht="11.5" hidden="1" customHeight="1" x14ac:dyDescent="0.25"/>
    <row r="864" ht="11.5" hidden="1" customHeight="1" x14ac:dyDescent="0.25"/>
    <row r="865" ht="11.5" hidden="1" customHeight="1" x14ac:dyDescent="0.25"/>
    <row r="866" ht="11.5" hidden="1" customHeight="1" x14ac:dyDescent="0.25"/>
    <row r="867" ht="11.5" hidden="1" customHeight="1" x14ac:dyDescent="0.25"/>
    <row r="868" ht="11.5" hidden="1" customHeight="1" x14ac:dyDescent="0.25"/>
    <row r="869" ht="11.5" hidden="1" customHeight="1" x14ac:dyDescent="0.25"/>
    <row r="870" ht="11.5" hidden="1" customHeight="1" x14ac:dyDescent="0.25"/>
    <row r="871" ht="11.5" hidden="1" customHeight="1" x14ac:dyDescent="0.25"/>
    <row r="872" ht="11.5" hidden="1" customHeight="1" x14ac:dyDescent="0.25"/>
    <row r="873" ht="11.5" hidden="1" customHeight="1" x14ac:dyDescent="0.25"/>
    <row r="874" ht="11.5" hidden="1" customHeight="1" x14ac:dyDescent="0.25"/>
    <row r="875" ht="11.5" hidden="1" customHeight="1" x14ac:dyDescent="0.25"/>
    <row r="876" ht="11.5" hidden="1" customHeight="1" x14ac:dyDescent="0.25"/>
    <row r="877" ht="11.5" hidden="1" customHeight="1" x14ac:dyDescent="0.25"/>
    <row r="878" ht="11.5" hidden="1" customHeight="1" x14ac:dyDescent="0.25"/>
    <row r="879" ht="11.5" hidden="1" customHeight="1" x14ac:dyDescent="0.25"/>
    <row r="880" ht="11.5" hidden="1" customHeight="1" x14ac:dyDescent="0.25"/>
    <row r="881" ht="11.5" hidden="1" customHeight="1" x14ac:dyDescent="0.25"/>
    <row r="882" ht="11.5" hidden="1" customHeight="1" x14ac:dyDescent="0.25"/>
    <row r="883" ht="11.5" hidden="1" customHeight="1" x14ac:dyDescent="0.25"/>
    <row r="884" ht="11.5" hidden="1" customHeight="1" x14ac:dyDescent="0.25"/>
    <row r="885" ht="11.5" hidden="1" customHeight="1" x14ac:dyDescent="0.25"/>
    <row r="886" ht="11.5" hidden="1" customHeight="1" x14ac:dyDescent="0.25"/>
    <row r="887" ht="11.5" hidden="1" customHeight="1" x14ac:dyDescent="0.25"/>
    <row r="888" ht="11.5" hidden="1" customHeight="1" x14ac:dyDescent="0.25"/>
    <row r="889" ht="11.5" hidden="1" customHeight="1" x14ac:dyDescent="0.25"/>
    <row r="890" ht="11.5" hidden="1" customHeight="1" x14ac:dyDescent="0.25"/>
    <row r="891" ht="11.5" hidden="1" customHeight="1" x14ac:dyDescent="0.25"/>
    <row r="892" ht="11.5" hidden="1" customHeight="1" x14ac:dyDescent="0.25"/>
    <row r="893" ht="11.5" hidden="1" customHeight="1" x14ac:dyDescent="0.25"/>
    <row r="894" ht="11.5" hidden="1" customHeight="1" x14ac:dyDescent="0.25"/>
    <row r="895" ht="11.5" hidden="1" customHeight="1" x14ac:dyDescent="0.25"/>
    <row r="896" ht="11.5" hidden="1" customHeight="1" x14ac:dyDescent="0.25"/>
    <row r="897" ht="11.5" hidden="1" customHeight="1" x14ac:dyDescent="0.25"/>
    <row r="898" ht="11.5" hidden="1" customHeight="1" x14ac:dyDescent="0.25"/>
    <row r="899" ht="11.5" hidden="1" customHeight="1" x14ac:dyDescent="0.25"/>
    <row r="900" ht="11.5" hidden="1" customHeight="1" x14ac:dyDescent="0.25"/>
    <row r="901" ht="11.5" hidden="1" customHeight="1" x14ac:dyDescent="0.25"/>
    <row r="902" ht="11.5" hidden="1" customHeight="1" x14ac:dyDescent="0.25"/>
    <row r="903" ht="11.5" hidden="1" customHeight="1" x14ac:dyDescent="0.25"/>
    <row r="904" ht="11.5" hidden="1" customHeight="1" x14ac:dyDescent="0.25"/>
    <row r="905" ht="11.5" hidden="1" customHeight="1" x14ac:dyDescent="0.25"/>
    <row r="906" ht="11.5" hidden="1" customHeight="1" x14ac:dyDescent="0.25"/>
    <row r="907" ht="11.5" hidden="1" customHeight="1" x14ac:dyDescent="0.25"/>
    <row r="908" ht="11.5" hidden="1" customHeight="1" x14ac:dyDescent="0.25"/>
    <row r="909" ht="11.5" hidden="1" customHeight="1" x14ac:dyDescent="0.25"/>
    <row r="910" ht="11.5" hidden="1" customHeight="1" x14ac:dyDescent="0.25"/>
    <row r="911" ht="11.5" hidden="1" customHeight="1" x14ac:dyDescent="0.25"/>
    <row r="912" ht="11.5" hidden="1" customHeight="1" x14ac:dyDescent="0.25"/>
    <row r="913" ht="11.5" hidden="1" customHeight="1" x14ac:dyDescent="0.25"/>
    <row r="914" ht="11.5" hidden="1" customHeight="1" x14ac:dyDescent="0.25"/>
    <row r="915" ht="11.5" hidden="1" customHeight="1" x14ac:dyDescent="0.25"/>
    <row r="916" ht="11.5" hidden="1" customHeight="1" x14ac:dyDescent="0.25"/>
    <row r="917" ht="11.5" hidden="1" customHeight="1" x14ac:dyDescent="0.25"/>
    <row r="918" ht="11.5" hidden="1" customHeight="1" x14ac:dyDescent="0.25"/>
    <row r="919" ht="11.5" hidden="1" customHeight="1" x14ac:dyDescent="0.25"/>
    <row r="920" ht="11.5" hidden="1" customHeight="1" x14ac:dyDescent="0.25"/>
    <row r="921" ht="11.5" hidden="1" customHeight="1" x14ac:dyDescent="0.25"/>
    <row r="922" ht="11.5" hidden="1" customHeight="1" x14ac:dyDescent="0.25"/>
    <row r="923" ht="11.5" hidden="1" customHeight="1" x14ac:dyDescent="0.25"/>
    <row r="924" ht="11.5" hidden="1" customHeight="1" x14ac:dyDescent="0.25"/>
    <row r="925" ht="11.5" hidden="1" customHeight="1" x14ac:dyDescent="0.25"/>
    <row r="926" ht="11.5" hidden="1" customHeight="1" x14ac:dyDescent="0.25"/>
    <row r="927" ht="11.5" hidden="1" customHeight="1" x14ac:dyDescent="0.25"/>
    <row r="928" ht="11.5" hidden="1" customHeight="1" x14ac:dyDescent="0.25"/>
    <row r="929" spans="1:1" ht="11.5" hidden="1" customHeight="1" x14ac:dyDescent="0.25">
      <c r="A929" s="655"/>
    </row>
    <row r="930" spans="1:1" ht="11.5" hidden="1" customHeight="1" x14ac:dyDescent="0.25">
      <c r="A930" s="655"/>
    </row>
    <row r="931" spans="1:1" ht="11.5" hidden="1" customHeight="1" x14ac:dyDescent="0.25">
      <c r="A931" s="655"/>
    </row>
    <row r="932" spans="1:1" ht="11.5" hidden="1" customHeight="1" x14ac:dyDescent="0.25">
      <c r="A932" s="655"/>
    </row>
    <row r="933" spans="1:1" ht="11.5" hidden="1" customHeight="1" x14ac:dyDescent="0.25">
      <c r="A933" s="655"/>
    </row>
    <row r="934" spans="1:1" ht="11.5" hidden="1" customHeight="1" x14ac:dyDescent="0.25">
      <c r="A934" s="655"/>
    </row>
    <row r="935" spans="1:1" ht="11.5" hidden="1" customHeight="1" x14ac:dyDescent="0.25">
      <c r="A935" s="655"/>
    </row>
    <row r="936" spans="1:1" ht="11.5" hidden="1" customHeight="1" x14ac:dyDescent="0.25">
      <c r="A936" s="655"/>
    </row>
    <row r="937" spans="1:1" ht="11.5" hidden="1" customHeight="1" x14ac:dyDescent="0.25">
      <c r="A937" s="655"/>
    </row>
    <row r="938" spans="1:1" ht="11.5" hidden="1" customHeight="1" x14ac:dyDescent="0.25">
      <c r="A938" s="655"/>
    </row>
    <row r="939" spans="1:1" ht="11.5" hidden="1" customHeight="1" x14ac:dyDescent="0.25">
      <c r="A939" s="655"/>
    </row>
    <row r="940" spans="1:1" ht="11.5" hidden="1" customHeight="1" x14ac:dyDescent="0.25">
      <c r="A940" s="655"/>
    </row>
    <row r="941" spans="1:1" ht="11.5" hidden="1" customHeight="1" x14ac:dyDescent="0.25">
      <c r="A941" s="655"/>
    </row>
    <row r="942" spans="1:1" ht="11.5" hidden="1" customHeight="1" x14ac:dyDescent="0.25">
      <c r="A942" s="655"/>
    </row>
    <row r="943" spans="1:1" ht="11.5" hidden="1" customHeight="1" x14ac:dyDescent="0.25">
      <c r="A943" s="655"/>
    </row>
    <row r="944" spans="1:1" ht="11.5" hidden="1" customHeight="1" x14ac:dyDescent="0.25">
      <c r="A944" s="655"/>
    </row>
    <row r="945" spans="1:1" ht="11.5" hidden="1" customHeight="1" x14ac:dyDescent="0.25">
      <c r="A945" s="655"/>
    </row>
    <row r="946" spans="1:1" ht="11.5" hidden="1" customHeight="1" x14ac:dyDescent="0.25">
      <c r="A946" s="655"/>
    </row>
    <row r="947" spans="1:1" ht="11.5" hidden="1" customHeight="1" x14ac:dyDescent="0.25">
      <c r="A947" s="655"/>
    </row>
    <row r="948" spans="1:1" ht="11.5" hidden="1" customHeight="1" x14ac:dyDescent="0.25">
      <c r="A948" s="655"/>
    </row>
    <row r="949" spans="1:1" ht="11.5" hidden="1" customHeight="1" x14ac:dyDescent="0.25">
      <c r="A949" s="655"/>
    </row>
    <row r="950" spans="1:1" ht="11.5" hidden="1" customHeight="1" x14ac:dyDescent="0.25">
      <c r="A950" s="655"/>
    </row>
    <row r="951" spans="1:1" ht="11.5" hidden="1" customHeight="1" x14ac:dyDescent="0.25">
      <c r="A951" s="655"/>
    </row>
    <row r="952" spans="1:1" ht="11.5" hidden="1" customHeight="1" x14ac:dyDescent="0.25">
      <c r="A952" s="655"/>
    </row>
    <row r="953" spans="1:1" ht="11.5" hidden="1" customHeight="1" x14ac:dyDescent="0.25">
      <c r="A953" s="655"/>
    </row>
    <row r="954" spans="1:1" ht="11.5" hidden="1" customHeight="1" x14ac:dyDescent="0.25">
      <c r="A954" s="655"/>
    </row>
    <row r="955" spans="1:1" ht="11.5" hidden="1" customHeight="1" x14ac:dyDescent="0.25">
      <c r="A955" s="655"/>
    </row>
    <row r="956" spans="1:1" ht="11.5" hidden="1" customHeight="1" x14ac:dyDescent="0.25">
      <c r="A956" s="655"/>
    </row>
    <row r="957" spans="1:1" ht="11.5" hidden="1" customHeight="1" x14ac:dyDescent="0.25">
      <c r="A957" s="655"/>
    </row>
    <row r="958" spans="1:1" ht="11.5" hidden="1" customHeight="1" x14ac:dyDescent="0.25">
      <c r="A958" s="655"/>
    </row>
    <row r="959" spans="1:1" ht="11.5" hidden="1" customHeight="1" x14ac:dyDescent="0.25">
      <c r="A959" s="655"/>
    </row>
    <row r="960" spans="1:1" ht="11.5" hidden="1" customHeight="1" x14ac:dyDescent="0.25">
      <c r="A960" s="655"/>
    </row>
    <row r="961" spans="1:1" ht="11.5" hidden="1" customHeight="1" x14ac:dyDescent="0.25">
      <c r="A961" s="655"/>
    </row>
    <row r="962" spans="1:1" ht="11.5" hidden="1" customHeight="1" x14ac:dyDescent="0.25">
      <c r="A962" s="655"/>
    </row>
    <row r="963" spans="1:1" ht="11.5" hidden="1" customHeight="1" x14ac:dyDescent="0.25">
      <c r="A963" s="655"/>
    </row>
    <row r="964" spans="1:1" ht="11.5" hidden="1" customHeight="1" x14ac:dyDescent="0.25">
      <c r="A964" s="655"/>
    </row>
    <row r="965" spans="1:1" ht="11.5" hidden="1" customHeight="1" x14ac:dyDescent="0.25">
      <c r="A965" s="655"/>
    </row>
    <row r="966" spans="1:1" ht="11.5" hidden="1" customHeight="1" x14ac:dyDescent="0.25">
      <c r="A966" s="655"/>
    </row>
    <row r="967" spans="1:1" ht="11.5" hidden="1" customHeight="1" x14ac:dyDescent="0.25">
      <c r="A967" s="655"/>
    </row>
    <row r="968" spans="1:1" ht="11.5" hidden="1" customHeight="1" x14ac:dyDescent="0.25">
      <c r="A968" s="655"/>
    </row>
    <row r="969" spans="1:1" ht="11.5" hidden="1" customHeight="1" x14ac:dyDescent="0.25">
      <c r="A969" s="655"/>
    </row>
    <row r="970" spans="1:1" ht="11.5" hidden="1" customHeight="1" x14ac:dyDescent="0.25">
      <c r="A970" s="655"/>
    </row>
    <row r="971" spans="1:1" ht="11.5" hidden="1" customHeight="1" x14ac:dyDescent="0.25">
      <c r="A971" s="655"/>
    </row>
    <row r="972" spans="1:1" ht="11.5" hidden="1" customHeight="1" x14ac:dyDescent="0.25">
      <c r="A972" s="655"/>
    </row>
    <row r="973" spans="1:1" ht="11.5" hidden="1" customHeight="1" x14ac:dyDescent="0.25">
      <c r="A973" s="655"/>
    </row>
    <row r="974" spans="1:1" ht="11.5" hidden="1" customHeight="1" x14ac:dyDescent="0.25">
      <c r="A974" s="655"/>
    </row>
    <row r="975" spans="1:1" ht="11.5" hidden="1" customHeight="1" x14ac:dyDescent="0.25">
      <c r="A975" s="655"/>
    </row>
    <row r="976" spans="1:1" ht="11.5" hidden="1" customHeight="1" x14ac:dyDescent="0.25">
      <c r="A976" s="655"/>
    </row>
    <row r="977" spans="1:1" ht="11.5" hidden="1" customHeight="1" x14ac:dyDescent="0.25">
      <c r="A977" s="655"/>
    </row>
    <row r="978" spans="1:1" ht="11.5" hidden="1" customHeight="1" x14ac:dyDescent="0.25">
      <c r="A978" s="655"/>
    </row>
    <row r="979" spans="1:1" ht="11.5" hidden="1" customHeight="1" x14ac:dyDescent="0.25">
      <c r="A979" s="655"/>
    </row>
    <row r="980" spans="1:1" ht="11.5" hidden="1" customHeight="1" x14ac:dyDescent="0.25">
      <c r="A980" s="655"/>
    </row>
    <row r="981" spans="1:1" ht="11.5" hidden="1" customHeight="1" x14ac:dyDescent="0.25">
      <c r="A981" s="655"/>
    </row>
    <row r="982" spans="1:1" ht="11.5" hidden="1" customHeight="1" x14ac:dyDescent="0.25">
      <c r="A982" s="655"/>
    </row>
    <row r="983" spans="1:1" ht="11.5" hidden="1" customHeight="1" x14ac:dyDescent="0.25">
      <c r="A983" s="655"/>
    </row>
    <row r="984" spans="1:1" ht="11.5" hidden="1" customHeight="1" x14ac:dyDescent="0.25">
      <c r="A984" s="655"/>
    </row>
    <row r="985" spans="1:1" ht="11.5" hidden="1" customHeight="1" x14ac:dyDescent="0.25">
      <c r="A985" s="655"/>
    </row>
    <row r="986" spans="1:1" ht="11.5" hidden="1" customHeight="1" x14ac:dyDescent="0.25">
      <c r="A986" s="655"/>
    </row>
    <row r="987" spans="1:1" ht="11.5" hidden="1" customHeight="1" x14ac:dyDescent="0.25">
      <c r="A987" s="655"/>
    </row>
    <row r="988" spans="1:1" ht="11.5" hidden="1" customHeight="1" x14ac:dyDescent="0.25">
      <c r="A988" s="655"/>
    </row>
    <row r="989" spans="1:1" ht="11.5" hidden="1" customHeight="1" x14ac:dyDescent="0.25">
      <c r="A989" s="655"/>
    </row>
    <row r="990" spans="1:1" ht="11.5" hidden="1" customHeight="1" x14ac:dyDescent="0.25">
      <c r="A990" s="655"/>
    </row>
    <row r="991" spans="1:1" ht="11.5" hidden="1" customHeight="1" x14ac:dyDescent="0.25">
      <c r="A991" s="655"/>
    </row>
    <row r="992" spans="1:1" ht="11.5" hidden="1" customHeight="1" x14ac:dyDescent="0.25">
      <c r="A992" s="655"/>
    </row>
    <row r="993" spans="1:50" ht="11.5" hidden="1" customHeight="1" x14ac:dyDescent="0.25">
      <c r="A993" s="655"/>
    </row>
    <row r="994" spans="1:50" ht="11.5" hidden="1" customHeight="1" x14ac:dyDescent="0.25">
      <c r="A994" s="655"/>
    </row>
    <row r="995" spans="1:50" ht="11.5" hidden="1" customHeight="1" x14ac:dyDescent="0.25">
      <c r="A995"/>
      <c r="AA995"/>
      <c r="AN995" s="91"/>
      <c r="AO995" s="92"/>
      <c r="AP995" s="93"/>
      <c r="AQ995" s="93"/>
      <c r="AR995" s="93"/>
      <c r="AS995" s="93"/>
      <c r="AT995" s="93"/>
      <c r="AU995" s="93"/>
      <c r="AV995" s="93"/>
      <c r="AW995" s="93"/>
      <c r="AX995" s="93"/>
    </row>
    <row r="996" spans="1:50" ht="11.5" hidden="1" customHeight="1" x14ac:dyDescent="0.25">
      <c r="A996"/>
      <c r="AA996"/>
      <c r="AN996" s="504"/>
      <c r="AO996" s="504"/>
      <c r="AP996" s="504"/>
      <c r="AQ996" s="504"/>
      <c r="AR996" s="504"/>
      <c r="AS996" s="504"/>
      <c r="AT996" s="504"/>
      <c r="AU996" s="504"/>
      <c r="AV996" s="504"/>
      <c r="AW996" s="504"/>
      <c r="AX996" s="504"/>
    </row>
    <row r="997" spans="1:50" ht="11.5" hidden="1" customHeight="1" x14ac:dyDescent="0.25">
      <c r="A997" s="655"/>
    </row>
    <row r="998" spans="1:50" ht="11.5" hidden="1" customHeight="1" x14ac:dyDescent="0.25">
      <c r="A998" s="655"/>
    </row>
    <row r="999" spans="1:50" ht="11.5" hidden="1" customHeight="1" x14ac:dyDescent="0.25">
      <c r="A999" s="655"/>
    </row>
    <row r="1000" spans="1:50" ht="11.5" hidden="1" customHeight="1" x14ac:dyDescent="0.25">
      <c r="A1000" s="655"/>
    </row>
    <row r="1001" spans="1:50" ht="11.5" hidden="1" customHeight="1" x14ac:dyDescent="0.25">
      <c r="A1001" s="655"/>
    </row>
    <row r="1002" spans="1:50" ht="11.5" hidden="1" customHeight="1" x14ac:dyDescent="0.25">
      <c r="A1002" s="655"/>
    </row>
    <row r="1003" spans="1:50" ht="11.5" hidden="1" customHeight="1" x14ac:dyDescent="0.25">
      <c r="A1003" s="655"/>
    </row>
    <row r="1004" spans="1:50" ht="11.5" hidden="1" customHeight="1" x14ac:dyDescent="0.25">
      <c r="A1004" s="655"/>
    </row>
    <row r="1005" spans="1:50" ht="11.5" hidden="1" customHeight="1" x14ac:dyDescent="0.25">
      <c r="A1005" s="655"/>
    </row>
    <row r="1006" spans="1:50" ht="11.5" hidden="1" customHeight="1" x14ac:dyDescent="0.25">
      <c r="A1006" s="655"/>
    </row>
    <row r="1007" spans="1:50" ht="11.5" hidden="1" customHeight="1" x14ac:dyDescent="0.25">
      <c r="A1007" s="655"/>
    </row>
    <row r="1008" spans="1:50" ht="11.5" hidden="1" customHeight="1" x14ac:dyDescent="0.25">
      <c r="A1008" s="655"/>
    </row>
    <row r="1009" spans="1:1" ht="11.5" hidden="1" customHeight="1" x14ac:dyDescent="0.25">
      <c r="A1009" s="655"/>
    </row>
    <row r="1010" spans="1:1" ht="11.5" hidden="1" customHeight="1" x14ac:dyDescent="0.25">
      <c r="A1010" s="655"/>
    </row>
    <row r="1011" spans="1:1" ht="11.5" hidden="1" customHeight="1" x14ac:dyDescent="0.25">
      <c r="A1011" s="655"/>
    </row>
    <row r="1012" spans="1:1" ht="11.5" hidden="1" customHeight="1" x14ac:dyDescent="0.25">
      <c r="A1012" s="655"/>
    </row>
    <row r="1013" spans="1:1" ht="11.5" hidden="1" customHeight="1" x14ac:dyDescent="0.25">
      <c r="A1013" s="655"/>
    </row>
    <row r="1014" spans="1:1" ht="11.5" hidden="1" customHeight="1" x14ac:dyDescent="0.25">
      <c r="A1014" s="655"/>
    </row>
    <row r="1015" spans="1:1" ht="11.5" hidden="1" customHeight="1" x14ac:dyDescent="0.25">
      <c r="A1015" s="655"/>
    </row>
    <row r="1016" spans="1:1" ht="11.5" hidden="1" customHeight="1" x14ac:dyDescent="0.25">
      <c r="A1016" s="655"/>
    </row>
    <row r="1017" spans="1:1" ht="11.5" hidden="1" customHeight="1" x14ac:dyDescent="0.25">
      <c r="A1017" s="655"/>
    </row>
    <row r="1018" spans="1:1" ht="11.5" hidden="1" customHeight="1" x14ac:dyDescent="0.25">
      <c r="A1018" s="655"/>
    </row>
    <row r="1019" spans="1:1" ht="11.5" hidden="1" customHeight="1" x14ac:dyDescent="0.25">
      <c r="A1019" s="655"/>
    </row>
    <row r="1020" spans="1:1" hidden="1" x14ac:dyDescent="0.25">
      <c r="A1020" s="655"/>
    </row>
    <row r="1021" spans="1:1" hidden="1" x14ac:dyDescent="0.25">
      <c r="A1021" s="655"/>
    </row>
    <row r="1022" spans="1:1" hidden="1" x14ac:dyDescent="0.25">
      <c r="A1022" s="655"/>
    </row>
    <row r="1023" spans="1:1" hidden="1" x14ac:dyDescent="0.25">
      <c r="A1023" s="655"/>
    </row>
    <row r="1024" spans="1:1" hidden="1" x14ac:dyDescent="0.25">
      <c r="A1024" s="655"/>
    </row>
    <row r="1025" spans="1:1" hidden="1" x14ac:dyDescent="0.25">
      <c r="A1025" s="655"/>
    </row>
    <row r="1026" spans="1:1" hidden="1" x14ac:dyDescent="0.25">
      <c r="A1026" s="655"/>
    </row>
    <row r="1027" spans="1:1" hidden="1" x14ac:dyDescent="0.25">
      <c r="A1027" s="655"/>
    </row>
    <row r="1028" spans="1:1" hidden="1" x14ac:dyDescent="0.25">
      <c r="A1028" s="655"/>
    </row>
    <row r="1029" spans="1:1" hidden="1" x14ac:dyDescent="0.25">
      <c r="A1029" s="655"/>
    </row>
    <row r="1030" spans="1:1" hidden="1" x14ac:dyDescent="0.25">
      <c r="A1030" s="655"/>
    </row>
    <row r="1031" spans="1:1" hidden="1" x14ac:dyDescent="0.25">
      <c r="A1031" s="655"/>
    </row>
    <row r="1032" spans="1:1" hidden="1" x14ac:dyDescent="0.25">
      <c r="A1032" s="655"/>
    </row>
    <row r="1033" spans="1:1" hidden="1" x14ac:dyDescent="0.25">
      <c r="A1033" s="655"/>
    </row>
    <row r="1034" spans="1:1" hidden="1" x14ac:dyDescent="0.25">
      <c r="A1034" s="655"/>
    </row>
    <row r="1035" spans="1:1" hidden="1" x14ac:dyDescent="0.25">
      <c r="A1035" s="655"/>
    </row>
    <row r="1036" spans="1:1" hidden="1" x14ac:dyDescent="0.25">
      <c r="A1036" s="655"/>
    </row>
    <row r="1037" spans="1:1" hidden="1" x14ac:dyDescent="0.25">
      <c r="A1037" s="655"/>
    </row>
    <row r="1038" spans="1:1" hidden="1" x14ac:dyDescent="0.25">
      <c r="A1038" s="655"/>
    </row>
  </sheetData>
  <sheetProtection sheet="1" objects="1" scenarios="1"/>
  <protectedRanges>
    <protectedRange sqref="E75:E88 E90:E94 E97 E60:E61 E160:E161 E144:E154 E51:E55 E189 E64:E73 O138 E184:E185 E44:E48 E138:E139 E134:E136 F136 E100:E113 F126 E121:E126 I121:I137 E128:F132" name="Range1"/>
    <protectedRange sqref="E179" name="Range1_2"/>
  </protectedRanges>
  <mergeCells count="12">
    <mergeCell ref="A1:N1"/>
    <mergeCell ref="E21:E23"/>
    <mergeCell ref="A10:M10"/>
    <mergeCell ref="A11:M11"/>
    <mergeCell ref="A13:M13"/>
    <mergeCell ref="A15:M15"/>
    <mergeCell ref="A16:M16"/>
    <mergeCell ref="E116:E117"/>
    <mergeCell ref="F116:F117"/>
    <mergeCell ref="G21:G23"/>
    <mergeCell ref="F21:F23"/>
    <mergeCell ref="D111:D112"/>
  </mergeCells>
  <phoneticPr fontId="0" type="noConversion"/>
  <conditionalFormatting sqref="A2">
    <cfRule type="containsText" dxfId="206" priority="67" operator="containsText" text="resolve">
      <formula>NOT(ISERROR(SEARCH("resolve",A2)))</formula>
    </cfRule>
  </conditionalFormatting>
  <conditionalFormatting sqref="B2">
    <cfRule type="expression" dxfId="205" priority="55">
      <formula>ISNUMBER(SEARCH(Z2,A2))</formula>
    </cfRule>
  </conditionalFormatting>
  <conditionalFormatting sqref="C2">
    <cfRule type="expression" dxfId="204" priority="52">
      <formula>ISNUMBER(SEARCH(Z2,A2))</formula>
    </cfRule>
  </conditionalFormatting>
  <conditionalFormatting sqref="D2">
    <cfRule type="expression" dxfId="203" priority="51">
      <formula>ISNUMBER(SEARCH(Z2,A2))</formula>
    </cfRule>
  </conditionalFormatting>
  <conditionalFormatting sqref="D125:D126 G138:H138">
    <cfRule type="containsText" dxfId="202" priority="88" operator="containsText" text="Error">
      <formula>NOT(ISERROR(SEARCH("Error",D125)))</formula>
    </cfRule>
    <cfRule type="containsText" dxfId="201" priority="87" operator="containsText" text="Warning">
      <formula>NOT(ISERROR(SEARCH("Warning",D125)))</formula>
    </cfRule>
    <cfRule type="containsText" dxfId="200" priority="86" operator="containsText" text="Information">
      <formula>NOT(ISERROR(SEARCH("Information",D125)))</formula>
    </cfRule>
  </conditionalFormatting>
  <conditionalFormatting sqref="E2">
    <cfRule type="expression" dxfId="199" priority="50">
      <formula>ISNUMBER(SEARCH(Z2,A2))</formula>
    </cfRule>
  </conditionalFormatting>
  <conditionalFormatting sqref="E164">
    <cfRule type="cellIs" dxfId="198" priority="155" stopIfTrue="1" operator="equal">
      <formula>"YES"</formula>
    </cfRule>
    <cfRule type="containsText" dxfId="197" priority="101" operator="containsText" text="Yes">
      <formula>NOT(ISERROR(SEARCH("Yes",E164)))</formula>
    </cfRule>
  </conditionalFormatting>
  <conditionalFormatting sqref="F2">
    <cfRule type="expression" dxfId="196" priority="49">
      <formula>ISNUMBER(SEARCH(Z2,A2))</formula>
    </cfRule>
  </conditionalFormatting>
  <conditionalFormatting sqref="G2">
    <cfRule type="expression" dxfId="195" priority="48">
      <formula>ISNUMBER(SEARCH(Z2,A2))</formula>
    </cfRule>
  </conditionalFormatting>
  <conditionalFormatting sqref="G29:G126">
    <cfRule type="containsText" dxfId="194" priority="6" operator="containsText" text="Information">
      <formula>NOT(ISERROR(SEARCH("Information",G29)))</formula>
    </cfRule>
    <cfRule type="containsText" dxfId="193" priority="7" operator="containsText" text="Warning">
      <formula>NOT(ISERROR(SEARCH("Warning",G29)))</formula>
    </cfRule>
    <cfRule type="containsText" dxfId="192" priority="8" operator="containsText" text="Error">
      <formula>NOT(ISERROR(SEARCH("Error",G29)))</formula>
    </cfRule>
  </conditionalFormatting>
  <conditionalFormatting sqref="G128:G136">
    <cfRule type="containsText" dxfId="191" priority="1" operator="containsText" text="Warning">
      <formula>NOT(ISERROR(SEARCH("Warning",G128)))</formula>
    </cfRule>
  </conditionalFormatting>
  <conditionalFormatting sqref="G140:G178">
    <cfRule type="containsText" dxfId="190" priority="18" operator="containsText" text="Error">
      <formula>NOT(ISERROR(SEARCH("Error",G140)))</formula>
    </cfRule>
    <cfRule type="containsText" dxfId="189" priority="17" operator="containsText" text="Warning">
      <formula>NOT(ISERROR(SEARCH("Warning",G140)))</formula>
    </cfRule>
    <cfRule type="containsText" dxfId="188" priority="16" operator="containsText" text="Information">
      <formula>NOT(ISERROR(SEARCH("Information",G140)))</formula>
    </cfRule>
  </conditionalFormatting>
  <conditionalFormatting sqref="G180:G189">
    <cfRule type="containsText" dxfId="187" priority="15" operator="containsText" text="Error">
      <formula>NOT(ISERROR(SEARCH("Error",G180)))</formula>
    </cfRule>
    <cfRule type="containsText" dxfId="186" priority="14" operator="containsText" text="Warning">
      <formula>NOT(ISERROR(SEARCH("Warning",G180)))</formula>
    </cfRule>
    <cfRule type="containsText" dxfId="185" priority="13" operator="containsText" text="Information">
      <formula>NOT(ISERROR(SEARCH("Information",G180)))</formula>
    </cfRule>
  </conditionalFormatting>
  <conditionalFormatting sqref="H2">
    <cfRule type="expression" dxfId="184" priority="47">
      <formula>ISNUMBER(SEARCH(Z2,A2))</formula>
    </cfRule>
  </conditionalFormatting>
  <conditionalFormatting sqref="H65">
    <cfRule type="expression" dxfId="183" priority="44">
      <formula>G65="Warning"</formula>
    </cfRule>
  </conditionalFormatting>
  <conditionalFormatting sqref="H69:H90">
    <cfRule type="containsText" dxfId="182" priority="77" operator="containsText" text=" ">
      <formula>NOT(ISERROR(SEARCH(" ",H69)))</formula>
    </cfRule>
  </conditionalFormatting>
  <conditionalFormatting sqref="H92:H118">
    <cfRule type="containsText" dxfId="181" priority="9" operator="containsText" text=" ">
      <formula>NOT(ISERROR(SEARCH(" ",H92)))</formula>
    </cfRule>
  </conditionalFormatting>
  <conditionalFormatting sqref="H119:H143 H29:H64 I65 H66 H180:H188">
    <cfRule type="containsText" dxfId="180" priority="102" operator="containsText" text=" ">
      <formula>NOT(ISERROR(SEARCH(" ",H29)))</formula>
    </cfRule>
  </conditionalFormatting>
  <conditionalFormatting sqref="H144:H178">
    <cfRule type="containsText" dxfId="179" priority="19" operator="containsText" text=" ">
      <formula>NOT(ISERROR(SEARCH(" ",H144)))</formula>
    </cfRule>
  </conditionalFormatting>
  <conditionalFormatting sqref="H179">
    <cfRule type="containsText" dxfId="178" priority="10" operator="containsText" text="Information">
      <formula>NOT(ISERROR(SEARCH("Information",H179)))</formula>
    </cfRule>
    <cfRule type="containsText" dxfId="177" priority="12" operator="containsText" text="Error">
      <formula>NOT(ISERROR(SEARCH("Error",H179)))</formula>
    </cfRule>
    <cfRule type="containsText" dxfId="176" priority="11" operator="containsText" text="Warning">
      <formula>NOT(ISERROR(SEARCH("Warning",H179)))</formula>
    </cfRule>
  </conditionalFormatting>
  <conditionalFormatting sqref="I2">
    <cfRule type="expression" dxfId="175" priority="46">
      <formula>ISNUMBER(SEARCH(Z2,A2))</formula>
    </cfRule>
  </conditionalFormatting>
  <conditionalFormatting sqref="I103">
    <cfRule type="containsText" dxfId="174" priority="28" operator="containsText" text=" ">
      <formula>NOT(ISERROR(SEARCH(" ",I103)))</formula>
    </cfRule>
  </conditionalFormatting>
  <conditionalFormatting sqref="J2">
    <cfRule type="expression" dxfId="173" priority="45">
      <formula>ISNUMBER(SEARCH(Z2,A2))</formula>
    </cfRule>
  </conditionalFormatting>
  <dataValidations xWindow="1058" yWindow="942" count="8">
    <dataValidation allowBlank="1" showInputMessage="1" showErrorMessage="1" promptTitle="Line 851" prompt="RSG is pre-populated with 2022-23 Settlement data. It should not have changed but if so overwrite and explain in the memo." sqref="E108" xr:uid="{00000000-0002-0000-0100-000002000000}"/>
    <dataValidation allowBlank="1" showInputMessage="1" showErrorMessage="1" promptTitle="Line 856" prompt="Police grant is pre-populated with the 'Police Grant Report' 2022-23 data. It should not have changed but if so overwrite and explain in the memo." sqref="E109" xr:uid="{00000000-0002-0000-0100-000003000000}"/>
    <dataValidation allowBlank="1" showInputMessage="1" showErrorMessage="1" promptTitle="Line 890" prompt="Council Tax Requirement is pre-populated with CTR 2022-23 data. It should not have changed but if so overwrite and explain in the memo." sqref="E113" xr:uid="{00000000-0002-0000-0100-000005000000}"/>
    <dataValidation allowBlank="1" showInputMessage="1" showErrorMessage="1" promptTitle="Integrated Transport Authority" prompt="1. Please give a breakdown of your levy income in the “Levy” sheet. _x000a_2. Please let your constituent LA know of their figures to ensure same figures are reported on their forms." sqref="E52" xr:uid="{00000000-0002-0000-0100-000006000000}"/>
    <dataValidation allowBlank="1" showInputMessage="1" showErrorMessage="1" promptTitle="Waste Disposal Authority" prompt="1. Please give a breakdown of your levy income in the “Levy” sheet. _x000a_2. Please let your constituent LA know of their figures to ensure same figures are reported on their forms." sqref="E53" xr:uid="{00000000-0002-0000-0100-000007000000}"/>
    <dataValidation allowBlank="1" showInputMessage="1" showErrorMessage="1" promptTitle="CTR balance discrepancy" prompt="For your form to balance this must be close to zero (within rounding of components)" sqref="D114" xr:uid="{5966F9FB-F800-4BB6-9F0E-01751A34C609}"/>
    <dataValidation type="list" allowBlank="1" showInputMessage="1" sqref="E164" xr:uid="{00000000-0002-0000-0100-000000000000}">
      <formula1>$A$166:$A$166</formula1>
    </dataValidation>
    <dataValidation allowBlank="1" showErrorMessage="1" sqref="E110" xr:uid="{2BF8A00C-668D-476C-A0B2-EEC758A02C1C}"/>
  </dataValidations>
  <hyperlinks>
    <hyperlink ref="F29" location="Memo!C35" display="Memo!C35" xr:uid="{00000000-0004-0000-0100-000000000000}"/>
    <hyperlink ref="F30" location="Memo!C36" display="Memo!C36" xr:uid="{00000000-0004-0000-0100-000001000000}"/>
    <hyperlink ref="F31" location="Memo!C37" display="Memo!C37" xr:uid="{00000000-0004-0000-0100-000002000000}"/>
    <hyperlink ref="F32" location="Memo!C38" display="Memo!C38" xr:uid="{00000000-0004-0000-0100-000003000000}"/>
    <hyperlink ref="F33" location="Memo!C39" display="Memo!C39" xr:uid="{00000000-0004-0000-0100-000004000000}"/>
    <hyperlink ref="F34" location="Memo!C40" display="Memo!C40" xr:uid="{00000000-0004-0000-0100-000005000000}"/>
    <hyperlink ref="F35" location="Memo!C41" display="Memo!C41" xr:uid="{00000000-0004-0000-0100-000006000000}"/>
    <hyperlink ref="F36" location="Memo!C42" display="Memo!C42" xr:uid="{00000000-0004-0000-0100-000007000000}"/>
    <hyperlink ref="F37" location="Memo!C43" display="Memo!C43" xr:uid="{00000000-0004-0000-0100-000008000000}"/>
    <hyperlink ref="F38" location="Memo!C44" display="Memo!C44" xr:uid="{00000000-0004-0000-0100-000009000000}"/>
    <hyperlink ref="F39" location="Memo!C45" display="Memo!C45" xr:uid="{00000000-0004-0000-0100-00000A000000}"/>
    <hyperlink ref="F40" location="Memo!C46" display="Memo!C46" xr:uid="{00000000-0004-0000-0100-00000B000000}"/>
    <hyperlink ref="F41" location="Memo!C47" display="Memo!C47" xr:uid="{00000000-0004-0000-0100-00000C000000}"/>
    <hyperlink ref="F42" location="Memo!C48" display="Memo!C48" xr:uid="{00000000-0004-0000-0100-00000D000000}"/>
    <hyperlink ref="F51:F62" location="Memo!C35" display="Memo!C35" xr:uid="{00000000-0004-0000-0100-00000F000000}"/>
    <hyperlink ref="F144:F155" location="Memo!C35" display="Memo!C35" xr:uid="{00000000-0004-0000-0100-000011000000}"/>
    <hyperlink ref="F160:F161" location="Memo!C35" display="Memo!C35" xr:uid="{00000000-0004-0000-0100-000013000000}"/>
    <hyperlink ref="F164" location="Memo!C149" display="Memo!C149" xr:uid="{00000000-0004-0000-0100-000014000000}"/>
    <hyperlink ref="F172:F174" location="Memo!C35" display="Memo!C35" xr:uid="{00000000-0004-0000-0100-000015000000}"/>
    <hyperlink ref="F189" location="Memo!C157" display="Memo!C157" xr:uid="{00000000-0004-0000-0100-000017000000}"/>
    <hyperlink ref="F44" location="Memo!C49" display="Memo!C49" xr:uid="{00000000-0004-0000-0100-000018000000}"/>
    <hyperlink ref="F45" location="Memo!C50" display="Memo!C50" xr:uid="{00000000-0004-0000-0100-000019000000}"/>
    <hyperlink ref="F51" location="Memo!C54" display="Memo!C54" xr:uid="{00000000-0004-0000-0100-00001D000000}"/>
    <hyperlink ref="F52" location="Memo!C55" display="Memo!C55" xr:uid="{00000000-0004-0000-0100-00001E000000}"/>
    <hyperlink ref="F53" location="Memo!C56" display="Memo!C56" xr:uid="{00000000-0004-0000-0100-00001F000000}"/>
    <hyperlink ref="F54" location="Memo!C57" display="Memo!C57" xr:uid="{00000000-0004-0000-0100-000020000000}"/>
    <hyperlink ref="F55" location="Memo!C58" display="Memo!C58" xr:uid="{00000000-0004-0000-0100-000021000000}"/>
    <hyperlink ref="F56" location="Memo!C59" display="Memo!C59" xr:uid="{00000000-0004-0000-0100-000022000000}"/>
    <hyperlink ref="F57" location="Memo!C60" display="Memo!C60" xr:uid="{00000000-0004-0000-0100-000023000000}"/>
    <hyperlink ref="F58" location="Memo!C61" display="Memo!C61" xr:uid="{00000000-0004-0000-0100-000024000000}"/>
    <hyperlink ref="F59" location="Memo!C62" display="Memo!C62" xr:uid="{00000000-0004-0000-0100-000025000000}"/>
    <hyperlink ref="F60" location="Memo!C63" display="Memo!C63" xr:uid="{00000000-0004-0000-0100-000026000000}"/>
    <hyperlink ref="F61" location="Memo!C64" display="Memo!C64" xr:uid="{00000000-0004-0000-0100-000027000000}"/>
    <hyperlink ref="F62" location="Memo!C65" display="Memo!C65" xr:uid="{00000000-0004-0000-0100-000028000000}"/>
    <hyperlink ref="F64" location="Memo!C66" display="Memo!C66" xr:uid="{00000000-0004-0000-0100-000029000000}"/>
    <hyperlink ref="F65" location="Memo!C67" display="Memo!C67" xr:uid="{00000000-0004-0000-0100-00002A000000}"/>
    <hyperlink ref="F66" location="Memo!C68" display="Memo!C68" xr:uid="{00000000-0004-0000-0100-00002B000000}"/>
    <hyperlink ref="F67" location="Memo!C69" display="Memo!C69" xr:uid="{00000000-0004-0000-0100-00002C000000}"/>
    <hyperlink ref="F69" location="Memo!C72" display="Memo!C72" xr:uid="{00000000-0004-0000-0100-00002D000000}"/>
    <hyperlink ref="F70" location="Memo!C73" display="Memo!C73" xr:uid="{00000000-0004-0000-0100-00002E000000}"/>
    <hyperlink ref="F71" location="Memo!C74" display="Memo!C74" xr:uid="{00000000-0004-0000-0100-00002F000000}"/>
    <hyperlink ref="F73" location="Memo!C76" display="Memo!C76" xr:uid="{00000000-0004-0000-0100-000031000000}"/>
    <hyperlink ref="F86" location="Memo!C88" display="Memo!C88" xr:uid="{00000000-0004-0000-0100-000032000000}"/>
    <hyperlink ref="F87" location="Memo!C89" display="Memo!C89" xr:uid="{00000000-0004-0000-0100-000033000000}"/>
    <hyperlink ref="F88" location="Memo!C90" display="Memo!C90" xr:uid="{00000000-0004-0000-0100-000034000000}"/>
    <hyperlink ref="F89" location="Memo!C91" display="Memo!C91" xr:uid="{00000000-0004-0000-0100-000035000000}"/>
    <hyperlink ref="F95" location="Memo!C97" display="Memo!C97" xr:uid="{00000000-0004-0000-0100-000036000000}"/>
    <hyperlink ref="F97" location="Memo!C98" display="Memo!C98" xr:uid="{00000000-0004-0000-0100-000037000000}"/>
    <hyperlink ref="F98" location="Memo!C99" display="Memo!C99" xr:uid="{00000000-0004-0000-0100-000038000000}"/>
    <hyperlink ref="F100" location="Memo!C101" display="Memo!C101" xr:uid="{00000000-0004-0000-0100-000039000000}"/>
    <hyperlink ref="F101" location="Memo!C102" display="Memo!C102" xr:uid="{00000000-0004-0000-0100-00003A000000}"/>
    <hyperlink ref="F103" location="Memo!C104" display="Memo!C104" xr:uid="{00000000-0004-0000-0100-00003B000000}"/>
    <hyperlink ref="F104" location="Memo!C105" display="Memo!C105" xr:uid="{00000000-0004-0000-0100-00003C000000}"/>
    <hyperlink ref="F107" location="Memo!C109" display="Memo!C109" xr:uid="{00000000-0004-0000-0100-00003D000000}"/>
    <hyperlink ref="F108" location="Memo!C110" display="Memo!C110" xr:uid="{00000000-0004-0000-0100-00003E000000}"/>
    <hyperlink ref="F109" location="Memo!C114" display="Memo!C114" xr:uid="{00000000-0004-0000-0100-00003F000000}"/>
    <hyperlink ref="F110" location="Memo!C116" display="Memo!C116" xr:uid="{00000000-0004-0000-0100-000040000000}"/>
    <hyperlink ref="F111" location="Memo!C118" display="Memo!C118" xr:uid="{00000000-0004-0000-0100-000041000000}"/>
    <hyperlink ref="F112" location="Memo!C119" display="Memo!C119" xr:uid="{00000000-0004-0000-0100-000042000000}"/>
    <hyperlink ref="F113" location="Memo!C120" display="Memo!C120" xr:uid="{00000000-0004-0000-0100-000043000000}"/>
    <hyperlink ref="F144" location="Memo!C135" display="Memo!C135" xr:uid="{00000000-0004-0000-0100-000044000000}"/>
    <hyperlink ref="F145" location="Memo!C136" display="Memo!C136" xr:uid="{00000000-0004-0000-0100-000045000000}"/>
    <hyperlink ref="F148" location="Memo!C139" display="Memo!C139" xr:uid="{00000000-0004-0000-0100-000046000000}"/>
    <hyperlink ref="F153" location="Memo!C144" display="Memo!C144" xr:uid="{00000000-0004-0000-0100-000047000000}"/>
    <hyperlink ref="F154" location="Memo!C145" display="Memo!C145" xr:uid="{00000000-0004-0000-0100-000048000000}"/>
    <hyperlink ref="F155" location="Memo!C146" display="Memo!C146" xr:uid="{00000000-0004-0000-0100-000049000000}"/>
    <hyperlink ref="F160" location="Memo!C147" display="Memo!C147" xr:uid="{00000000-0004-0000-0100-00004A000000}"/>
    <hyperlink ref="F161" location="Memo!C148" display="Memo!C148" xr:uid="{00000000-0004-0000-0100-00004B000000}"/>
    <hyperlink ref="F172" location="Memo!C150" display="Memo!C150" xr:uid="{00000000-0004-0000-0100-00004D000000}"/>
    <hyperlink ref="F173" location="Memo!C151" display="Memo!C151" xr:uid="{00000000-0004-0000-0100-00004E000000}"/>
    <hyperlink ref="F174" location="Memo!C152" display="Memo!C152" xr:uid="{00000000-0004-0000-0100-00004F000000}"/>
    <hyperlink ref="F90" location="Memo!C92" display="Memo!C92" xr:uid="{00000000-0004-0000-0100-000053000000}"/>
    <hyperlink ref="F91" location="Memo!C93" display="Memo!C93" xr:uid="{00000000-0004-0000-0100-000054000000}"/>
    <hyperlink ref="F93" location="Memo!C95" display="Memo!C95" xr:uid="{00000000-0004-0000-0100-000055000000}"/>
    <hyperlink ref="F92" location="Memo!C94" display="Memo!C94" xr:uid="{00000000-0004-0000-0100-000056000000}"/>
    <hyperlink ref="A183" r:id="rId1" display="The person in your authority who completes the Council Tax Requirement return maybe be best placed to provide these notional figures" xr:uid="{C07557A9-98A9-4834-95DB-FB032C504602}"/>
    <hyperlink ref="F184" location="Memo!C154" display="Memo!C154" xr:uid="{F4168004-837C-4245-A62D-C2A087EAE258}"/>
    <hyperlink ref="F186" location="Memo!C156" display="Memo!C156" xr:uid="{00000000-0004-0000-0100-000052000000}"/>
    <hyperlink ref="F185" location="Memo!C155" display="Memo!C155" xr:uid="{F6842CD7-8CB4-4FB0-8E9F-D2114628035F}"/>
    <hyperlink ref="F46:F48" location="Memo!C50" display="Memo!C50" xr:uid="{0C4FF774-955B-45B1-9271-2BD047089E4E}"/>
    <hyperlink ref="G179" location="Memo!C153" display="Memo!C153" xr:uid="{AB3DFF95-6821-4C5F-8879-35F4718289C4}"/>
    <hyperlink ref="F68" location="Memo!C70" display="Memo!C70" xr:uid="{26AF542B-58B9-4C39-B23A-E821E662DF77}"/>
    <hyperlink ref="F46" location="Memo!C51" display="Memo!C51" xr:uid="{2FFEB3F6-0C78-4178-8AD6-38991BB5BE64}"/>
    <hyperlink ref="F47" location="Memo!C52" display="Memo!C52" xr:uid="{178D188A-7A9F-4EB3-B7C6-EB0A8DAC7983}"/>
    <hyperlink ref="F48" location="Memo!C53" display="Memo!C53" xr:uid="{2703FBC5-09B8-417D-ABD0-861572896586}"/>
    <hyperlink ref="F72" location="Memo!C75" display="Memo!C75" xr:uid="{00000000-0004-0000-0100-000030000000}"/>
    <hyperlink ref="F75" location="Memo!C77" display="Memo!C77" xr:uid="{DD6E6AAB-68EF-4BBB-BA10-E3155C1CD6DE}"/>
    <hyperlink ref="F102" location="Memo!C103" display="Memo!C103" xr:uid="{D3F91F84-77F4-4F08-887C-9E0880E93B83}"/>
    <hyperlink ref="B109" r:id="rId2" xr:uid="{0B2A858F-7FE7-45E7-B98E-97751B01C961}"/>
    <hyperlink ref="B108" r:id="rId3" xr:uid="{75D1A011-BAFF-49A5-A820-2BE6AB26A178}"/>
    <hyperlink ref="F76" location="Memo!C78" display="Memo!C78" xr:uid="{90636EF7-8DC3-40AA-A218-62A657054C2C}"/>
    <hyperlink ref="F77" location="Memo!C79" display="Memo!C79" xr:uid="{D0829B6C-5B76-462A-A5A9-03826DD11075}"/>
    <hyperlink ref="F78" location="Memo!C80" display="Memo!C80" xr:uid="{2FFDA1EC-646C-432C-AC04-162E9853FC08}"/>
    <hyperlink ref="F79" location="Memo!C81" display="Memo!C81" xr:uid="{A67DA2F9-1D30-41CC-9BB9-015148D58661}"/>
    <hyperlink ref="F80" location="Memo!C82" display="Memo!C82" xr:uid="{BAA80FE3-A02A-4552-BF53-FF424EA2D18E}"/>
    <hyperlink ref="F81" location="Memo!C83" display="Memo!C83" xr:uid="{763DFF98-BB4F-4852-BA59-4F9FC9ADA2E3}"/>
    <hyperlink ref="F82" location="Memo!C84" display="Memo!C84" xr:uid="{81EEDC23-A397-4C4D-9AD8-626DA3E34FF5}"/>
    <hyperlink ref="F83" location="Memo!C85" display="Memo!C85" xr:uid="{3BA612B2-4C4C-49BF-B498-C0FEB46B8C09}"/>
    <hyperlink ref="F84" location="Memo!C86" display="Memo!C86" xr:uid="{B97D178D-645D-4DA2-9589-5D7E49942025}"/>
    <hyperlink ref="F85" location="Memo!C87" display="Memo!C87" xr:uid="{B4323299-4622-4A49-A305-617E631FF5A1}"/>
    <hyperlink ref="F106" location="Memo!C108" display="Memo!C108" xr:uid="{E474DB33-CC70-4CB8-A66B-B1FCF7C19FAC}"/>
  </hyperlinks>
  <printOptions horizontalCentered="1"/>
  <pageMargins left="0.39370078740157483" right="0.39370078740157483" top="0.39370078740157483" bottom="0.39370078740157483" header="0.19685039370078741" footer="0.19685039370078741"/>
  <pageSetup paperSize="9" scale="55" fitToHeight="2" orientation="landscape" r:id="rId4"/>
  <headerFooter alignWithMargins="0"/>
  <rowBreaks count="1" manualBreakCount="1">
    <brk id="107" max="12" man="1"/>
  </rowBreaks>
  <ignoredErrors>
    <ignoredError sqref="E143 E25:E27 E159 E171 E183 E188" numberStoredAsText="1"/>
  </ignoredErrors>
  <drawing r:id="rId5"/>
  <legacyDrawing r:id="rId6"/>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2CB58C-B0A3-4FE4-8D3F-91AE4BAB8042}">
  <sheetPr codeName="Sheet22">
    <tabColor theme="7" tint="0.59999389629810485"/>
  </sheetPr>
  <dimension ref="A1:AZ434"/>
  <sheetViews>
    <sheetView zoomScaleNormal="100" workbookViewId="0">
      <pane xSplit="4" ySplit="3" topLeftCell="E4" activePane="bottomRight" state="frozen"/>
      <selection pane="topRight" sqref="A1:K1"/>
      <selection pane="bottomLeft" sqref="A1:K1"/>
      <selection pane="bottomRight"/>
    </sheetView>
  </sheetViews>
  <sheetFormatPr defaultColWidth="8.7265625" defaultRowHeight="14" x14ac:dyDescent="0.3"/>
  <cols>
    <col min="1" max="1" width="8.7265625" style="939"/>
    <col min="2" max="2" width="10.7265625" style="939" customWidth="1"/>
    <col min="3" max="3" width="55.7265625" style="939" customWidth="1"/>
    <col min="4" max="4" width="9.26953125" style="939" customWidth="1"/>
    <col min="5" max="8" width="13.54296875" style="939" customWidth="1"/>
    <col min="9" max="9" width="16.26953125" style="939" customWidth="1"/>
    <col min="10" max="18" width="13.54296875" style="939" customWidth="1"/>
    <col min="19" max="19" width="13.54296875" style="948" customWidth="1"/>
    <col min="20" max="22" width="13.54296875" style="939" customWidth="1"/>
    <col min="23" max="23" width="12.26953125" style="939" customWidth="1"/>
    <col min="24" max="24" width="10.7265625" style="939" customWidth="1"/>
    <col min="25" max="30" width="13.54296875" style="939" customWidth="1"/>
    <col min="31" max="31" width="13.54296875" style="955" customWidth="1"/>
    <col min="32" max="32" width="4.1796875" style="949" customWidth="1"/>
    <col min="33" max="33" width="13.54296875" style="939" customWidth="1"/>
    <col min="34" max="34" width="13.54296875" style="955" customWidth="1"/>
    <col min="35" max="53" width="13.54296875" style="939" customWidth="1"/>
    <col min="54" max="16283" width="8.7265625" style="939"/>
    <col min="16284" max="16285" width="8.7265625" style="939" bestFit="1"/>
    <col min="16286" max="16316" width="8.7265625" style="939"/>
    <col min="16317" max="16317" width="8.7265625" style="939" bestFit="1"/>
    <col min="16318" max="16384" width="8.7265625" style="939"/>
  </cols>
  <sheetData>
    <row r="1" spans="1:52" ht="14.5" x14ac:dyDescent="0.3">
      <c r="A1" s="939">
        <v>1</v>
      </c>
      <c r="B1" s="939">
        <v>2</v>
      </c>
      <c r="C1" s="939">
        <v>3</v>
      </c>
      <c r="D1" s="939">
        <v>4</v>
      </c>
      <c r="E1" s="939">
        <v>5</v>
      </c>
      <c r="F1" s="939">
        <v>6</v>
      </c>
      <c r="G1" s="939">
        <v>7</v>
      </c>
      <c r="H1" s="939">
        <v>8</v>
      </c>
      <c r="I1" s="939">
        <v>9</v>
      </c>
      <c r="J1" s="939">
        <v>10</v>
      </c>
      <c r="K1" s="939">
        <v>11</v>
      </c>
      <c r="L1" s="939">
        <v>12</v>
      </c>
      <c r="M1" s="939">
        <v>13</v>
      </c>
      <c r="N1" s="939">
        <v>14</v>
      </c>
      <c r="O1" s="939">
        <v>15</v>
      </c>
      <c r="P1" s="939">
        <v>16</v>
      </c>
      <c r="Q1" s="939">
        <v>17</v>
      </c>
      <c r="R1" s="939">
        <v>18</v>
      </c>
      <c r="S1" s="939">
        <v>19</v>
      </c>
      <c r="T1" s="939">
        <v>20</v>
      </c>
      <c r="U1" s="939">
        <v>21</v>
      </c>
      <c r="V1" s="939">
        <v>22</v>
      </c>
      <c r="W1" s="939">
        <v>23</v>
      </c>
      <c r="X1" s="939">
        <v>24</v>
      </c>
      <c r="Y1" s="939">
        <v>25</v>
      </c>
      <c r="Z1" s="939">
        <v>26</v>
      </c>
      <c r="AA1" s="939">
        <v>27</v>
      </c>
      <c r="AB1" s="939">
        <v>28</v>
      </c>
      <c r="AC1" s="939">
        <v>29</v>
      </c>
      <c r="AD1" s="939">
        <v>30</v>
      </c>
      <c r="AE1" s="955">
        <v>31</v>
      </c>
      <c r="AF1" s="939">
        <v>32</v>
      </c>
      <c r="AG1" s="939">
        <v>33</v>
      </c>
      <c r="AH1" s="955">
        <v>34</v>
      </c>
      <c r="AI1" s="939">
        <v>35</v>
      </c>
      <c r="AJ1" s="939">
        <v>36</v>
      </c>
      <c r="AK1" s="939">
        <v>37</v>
      </c>
      <c r="AL1" s="939">
        <v>38</v>
      </c>
      <c r="AM1" s="939">
        <v>39</v>
      </c>
      <c r="AN1" s="939">
        <v>40</v>
      </c>
      <c r="AO1" s="939">
        <v>41</v>
      </c>
      <c r="AP1" s="939">
        <v>42</v>
      </c>
      <c r="AQ1" s="939">
        <v>43</v>
      </c>
      <c r="AR1" s="939">
        <v>44</v>
      </c>
      <c r="AS1" s="939">
        <v>45</v>
      </c>
      <c r="AZ1" s="940"/>
    </row>
    <row r="2" spans="1:52" s="941" customFormat="1" ht="140" x14ac:dyDescent="0.3">
      <c r="A2" s="941" t="s">
        <v>53</v>
      </c>
      <c r="B2" s="941" t="s">
        <v>5537</v>
      </c>
      <c r="C2" s="941" t="s">
        <v>5538</v>
      </c>
      <c r="D2" s="941" t="s">
        <v>5335</v>
      </c>
      <c r="E2" s="941" t="s">
        <v>5374</v>
      </c>
      <c r="F2" s="941" t="s">
        <v>5539</v>
      </c>
      <c r="G2" s="941" t="s">
        <v>5375</v>
      </c>
      <c r="H2" s="941" t="s">
        <v>5540</v>
      </c>
      <c r="I2" s="941" t="s">
        <v>5541</v>
      </c>
      <c r="J2" s="976" t="s">
        <v>5542</v>
      </c>
      <c r="K2" s="941" t="s">
        <v>5543</v>
      </c>
      <c r="L2" s="941" t="s">
        <v>5544</v>
      </c>
      <c r="M2" s="941" t="s">
        <v>5545</v>
      </c>
      <c r="N2" s="941" t="s">
        <v>5546</v>
      </c>
      <c r="O2" s="941" t="s">
        <v>1627</v>
      </c>
      <c r="P2" s="941" t="s">
        <v>5547</v>
      </c>
      <c r="Q2" s="941" t="s">
        <v>5548</v>
      </c>
      <c r="R2" s="941" t="s">
        <v>5549</v>
      </c>
      <c r="S2" s="941" t="s">
        <v>5550</v>
      </c>
      <c r="T2" s="976" t="s">
        <v>5542</v>
      </c>
      <c r="U2" s="941" t="s">
        <v>5551</v>
      </c>
      <c r="V2" s="941" t="s">
        <v>5552</v>
      </c>
      <c r="W2" s="941" t="s">
        <v>1633</v>
      </c>
      <c r="X2" s="941" t="s">
        <v>1634</v>
      </c>
      <c r="Y2" s="941" t="s">
        <v>5553</v>
      </c>
      <c r="Z2" s="941" t="s">
        <v>5554</v>
      </c>
      <c r="AA2" s="941" t="s">
        <v>5555</v>
      </c>
      <c r="AB2" s="976" t="s">
        <v>5542</v>
      </c>
      <c r="AC2" s="941" t="s">
        <v>5556</v>
      </c>
      <c r="AD2" s="941" t="s">
        <v>5557</v>
      </c>
      <c r="AE2" s="977" t="s">
        <v>5558</v>
      </c>
      <c r="AF2" s="942" t="s">
        <v>5362</v>
      </c>
      <c r="AG2" s="941" t="s">
        <v>5559</v>
      </c>
      <c r="AH2" s="978" t="s">
        <v>5560</v>
      </c>
      <c r="AI2" s="941" t="s">
        <v>5561</v>
      </c>
      <c r="AJ2" s="941" t="s">
        <v>5562</v>
      </c>
      <c r="AK2" s="979" t="s">
        <v>5563</v>
      </c>
      <c r="AL2" s="941" t="s">
        <v>5564</v>
      </c>
      <c r="AM2" s="941" t="s">
        <v>5565</v>
      </c>
      <c r="AN2" s="941" t="s">
        <v>5566</v>
      </c>
      <c r="AO2" s="941" t="s">
        <v>5567</v>
      </c>
      <c r="AP2" s="941" t="s">
        <v>5568</v>
      </c>
      <c r="AQ2" s="941" t="s">
        <v>5569</v>
      </c>
      <c r="AR2" s="976" t="s">
        <v>5542</v>
      </c>
      <c r="AS2" s="941" t="s">
        <v>5570</v>
      </c>
      <c r="AZ2" s="943"/>
    </row>
    <row r="3" spans="1:52" s="941" customFormat="1" ht="91.5" customHeight="1" x14ac:dyDescent="0.3">
      <c r="E3" s="658"/>
      <c r="F3" s="944" t="s">
        <v>5571</v>
      </c>
      <c r="G3" s="658"/>
      <c r="H3" s="944" t="s">
        <v>5572</v>
      </c>
      <c r="I3" s="952" t="s">
        <v>5573</v>
      </c>
      <c r="J3" s="648"/>
      <c r="L3" s="944" t="s">
        <v>5574</v>
      </c>
      <c r="M3" s="658"/>
      <c r="N3" s="944" t="s">
        <v>5575</v>
      </c>
      <c r="O3" s="658"/>
      <c r="P3" s="944" t="s">
        <v>5576</v>
      </c>
      <c r="Q3" s="658"/>
      <c r="R3" s="944" t="s">
        <v>5577</v>
      </c>
      <c r="S3" s="952" t="s">
        <v>5578</v>
      </c>
      <c r="T3" s="944"/>
      <c r="U3" s="648"/>
      <c r="V3" s="944" t="s">
        <v>5579</v>
      </c>
      <c r="W3" s="944" t="s">
        <v>5580</v>
      </c>
      <c r="X3" s="944" t="s">
        <v>5581</v>
      </c>
      <c r="Y3" s="658"/>
      <c r="Z3" s="944" t="s">
        <v>5582</v>
      </c>
      <c r="AA3" s="648" t="s">
        <v>5583</v>
      </c>
      <c r="AB3" s="944"/>
      <c r="AC3" s="648" t="s">
        <v>5584</v>
      </c>
      <c r="AD3" s="648" t="s">
        <v>5584</v>
      </c>
      <c r="AE3" s="956" t="s">
        <v>5585</v>
      </c>
      <c r="AF3" s="942"/>
      <c r="AG3" s="965" t="s">
        <v>5586</v>
      </c>
      <c r="AH3" s="956" t="s">
        <v>5587</v>
      </c>
      <c r="AI3" s="658"/>
      <c r="AJ3" s="965" t="s">
        <v>5586</v>
      </c>
      <c r="AK3" s="648"/>
      <c r="AL3" s="945"/>
      <c r="AM3" s="945"/>
      <c r="AN3" s="945"/>
      <c r="AO3" s="980" t="s">
        <v>5588</v>
      </c>
      <c r="AP3" s="648"/>
      <c r="AQ3" s="952"/>
    </row>
    <row r="4" spans="1:52" x14ac:dyDescent="0.3">
      <c r="A4" s="642" t="s">
        <v>59</v>
      </c>
      <c r="B4" s="642" t="s">
        <v>60</v>
      </c>
      <c r="C4" s="642" t="s">
        <v>58</v>
      </c>
      <c r="D4" s="939" t="s">
        <v>61</v>
      </c>
      <c r="F4" s="946">
        <v>0</v>
      </c>
      <c r="H4" s="946">
        <v>0</v>
      </c>
      <c r="I4" s="939">
        <v>0</v>
      </c>
      <c r="J4" s="974">
        <v>0</v>
      </c>
      <c r="L4" s="946">
        <v>0</v>
      </c>
      <c r="M4" s="947"/>
      <c r="N4" s="946">
        <v>0</v>
      </c>
      <c r="P4" s="946">
        <v>0</v>
      </c>
      <c r="R4" s="946">
        <v>0</v>
      </c>
      <c r="S4" s="948">
        <v>0</v>
      </c>
      <c r="T4" s="946">
        <v>0</v>
      </c>
      <c r="V4" s="946">
        <v>260</v>
      </c>
      <c r="W4" s="946">
        <v>0</v>
      </c>
      <c r="X4" s="946">
        <v>122</v>
      </c>
      <c r="Y4" s="947"/>
      <c r="Z4" s="946">
        <v>157</v>
      </c>
      <c r="AA4" s="948">
        <v>65607</v>
      </c>
      <c r="AB4" s="946">
        <v>65.606999999999999</v>
      </c>
      <c r="AC4" s="974">
        <v>440.33699999999999</v>
      </c>
      <c r="AD4" s="946">
        <v>7332.3770000000004</v>
      </c>
      <c r="AE4" s="957">
        <v>559</v>
      </c>
      <c r="AG4" s="957">
        <v>130</v>
      </c>
      <c r="AH4" s="955">
        <v>0</v>
      </c>
      <c r="AI4" s="425">
        <v>1</v>
      </c>
      <c r="AJ4" s="957">
        <v>-100</v>
      </c>
      <c r="AL4" s="939">
        <v>0</v>
      </c>
      <c r="AM4" s="939">
        <v>0</v>
      </c>
      <c r="AN4" s="950">
        <v>3671.4607500000006</v>
      </c>
      <c r="AO4" s="946">
        <v>8.0842300281542795E-2</v>
      </c>
      <c r="AP4" s="946">
        <v>81</v>
      </c>
      <c r="AQ4" s="953"/>
      <c r="AR4" s="950"/>
      <c r="AS4" s="950">
        <v>142.26300000000001</v>
      </c>
    </row>
    <row r="5" spans="1:52" x14ac:dyDescent="0.3">
      <c r="A5" s="642" t="s">
        <v>65</v>
      </c>
      <c r="B5" s="642" t="s">
        <v>66</v>
      </c>
      <c r="C5" s="642" t="s">
        <v>64</v>
      </c>
      <c r="D5" s="939" t="s">
        <v>61</v>
      </c>
      <c r="F5" s="946">
        <v>-207</v>
      </c>
      <c r="H5" s="946">
        <v>0</v>
      </c>
      <c r="I5" s="939">
        <v>0</v>
      </c>
      <c r="J5" s="974">
        <v>0</v>
      </c>
      <c r="L5" s="946">
        <v>0</v>
      </c>
      <c r="M5" s="947"/>
      <c r="N5" s="946">
        <v>342</v>
      </c>
      <c r="P5" s="946">
        <v>0</v>
      </c>
      <c r="R5" s="946">
        <v>0</v>
      </c>
      <c r="S5" s="948">
        <v>0</v>
      </c>
      <c r="T5" s="946">
        <v>0</v>
      </c>
      <c r="V5" s="946">
        <v>147</v>
      </c>
      <c r="W5" s="946">
        <v>0</v>
      </c>
      <c r="X5" s="946">
        <v>252</v>
      </c>
      <c r="Y5" s="947"/>
      <c r="Z5" s="946">
        <v>291</v>
      </c>
      <c r="AA5" s="948">
        <v>117708</v>
      </c>
      <c r="AB5" s="946">
        <v>117.708</v>
      </c>
      <c r="AC5" s="974">
        <v>2773.694</v>
      </c>
      <c r="AD5" s="946">
        <v>8350.7330000000002</v>
      </c>
      <c r="AE5" s="957">
        <v>0</v>
      </c>
      <c r="AG5" s="957">
        <v>0</v>
      </c>
      <c r="AH5" s="955">
        <v>0</v>
      </c>
      <c r="AI5" s="425">
        <v>1</v>
      </c>
      <c r="AJ5" s="957">
        <v>0</v>
      </c>
      <c r="AL5" s="939">
        <v>0</v>
      </c>
      <c r="AM5" s="939">
        <v>0</v>
      </c>
      <c r="AN5" s="950">
        <v>809.52546999999993</v>
      </c>
      <c r="AO5" s="946">
        <v>0.16723356737263601</v>
      </c>
      <c r="AP5" s="946">
        <v>167</v>
      </c>
      <c r="AQ5" s="953"/>
      <c r="AR5" s="950"/>
      <c r="AS5" s="950">
        <v>275.87</v>
      </c>
    </row>
    <row r="6" spans="1:52" x14ac:dyDescent="0.3">
      <c r="A6" s="642" t="s">
        <v>69</v>
      </c>
      <c r="B6" s="642" t="s">
        <v>70</v>
      </c>
      <c r="C6" s="642" t="s">
        <v>68</v>
      </c>
      <c r="D6" s="939" t="s">
        <v>61</v>
      </c>
      <c r="F6" s="946">
        <v>-5</v>
      </c>
      <c r="H6" s="946">
        <v>0</v>
      </c>
      <c r="I6" s="939">
        <v>0</v>
      </c>
      <c r="J6" s="974">
        <v>0</v>
      </c>
      <c r="L6" s="946">
        <v>0</v>
      </c>
      <c r="M6" s="947"/>
      <c r="N6" s="946">
        <v>0</v>
      </c>
      <c r="P6" s="946">
        <v>0</v>
      </c>
      <c r="R6" s="946">
        <v>0</v>
      </c>
      <c r="S6" s="948">
        <v>0</v>
      </c>
      <c r="T6" s="946">
        <v>0</v>
      </c>
      <c r="V6" s="946">
        <v>273</v>
      </c>
      <c r="W6" s="946">
        <v>0</v>
      </c>
      <c r="X6" s="946">
        <v>222</v>
      </c>
      <c r="Y6" s="947"/>
      <c r="Z6" s="946">
        <v>956</v>
      </c>
      <c r="AA6" s="948">
        <v>145967</v>
      </c>
      <c r="AB6" s="946">
        <v>145.96700000000001</v>
      </c>
      <c r="AC6" s="974">
        <v>2612.2089999999998</v>
      </c>
      <c r="AD6" s="946">
        <v>9929.1550000000007</v>
      </c>
      <c r="AE6" s="957">
        <v>0</v>
      </c>
      <c r="AG6" s="957" t="s">
        <v>5442</v>
      </c>
      <c r="AH6" s="955">
        <v>0</v>
      </c>
      <c r="AI6" s="425">
        <v>1</v>
      </c>
      <c r="AJ6" s="957" t="s">
        <v>5442</v>
      </c>
      <c r="AL6" s="939">
        <v>0</v>
      </c>
      <c r="AM6" s="939">
        <v>0</v>
      </c>
      <c r="AN6" s="950">
        <v>0.75609999999999999</v>
      </c>
      <c r="AO6" s="946">
        <v>0.14741292605688899</v>
      </c>
      <c r="AP6" s="946">
        <v>147</v>
      </c>
      <c r="AQ6" s="953"/>
      <c r="AR6" s="950"/>
      <c r="AS6" s="950">
        <v>295.16800000000001</v>
      </c>
    </row>
    <row r="7" spans="1:52" x14ac:dyDescent="0.3">
      <c r="A7" s="642" t="s">
        <v>73</v>
      </c>
      <c r="B7" s="642" t="s">
        <v>74</v>
      </c>
      <c r="C7" s="642" t="s">
        <v>72</v>
      </c>
      <c r="D7" s="939" t="s">
        <v>61</v>
      </c>
      <c r="F7" s="946">
        <v>-1</v>
      </c>
      <c r="H7" s="946">
        <v>0</v>
      </c>
      <c r="I7" s="939">
        <v>0</v>
      </c>
      <c r="J7" s="974">
        <v>0</v>
      </c>
      <c r="L7" s="946">
        <v>0</v>
      </c>
      <c r="M7" s="947"/>
      <c r="N7" s="946">
        <v>0</v>
      </c>
      <c r="P7" s="946">
        <v>0</v>
      </c>
      <c r="R7" s="946">
        <v>0</v>
      </c>
      <c r="S7" s="948">
        <v>0</v>
      </c>
      <c r="T7" s="946">
        <v>0</v>
      </c>
      <c r="V7" s="946">
        <v>824</v>
      </c>
      <c r="W7" s="946">
        <v>0</v>
      </c>
      <c r="X7" s="946">
        <v>253</v>
      </c>
      <c r="Y7" s="947"/>
      <c r="Z7" s="946">
        <v>1292</v>
      </c>
      <c r="AA7" s="948">
        <v>156439</v>
      </c>
      <c r="AB7" s="946">
        <v>156.43899999999999</v>
      </c>
      <c r="AC7" s="974">
        <v>5024.1120000000001</v>
      </c>
      <c r="AD7" s="946">
        <v>17403.883000000002</v>
      </c>
      <c r="AE7" s="957">
        <v>3891</v>
      </c>
      <c r="AG7" s="957">
        <v>52</v>
      </c>
      <c r="AH7" s="955">
        <v>0</v>
      </c>
      <c r="AI7" s="425">
        <v>1</v>
      </c>
      <c r="AJ7" s="957">
        <v>0</v>
      </c>
      <c r="AL7" s="939">
        <v>0</v>
      </c>
      <c r="AM7" s="939">
        <v>0</v>
      </c>
      <c r="AN7" s="950">
        <v>1207.393</v>
      </c>
      <c r="AO7" s="946">
        <v>0.16783232741463</v>
      </c>
      <c r="AP7" s="946">
        <v>168</v>
      </c>
      <c r="AQ7" s="953"/>
      <c r="AR7" s="950"/>
      <c r="AS7" s="950">
        <v>367.70800000000003</v>
      </c>
    </row>
    <row r="8" spans="1:52" x14ac:dyDescent="0.3">
      <c r="A8" s="642" t="s">
        <v>77</v>
      </c>
      <c r="B8" s="642" t="s">
        <v>78</v>
      </c>
      <c r="C8" s="642" t="s">
        <v>76</v>
      </c>
      <c r="D8" s="939" t="s">
        <v>61</v>
      </c>
      <c r="F8" s="946">
        <v>-205</v>
      </c>
      <c r="H8" s="946">
        <v>0</v>
      </c>
      <c r="I8" s="939">
        <v>0</v>
      </c>
      <c r="J8" s="974">
        <v>0</v>
      </c>
      <c r="L8" s="946">
        <v>0</v>
      </c>
      <c r="M8" s="947"/>
      <c r="N8" s="946">
        <v>0</v>
      </c>
      <c r="P8" s="946">
        <v>0</v>
      </c>
      <c r="R8" s="946">
        <v>0</v>
      </c>
      <c r="S8" s="948">
        <v>0</v>
      </c>
      <c r="T8" s="946">
        <v>0</v>
      </c>
      <c r="V8" s="946">
        <v>275</v>
      </c>
      <c r="W8" s="946">
        <v>0</v>
      </c>
      <c r="X8" s="946">
        <v>268</v>
      </c>
      <c r="Y8" s="947"/>
      <c r="Z8" s="946">
        <v>486</v>
      </c>
      <c r="AA8" s="948">
        <v>169362</v>
      </c>
      <c r="AB8" s="946">
        <v>169.36199999999999</v>
      </c>
      <c r="AC8" s="974">
        <v>312.83499999999998</v>
      </c>
      <c r="AD8" s="946">
        <v>6968.7759999999998</v>
      </c>
      <c r="AE8" s="957">
        <v>43871</v>
      </c>
      <c r="AG8" s="957">
        <v>0</v>
      </c>
      <c r="AH8" s="955">
        <v>0</v>
      </c>
      <c r="AI8" s="425">
        <v>1</v>
      </c>
      <c r="AJ8" s="957">
        <v>0</v>
      </c>
      <c r="AL8" s="939">
        <v>0</v>
      </c>
      <c r="AM8" s="939">
        <v>0</v>
      </c>
      <c r="AN8" s="950">
        <v>1946.3566599999999</v>
      </c>
      <c r="AO8" s="946">
        <v>0.17773765637602701</v>
      </c>
      <c r="AP8" s="946">
        <v>178</v>
      </c>
      <c r="AQ8" s="953"/>
      <c r="AR8" s="950"/>
      <c r="AS8" s="950">
        <v>344.02199999999999</v>
      </c>
    </row>
    <row r="9" spans="1:52" x14ac:dyDescent="0.3">
      <c r="A9" s="642" t="s">
        <v>81</v>
      </c>
      <c r="B9" s="642" t="s">
        <v>82</v>
      </c>
      <c r="C9" s="642" t="s">
        <v>80</v>
      </c>
      <c r="D9" s="939" t="s">
        <v>61</v>
      </c>
      <c r="F9" s="946">
        <v>0</v>
      </c>
      <c r="H9" s="946">
        <v>0</v>
      </c>
      <c r="I9" s="939">
        <v>0</v>
      </c>
      <c r="J9" s="974">
        <v>0</v>
      </c>
      <c r="L9" s="946">
        <v>0</v>
      </c>
      <c r="M9" s="947"/>
      <c r="N9" s="946">
        <v>87</v>
      </c>
      <c r="P9" s="946">
        <v>0</v>
      </c>
      <c r="R9" s="946">
        <v>0</v>
      </c>
      <c r="S9" s="948">
        <v>0</v>
      </c>
      <c r="T9" s="946">
        <v>0</v>
      </c>
      <c r="V9" s="946">
        <v>545</v>
      </c>
      <c r="W9" s="946">
        <v>0</v>
      </c>
      <c r="X9" s="946">
        <v>198</v>
      </c>
      <c r="Y9" s="947"/>
      <c r="Z9" s="946">
        <v>1886</v>
      </c>
      <c r="AA9" s="948">
        <v>149644</v>
      </c>
      <c r="AB9" s="946">
        <v>149.64400000000001</v>
      </c>
      <c r="AC9" s="974">
        <v>2489.5390000000002</v>
      </c>
      <c r="AD9" s="946">
        <v>11127.388999999999</v>
      </c>
      <c r="AE9" s="957">
        <v>-6447</v>
      </c>
      <c r="AG9" s="957">
        <v>0</v>
      </c>
      <c r="AH9" s="955">
        <v>-2837</v>
      </c>
      <c r="AI9" s="425">
        <v>1</v>
      </c>
      <c r="AJ9" s="957">
        <v>0</v>
      </c>
      <c r="AL9" s="939">
        <v>0</v>
      </c>
      <c r="AM9" s="939">
        <v>0</v>
      </c>
      <c r="AN9" s="950">
        <v>3811.6377000000002</v>
      </c>
      <c r="AO9" s="946">
        <v>0.14072214864190999</v>
      </c>
      <c r="AP9" s="946">
        <v>141</v>
      </c>
      <c r="AQ9" s="953"/>
      <c r="AR9" s="950"/>
      <c r="AS9" s="950">
        <v>302.185</v>
      </c>
    </row>
    <row r="10" spans="1:52" x14ac:dyDescent="0.3">
      <c r="A10" s="642" t="s">
        <v>86</v>
      </c>
      <c r="B10" s="642" t="s">
        <v>87</v>
      </c>
      <c r="C10" s="642" t="s">
        <v>85</v>
      </c>
      <c r="D10" s="642" t="s">
        <v>71</v>
      </c>
      <c r="F10" s="946">
        <v>0</v>
      </c>
      <c r="H10" s="946">
        <v>-211410</v>
      </c>
      <c r="I10" s="939">
        <v>0</v>
      </c>
      <c r="J10" s="974">
        <v>0</v>
      </c>
      <c r="L10" s="946">
        <v>0</v>
      </c>
      <c r="M10" s="947"/>
      <c r="N10" s="946">
        <v>0</v>
      </c>
      <c r="P10" s="946">
        <v>0</v>
      </c>
      <c r="R10" s="946">
        <v>0</v>
      </c>
      <c r="S10" s="948">
        <v>0</v>
      </c>
      <c r="T10" s="946">
        <v>0</v>
      </c>
      <c r="V10" s="946">
        <v>0</v>
      </c>
      <c r="W10" s="946">
        <v>0</v>
      </c>
      <c r="X10" s="946">
        <v>0</v>
      </c>
      <c r="Y10" s="947"/>
      <c r="Z10" s="946">
        <v>0</v>
      </c>
      <c r="AA10" s="948">
        <v>0</v>
      </c>
      <c r="AB10" s="946">
        <v>0</v>
      </c>
      <c r="AC10" s="974">
        <v>0</v>
      </c>
      <c r="AD10" s="946">
        <v>144838.82999999999</v>
      </c>
      <c r="AE10" s="957">
        <v>0</v>
      </c>
      <c r="AG10" s="957">
        <v>7000</v>
      </c>
      <c r="AH10" s="955">
        <v>0</v>
      </c>
      <c r="AI10" s="425">
        <v>0</v>
      </c>
      <c r="AJ10" s="957">
        <v>0</v>
      </c>
      <c r="AL10" s="939">
        <v>0</v>
      </c>
      <c r="AM10" s="939">
        <v>0</v>
      </c>
      <c r="AN10" s="950">
        <v>1048.05467</v>
      </c>
      <c r="AO10" s="946">
        <v>0</v>
      </c>
      <c r="AP10" s="946">
        <v>0</v>
      </c>
      <c r="AQ10" s="953"/>
      <c r="AR10" s="950"/>
      <c r="AS10" s="950">
        <v>0</v>
      </c>
    </row>
    <row r="11" spans="1:52" x14ac:dyDescent="0.3">
      <c r="A11" s="642" t="s">
        <v>91</v>
      </c>
      <c r="B11" s="642" t="s">
        <v>92</v>
      </c>
      <c r="C11" s="642" t="s">
        <v>90</v>
      </c>
      <c r="D11" s="642" t="s">
        <v>5408</v>
      </c>
      <c r="F11" s="946">
        <v>-5302</v>
      </c>
      <c r="H11" s="946">
        <v>0</v>
      </c>
      <c r="I11" s="939">
        <v>0</v>
      </c>
      <c r="J11" s="974">
        <v>0</v>
      </c>
      <c r="L11" s="946">
        <v>0</v>
      </c>
      <c r="M11" s="947"/>
      <c r="N11" s="946">
        <v>0</v>
      </c>
      <c r="P11" s="946">
        <v>0</v>
      </c>
      <c r="R11" s="946">
        <v>0</v>
      </c>
      <c r="S11" s="948">
        <v>0</v>
      </c>
      <c r="T11" s="946">
        <v>0</v>
      </c>
      <c r="V11" s="946">
        <v>0</v>
      </c>
      <c r="W11" s="946">
        <v>0</v>
      </c>
      <c r="X11" s="946">
        <v>752</v>
      </c>
      <c r="Y11" s="947"/>
      <c r="Z11" s="946">
        <v>0</v>
      </c>
      <c r="AA11" s="948">
        <v>0</v>
      </c>
      <c r="AB11" s="946">
        <v>0</v>
      </c>
      <c r="AC11" s="974">
        <v>0</v>
      </c>
      <c r="AD11" s="946">
        <v>29296.77</v>
      </c>
      <c r="AE11" s="957">
        <v>0</v>
      </c>
      <c r="AG11" s="957">
        <v>7181</v>
      </c>
      <c r="AH11" s="955">
        <v>0</v>
      </c>
      <c r="AI11" s="425">
        <v>0</v>
      </c>
      <c r="AJ11" s="957">
        <v>0</v>
      </c>
      <c r="AL11" s="939">
        <v>0</v>
      </c>
      <c r="AM11" s="939">
        <v>0</v>
      </c>
      <c r="AN11" s="950">
        <v>221.2</v>
      </c>
      <c r="AO11" s="946">
        <v>0</v>
      </c>
      <c r="AP11" s="946">
        <v>0</v>
      </c>
      <c r="AQ11" s="953"/>
      <c r="AR11" s="950"/>
      <c r="AS11" s="950">
        <v>0</v>
      </c>
    </row>
    <row r="12" spans="1:52" x14ac:dyDescent="0.3">
      <c r="A12" s="642" t="s">
        <v>95</v>
      </c>
      <c r="B12" s="642" t="s">
        <v>96</v>
      </c>
      <c r="C12" s="642" t="s">
        <v>94</v>
      </c>
      <c r="D12" s="642" t="s">
        <v>61</v>
      </c>
      <c r="F12" s="946">
        <v>0</v>
      </c>
      <c r="H12" s="946">
        <v>0</v>
      </c>
      <c r="I12" s="939">
        <v>0</v>
      </c>
      <c r="J12" s="974">
        <v>0</v>
      </c>
      <c r="L12" s="946">
        <v>0</v>
      </c>
      <c r="M12" s="947"/>
      <c r="N12" s="946">
        <v>238</v>
      </c>
      <c r="P12" s="946">
        <v>0</v>
      </c>
      <c r="R12" s="946">
        <v>0</v>
      </c>
      <c r="S12" s="948">
        <v>0</v>
      </c>
      <c r="T12" s="946">
        <v>0</v>
      </c>
      <c r="V12" s="946">
        <v>226</v>
      </c>
      <c r="W12" s="946">
        <v>0</v>
      </c>
      <c r="X12" s="946">
        <v>147</v>
      </c>
      <c r="Y12" s="947"/>
      <c r="Z12" s="946">
        <v>802</v>
      </c>
      <c r="AA12" s="948">
        <v>75979</v>
      </c>
      <c r="AB12" s="946">
        <v>75.978999999999999</v>
      </c>
      <c r="AC12" s="974">
        <v>3124.74</v>
      </c>
      <c r="AD12" s="946">
        <v>9310.0450000000001</v>
      </c>
      <c r="AE12" s="957">
        <v>25873</v>
      </c>
      <c r="AG12" s="957">
        <v>1445</v>
      </c>
      <c r="AH12" s="955">
        <v>0</v>
      </c>
      <c r="AI12" s="425">
        <v>1</v>
      </c>
      <c r="AJ12" s="957">
        <v>0</v>
      </c>
      <c r="AL12" s="939">
        <v>0</v>
      </c>
      <c r="AM12" s="939">
        <v>0</v>
      </c>
      <c r="AN12" s="950">
        <v>3013.6795299999999</v>
      </c>
      <c r="AO12" s="946">
        <v>9.7839371612946105E-2</v>
      </c>
      <c r="AP12" s="946">
        <v>98</v>
      </c>
      <c r="AQ12" s="953"/>
      <c r="AR12" s="950"/>
      <c r="AS12" s="950">
        <v>168.964</v>
      </c>
    </row>
    <row r="13" spans="1:52" x14ac:dyDescent="0.3">
      <c r="A13" s="642" t="s">
        <v>99</v>
      </c>
      <c r="B13" s="642" t="s">
        <v>100</v>
      </c>
      <c r="C13" s="642" t="s">
        <v>98</v>
      </c>
      <c r="D13" s="642" t="s">
        <v>1940</v>
      </c>
      <c r="F13" s="946">
        <v>-18676</v>
      </c>
      <c r="H13" s="946">
        <v>0</v>
      </c>
      <c r="I13" s="939">
        <v>249233014</v>
      </c>
      <c r="J13" s="974">
        <v>249233.014</v>
      </c>
      <c r="L13" s="946">
        <v>17787</v>
      </c>
      <c r="M13" s="947"/>
      <c r="N13" s="946">
        <v>0</v>
      </c>
      <c r="P13" s="946">
        <v>10506</v>
      </c>
      <c r="R13" s="946">
        <v>10707</v>
      </c>
      <c r="S13" s="948">
        <v>443242</v>
      </c>
      <c r="T13" s="946">
        <v>443.24200000000002</v>
      </c>
      <c r="V13" s="946">
        <v>4364</v>
      </c>
      <c r="W13" s="946">
        <v>616</v>
      </c>
      <c r="X13" s="946">
        <v>3978</v>
      </c>
      <c r="Y13" s="947"/>
      <c r="Z13" s="946">
        <v>1073</v>
      </c>
      <c r="AA13" s="948">
        <v>300836</v>
      </c>
      <c r="AB13" s="946">
        <v>300.83600000000001</v>
      </c>
      <c r="AC13" s="974">
        <v>0</v>
      </c>
      <c r="AD13" s="946">
        <v>72350.452000000005</v>
      </c>
      <c r="AE13" s="957">
        <v>30405</v>
      </c>
      <c r="AG13" s="957">
        <v>0</v>
      </c>
      <c r="AH13" s="955">
        <v>0</v>
      </c>
      <c r="AI13" s="425">
        <v>1</v>
      </c>
      <c r="AJ13" s="957">
        <v>0</v>
      </c>
      <c r="AL13" s="939">
        <v>1</v>
      </c>
      <c r="AM13" s="939">
        <v>1</v>
      </c>
      <c r="AN13" s="950">
        <v>21265.855509999998</v>
      </c>
      <c r="AO13" s="946">
        <v>0.44290972378841698</v>
      </c>
      <c r="AP13" s="946">
        <v>443</v>
      </c>
      <c r="AQ13" s="953"/>
      <c r="AR13" s="950"/>
      <c r="AS13" s="950">
        <v>836.84799999999996</v>
      </c>
    </row>
    <row r="14" spans="1:52" x14ac:dyDescent="0.3">
      <c r="A14" s="642" t="s">
        <v>104</v>
      </c>
      <c r="B14" s="642" t="s">
        <v>105</v>
      </c>
      <c r="C14" s="642" t="s">
        <v>103</v>
      </c>
      <c r="D14" s="642" t="s">
        <v>1940</v>
      </c>
      <c r="F14" s="946">
        <v>-6518</v>
      </c>
      <c r="H14" s="946">
        <v>0</v>
      </c>
      <c r="I14" s="939">
        <v>250691733</v>
      </c>
      <c r="J14" s="974">
        <v>250691.73300000001</v>
      </c>
      <c r="L14" s="946">
        <v>18318</v>
      </c>
      <c r="M14" s="947"/>
      <c r="N14" s="946">
        <v>0</v>
      </c>
      <c r="P14" s="946">
        <v>12059</v>
      </c>
      <c r="R14" s="946">
        <v>9622</v>
      </c>
      <c r="S14" s="948">
        <v>1340371</v>
      </c>
      <c r="T14" s="946">
        <v>1340.3710000000001</v>
      </c>
      <c r="V14" s="946">
        <v>5733</v>
      </c>
      <c r="W14" s="946">
        <v>977</v>
      </c>
      <c r="X14" s="946">
        <v>4049</v>
      </c>
      <c r="Y14" s="947"/>
      <c r="Z14" s="946">
        <v>4847</v>
      </c>
      <c r="AA14" s="948">
        <v>565410</v>
      </c>
      <c r="AB14" s="946">
        <v>565.41</v>
      </c>
      <c r="AC14" s="974">
        <v>0</v>
      </c>
      <c r="AD14" s="946">
        <v>203731.78099999999</v>
      </c>
      <c r="AE14" s="957">
        <v>4020</v>
      </c>
      <c r="AG14" s="957">
        <v>0</v>
      </c>
      <c r="AH14" s="955">
        <v>0</v>
      </c>
      <c r="AI14" s="425">
        <v>1</v>
      </c>
      <c r="AJ14" s="957">
        <v>0</v>
      </c>
      <c r="AL14" s="939">
        <v>1</v>
      </c>
      <c r="AM14" s="939">
        <v>1</v>
      </c>
      <c r="AN14" s="950">
        <v>16212.84648</v>
      </c>
      <c r="AO14" s="946">
        <v>0.63087064910504498</v>
      </c>
      <c r="AP14" s="946">
        <v>631</v>
      </c>
      <c r="AQ14" s="953"/>
      <c r="AR14" s="950"/>
      <c r="AS14" s="950">
        <v>1307.9849999999999</v>
      </c>
    </row>
    <row r="15" spans="1:52" x14ac:dyDescent="0.3">
      <c r="A15" s="642" t="s">
        <v>107</v>
      </c>
      <c r="B15" s="642" t="s">
        <v>108</v>
      </c>
      <c r="C15" s="642" t="s">
        <v>106</v>
      </c>
      <c r="D15" s="642" t="s">
        <v>97</v>
      </c>
      <c r="F15" s="946">
        <v>-13429</v>
      </c>
      <c r="H15" s="946">
        <v>0</v>
      </c>
      <c r="I15" s="939">
        <v>94536238</v>
      </c>
      <c r="J15" s="974">
        <v>94536.237999999998</v>
      </c>
      <c r="L15" s="946">
        <v>17803</v>
      </c>
      <c r="M15" s="947"/>
      <c r="N15" s="946">
        <v>0</v>
      </c>
      <c r="P15" s="946">
        <v>13692</v>
      </c>
      <c r="R15" s="946">
        <v>13451</v>
      </c>
      <c r="S15" s="948">
        <v>1662355</v>
      </c>
      <c r="T15" s="946">
        <v>1662.355</v>
      </c>
      <c r="V15" s="946">
        <v>385</v>
      </c>
      <c r="W15" s="946">
        <v>836</v>
      </c>
      <c r="X15" s="946">
        <v>3925</v>
      </c>
      <c r="Y15" s="947"/>
      <c r="Z15" s="946">
        <v>2176</v>
      </c>
      <c r="AA15" s="948">
        <v>387884</v>
      </c>
      <c r="AB15" s="946">
        <v>387.88400000000001</v>
      </c>
      <c r="AC15" s="974">
        <v>448.24</v>
      </c>
      <c r="AD15" s="946">
        <v>109750.272</v>
      </c>
      <c r="AE15" s="957">
        <v>28841</v>
      </c>
      <c r="AG15" s="957">
        <v>64013</v>
      </c>
      <c r="AH15" s="955">
        <v>0</v>
      </c>
      <c r="AI15" s="425">
        <v>1</v>
      </c>
      <c r="AJ15" s="957">
        <v>0</v>
      </c>
      <c r="AL15" s="939">
        <v>1</v>
      </c>
      <c r="AM15" s="939">
        <v>1</v>
      </c>
      <c r="AN15" s="950">
        <v>19656.213649999998</v>
      </c>
      <c r="AO15" s="946">
        <v>0.32738403061673998</v>
      </c>
      <c r="AP15" s="946">
        <v>327</v>
      </c>
      <c r="AQ15" s="953"/>
      <c r="AR15" s="950"/>
      <c r="AS15" s="950">
        <v>821.37400000000002</v>
      </c>
    </row>
    <row r="16" spans="1:52" x14ac:dyDescent="0.3">
      <c r="A16" s="642" t="s">
        <v>112</v>
      </c>
      <c r="B16" s="642" t="s">
        <v>113</v>
      </c>
      <c r="C16" s="642" t="s">
        <v>111</v>
      </c>
      <c r="D16" s="642" t="s">
        <v>61</v>
      </c>
      <c r="F16" s="946">
        <v>-1318</v>
      </c>
      <c r="H16" s="946">
        <v>0</v>
      </c>
      <c r="I16" s="939">
        <v>0</v>
      </c>
      <c r="J16" s="974">
        <v>0</v>
      </c>
      <c r="L16" s="946">
        <v>0</v>
      </c>
      <c r="M16" s="947"/>
      <c r="N16" s="946">
        <v>0</v>
      </c>
      <c r="P16" s="946">
        <v>0</v>
      </c>
      <c r="R16" s="946">
        <v>0</v>
      </c>
      <c r="S16" s="948">
        <v>0</v>
      </c>
      <c r="T16" s="946">
        <v>0</v>
      </c>
      <c r="V16" s="946">
        <v>206</v>
      </c>
      <c r="W16" s="946">
        <v>0</v>
      </c>
      <c r="X16" s="946">
        <v>216</v>
      </c>
      <c r="Y16" s="947"/>
      <c r="Z16" s="946">
        <v>102</v>
      </c>
      <c r="AA16" s="948">
        <v>104240</v>
      </c>
      <c r="AB16" s="946">
        <v>104.24</v>
      </c>
      <c r="AC16" s="974">
        <v>148.75399999999999</v>
      </c>
      <c r="AD16" s="946">
        <v>5131.7250000000004</v>
      </c>
      <c r="AE16" s="957">
        <v>6038</v>
      </c>
      <c r="AG16" s="957">
        <v>516</v>
      </c>
      <c r="AH16" s="955">
        <v>0</v>
      </c>
      <c r="AI16" s="425">
        <v>1</v>
      </c>
      <c r="AJ16" s="957">
        <v>0</v>
      </c>
      <c r="AL16" s="939">
        <v>0</v>
      </c>
      <c r="AM16" s="939">
        <v>0</v>
      </c>
      <c r="AN16" s="950">
        <v>1351.7999</v>
      </c>
      <c r="AO16" s="946">
        <v>0.14316466904907901</v>
      </c>
      <c r="AP16" s="946">
        <v>143</v>
      </c>
      <c r="AQ16" s="953"/>
      <c r="AR16" s="950"/>
      <c r="AS16" s="950">
        <v>194.43899999999999</v>
      </c>
    </row>
    <row r="17" spans="1:45" x14ac:dyDescent="0.3">
      <c r="A17" s="642" t="s">
        <v>116</v>
      </c>
      <c r="B17" s="642" t="s">
        <v>117</v>
      </c>
      <c r="C17" s="642" t="s">
        <v>115</v>
      </c>
      <c r="D17" s="642" t="s">
        <v>61</v>
      </c>
      <c r="F17" s="946">
        <v>-1</v>
      </c>
      <c r="H17" s="946">
        <v>0</v>
      </c>
      <c r="I17" s="939">
        <v>0</v>
      </c>
      <c r="J17" s="974">
        <v>0</v>
      </c>
      <c r="L17" s="946">
        <v>0</v>
      </c>
      <c r="M17" s="947"/>
      <c r="N17" s="946">
        <v>0</v>
      </c>
      <c r="P17" s="946">
        <v>0</v>
      </c>
      <c r="R17" s="946">
        <v>0</v>
      </c>
      <c r="S17" s="948">
        <v>0</v>
      </c>
      <c r="T17" s="946">
        <v>0</v>
      </c>
      <c r="V17" s="946">
        <v>990</v>
      </c>
      <c r="W17" s="946">
        <v>0</v>
      </c>
      <c r="X17" s="946">
        <v>393</v>
      </c>
      <c r="Y17" s="947"/>
      <c r="Z17" s="946">
        <v>353</v>
      </c>
      <c r="AA17" s="948">
        <v>255679</v>
      </c>
      <c r="AB17" s="946">
        <v>255.679</v>
      </c>
      <c r="AC17" s="974">
        <v>727.298</v>
      </c>
      <c r="AD17" s="946">
        <v>17845.734</v>
      </c>
      <c r="AE17" s="957">
        <v>10544</v>
      </c>
      <c r="AG17" s="957">
        <v>0</v>
      </c>
      <c r="AH17" s="955">
        <v>0</v>
      </c>
      <c r="AI17" s="425">
        <v>1</v>
      </c>
      <c r="AJ17" s="957">
        <v>0</v>
      </c>
      <c r="AL17" s="939">
        <v>0</v>
      </c>
      <c r="AM17" s="939">
        <v>0</v>
      </c>
      <c r="AN17" s="950">
        <v>10637.133329999999</v>
      </c>
      <c r="AO17" s="946">
        <v>0.26082625892153499</v>
      </c>
      <c r="AP17" s="946">
        <v>261</v>
      </c>
      <c r="AQ17" s="953"/>
      <c r="AR17" s="950"/>
      <c r="AS17" s="950">
        <v>547.45699999999999</v>
      </c>
    </row>
    <row r="18" spans="1:45" x14ac:dyDescent="0.3">
      <c r="A18" s="642" t="s">
        <v>120</v>
      </c>
      <c r="B18" s="642" t="s">
        <v>121</v>
      </c>
      <c r="C18" s="642" t="s">
        <v>119</v>
      </c>
      <c r="D18" s="642" t="s">
        <v>61</v>
      </c>
      <c r="F18" s="946">
        <v>0</v>
      </c>
      <c r="H18" s="946">
        <v>0</v>
      </c>
      <c r="I18" s="939">
        <v>0</v>
      </c>
      <c r="J18" s="974">
        <v>0</v>
      </c>
      <c r="L18" s="946">
        <v>0</v>
      </c>
      <c r="M18" s="947"/>
      <c r="N18" s="946">
        <v>0</v>
      </c>
      <c r="P18" s="946">
        <v>0</v>
      </c>
      <c r="R18" s="946">
        <v>0</v>
      </c>
      <c r="S18" s="948">
        <v>0</v>
      </c>
      <c r="T18" s="946">
        <v>0</v>
      </c>
      <c r="V18" s="946">
        <v>717</v>
      </c>
      <c r="W18" s="946">
        <v>0</v>
      </c>
      <c r="X18" s="946">
        <v>210</v>
      </c>
      <c r="Y18" s="947"/>
      <c r="Z18" s="946">
        <v>2720</v>
      </c>
      <c r="AA18" s="948">
        <v>147920</v>
      </c>
      <c r="AB18" s="946">
        <v>147.91999999999999</v>
      </c>
      <c r="AC18" s="974">
        <v>1594.972</v>
      </c>
      <c r="AD18" s="946">
        <v>10847.44</v>
      </c>
      <c r="AE18" s="957">
        <v>0</v>
      </c>
      <c r="AG18" s="957">
        <v>5753</v>
      </c>
      <c r="AH18" s="955">
        <v>0</v>
      </c>
      <c r="AI18" s="425">
        <v>1</v>
      </c>
      <c r="AJ18" s="957">
        <v>0</v>
      </c>
      <c r="AL18" s="939">
        <v>0</v>
      </c>
      <c r="AM18" s="939">
        <v>0</v>
      </c>
      <c r="AN18" s="950">
        <v>0</v>
      </c>
      <c r="AO18" s="946">
        <v>0.139628550461912</v>
      </c>
      <c r="AP18" s="946">
        <v>140</v>
      </c>
      <c r="AQ18" s="953"/>
      <c r="AR18" s="950"/>
      <c r="AS18" s="950">
        <v>354.94299999999998</v>
      </c>
    </row>
    <row r="19" spans="1:45" x14ac:dyDescent="0.3">
      <c r="A19" s="642" t="s">
        <v>123</v>
      </c>
      <c r="B19" s="642" t="s">
        <v>124</v>
      </c>
      <c r="C19" s="642" t="s">
        <v>122</v>
      </c>
      <c r="D19" s="642" t="s">
        <v>61</v>
      </c>
      <c r="F19" s="946">
        <v>-236</v>
      </c>
      <c r="H19" s="946">
        <v>0</v>
      </c>
      <c r="I19" s="939">
        <v>0</v>
      </c>
      <c r="J19" s="974">
        <v>0</v>
      </c>
      <c r="L19" s="946">
        <v>0</v>
      </c>
      <c r="M19" s="947"/>
      <c r="N19" s="946">
        <v>56</v>
      </c>
      <c r="P19" s="946">
        <v>0</v>
      </c>
      <c r="R19" s="946">
        <v>0</v>
      </c>
      <c r="S19" s="948">
        <v>0</v>
      </c>
      <c r="T19" s="946">
        <v>0</v>
      </c>
      <c r="V19" s="946">
        <v>238</v>
      </c>
      <c r="W19" s="946">
        <v>0</v>
      </c>
      <c r="X19" s="946">
        <v>280</v>
      </c>
      <c r="Y19" s="947"/>
      <c r="Z19" s="946">
        <v>1373</v>
      </c>
      <c r="AA19" s="948">
        <v>128636</v>
      </c>
      <c r="AB19" s="946">
        <v>128.636</v>
      </c>
      <c r="AC19" s="974">
        <v>1408.433</v>
      </c>
      <c r="AD19" s="946">
        <v>8268.5</v>
      </c>
      <c r="AE19" s="957">
        <v>9296</v>
      </c>
      <c r="AG19" s="957">
        <v>0</v>
      </c>
      <c r="AH19" s="955">
        <v>0</v>
      </c>
      <c r="AI19" s="425">
        <v>1</v>
      </c>
      <c r="AJ19" s="957">
        <v>0</v>
      </c>
      <c r="AL19" s="939">
        <v>0</v>
      </c>
      <c r="AM19" s="939">
        <v>0</v>
      </c>
      <c r="AN19" s="950">
        <v>2586.7937000000002</v>
      </c>
      <c r="AO19" s="946">
        <v>0.18556117843525699</v>
      </c>
      <c r="AP19" s="946">
        <v>186</v>
      </c>
      <c r="AQ19" s="953"/>
      <c r="AR19" s="950"/>
      <c r="AS19" s="950">
        <v>293.50299999999999</v>
      </c>
    </row>
    <row r="20" spans="1:45" x14ac:dyDescent="0.3">
      <c r="A20" s="642" t="s">
        <v>127</v>
      </c>
      <c r="B20" s="642" t="s">
        <v>128</v>
      </c>
      <c r="C20" s="642" t="s">
        <v>126</v>
      </c>
      <c r="D20" s="642" t="s">
        <v>125</v>
      </c>
      <c r="F20" s="946">
        <v>0</v>
      </c>
      <c r="H20" s="946">
        <v>0</v>
      </c>
      <c r="I20" s="939">
        <v>49245683</v>
      </c>
      <c r="J20" s="974">
        <v>49245.682999999997</v>
      </c>
      <c r="L20" s="946">
        <v>9645</v>
      </c>
      <c r="M20" s="947"/>
      <c r="N20" s="946">
        <v>0</v>
      </c>
      <c r="P20" s="946">
        <v>5987</v>
      </c>
      <c r="R20" s="946">
        <v>4903</v>
      </c>
      <c r="S20" s="948">
        <v>425205</v>
      </c>
      <c r="T20" s="946">
        <v>425.20499999999998</v>
      </c>
      <c r="V20" s="946">
        <v>486</v>
      </c>
      <c r="W20" s="946">
        <v>493</v>
      </c>
      <c r="X20" s="946">
        <v>1633</v>
      </c>
      <c r="Y20" s="947"/>
      <c r="Z20" s="946">
        <v>2038</v>
      </c>
      <c r="AA20" s="948">
        <v>172437</v>
      </c>
      <c r="AB20" s="946">
        <v>172.43700000000001</v>
      </c>
      <c r="AC20" s="974">
        <v>3073.7950000000001</v>
      </c>
      <c r="AD20" s="946">
        <v>109963.792</v>
      </c>
      <c r="AE20" s="957">
        <v>0</v>
      </c>
      <c r="AG20" s="957">
        <v>632</v>
      </c>
      <c r="AH20" s="955">
        <v>-3066</v>
      </c>
      <c r="AI20" s="425">
        <v>1</v>
      </c>
      <c r="AJ20" s="957">
        <v>0</v>
      </c>
      <c r="AL20" s="939">
        <v>1</v>
      </c>
      <c r="AM20" s="939">
        <v>1</v>
      </c>
      <c r="AN20" s="950">
        <v>5822.0987799999994</v>
      </c>
      <c r="AO20" s="946">
        <v>0.20887650584653</v>
      </c>
      <c r="AP20" s="946">
        <v>209</v>
      </c>
      <c r="AQ20" s="953"/>
      <c r="AR20" s="950"/>
      <c r="AS20" s="950">
        <v>408.33199999999999</v>
      </c>
    </row>
    <row r="21" spans="1:45" x14ac:dyDescent="0.3">
      <c r="A21" s="642" t="s">
        <v>131</v>
      </c>
      <c r="B21" s="642" t="s">
        <v>132</v>
      </c>
      <c r="C21" s="642" t="s">
        <v>130</v>
      </c>
      <c r="D21" s="642" t="s">
        <v>125</v>
      </c>
      <c r="F21" s="946">
        <v>-6077</v>
      </c>
      <c r="H21" s="946">
        <v>0</v>
      </c>
      <c r="I21" s="939">
        <v>93689036</v>
      </c>
      <c r="J21" s="974">
        <v>93689.035999999993</v>
      </c>
      <c r="L21" s="946">
        <v>9159</v>
      </c>
      <c r="M21" s="947"/>
      <c r="N21" s="946">
        <v>0</v>
      </c>
      <c r="P21" s="946">
        <v>4854</v>
      </c>
      <c r="R21" s="946">
        <v>3405</v>
      </c>
      <c r="S21" s="948">
        <v>336823</v>
      </c>
      <c r="T21" s="946">
        <v>336.82299999999998</v>
      </c>
      <c r="V21" s="946">
        <v>864</v>
      </c>
      <c r="W21" s="946">
        <v>419</v>
      </c>
      <c r="X21" s="946">
        <v>2216</v>
      </c>
      <c r="Y21" s="947"/>
      <c r="Z21" s="946">
        <v>3025</v>
      </c>
      <c r="AA21" s="948">
        <v>193632</v>
      </c>
      <c r="AB21" s="946">
        <v>193.63200000000001</v>
      </c>
      <c r="AC21" s="974">
        <v>1997.3320100000001</v>
      </c>
      <c r="AD21" s="946">
        <v>106613.65300000001</v>
      </c>
      <c r="AE21" s="957">
        <v>0</v>
      </c>
      <c r="AG21" s="957">
        <v>14525</v>
      </c>
      <c r="AH21" s="955">
        <v>0</v>
      </c>
      <c r="AI21" s="425">
        <v>1</v>
      </c>
      <c r="AJ21" s="957">
        <v>0</v>
      </c>
      <c r="AL21" s="939">
        <v>1</v>
      </c>
      <c r="AM21" s="939">
        <v>1</v>
      </c>
      <c r="AN21" s="950">
        <v>2622.1232799999998</v>
      </c>
      <c r="AO21" s="946">
        <v>0.26611363035500402</v>
      </c>
      <c r="AP21" s="946">
        <v>266</v>
      </c>
      <c r="AQ21" s="953"/>
      <c r="AR21" s="950"/>
      <c r="AS21" s="950">
        <v>455.18700000000001</v>
      </c>
    </row>
    <row r="22" spans="1:45" x14ac:dyDescent="0.3">
      <c r="A22" s="642" t="s">
        <v>134</v>
      </c>
      <c r="B22" s="642" t="s">
        <v>135</v>
      </c>
      <c r="C22" s="642" t="s">
        <v>5409</v>
      </c>
      <c r="D22" s="642" t="s">
        <v>5408</v>
      </c>
      <c r="F22" s="946">
        <v>-2405</v>
      </c>
      <c r="H22" s="946">
        <v>0</v>
      </c>
      <c r="I22" s="939">
        <v>0</v>
      </c>
      <c r="J22" s="974">
        <v>0</v>
      </c>
      <c r="L22" s="946">
        <v>0</v>
      </c>
      <c r="M22" s="947"/>
      <c r="N22" s="946">
        <v>0</v>
      </c>
      <c r="P22" s="946">
        <v>0</v>
      </c>
      <c r="R22" s="946">
        <v>0</v>
      </c>
      <c r="S22" s="948">
        <v>0</v>
      </c>
      <c r="T22" s="946">
        <v>0</v>
      </c>
      <c r="V22" s="946">
        <v>0</v>
      </c>
      <c r="W22" s="946">
        <v>0</v>
      </c>
      <c r="X22" s="946">
        <v>410</v>
      </c>
      <c r="Y22" s="947"/>
      <c r="Z22" s="946">
        <v>0</v>
      </c>
      <c r="AA22" s="948">
        <v>0</v>
      </c>
      <c r="AB22" s="946">
        <v>0</v>
      </c>
      <c r="AC22" s="974">
        <v>0</v>
      </c>
      <c r="AD22" s="946">
        <v>23400.977999999999</v>
      </c>
      <c r="AE22" s="957">
        <v>0</v>
      </c>
      <c r="AG22" s="957">
        <v>869</v>
      </c>
      <c r="AH22" s="955">
        <v>-488</v>
      </c>
      <c r="AI22" s="425">
        <v>0</v>
      </c>
      <c r="AJ22" s="957">
        <v>0</v>
      </c>
      <c r="AL22" s="939">
        <v>0</v>
      </c>
      <c r="AM22" s="939">
        <v>0</v>
      </c>
      <c r="AN22" s="950">
        <v>421.63409999999999</v>
      </c>
      <c r="AO22" s="946">
        <v>0</v>
      </c>
      <c r="AP22" s="946">
        <v>0</v>
      </c>
      <c r="AQ22" s="953"/>
      <c r="AR22" s="950"/>
      <c r="AS22" s="950">
        <v>0</v>
      </c>
    </row>
    <row r="23" spans="1:45" x14ac:dyDescent="0.3">
      <c r="A23" s="642" t="s">
        <v>137</v>
      </c>
      <c r="B23" s="642" t="s">
        <v>138</v>
      </c>
      <c r="C23" s="642" t="s">
        <v>136</v>
      </c>
      <c r="D23" s="642" t="s">
        <v>71</v>
      </c>
      <c r="F23" s="946">
        <v>0</v>
      </c>
      <c r="H23" s="946">
        <v>-81835</v>
      </c>
      <c r="I23" s="939">
        <v>0</v>
      </c>
      <c r="J23" s="974">
        <v>0</v>
      </c>
      <c r="L23" s="946">
        <v>0</v>
      </c>
      <c r="M23" s="947"/>
      <c r="N23" s="946">
        <v>0</v>
      </c>
      <c r="P23" s="946">
        <v>0</v>
      </c>
      <c r="R23" s="946">
        <v>0</v>
      </c>
      <c r="S23" s="948">
        <v>0</v>
      </c>
      <c r="T23" s="946">
        <v>0</v>
      </c>
      <c r="V23" s="946">
        <v>0</v>
      </c>
      <c r="W23" s="946">
        <v>0</v>
      </c>
      <c r="X23" s="946">
        <v>0</v>
      </c>
      <c r="Y23" s="947"/>
      <c r="Z23" s="946">
        <v>0</v>
      </c>
      <c r="AA23" s="948">
        <v>0</v>
      </c>
      <c r="AB23" s="946">
        <v>0</v>
      </c>
      <c r="AC23" s="974">
        <v>0</v>
      </c>
      <c r="AD23" s="946">
        <v>53117.642999999996</v>
      </c>
      <c r="AE23" s="957">
        <v>0</v>
      </c>
      <c r="AG23" s="957">
        <v>0</v>
      </c>
      <c r="AH23" s="955">
        <v>0</v>
      </c>
      <c r="AI23" s="425">
        <v>0</v>
      </c>
      <c r="AJ23" s="957">
        <v>0</v>
      </c>
      <c r="AL23" s="939">
        <v>0</v>
      </c>
      <c r="AM23" s="939">
        <v>0</v>
      </c>
      <c r="AN23" s="950">
        <v>842.67325000000005</v>
      </c>
      <c r="AO23" s="946">
        <v>0</v>
      </c>
      <c r="AP23" s="946">
        <v>0</v>
      </c>
      <c r="AQ23" s="953"/>
      <c r="AR23" s="950"/>
      <c r="AS23" s="950">
        <v>0</v>
      </c>
    </row>
    <row r="24" spans="1:45" x14ac:dyDescent="0.3">
      <c r="A24" s="642" t="s">
        <v>140</v>
      </c>
      <c r="B24" s="642" t="s">
        <v>141</v>
      </c>
      <c r="C24" s="642" t="s">
        <v>5410</v>
      </c>
      <c r="D24" s="642" t="s">
        <v>5408</v>
      </c>
      <c r="F24" s="946">
        <v>-3391</v>
      </c>
      <c r="H24" s="946">
        <v>0</v>
      </c>
      <c r="I24" s="939">
        <v>0</v>
      </c>
      <c r="J24" s="974">
        <v>0</v>
      </c>
      <c r="L24" s="946">
        <v>0</v>
      </c>
      <c r="M24" s="947"/>
      <c r="N24" s="946">
        <v>0</v>
      </c>
      <c r="P24" s="946">
        <v>0</v>
      </c>
      <c r="R24" s="946">
        <v>0</v>
      </c>
      <c r="S24" s="948">
        <v>0</v>
      </c>
      <c r="T24" s="946">
        <v>0</v>
      </c>
      <c r="V24" s="946">
        <v>0</v>
      </c>
      <c r="W24" s="946">
        <v>0</v>
      </c>
      <c r="X24" s="946">
        <v>491</v>
      </c>
      <c r="Y24" s="947"/>
      <c r="Z24" s="946">
        <v>0</v>
      </c>
      <c r="AA24" s="948">
        <v>0</v>
      </c>
      <c r="AB24" s="946">
        <v>0</v>
      </c>
      <c r="AC24" s="974">
        <v>0</v>
      </c>
      <c r="AD24" s="946">
        <v>26517.546999999999</v>
      </c>
      <c r="AE24" s="957">
        <v>0</v>
      </c>
      <c r="AG24" s="957">
        <v>1870</v>
      </c>
      <c r="AH24" s="955">
        <v>0</v>
      </c>
      <c r="AI24" s="425">
        <v>0</v>
      </c>
      <c r="AJ24" s="957">
        <v>0</v>
      </c>
      <c r="AL24" s="939">
        <v>0</v>
      </c>
      <c r="AM24" s="939">
        <v>0</v>
      </c>
      <c r="AN24" s="950">
        <v>371.70400000000001</v>
      </c>
      <c r="AO24" s="946">
        <v>0</v>
      </c>
      <c r="AP24" s="946">
        <v>0</v>
      </c>
      <c r="AQ24" s="953"/>
      <c r="AR24" s="950"/>
      <c r="AS24" s="950">
        <v>0</v>
      </c>
    </row>
    <row r="25" spans="1:45" x14ac:dyDescent="0.3">
      <c r="A25" s="642" t="s">
        <v>143</v>
      </c>
      <c r="B25" s="642" t="s">
        <v>144</v>
      </c>
      <c r="C25" s="642" t="s">
        <v>142</v>
      </c>
      <c r="D25" s="642" t="s">
        <v>1940</v>
      </c>
      <c r="F25" s="946">
        <v>-3427</v>
      </c>
      <c r="H25" s="946">
        <v>0</v>
      </c>
      <c r="I25" s="939">
        <v>82392352</v>
      </c>
      <c r="J25" s="974">
        <v>82392.351999999999</v>
      </c>
      <c r="L25" s="946">
        <v>10271</v>
      </c>
      <c r="M25" s="947"/>
      <c r="N25" s="946">
        <v>0</v>
      </c>
      <c r="P25" s="946">
        <v>8040</v>
      </c>
      <c r="R25" s="946">
        <v>6616</v>
      </c>
      <c r="S25" s="948">
        <v>621485</v>
      </c>
      <c r="T25" s="946">
        <v>621.48500000000001</v>
      </c>
      <c r="V25" s="946">
        <v>2620</v>
      </c>
      <c r="W25" s="946">
        <v>627</v>
      </c>
      <c r="X25" s="946">
        <v>2527</v>
      </c>
      <c r="Y25" s="947"/>
      <c r="Z25" s="946">
        <v>678</v>
      </c>
      <c r="AA25" s="948">
        <v>252602</v>
      </c>
      <c r="AB25" s="946">
        <v>252.602</v>
      </c>
      <c r="AC25" s="974">
        <v>0</v>
      </c>
      <c r="AD25" s="946">
        <v>125346</v>
      </c>
      <c r="AE25" s="957">
        <v>0</v>
      </c>
      <c r="AG25" s="957">
        <v>0</v>
      </c>
      <c r="AH25" s="955">
        <v>0</v>
      </c>
      <c r="AI25" s="425">
        <v>1</v>
      </c>
      <c r="AJ25" s="957">
        <v>0</v>
      </c>
      <c r="AL25" s="939">
        <v>1</v>
      </c>
      <c r="AM25" s="939">
        <v>1</v>
      </c>
      <c r="AN25" s="950">
        <v>7440.7910300000003</v>
      </c>
      <c r="AO25" s="946">
        <v>0.34344920371759502</v>
      </c>
      <c r="AP25" s="946">
        <v>343</v>
      </c>
      <c r="AQ25" s="953"/>
      <c r="AR25" s="950"/>
      <c r="AS25" s="950">
        <v>593.13099999999997</v>
      </c>
    </row>
    <row r="26" spans="1:45" x14ac:dyDescent="0.3">
      <c r="A26" s="642" t="s">
        <v>146</v>
      </c>
      <c r="B26" s="642" t="s">
        <v>147</v>
      </c>
      <c r="C26" s="642" t="s">
        <v>145</v>
      </c>
      <c r="D26" s="642" t="s">
        <v>97</v>
      </c>
      <c r="F26" s="946">
        <v>0</v>
      </c>
      <c r="H26" s="946">
        <v>0</v>
      </c>
      <c r="I26" s="939">
        <v>677443043</v>
      </c>
      <c r="J26" s="974">
        <v>677443.04299999995</v>
      </c>
      <c r="L26" s="946">
        <v>95970</v>
      </c>
      <c r="M26" s="947"/>
      <c r="N26" s="946">
        <v>0</v>
      </c>
      <c r="P26" s="946">
        <v>66755</v>
      </c>
      <c r="R26" s="946">
        <v>67918</v>
      </c>
      <c r="S26" s="948">
        <v>4083985</v>
      </c>
      <c r="T26" s="946">
        <v>4083.9850000000001</v>
      </c>
      <c r="V26" s="946">
        <v>7307</v>
      </c>
      <c r="W26" s="946">
        <v>3780</v>
      </c>
      <c r="X26" s="946">
        <v>24694</v>
      </c>
      <c r="Y26" s="947"/>
      <c r="Z26" s="946">
        <v>3665</v>
      </c>
      <c r="AA26" s="948">
        <v>2085326</v>
      </c>
      <c r="AB26" s="946">
        <v>2085.326</v>
      </c>
      <c r="AC26" s="974">
        <v>1886.5440000000001</v>
      </c>
      <c r="AD26" s="946">
        <v>403038.82</v>
      </c>
      <c r="AE26" s="957">
        <v>15326</v>
      </c>
      <c r="AG26" s="957">
        <v>20047</v>
      </c>
      <c r="AH26" s="955">
        <v>-37124</v>
      </c>
      <c r="AI26" s="425">
        <v>1</v>
      </c>
      <c r="AJ26" s="957">
        <v>-37124</v>
      </c>
      <c r="AL26" s="939">
        <v>1</v>
      </c>
      <c r="AM26" s="939">
        <v>1</v>
      </c>
      <c r="AN26" s="950">
        <v>103524.9987</v>
      </c>
      <c r="AO26" s="946">
        <v>2.4115561542846802</v>
      </c>
      <c r="AP26" s="946">
        <v>2412</v>
      </c>
      <c r="AQ26" s="953"/>
      <c r="AR26" s="950"/>
      <c r="AS26" s="950">
        <v>5036.9920000000002</v>
      </c>
    </row>
    <row r="27" spans="1:45" x14ac:dyDescent="0.3">
      <c r="A27" s="642" t="s">
        <v>149</v>
      </c>
      <c r="B27" s="642" t="s">
        <v>150</v>
      </c>
      <c r="C27" s="642" t="s">
        <v>148</v>
      </c>
      <c r="D27" s="642" t="s">
        <v>61</v>
      </c>
      <c r="F27" s="946">
        <v>0</v>
      </c>
      <c r="H27" s="946">
        <v>0</v>
      </c>
      <c r="I27" s="939">
        <v>0</v>
      </c>
      <c r="J27" s="974">
        <v>0</v>
      </c>
      <c r="L27" s="946">
        <v>0</v>
      </c>
      <c r="M27" s="947"/>
      <c r="N27" s="946">
        <v>0</v>
      </c>
      <c r="P27" s="946">
        <v>0</v>
      </c>
      <c r="R27" s="946">
        <v>0</v>
      </c>
      <c r="S27" s="948">
        <v>0</v>
      </c>
      <c r="T27" s="946">
        <v>0</v>
      </c>
      <c r="V27" s="946">
        <v>137</v>
      </c>
      <c r="W27" s="946">
        <v>0</v>
      </c>
      <c r="X27" s="946">
        <v>154</v>
      </c>
      <c r="Y27" s="947"/>
      <c r="Z27" s="946">
        <v>1021</v>
      </c>
      <c r="AA27" s="948">
        <v>69828</v>
      </c>
      <c r="AB27" s="946">
        <v>69.828000000000003</v>
      </c>
      <c r="AC27" s="974">
        <v>3957.97</v>
      </c>
      <c r="AD27" s="946">
        <v>10064.630999999999</v>
      </c>
      <c r="AE27" s="957">
        <v>0</v>
      </c>
      <c r="AG27" s="957">
        <v>100</v>
      </c>
      <c r="AH27" s="955">
        <v>0</v>
      </c>
      <c r="AI27" s="425">
        <v>1</v>
      </c>
      <c r="AJ27" s="957">
        <v>0</v>
      </c>
      <c r="AL27" s="939">
        <v>0</v>
      </c>
      <c r="AM27" s="939">
        <v>0</v>
      </c>
      <c r="AN27" s="950">
        <v>136.53976</v>
      </c>
      <c r="AO27" s="946">
        <v>0.86722468669182695</v>
      </c>
      <c r="AP27" s="946">
        <v>867</v>
      </c>
      <c r="AQ27" s="953"/>
      <c r="AR27" s="950"/>
      <c r="AS27" s="950">
        <v>137.059</v>
      </c>
    </row>
    <row r="28" spans="1:45" x14ac:dyDescent="0.3">
      <c r="A28" s="642" t="s">
        <v>152</v>
      </c>
      <c r="B28" s="642" t="s">
        <v>153</v>
      </c>
      <c r="C28" s="642" t="s">
        <v>151</v>
      </c>
      <c r="D28" s="642" t="s">
        <v>125</v>
      </c>
      <c r="F28" s="946">
        <v>-14016</v>
      </c>
      <c r="H28" s="946">
        <v>0</v>
      </c>
      <c r="I28" s="939">
        <v>112481767</v>
      </c>
      <c r="J28" s="974">
        <v>112481.76700000001</v>
      </c>
      <c r="L28" s="946">
        <v>15486</v>
      </c>
      <c r="M28" s="947"/>
      <c r="N28" s="946">
        <v>0</v>
      </c>
      <c r="P28" s="946">
        <v>8813</v>
      </c>
      <c r="R28" s="946">
        <v>8349</v>
      </c>
      <c r="S28" s="948">
        <v>385906</v>
      </c>
      <c r="T28" s="946">
        <v>385.90600000000001</v>
      </c>
      <c r="V28" s="946">
        <v>320</v>
      </c>
      <c r="W28" s="946">
        <v>516</v>
      </c>
      <c r="X28" s="946">
        <v>3072</v>
      </c>
      <c r="Y28" s="947"/>
      <c r="Z28" s="946">
        <v>1006</v>
      </c>
      <c r="AA28" s="948">
        <v>252249</v>
      </c>
      <c r="AB28" s="946">
        <v>252.249</v>
      </c>
      <c r="AC28" s="974">
        <v>164.38399999999999</v>
      </c>
      <c r="AD28" s="946">
        <v>60335.186000000002</v>
      </c>
      <c r="AE28" s="957">
        <v>0</v>
      </c>
      <c r="AG28" s="957">
        <v>6351</v>
      </c>
      <c r="AH28" s="955">
        <v>0</v>
      </c>
      <c r="AI28" s="425">
        <v>1</v>
      </c>
      <c r="AJ28" s="957">
        <v>0</v>
      </c>
      <c r="AL28" s="939">
        <v>1</v>
      </c>
      <c r="AM28" s="939">
        <v>1</v>
      </c>
      <c r="AN28" s="950">
        <v>4659.9501700000001</v>
      </c>
      <c r="AO28" s="946">
        <v>0.34056668160696801</v>
      </c>
      <c r="AP28" s="946">
        <v>341</v>
      </c>
      <c r="AQ28" s="953"/>
      <c r="AR28" s="950"/>
      <c r="AS28" s="950">
        <v>491.62299999999999</v>
      </c>
    </row>
    <row r="29" spans="1:45" x14ac:dyDescent="0.3">
      <c r="A29" s="642" t="s">
        <v>155</v>
      </c>
      <c r="B29" s="642" t="s">
        <v>156</v>
      </c>
      <c r="C29" s="642" t="s">
        <v>154</v>
      </c>
      <c r="D29" s="642" t="s">
        <v>125</v>
      </c>
      <c r="F29" s="946">
        <v>-15578</v>
      </c>
      <c r="H29" s="946">
        <v>0</v>
      </c>
      <c r="I29" s="939">
        <v>54636678</v>
      </c>
      <c r="J29" s="974">
        <v>54636.678</v>
      </c>
      <c r="L29" s="946">
        <v>19231</v>
      </c>
      <c r="M29" s="947"/>
      <c r="N29" s="946">
        <v>0</v>
      </c>
      <c r="P29" s="946">
        <v>10734</v>
      </c>
      <c r="R29" s="946">
        <v>10875</v>
      </c>
      <c r="S29" s="948">
        <v>168507</v>
      </c>
      <c r="T29" s="946">
        <v>168.50700000000001</v>
      </c>
      <c r="V29" s="946">
        <v>599</v>
      </c>
      <c r="W29" s="946">
        <v>610</v>
      </c>
      <c r="X29" s="946">
        <v>3330</v>
      </c>
      <c r="Y29" s="947"/>
      <c r="Z29" s="946">
        <v>211</v>
      </c>
      <c r="AA29" s="948">
        <v>344275</v>
      </c>
      <c r="AB29" s="946">
        <v>344.27499999999998</v>
      </c>
      <c r="AC29" s="974">
        <v>0</v>
      </c>
      <c r="AD29" s="946">
        <v>64992.029000000002</v>
      </c>
      <c r="AE29" s="957">
        <v>1806</v>
      </c>
      <c r="AG29" s="957">
        <v>1750</v>
      </c>
      <c r="AH29" s="955">
        <v>0</v>
      </c>
      <c r="AI29" s="425">
        <v>1</v>
      </c>
      <c r="AJ29" s="957">
        <v>0</v>
      </c>
      <c r="AL29" s="939">
        <v>1</v>
      </c>
      <c r="AM29" s="939">
        <v>1</v>
      </c>
      <c r="AN29" s="950">
        <v>4036.9648800000004</v>
      </c>
      <c r="AO29" s="946">
        <v>0.32541103129209897</v>
      </c>
      <c r="AP29" s="946">
        <v>325</v>
      </c>
      <c r="AQ29" s="953"/>
      <c r="AR29" s="950"/>
      <c r="AS29" s="950">
        <v>725.53899999999999</v>
      </c>
    </row>
    <row r="30" spans="1:45" x14ac:dyDescent="0.3">
      <c r="A30" s="642" t="s">
        <v>158</v>
      </c>
      <c r="B30" s="642" t="s">
        <v>159</v>
      </c>
      <c r="C30" s="642" t="s">
        <v>157</v>
      </c>
      <c r="D30" s="642" t="s">
        <v>61</v>
      </c>
      <c r="F30" s="946">
        <v>-1232</v>
      </c>
      <c r="H30" s="946">
        <v>0</v>
      </c>
      <c r="I30" s="939">
        <v>0</v>
      </c>
      <c r="J30" s="974">
        <v>0</v>
      </c>
      <c r="L30" s="946">
        <v>0</v>
      </c>
      <c r="M30" s="947"/>
      <c r="N30" s="946">
        <v>0</v>
      </c>
      <c r="P30" s="946">
        <v>0</v>
      </c>
      <c r="R30" s="946">
        <v>0</v>
      </c>
      <c r="S30" s="948">
        <v>0</v>
      </c>
      <c r="T30" s="946">
        <v>0</v>
      </c>
      <c r="V30" s="946">
        <v>147</v>
      </c>
      <c r="W30" s="946">
        <v>0</v>
      </c>
      <c r="X30" s="946">
        <v>202</v>
      </c>
      <c r="Y30" s="947"/>
      <c r="Z30" s="946">
        <v>703</v>
      </c>
      <c r="AA30" s="948">
        <v>107443</v>
      </c>
      <c r="AB30" s="946">
        <v>107.443</v>
      </c>
      <c r="AC30" s="974">
        <v>3645.99</v>
      </c>
      <c r="AD30" s="946">
        <v>7938.8829999999998</v>
      </c>
      <c r="AE30" s="957">
        <v>2077</v>
      </c>
      <c r="AG30" s="957">
        <v>964</v>
      </c>
      <c r="AH30" s="955">
        <v>0</v>
      </c>
      <c r="AI30" s="425">
        <v>1</v>
      </c>
      <c r="AJ30" s="957">
        <v>0</v>
      </c>
      <c r="AL30" s="939">
        <v>0</v>
      </c>
      <c r="AM30" s="939">
        <v>0</v>
      </c>
      <c r="AN30" s="950">
        <v>3243.9</v>
      </c>
      <c r="AO30" s="946">
        <v>0.13387500107029299</v>
      </c>
      <c r="AP30" s="946">
        <v>134</v>
      </c>
      <c r="AQ30" s="953"/>
      <c r="AR30" s="950"/>
      <c r="AS30" s="950">
        <v>221.39</v>
      </c>
    </row>
    <row r="31" spans="1:45" x14ac:dyDescent="0.3">
      <c r="A31" s="642" t="s">
        <v>161</v>
      </c>
      <c r="B31" s="642" t="s">
        <v>162</v>
      </c>
      <c r="C31" s="642" t="s">
        <v>160</v>
      </c>
      <c r="D31" s="642" t="s">
        <v>97</v>
      </c>
      <c r="F31" s="946">
        <v>0</v>
      </c>
      <c r="H31" s="946">
        <v>0</v>
      </c>
      <c r="I31" s="939">
        <v>210035476</v>
      </c>
      <c r="J31" s="974">
        <v>210035.476</v>
      </c>
      <c r="L31" s="946">
        <v>0</v>
      </c>
      <c r="M31" s="947"/>
      <c r="N31" s="946">
        <v>0</v>
      </c>
      <c r="P31" s="946">
        <v>15181</v>
      </c>
      <c r="R31" s="946">
        <v>14875</v>
      </c>
      <c r="S31" s="948">
        <v>858951</v>
      </c>
      <c r="T31" s="946">
        <v>858.95100000000002</v>
      </c>
      <c r="V31" s="946">
        <v>701</v>
      </c>
      <c r="W31" s="946">
        <v>938</v>
      </c>
      <c r="X31" s="946">
        <v>4699</v>
      </c>
      <c r="Y31" s="947"/>
      <c r="Z31" s="946">
        <v>331</v>
      </c>
      <c r="AA31" s="948">
        <v>409027</v>
      </c>
      <c r="AB31" s="946">
        <v>409.02699999999999</v>
      </c>
      <c r="AC31" s="974">
        <v>429.584</v>
      </c>
      <c r="AD31" s="946">
        <v>126682.727</v>
      </c>
      <c r="AE31" s="957">
        <v>0</v>
      </c>
      <c r="AG31" s="957">
        <v>10575</v>
      </c>
      <c r="AH31" s="955">
        <v>0</v>
      </c>
      <c r="AI31" s="425">
        <v>1</v>
      </c>
      <c r="AJ31" s="957">
        <v>0</v>
      </c>
      <c r="AL31" s="939">
        <v>1</v>
      </c>
      <c r="AM31" s="939">
        <v>1</v>
      </c>
      <c r="AN31" s="950">
        <v>3025.2</v>
      </c>
      <c r="AO31" s="946">
        <v>0.46621799631833499</v>
      </c>
      <c r="AP31" s="946">
        <v>466</v>
      </c>
      <c r="AQ31" s="953"/>
      <c r="AR31" s="950"/>
      <c r="AS31" s="950">
        <v>968.42100000000005</v>
      </c>
    </row>
    <row r="32" spans="1:45" x14ac:dyDescent="0.3">
      <c r="A32" s="642" t="s">
        <v>164</v>
      </c>
      <c r="B32" s="642" t="s">
        <v>165</v>
      </c>
      <c r="C32" s="642" t="s">
        <v>163</v>
      </c>
      <c r="D32" s="642" t="s">
        <v>61</v>
      </c>
      <c r="F32" s="946">
        <v>-323</v>
      </c>
      <c r="H32" s="946">
        <v>0</v>
      </c>
      <c r="I32" s="939">
        <v>0</v>
      </c>
      <c r="J32" s="974">
        <v>0</v>
      </c>
      <c r="L32" s="946">
        <v>0</v>
      </c>
      <c r="M32" s="947"/>
      <c r="N32" s="946">
        <v>89</v>
      </c>
      <c r="P32" s="946">
        <v>0</v>
      </c>
      <c r="R32" s="946">
        <v>0</v>
      </c>
      <c r="S32" s="948">
        <v>0</v>
      </c>
      <c r="T32" s="946">
        <v>0</v>
      </c>
      <c r="V32" s="946">
        <v>136</v>
      </c>
      <c r="W32" s="946">
        <v>0</v>
      </c>
      <c r="X32" s="946">
        <v>186</v>
      </c>
      <c r="Y32" s="947"/>
      <c r="Z32" s="946">
        <v>697</v>
      </c>
      <c r="AA32" s="948">
        <v>68688</v>
      </c>
      <c r="AB32" s="946">
        <v>68.688000000000002</v>
      </c>
      <c r="AC32" s="974">
        <v>509.44400000000002</v>
      </c>
      <c r="AD32" s="946">
        <v>5309.8545000000004</v>
      </c>
      <c r="AE32" s="957">
        <v>0</v>
      </c>
      <c r="AG32" s="957">
        <v>1888</v>
      </c>
      <c r="AH32" s="955">
        <v>0</v>
      </c>
      <c r="AI32" s="425">
        <v>1</v>
      </c>
      <c r="AJ32" s="957">
        <v>0</v>
      </c>
      <c r="AL32" s="939">
        <v>0</v>
      </c>
      <c r="AM32" s="939">
        <v>0</v>
      </c>
      <c r="AN32" s="950">
        <v>382.38819999999993</v>
      </c>
      <c r="AO32" s="946">
        <v>0.123653641992592</v>
      </c>
      <c r="AP32" s="946">
        <v>124</v>
      </c>
      <c r="AQ32" s="953"/>
      <c r="AR32" s="950"/>
      <c r="AS32" s="950">
        <v>180.48099999999999</v>
      </c>
    </row>
    <row r="33" spans="1:45" x14ac:dyDescent="0.3">
      <c r="A33" s="642" t="s">
        <v>167</v>
      </c>
      <c r="B33" s="642" t="s">
        <v>168</v>
      </c>
      <c r="C33" s="642" t="s">
        <v>5411</v>
      </c>
      <c r="D33" s="642" t="s">
        <v>125</v>
      </c>
      <c r="F33" s="946">
        <v>-3122</v>
      </c>
      <c r="H33" s="946">
        <v>0</v>
      </c>
      <c r="I33" s="939">
        <v>102677658</v>
      </c>
      <c r="J33" s="974">
        <v>102677.658</v>
      </c>
      <c r="L33" s="946">
        <v>20616</v>
      </c>
      <c r="M33" s="947"/>
      <c r="N33" s="946">
        <v>0</v>
      </c>
      <c r="P33" s="946">
        <v>15328</v>
      </c>
      <c r="R33" s="946">
        <v>13439</v>
      </c>
      <c r="S33" s="948">
        <v>936078</v>
      </c>
      <c r="T33" s="946">
        <v>936.07799999999997</v>
      </c>
      <c r="V33" s="946">
        <v>1862</v>
      </c>
      <c r="W33" s="946">
        <v>1181</v>
      </c>
      <c r="X33" s="946">
        <v>3785</v>
      </c>
      <c r="Y33" s="947"/>
      <c r="Z33" s="946">
        <v>1038</v>
      </c>
      <c r="AA33" s="948">
        <v>444153</v>
      </c>
      <c r="AB33" s="946">
        <v>444.15300000000002</v>
      </c>
      <c r="AC33" s="974">
        <v>999.03499999999997</v>
      </c>
      <c r="AD33" s="946">
        <v>229962.7237</v>
      </c>
      <c r="AE33" s="957">
        <v>10750</v>
      </c>
      <c r="AG33" s="957">
        <v>1297</v>
      </c>
      <c r="AH33" s="955">
        <v>-25690</v>
      </c>
      <c r="AI33" s="425">
        <v>1</v>
      </c>
      <c r="AJ33" s="957">
        <v>-25690</v>
      </c>
      <c r="AL33" s="939">
        <v>1</v>
      </c>
      <c r="AM33" s="939">
        <v>1</v>
      </c>
      <c r="AN33" s="950">
        <v>6260.6099700000004</v>
      </c>
      <c r="AO33" s="946">
        <v>0.47838655373778999</v>
      </c>
      <c r="AP33" s="946">
        <v>478</v>
      </c>
      <c r="AQ33" s="953"/>
      <c r="AR33" s="950"/>
      <c r="AS33" s="950">
        <v>1120.454</v>
      </c>
    </row>
    <row r="34" spans="1:45" x14ac:dyDescent="0.3">
      <c r="A34" s="642" t="s">
        <v>173</v>
      </c>
      <c r="B34" s="642" t="s">
        <v>174</v>
      </c>
      <c r="C34" s="642" t="s">
        <v>172</v>
      </c>
      <c r="D34" s="642" t="s">
        <v>125</v>
      </c>
      <c r="F34" s="946">
        <v>-1837</v>
      </c>
      <c r="H34" s="946">
        <v>0</v>
      </c>
      <c r="I34" s="939">
        <v>75808176</v>
      </c>
      <c r="J34" s="974">
        <v>75808.176000000007</v>
      </c>
      <c r="L34" s="946">
        <v>4391</v>
      </c>
      <c r="M34" s="947"/>
      <c r="N34" s="946">
        <v>0</v>
      </c>
      <c r="P34" s="946">
        <v>2829</v>
      </c>
      <c r="R34" s="946">
        <v>1525</v>
      </c>
      <c r="S34" s="948">
        <v>247855</v>
      </c>
      <c r="T34" s="946">
        <v>247.85499999999999</v>
      </c>
      <c r="V34" s="946">
        <v>548</v>
      </c>
      <c r="W34" s="946">
        <v>244</v>
      </c>
      <c r="X34" s="946">
        <v>1160</v>
      </c>
      <c r="Y34" s="947"/>
      <c r="Z34" s="946">
        <v>2294</v>
      </c>
      <c r="AA34" s="948">
        <v>95830</v>
      </c>
      <c r="AB34" s="946">
        <v>95.83</v>
      </c>
      <c r="AC34" s="974">
        <v>3835.1880000000001</v>
      </c>
      <c r="AD34" s="946">
        <v>74577.388999999996</v>
      </c>
      <c r="AE34" s="957">
        <v>0</v>
      </c>
      <c r="AG34" s="957">
        <v>0</v>
      </c>
      <c r="AH34" s="955">
        <v>0</v>
      </c>
      <c r="AI34" s="425">
        <v>1</v>
      </c>
      <c r="AJ34" s="957">
        <v>0</v>
      </c>
      <c r="AL34" s="939">
        <v>1</v>
      </c>
      <c r="AM34" s="939">
        <v>1</v>
      </c>
      <c r="AN34" s="950">
        <v>1837</v>
      </c>
      <c r="AO34" s="946">
        <v>0.203085568297941</v>
      </c>
      <c r="AP34" s="946">
        <v>203</v>
      </c>
      <c r="AQ34" s="953"/>
      <c r="AR34" s="950"/>
      <c r="AS34" s="950">
        <v>240.66399999999999</v>
      </c>
    </row>
    <row r="35" spans="1:45" x14ac:dyDescent="0.3">
      <c r="A35" s="642" t="s">
        <v>176</v>
      </c>
      <c r="B35" s="642" t="s">
        <v>177</v>
      </c>
      <c r="C35" s="642" t="s">
        <v>175</v>
      </c>
      <c r="D35" s="642" t="s">
        <v>97</v>
      </c>
      <c r="F35" s="946">
        <v>-35875</v>
      </c>
      <c r="H35" s="946">
        <v>0</v>
      </c>
      <c r="I35" s="939">
        <v>275864035</v>
      </c>
      <c r="J35" s="974">
        <v>275864.03499999997</v>
      </c>
      <c r="L35" s="946">
        <v>43873</v>
      </c>
      <c r="M35" s="947"/>
      <c r="N35" s="946">
        <v>0</v>
      </c>
      <c r="P35" s="946">
        <v>24312</v>
      </c>
      <c r="R35" s="946">
        <v>23388</v>
      </c>
      <c r="S35" s="948">
        <v>1877191</v>
      </c>
      <c r="T35" s="946">
        <v>1877.191</v>
      </c>
      <c r="V35" s="946">
        <v>1539</v>
      </c>
      <c r="W35" s="946">
        <v>1551</v>
      </c>
      <c r="X35" s="946">
        <v>9600</v>
      </c>
      <c r="Y35" s="947"/>
      <c r="Z35" s="946">
        <v>2014</v>
      </c>
      <c r="AA35" s="948">
        <v>740994</v>
      </c>
      <c r="AB35" s="946">
        <v>740.99400000000003</v>
      </c>
      <c r="AC35" s="974">
        <v>2878.8539999999998</v>
      </c>
      <c r="AD35" s="946">
        <v>224309.554</v>
      </c>
      <c r="AE35" s="957">
        <v>0</v>
      </c>
      <c r="AG35" s="957">
        <v>104</v>
      </c>
      <c r="AH35" s="955">
        <v>0</v>
      </c>
      <c r="AI35" s="425">
        <v>1</v>
      </c>
      <c r="AJ35" s="957">
        <v>0</v>
      </c>
      <c r="AL35" s="939">
        <v>1</v>
      </c>
      <c r="AM35" s="939">
        <v>1</v>
      </c>
      <c r="AN35" s="950">
        <v>14541.366150000002</v>
      </c>
      <c r="AO35" s="946">
        <v>0.98389319496139005</v>
      </c>
      <c r="AP35" s="946">
        <v>984</v>
      </c>
      <c r="AQ35" s="953"/>
      <c r="AR35" s="950"/>
      <c r="AS35" s="950">
        <v>1579.8240000000001</v>
      </c>
    </row>
    <row r="36" spans="1:45" x14ac:dyDescent="0.3">
      <c r="A36" s="642" t="s">
        <v>179</v>
      </c>
      <c r="B36" s="642" t="s">
        <v>180</v>
      </c>
      <c r="C36" s="642" t="s">
        <v>178</v>
      </c>
      <c r="D36" s="642" t="s">
        <v>61</v>
      </c>
      <c r="F36" s="946">
        <v>-1</v>
      </c>
      <c r="H36" s="946">
        <v>0</v>
      </c>
      <c r="I36" s="939">
        <v>0</v>
      </c>
      <c r="J36" s="974">
        <v>0</v>
      </c>
      <c r="L36" s="946">
        <v>0</v>
      </c>
      <c r="M36" s="947"/>
      <c r="N36" s="946">
        <v>23</v>
      </c>
      <c r="P36" s="946">
        <v>0</v>
      </c>
      <c r="R36" s="946">
        <v>0</v>
      </c>
      <c r="S36" s="948">
        <v>0</v>
      </c>
      <c r="T36" s="946">
        <v>0</v>
      </c>
      <c r="V36" s="946">
        <v>423</v>
      </c>
      <c r="W36" s="946">
        <v>0</v>
      </c>
      <c r="X36" s="946">
        <v>240</v>
      </c>
      <c r="Y36" s="947"/>
      <c r="Z36" s="946">
        <v>1657</v>
      </c>
      <c r="AA36" s="948">
        <v>129429</v>
      </c>
      <c r="AB36" s="946">
        <v>129.429</v>
      </c>
      <c r="AC36" s="974">
        <v>2662.502</v>
      </c>
      <c r="AD36" s="946">
        <v>13083.998</v>
      </c>
      <c r="AE36" s="957">
        <v>0</v>
      </c>
      <c r="AG36" s="957">
        <v>180</v>
      </c>
      <c r="AH36" s="955">
        <v>0</v>
      </c>
      <c r="AI36" s="425">
        <v>1</v>
      </c>
      <c r="AJ36" s="957">
        <v>0</v>
      </c>
      <c r="AL36" s="939">
        <v>0</v>
      </c>
      <c r="AM36" s="939">
        <v>0</v>
      </c>
      <c r="AN36" s="950">
        <v>77.7</v>
      </c>
      <c r="AO36" s="946">
        <v>0.15951720337292399</v>
      </c>
      <c r="AP36" s="946">
        <v>160</v>
      </c>
      <c r="AQ36" s="953"/>
      <c r="AR36" s="950"/>
      <c r="AS36" s="950">
        <v>336.76799999999997</v>
      </c>
    </row>
    <row r="37" spans="1:45" x14ac:dyDescent="0.3">
      <c r="A37" s="642" t="s">
        <v>182</v>
      </c>
      <c r="B37" s="642" t="s">
        <v>183</v>
      </c>
      <c r="C37" s="642" t="s">
        <v>181</v>
      </c>
      <c r="D37" s="642" t="s">
        <v>61</v>
      </c>
      <c r="F37" s="946">
        <v>-681</v>
      </c>
      <c r="H37" s="946">
        <v>0</v>
      </c>
      <c r="I37" s="939">
        <v>0</v>
      </c>
      <c r="J37" s="974">
        <v>0</v>
      </c>
      <c r="L37" s="946">
        <v>0</v>
      </c>
      <c r="M37" s="947"/>
      <c r="N37" s="946">
        <v>496</v>
      </c>
      <c r="P37" s="946">
        <v>0</v>
      </c>
      <c r="R37" s="946">
        <v>0</v>
      </c>
      <c r="S37" s="948">
        <v>0</v>
      </c>
      <c r="T37" s="946">
        <v>0</v>
      </c>
      <c r="V37" s="946">
        <v>373</v>
      </c>
      <c r="W37" s="946">
        <v>0</v>
      </c>
      <c r="X37" s="946">
        <v>273</v>
      </c>
      <c r="Y37" s="947"/>
      <c r="Z37" s="946">
        <v>1391</v>
      </c>
      <c r="AA37" s="948">
        <v>133403</v>
      </c>
      <c r="AB37" s="946">
        <v>133.40299999999999</v>
      </c>
      <c r="AC37" s="974">
        <v>4513.2129999999997</v>
      </c>
      <c r="AD37" s="946">
        <v>9262.2250000000004</v>
      </c>
      <c r="AE37" s="957">
        <v>0</v>
      </c>
      <c r="AG37" s="957">
        <v>901</v>
      </c>
      <c r="AH37" s="955">
        <v>0</v>
      </c>
      <c r="AI37" s="425">
        <v>1</v>
      </c>
      <c r="AJ37" s="957">
        <v>0</v>
      </c>
      <c r="AL37" s="939">
        <v>0</v>
      </c>
      <c r="AM37" s="939">
        <v>0</v>
      </c>
      <c r="AN37" s="950">
        <v>0</v>
      </c>
      <c r="AO37" s="946">
        <v>0.18113203228984001</v>
      </c>
      <c r="AP37" s="946">
        <v>181</v>
      </c>
      <c r="AQ37" s="953"/>
      <c r="AR37" s="950"/>
      <c r="AS37" s="950">
        <v>293.214</v>
      </c>
    </row>
    <row r="38" spans="1:45" x14ac:dyDescent="0.3">
      <c r="A38" s="642" t="s">
        <v>185</v>
      </c>
      <c r="B38" s="642" t="s">
        <v>186</v>
      </c>
      <c r="C38" s="642" t="s">
        <v>184</v>
      </c>
      <c r="D38" s="642" t="s">
        <v>1940</v>
      </c>
      <c r="F38" s="946">
        <v>-25812</v>
      </c>
      <c r="H38" s="946">
        <v>0</v>
      </c>
      <c r="I38" s="939">
        <v>207941549</v>
      </c>
      <c r="J38" s="974">
        <v>207941.549</v>
      </c>
      <c r="L38" s="946">
        <v>22884</v>
      </c>
      <c r="M38" s="947"/>
      <c r="N38" s="946">
        <v>0</v>
      </c>
      <c r="P38" s="946">
        <v>13702</v>
      </c>
      <c r="R38" s="946">
        <v>13345</v>
      </c>
      <c r="S38" s="948">
        <v>872997</v>
      </c>
      <c r="T38" s="946">
        <v>872.99699999999996</v>
      </c>
      <c r="V38" s="946">
        <v>7081</v>
      </c>
      <c r="W38" s="946">
        <v>907</v>
      </c>
      <c r="X38" s="946">
        <v>6089</v>
      </c>
      <c r="Y38" s="947"/>
      <c r="Z38" s="946">
        <v>3097</v>
      </c>
      <c r="AA38" s="948">
        <v>529555</v>
      </c>
      <c r="AB38" s="946">
        <v>529.55499999999995</v>
      </c>
      <c r="AC38" s="974">
        <v>0</v>
      </c>
      <c r="AD38" s="946">
        <v>140145.26</v>
      </c>
      <c r="AE38" s="957">
        <v>2354</v>
      </c>
      <c r="AG38" s="957">
        <v>3097</v>
      </c>
      <c r="AH38" s="955">
        <v>0</v>
      </c>
      <c r="AI38" s="425">
        <v>1</v>
      </c>
      <c r="AJ38" s="957">
        <v>0</v>
      </c>
      <c r="AL38" s="939">
        <v>1</v>
      </c>
      <c r="AM38" s="939">
        <v>1</v>
      </c>
      <c r="AN38" s="950">
        <v>17152.210179999998</v>
      </c>
      <c r="AO38" s="946">
        <v>0.92138509057192597</v>
      </c>
      <c r="AP38" s="946">
        <v>921</v>
      </c>
      <c r="AQ38" s="953"/>
      <c r="AR38" s="950"/>
      <c r="AS38" s="950">
        <v>1466.154</v>
      </c>
    </row>
    <row r="39" spans="1:45" x14ac:dyDescent="0.3">
      <c r="A39" s="642" t="s">
        <v>188</v>
      </c>
      <c r="B39" s="642" t="s">
        <v>189</v>
      </c>
      <c r="C39" s="642" t="s">
        <v>187</v>
      </c>
      <c r="D39" s="642" t="s">
        <v>61</v>
      </c>
      <c r="F39" s="946">
        <v>0</v>
      </c>
      <c r="H39" s="946">
        <v>0</v>
      </c>
      <c r="I39" s="939">
        <v>0</v>
      </c>
      <c r="J39" s="974">
        <v>0</v>
      </c>
      <c r="L39" s="946">
        <v>0</v>
      </c>
      <c r="M39" s="947"/>
      <c r="N39" s="946">
        <v>0</v>
      </c>
      <c r="P39" s="946">
        <v>0</v>
      </c>
      <c r="R39" s="946">
        <v>0</v>
      </c>
      <c r="S39" s="948">
        <v>0</v>
      </c>
      <c r="T39" s="946">
        <v>0</v>
      </c>
      <c r="V39" s="946">
        <v>208</v>
      </c>
      <c r="W39" s="946">
        <v>0</v>
      </c>
      <c r="X39" s="946">
        <v>114</v>
      </c>
      <c r="Y39" s="947"/>
      <c r="Z39" s="946">
        <v>713</v>
      </c>
      <c r="AA39" s="948">
        <v>64803</v>
      </c>
      <c r="AB39" s="946">
        <v>64.802999999999997</v>
      </c>
      <c r="AC39" s="974">
        <v>619.51</v>
      </c>
      <c r="AD39" s="946">
        <v>7208.4440000000004</v>
      </c>
      <c r="AE39" s="957">
        <v>9835</v>
      </c>
      <c r="AG39" s="957">
        <v>0</v>
      </c>
      <c r="AH39" s="955">
        <v>0</v>
      </c>
      <c r="AI39" s="425">
        <v>1</v>
      </c>
      <c r="AJ39" s="957">
        <v>0</v>
      </c>
      <c r="AL39" s="939">
        <v>0</v>
      </c>
      <c r="AM39" s="939">
        <v>0</v>
      </c>
      <c r="AN39" s="950">
        <v>4559.0142999999998</v>
      </c>
      <c r="AO39" s="946">
        <v>7.5905576679882097E-2</v>
      </c>
      <c r="AP39" s="946">
        <v>76</v>
      </c>
      <c r="AQ39" s="953"/>
      <c r="AR39" s="950"/>
      <c r="AS39" s="950">
        <v>117.569</v>
      </c>
    </row>
    <row r="40" spans="1:45" x14ac:dyDescent="0.3">
      <c r="A40" s="642" t="s">
        <v>191</v>
      </c>
      <c r="B40" s="642" t="s">
        <v>192</v>
      </c>
      <c r="C40" s="642" t="s">
        <v>190</v>
      </c>
      <c r="D40" s="642" t="s">
        <v>125</v>
      </c>
      <c r="F40" s="946">
        <v>-6877</v>
      </c>
      <c r="H40" s="946">
        <v>0</v>
      </c>
      <c r="I40" s="939">
        <v>182349352</v>
      </c>
      <c r="J40" s="974">
        <v>182349.35200000001</v>
      </c>
      <c r="L40" s="946">
        <v>21661</v>
      </c>
      <c r="M40" s="947"/>
      <c r="N40" s="946">
        <v>0</v>
      </c>
      <c r="P40" s="946">
        <v>10816</v>
      </c>
      <c r="R40" s="946">
        <v>9459</v>
      </c>
      <c r="S40" s="948">
        <v>564628</v>
      </c>
      <c r="T40" s="946">
        <v>564.62800000000004</v>
      </c>
      <c r="V40" s="946">
        <v>6284</v>
      </c>
      <c r="W40" s="946">
        <v>829</v>
      </c>
      <c r="X40" s="946">
        <v>4077</v>
      </c>
      <c r="Y40" s="947"/>
      <c r="Z40" s="946">
        <v>822</v>
      </c>
      <c r="AA40" s="948">
        <v>336041</v>
      </c>
      <c r="AB40" s="946">
        <v>336.041</v>
      </c>
      <c r="AC40" s="974">
        <v>52.271999999999998</v>
      </c>
      <c r="AD40" s="946">
        <v>163704.272</v>
      </c>
      <c r="AE40" s="957">
        <v>13073</v>
      </c>
      <c r="AG40" s="957">
        <v>6724</v>
      </c>
      <c r="AH40" s="955">
        <v>-1780</v>
      </c>
      <c r="AI40" s="425">
        <v>1</v>
      </c>
      <c r="AJ40" s="957">
        <v>-1780</v>
      </c>
      <c r="AL40" s="939">
        <v>1</v>
      </c>
      <c r="AM40" s="939">
        <v>1</v>
      </c>
      <c r="AN40" s="950">
        <v>10478.860229999998</v>
      </c>
      <c r="AO40" s="946">
        <v>0.66993671571691105</v>
      </c>
      <c r="AP40" s="946">
        <v>670</v>
      </c>
      <c r="AQ40" s="953"/>
      <c r="AR40" s="950"/>
      <c r="AS40" s="950">
        <v>1007.763</v>
      </c>
    </row>
    <row r="41" spans="1:45" x14ac:dyDescent="0.3">
      <c r="A41" s="642" t="s">
        <v>194</v>
      </c>
      <c r="B41" s="642" t="s">
        <v>195</v>
      </c>
      <c r="C41" s="642" t="s">
        <v>193</v>
      </c>
      <c r="D41" s="642" t="s">
        <v>125</v>
      </c>
      <c r="F41" s="946">
        <v>0</v>
      </c>
      <c r="H41" s="946">
        <v>0</v>
      </c>
      <c r="I41" s="939">
        <v>184298850</v>
      </c>
      <c r="J41" s="974">
        <v>184298.85</v>
      </c>
      <c r="L41" s="946">
        <v>34588</v>
      </c>
      <c r="M41" s="947"/>
      <c r="N41" s="946">
        <v>0</v>
      </c>
      <c r="P41" s="946">
        <v>19074</v>
      </c>
      <c r="R41" s="946">
        <v>17016</v>
      </c>
      <c r="S41" s="948">
        <v>1618178</v>
      </c>
      <c r="T41" s="946">
        <v>1618.1780000000001</v>
      </c>
      <c r="V41" s="946">
        <v>2968</v>
      </c>
      <c r="W41" s="946">
        <v>1369</v>
      </c>
      <c r="X41" s="946">
        <v>7032</v>
      </c>
      <c r="Y41" s="947"/>
      <c r="Z41" s="946">
        <v>3430</v>
      </c>
      <c r="AA41" s="948">
        <v>621346</v>
      </c>
      <c r="AB41" s="946">
        <v>621.346</v>
      </c>
      <c r="AC41" s="974">
        <v>0</v>
      </c>
      <c r="AD41" s="946">
        <v>243198.359</v>
      </c>
      <c r="AE41" s="957">
        <v>115133</v>
      </c>
      <c r="AG41" s="957">
        <v>1000</v>
      </c>
      <c r="AH41" s="955">
        <v>-5000</v>
      </c>
      <c r="AI41" s="425">
        <v>1</v>
      </c>
      <c r="AJ41" s="957">
        <v>-5000</v>
      </c>
      <c r="AL41" s="939">
        <v>1</v>
      </c>
      <c r="AM41" s="939">
        <v>1</v>
      </c>
      <c r="AN41" s="950">
        <v>15308.587219999999</v>
      </c>
      <c r="AO41" s="946">
        <v>0.83005842416231002</v>
      </c>
      <c r="AP41" s="946">
        <v>830</v>
      </c>
      <c r="AQ41" s="953"/>
      <c r="AR41" s="950"/>
      <c r="AS41" s="950">
        <v>1472.8810000000001</v>
      </c>
    </row>
    <row r="42" spans="1:45" x14ac:dyDescent="0.3">
      <c r="A42" s="642" t="s">
        <v>197</v>
      </c>
      <c r="B42" s="642" t="s">
        <v>198</v>
      </c>
      <c r="C42" s="642" t="s">
        <v>196</v>
      </c>
      <c r="D42" s="642" t="s">
        <v>61</v>
      </c>
      <c r="F42" s="946">
        <v>-32</v>
      </c>
      <c r="H42" s="946">
        <v>0</v>
      </c>
      <c r="I42" s="939">
        <v>0</v>
      </c>
      <c r="J42" s="974">
        <v>0</v>
      </c>
      <c r="L42" s="946">
        <v>0</v>
      </c>
      <c r="M42" s="947"/>
      <c r="N42" s="946">
        <v>0</v>
      </c>
      <c r="P42" s="946">
        <v>0</v>
      </c>
      <c r="R42" s="946">
        <v>0</v>
      </c>
      <c r="S42" s="948">
        <v>0</v>
      </c>
      <c r="T42" s="946">
        <v>0</v>
      </c>
      <c r="V42" s="946">
        <v>302</v>
      </c>
      <c r="W42" s="946">
        <v>0</v>
      </c>
      <c r="X42" s="946">
        <v>198</v>
      </c>
      <c r="Y42" s="947"/>
      <c r="Z42" s="946">
        <v>1333</v>
      </c>
      <c r="AA42" s="948">
        <v>100063</v>
      </c>
      <c r="AB42" s="946">
        <v>100.063</v>
      </c>
      <c r="AC42" s="974">
        <v>4257.049</v>
      </c>
      <c r="AD42" s="946">
        <v>10542.342000000001</v>
      </c>
      <c r="AE42" s="957">
        <v>0</v>
      </c>
      <c r="AG42" s="957">
        <v>0</v>
      </c>
      <c r="AH42" s="955">
        <v>0</v>
      </c>
      <c r="AI42" s="425">
        <v>1</v>
      </c>
      <c r="AJ42" s="957">
        <v>0</v>
      </c>
      <c r="AL42" s="939">
        <v>0</v>
      </c>
      <c r="AM42" s="939">
        <v>0</v>
      </c>
      <c r="AN42" s="950">
        <v>0</v>
      </c>
      <c r="AO42" s="946">
        <v>0.131548280990849</v>
      </c>
      <c r="AP42" s="946">
        <v>132</v>
      </c>
      <c r="AQ42" s="953"/>
      <c r="AR42" s="950"/>
      <c r="AS42" s="950">
        <v>190.018</v>
      </c>
    </row>
    <row r="43" spans="1:45" x14ac:dyDescent="0.3">
      <c r="A43" s="642" t="s">
        <v>200</v>
      </c>
      <c r="B43" s="642" t="s">
        <v>201</v>
      </c>
      <c r="C43" s="642" t="s">
        <v>199</v>
      </c>
      <c r="D43" s="642" t="s">
        <v>1940</v>
      </c>
      <c r="F43" s="946">
        <v>-6</v>
      </c>
      <c r="H43" s="946">
        <v>0</v>
      </c>
      <c r="I43" s="939">
        <v>91324978</v>
      </c>
      <c r="J43" s="974">
        <v>91324.978000000003</v>
      </c>
      <c r="L43" s="946">
        <v>15611</v>
      </c>
      <c r="M43" s="947"/>
      <c r="N43" s="946">
        <v>0</v>
      </c>
      <c r="P43" s="946">
        <v>9353</v>
      </c>
      <c r="R43" s="946">
        <v>7731</v>
      </c>
      <c r="S43" s="948">
        <v>604832</v>
      </c>
      <c r="T43" s="946">
        <v>604.83199999999999</v>
      </c>
      <c r="V43" s="946">
        <v>3712</v>
      </c>
      <c r="W43" s="946">
        <v>804</v>
      </c>
      <c r="X43" s="946">
        <v>2652</v>
      </c>
      <c r="Y43" s="947"/>
      <c r="Z43" s="946">
        <v>253</v>
      </c>
      <c r="AA43" s="948">
        <v>273425</v>
      </c>
      <c r="AB43" s="946">
        <v>273.42500000000001</v>
      </c>
      <c r="AC43" s="974">
        <v>0</v>
      </c>
      <c r="AD43" s="946">
        <v>178835</v>
      </c>
      <c r="AE43" s="957">
        <v>0</v>
      </c>
      <c r="AG43" s="957">
        <v>30</v>
      </c>
      <c r="AH43" s="955">
        <v>0</v>
      </c>
      <c r="AI43" s="425">
        <v>1</v>
      </c>
      <c r="AJ43" s="957">
        <v>0</v>
      </c>
      <c r="AL43" s="939">
        <v>1</v>
      </c>
      <c r="AM43" s="939">
        <v>1</v>
      </c>
      <c r="AN43" s="950">
        <v>0</v>
      </c>
      <c r="AO43" s="946">
        <v>0.42485061831884702</v>
      </c>
      <c r="AP43" s="946">
        <v>425</v>
      </c>
      <c r="AQ43" s="953"/>
      <c r="AR43" s="950"/>
      <c r="AS43" s="950">
        <v>762.01700000000005</v>
      </c>
    </row>
    <row r="44" spans="1:45" x14ac:dyDescent="0.3">
      <c r="A44" s="642" t="s">
        <v>203</v>
      </c>
      <c r="B44" s="642" t="s">
        <v>204</v>
      </c>
      <c r="C44" s="642" t="s">
        <v>202</v>
      </c>
      <c r="D44" s="642" t="s">
        <v>61</v>
      </c>
      <c r="F44" s="946">
        <v>0</v>
      </c>
      <c r="H44" s="946">
        <v>0</v>
      </c>
      <c r="I44" s="939">
        <v>0</v>
      </c>
      <c r="J44" s="974">
        <v>0</v>
      </c>
      <c r="L44" s="946">
        <v>0</v>
      </c>
      <c r="M44" s="947"/>
      <c r="N44" s="946">
        <v>0</v>
      </c>
      <c r="P44" s="946">
        <v>0</v>
      </c>
      <c r="R44" s="946">
        <v>0</v>
      </c>
      <c r="S44" s="948">
        <v>0</v>
      </c>
      <c r="T44" s="946">
        <v>0</v>
      </c>
      <c r="V44" s="946">
        <v>163</v>
      </c>
      <c r="W44" s="946">
        <v>0</v>
      </c>
      <c r="X44" s="946">
        <v>120</v>
      </c>
      <c r="Y44" s="947"/>
      <c r="Z44" s="946">
        <v>363</v>
      </c>
      <c r="AA44" s="948">
        <v>69546</v>
      </c>
      <c r="AB44" s="946">
        <v>69.546000000000006</v>
      </c>
      <c r="AC44" s="974">
        <v>1071.8119999999999</v>
      </c>
      <c r="AD44" s="946">
        <v>9999.6010000000006</v>
      </c>
      <c r="AE44" s="957" t="s">
        <v>5589</v>
      </c>
      <c r="AG44" s="957">
        <v>0</v>
      </c>
      <c r="AH44" s="955" t="s">
        <v>5442</v>
      </c>
      <c r="AI44" s="425">
        <v>1</v>
      </c>
      <c r="AJ44" s="957">
        <v>0</v>
      </c>
      <c r="AL44" s="939">
        <v>0</v>
      </c>
      <c r="AM44" s="939">
        <v>0</v>
      </c>
      <c r="AN44" s="950">
        <v>0</v>
      </c>
      <c r="AO44" s="946">
        <v>0.63499783680836697</v>
      </c>
      <c r="AP44" s="946">
        <v>635</v>
      </c>
      <c r="AQ44" s="953"/>
      <c r="AR44" s="950"/>
      <c r="AS44" s="950">
        <v>149.40700000000001</v>
      </c>
    </row>
    <row r="45" spans="1:45" x14ac:dyDescent="0.3">
      <c r="A45" s="642" t="s">
        <v>206</v>
      </c>
      <c r="B45" s="642" t="s">
        <v>207</v>
      </c>
      <c r="C45" s="642" t="s">
        <v>205</v>
      </c>
      <c r="D45" s="642" t="s">
        <v>61</v>
      </c>
      <c r="F45" s="946">
        <v>-57</v>
      </c>
      <c r="H45" s="946">
        <v>0</v>
      </c>
      <c r="I45" s="939">
        <v>0</v>
      </c>
      <c r="J45" s="974">
        <v>0</v>
      </c>
      <c r="L45" s="946">
        <v>0</v>
      </c>
      <c r="M45" s="947"/>
      <c r="N45" s="946">
        <v>0</v>
      </c>
      <c r="P45" s="946">
        <v>0</v>
      </c>
      <c r="R45" s="946">
        <v>0</v>
      </c>
      <c r="S45" s="948">
        <v>0</v>
      </c>
      <c r="T45" s="946">
        <v>0</v>
      </c>
      <c r="V45" s="946">
        <v>759</v>
      </c>
      <c r="W45" s="946">
        <v>0</v>
      </c>
      <c r="X45" s="946">
        <v>162</v>
      </c>
      <c r="Y45" s="947"/>
      <c r="Z45" s="946">
        <v>359</v>
      </c>
      <c r="AA45" s="948">
        <v>103240</v>
      </c>
      <c r="AB45" s="946">
        <v>103.24</v>
      </c>
      <c r="AC45" s="974">
        <v>0</v>
      </c>
      <c r="AD45" s="946">
        <v>5295.4440000000004</v>
      </c>
      <c r="AE45" s="957">
        <v>0</v>
      </c>
      <c r="AG45" s="957">
        <v>1990</v>
      </c>
      <c r="AH45" s="955">
        <v>0</v>
      </c>
      <c r="AI45" s="425">
        <v>1</v>
      </c>
      <c r="AJ45" s="957">
        <v>0</v>
      </c>
      <c r="AL45" s="939">
        <v>0</v>
      </c>
      <c r="AM45" s="939">
        <v>0</v>
      </c>
      <c r="AN45" s="950">
        <v>0</v>
      </c>
      <c r="AO45" s="946">
        <v>0.10769446391889401</v>
      </c>
      <c r="AP45" s="946">
        <v>108</v>
      </c>
      <c r="AQ45" s="953"/>
      <c r="AR45" s="950"/>
      <c r="AS45" s="950">
        <v>243.977</v>
      </c>
    </row>
    <row r="46" spans="1:45" x14ac:dyDescent="0.3">
      <c r="A46" s="642" t="s">
        <v>209</v>
      </c>
      <c r="B46" s="642" t="s">
        <v>210</v>
      </c>
      <c r="C46" s="642" t="s">
        <v>208</v>
      </c>
      <c r="D46" s="642" t="s">
        <v>61</v>
      </c>
      <c r="F46" s="946">
        <v>0</v>
      </c>
      <c r="H46" s="946">
        <v>0</v>
      </c>
      <c r="I46" s="939">
        <v>0</v>
      </c>
      <c r="J46" s="974">
        <v>0</v>
      </c>
      <c r="L46" s="946">
        <v>0</v>
      </c>
      <c r="M46" s="947"/>
      <c r="N46" s="946">
        <v>0</v>
      </c>
      <c r="P46" s="946">
        <v>0</v>
      </c>
      <c r="R46" s="946">
        <v>0</v>
      </c>
      <c r="S46" s="948">
        <v>0</v>
      </c>
      <c r="T46" s="946">
        <v>0</v>
      </c>
      <c r="V46" s="946">
        <v>225</v>
      </c>
      <c r="W46" s="946">
        <v>0</v>
      </c>
      <c r="X46" s="946">
        <v>200</v>
      </c>
      <c r="Y46" s="947"/>
      <c r="Z46" s="946">
        <v>352</v>
      </c>
      <c r="AA46" s="948">
        <v>113474</v>
      </c>
      <c r="AB46" s="946">
        <v>113.474</v>
      </c>
      <c r="AC46" s="974">
        <v>937.76800000000003</v>
      </c>
      <c r="AD46" s="946">
        <v>7069.3990000000003</v>
      </c>
      <c r="AE46" s="957">
        <v>4908</v>
      </c>
      <c r="AG46" s="957">
        <v>0</v>
      </c>
      <c r="AH46" s="955">
        <v>0</v>
      </c>
      <c r="AI46" s="425">
        <v>1</v>
      </c>
      <c r="AJ46" s="957">
        <v>0</v>
      </c>
      <c r="AL46" s="939">
        <v>0</v>
      </c>
      <c r="AM46" s="939">
        <v>0</v>
      </c>
      <c r="AN46" s="950">
        <v>2681.4613499999996</v>
      </c>
      <c r="AO46" s="946">
        <v>0.13255139862801901</v>
      </c>
      <c r="AP46" s="946">
        <v>133</v>
      </c>
      <c r="AQ46" s="953"/>
      <c r="AR46" s="950"/>
      <c r="AS46" s="950">
        <v>219.49799999999999</v>
      </c>
    </row>
    <row r="47" spans="1:45" x14ac:dyDescent="0.3">
      <c r="A47" s="642" t="s">
        <v>215</v>
      </c>
      <c r="B47" s="642" t="s">
        <v>216</v>
      </c>
      <c r="C47" s="642" t="s">
        <v>5412</v>
      </c>
      <c r="D47" s="642" t="s">
        <v>5408</v>
      </c>
      <c r="F47" s="946">
        <v>-2408</v>
      </c>
      <c r="H47" s="946">
        <v>0</v>
      </c>
      <c r="I47" s="939">
        <v>0</v>
      </c>
      <c r="J47" s="974">
        <v>0</v>
      </c>
      <c r="L47" s="946">
        <v>0</v>
      </c>
      <c r="M47" s="947"/>
      <c r="N47" s="946">
        <v>0</v>
      </c>
      <c r="P47" s="946">
        <v>0</v>
      </c>
      <c r="R47" s="946">
        <v>0</v>
      </c>
      <c r="S47" s="948">
        <v>0</v>
      </c>
      <c r="T47" s="946">
        <v>0</v>
      </c>
      <c r="V47" s="946">
        <v>0</v>
      </c>
      <c r="W47" s="946">
        <v>0</v>
      </c>
      <c r="X47" s="946">
        <v>355</v>
      </c>
      <c r="Y47" s="947"/>
      <c r="Z47" s="946">
        <v>0</v>
      </c>
      <c r="AA47" s="948">
        <v>0</v>
      </c>
      <c r="AB47" s="946">
        <v>0</v>
      </c>
      <c r="AC47" s="974">
        <v>0</v>
      </c>
      <c r="AD47" s="946">
        <v>22758.920999999998</v>
      </c>
      <c r="AE47" s="957">
        <v>0</v>
      </c>
      <c r="AG47" s="957">
        <v>1616</v>
      </c>
      <c r="AH47" s="955">
        <v>0</v>
      </c>
      <c r="AI47" s="425">
        <v>0</v>
      </c>
      <c r="AJ47" s="957">
        <v>0</v>
      </c>
      <c r="AL47" s="939">
        <v>0</v>
      </c>
      <c r="AM47" s="939">
        <v>0</v>
      </c>
      <c r="AN47" s="950">
        <v>297.28100000000001</v>
      </c>
      <c r="AO47" s="946">
        <v>0</v>
      </c>
      <c r="AP47" s="946">
        <v>0</v>
      </c>
      <c r="AQ47" s="953"/>
      <c r="AR47" s="950"/>
      <c r="AS47" s="950">
        <v>0</v>
      </c>
    </row>
    <row r="48" spans="1:45" x14ac:dyDescent="0.3">
      <c r="A48" s="642" t="s">
        <v>212</v>
      </c>
      <c r="B48" s="642" t="s">
        <v>213</v>
      </c>
      <c r="C48" s="642" t="s">
        <v>211</v>
      </c>
      <c r="D48" s="642" t="s">
        <v>125</v>
      </c>
      <c r="F48" s="946">
        <v>-9</v>
      </c>
      <c r="H48" s="946">
        <v>0</v>
      </c>
      <c r="I48" s="939">
        <v>317052539</v>
      </c>
      <c r="J48" s="974">
        <v>317052.53899999999</v>
      </c>
      <c r="L48" s="946">
        <v>22255</v>
      </c>
      <c r="M48" s="947"/>
      <c r="N48" s="946">
        <v>0</v>
      </c>
      <c r="P48" s="946">
        <v>13067</v>
      </c>
      <c r="R48" s="946">
        <v>5041</v>
      </c>
      <c r="S48" s="948">
        <v>1024449</v>
      </c>
      <c r="T48" s="946">
        <v>1024.4490000000001</v>
      </c>
      <c r="V48" s="946">
        <v>1682</v>
      </c>
      <c r="W48" s="946">
        <v>1128</v>
      </c>
      <c r="X48" s="946">
        <v>3753</v>
      </c>
      <c r="Y48" s="947"/>
      <c r="Z48" s="946">
        <v>5844</v>
      </c>
      <c r="AA48" s="948">
        <v>459751</v>
      </c>
      <c r="AB48" s="946">
        <v>459.75099999999998</v>
      </c>
      <c r="AC48" s="974">
        <v>17544.956999999999</v>
      </c>
      <c r="AD48" s="946">
        <v>394899.87800000003</v>
      </c>
      <c r="AE48" s="957">
        <v>0</v>
      </c>
      <c r="AG48" s="957">
        <v>6265</v>
      </c>
      <c r="AH48" s="955">
        <v>0</v>
      </c>
      <c r="AI48" s="425">
        <v>1</v>
      </c>
      <c r="AJ48" s="957">
        <v>0</v>
      </c>
      <c r="AL48" s="939">
        <v>1</v>
      </c>
      <c r="AM48" s="939">
        <v>1</v>
      </c>
      <c r="AN48" s="950">
        <v>7366.8903499999988</v>
      </c>
      <c r="AO48" s="946">
        <v>0.45418161210232899</v>
      </c>
      <c r="AP48" s="946">
        <v>454</v>
      </c>
      <c r="AQ48" s="953"/>
      <c r="AR48" s="950"/>
      <c r="AS48" s="950">
        <v>911.67899999999997</v>
      </c>
    </row>
    <row r="49" spans="1:45" x14ac:dyDescent="0.3">
      <c r="A49" s="642" t="s">
        <v>218</v>
      </c>
      <c r="B49" s="642" t="s">
        <v>219</v>
      </c>
      <c r="C49" s="642" t="s">
        <v>217</v>
      </c>
      <c r="D49" s="642" t="s">
        <v>61</v>
      </c>
      <c r="F49" s="946">
        <v>-1700</v>
      </c>
      <c r="H49" s="946">
        <v>0</v>
      </c>
      <c r="I49" s="939">
        <v>0</v>
      </c>
      <c r="J49" s="974">
        <v>0</v>
      </c>
      <c r="L49" s="946">
        <v>0</v>
      </c>
      <c r="M49" s="947"/>
      <c r="N49" s="946">
        <v>0</v>
      </c>
      <c r="P49" s="946">
        <v>0</v>
      </c>
      <c r="R49" s="946">
        <v>0</v>
      </c>
      <c r="S49" s="948">
        <v>0</v>
      </c>
      <c r="T49" s="946">
        <v>0</v>
      </c>
      <c r="V49" s="946">
        <v>209</v>
      </c>
      <c r="W49" s="946">
        <v>0</v>
      </c>
      <c r="X49" s="946">
        <v>294</v>
      </c>
      <c r="Y49" s="947"/>
      <c r="Z49" s="946">
        <v>576</v>
      </c>
      <c r="AA49" s="948">
        <v>165467</v>
      </c>
      <c r="AB49" s="946">
        <v>165.46700000000001</v>
      </c>
      <c r="AC49" s="974">
        <v>169.34</v>
      </c>
      <c r="AD49" s="946">
        <v>7649.7150000000001</v>
      </c>
      <c r="AE49" s="957">
        <v>0</v>
      </c>
      <c r="AG49" s="957">
        <v>471</v>
      </c>
      <c r="AH49" s="955">
        <v>0</v>
      </c>
      <c r="AI49" s="425">
        <v>1</v>
      </c>
      <c r="AJ49" s="957">
        <v>0</v>
      </c>
      <c r="AL49" s="939">
        <v>0</v>
      </c>
      <c r="AM49" s="939">
        <v>0</v>
      </c>
      <c r="AN49" s="950">
        <v>1584.3540600000001</v>
      </c>
      <c r="AO49" s="946">
        <v>0.19508867190467</v>
      </c>
      <c r="AP49" s="946">
        <v>195</v>
      </c>
      <c r="AQ49" s="953"/>
      <c r="AR49" s="950"/>
      <c r="AS49" s="950">
        <v>353.47699999999998</v>
      </c>
    </row>
    <row r="50" spans="1:45" x14ac:dyDescent="0.3">
      <c r="A50" s="642" t="s">
        <v>221</v>
      </c>
      <c r="B50" s="642" t="s">
        <v>222</v>
      </c>
      <c r="C50" s="642" t="s">
        <v>220</v>
      </c>
      <c r="D50" s="642" t="s">
        <v>97</v>
      </c>
      <c r="F50" s="946">
        <v>0</v>
      </c>
      <c r="H50" s="946">
        <v>0</v>
      </c>
      <c r="I50" s="939">
        <v>125063362</v>
      </c>
      <c r="J50" s="974">
        <v>125063.36199999999</v>
      </c>
      <c r="L50" s="946">
        <v>0</v>
      </c>
      <c r="M50" s="947"/>
      <c r="N50" s="946">
        <v>0</v>
      </c>
      <c r="P50" s="946">
        <v>7841</v>
      </c>
      <c r="R50" s="946">
        <v>7628</v>
      </c>
      <c r="S50" s="948">
        <v>288131</v>
      </c>
      <c r="T50" s="946">
        <v>288.13099999999997</v>
      </c>
      <c r="V50" s="946">
        <v>478</v>
      </c>
      <c r="W50" s="946">
        <v>551</v>
      </c>
      <c r="X50" s="946">
        <v>2482</v>
      </c>
      <c r="Y50" s="947"/>
      <c r="Z50" s="946">
        <v>47</v>
      </c>
      <c r="AA50" s="948">
        <v>230313</v>
      </c>
      <c r="AB50" s="946">
        <v>230.31299999999999</v>
      </c>
      <c r="AC50" s="974">
        <v>0</v>
      </c>
      <c r="AD50" s="946">
        <v>96841.994999999995</v>
      </c>
      <c r="AE50" s="957">
        <v>9842</v>
      </c>
      <c r="AG50" s="957">
        <v>0</v>
      </c>
      <c r="AH50" s="955">
        <v>0</v>
      </c>
      <c r="AI50" s="425">
        <v>1</v>
      </c>
      <c r="AJ50" s="957">
        <v>0</v>
      </c>
      <c r="AL50" s="939">
        <v>1</v>
      </c>
      <c r="AM50" s="939">
        <v>1</v>
      </c>
      <c r="AN50" s="950">
        <v>6125.75749</v>
      </c>
      <c r="AO50" s="946">
        <v>0.271021401147853</v>
      </c>
      <c r="AP50" s="946">
        <v>271</v>
      </c>
      <c r="AQ50" s="953"/>
      <c r="AR50" s="950"/>
      <c r="AS50" s="950">
        <v>517.851</v>
      </c>
    </row>
    <row r="51" spans="1:45" x14ac:dyDescent="0.3">
      <c r="A51" s="642" t="s">
        <v>224</v>
      </c>
      <c r="B51" s="642" t="s">
        <v>225</v>
      </c>
      <c r="C51" s="642" t="s">
        <v>223</v>
      </c>
      <c r="D51" s="642" t="s">
        <v>97</v>
      </c>
      <c r="F51" s="946">
        <v>-7571</v>
      </c>
      <c r="H51" s="946">
        <v>0</v>
      </c>
      <c r="I51" s="939">
        <v>105975632</v>
      </c>
      <c r="J51" s="974">
        <v>105975.632</v>
      </c>
      <c r="L51" s="946">
        <v>14002</v>
      </c>
      <c r="M51" s="947"/>
      <c r="N51" s="946">
        <v>0</v>
      </c>
      <c r="P51" s="946">
        <v>8975</v>
      </c>
      <c r="R51" s="946">
        <v>8436</v>
      </c>
      <c r="S51" s="948">
        <v>794718</v>
      </c>
      <c r="T51" s="946">
        <v>794.71799999999996</v>
      </c>
      <c r="V51" s="946">
        <v>405</v>
      </c>
      <c r="W51" s="946">
        <v>621</v>
      </c>
      <c r="X51" s="946">
        <v>2911</v>
      </c>
      <c r="Y51" s="947"/>
      <c r="Z51" s="946">
        <v>594</v>
      </c>
      <c r="AA51" s="948">
        <v>268805</v>
      </c>
      <c r="AB51" s="946">
        <v>268.80500000000001</v>
      </c>
      <c r="AC51" s="974">
        <v>822.50800000000004</v>
      </c>
      <c r="AD51" s="946">
        <v>105472.53599999999</v>
      </c>
      <c r="AE51" s="957">
        <v>0</v>
      </c>
      <c r="AG51" s="957">
        <v>0</v>
      </c>
      <c r="AH51" s="955">
        <v>0</v>
      </c>
      <c r="AI51" s="425">
        <v>1</v>
      </c>
      <c r="AJ51" s="957">
        <v>0</v>
      </c>
      <c r="AL51" s="939">
        <v>1</v>
      </c>
      <c r="AM51" s="939">
        <v>1</v>
      </c>
      <c r="AN51" s="950">
        <v>4361.4412400000001</v>
      </c>
      <c r="AO51" s="946">
        <v>0.31065785904807097</v>
      </c>
      <c r="AP51" s="946">
        <v>311</v>
      </c>
      <c r="AQ51" s="953"/>
      <c r="AR51" s="950"/>
      <c r="AS51" s="950">
        <v>647.73500000000001</v>
      </c>
    </row>
    <row r="52" spans="1:45" x14ac:dyDescent="0.3">
      <c r="A52" s="642" t="s">
        <v>227</v>
      </c>
      <c r="B52" s="642" t="s">
        <v>228</v>
      </c>
      <c r="C52" s="642" t="s">
        <v>226</v>
      </c>
      <c r="D52" s="642" t="s">
        <v>61</v>
      </c>
      <c r="F52" s="946">
        <v>-1</v>
      </c>
      <c r="H52" s="946">
        <v>0</v>
      </c>
      <c r="I52" s="939">
        <v>0</v>
      </c>
      <c r="J52" s="974">
        <v>0</v>
      </c>
      <c r="L52" s="946">
        <v>0</v>
      </c>
      <c r="M52" s="947"/>
      <c r="N52" s="946">
        <v>0</v>
      </c>
      <c r="P52" s="946">
        <v>0</v>
      </c>
      <c r="R52" s="946">
        <v>0</v>
      </c>
      <c r="S52" s="948">
        <v>0</v>
      </c>
      <c r="T52" s="946">
        <v>0</v>
      </c>
      <c r="V52" s="946">
        <v>691</v>
      </c>
      <c r="W52" s="946">
        <v>0</v>
      </c>
      <c r="X52" s="946">
        <v>294</v>
      </c>
      <c r="Y52" s="947"/>
      <c r="Z52" s="946">
        <v>1957</v>
      </c>
      <c r="AA52" s="948">
        <v>136248</v>
      </c>
      <c r="AB52" s="946">
        <v>136.24799999999999</v>
      </c>
      <c r="AC52" s="974">
        <v>0</v>
      </c>
      <c r="AD52" s="946">
        <v>9371.17</v>
      </c>
      <c r="AE52" s="957">
        <v>36941</v>
      </c>
      <c r="AG52" s="957">
        <v>40</v>
      </c>
      <c r="AH52" s="955">
        <v>0</v>
      </c>
      <c r="AI52" s="425">
        <v>1</v>
      </c>
      <c r="AJ52" s="957">
        <v>0</v>
      </c>
      <c r="AL52" s="939">
        <v>0</v>
      </c>
      <c r="AM52" s="939">
        <v>0</v>
      </c>
      <c r="AN52" s="950">
        <v>7494.2414800000006</v>
      </c>
      <c r="AO52" s="946">
        <v>1.67926136688529</v>
      </c>
      <c r="AP52" s="946">
        <v>1679</v>
      </c>
      <c r="AQ52" s="953"/>
      <c r="AR52" s="950"/>
      <c r="AS52" s="950">
        <v>293.36900000000003</v>
      </c>
    </row>
    <row r="53" spans="1:45" x14ac:dyDescent="0.3">
      <c r="A53" s="642" t="s">
        <v>230</v>
      </c>
      <c r="B53" s="642" t="s">
        <v>231</v>
      </c>
      <c r="C53" s="642" t="s">
        <v>229</v>
      </c>
      <c r="D53" s="642" t="s">
        <v>1942</v>
      </c>
      <c r="F53" s="946">
        <v>-10</v>
      </c>
      <c r="H53" s="946">
        <v>0</v>
      </c>
      <c r="I53" s="939">
        <v>253034386</v>
      </c>
      <c r="J53" s="974">
        <v>253034.386</v>
      </c>
      <c r="L53" s="946">
        <v>28384</v>
      </c>
      <c r="M53" s="947"/>
      <c r="N53" s="946">
        <v>0</v>
      </c>
      <c r="P53" s="946">
        <v>18885</v>
      </c>
      <c r="R53" s="946">
        <v>15171</v>
      </c>
      <c r="S53" s="948">
        <v>1192809</v>
      </c>
      <c r="T53" s="946">
        <v>1192.809</v>
      </c>
      <c r="V53" s="946">
        <v>0</v>
      </c>
      <c r="W53" s="946">
        <v>1569</v>
      </c>
      <c r="X53" s="946">
        <v>4508</v>
      </c>
      <c r="Y53" s="947"/>
      <c r="Z53" s="946">
        <v>2096</v>
      </c>
      <c r="AA53" s="948">
        <v>0</v>
      </c>
      <c r="AB53" s="946">
        <v>0</v>
      </c>
      <c r="AC53" s="974">
        <v>0</v>
      </c>
      <c r="AD53" s="946">
        <v>346551.52600000001</v>
      </c>
      <c r="AE53" s="957">
        <v>0</v>
      </c>
      <c r="AG53" s="957">
        <v>597</v>
      </c>
      <c r="AH53" s="955">
        <v>-1682</v>
      </c>
      <c r="AI53" s="425">
        <v>0</v>
      </c>
      <c r="AJ53" s="957">
        <v>-1682</v>
      </c>
      <c r="AL53" s="939">
        <v>1</v>
      </c>
      <c r="AM53" s="939">
        <v>1</v>
      </c>
      <c r="AN53" s="950">
        <v>13487.651900000001</v>
      </c>
      <c r="AO53" s="946">
        <v>0</v>
      </c>
      <c r="AP53" s="946">
        <v>0</v>
      </c>
      <c r="AQ53" s="953"/>
      <c r="AR53" s="950"/>
      <c r="AS53" s="950">
        <v>0</v>
      </c>
    </row>
    <row r="54" spans="1:45" x14ac:dyDescent="0.3">
      <c r="A54" s="642" t="s">
        <v>233</v>
      </c>
      <c r="B54" s="642" t="s">
        <v>234</v>
      </c>
      <c r="C54" s="642" t="s">
        <v>232</v>
      </c>
      <c r="D54" s="642" t="s">
        <v>1390</v>
      </c>
      <c r="F54" s="946">
        <v>0</v>
      </c>
      <c r="H54" s="946">
        <v>0</v>
      </c>
      <c r="I54" s="939">
        <v>0</v>
      </c>
      <c r="J54" s="974">
        <v>0</v>
      </c>
      <c r="L54" s="946">
        <v>0</v>
      </c>
      <c r="M54" s="947"/>
      <c r="N54" s="946">
        <v>0</v>
      </c>
      <c r="P54" s="946">
        <v>0</v>
      </c>
      <c r="R54" s="946">
        <v>0</v>
      </c>
      <c r="S54" s="948">
        <v>0</v>
      </c>
      <c r="T54" s="946">
        <v>0</v>
      </c>
      <c r="V54" s="946">
        <v>0</v>
      </c>
      <c r="W54" s="946">
        <v>0</v>
      </c>
      <c r="X54" s="946">
        <v>0</v>
      </c>
      <c r="Y54" s="947"/>
      <c r="Z54" s="946">
        <v>0</v>
      </c>
      <c r="AA54" s="948">
        <v>0</v>
      </c>
      <c r="AB54" s="946">
        <v>0</v>
      </c>
      <c r="AC54" s="974">
        <v>0</v>
      </c>
      <c r="AD54" s="946">
        <v>0</v>
      </c>
      <c r="AE54" s="957">
        <v>0</v>
      </c>
      <c r="AG54" s="957">
        <v>0</v>
      </c>
      <c r="AH54" s="955">
        <v>0</v>
      </c>
      <c r="AI54" s="425">
        <v>0</v>
      </c>
      <c r="AJ54" s="957">
        <v>0</v>
      </c>
      <c r="AL54" s="939">
        <v>0</v>
      </c>
      <c r="AM54" s="939">
        <v>0</v>
      </c>
      <c r="AN54" s="950">
        <v>0</v>
      </c>
      <c r="AO54" s="946">
        <v>0</v>
      </c>
      <c r="AP54" s="946">
        <v>0</v>
      </c>
      <c r="AQ54" s="953"/>
      <c r="AR54" s="950"/>
      <c r="AS54" s="950">
        <v>0</v>
      </c>
    </row>
    <row r="55" spans="1:45" x14ac:dyDescent="0.3">
      <c r="A55" s="642" t="s">
        <v>237</v>
      </c>
      <c r="B55" s="642" t="s">
        <v>238</v>
      </c>
      <c r="C55" s="642" t="s">
        <v>5413</v>
      </c>
      <c r="D55" s="642" t="s">
        <v>5408</v>
      </c>
      <c r="F55" s="946">
        <v>-2897</v>
      </c>
      <c r="H55" s="946">
        <v>0</v>
      </c>
      <c r="I55" s="939">
        <v>0</v>
      </c>
      <c r="J55" s="974">
        <v>0</v>
      </c>
      <c r="L55" s="946">
        <v>0</v>
      </c>
      <c r="M55" s="947"/>
      <c r="N55" s="946">
        <v>0</v>
      </c>
      <c r="P55" s="946">
        <v>0</v>
      </c>
      <c r="R55" s="946">
        <v>0</v>
      </c>
      <c r="S55" s="948">
        <v>0</v>
      </c>
      <c r="T55" s="946">
        <v>0</v>
      </c>
      <c r="V55" s="946">
        <v>0</v>
      </c>
      <c r="W55" s="946">
        <v>0</v>
      </c>
      <c r="X55" s="946">
        <v>422</v>
      </c>
      <c r="Y55" s="947"/>
      <c r="Z55" s="946">
        <v>0</v>
      </c>
      <c r="AA55" s="948">
        <v>0</v>
      </c>
      <c r="AB55" s="946">
        <v>0</v>
      </c>
      <c r="AC55" s="974">
        <v>0</v>
      </c>
      <c r="AD55" s="946">
        <v>22214.115000000002</v>
      </c>
      <c r="AE55" s="957">
        <v>0</v>
      </c>
      <c r="AG55" s="957">
        <v>2214</v>
      </c>
      <c r="AH55" s="955">
        <v>0</v>
      </c>
      <c r="AI55" s="425">
        <v>0</v>
      </c>
      <c r="AJ55" s="957">
        <v>0</v>
      </c>
      <c r="AL55" s="939">
        <v>0</v>
      </c>
      <c r="AM55" s="939">
        <v>0</v>
      </c>
      <c r="AN55" s="950">
        <v>187.75</v>
      </c>
      <c r="AO55" s="946">
        <v>0</v>
      </c>
      <c r="AP55" s="946">
        <v>0</v>
      </c>
      <c r="AQ55" s="953"/>
      <c r="AR55" s="950"/>
      <c r="AS55" s="950">
        <v>0</v>
      </c>
    </row>
    <row r="56" spans="1:45" x14ac:dyDescent="0.3">
      <c r="A56" s="642" t="s">
        <v>240</v>
      </c>
      <c r="B56" s="642" t="s">
        <v>241</v>
      </c>
      <c r="C56" s="642" t="s">
        <v>239</v>
      </c>
      <c r="D56" s="642" t="s">
        <v>71</v>
      </c>
      <c r="F56" s="946">
        <v>0</v>
      </c>
      <c r="H56" s="946">
        <v>-95123</v>
      </c>
      <c r="I56" s="939">
        <v>0</v>
      </c>
      <c r="J56" s="974">
        <v>0</v>
      </c>
      <c r="L56" s="946">
        <v>0</v>
      </c>
      <c r="M56" s="947"/>
      <c r="N56" s="946">
        <v>0</v>
      </c>
      <c r="P56" s="946">
        <v>0</v>
      </c>
      <c r="R56" s="946">
        <v>0</v>
      </c>
      <c r="S56" s="948">
        <v>0</v>
      </c>
      <c r="T56" s="946">
        <v>0</v>
      </c>
      <c r="V56" s="946">
        <v>0</v>
      </c>
      <c r="W56" s="946">
        <v>0</v>
      </c>
      <c r="X56" s="946">
        <v>0</v>
      </c>
      <c r="Y56" s="947"/>
      <c r="Z56" s="946">
        <v>0</v>
      </c>
      <c r="AA56" s="948">
        <v>0</v>
      </c>
      <c r="AB56" s="946">
        <v>0</v>
      </c>
      <c r="AC56" s="974">
        <v>0</v>
      </c>
      <c r="AD56" s="946">
        <v>76322.684999999998</v>
      </c>
      <c r="AE56" s="957">
        <v>0</v>
      </c>
      <c r="AG56" s="957">
        <v>812</v>
      </c>
      <c r="AH56" s="955">
        <v>0</v>
      </c>
      <c r="AI56" s="425">
        <v>0</v>
      </c>
      <c r="AJ56" s="957">
        <v>0</v>
      </c>
      <c r="AL56" s="939">
        <v>0</v>
      </c>
      <c r="AM56" s="939">
        <v>0</v>
      </c>
      <c r="AN56" s="950">
        <v>553.35311999999999</v>
      </c>
      <c r="AO56" s="946">
        <v>0</v>
      </c>
      <c r="AP56" s="946">
        <v>0</v>
      </c>
      <c r="AQ56" s="953"/>
      <c r="AR56" s="950"/>
      <c r="AS56" s="950">
        <v>0</v>
      </c>
    </row>
    <row r="57" spans="1:45" x14ac:dyDescent="0.3">
      <c r="A57" s="642" t="s">
        <v>243</v>
      </c>
      <c r="B57" s="642" t="s">
        <v>244</v>
      </c>
      <c r="C57" s="642" t="s">
        <v>242</v>
      </c>
      <c r="D57" s="642" t="s">
        <v>1940</v>
      </c>
      <c r="F57" s="946">
        <v>-23511</v>
      </c>
      <c r="H57" s="946">
        <v>0</v>
      </c>
      <c r="I57" s="939">
        <v>175329881</v>
      </c>
      <c r="J57" s="974">
        <v>175329.88099999999</v>
      </c>
      <c r="L57" s="946">
        <v>28388</v>
      </c>
      <c r="M57" s="947"/>
      <c r="N57" s="946">
        <v>0</v>
      </c>
      <c r="P57" s="946">
        <v>13472</v>
      </c>
      <c r="R57" s="946">
        <v>12874</v>
      </c>
      <c r="S57" s="948">
        <v>785790</v>
      </c>
      <c r="T57" s="946">
        <v>785.79</v>
      </c>
      <c r="V57" s="946">
        <v>2714</v>
      </c>
      <c r="W57" s="946">
        <v>868</v>
      </c>
      <c r="X57" s="946">
        <v>6307</v>
      </c>
      <c r="Y57" s="947"/>
      <c r="Z57" s="946">
        <v>3227</v>
      </c>
      <c r="AA57" s="948">
        <v>556395</v>
      </c>
      <c r="AB57" s="946">
        <v>556.39499999999998</v>
      </c>
      <c r="AC57" s="974">
        <v>0</v>
      </c>
      <c r="AD57" s="946">
        <v>126002.421</v>
      </c>
      <c r="AE57" s="957">
        <v>19709</v>
      </c>
      <c r="AG57" s="957">
        <v>3179</v>
      </c>
      <c r="AH57" s="955">
        <v>0</v>
      </c>
      <c r="AI57" s="425">
        <v>1</v>
      </c>
      <c r="AJ57" s="957">
        <v>0</v>
      </c>
      <c r="AL57" s="939">
        <v>1</v>
      </c>
      <c r="AM57" s="939">
        <v>1</v>
      </c>
      <c r="AN57" s="950">
        <v>9970.7784400000019</v>
      </c>
      <c r="AO57" s="946">
        <v>1.3228877036070801</v>
      </c>
      <c r="AP57" s="946">
        <v>1323</v>
      </c>
      <c r="AQ57" s="953"/>
      <c r="AR57" s="950"/>
      <c r="AS57" s="950">
        <v>1265.425</v>
      </c>
    </row>
    <row r="58" spans="1:45" x14ac:dyDescent="0.3">
      <c r="A58" s="642" t="s">
        <v>246</v>
      </c>
      <c r="B58" s="642" t="s">
        <v>247</v>
      </c>
      <c r="C58" s="642" t="s">
        <v>245</v>
      </c>
      <c r="D58" s="642" t="s">
        <v>61</v>
      </c>
      <c r="F58" s="946">
        <v>0</v>
      </c>
      <c r="H58" s="946">
        <v>0</v>
      </c>
      <c r="I58" s="939">
        <v>0</v>
      </c>
      <c r="J58" s="974">
        <v>0</v>
      </c>
      <c r="L58" s="946">
        <v>0</v>
      </c>
      <c r="M58" s="947"/>
      <c r="N58" s="946">
        <v>0</v>
      </c>
      <c r="P58" s="946">
        <v>0</v>
      </c>
      <c r="R58" s="946">
        <v>0</v>
      </c>
      <c r="S58" s="948">
        <v>0</v>
      </c>
      <c r="T58" s="946">
        <v>0</v>
      </c>
      <c r="V58" s="946">
        <v>261</v>
      </c>
      <c r="W58" s="946">
        <v>0</v>
      </c>
      <c r="X58" s="946">
        <v>210</v>
      </c>
      <c r="Y58" s="947"/>
      <c r="Z58" s="946">
        <v>1273</v>
      </c>
      <c r="AA58" s="948">
        <v>121432</v>
      </c>
      <c r="AB58" s="946">
        <v>121.432</v>
      </c>
      <c r="AC58" s="974">
        <v>819.24099999999999</v>
      </c>
      <c r="AD58" s="946">
        <v>7595.7910000000002</v>
      </c>
      <c r="AE58" s="957" t="s">
        <v>5589</v>
      </c>
      <c r="AG58" s="957">
        <v>0</v>
      </c>
      <c r="AH58" s="955">
        <v>0</v>
      </c>
      <c r="AI58" s="425">
        <v>1</v>
      </c>
      <c r="AJ58" s="957">
        <v>0</v>
      </c>
      <c r="AL58" s="939">
        <v>0</v>
      </c>
      <c r="AM58" s="939">
        <v>0</v>
      </c>
      <c r="AN58" s="950">
        <v>3248.951</v>
      </c>
      <c r="AO58" s="946">
        <v>0.139326158514192</v>
      </c>
      <c r="AP58" s="946">
        <v>139</v>
      </c>
      <c r="AQ58" s="953"/>
      <c r="AR58" s="950"/>
      <c r="AS58" s="950">
        <v>240.261</v>
      </c>
    </row>
    <row r="59" spans="1:45" x14ac:dyDescent="0.3">
      <c r="A59" s="642" t="s">
        <v>249</v>
      </c>
      <c r="B59" s="642" t="s">
        <v>250</v>
      </c>
      <c r="C59" s="642" t="s">
        <v>248</v>
      </c>
      <c r="D59" s="642" t="s">
        <v>61</v>
      </c>
      <c r="F59" s="946">
        <v>-1</v>
      </c>
      <c r="H59" s="946">
        <v>0</v>
      </c>
      <c r="I59" s="939">
        <v>0</v>
      </c>
      <c r="J59" s="974">
        <v>0</v>
      </c>
      <c r="L59" s="946">
        <v>0</v>
      </c>
      <c r="M59" s="947"/>
      <c r="N59" s="946">
        <v>0</v>
      </c>
      <c r="P59" s="946">
        <v>0</v>
      </c>
      <c r="R59" s="946">
        <v>0</v>
      </c>
      <c r="S59" s="948">
        <v>0</v>
      </c>
      <c r="T59" s="946">
        <v>0</v>
      </c>
      <c r="V59" s="946">
        <v>646</v>
      </c>
      <c r="W59" s="946">
        <v>0</v>
      </c>
      <c r="X59" s="946">
        <v>323</v>
      </c>
      <c r="Y59" s="947"/>
      <c r="Z59" s="946">
        <v>1604</v>
      </c>
      <c r="AA59" s="948">
        <v>169863</v>
      </c>
      <c r="AB59" s="946">
        <v>169.863</v>
      </c>
      <c r="AC59" s="974">
        <v>861.00199999999995</v>
      </c>
      <c r="AD59" s="946">
        <v>12454.513000000001</v>
      </c>
      <c r="AE59" s="957">
        <v>1605</v>
      </c>
      <c r="AG59" s="957">
        <v>0</v>
      </c>
      <c r="AH59" s="955">
        <v>0</v>
      </c>
      <c r="AI59" s="425">
        <v>1</v>
      </c>
      <c r="AJ59" s="957">
        <v>0</v>
      </c>
      <c r="AL59" s="939">
        <v>0</v>
      </c>
      <c r="AM59" s="939">
        <v>0</v>
      </c>
      <c r="AN59" s="950">
        <v>4636.4868100000003</v>
      </c>
      <c r="AO59" s="946">
        <v>0.21443303701803801</v>
      </c>
      <c r="AP59" s="946">
        <v>214</v>
      </c>
      <c r="AQ59" s="953"/>
      <c r="AR59" s="950"/>
      <c r="AS59" s="950">
        <v>368.03</v>
      </c>
    </row>
    <row r="60" spans="1:45" x14ac:dyDescent="0.3">
      <c r="A60" s="642" t="s">
        <v>252</v>
      </c>
      <c r="B60" s="642" t="s">
        <v>253</v>
      </c>
      <c r="C60" s="642" t="s">
        <v>251</v>
      </c>
      <c r="D60" s="642" t="s">
        <v>61</v>
      </c>
      <c r="F60" s="946">
        <v>-1</v>
      </c>
      <c r="H60" s="946">
        <v>0</v>
      </c>
      <c r="I60" s="939">
        <v>0</v>
      </c>
      <c r="J60" s="974">
        <v>0</v>
      </c>
      <c r="L60" s="946">
        <v>0</v>
      </c>
      <c r="M60" s="947"/>
      <c r="N60" s="946">
        <v>193</v>
      </c>
      <c r="P60" s="946">
        <v>0</v>
      </c>
      <c r="R60" s="946">
        <v>0</v>
      </c>
      <c r="S60" s="948">
        <v>0</v>
      </c>
      <c r="T60" s="946">
        <v>0</v>
      </c>
      <c r="V60" s="946">
        <v>206</v>
      </c>
      <c r="W60" s="946">
        <v>0</v>
      </c>
      <c r="X60" s="946">
        <v>230</v>
      </c>
      <c r="Y60" s="947"/>
      <c r="Z60" s="946">
        <v>1373</v>
      </c>
      <c r="AA60" s="948">
        <v>125179</v>
      </c>
      <c r="AB60" s="946">
        <v>125.179</v>
      </c>
      <c r="AC60" s="974">
        <v>731.53700000000003</v>
      </c>
      <c r="AD60" s="946">
        <v>8545.1640000000007</v>
      </c>
      <c r="AE60" s="957">
        <v>0</v>
      </c>
      <c r="AG60" s="957">
        <v>1962</v>
      </c>
      <c r="AH60" s="955">
        <v>0</v>
      </c>
      <c r="AI60" s="425">
        <v>1</v>
      </c>
      <c r="AJ60" s="957">
        <v>0</v>
      </c>
      <c r="AL60" s="939">
        <v>0</v>
      </c>
      <c r="AM60" s="939">
        <v>0</v>
      </c>
      <c r="AN60" s="950">
        <v>208.21875</v>
      </c>
      <c r="AO60" s="946">
        <v>0.15257502566883899</v>
      </c>
      <c r="AP60" s="946">
        <v>153</v>
      </c>
      <c r="AQ60" s="953"/>
      <c r="AR60" s="950"/>
      <c r="AS60" s="950">
        <v>280.01400000000001</v>
      </c>
    </row>
    <row r="61" spans="1:45" x14ac:dyDescent="0.3">
      <c r="A61" s="642" t="s">
        <v>255</v>
      </c>
      <c r="B61" s="642" t="s">
        <v>256</v>
      </c>
      <c r="C61" s="642" t="s">
        <v>254</v>
      </c>
      <c r="D61" s="642" t="s">
        <v>61</v>
      </c>
      <c r="F61" s="946">
        <v>0</v>
      </c>
      <c r="H61" s="946">
        <v>0</v>
      </c>
      <c r="I61" s="939">
        <v>0</v>
      </c>
      <c r="J61" s="974">
        <v>0</v>
      </c>
      <c r="L61" s="946">
        <v>0</v>
      </c>
      <c r="M61" s="947"/>
      <c r="N61" s="946">
        <v>0</v>
      </c>
      <c r="P61" s="946">
        <v>0</v>
      </c>
      <c r="R61" s="946">
        <v>0</v>
      </c>
      <c r="S61" s="948">
        <v>0</v>
      </c>
      <c r="T61" s="946">
        <v>0</v>
      </c>
      <c r="V61" s="946">
        <v>363</v>
      </c>
      <c r="W61" s="946">
        <v>0</v>
      </c>
      <c r="X61" s="946">
        <v>156</v>
      </c>
      <c r="Y61" s="947"/>
      <c r="Z61" s="946">
        <v>141</v>
      </c>
      <c r="AA61" s="948">
        <v>78255</v>
      </c>
      <c r="AB61" s="946">
        <v>78.254999999999995</v>
      </c>
      <c r="AC61" s="974">
        <v>263.33699999999999</v>
      </c>
      <c r="AD61" s="946">
        <v>8797.2649999999994</v>
      </c>
      <c r="AE61" s="957">
        <v>3090</v>
      </c>
      <c r="AG61" s="957">
        <v>271</v>
      </c>
      <c r="AH61" s="955">
        <v>0</v>
      </c>
      <c r="AI61" s="425">
        <v>1</v>
      </c>
      <c r="AJ61" s="957">
        <v>0</v>
      </c>
      <c r="AL61" s="939">
        <v>0</v>
      </c>
      <c r="AM61" s="939">
        <v>0</v>
      </c>
      <c r="AN61" s="950">
        <v>1061.97495</v>
      </c>
      <c r="AO61" s="946">
        <v>0.10353667098441401</v>
      </c>
      <c r="AP61" s="946">
        <v>104</v>
      </c>
      <c r="AQ61" s="953"/>
      <c r="AR61" s="950"/>
      <c r="AS61" s="950">
        <v>163.90100000000001</v>
      </c>
    </row>
    <row r="62" spans="1:45" x14ac:dyDescent="0.3">
      <c r="A62" s="642" t="s">
        <v>258</v>
      </c>
      <c r="B62" s="642" t="s">
        <v>259</v>
      </c>
      <c r="C62" s="642" t="s">
        <v>257</v>
      </c>
      <c r="D62" s="642" t="s">
        <v>125</v>
      </c>
      <c r="F62" s="946">
        <v>-5</v>
      </c>
      <c r="H62" s="946">
        <v>0</v>
      </c>
      <c r="I62" s="939">
        <v>124917981</v>
      </c>
      <c r="J62" s="974">
        <v>124917.981</v>
      </c>
      <c r="L62" s="946">
        <v>13120</v>
      </c>
      <c r="M62" s="947"/>
      <c r="N62" s="946">
        <v>0</v>
      </c>
      <c r="P62" s="946">
        <v>6770</v>
      </c>
      <c r="R62" s="946">
        <v>2782</v>
      </c>
      <c r="S62" s="948">
        <v>415984</v>
      </c>
      <c r="T62" s="946">
        <v>415.98399999999998</v>
      </c>
      <c r="V62" s="946">
        <v>667</v>
      </c>
      <c r="W62" s="946">
        <v>585</v>
      </c>
      <c r="X62" s="946">
        <v>2218</v>
      </c>
      <c r="Y62" s="947"/>
      <c r="Z62" s="946">
        <v>7255</v>
      </c>
      <c r="AA62" s="948">
        <v>240770</v>
      </c>
      <c r="AB62" s="946">
        <v>240.77</v>
      </c>
      <c r="AC62" s="974">
        <v>14384.278</v>
      </c>
      <c r="AD62" s="946">
        <v>196908.30499999999</v>
      </c>
      <c r="AE62" s="957">
        <v>18897</v>
      </c>
      <c r="AG62" s="957">
        <v>0</v>
      </c>
      <c r="AH62" s="955">
        <v>0</v>
      </c>
      <c r="AI62" s="425">
        <v>1</v>
      </c>
      <c r="AJ62" s="957">
        <v>0</v>
      </c>
      <c r="AL62" s="939">
        <v>1</v>
      </c>
      <c r="AM62" s="939">
        <v>1</v>
      </c>
      <c r="AN62" s="950">
        <v>9721.0111799999995</v>
      </c>
      <c r="AO62" s="946">
        <v>0.299158415839064</v>
      </c>
      <c r="AP62" s="946">
        <v>299</v>
      </c>
      <c r="AQ62" s="953"/>
      <c r="AR62" s="950"/>
      <c r="AS62" s="950">
        <v>492.75900000000001</v>
      </c>
    </row>
    <row r="63" spans="1:45" x14ac:dyDescent="0.3">
      <c r="A63" s="642" t="s">
        <v>261</v>
      </c>
      <c r="B63" s="642" t="s">
        <v>262</v>
      </c>
      <c r="C63" s="642" t="s">
        <v>260</v>
      </c>
      <c r="D63" s="642" t="s">
        <v>61</v>
      </c>
      <c r="F63" s="946">
        <v>-174</v>
      </c>
      <c r="H63" s="946">
        <v>0</v>
      </c>
      <c r="I63" s="939">
        <v>0</v>
      </c>
      <c r="J63" s="974">
        <v>0</v>
      </c>
      <c r="L63" s="946">
        <v>0</v>
      </c>
      <c r="M63" s="947"/>
      <c r="N63" s="946">
        <v>0</v>
      </c>
      <c r="P63" s="946">
        <v>0</v>
      </c>
      <c r="R63" s="946">
        <v>0</v>
      </c>
      <c r="S63" s="948">
        <v>0</v>
      </c>
      <c r="T63" s="946">
        <v>0</v>
      </c>
      <c r="V63" s="946">
        <v>297</v>
      </c>
      <c r="W63" s="946">
        <v>0</v>
      </c>
      <c r="X63" s="946">
        <v>296</v>
      </c>
      <c r="Y63" s="947"/>
      <c r="Z63" s="946">
        <v>1631</v>
      </c>
      <c r="AA63" s="948">
        <v>132170</v>
      </c>
      <c r="AB63" s="946">
        <v>132.16999999999999</v>
      </c>
      <c r="AC63" s="974">
        <v>4250.1090000000004</v>
      </c>
      <c r="AD63" s="946">
        <v>13577.153</v>
      </c>
      <c r="AE63" s="957">
        <v>15182</v>
      </c>
      <c r="AG63" s="957">
        <v>0</v>
      </c>
      <c r="AH63" s="955">
        <v>0</v>
      </c>
      <c r="AI63" s="425">
        <v>1</v>
      </c>
      <c r="AJ63" s="957">
        <v>0</v>
      </c>
      <c r="AL63" s="939">
        <v>0</v>
      </c>
      <c r="AM63" s="939">
        <v>0</v>
      </c>
      <c r="AN63" s="950">
        <v>2696.3879999999999</v>
      </c>
      <c r="AO63" s="946">
        <v>1.0258742731844399</v>
      </c>
      <c r="AP63" s="946">
        <v>1026</v>
      </c>
      <c r="AQ63" s="953"/>
      <c r="AR63" s="950"/>
      <c r="AS63" s="950">
        <v>305.67200000000003</v>
      </c>
    </row>
    <row r="64" spans="1:45" x14ac:dyDescent="0.3">
      <c r="A64" s="642" t="s">
        <v>264</v>
      </c>
      <c r="B64" s="642" t="s">
        <v>265</v>
      </c>
      <c r="C64" s="642" t="s">
        <v>263</v>
      </c>
      <c r="D64" s="642" t="s">
        <v>61</v>
      </c>
      <c r="F64" s="946">
        <v>-1</v>
      </c>
      <c r="H64" s="946">
        <v>0</v>
      </c>
      <c r="I64" s="939">
        <v>0</v>
      </c>
      <c r="J64" s="974">
        <v>0</v>
      </c>
      <c r="L64" s="946">
        <v>0</v>
      </c>
      <c r="M64" s="947"/>
      <c r="N64" s="946">
        <v>0</v>
      </c>
      <c r="P64" s="946">
        <v>0</v>
      </c>
      <c r="R64" s="946">
        <v>0</v>
      </c>
      <c r="S64" s="948">
        <v>0</v>
      </c>
      <c r="T64" s="946">
        <v>0</v>
      </c>
      <c r="V64" s="946">
        <v>890</v>
      </c>
      <c r="W64" s="946">
        <v>0</v>
      </c>
      <c r="X64" s="946">
        <v>235</v>
      </c>
      <c r="Y64" s="947"/>
      <c r="Z64" s="946">
        <v>2155</v>
      </c>
      <c r="AA64" s="948">
        <v>128660</v>
      </c>
      <c r="AB64" s="946">
        <v>128.66</v>
      </c>
      <c r="AC64" s="974">
        <v>2940.835</v>
      </c>
      <c r="AD64" s="946">
        <v>17590.873</v>
      </c>
      <c r="AE64" s="957">
        <v>0</v>
      </c>
      <c r="AG64" s="957">
        <v>2155</v>
      </c>
      <c r="AH64" s="955">
        <v>0</v>
      </c>
      <c r="AI64" s="425">
        <v>1</v>
      </c>
      <c r="AJ64" s="957">
        <v>0</v>
      </c>
      <c r="AL64" s="939">
        <v>0</v>
      </c>
      <c r="AM64" s="939">
        <v>0</v>
      </c>
      <c r="AN64" s="950">
        <v>0</v>
      </c>
      <c r="AO64" s="946">
        <v>0.64480717410448496</v>
      </c>
      <c r="AP64" s="946">
        <v>645</v>
      </c>
      <c r="AQ64" s="953"/>
      <c r="AR64" s="950"/>
      <c r="AS64" s="950">
        <v>330.05099999999999</v>
      </c>
    </row>
    <row r="65" spans="1:45" x14ac:dyDescent="0.3">
      <c r="A65" s="642" t="s">
        <v>267</v>
      </c>
      <c r="B65" s="642" t="s">
        <v>268</v>
      </c>
      <c r="C65" s="642" t="s">
        <v>266</v>
      </c>
      <c r="D65" s="642" t="s">
        <v>61</v>
      </c>
      <c r="F65" s="946">
        <v>0</v>
      </c>
      <c r="H65" s="946">
        <v>0</v>
      </c>
      <c r="I65" s="939">
        <v>0</v>
      </c>
      <c r="J65" s="974">
        <v>0</v>
      </c>
      <c r="L65" s="946">
        <v>0</v>
      </c>
      <c r="M65" s="947"/>
      <c r="N65" s="946">
        <v>0</v>
      </c>
      <c r="P65" s="946">
        <v>0</v>
      </c>
      <c r="R65" s="946">
        <v>0</v>
      </c>
      <c r="S65" s="948">
        <v>0</v>
      </c>
      <c r="T65" s="946">
        <v>0</v>
      </c>
      <c r="V65" s="946">
        <v>372</v>
      </c>
      <c r="W65" s="946">
        <v>0</v>
      </c>
      <c r="X65" s="946">
        <v>196</v>
      </c>
      <c r="Y65" s="947"/>
      <c r="Z65" s="946">
        <v>638</v>
      </c>
      <c r="AA65" s="948">
        <v>121098</v>
      </c>
      <c r="AB65" s="946">
        <v>121.098</v>
      </c>
      <c r="AC65" s="974">
        <v>379.70058</v>
      </c>
      <c r="AD65" s="946">
        <v>10110.106</v>
      </c>
      <c r="AE65" s="957">
        <v>2323</v>
      </c>
      <c r="AG65" s="957">
        <v>0</v>
      </c>
      <c r="AH65" s="955">
        <v>0</v>
      </c>
      <c r="AI65" s="425">
        <v>1</v>
      </c>
      <c r="AJ65" s="957">
        <v>0</v>
      </c>
      <c r="AL65" s="939">
        <v>0</v>
      </c>
      <c r="AM65" s="939">
        <v>0</v>
      </c>
      <c r="AN65" s="950">
        <v>3142.8306799999996</v>
      </c>
      <c r="AO65" s="946">
        <v>0.129988047467677</v>
      </c>
      <c r="AP65" s="946">
        <v>130</v>
      </c>
      <c r="AQ65" s="953"/>
      <c r="AR65" s="950"/>
      <c r="AS65" s="950">
        <v>260.346</v>
      </c>
    </row>
    <row r="66" spans="1:45" x14ac:dyDescent="0.3">
      <c r="A66" s="642" t="s">
        <v>270</v>
      </c>
      <c r="B66" s="642" t="s">
        <v>271</v>
      </c>
      <c r="C66" s="642" t="s">
        <v>269</v>
      </c>
      <c r="D66" s="642" t="s">
        <v>61</v>
      </c>
      <c r="F66" s="946">
        <v>-121</v>
      </c>
      <c r="H66" s="946">
        <v>0</v>
      </c>
      <c r="I66" s="939">
        <v>0</v>
      </c>
      <c r="J66" s="974">
        <v>0</v>
      </c>
      <c r="L66" s="946">
        <v>0</v>
      </c>
      <c r="M66" s="947"/>
      <c r="N66" s="946">
        <v>0</v>
      </c>
      <c r="P66" s="946">
        <v>0</v>
      </c>
      <c r="R66" s="946">
        <v>0</v>
      </c>
      <c r="S66" s="948">
        <v>0</v>
      </c>
      <c r="T66" s="946">
        <v>0</v>
      </c>
      <c r="V66" s="946">
        <v>500</v>
      </c>
      <c r="W66" s="946">
        <v>0</v>
      </c>
      <c r="X66" s="946">
        <v>263</v>
      </c>
      <c r="Y66" s="947"/>
      <c r="Z66" s="946">
        <v>3462</v>
      </c>
      <c r="AA66" s="948">
        <v>115400</v>
      </c>
      <c r="AB66" s="946">
        <v>115.4</v>
      </c>
      <c r="AC66" s="974">
        <v>5762.5290000000005</v>
      </c>
      <c r="AD66" s="946">
        <v>13913.558999999999</v>
      </c>
      <c r="AE66" s="957">
        <v>0</v>
      </c>
      <c r="AG66" s="957">
        <v>4700</v>
      </c>
      <c r="AH66" s="955">
        <v>0</v>
      </c>
      <c r="AI66" s="425">
        <v>1</v>
      </c>
      <c r="AJ66" s="957">
        <v>0</v>
      </c>
      <c r="AL66" s="939">
        <v>0</v>
      </c>
      <c r="AM66" s="939">
        <v>0</v>
      </c>
      <c r="AN66" s="950">
        <v>2680.35</v>
      </c>
      <c r="AO66" s="946">
        <v>0.97265720099082598</v>
      </c>
      <c r="AP66" s="946">
        <v>973</v>
      </c>
      <c r="AQ66" s="953"/>
      <c r="AR66" s="950"/>
      <c r="AS66" s="950">
        <v>289.32499999999999</v>
      </c>
    </row>
    <row r="67" spans="1:45" x14ac:dyDescent="0.3">
      <c r="A67" s="642" t="s">
        <v>273</v>
      </c>
      <c r="B67" s="642" t="s">
        <v>274</v>
      </c>
      <c r="C67" s="642" t="s">
        <v>5414</v>
      </c>
      <c r="D67" s="642" t="s">
        <v>5408</v>
      </c>
      <c r="F67" s="946">
        <v>-4136</v>
      </c>
      <c r="H67" s="946">
        <v>0</v>
      </c>
      <c r="I67" s="939">
        <v>0</v>
      </c>
      <c r="J67" s="974">
        <v>0</v>
      </c>
      <c r="L67" s="946">
        <v>0</v>
      </c>
      <c r="M67" s="947"/>
      <c r="N67" s="946">
        <v>0</v>
      </c>
      <c r="P67" s="946">
        <v>0</v>
      </c>
      <c r="R67" s="946">
        <v>0</v>
      </c>
      <c r="S67" s="948">
        <v>0</v>
      </c>
      <c r="T67" s="946">
        <v>0</v>
      </c>
      <c r="V67" s="946">
        <v>0</v>
      </c>
      <c r="W67" s="946">
        <v>0</v>
      </c>
      <c r="X67" s="946">
        <v>653</v>
      </c>
      <c r="Y67" s="947"/>
      <c r="Z67" s="946">
        <v>0</v>
      </c>
      <c r="AA67" s="948">
        <v>0</v>
      </c>
      <c r="AB67" s="946">
        <v>0</v>
      </c>
      <c r="AC67" s="974">
        <v>0</v>
      </c>
      <c r="AD67" s="946">
        <v>31956.14</v>
      </c>
      <c r="AE67" s="957">
        <v>0</v>
      </c>
      <c r="AG67" s="957">
        <v>4727</v>
      </c>
      <c r="AH67" s="955">
        <v>0</v>
      </c>
      <c r="AI67" s="425">
        <v>0</v>
      </c>
      <c r="AJ67" s="957">
        <v>0</v>
      </c>
      <c r="AL67" s="939">
        <v>0</v>
      </c>
      <c r="AM67" s="939">
        <v>0</v>
      </c>
      <c r="AN67" s="950">
        <v>241.51126000000002</v>
      </c>
      <c r="AO67" s="946">
        <v>0</v>
      </c>
      <c r="AP67" s="946">
        <v>0</v>
      </c>
      <c r="AQ67" s="953"/>
      <c r="AR67" s="950"/>
      <c r="AS67" s="950">
        <v>0</v>
      </c>
    </row>
    <row r="68" spans="1:45" x14ac:dyDescent="0.3">
      <c r="A68" s="642" t="s">
        <v>276</v>
      </c>
      <c r="B68" s="642" t="s">
        <v>277</v>
      </c>
      <c r="C68" s="642" t="s">
        <v>275</v>
      </c>
      <c r="D68" s="642" t="s">
        <v>125</v>
      </c>
      <c r="F68" s="946">
        <v>-7</v>
      </c>
      <c r="H68" s="946">
        <v>0</v>
      </c>
      <c r="I68" s="939">
        <v>142805870</v>
      </c>
      <c r="J68" s="974">
        <v>142805.87</v>
      </c>
      <c r="L68" s="946">
        <v>17405</v>
      </c>
      <c r="M68" s="947"/>
      <c r="N68" s="946">
        <v>0</v>
      </c>
      <c r="P68" s="946">
        <v>11341</v>
      </c>
      <c r="R68" s="946">
        <v>8706</v>
      </c>
      <c r="S68" s="948">
        <v>860776</v>
      </c>
      <c r="T68" s="946">
        <v>860.77599999999995</v>
      </c>
      <c r="V68" s="946">
        <v>582</v>
      </c>
      <c r="W68" s="946">
        <v>979</v>
      </c>
      <c r="X68" s="946">
        <v>2932</v>
      </c>
      <c r="Y68" s="947"/>
      <c r="Z68" s="946">
        <v>6614</v>
      </c>
      <c r="AA68" s="948">
        <v>344897</v>
      </c>
      <c r="AB68" s="946">
        <v>344.89699999999999</v>
      </c>
      <c r="AC68" s="974">
        <v>9309.4959999999992</v>
      </c>
      <c r="AD68" s="946">
        <v>263990.84399999998</v>
      </c>
      <c r="AE68" s="957">
        <v>0</v>
      </c>
      <c r="AG68" s="957">
        <v>0</v>
      </c>
      <c r="AH68" s="955">
        <v>0</v>
      </c>
      <c r="AI68" s="425">
        <v>1</v>
      </c>
      <c r="AJ68" s="957">
        <v>0</v>
      </c>
      <c r="AL68" s="939">
        <v>1</v>
      </c>
      <c r="AM68" s="939">
        <v>1</v>
      </c>
      <c r="AN68" s="950">
        <v>2729.9215800000002</v>
      </c>
      <c r="AO68" s="946">
        <v>0.360137433271708</v>
      </c>
      <c r="AP68" s="946">
        <v>360</v>
      </c>
      <c r="AQ68" s="953"/>
      <c r="AR68" s="950"/>
      <c r="AS68" s="950">
        <v>736.41</v>
      </c>
    </row>
    <row r="69" spans="1:45" x14ac:dyDescent="0.3">
      <c r="A69" s="642" t="s">
        <v>279</v>
      </c>
      <c r="B69" s="642" t="s">
        <v>280</v>
      </c>
      <c r="C69" s="642" t="s">
        <v>278</v>
      </c>
      <c r="D69" s="642" t="s">
        <v>71</v>
      </c>
      <c r="F69" s="946">
        <v>0</v>
      </c>
      <c r="H69" s="946">
        <v>-137394</v>
      </c>
      <c r="I69" s="939">
        <v>0</v>
      </c>
      <c r="J69" s="974">
        <v>0</v>
      </c>
      <c r="L69" s="946">
        <v>0</v>
      </c>
      <c r="M69" s="947"/>
      <c r="N69" s="946">
        <v>0</v>
      </c>
      <c r="P69" s="946">
        <v>0</v>
      </c>
      <c r="R69" s="946">
        <v>0</v>
      </c>
      <c r="S69" s="948">
        <v>0</v>
      </c>
      <c r="T69" s="946">
        <v>0</v>
      </c>
      <c r="V69" s="946">
        <v>0</v>
      </c>
      <c r="W69" s="946">
        <v>0</v>
      </c>
      <c r="X69" s="946">
        <v>0</v>
      </c>
      <c r="Y69" s="947"/>
      <c r="Z69" s="946">
        <v>0</v>
      </c>
      <c r="AA69" s="948">
        <v>0</v>
      </c>
      <c r="AB69" s="946">
        <v>0</v>
      </c>
      <c r="AC69" s="974">
        <v>0</v>
      </c>
      <c r="AD69" s="946">
        <v>91219.127999999997</v>
      </c>
      <c r="AE69" s="957">
        <v>0</v>
      </c>
      <c r="AG69" s="957">
        <v>5086</v>
      </c>
      <c r="AH69" s="955">
        <v>0</v>
      </c>
      <c r="AI69" s="425">
        <v>0</v>
      </c>
      <c r="AJ69" s="957">
        <v>0</v>
      </c>
      <c r="AL69" s="939">
        <v>0</v>
      </c>
      <c r="AM69" s="939">
        <v>0</v>
      </c>
      <c r="AN69" s="950">
        <v>772.37750000000005</v>
      </c>
      <c r="AO69" s="946">
        <v>0</v>
      </c>
      <c r="AP69" s="946">
        <v>0</v>
      </c>
      <c r="AQ69" s="953"/>
      <c r="AR69" s="950"/>
      <c r="AS69" s="950">
        <v>0</v>
      </c>
    </row>
    <row r="70" spans="1:45" x14ac:dyDescent="0.3">
      <c r="A70" s="642" t="s">
        <v>282</v>
      </c>
      <c r="B70" s="642" t="s">
        <v>283</v>
      </c>
      <c r="C70" s="642" t="s">
        <v>5415</v>
      </c>
      <c r="D70" s="642" t="s">
        <v>125</v>
      </c>
      <c r="F70" s="946">
        <v>-3468</v>
      </c>
      <c r="H70" s="946">
        <v>0</v>
      </c>
      <c r="I70" s="939">
        <v>226490778</v>
      </c>
      <c r="J70" s="974">
        <v>226490.77799999999</v>
      </c>
      <c r="L70" s="946">
        <v>17187</v>
      </c>
      <c r="M70" s="947"/>
      <c r="N70" s="946">
        <v>0</v>
      </c>
      <c r="P70" s="946">
        <v>12029</v>
      </c>
      <c r="R70" s="946">
        <v>10825</v>
      </c>
      <c r="S70" s="948">
        <v>1498967</v>
      </c>
      <c r="T70" s="946">
        <v>1498.9670000000001</v>
      </c>
      <c r="V70" s="946">
        <v>844</v>
      </c>
      <c r="W70" s="946">
        <v>990</v>
      </c>
      <c r="X70" s="946">
        <v>3650</v>
      </c>
      <c r="Y70" s="947"/>
      <c r="Z70" s="946">
        <v>4765</v>
      </c>
      <c r="AA70" s="948">
        <v>358888</v>
      </c>
      <c r="AB70" s="946">
        <v>358.88799999999998</v>
      </c>
      <c r="AC70" s="974">
        <v>4252.2370000000001</v>
      </c>
      <c r="AD70" s="946">
        <v>218700.095</v>
      </c>
      <c r="AE70" s="957">
        <v>670</v>
      </c>
      <c r="AG70" s="957">
        <v>0</v>
      </c>
      <c r="AH70" s="955">
        <v>-1362</v>
      </c>
      <c r="AI70" s="425">
        <v>1</v>
      </c>
      <c r="AJ70" s="957">
        <v>-1362</v>
      </c>
      <c r="AL70" s="939">
        <v>1</v>
      </c>
      <c r="AM70" s="939">
        <v>1</v>
      </c>
      <c r="AN70" s="950">
        <v>8456.0098200000011</v>
      </c>
      <c r="AO70" s="946">
        <v>0.39450608895336498</v>
      </c>
      <c r="AP70" s="946">
        <v>395</v>
      </c>
      <c r="AQ70" s="953"/>
      <c r="AR70" s="950"/>
      <c r="AS70" s="950">
        <v>864.18</v>
      </c>
    </row>
    <row r="71" spans="1:45" x14ac:dyDescent="0.3">
      <c r="A71" s="642" t="s">
        <v>285</v>
      </c>
      <c r="B71" s="642" t="s">
        <v>286</v>
      </c>
      <c r="C71" s="642" t="s">
        <v>284</v>
      </c>
      <c r="D71" s="642" t="s">
        <v>61</v>
      </c>
      <c r="F71" s="946">
        <v>-458</v>
      </c>
      <c r="H71" s="946">
        <v>0</v>
      </c>
      <c r="I71" s="939">
        <v>0</v>
      </c>
      <c r="J71" s="974">
        <v>0</v>
      </c>
      <c r="L71" s="946">
        <v>0</v>
      </c>
      <c r="M71" s="947"/>
      <c r="N71" s="946">
        <v>0</v>
      </c>
      <c r="P71" s="946">
        <v>0</v>
      </c>
      <c r="R71" s="946">
        <v>0</v>
      </c>
      <c r="S71" s="948">
        <v>0</v>
      </c>
      <c r="T71" s="946">
        <v>0</v>
      </c>
      <c r="V71" s="946">
        <v>229</v>
      </c>
      <c r="W71" s="946">
        <v>0</v>
      </c>
      <c r="X71" s="946">
        <v>233</v>
      </c>
      <c r="Y71" s="947"/>
      <c r="Z71" s="946">
        <v>440</v>
      </c>
      <c r="AA71" s="948">
        <v>155867</v>
      </c>
      <c r="AB71" s="946">
        <v>155.86699999999999</v>
      </c>
      <c r="AC71" s="974">
        <v>499.625</v>
      </c>
      <c r="AD71" s="946">
        <v>5870.8019999999997</v>
      </c>
      <c r="AE71" s="957">
        <v>13573</v>
      </c>
      <c r="AG71" s="957">
        <v>0</v>
      </c>
      <c r="AH71" s="955">
        <v>0</v>
      </c>
      <c r="AI71" s="425">
        <v>1</v>
      </c>
      <c r="AJ71" s="957">
        <v>0</v>
      </c>
      <c r="AL71" s="939">
        <v>0</v>
      </c>
      <c r="AM71" s="939">
        <v>0</v>
      </c>
      <c r="AN71" s="950">
        <v>4679.2358599999998</v>
      </c>
      <c r="AO71" s="946">
        <v>0.154329080623824</v>
      </c>
      <c r="AP71" s="946">
        <v>154</v>
      </c>
      <c r="AQ71" s="953"/>
      <c r="AR71" s="950"/>
      <c r="AS71" s="950">
        <v>360.56200000000001</v>
      </c>
    </row>
    <row r="72" spans="1:45" x14ac:dyDescent="0.3">
      <c r="A72" s="642" t="s">
        <v>288</v>
      </c>
      <c r="B72" s="642" t="s">
        <v>289</v>
      </c>
      <c r="C72" s="642" t="s">
        <v>287</v>
      </c>
      <c r="D72" s="642" t="s">
        <v>61</v>
      </c>
      <c r="F72" s="946">
        <v>0</v>
      </c>
      <c r="H72" s="946">
        <v>0</v>
      </c>
      <c r="I72" s="939">
        <v>0</v>
      </c>
      <c r="J72" s="974">
        <v>0</v>
      </c>
      <c r="L72" s="946">
        <v>0</v>
      </c>
      <c r="M72" s="947"/>
      <c r="N72" s="946">
        <v>198</v>
      </c>
      <c r="P72" s="946">
        <v>0</v>
      </c>
      <c r="R72" s="946">
        <v>0</v>
      </c>
      <c r="S72" s="948">
        <v>0</v>
      </c>
      <c r="T72" s="946">
        <v>0</v>
      </c>
      <c r="V72" s="946">
        <v>385</v>
      </c>
      <c r="W72" s="946">
        <v>0</v>
      </c>
      <c r="X72" s="946">
        <v>155</v>
      </c>
      <c r="Y72" s="947"/>
      <c r="Z72" s="946">
        <v>1306</v>
      </c>
      <c r="AA72" s="948">
        <v>113767</v>
      </c>
      <c r="AB72" s="946">
        <v>113.767</v>
      </c>
      <c r="AC72" s="974">
        <v>3956.0529999999999</v>
      </c>
      <c r="AD72" s="946">
        <v>13633.31</v>
      </c>
      <c r="AE72" s="957">
        <v>0</v>
      </c>
      <c r="AG72" s="957">
        <v>9428</v>
      </c>
      <c r="AH72" s="955">
        <v>0</v>
      </c>
      <c r="AI72" s="425">
        <v>1</v>
      </c>
      <c r="AJ72" s="957">
        <v>0</v>
      </c>
      <c r="AL72" s="939">
        <v>0</v>
      </c>
      <c r="AM72" s="939">
        <v>0</v>
      </c>
      <c r="AN72" s="950">
        <v>0</v>
      </c>
      <c r="AO72" s="946">
        <v>0.10301827188330601</v>
      </c>
      <c r="AP72" s="946">
        <v>103</v>
      </c>
      <c r="AQ72" s="953"/>
      <c r="AR72" s="950"/>
      <c r="AS72" s="950">
        <v>255.32</v>
      </c>
    </row>
    <row r="73" spans="1:45" x14ac:dyDescent="0.3">
      <c r="A73" s="642" t="s">
        <v>291</v>
      </c>
      <c r="B73" s="642" t="s">
        <v>292</v>
      </c>
      <c r="C73" s="642" t="s">
        <v>290</v>
      </c>
      <c r="D73" s="642" t="s">
        <v>61</v>
      </c>
      <c r="F73" s="946">
        <v>0</v>
      </c>
      <c r="H73" s="946">
        <v>0</v>
      </c>
      <c r="I73" s="939">
        <v>0</v>
      </c>
      <c r="J73" s="974">
        <v>0</v>
      </c>
      <c r="L73" s="946">
        <v>0</v>
      </c>
      <c r="M73" s="947"/>
      <c r="N73" s="946">
        <v>0</v>
      </c>
      <c r="P73" s="946">
        <v>0</v>
      </c>
      <c r="R73" s="946">
        <v>0</v>
      </c>
      <c r="S73" s="948">
        <v>0</v>
      </c>
      <c r="T73" s="946">
        <v>0</v>
      </c>
      <c r="V73" s="946">
        <v>168</v>
      </c>
      <c r="W73" s="946">
        <v>0</v>
      </c>
      <c r="X73" s="946">
        <v>203</v>
      </c>
      <c r="Y73" s="947"/>
      <c r="Z73" s="946">
        <v>886</v>
      </c>
      <c r="AA73" s="948">
        <v>105646</v>
      </c>
      <c r="AB73" s="946">
        <v>105.646</v>
      </c>
      <c r="AC73" s="974">
        <v>788.31799999999998</v>
      </c>
      <c r="AD73" s="946">
        <v>8396.9050000000007</v>
      </c>
      <c r="AE73" s="957">
        <v>0</v>
      </c>
      <c r="AG73" s="957">
        <v>0</v>
      </c>
      <c r="AH73" s="955">
        <v>0</v>
      </c>
      <c r="AI73" s="425">
        <v>1</v>
      </c>
      <c r="AJ73" s="957">
        <v>0</v>
      </c>
      <c r="AL73" s="939">
        <v>0</v>
      </c>
      <c r="AM73" s="939">
        <v>0</v>
      </c>
      <c r="AN73" s="950">
        <v>1553.5196100000001</v>
      </c>
      <c r="AO73" s="946">
        <v>0.50644240110213101</v>
      </c>
      <c r="AP73" s="946">
        <v>506</v>
      </c>
      <c r="AQ73" s="953"/>
      <c r="AR73" s="950"/>
      <c r="AS73" s="950">
        <v>245.637</v>
      </c>
    </row>
    <row r="74" spans="1:45" x14ac:dyDescent="0.3">
      <c r="A74" s="642" t="s">
        <v>294</v>
      </c>
      <c r="B74" s="642" t="s">
        <v>295</v>
      </c>
      <c r="C74" s="642" t="s">
        <v>293</v>
      </c>
      <c r="D74" s="642" t="s">
        <v>1940</v>
      </c>
      <c r="F74" s="946">
        <v>-6505</v>
      </c>
      <c r="H74" s="946">
        <v>-62336</v>
      </c>
      <c r="I74" s="939">
        <v>0</v>
      </c>
      <c r="J74" s="974">
        <v>0</v>
      </c>
      <c r="L74" s="946">
        <v>1703</v>
      </c>
      <c r="M74" s="947"/>
      <c r="N74" s="946">
        <v>0</v>
      </c>
      <c r="P74" s="946">
        <v>381</v>
      </c>
      <c r="R74" s="946">
        <v>324</v>
      </c>
      <c r="S74" s="948">
        <v>7217</v>
      </c>
      <c r="T74" s="946">
        <v>7.2169999999999996</v>
      </c>
      <c r="V74" s="946">
        <v>135</v>
      </c>
      <c r="W74" s="946">
        <v>33</v>
      </c>
      <c r="X74" s="946">
        <v>1149</v>
      </c>
      <c r="Y74" s="947"/>
      <c r="Z74" s="946">
        <v>1017</v>
      </c>
      <c r="AA74" s="948">
        <v>7249</v>
      </c>
      <c r="AB74" s="946">
        <v>7.2489999999999997</v>
      </c>
      <c r="AC74" s="974">
        <v>338.02499999999998</v>
      </c>
      <c r="AD74" s="946">
        <v>7952.2539999999999</v>
      </c>
      <c r="AE74" s="957">
        <v>82</v>
      </c>
      <c r="AG74" s="957">
        <v>65581</v>
      </c>
      <c r="AH74" s="955">
        <v>0</v>
      </c>
      <c r="AI74" s="425">
        <v>1</v>
      </c>
      <c r="AJ74" s="957">
        <v>0</v>
      </c>
      <c r="AL74" s="939">
        <v>1</v>
      </c>
      <c r="AM74" s="939">
        <v>1</v>
      </c>
      <c r="AN74" s="950">
        <v>0</v>
      </c>
      <c r="AO74" s="946">
        <v>0.33725803511118102</v>
      </c>
      <c r="AP74" s="946">
        <v>337</v>
      </c>
      <c r="AQ74" s="953"/>
      <c r="AR74" s="950"/>
      <c r="AS74" s="950">
        <v>44.536999999999999</v>
      </c>
    </row>
    <row r="75" spans="1:45" x14ac:dyDescent="0.3">
      <c r="A75" s="642" t="s">
        <v>874</v>
      </c>
      <c r="B75" s="642" t="s">
        <v>875</v>
      </c>
      <c r="C75" s="642" t="s">
        <v>5416</v>
      </c>
      <c r="D75" s="642" t="s">
        <v>125</v>
      </c>
      <c r="F75" s="946">
        <v>-26685</v>
      </c>
      <c r="H75" s="946">
        <v>0</v>
      </c>
      <c r="I75" s="939">
        <v>128642442</v>
      </c>
      <c r="J75" s="974">
        <v>128642.442</v>
      </c>
      <c r="L75" s="946">
        <v>35459</v>
      </c>
      <c r="M75" s="947"/>
      <c r="N75" s="946">
        <v>0</v>
      </c>
      <c r="P75" s="946">
        <v>17328</v>
      </c>
      <c r="R75" s="946">
        <v>16603</v>
      </c>
      <c r="S75" s="948">
        <v>702109</v>
      </c>
      <c r="T75" s="946">
        <v>702.10900000000004</v>
      </c>
      <c r="V75" s="946">
        <v>1337</v>
      </c>
      <c r="W75" s="946">
        <v>1046</v>
      </c>
      <c r="X75" s="946">
        <v>6658</v>
      </c>
      <c r="Y75" s="947"/>
      <c r="Z75" s="946">
        <v>2546</v>
      </c>
      <c r="AA75" s="948">
        <v>545314</v>
      </c>
      <c r="AB75" s="946">
        <v>545.31399999999996</v>
      </c>
      <c r="AC75" s="974">
        <v>0</v>
      </c>
      <c r="AD75" s="946">
        <v>132062.31200000001</v>
      </c>
      <c r="AE75" s="957">
        <v>46100</v>
      </c>
      <c r="AG75" s="957">
        <v>0</v>
      </c>
      <c r="AH75" s="955">
        <v>0</v>
      </c>
      <c r="AI75" s="425">
        <v>1</v>
      </c>
      <c r="AJ75" s="957">
        <v>0</v>
      </c>
      <c r="AL75" s="939">
        <v>1</v>
      </c>
      <c r="AM75" s="939">
        <v>1</v>
      </c>
      <c r="AN75" s="950">
        <v>28637.276670000003</v>
      </c>
      <c r="AO75" s="946">
        <v>0.73381583088682101</v>
      </c>
      <c r="AP75" s="946">
        <v>734</v>
      </c>
      <c r="AQ75" s="953"/>
      <c r="AR75" s="950"/>
      <c r="AS75" s="950">
        <v>1283.856</v>
      </c>
    </row>
    <row r="76" spans="1:45" x14ac:dyDescent="0.3">
      <c r="A76" s="642" t="s">
        <v>297</v>
      </c>
      <c r="B76" s="642" t="s">
        <v>298</v>
      </c>
      <c r="C76" s="642" t="s">
        <v>5417</v>
      </c>
      <c r="D76" s="642" t="s">
        <v>5408</v>
      </c>
      <c r="F76" s="946">
        <v>-5517</v>
      </c>
      <c r="H76" s="946">
        <v>0</v>
      </c>
      <c r="I76" s="939">
        <v>0</v>
      </c>
      <c r="J76" s="974">
        <v>0</v>
      </c>
      <c r="L76" s="946">
        <v>0</v>
      </c>
      <c r="M76" s="947"/>
      <c r="N76" s="946">
        <v>0</v>
      </c>
      <c r="P76" s="946">
        <v>0</v>
      </c>
      <c r="R76" s="946">
        <v>0</v>
      </c>
      <c r="S76" s="948">
        <v>0</v>
      </c>
      <c r="T76" s="946">
        <v>0</v>
      </c>
      <c r="V76" s="946">
        <v>0</v>
      </c>
      <c r="W76" s="946">
        <v>0</v>
      </c>
      <c r="X76" s="946">
        <v>646</v>
      </c>
      <c r="Y76" s="947"/>
      <c r="Z76" s="946">
        <v>0</v>
      </c>
      <c r="AA76" s="948">
        <v>0</v>
      </c>
      <c r="AB76" s="946">
        <v>0</v>
      </c>
      <c r="AC76" s="974">
        <v>0</v>
      </c>
      <c r="AD76" s="946">
        <v>12943.761</v>
      </c>
      <c r="AE76" s="957">
        <v>0</v>
      </c>
      <c r="AG76" s="957">
        <v>0</v>
      </c>
      <c r="AH76" s="955">
        <v>0</v>
      </c>
      <c r="AI76" s="425">
        <v>0</v>
      </c>
      <c r="AJ76" s="957">
        <v>0</v>
      </c>
      <c r="AL76" s="939">
        <v>0</v>
      </c>
      <c r="AM76" s="939">
        <v>0</v>
      </c>
      <c r="AN76" s="950">
        <v>203.14923999999999</v>
      </c>
      <c r="AO76" s="946">
        <v>0</v>
      </c>
      <c r="AP76" s="946">
        <v>0</v>
      </c>
      <c r="AQ76" s="953"/>
      <c r="AR76" s="950"/>
      <c r="AS76" s="950">
        <v>0</v>
      </c>
    </row>
    <row r="77" spans="1:45" x14ac:dyDescent="0.3">
      <c r="A77" s="642" t="s">
        <v>300</v>
      </c>
      <c r="B77" s="642" t="s">
        <v>301</v>
      </c>
      <c r="C77" s="642" t="s">
        <v>299</v>
      </c>
      <c r="D77" s="642" t="s">
        <v>71</v>
      </c>
      <c r="F77" s="946">
        <v>0</v>
      </c>
      <c r="H77" s="946">
        <v>-110489</v>
      </c>
      <c r="I77" s="939">
        <v>0</v>
      </c>
      <c r="J77" s="974">
        <v>0</v>
      </c>
      <c r="L77" s="946">
        <v>0</v>
      </c>
      <c r="M77" s="947"/>
      <c r="N77" s="946">
        <v>0</v>
      </c>
      <c r="P77" s="946">
        <v>0</v>
      </c>
      <c r="R77" s="946">
        <v>0</v>
      </c>
      <c r="S77" s="948">
        <v>0</v>
      </c>
      <c r="T77" s="946">
        <v>0</v>
      </c>
      <c r="V77" s="946">
        <v>0</v>
      </c>
      <c r="W77" s="946">
        <v>0</v>
      </c>
      <c r="X77" s="946">
        <v>0</v>
      </c>
      <c r="Y77" s="947"/>
      <c r="Z77" s="946">
        <v>0</v>
      </c>
      <c r="AA77" s="948">
        <v>0</v>
      </c>
      <c r="AB77" s="946">
        <v>0</v>
      </c>
      <c r="AC77" s="974">
        <v>0</v>
      </c>
      <c r="AD77" s="946">
        <v>43598.62</v>
      </c>
      <c r="AE77" s="957">
        <v>0</v>
      </c>
      <c r="AG77" s="957">
        <v>0</v>
      </c>
      <c r="AH77" s="955">
        <v>0</v>
      </c>
      <c r="AI77" s="425">
        <v>0</v>
      </c>
      <c r="AJ77" s="957">
        <v>0</v>
      </c>
      <c r="AL77" s="939">
        <v>0</v>
      </c>
      <c r="AM77" s="939">
        <v>0</v>
      </c>
      <c r="AN77" s="950">
        <v>605.68856000000005</v>
      </c>
      <c r="AO77" s="946">
        <v>0</v>
      </c>
      <c r="AP77" s="946">
        <v>0</v>
      </c>
      <c r="AQ77" s="953"/>
      <c r="AR77" s="950"/>
      <c r="AS77" s="950">
        <v>0</v>
      </c>
    </row>
    <row r="78" spans="1:45" x14ac:dyDescent="0.3">
      <c r="A78" s="642" t="s">
        <v>303</v>
      </c>
      <c r="B78" s="642" t="s">
        <v>304</v>
      </c>
      <c r="C78" s="642" t="s">
        <v>302</v>
      </c>
      <c r="D78" s="642" t="s">
        <v>61</v>
      </c>
      <c r="F78" s="946">
        <v>-1</v>
      </c>
      <c r="H78" s="946">
        <v>0</v>
      </c>
      <c r="I78" s="939">
        <v>0</v>
      </c>
      <c r="J78" s="974">
        <v>0</v>
      </c>
      <c r="L78" s="946">
        <v>0</v>
      </c>
      <c r="M78" s="947"/>
      <c r="N78" s="946">
        <v>0</v>
      </c>
      <c r="P78" s="946">
        <v>0</v>
      </c>
      <c r="R78" s="946">
        <v>0</v>
      </c>
      <c r="S78" s="948">
        <v>0</v>
      </c>
      <c r="T78" s="946">
        <v>0</v>
      </c>
      <c r="V78" s="946">
        <v>925</v>
      </c>
      <c r="W78" s="946">
        <v>0</v>
      </c>
      <c r="X78" s="946">
        <v>298</v>
      </c>
      <c r="Y78" s="947"/>
      <c r="Z78" s="946">
        <v>1954</v>
      </c>
      <c r="AA78" s="948">
        <v>159493</v>
      </c>
      <c r="AB78" s="946">
        <v>159.49299999999999</v>
      </c>
      <c r="AC78" s="974">
        <v>2187.3809999999999</v>
      </c>
      <c r="AD78" s="946">
        <v>15487.380999999999</v>
      </c>
      <c r="AE78" s="957">
        <v>4555</v>
      </c>
      <c r="AG78" s="957">
        <v>570</v>
      </c>
      <c r="AH78" s="955">
        <v>0</v>
      </c>
      <c r="AI78" s="425">
        <v>1</v>
      </c>
      <c r="AJ78" s="957">
        <v>0</v>
      </c>
      <c r="AL78" s="939">
        <v>0</v>
      </c>
      <c r="AM78" s="939">
        <v>0</v>
      </c>
      <c r="AN78" s="950">
        <v>4334.8944000000001</v>
      </c>
      <c r="AO78" s="946">
        <v>0.19794395023091199</v>
      </c>
      <c r="AP78" s="946">
        <v>198</v>
      </c>
      <c r="AQ78" s="953"/>
      <c r="AR78" s="950"/>
      <c r="AS78" s="950">
        <v>421.53899999999999</v>
      </c>
    </row>
    <row r="79" spans="1:45" x14ac:dyDescent="0.3">
      <c r="A79" s="642" t="s">
        <v>306</v>
      </c>
      <c r="B79" s="642" t="s">
        <v>307</v>
      </c>
      <c r="C79" s="642" t="s">
        <v>305</v>
      </c>
      <c r="D79" s="642" t="s">
        <v>61</v>
      </c>
      <c r="F79" s="946">
        <v>-41</v>
      </c>
      <c r="H79" s="946">
        <v>0</v>
      </c>
      <c r="I79" s="939">
        <v>0</v>
      </c>
      <c r="J79" s="974">
        <v>0</v>
      </c>
      <c r="L79" s="946">
        <v>0</v>
      </c>
      <c r="M79" s="947"/>
      <c r="N79" s="946">
        <v>51</v>
      </c>
      <c r="P79" s="946">
        <v>0</v>
      </c>
      <c r="R79" s="946">
        <v>0</v>
      </c>
      <c r="S79" s="948">
        <v>0</v>
      </c>
      <c r="T79" s="946">
        <v>0</v>
      </c>
      <c r="V79" s="946">
        <v>131</v>
      </c>
      <c r="W79" s="946">
        <v>0</v>
      </c>
      <c r="X79" s="946">
        <v>174</v>
      </c>
      <c r="Y79" s="947"/>
      <c r="Z79" s="946">
        <v>218</v>
      </c>
      <c r="AA79" s="948">
        <v>101574</v>
      </c>
      <c r="AB79" s="946">
        <v>101.574</v>
      </c>
      <c r="AC79" s="974">
        <v>1190.9110000000001</v>
      </c>
      <c r="AD79" s="946">
        <v>5748.2860000000001</v>
      </c>
      <c r="AE79" s="957">
        <v>0</v>
      </c>
      <c r="AG79" s="957">
        <v>0</v>
      </c>
      <c r="AH79" s="955">
        <v>-2311</v>
      </c>
      <c r="AI79" s="425">
        <v>1</v>
      </c>
      <c r="AJ79" s="957">
        <v>-1500</v>
      </c>
      <c r="AL79" s="939">
        <v>0</v>
      </c>
      <c r="AM79" s="939">
        <v>0</v>
      </c>
      <c r="AN79" s="950">
        <v>0</v>
      </c>
      <c r="AO79" s="946">
        <v>0.11536713214685899</v>
      </c>
      <c r="AP79" s="946">
        <v>115</v>
      </c>
      <c r="AQ79" s="953"/>
      <c r="AR79" s="950"/>
      <c r="AS79" s="950">
        <v>205.17400000000001</v>
      </c>
    </row>
    <row r="80" spans="1:45" x14ac:dyDescent="0.3">
      <c r="A80" s="642" t="s">
        <v>309</v>
      </c>
      <c r="B80" s="642" t="s">
        <v>310</v>
      </c>
      <c r="C80" s="642" t="s">
        <v>308</v>
      </c>
      <c r="D80" s="642" t="s">
        <v>125</v>
      </c>
      <c r="F80" s="946">
        <v>0</v>
      </c>
      <c r="H80" s="946">
        <v>0</v>
      </c>
      <c r="I80" s="939">
        <v>162554665</v>
      </c>
      <c r="J80" s="974">
        <v>162554.66500000001</v>
      </c>
      <c r="L80" s="946">
        <v>27080</v>
      </c>
      <c r="M80" s="947"/>
      <c r="N80" s="946">
        <v>0</v>
      </c>
      <c r="P80" s="946">
        <v>26110</v>
      </c>
      <c r="R80" s="946">
        <v>24356</v>
      </c>
      <c r="S80" s="948">
        <v>2592142</v>
      </c>
      <c r="T80" s="946">
        <v>2592.1419999999998</v>
      </c>
      <c r="V80" s="946">
        <v>1784</v>
      </c>
      <c r="W80" s="946">
        <v>1886</v>
      </c>
      <c r="X80" s="946">
        <v>7730</v>
      </c>
      <c r="Y80" s="947"/>
      <c r="Z80" s="946">
        <v>6905</v>
      </c>
      <c r="AA80" s="948">
        <v>664091</v>
      </c>
      <c r="AB80" s="946">
        <v>664.09100000000001</v>
      </c>
      <c r="AC80" s="974">
        <v>29490.274000000001</v>
      </c>
      <c r="AD80" s="946">
        <v>378191.68300000002</v>
      </c>
      <c r="AE80" s="957">
        <v>18352</v>
      </c>
      <c r="AG80" s="957">
        <v>30544</v>
      </c>
      <c r="AH80" s="955">
        <v>0</v>
      </c>
      <c r="AI80" s="425">
        <v>1</v>
      </c>
      <c r="AJ80" s="957">
        <v>0</v>
      </c>
      <c r="AL80" s="939">
        <v>1</v>
      </c>
      <c r="AM80" s="939">
        <v>1</v>
      </c>
      <c r="AN80" s="950">
        <v>15370.693499999999</v>
      </c>
      <c r="AO80" s="946">
        <v>0.72764080030286804</v>
      </c>
      <c r="AP80" s="946">
        <v>728</v>
      </c>
      <c r="AQ80" s="953"/>
      <c r="AR80" s="950"/>
      <c r="AS80" s="950">
        <v>1595.325</v>
      </c>
    </row>
    <row r="81" spans="1:45" x14ac:dyDescent="0.3">
      <c r="A81" s="642" t="s">
        <v>312</v>
      </c>
      <c r="B81" s="642" t="s">
        <v>313</v>
      </c>
      <c r="C81" s="642" t="s">
        <v>311</v>
      </c>
      <c r="D81" s="642" t="s">
        <v>61</v>
      </c>
      <c r="F81" s="946">
        <v>0</v>
      </c>
      <c r="H81" s="946">
        <v>0</v>
      </c>
      <c r="I81" s="939">
        <v>0</v>
      </c>
      <c r="J81" s="974">
        <v>0</v>
      </c>
      <c r="L81" s="946">
        <v>0</v>
      </c>
      <c r="M81" s="947"/>
      <c r="N81" s="946">
        <v>632</v>
      </c>
      <c r="P81" s="946">
        <v>0</v>
      </c>
      <c r="R81" s="946">
        <v>0</v>
      </c>
      <c r="S81" s="948">
        <v>0</v>
      </c>
      <c r="T81" s="946">
        <v>0</v>
      </c>
      <c r="V81" s="946">
        <v>139</v>
      </c>
      <c r="W81" s="946">
        <v>0</v>
      </c>
      <c r="X81" s="946">
        <v>129</v>
      </c>
      <c r="Y81" s="947"/>
      <c r="Z81" s="946">
        <v>810</v>
      </c>
      <c r="AA81" s="948">
        <v>72340</v>
      </c>
      <c r="AB81" s="946">
        <v>72.34</v>
      </c>
      <c r="AC81" s="974">
        <v>3861.0140000000001</v>
      </c>
      <c r="AD81" s="946">
        <v>9933.8520000000008</v>
      </c>
      <c r="AE81" s="957">
        <v>0</v>
      </c>
      <c r="AG81" s="957">
        <v>200</v>
      </c>
      <c r="AH81" s="955">
        <v>0</v>
      </c>
      <c r="AI81" s="425">
        <v>1</v>
      </c>
      <c r="AJ81" s="957">
        <v>0</v>
      </c>
      <c r="AL81" s="939">
        <v>0</v>
      </c>
      <c r="AM81" s="939">
        <v>0</v>
      </c>
      <c r="AN81" s="950">
        <v>0</v>
      </c>
      <c r="AO81" s="946">
        <v>1.43501831130741</v>
      </c>
      <c r="AP81" s="946">
        <v>1435</v>
      </c>
      <c r="AQ81" s="953"/>
      <c r="AR81" s="950"/>
      <c r="AS81" s="950">
        <v>159.63800000000001</v>
      </c>
    </row>
    <row r="82" spans="1:45" x14ac:dyDescent="0.3">
      <c r="A82" s="642" t="s">
        <v>315</v>
      </c>
      <c r="B82" s="642" t="s">
        <v>316</v>
      </c>
      <c r="C82" s="642" t="s">
        <v>314</v>
      </c>
      <c r="D82" s="642" t="s">
        <v>97</v>
      </c>
      <c r="F82" s="946">
        <v>0</v>
      </c>
      <c r="H82" s="946">
        <v>0</v>
      </c>
      <c r="I82" s="939">
        <v>173917535</v>
      </c>
      <c r="J82" s="974">
        <v>173917.535</v>
      </c>
      <c r="L82" s="946">
        <v>23205</v>
      </c>
      <c r="M82" s="947"/>
      <c r="N82" s="946">
        <v>0</v>
      </c>
      <c r="P82" s="946">
        <v>16250</v>
      </c>
      <c r="R82" s="946">
        <v>15787</v>
      </c>
      <c r="S82" s="948">
        <v>2323257</v>
      </c>
      <c r="T82" s="946">
        <v>2323.2570000000001</v>
      </c>
      <c r="V82" s="946">
        <v>1332</v>
      </c>
      <c r="W82" s="946">
        <v>1047</v>
      </c>
      <c r="X82" s="946">
        <v>5574</v>
      </c>
      <c r="Y82" s="947"/>
      <c r="Z82" s="946">
        <v>2185</v>
      </c>
      <c r="AA82" s="948">
        <v>477512</v>
      </c>
      <c r="AB82" s="946">
        <v>477.512</v>
      </c>
      <c r="AC82" s="974">
        <v>43.527000000000001</v>
      </c>
      <c r="AD82" s="946">
        <v>153394.44099999999</v>
      </c>
      <c r="AE82" s="957">
        <v>0</v>
      </c>
      <c r="AG82" s="957">
        <v>6506</v>
      </c>
      <c r="AH82" s="955">
        <v>0</v>
      </c>
      <c r="AI82" s="425">
        <v>1</v>
      </c>
      <c r="AJ82" s="957">
        <v>0</v>
      </c>
      <c r="AL82" s="939">
        <v>1</v>
      </c>
      <c r="AM82" s="939">
        <v>1</v>
      </c>
      <c r="AN82" s="950">
        <v>8851.8471599999993</v>
      </c>
      <c r="AO82" s="946">
        <v>0.60271315973964401</v>
      </c>
      <c r="AP82" s="946">
        <v>603</v>
      </c>
      <c r="AQ82" s="953"/>
      <c r="AR82" s="950"/>
      <c r="AS82" s="950">
        <v>1012.665</v>
      </c>
    </row>
    <row r="83" spans="1:45" x14ac:dyDescent="0.3">
      <c r="A83" s="642" t="s">
        <v>318</v>
      </c>
      <c r="B83" s="642" t="s">
        <v>319</v>
      </c>
      <c r="C83" s="642" t="s">
        <v>317</v>
      </c>
      <c r="D83" s="642" t="s">
        <v>61</v>
      </c>
      <c r="F83" s="946">
        <v>0</v>
      </c>
      <c r="H83" s="946">
        <v>0</v>
      </c>
      <c r="I83" s="939">
        <v>0</v>
      </c>
      <c r="J83" s="974">
        <v>0</v>
      </c>
      <c r="L83" s="946">
        <v>0</v>
      </c>
      <c r="M83" s="947"/>
      <c r="N83" s="946">
        <v>294</v>
      </c>
      <c r="P83" s="946">
        <v>0</v>
      </c>
      <c r="R83" s="946">
        <v>0</v>
      </c>
      <c r="S83" s="948">
        <v>0</v>
      </c>
      <c r="T83" s="946">
        <v>0</v>
      </c>
      <c r="V83" s="946">
        <v>82</v>
      </c>
      <c r="W83" s="946">
        <v>0</v>
      </c>
      <c r="X83" s="946">
        <v>102</v>
      </c>
      <c r="Y83" s="947"/>
      <c r="Z83" s="946">
        <v>292</v>
      </c>
      <c r="AA83" s="948">
        <v>41931</v>
      </c>
      <c r="AB83" s="946">
        <v>41.930999999999997</v>
      </c>
      <c r="AC83" s="974">
        <v>1484.7090000000001</v>
      </c>
      <c r="AD83" s="946">
        <v>5834.4229999999998</v>
      </c>
      <c r="AE83" s="957">
        <v>0</v>
      </c>
      <c r="AG83" s="957">
        <v>1899</v>
      </c>
      <c r="AH83" s="955">
        <v>0</v>
      </c>
      <c r="AI83" s="425">
        <v>1</v>
      </c>
      <c r="AJ83" s="957">
        <v>0</v>
      </c>
      <c r="AL83" s="939">
        <v>0</v>
      </c>
      <c r="AM83" s="939">
        <v>0</v>
      </c>
      <c r="AN83" s="950">
        <v>241.25899999999999</v>
      </c>
      <c r="AO83" s="946">
        <v>6.7958990438192493E-2</v>
      </c>
      <c r="AP83" s="946">
        <v>68</v>
      </c>
      <c r="AQ83" s="953"/>
      <c r="AR83" s="950"/>
      <c r="AS83" s="950">
        <v>95.927000000000007</v>
      </c>
    </row>
    <row r="84" spans="1:45" x14ac:dyDescent="0.3">
      <c r="A84" s="642" t="s">
        <v>321</v>
      </c>
      <c r="B84" s="642" t="s">
        <v>322</v>
      </c>
      <c r="C84" s="642" t="s">
        <v>320</v>
      </c>
      <c r="D84" s="642" t="s">
        <v>61</v>
      </c>
      <c r="F84" s="946">
        <v>-63</v>
      </c>
      <c r="H84" s="946">
        <v>0</v>
      </c>
      <c r="I84" s="939">
        <v>0</v>
      </c>
      <c r="J84" s="974">
        <v>0</v>
      </c>
      <c r="L84" s="946">
        <v>0</v>
      </c>
      <c r="M84" s="947"/>
      <c r="N84" s="946">
        <v>0</v>
      </c>
      <c r="P84" s="946">
        <v>0</v>
      </c>
      <c r="R84" s="946">
        <v>0</v>
      </c>
      <c r="S84" s="948">
        <v>0</v>
      </c>
      <c r="T84" s="946">
        <v>0</v>
      </c>
      <c r="V84" s="946">
        <v>884</v>
      </c>
      <c r="W84" s="946">
        <v>0</v>
      </c>
      <c r="X84" s="946">
        <v>251</v>
      </c>
      <c r="Y84" s="947"/>
      <c r="Z84" s="946">
        <v>606</v>
      </c>
      <c r="AA84" s="948">
        <v>142570</v>
      </c>
      <c r="AB84" s="946">
        <v>142.57</v>
      </c>
      <c r="AC84" s="974">
        <v>0</v>
      </c>
      <c r="AD84" s="946">
        <v>7823.5370000000003</v>
      </c>
      <c r="AE84" s="957">
        <v>3198</v>
      </c>
      <c r="AG84" s="957">
        <v>700</v>
      </c>
      <c r="AH84" s="955">
        <v>0</v>
      </c>
      <c r="AI84" s="425">
        <v>1</v>
      </c>
      <c r="AJ84" s="957">
        <v>0</v>
      </c>
      <c r="AL84" s="939">
        <v>0</v>
      </c>
      <c r="AM84" s="939">
        <v>0</v>
      </c>
      <c r="AN84" s="950">
        <v>8303.8449999999993</v>
      </c>
      <c r="AO84" s="946">
        <v>0.195567035558943</v>
      </c>
      <c r="AP84" s="946">
        <v>196</v>
      </c>
      <c r="AQ84" s="953"/>
      <c r="AR84" s="950"/>
      <c r="AS84" s="950">
        <v>344.59500000000003</v>
      </c>
    </row>
    <row r="85" spans="1:45" x14ac:dyDescent="0.3">
      <c r="A85" s="642" t="s">
        <v>324</v>
      </c>
      <c r="B85" s="642" t="s">
        <v>325</v>
      </c>
      <c r="C85" s="642" t="s">
        <v>323</v>
      </c>
      <c r="D85" s="642" t="s">
        <v>1940</v>
      </c>
      <c r="F85" s="946">
        <v>-14646</v>
      </c>
      <c r="H85" s="946">
        <v>0</v>
      </c>
      <c r="I85" s="939">
        <v>174409611</v>
      </c>
      <c r="J85" s="974">
        <v>174409.611</v>
      </c>
      <c r="L85" s="946">
        <v>22843</v>
      </c>
      <c r="M85" s="947"/>
      <c r="N85" s="946">
        <v>0</v>
      </c>
      <c r="P85" s="946">
        <v>11120</v>
      </c>
      <c r="R85" s="946">
        <v>9978</v>
      </c>
      <c r="S85" s="948">
        <v>960353</v>
      </c>
      <c r="T85" s="946">
        <v>960.35299999999995</v>
      </c>
      <c r="V85" s="946">
        <v>7305</v>
      </c>
      <c r="W85" s="946">
        <v>946</v>
      </c>
      <c r="X85" s="946">
        <v>5104</v>
      </c>
      <c r="Y85" s="947"/>
      <c r="Z85" s="946">
        <v>4115</v>
      </c>
      <c r="AA85" s="948">
        <v>562778</v>
      </c>
      <c r="AB85" s="946">
        <v>562.77800000000002</v>
      </c>
      <c r="AC85" s="974">
        <v>0</v>
      </c>
      <c r="AD85" s="946">
        <v>214111.859</v>
      </c>
      <c r="AE85" s="957">
        <v>31362</v>
      </c>
      <c r="AG85" s="957">
        <v>0</v>
      </c>
      <c r="AH85" s="955">
        <v>-2500</v>
      </c>
      <c r="AI85" s="425">
        <v>1</v>
      </c>
      <c r="AJ85" s="957">
        <v>-2500</v>
      </c>
      <c r="AL85" s="939">
        <v>1</v>
      </c>
      <c r="AM85" s="939">
        <v>1</v>
      </c>
      <c r="AN85" s="950">
        <v>28921.610200000003</v>
      </c>
      <c r="AO85" s="946">
        <v>0.68130778988903196</v>
      </c>
      <c r="AP85" s="946">
        <v>681</v>
      </c>
      <c r="AQ85" s="953"/>
      <c r="AR85" s="950"/>
      <c r="AS85" s="950">
        <v>1520.693</v>
      </c>
    </row>
    <row r="86" spans="1:45" x14ac:dyDescent="0.3">
      <c r="A86" s="642" t="s">
        <v>327</v>
      </c>
      <c r="B86" s="642" t="s">
        <v>328</v>
      </c>
      <c r="C86" s="642" t="s">
        <v>326</v>
      </c>
      <c r="D86" s="642" t="s">
        <v>1942</v>
      </c>
      <c r="F86" s="946">
        <v>-18709</v>
      </c>
      <c r="H86" s="946">
        <v>0</v>
      </c>
      <c r="I86" s="939">
        <v>279867630</v>
      </c>
      <c r="J86" s="974">
        <v>279867.63</v>
      </c>
      <c r="L86" s="946">
        <v>19552</v>
      </c>
      <c r="M86" s="947"/>
      <c r="N86" s="946">
        <v>6093</v>
      </c>
      <c r="P86" s="946">
        <v>25318</v>
      </c>
      <c r="R86" s="946">
        <v>23920</v>
      </c>
      <c r="S86" s="948">
        <v>3241146</v>
      </c>
      <c r="T86" s="946">
        <v>3241.1460000000002</v>
      </c>
      <c r="V86" s="946">
        <v>0</v>
      </c>
      <c r="W86" s="946">
        <v>1692</v>
      </c>
      <c r="X86" s="946">
        <v>6125</v>
      </c>
      <c r="Y86" s="947"/>
      <c r="Z86" s="946">
        <v>625</v>
      </c>
      <c r="AA86" s="948">
        <v>0</v>
      </c>
      <c r="AB86" s="946">
        <v>0</v>
      </c>
      <c r="AC86" s="974">
        <v>0</v>
      </c>
      <c r="AD86" s="946">
        <v>265817.35869999998</v>
      </c>
      <c r="AE86" s="957">
        <v>0</v>
      </c>
      <c r="AG86" s="957">
        <v>0</v>
      </c>
      <c r="AH86" s="955">
        <v>0</v>
      </c>
      <c r="AI86" s="425">
        <v>0</v>
      </c>
      <c r="AJ86" s="957">
        <v>0</v>
      </c>
      <c r="AL86" s="939">
        <v>1</v>
      </c>
      <c r="AM86" s="939">
        <v>1</v>
      </c>
      <c r="AN86" s="950">
        <v>13681.25</v>
      </c>
      <c r="AO86" s="946">
        <v>0</v>
      </c>
      <c r="AP86" s="946">
        <v>0</v>
      </c>
      <c r="AQ86" s="953"/>
      <c r="AR86" s="950"/>
      <c r="AS86" s="950">
        <v>0</v>
      </c>
    </row>
    <row r="87" spans="1:45" x14ac:dyDescent="0.3">
      <c r="A87" s="642" t="s">
        <v>330</v>
      </c>
      <c r="B87" s="642" t="s">
        <v>331</v>
      </c>
      <c r="C87" s="642" t="s">
        <v>329</v>
      </c>
      <c r="D87" s="642" t="s">
        <v>71</v>
      </c>
      <c r="F87" s="946">
        <v>0</v>
      </c>
      <c r="H87" s="946">
        <v>-77453</v>
      </c>
      <c r="I87" s="939">
        <v>0</v>
      </c>
      <c r="J87" s="974">
        <v>0</v>
      </c>
      <c r="L87" s="946">
        <v>0</v>
      </c>
      <c r="M87" s="947"/>
      <c r="N87" s="946">
        <v>0</v>
      </c>
      <c r="P87" s="946">
        <v>0</v>
      </c>
      <c r="R87" s="946">
        <v>0</v>
      </c>
      <c r="S87" s="948">
        <v>0</v>
      </c>
      <c r="T87" s="946">
        <v>0</v>
      </c>
      <c r="V87" s="946">
        <v>0</v>
      </c>
      <c r="W87" s="946">
        <v>0</v>
      </c>
      <c r="X87" s="946">
        <v>0</v>
      </c>
      <c r="Y87" s="947"/>
      <c r="Z87" s="946">
        <v>0</v>
      </c>
      <c r="AA87" s="948">
        <v>0</v>
      </c>
      <c r="AB87" s="946">
        <v>0</v>
      </c>
      <c r="AC87" s="974">
        <v>0</v>
      </c>
      <c r="AD87" s="946">
        <v>49084.01</v>
      </c>
      <c r="AE87" s="957">
        <v>0</v>
      </c>
      <c r="AG87" s="957">
        <v>5016</v>
      </c>
      <c r="AH87" s="955">
        <v>0</v>
      </c>
      <c r="AI87" s="425">
        <v>0</v>
      </c>
      <c r="AJ87" s="957">
        <v>0</v>
      </c>
      <c r="AL87" s="939">
        <v>0</v>
      </c>
      <c r="AM87" s="939">
        <v>0</v>
      </c>
      <c r="AN87" s="950">
        <v>0</v>
      </c>
      <c r="AO87" s="946">
        <v>0</v>
      </c>
      <c r="AP87" s="946">
        <v>0</v>
      </c>
      <c r="AQ87" s="953"/>
      <c r="AR87" s="950"/>
      <c r="AS87" s="950">
        <v>0</v>
      </c>
    </row>
    <row r="88" spans="1:45" x14ac:dyDescent="0.3">
      <c r="A88" s="642" t="s">
        <v>333</v>
      </c>
      <c r="B88" s="642" t="s">
        <v>334</v>
      </c>
      <c r="C88" s="642" t="s">
        <v>332</v>
      </c>
      <c r="D88" s="642" t="s">
        <v>61</v>
      </c>
      <c r="F88" s="946">
        <v>0</v>
      </c>
      <c r="H88" s="946">
        <v>0</v>
      </c>
      <c r="I88" s="939">
        <v>0</v>
      </c>
      <c r="J88" s="974">
        <v>0</v>
      </c>
      <c r="L88" s="946">
        <v>0</v>
      </c>
      <c r="M88" s="947"/>
      <c r="N88" s="946">
        <v>0</v>
      </c>
      <c r="P88" s="946">
        <v>0</v>
      </c>
      <c r="R88" s="946">
        <v>0</v>
      </c>
      <c r="S88" s="948">
        <v>0</v>
      </c>
      <c r="T88" s="946">
        <v>0</v>
      </c>
      <c r="V88" s="946">
        <v>613</v>
      </c>
      <c r="W88" s="946">
        <v>0</v>
      </c>
      <c r="X88" s="946">
        <v>208</v>
      </c>
      <c r="Y88" s="947"/>
      <c r="Z88" s="946">
        <v>1294</v>
      </c>
      <c r="AA88" s="948">
        <v>137137</v>
      </c>
      <c r="AB88" s="946">
        <v>137.137</v>
      </c>
      <c r="AC88" s="974">
        <v>1014.8869999999999</v>
      </c>
      <c r="AD88" s="946">
        <v>13851.157999999999</v>
      </c>
      <c r="AE88" s="957">
        <v>9889</v>
      </c>
      <c r="AG88" s="957">
        <v>0</v>
      </c>
      <c r="AH88" s="955">
        <v>0</v>
      </c>
      <c r="AI88" s="425">
        <v>1</v>
      </c>
      <c r="AJ88" s="957">
        <v>0</v>
      </c>
      <c r="AL88" s="939">
        <v>0</v>
      </c>
      <c r="AM88" s="939">
        <v>0</v>
      </c>
      <c r="AN88" s="950">
        <v>11675.438129999999</v>
      </c>
      <c r="AO88" s="946">
        <v>0.13802546162311699</v>
      </c>
      <c r="AP88" s="946">
        <v>138</v>
      </c>
      <c r="AQ88" s="953"/>
      <c r="AR88" s="950"/>
      <c r="AS88" s="950">
        <v>375.16399999999999</v>
      </c>
    </row>
    <row r="89" spans="1:45" x14ac:dyDescent="0.3">
      <c r="A89" s="642" t="s">
        <v>336</v>
      </c>
      <c r="B89" s="642" t="s">
        <v>337</v>
      </c>
      <c r="C89" s="642" t="s">
        <v>335</v>
      </c>
      <c r="D89" s="642" t="s">
        <v>125</v>
      </c>
      <c r="F89" s="946">
        <v>-3748</v>
      </c>
      <c r="H89" s="946">
        <v>0</v>
      </c>
      <c r="I89" s="939">
        <v>28134901</v>
      </c>
      <c r="J89" s="974">
        <v>28134.901000000002</v>
      </c>
      <c r="L89" s="946">
        <v>8831</v>
      </c>
      <c r="M89" s="947"/>
      <c r="N89" s="946">
        <v>0</v>
      </c>
      <c r="P89" s="946">
        <v>4915</v>
      </c>
      <c r="R89" s="946">
        <v>4488</v>
      </c>
      <c r="S89" s="948">
        <v>748683</v>
      </c>
      <c r="T89" s="946">
        <v>748.68299999999999</v>
      </c>
      <c r="V89" s="946">
        <v>208</v>
      </c>
      <c r="W89" s="946">
        <v>338</v>
      </c>
      <c r="X89" s="946">
        <v>1579</v>
      </c>
      <c r="Y89" s="947"/>
      <c r="Z89" s="946">
        <v>1881</v>
      </c>
      <c r="AA89" s="948">
        <v>155284</v>
      </c>
      <c r="AB89" s="946">
        <v>155.28399999999999</v>
      </c>
      <c r="AC89" s="974">
        <v>190.767</v>
      </c>
      <c r="AD89" s="946">
        <v>58533.767</v>
      </c>
      <c r="AE89" s="957">
        <v>27018</v>
      </c>
      <c r="AG89" s="957">
        <v>0</v>
      </c>
      <c r="AH89" s="955">
        <v>0</v>
      </c>
      <c r="AI89" s="425">
        <v>1</v>
      </c>
      <c r="AJ89" s="957">
        <v>0</v>
      </c>
      <c r="AL89" s="939">
        <v>1</v>
      </c>
      <c r="AM89" s="939">
        <v>1</v>
      </c>
      <c r="AN89" s="950">
        <v>3593.74802</v>
      </c>
      <c r="AO89" s="946">
        <v>0.154005928770684</v>
      </c>
      <c r="AP89" s="946">
        <v>154</v>
      </c>
      <c r="AQ89" s="953"/>
      <c r="AR89" s="950"/>
      <c r="AS89" s="950">
        <v>359.78100000000001</v>
      </c>
    </row>
    <row r="90" spans="1:45" x14ac:dyDescent="0.3">
      <c r="A90" s="642" t="s">
        <v>339</v>
      </c>
      <c r="B90" s="642" t="s">
        <v>340</v>
      </c>
      <c r="C90" s="642" t="s">
        <v>338</v>
      </c>
      <c r="D90" s="642" t="s">
        <v>61</v>
      </c>
      <c r="F90" s="946">
        <v>0</v>
      </c>
      <c r="H90" s="946">
        <v>0</v>
      </c>
      <c r="I90" s="939">
        <v>0</v>
      </c>
      <c r="J90" s="974">
        <v>0</v>
      </c>
      <c r="L90" s="946">
        <v>0</v>
      </c>
      <c r="M90" s="947"/>
      <c r="N90" s="946">
        <v>0</v>
      </c>
      <c r="P90" s="946">
        <v>0</v>
      </c>
      <c r="R90" s="946">
        <v>0</v>
      </c>
      <c r="S90" s="948">
        <v>0</v>
      </c>
      <c r="T90" s="946">
        <v>0</v>
      </c>
      <c r="V90" s="946">
        <v>584</v>
      </c>
      <c r="W90" s="946">
        <v>0</v>
      </c>
      <c r="X90" s="946">
        <v>187</v>
      </c>
      <c r="Y90" s="947"/>
      <c r="Z90" s="946">
        <v>2168</v>
      </c>
      <c r="AA90" s="948">
        <v>128981</v>
      </c>
      <c r="AB90" s="946">
        <v>128.98099999999999</v>
      </c>
      <c r="AC90" s="974">
        <v>1267.51</v>
      </c>
      <c r="AD90" s="946">
        <v>8438.86</v>
      </c>
      <c r="AE90" s="957">
        <v>7683</v>
      </c>
      <c r="AG90" s="957">
        <v>0</v>
      </c>
      <c r="AH90" s="955">
        <v>0</v>
      </c>
      <c r="AI90" s="425">
        <v>1</v>
      </c>
      <c r="AJ90" s="957">
        <v>0</v>
      </c>
      <c r="AL90" s="939">
        <v>0</v>
      </c>
      <c r="AM90" s="939">
        <v>0</v>
      </c>
      <c r="AN90" s="950">
        <v>944.68696</v>
      </c>
      <c r="AO90" s="946">
        <v>1.9310221831116601</v>
      </c>
      <c r="AP90" s="946">
        <v>1931</v>
      </c>
      <c r="AQ90" s="953"/>
      <c r="AR90" s="950"/>
      <c r="AS90" s="950">
        <v>229.23699999999999</v>
      </c>
    </row>
    <row r="91" spans="1:45" x14ac:dyDescent="0.3">
      <c r="A91" s="642" t="s">
        <v>342</v>
      </c>
      <c r="B91" s="642" t="s">
        <v>343</v>
      </c>
      <c r="C91" s="642" t="s">
        <v>341</v>
      </c>
      <c r="D91" s="642" t="s">
        <v>5418</v>
      </c>
      <c r="F91" s="946">
        <v>0</v>
      </c>
      <c r="H91" s="946">
        <v>0</v>
      </c>
      <c r="I91" s="939">
        <v>0</v>
      </c>
      <c r="J91" s="974">
        <v>0</v>
      </c>
      <c r="L91" s="946">
        <v>0</v>
      </c>
      <c r="M91" s="947"/>
      <c r="N91" s="946">
        <v>0</v>
      </c>
      <c r="P91" s="946">
        <v>0</v>
      </c>
      <c r="R91" s="946">
        <v>0</v>
      </c>
      <c r="S91" s="948">
        <v>0</v>
      </c>
      <c r="T91" s="946">
        <v>0</v>
      </c>
      <c r="V91" s="946">
        <v>0</v>
      </c>
      <c r="W91" s="946">
        <v>0</v>
      </c>
      <c r="X91" s="946">
        <v>0</v>
      </c>
      <c r="Y91" s="947"/>
      <c r="Z91" s="946">
        <v>0</v>
      </c>
      <c r="AA91" s="948">
        <v>0</v>
      </c>
      <c r="AB91" s="946">
        <v>0</v>
      </c>
      <c r="AC91" s="974">
        <v>0</v>
      </c>
      <c r="AD91" s="946">
        <v>0</v>
      </c>
      <c r="AE91" s="957">
        <v>0</v>
      </c>
      <c r="AG91" s="957">
        <v>0</v>
      </c>
      <c r="AH91" s="955">
        <v>0</v>
      </c>
      <c r="AI91" s="425">
        <v>0</v>
      </c>
      <c r="AJ91" s="957">
        <v>0</v>
      </c>
      <c r="AL91" s="939">
        <v>0</v>
      </c>
      <c r="AM91" s="939">
        <v>0</v>
      </c>
      <c r="AN91" s="950">
        <v>0</v>
      </c>
      <c r="AO91" s="946">
        <v>0</v>
      </c>
      <c r="AP91" s="946">
        <v>0</v>
      </c>
      <c r="AQ91" s="953"/>
      <c r="AR91" s="950"/>
      <c r="AS91" s="950">
        <v>0</v>
      </c>
    </row>
    <row r="92" spans="1:45" x14ac:dyDescent="0.3">
      <c r="A92" s="642" t="s">
        <v>346</v>
      </c>
      <c r="B92" s="642" t="s">
        <v>347</v>
      </c>
      <c r="C92" s="642" t="s">
        <v>5419</v>
      </c>
      <c r="D92" s="642" t="s">
        <v>125</v>
      </c>
      <c r="F92" s="946">
        <v>-13195</v>
      </c>
      <c r="H92" s="946">
        <v>0</v>
      </c>
      <c r="I92" s="939">
        <v>118425686</v>
      </c>
      <c r="J92" s="974">
        <v>118425.686</v>
      </c>
      <c r="L92" s="946">
        <v>20516</v>
      </c>
      <c r="M92" s="947"/>
      <c r="N92" s="946">
        <v>0</v>
      </c>
      <c r="P92" s="946">
        <v>12175</v>
      </c>
      <c r="R92" s="946">
        <v>12045</v>
      </c>
      <c r="S92" s="948">
        <v>1066911</v>
      </c>
      <c r="T92" s="946">
        <v>1066.9110000000001</v>
      </c>
      <c r="V92" s="946">
        <v>1016</v>
      </c>
      <c r="W92" s="946">
        <v>775</v>
      </c>
      <c r="X92" s="946">
        <v>3979</v>
      </c>
      <c r="Y92" s="947"/>
      <c r="Z92" s="946">
        <v>1153</v>
      </c>
      <c r="AA92" s="948">
        <v>308009</v>
      </c>
      <c r="AB92" s="946">
        <v>308.00900000000001</v>
      </c>
      <c r="AC92" s="974">
        <v>0</v>
      </c>
      <c r="AD92" s="946">
        <v>110503.6</v>
      </c>
      <c r="AE92" s="957">
        <v>45960</v>
      </c>
      <c r="AG92" s="957">
        <v>0</v>
      </c>
      <c r="AH92" s="955">
        <v>-1500</v>
      </c>
      <c r="AI92" s="425">
        <v>1</v>
      </c>
      <c r="AJ92" s="957">
        <v>-1500</v>
      </c>
      <c r="AL92" s="939">
        <v>1</v>
      </c>
      <c r="AM92" s="939">
        <v>1</v>
      </c>
      <c r="AN92" s="950">
        <v>13177.933649999999</v>
      </c>
      <c r="AO92" s="946">
        <v>0.42151799356101499</v>
      </c>
      <c r="AP92" s="946">
        <v>422</v>
      </c>
      <c r="AQ92" s="953"/>
      <c r="AR92" s="950"/>
      <c r="AS92" s="950">
        <v>767.21900000000005</v>
      </c>
    </row>
    <row r="93" spans="1:45" x14ac:dyDescent="0.3">
      <c r="A93" s="642" t="s">
        <v>349</v>
      </c>
      <c r="B93" s="642" t="s">
        <v>350</v>
      </c>
      <c r="C93" s="642" t="s">
        <v>348</v>
      </c>
      <c r="D93" s="642" t="s">
        <v>1942</v>
      </c>
      <c r="F93" s="946">
        <v>-14249</v>
      </c>
      <c r="H93" s="946">
        <v>0</v>
      </c>
      <c r="I93" s="939">
        <v>385388926</v>
      </c>
      <c r="J93" s="974">
        <v>385388.92599999998</v>
      </c>
      <c r="L93" s="946">
        <v>43803</v>
      </c>
      <c r="M93" s="947"/>
      <c r="N93" s="946">
        <v>0</v>
      </c>
      <c r="P93" s="946">
        <v>37628</v>
      </c>
      <c r="R93" s="946">
        <v>35733</v>
      </c>
      <c r="S93" s="948">
        <v>2534293</v>
      </c>
      <c r="T93" s="946">
        <v>2534.2930000000001</v>
      </c>
      <c r="V93" s="946">
        <v>0</v>
      </c>
      <c r="W93" s="946">
        <v>2448</v>
      </c>
      <c r="X93" s="946">
        <v>7781</v>
      </c>
      <c r="Y93" s="947"/>
      <c r="Z93" s="946">
        <v>1868</v>
      </c>
      <c r="AA93" s="948">
        <v>0</v>
      </c>
      <c r="AB93" s="946">
        <v>0</v>
      </c>
      <c r="AC93" s="974">
        <v>0</v>
      </c>
      <c r="AD93" s="946">
        <v>366251</v>
      </c>
      <c r="AE93" s="957">
        <v>0</v>
      </c>
      <c r="AG93" s="957">
        <v>689</v>
      </c>
      <c r="AH93" s="955">
        <v>0</v>
      </c>
      <c r="AI93" s="425">
        <v>0</v>
      </c>
      <c r="AJ93" s="957">
        <v>0</v>
      </c>
      <c r="AL93" s="939">
        <v>1</v>
      </c>
      <c r="AM93" s="939">
        <v>1</v>
      </c>
      <c r="AN93" s="950">
        <v>11503.402320000001</v>
      </c>
      <c r="AO93" s="946">
        <v>0</v>
      </c>
      <c r="AP93" s="946">
        <v>0</v>
      </c>
      <c r="AQ93" s="953"/>
      <c r="AR93" s="950"/>
      <c r="AS93" s="950">
        <v>0</v>
      </c>
    </row>
    <row r="94" spans="1:45" x14ac:dyDescent="0.3">
      <c r="A94" s="642" t="s">
        <v>352</v>
      </c>
      <c r="B94" s="642" t="s">
        <v>353</v>
      </c>
      <c r="C94" s="642" t="s">
        <v>5420</v>
      </c>
      <c r="D94" s="642" t="s">
        <v>5408</v>
      </c>
      <c r="F94" s="946">
        <v>-4393</v>
      </c>
      <c r="H94" s="946">
        <v>0</v>
      </c>
      <c r="I94" s="939">
        <v>0</v>
      </c>
      <c r="J94" s="974">
        <v>0</v>
      </c>
      <c r="L94" s="946">
        <v>0</v>
      </c>
      <c r="M94" s="947"/>
      <c r="N94" s="946">
        <v>0</v>
      </c>
      <c r="P94" s="946">
        <v>0</v>
      </c>
      <c r="R94" s="946">
        <v>0</v>
      </c>
      <c r="S94" s="948">
        <v>0</v>
      </c>
      <c r="T94" s="946">
        <v>0</v>
      </c>
      <c r="V94" s="946">
        <v>0</v>
      </c>
      <c r="W94" s="946">
        <v>0</v>
      </c>
      <c r="X94" s="946">
        <v>619</v>
      </c>
      <c r="Y94" s="947"/>
      <c r="Z94" s="946">
        <v>0</v>
      </c>
      <c r="AA94" s="948">
        <v>0</v>
      </c>
      <c r="AB94" s="946">
        <v>0</v>
      </c>
      <c r="AC94" s="974">
        <v>0</v>
      </c>
      <c r="AD94" s="946">
        <v>26445.066999999999</v>
      </c>
      <c r="AE94" s="957">
        <v>0</v>
      </c>
      <c r="AG94" s="957">
        <v>0</v>
      </c>
      <c r="AH94" s="955">
        <v>0</v>
      </c>
      <c r="AI94" s="425">
        <v>0</v>
      </c>
      <c r="AJ94" s="957">
        <v>0</v>
      </c>
      <c r="AL94" s="939">
        <v>0</v>
      </c>
      <c r="AM94" s="939">
        <v>0</v>
      </c>
      <c r="AN94" s="950">
        <v>309.53116000000006</v>
      </c>
      <c r="AO94" s="946">
        <v>0</v>
      </c>
      <c r="AP94" s="946">
        <v>0</v>
      </c>
      <c r="AQ94" s="953"/>
      <c r="AR94" s="950"/>
      <c r="AS94" s="950">
        <v>0</v>
      </c>
    </row>
    <row r="95" spans="1:45" x14ac:dyDescent="0.3">
      <c r="A95" s="642" t="s">
        <v>355</v>
      </c>
      <c r="B95" s="642" t="s">
        <v>356</v>
      </c>
      <c r="C95" s="642" t="s">
        <v>354</v>
      </c>
      <c r="D95" s="642" t="s">
        <v>61</v>
      </c>
      <c r="F95" s="946">
        <v>0</v>
      </c>
      <c r="H95" s="946">
        <v>0</v>
      </c>
      <c r="I95" s="939">
        <v>0</v>
      </c>
      <c r="J95" s="974">
        <v>0</v>
      </c>
      <c r="L95" s="946">
        <v>0</v>
      </c>
      <c r="M95" s="947"/>
      <c r="N95" s="946">
        <v>421</v>
      </c>
      <c r="P95" s="946">
        <v>0</v>
      </c>
      <c r="R95" s="946">
        <v>0</v>
      </c>
      <c r="S95" s="948">
        <v>0</v>
      </c>
      <c r="T95" s="946">
        <v>0</v>
      </c>
      <c r="V95" s="946">
        <v>123</v>
      </c>
      <c r="W95" s="946">
        <v>0</v>
      </c>
      <c r="X95" s="946">
        <v>115</v>
      </c>
      <c r="Y95" s="947"/>
      <c r="Z95" s="946">
        <v>778</v>
      </c>
      <c r="AA95" s="948">
        <v>53864</v>
      </c>
      <c r="AB95" s="946">
        <v>53.863999999999997</v>
      </c>
      <c r="AC95" s="974">
        <v>1892.616</v>
      </c>
      <c r="AD95" s="946">
        <v>8718.7829999999994</v>
      </c>
      <c r="AE95" s="957">
        <v>0</v>
      </c>
      <c r="AG95" s="957">
        <v>4981</v>
      </c>
      <c r="AH95" s="955">
        <v>0</v>
      </c>
      <c r="AI95" s="425">
        <v>1</v>
      </c>
      <c r="AJ95" s="957">
        <v>0</v>
      </c>
      <c r="AL95" s="939">
        <v>0</v>
      </c>
      <c r="AM95" s="939">
        <v>0</v>
      </c>
      <c r="AN95" s="950">
        <v>223.45</v>
      </c>
      <c r="AO95" s="946">
        <v>7.6631319753172902E-2</v>
      </c>
      <c r="AP95" s="946">
        <v>77</v>
      </c>
      <c r="AQ95" s="953"/>
      <c r="AR95" s="950"/>
      <c r="AS95" s="950">
        <v>120.32599999999999</v>
      </c>
    </row>
    <row r="96" spans="1:45" x14ac:dyDescent="0.3">
      <c r="A96" s="642" t="s">
        <v>358</v>
      </c>
      <c r="B96" s="642" t="s">
        <v>359</v>
      </c>
      <c r="C96" s="642" t="s">
        <v>357</v>
      </c>
      <c r="D96" s="642" t="s">
        <v>71</v>
      </c>
      <c r="F96" s="946">
        <v>0</v>
      </c>
      <c r="H96" s="946">
        <v>-129953</v>
      </c>
      <c r="I96" s="939">
        <v>0</v>
      </c>
      <c r="J96" s="974">
        <v>0</v>
      </c>
      <c r="L96" s="946">
        <v>0</v>
      </c>
      <c r="M96" s="947"/>
      <c r="N96" s="946">
        <v>0</v>
      </c>
      <c r="P96" s="946">
        <v>0</v>
      </c>
      <c r="R96" s="946">
        <v>0</v>
      </c>
      <c r="S96" s="948">
        <v>0</v>
      </c>
      <c r="T96" s="946">
        <v>0</v>
      </c>
      <c r="V96" s="946">
        <v>0</v>
      </c>
      <c r="W96" s="946">
        <v>0</v>
      </c>
      <c r="X96" s="946">
        <v>0</v>
      </c>
      <c r="Y96" s="947"/>
      <c r="Z96" s="946">
        <v>0</v>
      </c>
      <c r="AA96" s="948">
        <v>0</v>
      </c>
      <c r="AB96" s="946">
        <v>0</v>
      </c>
      <c r="AC96" s="974">
        <v>0</v>
      </c>
      <c r="AD96" s="946">
        <v>82305.531000000003</v>
      </c>
      <c r="AE96" s="957">
        <v>0</v>
      </c>
      <c r="AG96" s="957">
        <v>3439</v>
      </c>
      <c r="AH96" s="955">
        <v>0</v>
      </c>
      <c r="AI96" s="425">
        <v>0</v>
      </c>
      <c r="AJ96" s="957">
        <v>0</v>
      </c>
      <c r="AL96" s="939">
        <v>0</v>
      </c>
      <c r="AM96" s="939">
        <v>0</v>
      </c>
      <c r="AN96" s="950">
        <v>630.07812999999999</v>
      </c>
      <c r="AO96" s="946">
        <v>0</v>
      </c>
      <c r="AP96" s="946">
        <v>0</v>
      </c>
      <c r="AQ96" s="953"/>
      <c r="AR96" s="950"/>
      <c r="AS96" s="950">
        <v>0</v>
      </c>
    </row>
    <row r="97" spans="1:45" x14ac:dyDescent="0.3">
      <c r="A97" s="642" t="s">
        <v>361</v>
      </c>
      <c r="B97" s="642" t="s">
        <v>362</v>
      </c>
      <c r="C97" s="642" t="s">
        <v>360</v>
      </c>
      <c r="D97" s="642" t="s">
        <v>1942</v>
      </c>
      <c r="F97" s="946">
        <v>-582</v>
      </c>
      <c r="H97" s="946">
        <v>0</v>
      </c>
      <c r="I97" s="939">
        <v>302865726</v>
      </c>
      <c r="J97" s="974">
        <v>302865.72600000002</v>
      </c>
      <c r="L97" s="946">
        <v>29828</v>
      </c>
      <c r="M97" s="947"/>
      <c r="N97" s="946">
        <v>7823</v>
      </c>
      <c r="P97" s="946">
        <v>32317</v>
      </c>
      <c r="R97" s="946">
        <v>29127</v>
      </c>
      <c r="S97" s="948">
        <v>2622397</v>
      </c>
      <c r="T97" s="946">
        <v>2622.3969999999999</v>
      </c>
      <c r="V97" s="946">
        <v>0</v>
      </c>
      <c r="W97" s="946">
        <v>2413</v>
      </c>
      <c r="X97" s="946">
        <v>7076</v>
      </c>
      <c r="Y97" s="947"/>
      <c r="Z97" s="946">
        <v>2143</v>
      </c>
      <c r="AA97" s="948">
        <v>0</v>
      </c>
      <c r="AB97" s="946">
        <v>0</v>
      </c>
      <c r="AC97" s="974">
        <v>0</v>
      </c>
      <c r="AD97" s="946">
        <v>462193.80099999998</v>
      </c>
      <c r="AE97" s="957">
        <v>0</v>
      </c>
      <c r="AG97" s="957">
        <v>500</v>
      </c>
      <c r="AH97" s="955">
        <v>0</v>
      </c>
      <c r="AI97" s="425">
        <v>0</v>
      </c>
      <c r="AJ97" s="957">
        <v>0</v>
      </c>
      <c r="AL97" s="939">
        <v>1</v>
      </c>
      <c r="AM97" s="939">
        <v>1</v>
      </c>
      <c r="AN97" s="950">
        <v>21791.82548</v>
      </c>
      <c r="AO97" s="946">
        <v>0</v>
      </c>
      <c r="AP97" s="946">
        <v>0</v>
      </c>
      <c r="AQ97" s="953"/>
      <c r="AR97" s="950"/>
      <c r="AS97" s="950">
        <v>0</v>
      </c>
    </row>
    <row r="98" spans="1:45" x14ac:dyDescent="0.3">
      <c r="A98" s="642" t="s">
        <v>364</v>
      </c>
      <c r="B98" s="642" t="s">
        <v>365</v>
      </c>
      <c r="C98" s="642" t="s">
        <v>363</v>
      </c>
      <c r="D98" s="642" t="s">
        <v>71</v>
      </c>
      <c r="F98" s="946">
        <v>0</v>
      </c>
      <c r="H98" s="946">
        <v>-217371</v>
      </c>
      <c r="I98" s="939">
        <v>0</v>
      </c>
      <c r="J98" s="974">
        <v>0</v>
      </c>
      <c r="L98" s="946">
        <v>0</v>
      </c>
      <c r="M98" s="947"/>
      <c r="N98" s="946">
        <v>0</v>
      </c>
      <c r="P98" s="946">
        <v>0</v>
      </c>
      <c r="R98" s="946">
        <v>0</v>
      </c>
      <c r="S98" s="948">
        <v>0</v>
      </c>
      <c r="T98" s="946">
        <v>0</v>
      </c>
      <c r="V98" s="946">
        <v>0</v>
      </c>
      <c r="W98" s="946">
        <v>0</v>
      </c>
      <c r="X98" s="946">
        <v>0</v>
      </c>
      <c r="Y98" s="947"/>
      <c r="Z98" s="946">
        <v>0</v>
      </c>
      <c r="AA98" s="948">
        <v>0</v>
      </c>
      <c r="AB98" s="946">
        <v>0</v>
      </c>
      <c r="AC98" s="974">
        <v>0</v>
      </c>
      <c r="AD98" s="946">
        <v>153186.32509999999</v>
      </c>
      <c r="AE98" s="957">
        <v>0</v>
      </c>
      <c r="AG98" s="957">
        <v>4831</v>
      </c>
      <c r="AH98" s="955">
        <v>0</v>
      </c>
      <c r="AI98" s="425">
        <v>0</v>
      </c>
      <c r="AJ98" s="957">
        <v>0</v>
      </c>
      <c r="AL98" s="939">
        <v>0</v>
      </c>
      <c r="AM98" s="939">
        <v>0</v>
      </c>
      <c r="AN98" s="950">
        <v>1272.98946</v>
      </c>
      <c r="AO98" s="946">
        <v>0</v>
      </c>
      <c r="AP98" s="946">
        <v>0</v>
      </c>
      <c r="AQ98" s="953"/>
      <c r="AR98" s="950"/>
      <c r="AS98" s="950">
        <v>0</v>
      </c>
    </row>
    <row r="99" spans="1:45" x14ac:dyDescent="0.3">
      <c r="A99" s="642" t="s">
        <v>367</v>
      </c>
      <c r="B99" s="642" t="s">
        <v>368</v>
      </c>
      <c r="C99" s="642" t="s">
        <v>5421</v>
      </c>
      <c r="D99" s="642" t="s">
        <v>5408</v>
      </c>
      <c r="F99" s="946">
        <v>-6621</v>
      </c>
      <c r="H99" s="946">
        <v>0</v>
      </c>
      <c r="I99" s="939">
        <v>0</v>
      </c>
      <c r="J99" s="974">
        <v>0</v>
      </c>
      <c r="L99" s="946">
        <v>0</v>
      </c>
      <c r="M99" s="947"/>
      <c r="N99" s="946">
        <v>445</v>
      </c>
      <c r="P99" s="946">
        <v>0</v>
      </c>
      <c r="R99" s="946">
        <v>0</v>
      </c>
      <c r="S99" s="948">
        <v>0</v>
      </c>
      <c r="T99" s="946">
        <v>0</v>
      </c>
      <c r="V99" s="946">
        <v>0</v>
      </c>
      <c r="W99" s="946">
        <v>0</v>
      </c>
      <c r="X99" s="946">
        <v>1098</v>
      </c>
      <c r="Y99" s="947"/>
      <c r="Z99" s="946">
        <v>0</v>
      </c>
      <c r="AA99" s="948">
        <v>0</v>
      </c>
      <c r="AB99" s="946">
        <v>0</v>
      </c>
      <c r="AC99" s="974">
        <v>0</v>
      </c>
      <c r="AD99" s="946">
        <v>56708.735999999997</v>
      </c>
      <c r="AE99" s="957">
        <v>0</v>
      </c>
      <c r="AG99" s="957">
        <v>5389</v>
      </c>
      <c r="AH99" s="955">
        <v>0</v>
      </c>
      <c r="AI99" s="425">
        <v>0</v>
      </c>
      <c r="AJ99" s="957">
        <v>0</v>
      </c>
      <c r="AL99" s="939">
        <v>0</v>
      </c>
      <c r="AM99" s="939">
        <v>0</v>
      </c>
      <c r="AN99" s="950">
        <v>1050.7537500000001</v>
      </c>
      <c r="AO99" s="946">
        <v>0</v>
      </c>
      <c r="AP99" s="946">
        <v>0</v>
      </c>
      <c r="AQ99" s="953"/>
      <c r="AR99" s="950"/>
      <c r="AS99" s="950">
        <v>0</v>
      </c>
    </row>
    <row r="100" spans="1:45" x14ac:dyDescent="0.3">
      <c r="A100" s="642" t="s">
        <v>370</v>
      </c>
      <c r="B100" s="642" t="s">
        <v>371</v>
      </c>
      <c r="C100" s="642" t="s">
        <v>369</v>
      </c>
      <c r="D100" s="642" t="s">
        <v>97</v>
      </c>
      <c r="F100" s="946">
        <v>-21112</v>
      </c>
      <c r="H100" s="946">
        <v>0</v>
      </c>
      <c r="I100" s="939">
        <v>102360545</v>
      </c>
      <c r="J100" s="974">
        <v>102360.545</v>
      </c>
      <c r="L100" s="946">
        <v>25300</v>
      </c>
      <c r="M100" s="947"/>
      <c r="N100" s="946">
        <v>0</v>
      </c>
      <c r="P100" s="946">
        <v>16936</v>
      </c>
      <c r="R100" s="946">
        <v>16310</v>
      </c>
      <c r="S100" s="948">
        <v>682030</v>
      </c>
      <c r="T100" s="946">
        <v>682.03</v>
      </c>
      <c r="V100" s="946">
        <v>764</v>
      </c>
      <c r="W100" s="946">
        <v>1019</v>
      </c>
      <c r="X100" s="946">
        <v>5265</v>
      </c>
      <c r="Y100" s="947"/>
      <c r="Z100" s="946">
        <v>2478</v>
      </c>
      <c r="AA100" s="948">
        <v>404984</v>
      </c>
      <c r="AB100" s="946">
        <v>404.98399999999998</v>
      </c>
      <c r="AC100" s="974">
        <v>2577.8850000000002</v>
      </c>
      <c r="AD100" s="946">
        <v>130414.045</v>
      </c>
      <c r="AE100" s="957">
        <v>6690</v>
      </c>
      <c r="AG100" s="957">
        <v>395</v>
      </c>
      <c r="AH100" s="955">
        <v>0</v>
      </c>
      <c r="AI100" s="425">
        <v>1</v>
      </c>
      <c r="AJ100" s="957">
        <v>0</v>
      </c>
      <c r="AL100" s="939">
        <v>1</v>
      </c>
      <c r="AM100" s="939">
        <v>1</v>
      </c>
      <c r="AN100" s="950">
        <v>14804.618930000001</v>
      </c>
      <c r="AO100" s="946">
        <v>0.47361667026292098</v>
      </c>
      <c r="AP100" s="946">
        <v>474</v>
      </c>
      <c r="AQ100" s="953"/>
      <c r="AR100" s="950"/>
      <c r="AS100" s="950">
        <v>993.28499999999997</v>
      </c>
    </row>
    <row r="101" spans="1:45" x14ac:dyDescent="0.3">
      <c r="A101" s="642" t="s">
        <v>376</v>
      </c>
      <c r="B101" s="642" t="s">
        <v>377</v>
      </c>
      <c r="C101" s="642" t="s">
        <v>5422</v>
      </c>
      <c r="D101" s="642" t="s">
        <v>5408</v>
      </c>
      <c r="F101" s="946">
        <v>-3998</v>
      </c>
      <c r="H101" s="946">
        <v>0</v>
      </c>
      <c r="I101" s="939">
        <v>0</v>
      </c>
      <c r="J101" s="974">
        <v>0</v>
      </c>
      <c r="L101" s="946">
        <v>0</v>
      </c>
      <c r="M101" s="947"/>
      <c r="N101" s="946">
        <v>52</v>
      </c>
      <c r="P101" s="946">
        <v>0</v>
      </c>
      <c r="R101" s="946">
        <v>0</v>
      </c>
      <c r="S101" s="948">
        <v>0</v>
      </c>
      <c r="T101" s="946">
        <v>0</v>
      </c>
      <c r="V101" s="946">
        <v>0</v>
      </c>
      <c r="W101" s="946">
        <v>0</v>
      </c>
      <c r="X101" s="946">
        <v>721</v>
      </c>
      <c r="Y101" s="947"/>
      <c r="Z101" s="946">
        <v>0</v>
      </c>
      <c r="AA101" s="948">
        <v>0</v>
      </c>
      <c r="AB101" s="946">
        <v>0</v>
      </c>
      <c r="AC101" s="974">
        <v>0</v>
      </c>
      <c r="AD101" s="946">
        <v>44495.118999999999</v>
      </c>
      <c r="AE101" s="957">
        <v>0</v>
      </c>
      <c r="AG101" s="957">
        <v>400</v>
      </c>
      <c r="AH101" s="955">
        <v>0</v>
      </c>
      <c r="AI101" s="425">
        <v>0</v>
      </c>
      <c r="AJ101" s="957">
        <v>0</v>
      </c>
      <c r="AL101" s="939">
        <v>0</v>
      </c>
      <c r="AM101" s="939">
        <v>0</v>
      </c>
      <c r="AN101" s="950">
        <v>493.68608</v>
      </c>
      <c r="AO101" s="946">
        <v>0</v>
      </c>
      <c r="AP101" s="946">
        <v>0</v>
      </c>
      <c r="AQ101" s="953"/>
      <c r="AR101" s="950"/>
      <c r="AS101" s="950">
        <v>0</v>
      </c>
    </row>
    <row r="102" spans="1:45" x14ac:dyDescent="0.3">
      <c r="A102" s="642" t="s">
        <v>379</v>
      </c>
      <c r="B102" s="642" t="s">
        <v>380</v>
      </c>
      <c r="C102" s="642" t="s">
        <v>378</v>
      </c>
      <c r="D102" s="642" t="s">
        <v>71</v>
      </c>
      <c r="F102" s="946">
        <v>0</v>
      </c>
      <c r="H102" s="946">
        <v>-78700</v>
      </c>
      <c r="I102" s="939">
        <v>0</v>
      </c>
      <c r="J102" s="974">
        <v>0</v>
      </c>
      <c r="L102" s="946">
        <v>0</v>
      </c>
      <c r="M102" s="947"/>
      <c r="N102" s="946">
        <v>0</v>
      </c>
      <c r="P102" s="946">
        <v>0</v>
      </c>
      <c r="R102" s="946">
        <v>0</v>
      </c>
      <c r="S102" s="948">
        <v>0</v>
      </c>
      <c r="T102" s="946">
        <v>0</v>
      </c>
      <c r="V102" s="946">
        <v>0</v>
      </c>
      <c r="W102" s="946">
        <v>0</v>
      </c>
      <c r="X102" s="946">
        <v>0</v>
      </c>
      <c r="Y102" s="947"/>
      <c r="Z102" s="946">
        <v>0</v>
      </c>
      <c r="AA102" s="948">
        <v>0</v>
      </c>
      <c r="AB102" s="946">
        <v>0</v>
      </c>
      <c r="AC102" s="974">
        <v>0</v>
      </c>
      <c r="AD102" s="946">
        <v>77929.644</v>
      </c>
      <c r="AE102" s="957">
        <v>0</v>
      </c>
      <c r="AG102" s="957">
        <v>2909</v>
      </c>
      <c r="AH102" s="955">
        <v>0</v>
      </c>
      <c r="AI102" s="425">
        <v>0</v>
      </c>
      <c r="AJ102" s="957">
        <v>0</v>
      </c>
      <c r="AL102" s="939">
        <v>0</v>
      </c>
      <c r="AM102" s="939">
        <v>0</v>
      </c>
      <c r="AN102" s="950">
        <v>0</v>
      </c>
      <c r="AO102" s="946">
        <v>0</v>
      </c>
      <c r="AP102" s="946">
        <v>0</v>
      </c>
      <c r="AQ102" s="953"/>
      <c r="AR102" s="950"/>
      <c r="AS102" s="950">
        <v>0</v>
      </c>
    </row>
    <row r="103" spans="1:45" x14ac:dyDescent="0.3">
      <c r="A103" s="642" t="s">
        <v>373</v>
      </c>
      <c r="B103" s="642" t="s">
        <v>374</v>
      </c>
      <c r="C103" s="642" t="s">
        <v>5423</v>
      </c>
      <c r="D103" s="642" t="s">
        <v>125</v>
      </c>
      <c r="F103" s="946">
        <v>-7</v>
      </c>
      <c r="H103" s="946">
        <v>0</v>
      </c>
      <c r="I103" s="939">
        <v>141265669</v>
      </c>
      <c r="J103" s="974">
        <v>141265.66899999999</v>
      </c>
      <c r="L103" s="946">
        <v>14613</v>
      </c>
      <c r="M103" s="947"/>
      <c r="N103" s="946">
        <v>2475</v>
      </c>
      <c r="P103" s="946">
        <v>13347</v>
      </c>
      <c r="R103" s="946">
        <v>12451</v>
      </c>
      <c r="S103" s="948">
        <v>541926</v>
      </c>
      <c r="T103" s="946">
        <v>541.92600000000004</v>
      </c>
      <c r="V103" s="946">
        <v>917</v>
      </c>
      <c r="W103" s="946">
        <v>1152</v>
      </c>
      <c r="X103" s="946">
        <v>3054</v>
      </c>
      <c r="Y103" s="947"/>
      <c r="Z103" s="946">
        <v>3760</v>
      </c>
      <c r="AA103" s="948">
        <v>386205</v>
      </c>
      <c r="AB103" s="946">
        <v>386.20499999999998</v>
      </c>
      <c r="AC103" s="974">
        <v>16947.655999999999</v>
      </c>
      <c r="AD103" s="946">
        <v>292980.56300000002</v>
      </c>
      <c r="AE103" s="957">
        <v>0</v>
      </c>
      <c r="AG103" s="957">
        <v>15</v>
      </c>
      <c r="AH103" s="955">
        <v>0</v>
      </c>
      <c r="AI103" s="425">
        <v>1</v>
      </c>
      <c r="AJ103" s="957">
        <v>0</v>
      </c>
      <c r="AL103" s="939">
        <v>1</v>
      </c>
      <c r="AM103" s="939">
        <v>1</v>
      </c>
      <c r="AN103" s="950">
        <v>2582.5515099999998</v>
      </c>
      <c r="AO103" s="946">
        <v>0.41900521786961598</v>
      </c>
      <c r="AP103" s="946">
        <v>419</v>
      </c>
      <c r="AQ103" s="953"/>
      <c r="AR103" s="950"/>
      <c r="AS103" s="950">
        <v>842.93499999999995</v>
      </c>
    </row>
    <row r="104" spans="1:45" x14ac:dyDescent="0.3">
      <c r="A104" s="642" t="s">
        <v>382</v>
      </c>
      <c r="B104" s="642" t="s">
        <v>383</v>
      </c>
      <c r="C104" s="642" t="s">
        <v>381</v>
      </c>
      <c r="D104" s="642" t="s">
        <v>61</v>
      </c>
      <c r="F104" s="946">
        <v>-60</v>
      </c>
      <c r="H104" s="946">
        <v>0</v>
      </c>
      <c r="I104" s="939">
        <v>0</v>
      </c>
      <c r="J104" s="974">
        <v>0</v>
      </c>
      <c r="L104" s="946">
        <v>0</v>
      </c>
      <c r="M104" s="947"/>
      <c r="N104" s="946">
        <v>0</v>
      </c>
      <c r="P104" s="946">
        <v>0</v>
      </c>
      <c r="R104" s="946">
        <v>0</v>
      </c>
      <c r="S104" s="948">
        <v>0</v>
      </c>
      <c r="T104" s="946">
        <v>0</v>
      </c>
      <c r="V104" s="946">
        <v>500</v>
      </c>
      <c r="W104" s="946">
        <v>0</v>
      </c>
      <c r="X104" s="946">
        <v>255</v>
      </c>
      <c r="Y104" s="947"/>
      <c r="Z104" s="946">
        <v>1229</v>
      </c>
      <c r="AA104" s="948">
        <v>154744</v>
      </c>
      <c r="AB104" s="946">
        <v>154.744</v>
      </c>
      <c r="AC104" s="974">
        <v>3019.0479399999999</v>
      </c>
      <c r="AD104" s="946">
        <v>11056.782939999999</v>
      </c>
      <c r="AE104" s="957">
        <v>1011</v>
      </c>
      <c r="AG104" s="957">
        <v>511</v>
      </c>
      <c r="AH104" s="955">
        <v>0</v>
      </c>
      <c r="AI104" s="425">
        <v>1</v>
      </c>
      <c r="AJ104" s="957">
        <v>0</v>
      </c>
      <c r="AL104" s="939">
        <v>0</v>
      </c>
      <c r="AM104" s="939">
        <v>0</v>
      </c>
      <c r="AN104" s="950">
        <v>2442.77574</v>
      </c>
      <c r="AO104" s="946">
        <v>0.16949405922927499</v>
      </c>
      <c r="AP104" s="946">
        <v>169</v>
      </c>
      <c r="AQ104" s="953"/>
      <c r="AR104" s="950"/>
      <c r="AS104" s="950">
        <v>347.339</v>
      </c>
    </row>
    <row r="105" spans="1:45" x14ac:dyDescent="0.3">
      <c r="A105" s="642" t="s">
        <v>385</v>
      </c>
      <c r="B105" s="642" t="s">
        <v>386</v>
      </c>
      <c r="C105" s="642" t="s">
        <v>384</v>
      </c>
      <c r="D105" s="642" t="s">
        <v>97</v>
      </c>
      <c r="F105" s="946">
        <v>0</v>
      </c>
      <c r="H105" s="946">
        <v>0</v>
      </c>
      <c r="I105" s="939">
        <v>166998902</v>
      </c>
      <c r="J105" s="974">
        <v>166998.902</v>
      </c>
      <c r="L105" s="946">
        <v>22016</v>
      </c>
      <c r="M105" s="947"/>
      <c r="N105" s="946">
        <v>0</v>
      </c>
      <c r="P105" s="946">
        <v>17176</v>
      </c>
      <c r="R105" s="946">
        <v>16628</v>
      </c>
      <c r="S105" s="948">
        <v>1011858</v>
      </c>
      <c r="T105" s="946">
        <v>1011.8579999999999</v>
      </c>
      <c r="V105" s="946">
        <v>701</v>
      </c>
      <c r="W105" s="946">
        <v>1054</v>
      </c>
      <c r="X105" s="946">
        <v>4748</v>
      </c>
      <c r="Y105" s="947"/>
      <c r="Z105" s="946">
        <v>479</v>
      </c>
      <c r="AA105" s="948">
        <v>418728</v>
      </c>
      <c r="AB105" s="946">
        <v>418.72800000000001</v>
      </c>
      <c r="AC105" s="974">
        <v>0</v>
      </c>
      <c r="AD105" s="946">
        <v>140111</v>
      </c>
      <c r="AE105" s="957">
        <v>5966</v>
      </c>
      <c r="AG105" s="957">
        <v>1989</v>
      </c>
      <c r="AH105" s="955">
        <v>0</v>
      </c>
      <c r="AI105" s="425">
        <v>1</v>
      </c>
      <c r="AJ105" s="957">
        <v>0</v>
      </c>
      <c r="AL105" s="939">
        <v>1</v>
      </c>
      <c r="AM105" s="939">
        <v>1</v>
      </c>
      <c r="AN105" s="950">
        <v>20297.750219999998</v>
      </c>
      <c r="AO105" s="946">
        <v>0.42101018825406</v>
      </c>
      <c r="AP105" s="946">
        <v>421</v>
      </c>
      <c r="AQ105" s="953"/>
      <c r="AR105" s="950"/>
      <c r="AS105" s="950">
        <v>907.24</v>
      </c>
    </row>
    <row r="106" spans="1:45" x14ac:dyDescent="0.3">
      <c r="A106" s="642" t="s">
        <v>391</v>
      </c>
      <c r="B106" s="642" t="s">
        <v>392</v>
      </c>
      <c r="C106" s="642" t="s">
        <v>5424</v>
      </c>
      <c r="D106" s="642" t="s">
        <v>5408</v>
      </c>
      <c r="F106" s="946">
        <v>-3606</v>
      </c>
      <c r="H106" s="946">
        <v>0</v>
      </c>
      <c r="I106" s="939">
        <v>0</v>
      </c>
      <c r="J106" s="974">
        <v>0</v>
      </c>
      <c r="L106" s="946">
        <v>0</v>
      </c>
      <c r="M106" s="947"/>
      <c r="N106" s="946">
        <v>0</v>
      </c>
      <c r="P106" s="946">
        <v>0</v>
      </c>
      <c r="R106" s="946">
        <v>0</v>
      </c>
      <c r="S106" s="948">
        <v>0</v>
      </c>
      <c r="T106" s="946">
        <v>0</v>
      </c>
      <c r="V106" s="946">
        <v>0</v>
      </c>
      <c r="W106" s="946">
        <v>0</v>
      </c>
      <c r="X106" s="946">
        <v>491</v>
      </c>
      <c r="Y106" s="947"/>
      <c r="Z106" s="946">
        <v>0</v>
      </c>
      <c r="AA106" s="948">
        <v>0</v>
      </c>
      <c r="AB106" s="946">
        <v>0</v>
      </c>
      <c r="AC106" s="974">
        <v>0</v>
      </c>
      <c r="AD106" s="946">
        <v>19542.402999999998</v>
      </c>
      <c r="AE106" s="957">
        <v>0</v>
      </c>
      <c r="AG106" s="957">
        <v>0</v>
      </c>
      <c r="AH106" s="955">
        <v>0</v>
      </c>
      <c r="AI106" s="425">
        <v>0</v>
      </c>
      <c r="AJ106" s="957">
        <v>0</v>
      </c>
      <c r="AL106" s="939">
        <v>0</v>
      </c>
      <c r="AM106" s="939">
        <v>0</v>
      </c>
      <c r="AN106" s="950">
        <v>81.726249999999993</v>
      </c>
      <c r="AO106" s="946">
        <v>0</v>
      </c>
      <c r="AP106" s="946">
        <v>0</v>
      </c>
      <c r="AQ106" s="953"/>
      <c r="AR106" s="950"/>
      <c r="AS106" s="950">
        <v>0</v>
      </c>
    </row>
    <row r="107" spans="1:45" x14ac:dyDescent="0.3">
      <c r="A107" s="642" t="s">
        <v>394</v>
      </c>
      <c r="B107" s="642" t="s">
        <v>395</v>
      </c>
      <c r="C107" s="642" t="s">
        <v>393</v>
      </c>
      <c r="D107" s="642" t="s">
        <v>71</v>
      </c>
      <c r="F107" s="946">
        <v>0</v>
      </c>
      <c r="H107" s="946">
        <v>-102940</v>
      </c>
      <c r="I107" s="939">
        <v>0</v>
      </c>
      <c r="J107" s="974">
        <v>0</v>
      </c>
      <c r="L107" s="946">
        <v>0</v>
      </c>
      <c r="M107" s="947"/>
      <c r="N107" s="946">
        <v>0</v>
      </c>
      <c r="P107" s="946">
        <v>0</v>
      </c>
      <c r="R107" s="946">
        <v>0</v>
      </c>
      <c r="S107" s="948">
        <v>0</v>
      </c>
      <c r="T107" s="946">
        <v>0</v>
      </c>
      <c r="V107" s="946">
        <v>0</v>
      </c>
      <c r="W107" s="946">
        <v>0</v>
      </c>
      <c r="X107" s="946">
        <v>0</v>
      </c>
      <c r="Y107" s="947"/>
      <c r="Z107" s="946">
        <v>0</v>
      </c>
      <c r="AA107" s="948">
        <v>0</v>
      </c>
      <c r="AB107" s="946">
        <v>0</v>
      </c>
      <c r="AC107" s="974">
        <v>0</v>
      </c>
      <c r="AD107" s="946">
        <v>42801.23</v>
      </c>
      <c r="AE107" s="957">
        <v>0</v>
      </c>
      <c r="AG107" s="957">
        <v>2951</v>
      </c>
      <c r="AH107" s="955">
        <v>0</v>
      </c>
      <c r="AI107" s="425">
        <v>0</v>
      </c>
      <c r="AJ107" s="957">
        <v>0</v>
      </c>
      <c r="AL107" s="939">
        <v>0</v>
      </c>
      <c r="AM107" s="939">
        <v>0</v>
      </c>
      <c r="AN107" s="950">
        <v>0</v>
      </c>
      <c r="AO107" s="946">
        <v>0</v>
      </c>
      <c r="AP107" s="946">
        <v>0</v>
      </c>
      <c r="AQ107" s="953"/>
      <c r="AR107" s="950"/>
      <c r="AS107" s="950">
        <v>0</v>
      </c>
    </row>
    <row r="108" spans="1:45" x14ac:dyDescent="0.3">
      <c r="A108" s="642" t="s">
        <v>388</v>
      </c>
      <c r="B108" s="642" t="s">
        <v>389</v>
      </c>
      <c r="C108" s="642" t="s">
        <v>387</v>
      </c>
      <c r="D108" s="642" t="s">
        <v>125</v>
      </c>
      <c r="F108" s="946">
        <v>-29101</v>
      </c>
      <c r="H108" s="946">
        <v>0</v>
      </c>
      <c r="I108" s="939">
        <v>267303336</v>
      </c>
      <c r="J108" s="974">
        <v>267303.33600000001</v>
      </c>
      <c r="L108" s="946">
        <v>50985</v>
      </c>
      <c r="M108" s="947"/>
      <c r="N108" s="946">
        <v>0</v>
      </c>
      <c r="P108" s="946">
        <v>30955</v>
      </c>
      <c r="R108" s="946">
        <v>30867</v>
      </c>
      <c r="S108" s="948">
        <v>1543189</v>
      </c>
      <c r="T108" s="946">
        <v>1543.1890000000001</v>
      </c>
      <c r="V108" s="946">
        <v>797</v>
      </c>
      <c r="W108" s="946">
        <v>1905</v>
      </c>
      <c r="X108" s="946">
        <v>8776</v>
      </c>
      <c r="Y108" s="947"/>
      <c r="Z108" s="946">
        <v>4082</v>
      </c>
      <c r="AA108" s="948">
        <v>912723</v>
      </c>
      <c r="AB108" s="946">
        <v>912.72299999999996</v>
      </c>
      <c r="AC108" s="974">
        <v>14196.9</v>
      </c>
      <c r="AD108" s="946">
        <v>266338.48300000001</v>
      </c>
      <c r="AE108" s="957">
        <v>0</v>
      </c>
      <c r="AG108" s="957">
        <v>7761</v>
      </c>
      <c r="AH108" s="955">
        <v>0</v>
      </c>
      <c r="AI108" s="425">
        <v>1</v>
      </c>
      <c r="AJ108" s="957">
        <v>0</v>
      </c>
      <c r="AL108" s="939">
        <v>1</v>
      </c>
      <c r="AM108" s="939">
        <v>1</v>
      </c>
      <c r="AN108" s="950">
        <v>10401.604510000001</v>
      </c>
      <c r="AO108" s="946">
        <v>0.80232028889124796</v>
      </c>
      <c r="AP108" s="946">
        <v>802</v>
      </c>
      <c r="AQ108" s="953"/>
      <c r="AR108" s="950"/>
      <c r="AS108" s="950">
        <v>1925.133</v>
      </c>
    </row>
    <row r="109" spans="1:45" x14ac:dyDescent="0.3">
      <c r="A109" s="642" t="s">
        <v>397</v>
      </c>
      <c r="B109" s="642" t="s">
        <v>398</v>
      </c>
      <c r="C109" s="642" t="s">
        <v>396</v>
      </c>
      <c r="D109" s="642" t="s">
        <v>1940</v>
      </c>
      <c r="F109" s="946">
        <v>-18086</v>
      </c>
      <c r="H109" s="946">
        <v>0</v>
      </c>
      <c r="I109" s="939">
        <v>291106712</v>
      </c>
      <c r="J109" s="974">
        <v>291106.712</v>
      </c>
      <c r="L109" s="946">
        <v>25933</v>
      </c>
      <c r="M109" s="947"/>
      <c r="N109" s="946">
        <v>0</v>
      </c>
      <c r="P109" s="946">
        <v>14005</v>
      </c>
      <c r="R109" s="946">
        <v>12680</v>
      </c>
      <c r="S109" s="948">
        <v>540761</v>
      </c>
      <c r="T109" s="946">
        <v>540.76099999999997</v>
      </c>
      <c r="V109" s="946">
        <v>5741</v>
      </c>
      <c r="W109" s="946">
        <v>957</v>
      </c>
      <c r="X109" s="946">
        <v>5315</v>
      </c>
      <c r="Y109" s="947"/>
      <c r="Z109" s="946">
        <v>4492</v>
      </c>
      <c r="AA109" s="948">
        <v>475988</v>
      </c>
      <c r="AB109" s="946">
        <v>475.988</v>
      </c>
      <c r="AC109" s="974">
        <v>0</v>
      </c>
      <c r="AD109" s="946">
        <v>158975.93900000001</v>
      </c>
      <c r="AE109" s="957">
        <v>15249</v>
      </c>
      <c r="AG109" s="957">
        <v>550</v>
      </c>
      <c r="AH109" s="955">
        <v>0</v>
      </c>
      <c r="AI109" s="425">
        <v>1</v>
      </c>
      <c r="AJ109" s="957">
        <v>0</v>
      </c>
      <c r="AL109" s="939">
        <v>1</v>
      </c>
      <c r="AM109" s="939">
        <v>1</v>
      </c>
      <c r="AN109" s="950">
        <v>23148.865119999999</v>
      </c>
      <c r="AO109" s="946">
        <v>0.77839294106506995</v>
      </c>
      <c r="AP109" s="946">
        <v>778</v>
      </c>
      <c r="AQ109" s="953"/>
      <c r="AR109" s="950"/>
      <c r="AS109" s="950">
        <v>1397.3720000000001</v>
      </c>
    </row>
    <row r="110" spans="1:45" x14ac:dyDescent="0.3">
      <c r="A110" s="642" t="s">
        <v>400</v>
      </c>
      <c r="B110" s="642" t="s">
        <v>401</v>
      </c>
      <c r="C110" s="642" t="s">
        <v>399</v>
      </c>
      <c r="D110" s="642" t="s">
        <v>61</v>
      </c>
      <c r="F110" s="946">
        <v>-13</v>
      </c>
      <c r="H110" s="946">
        <v>0</v>
      </c>
      <c r="I110" s="939">
        <v>0</v>
      </c>
      <c r="J110" s="974">
        <v>0</v>
      </c>
      <c r="L110" s="946">
        <v>0</v>
      </c>
      <c r="M110" s="947"/>
      <c r="N110" s="946">
        <v>170</v>
      </c>
      <c r="P110" s="946">
        <v>0</v>
      </c>
      <c r="R110" s="946">
        <v>0</v>
      </c>
      <c r="S110" s="948">
        <v>0</v>
      </c>
      <c r="T110" s="946">
        <v>0</v>
      </c>
      <c r="V110" s="946">
        <v>329</v>
      </c>
      <c r="W110" s="946">
        <v>0</v>
      </c>
      <c r="X110" s="946">
        <v>170</v>
      </c>
      <c r="Y110" s="947"/>
      <c r="Z110" s="946">
        <v>1113</v>
      </c>
      <c r="AA110" s="948">
        <v>65937</v>
      </c>
      <c r="AB110" s="946">
        <v>65.936999999999998</v>
      </c>
      <c r="AC110" s="974">
        <v>2739.806</v>
      </c>
      <c r="AD110" s="946">
        <v>7162.5349999999999</v>
      </c>
      <c r="AE110" s="957">
        <v>0</v>
      </c>
      <c r="AG110" s="957">
        <v>0</v>
      </c>
      <c r="AH110" s="955">
        <v>0</v>
      </c>
      <c r="AI110" s="425">
        <v>1</v>
      </c>
      <c r="AJ110" s="957">
        <v>0</v>
      </c>
      <c r="AL110" s="939">
        <v>0</v>
      </c>
      <c r="AM110" s="939">
        <v>0</v>
      </c>
      <c r="AN110" s="950">
        <v>0</v>
      </c>
      <c r="AO110" s="946">
        <v>0.112817197575435</v>
      </c>
      <c r="AP110" s="946">
        <v>113</v>
      </c>
      <c r="AQ110" s="953"/>
      <c r="AR110" s="950"/>
      <c r="AS110" s="950">
        <v>154.71899999999999</v>
      </c>
    </row>
    <row r="111" spans="1:45" x14ac:dyDescent="0.3">
      <c r="A111" s="642" t="s">
        <v>403</v>
      </c>
      <c r="B111" s="642" t="s">
        <v>404</v>
      </c>
      <c r="C111" s="642" t="s">
        <v>402</v>
      </c>
      <c r="D111" s="642" t="s">
        <v>61</v>
      </c>
      <c r="F111" s="946">
        <v>0</v>
      </c>
      <c r="H111" s="946">
        <v>0</v>
      </c>
      <c r="I111" s="939">
        <v>0</v>
      </c>
      <c r="J111" s="974">
        <v>0</v>
      </c>
      <c r="L111" s="946">
        <v>0</v>
      </c>
      <c r="M111" s="947"/>
      <c r="N111" s="946">
        <v>237</v>
      </c>
      <c r="P111" s="946">
        <v>0</v>
      </c>
      <c r="R111" s="946">
        <v>0</v>
      </c>
      <c r="S111" s="948">
        <v>0</v>
      </c>
      <c r="T111" s="946">
        <v>0</v>
      </c>
      <c r="V111" s="946">
        <v>271</v>
      </c>
      <c r="W111" s="946">
        <v>0</v>
      </c>
      <c r="X111" s="946">
        <v>184</v>
      </c>
      <c r="Y111" s="947"/>
      <c r="Z111" s="946">
        <v>2137</v>
      </c>
      <c r="AA111" s="948">
        <v>136380</v>
      </c>
      <c r="AB111" s="946">
        <v>136.38</v>
      </c>
      <c r="AC111" s="974">
        <v>4737.4440000000004</v>
      </c>
      <c r="AD111" s="946">
        <v>14270.451999999999</v>
      </c>
      <c r="AE111" s="957">
        <v>14318</v>
      </c>
      <c r="AG111" s="957">
        <v>637</v>
      </c>
      <c r="AH111" s="955">
        <v>0</v>
      </c>
      <c r="AI111" s="425">
        <v>1</v>
      </c>
      <c r="AJ111" s="957">
        <v>0</v>
      </c>
      <c r="AL111" s="939">
        <v>0</v>
      </c>
      <c r="AM111" s="939">
        <v>0</v>
      </c>
      <c r="AN111" s="950">
        <v>2616.1600600000006</v>
      </c>
      <c r="AO111" s="946">
        <v>0.29554285822675103</v>
      </c>
      <c r="AP111" s="946">
        <v>296</v>
      </c>
      <c r="AQ111" s="953"/>
      <c r="AR111" s="950"/>
      <c r="AS111" s="950">
        <v>278.96800000000002</v>
      </c>
    </row>
    <row r="112" spans="1:45" x14ac:dyDescent="0.3">
      <c r="A112" s="642" t="s">
        <v>406</v>
      </c>
      <c r="B112" s="642" t="s">
        <v>407</v>
      </c>
      <c r="C112" s="642" t="s">
        <v>405</v>
      </c>
      <c r="D112" s="642" t="s">
        <v>61</v>
      </c>
      <c r="F112" s="946">
        <v>0</v>
      </c>
      <c r="H112" s="946">
        <v>0</v>
      </c>
      <c r="I112" s="939">
        <v>0</v>
      </c>
      <c r="J112" s="974">
        <v>0</v>
      </c>
      <c r="L112" s="946">
        <v>0</v>
      </c>
      <c r="M112" s="947"/>
      <c r="N112" s="946">
        <v>0</v>
      </c>
      <c r="P112" s="946">
        <v>0</v>
      </c>
      <c r="R112" s="946">
        <v>0</v>
      </c>
      <c r="S112" s="948">
        <v>0</v>
      </c>
      <c r="T112" s="946">
        <v>0</v>
      </c>
      <c r="V112" s="946">
        <v>403</v>
      </c>
      <c r="W112" s="946">
        <v>0</v>
      </c>
      <c r="X112" s="946">
        <v>131</v>
      </c>
      <c r="Y112" s="947"/>
      <c r="Z112" s="946">
        <v>1703</v>
      </c>
      <c r="AA112" s="948">
        <v>79076</v>
      </c>
      <c r="AB112" s="946">
        <v>79.075999999999993</v>
      </c>
      <c r="AC112" s="974">
        <v>4654.6450000000004</v>
      </c>
      <c r="AD112" s="946">
        <v>11877.132</v>
      </c>
      <c r="AE112" s="957">
        <v>0</v>
      </c>
      <c r="AG112" s="957">
        <v>0</v>
      </c>
      <c r="AH112" s="955">
        <v>0</v>
      </c>
      <c r="AI112" s="425">
        <v>1</v>
      </c>
      <c r="AJ112" s="957">
        <v>0</v>
      </c>
      <c r="AL112" s="939">
        <v>0</v>
      </c>
      <c r="AM112" s="939">
        <v>0</v>
      </c>
      <c r="AN112" s="950">
        <v>2865.0905199999997</v>
      </c>
      <c r="AO112" s="946">
        <v>0.70191582460725099</v>
      </c>
      <c r="AP112" s="946">
        <v>702</v>
      </c>
      <c r="AQ112" s="953"/>
      <c r="AR112" s="950"/>
      <c r="AS112" s="950">
        <v>174.083</v>
      </c>
    </row>
    <row r="113" spans="1:45" x14ac:dyDescent="0.3">
      <c r="A113" s="642" t="s">
        <v>409</v>
      </c>
      <c r="B113" s="642" t="s">
        <v>410</v>
      </c>
      <c r="C113" s="642" t="s">
        <v>408</v>
      </c>
      <c r="D113" s="642" t="s">
        <v>61</v>
      </c>
      <c r="F113" s="946">
        <v>0</v>
      </c>
      <c r="H113" s="946">
        <v>0</v>
      </c>
      <c r="I113" s="939">
        <v>0</v>
      </c>
      <c r="J113" s="974">
        <v>0</v>
      </c>
      <c r="L113" s="946">
        <v>0</v>
      </c>
      <c r="M113" s="947"/>
      <c r="N113" s="946">
        <v>0</v>
      </c>
      <c r="P113" s="946">
        <v>0</v>
      </c>
      <c r="R113" s="946">
        <v>0</v>
      </c>
      <c r="S113" s="948">
        <v>0</v>
      </c>
      <c r="T113" s="946">
        <v>0</v>
      </c>
      <c r="V113" s="946">
        <v>322</v>
      </c>
      <c r="W113" s="946">
        <v>0</v>
      </c>
      <c r="X113" s="946">
        <v>188</v>
      </c>
      <c r="Y113" s="947"/>
      <c r="Z113" s="946">
        <v>1383</v>
      </c>
      <c r="AA113" s="948">
        <v>98365</v>
      </c>
      <c r="AB113" s="946">
        <v>98.364999999999995</v>
      </c>
      <c r="AC113" s="974">
        <v>5060.3792899999999</v>
      </c>
      <c r="AD113" s="946">
        <v>16586.198960000002</v>
      </c>
      <c r="AE113" s="957">
        <v>0</v>
      </c>
      <c r="AG113" s="957">
        <v>238</v>
      </c>
      <c r="AH113" s="955">
        <v>0</v>
      </c>
      <c r="AI113" s="425">
        <v>1</v>
      </c>
      <c r="AJ113" s="957">
        <v>0</v>
      </c>
      <c r="AL113" s="939">
        <v>0</v>
      </c>
      <c r="AM113" s="939">
        <v>0</v>
      </c>
      <c r="AN113" s="950">
        <v>133.125</v>
      </c>
      <c r="AO113" s="946">
        <v>0.198972957824431</v>
      </c>
      <c r="AP113" s="946">
        <v>199</v>
      </c>
      <c r="AQ113" s="953"/>
      <c r="AR113" s="950"/>
      <c r="AS113" s="950">
        <v>255.95099999999999</v>
      </c>
    </row>
    <row r="114" spans="1:45" x14ac:dyDescent="0.3">
      <c r="A114" s="642" t="s">
        <v>412</v>
      </c>
      <c r="B114" s="642" t="s">
        <v>413</v>
      </c>
      <c r="C114" s="642" t="s">
        <v>411</v>
      </c>
      <c r="D114" s="642" t="s">
        <v>61</v>
      </c>
      <c r="F114" s="946">
        <v>-964</v>
      </c>
      <c r="H114" s="946">
        <v>0</v>
      </c>
      <c r="I114" s="939">
        <v>0</v>
      </c>
      <c r="J114" s="974">
        <v>0</v>
      </c>
      <c r="L114" s="946">
        <v>0</v>
      </c>
      <c r="M114" s="947"/>
      <c r="N114" s="946">
        <v>697</v>
      </c>
      <c r="P114" s="946">
        <v>0</v>
      </c>
      <c r="R114" s="946">
        <v>0</v>
      </c>
      <c r="S114" s="948">
        <v>0</v>
      </c>
      <c r="T114" s="946">
        <v>0</v>
      </c>
      <c r="V114" s="946">
        <v>416</v>
      </c>
      <c r="W114" s="946">
        <v>0</v>
      </c>
      <c r="X114" s="946">
        <v>424</v>
      </c>
      <c r="Y114" s="947"/>
      <c r="Z114" s="946">
        <v>1244</v>
      </c>
      <c r="AA114" s="948">
        <v>204969</v>
      </c>
      <c r="AB114" s="946">
        <v>204.96899999999999</v>
      </c>
      <c r="AC114" s="974">
        <v>3205.98</v>
      </c>
      <c r="AD114" s="946">
        <v>10381.285</v>
      </c>
      <c r="AE114" s="957">
        <v>0</v>
      </c>
      <c r="AG114" s="957">
        <v>10121</v>
      </c>
      <c r="AH114" s="955">
        <v>0</v>
      </c>
      <c r="AI114" s="425">
        <v>1</v>
      </c>
      <c r="AJ114" s="957">
        <v>0</v>
      </c>
      <c r="AL114" s="939">
        <v>0</v>
      </c>
      <c r="AM114" s="939">
        <v>0</v>
      </c>
      <c r="AN114" s="950">
        <v>493</v>
      </c>
      <c r="AO114" s="946">
        <v>0.28139221845020301</v>
      </c>
      <c r="AP114" s="946">
        <v>281</v>
      </c>
      <c r="AQ114" s="953"/>
      <c r="AR114" s="950"/>
      <c r="AS114" s="950">
        <v>442.56299999999999</v>
      </c>
    </row>
    <row r="115" spans="1:45" x14ac:dyDescent="0.3">
      <c r="A115" s="642" t="s">
        <v>415</v>
      </c>
      <c r="B115" s="642" t="s">
        <v>416</v>
      </c>
      <c r="C115" s="642" t="s">
        <v>414</v>
      </c>
      <c r="D115" s="642" t="s">
        <v>5425</v>
      </c>
      <c r="F115" s="946">
        <v>0</v>
      </c>
      <c r="H115" s="946">
        <v>0</v>
      </c>
      <c r="I115" s="939">
        <v>0</v>
      </c>
      <c r="J115" s="974">
        <v>0</v>
      </c>
      <c r="L115" s="946">
        <v>0</v>
      </c>
      <c r="M115" s="947"/>
      <c r="N115" s="946">
        <v>0</v>
      </c>
      <c r="P115" s="946">
        <v>0</v>
      </c>
      <c r="R115" s="946">
        <v>0</v>
      </c>
      <c r="S115" s="948">
        <v>0</v>
      </c>
      <c r="T115" s="946">
        <v>0</v>
      </c>
      <c r="V115" s="946">
        <v>0</v>
      </c>
      <c r="W115" s="946">
        <v>0</v>
      </c>
      <c r="X115" s="946">
        <v>0</v>
      </c>
      <c r="Y115" s="947"/>
      <c r="Z115" s="946">
        <v>0</v>
      </c>
      <c r="AA115" s="948">
        <v>0</v>
      </c>
      <c r="AB115" s="946">
        <v>0</v>
      </c>
      <c r="AC115" s="974">
        <v>0</v>
      </c>
      <c r="AD115" s="946">
        <v>0</v>
      </c>
      <c r="AE115" s="957">
        <v>0</v>
      </c>
      <c r="AG115" s="957">
        <v>0</v>
      </c>
      <c r="AH115" s="955">
        <v>0</v>
      </c>
      <c r="AI115" s="425">
        <v>0</v>
      </c>
      <c r="AJ115" s="957">
        <v>0</v>
      </c>
      <c r="AL115" s="939">
        <v>0</v>
      </c>
      <c r="AM115" s="939">
        <v>0</v>
      </c>
      <c r="AN115" s="950">
        <v>84</v>
      </c>
      <c r="AO115" s="946">
        <v>0</v>
      </c>
      <c r="AP115" s="946">
        <v>0</v>
      </c>
      <c r="AQ115" s="953"/>
      <c r="AR115" s="950"/>
      <c r="AS115" s="950">
        <v>0</v>
      </c>
    </row>
    <row r="116" spans="1:45" x14ac:dyDescent="0.3">
      <c r="A116" s="642" t="s">
        <v>418</v>
      </c>
      <c r="B116" s="642" t="s">
        <v>419</v>
      </c>
      <c r="C116" s="642" t="s">
        <v>417</v>
      </c>
      <c r="D116" s="642" t="s">
        <v>125</v>
      </c>
      <c r="F116" s="946">
        <v>-5032</v>
      </c>
      <c r="H116" s="946">
        <v>0</v>
      </c>
      <c r="I116" s="939">
        <v>179313047</v>
      </c>
      <c r="J116" s="974">
        <v>179313.04699999999</v>
      </c>
      <c r="L116" s="946">
        <v>11618</v>
      </c>
      <c r="M116" s="947"/>
      <c r="N116" s="946">
        <v>1958</v>
      </c>
      <c r="P116" s="946">
        <v>12707</v>
      </c>
      <c r="R116" s="946">
        <v>11621</v>
      </c>
      <c r="S116" s="948">
        <v>882505</v>
      </c>
      <c r="T116" s="946">
        <v>882.505</v>
      </c>
      <c r="V116" s="946">
        <v>492</v>
      </c>
      <c r="W116" s="946">
        <v>976</v>
      </c>
      <c r="X116" s="946">
        <v>3669</v>
      </c>
      <c r="Y116" s="947"/>
      <c r="Z116" s="946">
        <v>3587</v>
      </c>
      <c r="AA116" s="948">
        <v>325705</v>
      </c>
      <c r="AB116" s="946">
        <v>325.70499999999998</v>
      </c>
      <c r="AC116" s="974">
        <v>6869.2747300000001</v>
      </c>
      <c r="AD116" s="946">
        <v>202821.497</v>
      </c>
      <c r="AE116" s="957">
        <v>5610</v>
      </c>
      <c r="AG116" s="957">
        <v>14004</v>
      </c>
      <c r="AH116" s="955">
        <v>0</v>
      </c>
      <c r="AI116" s="425">
        <v>1</v>
      </c>
      <c r="AJ116" s="957">
        <v>0</v>
      </c>
      <c r="AL116" s="939">
        <v>1</v>
      </c>
      <c r="AM116" s="939">
        <v>1</v>
      </c>
      <c r="AN116" s="950">
        <v>11773.865250000001</v>
      </c>
      <c r="AO116" s="946">
        <v>0.44600304776264299</v>
      </c>
      <c r="AP116" s="946">
        <v>446</v>
      </c>
      <c r="AQ116" s="953"/>
      <c r="AR116" s="950"/>
      <c r="AS116" s="950">
        <v>658.55799999999999</v>
      </c>
    </row>
    <row r="117" spans="1:45" x14ac:dyDescent="0.3">
      <c r="A117" s="642" t="s">
        <v>421</v>
      </c>
      <c r="B117" s="642" t="s">
        <v>422</v>
      </c>
      <c r="C117" s="642" t="s">
        <v>420</v>
      </c>
      <c r="D117" s="642" t="s">
        <v>61</v>
      </c>
      <c r="F117" s="946">
        <v>-1</v>
      </c>
      <c r="H117" s="946">
        <v>0</v>
      </c>
      <c r="I117" s="939">
        <v>0</v>
      </c>
      <c r="J117" s="974">
        <v>0</v>
      </c>
      <c r="L117" s="946">
        <v>0</v>
      </c>
      <c r="M117" s="947"/>
      <c r="N117" s="946">
        <v>0</v>
      </c>
      <c r="P117" s="946">
        <v>0</v>
      </c>
      <c r="R117" s="946">
        <v>0</v>
      </c>
      <c r="S117" s="948">
        <v>0</v>
      </c>
      <c r="T117" s="946">
        <v>0</v>
      </c>
      <c r="V117" s="946">
        <v>276</v>
      </c>
      <c r="W117" s="946">
        <v>0</v>
      </c>
      <c r="X117" s="946">
        <v>221</v>
      </c>
      <c r="Y117" s="947"/>
      <c r="Z117" s="946">
        <v>1533</v>
      </c>
      <c r="AA117" s="948">
        <v>113230</v>
      </c>
      <c r="AB117" s="946">
        <v>113.23</v>
      </c>
      <c r="AC117" s="974">
        <v>1309.7470000000001</v>
      </c>
      <c r="AD117" s="946">
        <v>9064.9660000000003</v>
      </c>
      <c r="AE117" s="957">
        <v>0</v>
      </c>
      <c r="AG117" s="957">
        <v>0</v>
      </c>
      <c r="AH117" s="955">
        <v>0</v>
      </c>
      <c r="AI117" s="425">
        <v>1</v>
      </c>
      <c r="AJ117" s="957">
        <v>0</v>
      </c>
      <c r="AL117" s="939">
        <v>0</v>
      </c>
      <c r="AM117" s="939">
        <v>0</v>
      </c>
      <c r="AN117" s="950">
        <v>299.77001000000001</v>
      </c>
      <c r="AO117" s="946">
        <v>0.14635915504879901</v>
      </c>
      <c r="AP117" s="946">
        <v>146</v>
      </c>
      <c r="AQ117" s="953"/>
      <c r="AR117" s="950"/>
      <c r="AS117" s="950">
        <v>236.42699999999999</v>
      </c>
    </row>
    <row r="118" spans="1:45" x14ac:dyDescent="0.3">
      <c r="A118" s="642" t="s">
        <v>424</v>
      </c>
      <c r="B118" s="642" t="s">
        <v>425</v>
      </c>
      <c r="C118" s="642" t="s">
        <v>423</v>
      </c>
      <c r="D118" s="642" t="s">
        <v>61</v>
      </c>
      <c r="F118" s="946">
        <v>-341</v>
      </c>
      <c r="H118" s="946">
        <v>0</v>
      </c>
      <c r="I118" s="939">
        <v>0</v>
      </c>
      <c r="J118" s="974">
        <v>0</v>
      </c>
      <c r="L118" s="946">
        <v>0</v>
      </c>
      <c r="M118" s="947"/>
      <c r="N118" s="946">
        <v>260</v>
      </c>
      <c r="P118" s="946">
        <v>0</v>
      </c>
      <c r="R118" s="946">
        <v>0</v>
      </c>
      <c r="S118" s="948">
        <v>0</v>
      </c>
      <c r="T118" s="946">
        <v>0</v>
      </c>
      <c r="V118" s="946">
        <v>610</v>
      </c>
      <c r="W118" s="946">
        <v>0</v>
      </c>
      <c r="X118" s="946">
        <v>477</v>
      </c>
      <c r="Y118" s="947"/>
      <c r="Z118" s="946">
        <v>1649</v>
      </c>
      <c r="AA118" s="948">
        <v>267636</v>
      </c>
      <c r="AB118" s="946">
        <v>267.63600000000002</v>
      </c>
      <c r="AC118" s="974">
        <v>6748.5290000000005</v>
      </c>
      <c r="AD118" s="946">
        <v>22436.238000000001</v>
      </c>
      <c r="AE118" s="957">
        <v>29788</v>
      </c>
      <c r="AG118" s="957">
        <v>3020</v>
      </c>
      <c r="AH118" s="955">
        <v>0</v>
      </c>
      <c r="AI118" s="425">
        <v>1</v>
      </c>
      <c r="AJ118" s="957">
        <v>0</v>
      </c>
      <c r="AL118" s="939">
        <v>0</v>
      </c>
      <c r="AM118" s="939">
        <v>0</v>
      </c>
      <c r="AN118" s="950">
        <v>2355.2759100000003</v>
      </c>
      <c r="AO118" s="946">
        <v>0.31679805864579502</v>
      </c>
      <c r="AP118" s="946">
        <v>317</v>
      </c>
      <c r="AQ118" s="953"/>
      <c r="AR118" s="950"/>
      <c r="AS118" s="950">
        <v>629.84299999999996</v>
      </c>
    </row>
    <row r="119" spans="1:45" x14ac:dyDescent="0.3">
      <c r="A119" s="642" t="s">
        <v>427</v>
      </c>
      <c r="B119" s="642" t="s">
        <v>428</v>
      </c>
      <c r="C119" s="642" t="s">
        <v>426</v>
      </c>
      <c r="D119" s="642" t="s">
        <v>1942</v>
      </c>
      <c r="F119" s="946">
        <v>-3687</v>
      </c>
      <c r="H119" s="946">
        <v>0</v>
      </c>
      <c r="I119" s="939">
        <v>244475322</v>
      </c>
      <c r="J119" s="974">
        <v>244475.32199999999</v>
      </c>
      <c r="L119" s="946">
        <v>28862</v>
      </c>
      <c r="M119" s="947"/>
      <c r="N119" s="946">
        <v>0</v>
      </c>
      <c r="P119" s="946">
        <v>23674</v>
      </c>
      <c r="R119" s="946">
        <v>21777</v>
      </c>
      <c r="S119" s="948">
        <v>956080</v>
      </c>
      <c r="T119" s="946">
        <v>956.08</v>
      </c>
      <c r="V119" s="946">
        <v>0</v>
      </c>
      <c r="W119" s="946">
        <v>1745</v>
      </c>
      <c r="X119" s="946">
        <v>5175</v>
      </c>
      <c r="Y119" s="947"/>
      <c r="Z119" s="946">
        <v>816</v>
      </c>
      <c r="AA119" s="948">
        <v>0</v>
      </c>
      <c r="AB119" s="946">
        <v>0</v>
      </c>
      <c r="AC119" s="974">
        <v>0</v>
      </c>
      <c r="AD119" s="946">
        <v>328366.80200000003</v>
      </c>
      <c r="AE119" s="957">
        <v>0</v>
      </c>
      <c r="AG119" s="957">
        <v>18867</v>
      </c>
      <c r="AH119" s="955">
        <v>0</v>
      </c>
      <c r="AI119" s="425">
        <v>0</v>
      </c>
      <c r="AJ119" s="957">
        <v>0</v>
      </c>
      <c r="AL119" s="939">
        <v>1</v>
      </c>
      <c r="AM119" s="939">
        <v>1</v>
      </c>
      <c r="AN119" s="950">
        <v>10084.669400000001</v>
      </c>
      <c r="AO119" s="946">
        <v>0</v>
      </c>
      <c r="AP119" s="946">
        <v>0</v>
      </c>
      <c r="AQ119" s="953"/>
      <c r="AR119" s="950"/>
      <c r="AS119" s="950">
        <v>0</v>
      </c>
    </row>
    <row r="120" spans="1:45" x14ac:dyDescent="0.3">
      <c r="A120" s="642" t="s">
        <v>430</v>
      </c>
      <c r="B120" s="642" t="s">
        <v>431</v>
      </c>
      <c r="C120" s="642" t="s">
        <v>5426</v>
      </c>
      <c r="D120" s="642" t="s">
        <v>5408</v>
      </c>
      <c r="F120" s="946">
        <v>-3325</v>
      </c>
      <c r="H120" s="946">
        <v>0</v>
      </c>
      <c r="I120" s="939">
        <v>0</v>
      </c>
      <c r="J120" s="974">
        <v>0</v>
      </c>
      <c r="L120" s="946">
        <v>0</v>
      </c>
      <c r="M120" s="947"/>
      <c r="N120" s="946">
        <v>0</v>
      </c>
      <c r="P120" s="946">
        <v>0</v>
      </c>
      <c r="R120" s="946">
        <v>0</v>
      </c>
      <c r="S120" s="948">
        <v>0</v>
      </c>
      <c r="T120" s="946">
        <v>0</v>
      </c>
      <c r="V120" s="946">
        <v>0</v>
      </c>
      <c r="W120" s="946">
        <v>0</v>
      </c>
      <c r="X120" s="946">
        <v>535</v>
      </c>
      <c r="Y120" s="947"/>
      <c r="Z120" s="946">
        <v>0</v>
      </c>
      <c r="AA120" s="948">
        <v>0</v>
      </c>
      <c r="AB120" s="946">
        <v>0</v>
      </c>
      <c r="AC120" s="974">
        <v>0</v>
      </c>
      <c r="AD120" s="946">
        <v>29287.95</v>
      </c>
      <c r="AE120" s="957">
        <v>0</v>
      </c>
      <c r="AG120" s="957">
        <v>0</v>
      </c>
      <c r="AH120" s="955">
        <v>0</v>
      </c>
      <c r="AI120" s="425">
        <v>0</v>
      </c>
      <c r="AJ120" s="957">
        <v>0</v>
      </c>
      <c r="AL120" s="939">
        <v>0</v>
      </c>
      <c r="AM120" s="939">
        <v>0</v>
      </c>
      <c r="AN120" s="950">
        <v>472.88499999999999</v>
      </c>
      <c r="AO120" s="946">
        <v>0</v>
      </c>
      <c r="AP120" s="946">
        <v>0</v>
      </c>
      <c r="AQ120" s="953"/>
      <c r="AR120" s="950"/>
      <c r="AS120" s="950">
        <v>0</v>
      </c>
    </row>
    <row r="121" spans="1:45" x14ac:dyDescent="0.3">
      <c r="A121" s="642" t="s">
        <v>433</v>
      </c>
      <c r="B121" s="642" t="s">
        <v>434</v>
      </c>
      <c r="C121" s="642" t="s">
        <v>432</v>
      </c>
      <c r="D121" s="642" t="s">
        <v>61</v>
      </c>
      <c r="F121" s="946">
        <v>-1</v>
      </c>
      <c r="H121" s="946">
        <v>0</v>
      </c>
      <c r="I121" s="939">
        <v>0</v>
      </c>
      <c r="J121" s="974">
        <v>0</v>
      </c>
      <c r="L121" s="946">
        <v>0</v>
      </c>
      <c r="M121" s="947"/>
      <c r="N121" s="946">
        <v>0</v>
      </c>
      <c r="P121" s="946">
        <v>0</v>
      </c>
      <c r="R121" s="946">
        <v>0</v>
      </c>
      <c r="S121" s="948">
        <v>0</v>
      </c>
      <c r="T121" s="946">
        <v>0</v>
      </c>
      <c r="V121" s="946">
        <v>691</v>
      </c>
      <c r="W121" s="946">
        <v>0</v>
      </c>
      <c r="X121" s="946">
        <v>252</v>
      </c>
      <c r="Y121" s="947"/>
      <c r="Z121" s="946">
        <v>13</v>
      </c>
      <c r="AA121" s="948">
        <v>128388</v>
      </c>
      <c r="AB121" s="946">
        <v>128.38800000000001</v>
      </c>
      <c r="AC121" s="974">
        <v>0</v>
      </c>
      <c r="AD121" s="946">
        <v>9100.3349999999991</v>
      </c>
      <c r="AE121" s="957">
        <v>8914</v>
      </c>
      <c r="AG121" s="957">
        <v>0</v>
      </c>
      <c r="AH121" s="955">
        <v>0</v>
      </c>
      <c r="AI121" s="425">
        <v>1</v>
      </c>
      <c r="AJ121" s="957">
        <v>0</v>
      </c>
      <c r="AL121" s="939">
        <v>0</v>
      </c>
      <c r="AM121" s="939">
        <v>0</v>
      </c>
      <c r="AN121" s="950">
        <v>2951.5279599999999</v>
      </c>
      <c r="AO121" s="946">
        <v>0.16707723812803199</v>
      </c>
      <c r="AP121" s="946">
        <v>167</v>
      </c>
      <c r="AQ121" s="953"/>
      <c r="AR121" s="950"/>
      <c r="AS121" s="950">
        <v>370.29300000000001</v>
      </c>
    </row>
    <row r="122" spans="1:45" x14ac:dyDescent="0.3">
      <c r="A122" s="642" t="s">
        <v>436</v>
      </c>
      <c r="B122" s="642" t="s">
        <v>437</v>
      </c>
      <c r="C122" s="642" t="s">
        <v>435</v>
      </c>
      <c r="D122" s="642" t="s">
        <v>61</v>
      </c>
      <c r="F122" s="946">
        <v>0</v>
      </c>
      <c r="H122" s="946">
        <v>0</v>
      </c>
      <c r="I122" s="939">
        <v>0</v>
      </c>
      <c r="J122" s="974">
        <v>0</v>
      </c>
      <c r="L122" s="946">
        <v>0</v>
      </c>
      <c r="M122" s="947"/>
      <c r="N122" s="946">
        <v>0</v>
      </c>
      <c r="P122" s="946">
        <v>0</v>
      </c>
      <c r="R122" s="946">
        <v>0</v>
      </c>
      <c r="S122" s="948">
        <v>0</v>
      </c>
      <c r="T122" s="946">
        <v>0</v>
      </c>
      <c r="V122" s="946">
        <v>353</v>
      </c>
      <c r="W122" s="946">
        <v>0</v>
      </c>
      <c r="X122" s="946">
        <v>178</v>
      </c>
      <c r="Y122" s="947"/>
      <c r="Z122" s="946">
        <v>1763</v>
      </c>
      <c r="AA122" s="948">
        <v>81140</v>
      </c>
      <c r="AB122" s="946">
        <v>81.14</v>
      </c>
      <c r="AC122" s="974">
        <v>3693.6730600000001</v>
      </c>
      <c r="AD122" s="946">
        <v>10077.46384</v>
      </c>
      <c r="AE122" s="957">
        <v>0</v>
      </c>
      <c r="AG122" s="957">
        <v>0</v>
      </c>
      <c r="AH122" s="955">
        <v>0</v>
      </c>
      <c r="AI122" s="425">
        <v>1</v>
      </c>
      <c r="AJ122" s="957">
        <v>0</v>
      </c>
      <c r="AL122" s="939">
        <v>0</v>
      </c>
      <c r="AM122" s="939">
        <v>0</v>
      </c>
      <c r="AN122" s="950">
        <v>6720</v>
      </c>
      <c r="AO122" s="946">
        <v>0.88247978262646598</v>
      </c>
      <c r="AP122" s="946">
        <v>882</v>
      </c>
      <c r="AQ122" s="953"/>
      <c r="AR122" s="950"/>
      <c r="AS122" s="950">
        <v>239.512</v>
      </c>
    </row>
    <row r="123" spans="1:45" x14ac:dyDescent="0.3">
      <c r="A123" s="642" t="s">
        <v>439</v>
      </c>
      <c r="B123" s="642" t="s">
        <v>440</v>
      </c>
      <c r="C123" s="642" t="s">
        <v>438</v>
      </c>
      <c r="D123" s="642" t="s">
        <v>61</v>
      </c>
      <c r="F123" s="946">
        <v>0</v>
      </c>
      <c r="H123" s="946">
        <v>0</v>
      </c>
      <c r="I123" s="939">
        <v>0</v>
      </c>
      <c r="J123" s="974">
        <v>0</v>
      </c>
      <c r="L123" s="946">
        <v>0</v>
      </c>
      <c r="M123" s="947"/>
      <c r="N123" s="946">
        <v>711</v>
      </c>
      <c r="P123" s="946">
        <v>0</v>
      </c>
      <c r="R123" s="946">
        <v>0</v>
      </c>
      <c r="S123" s="948">
        <v>0</v>
      </c>
      <c r="T123" s="946">
        <v>0</v>
      </c>
      <c r="V123" s="946">
        <v>80</v>
      </c>
      <c r="W123" s="946">
        <v>0</v>
      </c>
      <c r="X123" s="946">
        <v>118</v>
      </c>
      <c r="Y123" s="947"/>
      <c r="Z123" s="946">
        <v>386</v>
      </c>
      <c r="AA123" s="948">
        <v>46658</v>
      </c>
      <c r="AB123" s="946">
        <v>46.658000000000001</v>
      </c>
      <c r="AC123" s="974">
        <v>1204.6400000000001</v>
      </c>
      <c r="AD123" s="946">
        <v>5386.7520000000004</v>
      </c>
      <c r="AE123" s="957" t="s">
        <v>5589</v>
      </c>
      <c r="AG123" s="957">
        <v>721</v>
      </c>
      <c r="AH123" s="955">
        <v>0</v>
      </c>
      <c r="AI123" s="425">
        <v>1</v>
      </c>
      <c r="AJ123" s="957">
        <v>0</v>
      </c>
      <c r="AL123" s="939">
        <v>0</v>
      </c>
      <c r="AM123" s="939">
        <v>0</v>
      </c>
      <c r="AN123" s="950">
        <v>0</v>
      </c>
      <c r="AO123" s="946">
        <v>7.8485694047289306E-2</v>
      </c>
      <c r="AP123" s="946">
        <v>78</v>
      </c>
      <c r="AQ123" s="953"/>
      <c r="AR123" s="950"/>
      <c r="AS123" s="950">
        <v>86.569000000000003</v>
      </c>
    </row>
    <row r="124" spans="1:45" x14ac:dyDescent="0.3">
      <c r="A124" s="642" t="s">
        <v>442</v>
      </c>
      <c r="B124" s="642" t="s">
        <v>443</v>
      </c>
      <c r="C124" s="642" t="s">
        <v>441</v>
      </c>
      <c r="D124" s="642" t="s">
        <v>61</v>
      </c>
      <c r="F124" s="946">
        <v>0</v>
      </c>
      <c r="H124" s="946">
        <v>0</v>
      </c>
      <c r="I124" s="939">
        <v>0</v>
      </c>
      <c r="J124" s="974">
        <v>0</v>
      </c>
      <c r="L124" s="946">
        <v>0</v>
      </c>
      <c r="M124" s="947"/>
      <c r="N124" s="946">
        <v>0</v>
      </c>
      <c r="P124" s="946">
        <v>0</v>
      </c>
      <c r="R124" s="946">
        <v>0</v>
      </c>
      <c r="S124" s="948">
        <v>0</v>
      </c>
      <c r="T124" s="946">
        <v>0</v>
      </c>
      <c r="V124" s="946">
        <v>530</v>
      </c>
      <c r="W124" s="946">
        <v>0</v>
      </c>
      <c r="X124" s="946">
        <v>161</v>
      </c>
      <c r="Y124" s="947"/>
      <c r="Z124" s="946">
        <v>1028</v>
      </c>
      <c r="AA124" s="948">
        <v>108044</v>
      </c>
      <c r="AB124" s="946">
        <v>108.044</v>
      </c>
      <c r="AC124" s="974">
        <v>50.445</v>
      </c>
      <c r="AD124" s="946">
        <v>15544.653</v>
      </c>
      <c r="AE124" s="957">
        <v>0</v>
      </c>
      <c r="AG124" s="957">
        <v>2405</v>
      </c>
      <c r="AH124" s="955">
        <v>0</v>
      </c>
      <c r="AI124" s="425">
        <v>1</v>
      </c>
      <c r="AJ124" s="957">
        <v>0</v>
      </c>
      <c r="AL124" s="939">
        <v>0</v>
      </c>
      <c r="AM124" s="939">
        <v>0</v>
      </c>
      <c r="AN124" s="950">
        <v>1305.45361</v>
      </c>
      <c r="AO124" s="946">
        <v>0.106514819173145</v>
      </c>
      <c r="AP124" s="946">
        <v>107</v>
      </c>
      <c r="AQ124" s="953"/>
      <c r="AR124" s="950"/>
      <c r="AS124" s="950">
        <v>238.4</v>
      </c>
    </row>
    <row r="125" spans="1:45" x14ac:dyDescent="0.3">
      <c r="A125" s="642" t="s">
        <v>445</v>
      </c>
      <c r="B125" s="642" t="s">
        <v>446</v>
      </c>
      <c r="C125" s="642" t="s">
        <v>444</v>
      </c>
      <c r="D125" s="642" t="s">
        <v>1940</v>
      </c>
      <c r="F125" s="946">
        <v>-18214</v>
      </c>
      <c r="H125" s="946">
        <v>0</v>
      </c>
      <c r="I125" s="939">
        <v>228355309</v>
      </c>
      <c r="J125" s="974">
        <v>228355.30900000001</v>
      </c>
      <c r="L125" s="946">
        <v>18024</v>
      </c>
      <c r="M125" s="947"/>
      <c r="N125" s="946">
        <v>0</v>
      </c>
      <c r="P125" s="946">
        <v>12924</v>
      </c>
      <c r="R125" s="946">
        <v>11726</v>
      </c>
      <c r="S125" s="948">
        <v>725664</v>
      </c>
      <c r="T125" s="946">
        <v>725.66399999999999</v>
      </c>
      <c r="V125" s="946">
        <v>8999</v>
      </c>
      <c r="W125" s="946">
        <v>877</v>
      </c>
      <c r="X125" s="946">
        <v>5113</v>
      </c>
      <c r="Y125" s="947"/>
      <c r="Z125" s="946">
        <v>172</v>
      </c>
      <c r="AA125" s="948">
        <v>684253</v>
      </c>
      <c r="AB125" s="946">
        <v>684.25300000000004</v>
      </c>
      <c r="AC125" s="974">
        <v>0</v>
      </c>
      <c r="AD125" s="946">
        <v>139361</v>
      </c>
      <c r="AE125" s="957">
        <v>-5838</v>
      </c>
      <c r="AG125" s="957">
        <v>0</v>
      </c>
      <c r="AH125" s="955">
        <v>-3438</v>
      </c>
      <c r="AI125" s="425">
        <v>1</v>
      </c>
      <c r="AJ125" s="957">
        <v>0</v>
      </c>
      <c r="AL125" s="939">
        <v>1</v>
      </c>
      <c r="AM125" s="939">
        <v>1</v>
      </c>
      <c r="AN125" s="950">
        <v>24725.729530000008</v>
      </c>
      <c r="AO125" s="946">
        <v>0.67064881518284403</v>
      </c>
      <c r="AP125" s="946">
        <v>671</v>
      </c>
      <c r="AQ125" s="953"/>
      <c r="AR125" s="950"/>
      <c r="AS125" s="950">
        <v>1557.778</v>
      </c>
    </row>
    <row r="126" spans="1:45" x14ac:dyDescent="0.3">
      <c r="A126" s="642" t="s">
        <v>448</v>
      </c>
      <c r="B126" s="642" t="s">
        <v>449</v>
      </c>
      <c r="C126" s="642" t="s">
        <v>447</v>
      </c>
      <c r="D126" s="642" t="s">
        <v>61</v>
      </c>
      <c r="F126" s="946">
        <v>-1</v>
      </c>
      <c r="H126" s="946">
        <v>0</v>
      </c>
      <c r="I126" s="939">
        <v>0</v>
      </c>
      <c r="J126" s="974">
        <v>0</v>
      </c>
      <c r="L126" s="946">
        <v>0</v>
      </c>
      <c r="M126" s="947"/>
      <c r="N126" s="946">
        <v>0</v>
      </c>
      <c r="P126" s="946">
        <v>0</v>
      </c>
      <c r="R126" s="946">
        <v>0</v>
      </c>
      <c r="S126" s="948">
        <v>0</v>
      </c>
      <c r="T126" s="946">
        <v>0</v>
      </c>
      <c r="V126" s="946">
        <v>574</v>
      </c>
      <c r="W126" s="946">
        <v>0</v>
      </c>
      <c r="X126" s="946">
        <v>230</v>
      </c>
      <c r="Y126" s="947"/>
      <c r="Z126" s="946">
        <v>776</v>
      </c>
      <c r="AA126" s="948">
        <v>115135</v>
      </c>
      <c r="AB126" s="946">
        <v>115.13500000000001</v>
      </c>
      <c r="AC126" s="974">
        <v>3887.1860000000001</v>
      </c>
      <c r="AD126" s="946">
        <v>12526.276</v>
      </c>
      <c r="AE126" s="957">
        <v>4164</v>
      </c>
      <c r="AG126" s="957">
        <v>0</v>
      </c>
      <c r="AH126" s="955">
        <v>0</v>
      </c>
      <c r="AI126" s="425">
        <v>1</v>
      </c>
      <c r="AJ126" s="957">
        <v>0</v>
      </c>
      <c r="AL126" s="939">
        <v>0</v>
      </c>
      <c r="AM126" s="939">
        <v>0</v>
      </c>
      <c r="AN126" s="950">
        <v>6679.90625</v>
      </c>
      <c r="AO126" s="946">
        <v>0.15235055168491199</v>
      </c>
      <c r="AP126" s="946">
        <v>152</v>
      </c>
      <c r="AQ126" s="953"/>
      <c r="AR126" s="950"/>
      <c r="AS126" s="950">
        <v>259.99</v>
      </c>
    </row>
    <row r="127" spans="1:45" x14ac:dyDescent="0.3">
      <c r="A127" s="642" t="s">
        <v>451</v>
      </c>
      <c r="B127" s="642" t="s">
        <v>452</v>
      </c>
      <c r="C127" s="642" t="s">
        <v>450</v>
      </c>
      <c r="D127" s="642" t="s">
        <v>61</v>
      </c>
      <c r="F127" s="946">
        <v>0</v>
      </c>
      <c r="H127" s="946">
        <v>0</v>
      </c>
      <c r="I127" s="939">
        <v>0</v>
      </c>
      <c r="J127" s="974">
        <v>0</v>
      </c>
      <c r="L127" s="946">
        <v>0</v>
      </c>
      <c r="M127" s="947"/>
      <c r="N127" s="946">
        <v>0</v>
      </c>
      <c r="P127" s="946">
        <v>0</v>
      </c>
      <c r="R127" s="946">
        <v>0</v>
      </c>
      <c r="S127" s="948">
        <v>0</v>
      </c>
      <c r="T127" s="946">
        <v>0</v>
      </c>
      <c r="V127" s="946">
        <v>478</v>
      </c>
      <c r="W127" s="946">
        <v>0</v>
      </c>
      <c r="X127" s="946">
        <v>98</v>
      </c>
      <c r="Y127" s="947"/>
      <c r="Z127" s="946">
        <v>174</v>
      </c>
      <c r="AA127" s="948">
        <v>46589</v>
      </c>
      <c r="AB127" s="946">
        <v>46.588999999999999</v>
      </c>
      <c r="AC127" s="974">
        <v>0</v>
      </c>
      <c r="AD127" s="946">
        <v>7089.5370000000003</v>
      </c>
      <c r="AE127" s="957">
        <v>0</v>
      </c>
      <c r="AG127" s="957">
        <v>400</v>
      </c>
      <c r="AH127" s="955">
        <v>0</v>
      </c>
      <c r="AI127" s="425">
        <v>1</v>
      </c>
      <c r="AJ127" s="957">
        <v>0</v>
      </c>
      <c r="AL127" s="939">
        <v>0</v>
      </c>
      <c r="AM127" s="939">
        <v>0</v>
      </c>
      <c r="AN127" s="950">
        <v>1625.2617200000002</v>
      </c>
      <c r="AO127" s="946">
        <v>6.4948209846510396E-2</v>
      </c>
      <c r="AP127" s="946">
        <v>65</v>
      </c>
      <c r="AQ127" s="953"/>
      <c r="AR127" s="950"/>
      <c r="AS127" s="950">
        <v>132.00800000000001</v>
      </c>
    </row>
    <row r="128" spans="1:45" x14ac:dyDescent="0.3">
      <c r="A128" s="642" t="s">
        <v>454</v>
      </c>
      <c r="B128" s="642" t="s">
        <v>455</v>
      </c>
      <c r="C128" s="642" t="s">
        <v>453</v>
      </c>
      <c r="D128" s="642" t="s">
        <v>61</v>
      </c>
      <c r="F128" s="946">
        <v>-110</v>
      </c>
      <c r="H128" s="946">
        <v>0</v>
      </c>
      <c r="I128" s="939">
        <v>0</v>
      </c>
      <c r="J128" s="974">
        <v>0</v>
      </c>
      <c r="L128" s="946">
        <v>0</v>
      </c>
      <c r="M128" s="947"/>
      <c r="N128" s="946">
        <v>0</v>
      </c>
      <c r="P128" s="946">
        <v>0</v>
      </c>
      <c r="R128" s="946">
        <v>0</v>
      </c>
      <c r="S128" s="948">
        <v>0</v>
      </c>
      <c r="T128" s="946">
        <v>0</v>
      </c>
      <c r="V128" s="946">
        <v>206</v>
      </c>
      <c r="W128" s="946">
        <v>0</v>
      </c>
      <c r="X128" s="946">
        <v>229</v>
      </c>
      <c r="Y128" s="947"/>
      <c r="Z128" s="946">
        <v>182</v>
      </c>
      <c r="AA128" s="948">
        <v>136752</v>
      </c>
      <c r="AB128" s="946">
        <v>136.75200000000001</v>
      </c>
      <c r="AC128" s="974">
        <v>463.45</v>
      </c>
      <c r="AD128" s="946">
        <v>7282.43</v>
      </c>
      <c r="AE128" s="957">
        <v>0</v>
      </c>
      <c r="AG128" s="957">
        <v>0</v>
      </c>
      <c r="AH128" s="955">
        <v>0</v>
      </c>
      <c r="AI128" s="425">
        <v>1</v>
      </c>
      <c r="AJ128" s="957">
        <v>0</v>
      </c>
      <c r="AL128" s="939">
        <v>0</v>
      </c>
      <c r="AM128" s="939">
        <v>0</v>
      </c>
      <c r="AN128" s="950">
        <v>0</v>
      </c>
      <c r="AO128" s="946">
        <v>0.15206913702692201</v>
      </c>
      <c r="AP128" s="946">
        <v>152</v>
      </c>
      <c r="AQ128" s="953"/>
      <c r="AR128" s="950"/>
      <c r="AS128" s="950">
        <v>292.286</v>
      </c>
    </row>
    <row r="129" spans="1:45" x14ac:dyDescent="0.3">
      <c r="A129" s="642" t="s">
        <v>457</v>
      </c>
      <c r="B129" s="642" t="s">
        <v>458</v>
      </c>
      <c r="C129" s="642" t="s">
        <v>456</v>
      </c>
      <c r="D129" s="642" t="s">
        <v>1942</v>
      </c>
      <c r="F129" s="946">
        <v>-19295</v>
      </c>
      <c r="H129" s="946">
        <v>0</v>
      </c>
      <c r="I129" s="939">
        <v>557103889</v>
      </c>
      <c r="J129" s="974">
        <v>557103.88899999997</v>
      </c>
      <c r="L129" s="946">
        <v>65616</v>
      </c>
      <c r="M129" s="947"/>
      <c r="N129" s="946">
        <v>0</v>
      </c>
      <c r="P129" s="946">
        <v>53235</v>
      </c>
      <c r="R129" s="946">
        <v>46381</v>
      </c>
      <c r="S129" s="948">
        <v>5089384</v>
      </c>
      <c r="T129" s="946">
        <v>5089.384</v>
      </c>
      <c r="V129" s="946">
        <v>0</v>
      </c>
      <c r="W129" s="946">
        <v>3996</v>
      </c>
      <c r="X129" s="946">
        <v>12177</v>
      </c>
      <c r="Y129" s="947"/>
      <c r="Z129" s="946">
        <v>3432</v>
      </c>
      <c r="AA129" s="948">
        <v>0</v>
      </c>
      <c r="AB129" s="946">
        <v>0</v>
      </c>
      <c r="AC129" s="974">
        <v>0</v>
      </c>
      <c r="AD129" s="946">
        <v>763504.57400000002</v>
      </c>
      <c r="AE129" s="957">
        <v>0</v>
      </c>
      <c r="AG129" s="957">
        <v>6000</v>
      </c>
      <c r="AH129" s="955">
        <v>0</v>
      </c>
      <c r="AI129" s="425">
        <v>0</v>
      </c>
      <c r="AJ129" s="957">
        <v>-3377</v>
      </c>
      <c r="AL129" s="939">
        <v>1</v>
      </c>
      <c r="AM129" s="939">
        <v>1</v>
      </c>
      <c r="AN129" s="950">
        <v>16789.20019</v>
      </c>
      <c r="AO129" s="946">
        <v>0</v>
      </c>
      <c r="AP129" s="946">
        <v>0</v>
      </c>
      <c r="AQ129" s="953"/>
      <c r="AR129" s="950"/>
      <c r="AS129" s="950">
        <v>0</v>
      </c>
    </row>
    <row r="130" spans="1:45" x14ac:dyDescent="0.3">
      <c r="A130" s="642" t="s">
        <v>460</v>
      </c>
      <c r="B130" s="642" t="s">
        <v>461</v>
      </c>
      <c r="C130" s="642" t="s">
        <v>5427</v>
      </c>
      <c r="D130" s="642" t="s">
        <v>5408</v>
      </c>
      <c r="F130" s="946">
        <v>-8780</v>
      </c>
      <c r="H130" s="946">
        <v>0</v>
      </c>
      <c r="I130" s="939">
        <v>0</v>
      </c>
      <c r="J130" s="974">
        <v>0</v>
      </c>
      <c r="L130" s="946">
        <v>0</v>
      </c>
      <c r="M130" s="947"/>
      <c r="N130" s="946">
        <v>0</v>
      </c>
      <c r="P130" s="946">
        <v>0</v>
      </c>
      <c r="R130" s="946">
        <v>0</v>
      </c>
      <c r="S130" s="948">
        <v>0</v>
      </c>
      <c r="T130" s="946">
        <v>0</v>
      </c>
      <c r="V130" s="946">
        <v>0</v>
      </c>
      <c r="W130" s="946">
        <v>0</v>
      </c>
      <c r="X130" s="946">
        <v>1139</v>
      </c>
      <c r="Y130" s="947"/>
      <c r="Z130" s="946">
        <v>0</v>
      </c>
      <c r="AA130" s="948">
        <v>0</v>
      </c>
      <c r="AB130" s="946">
        <v>0</v>
      </c>
      <c r="AC130" s="974">
        <v>0</v>
      </c>
      <c r="AD130" s="946">
        <v>49391.411</v>
      </c>
      <c r="AE130" s="957">
        <v>0</v>
      </c>
      <c r="AG130" s="957">
        <v>0</v>
      </c>
      <c r="AH130" s="955">
        <v>0</v>
      </c>
      <c r="AI130" s="425">
        <v>0</v>
      </c>
      <c r="AJ130" s="957">
        <v>0</v>
      </c>
      <c r="AL130" s="939">
        <v>0</v>
      </c>
      <c r="AM130" s="939">
        <v>0</v>
      </c>
      <c r="AN130" s="950">
        <v>1173.1500000000001</v>
      </c>
      <c r="AO130" s="946">
        <v>0</v>
      </c>
      <c r="AP130" s="946">
        <v>0</v>
      </c>
      <c r="AQ130" s="953"/>
      <c r="AR130" s="950"/>
      <c r="AS130" s="950">
        <v>0</v>
      </c>
    </row>
    <row r="131" spans="1:45" x14ac:dyDescent="0.3">
      <c r="A131" s="642" t="s">
        <v>463</v>
      </c>
      <c r="B131" s="642" t="s">
        <v>464</v>
      </c>
      <c r="C131" s="642" t="s">
        <v>462</v>
      </c>
      <c r="D131" s="642" t="s">
        <v>71</v>
      </c>
      <c r="F131" s="946">
        <v>0</v>
      </c>
      <c r="H131" s="946">
        <v>-206649</v>
      </c>
      <c r="I131" s="939">
        <v>0</v>
      </c>
      <c r="J131" s="974">
        <v>0</v>
      </c>
      <c r="L131" s="946">
        <v>0</v>
      </c>
      <c r="M131" s="947"/>
      <c r="N131" s="946">
        <v>0</v>
      </c>
      <c r="P131" s="946">
        <v>0</v>
      </c>
      <c r="R131" s="946">
        <v>0</v>
      </c>
      <c r="S131" s="948">
        <v>0</v>
      </c>
      <c r="T131" s="946">
        <v>0</v>
      </c>
      <c r="V131" s="946">
        <v>0</v>
      </c>
      <c r="W131" s="946">
        <v>0</v>
      </c>
      <c r="X131" s="946">
        <v>0</v>
      </c>
      <c r="Y131" s="947"/>
      <c r="Z131" s="946">
        <v>0</v>
      </c>
      <c r="AA131" s="948">
        <v>0</v>
      </c>
      <c r="AB131" s="946">
        <v>0</v>
      </c>
      <c r="AC131" s="974">
        <v>0</v>
      </c>
      <c r="AD131" s="946">
        <v>143276.399</v>
      </c>
      <c r="AE131" s="957">
        <v>0</v>
      </c>
      <c r="AG131" s="957">
        <v>0</v>
      </c>
      <c r="AH131" s="955">
        <v>0</v>
      </c>
      <c r="AI131" s="425">
        <v>0</v>
      </c>
      <c r="AJ131" s="957">
        <v>0</v>
      </c>
      <c r="AL131" s="939">
        <v>0</v>
      </c>
      <c r="AM131" s="939">
        <v>0</v>
      </c>
      <c r="AN131" s="950">
        <v>0</v>
      </c>
      <c r="AO131" s="946">
        <v>0</v>
      </c>
      <c r="AP131" s="946">
        <v>0</v>
      </c>
      <c r="AQ131" s="953"/>
      <c r="AR131" s="950"/>
      <c r="AS131" s="950">
        <v>0</v>
      </c>
    </row>
    <row r="132" spans="1:45" x14ac:dyDescent="0.3">
      <c r="A132" s="642" t="s">
        <v>466</v>
      </c>
      <c r="B132" s="642" t="s">
        <v>467</v>
      </c>
      <c r="C132" s="642" t="s">
        <v>465</v>
      </c>
      <c r="D132" s="642" t="s">
        <v>61</v>
      </c>
      <c r="F132" s="946">
        <v>-385</v>
      </c>
      <c r="H132" s="946">
        <v>0</v>
      </c>
      <c r="I132" s="939">
        <v>0</v>
      </c>
      <c r="J132" s="974">
        <v>0</v>
      </c>
      <c r="L132" s="946">
        <v>0</v>
      </c>
      <c r="M132" s="947"/>
      <c r="N132" s="946">
        <v>0</v>
      </c>
      <c r="P132" s="946">
        <v>0</v>
      </c>
      <c r="R132" s="946">
        <v>0</v>
      </c>
      <c r="S132" s="948">
        <v>0</v>
      </c>
      <c r="T132" s="946">
        <v>0</v>
      </c>
      <c r="V132" s="946">
        <v>611</v>
      </c>
      <c r="W132" s="946">
        <v>0</v>
      </c>
      <c r="X132" s="946">
        <v>285</v>
      </c>
      <c r="Y132" s="947"/>
      <c r="Z132" s="946">
        <v>1362</v>
      </c>
      <c r="AA132" s="948">
        <v>129027</v>
      </c>
      <c r="AB132" s="946">
        <v>129.02699999999999</v>
      </c>
      <c r="AC132" s="974">
        <v>0</v>
      </c>
      <c r="AD132" s="946">
        <v>6405.1180000000004</v>
      </c>
      <c r="AE132" s="957">
        <v>11469</v>
      </c>
      <c r="AG132" s="957">
        <v>0</v>
      </c>
      <c r="AH132" s="955">
        <v>0</v>
      </c>
      <c r="AI132" s="425">
        <v>1</v>
      </c>
      <c r="AJ132" s="957">
        <v>0</v>
      </c>
      <c r="AL132" s="939">
        <v>0</v>
      </c>
      <c r="AM132" s="939">
        <v>0</v>
      </c>
      <c r="AN132" s="950">
        <v>3885.18406</v>
      </c>
      <c r="AO132" s="946">
        <v>0.18893736879518899</v>
      </c>
      <c r="AP132" s="946">
        <v>189</v>
      </c>
      <c r="AQ132" s="953"/>
      <c r="AR132" s="950"/>
      <c r="AS132" s="950">
        <v>326.50599999999997</v>
      </c>
    </row>
    <row r="133" spans="1:45" x14ac:dyDescent="0.3">
      <c r="A133" s="642" t="s">
        <v>469</v>
      </c>
      <c r="B133" s="642" t="s">
        <v>470</v>
      </c>
      <c r="C133" s="642" t="s">
        <v>468</v>
      </c>
      <c r="D133" s="642" t="s">
        <v>5418</v>
      </c>
      <c r="F133" s="946">
        <v>0</v>
      </c>
      <c r="H133" s="946">
        <v>0</v>
      </c>
      <c r="I133" s="939">
        <v>0</v>
      </c>
      <c r="J133" s="974">
        <v>0</v>
      </c>
      <c r="L133" s="946">
        <v>0</v>
      </c>
      <c r="M133" s="947"/>
      <c r="N133" s="946">
        <v>0</v>
      </c>
      <c r="P133" s="946">
        <v>0</v>
      </c>
      <c r="R133" s="946">
        <v>0</v>
      </c>
      <c r="S133" s="948">
        <v>0</v>
      </c>
      <c r="T133" s="946">
        <v>0</v>
      </c>
      <c r="V133" s="946">
        <v>0</v>
      </c>
      <c r="W133" s="946">
        <v>0</v>
      </c>
      <c r="X133" s="946">
        <v>0</v>
      </c>
      <c r="Y133" s="947"/>
      <c r="Z133" s="946">
        <v>0</v>
      </c>
      <c r="AA133" s="948">
        <v>0</v>
      </c>
      <c r="AB133" s="946">
        <v>0</v>
      </c>
      <c r="AC133" s="974">
        <v>0</v>
      </c>
      <c r="AD133" s="946">
        <v>0</v>
      </c>
      <c r="AE133" s="957">
        <v>0</v>
      </c>
      <c r="AG133" s="957">
        <v>70</v>
      </c>
      <c r="AH133" s="955">
        <v>0</v>
      </c>
      <c r="AI133" s="425">
        <v>0</v>
      </c>
      <c r="AJ133" s="957">
        <v>0</v>
      </c>
      <c r="AL133" s="939">
        <v>0</v>
      </c>
      <c r="AM133" s="939">
        <v>0</v>
      </c>
      <c r="AN133" s="950">
        <v>0</v>
      </c>
      <c r="AO133" s="946">
        <v>0</v>
      </c>
      <c r="AP133" s="946">
        <v>0</v>
      </c>
      <c r="AQ133" s="953"/>
      <c r="AR133" s="950"/>
      <c r="AS133" s="950">
        <v>0</v>
      </c>
    </row>
    <row r="134" spans="1:45" x14ac:dyDescent="0.3">
      <c r="A134" s="642" t="s">
        <v>472</v>
      </c>
      <c r="B134" s="642" t="s">
        <v>473</v>
      </c>
      <c r="C134" s="642" t="s">
        <v>471</v>
      </c>
      <c r="D134" s="642" t="s">
        <v>61</v>
      </c>
      <c r="F134" s="946">
        <v>0</v>
      </c>
      <c r="H134" s="946">
        <v>0</v>
      </c>
      <c r="I134" s="939">
        <v>0</v>
      </c>
      <c r="J134" s="974">
        <v>0</v>
      </c>
      <c r="L134" s="946">
        <v>0</v>
      </c>
      <c r="M134" s="947"/>
      <c r="N134" s="946">
        <v>0</v>
      </c>
      <c r="P134" s="946">
        <v>0</v>
      </c>
      <c r="R134" s="946">
        <v>0</v>
      </c>
      <c r="S134" s="948">
        <v>0</v>
      </c>
      <c r="T134" s="946">
        <v>0</v>
      </c>
      <c r="V134" s="946">
        <v>285</v>
      </c>
      <c r="W134" s="946">
        <v>0</v>
      </c>
      <c r="X134" s="946">
        <v>133</v>
      </c>
      <c r="Y134" s="947"/>
      <c r="Z134" s="946">
        <v>109</v>
      </c>
      <c r="AA134" s="948">
        <v>71317</v>
      </c>
      <c r="AB134" s="946">
        <v>71.316999999999993</v>
      </c>
      <c r="AC134" s="974">
        <v>0</v>
      </c>
      <c r="AD134" s="946">
        <v>7710.1360000000004</v>
      </c>
      <c r="AE134" s="957">
        <v>9439</v>
      </c>
      <c r="AG134" s="957">
        <v>1898</v>
      </c>
      <c r="AH134" s="955">
        <v>0</v>
      </c>
      <c r="AI134" s="425">
        <v>1</v>
      </c>
      <c r="AJ134" s="957">
        <v>0</v>
      </c>
      <c r="AL134" s="939">
        <v>0</v>
      </c>
      <c r="AM134" s="939">
        <v>0</v>
      </c>
      <c r="AN134" s="950">
        <v>1400.4</v>
      </c>
      <c r="AO134" s="946">
        <v>8.8228567958495596E-2</v>
      </c>
      <c r="AP134" s="946">
        <v>88</v>
      </c>
      <c r="AQ134" s="953"/>
      <c r="AR134" s="950"/>
      <c r="AS134" s="950">
        <v>153.524</v>
      </c>
    </row>
    <row r="135" spans="1:45" x14ac:dyDescent="0.3">
      <c r="A135" s="642" t="s">
        <v>475</v>
      </c>
      <c r="B135" s="642" t="s">
        <v>476</v>
      </c>
      <c r="C135" s="642" t="s">
        <v>474</v>
      </c>
      <c r="D135" s="642" t="s">
        <v>61</v>
      </c>
      <c r="F135" s="946">
        <v>-1</v>
      </c>
      <c r="H135" s="946">
        <v>0</v>
      </c>
      <c r="I135" s="939">
        <v>0</v>
      </c>
      <c r="J135" s="974">
        <v>0</v>
      </c>
      <c r="L135" s="946">
        <v>0</v>
      </c>
      <c r="M135" s="947"/>
      <c r="N135" s="946">
        <v>0</v>
      </c>
      <c r="P135" s="946">
        <v>0</v>
      </c>
      <c r="R135" s="946">
        <v>0</v>
      </c>
      <c r="S135" s="948">
        <v>0</v>
      </c>
      <c r="T135" s="946">
        <v>0</v>
      </c>
      <c r="V135" s="946">
        <v>336</v>
      </c>
      <c r="W135" s="946">
        <v>0</v>
      </c>
      <c r="X135" s="946">
        <v>255</v>
      </c>
      <c r="Y135" s="947"/>
      <c r="Z135" s="946">
        <v>824</v>
      </c>
      <c r="AA135" s="948">
        <v>123291</v>
      </c>
      <c r="AB135" s="946">
        <v>123.291</v>
      </c>
      <c r="AC135" s="974">
        <v>1486.4490000000001</v>
      </c>
      <c r="AD135" s="946">
        <v>9473.19</v>
      </c>
      <c r="AE135" s="957">
        <v>0</v>
      </c>
      <c r="AG135" s="957">
        <v>200</v>
      </c>
      <c r="AH135" s="955">
        <v>0</v>
      </c>
      <c r="AI135" s="425">
        <v>1</v>
      </c>
      <c r="AJ135" s="957">
        <v>0</v>
      </c>
      <c r="AL135" s="939">
        <v>0</v>
      </c>
      <c r="AM135" s="939">
        <v>0</v>
      </c>
      <c r="AN135" s="950">
        <v>328.125</v>
      </c>
      <c r="AO135" s="946">
        <v>0.16935051000083001</v>
      </c>
      <c r="AP135" s="946">
        <v>169</v>
      </c>
      <c r="AQ135" s="953"/>
      <c r="AR135" s="950"/>
      <c r="AS135" s="950">
        <v>257.79000000000002</v>
      </c>
    </row>
    <row r="136" spans="1:45" x14ac:dyDescent="0.3">
      <c r="A136" s="642" t="s">
        <v>478</v>
      </c>
      <c r="B136" s="642" t="s">
        <v>479</v>
      </c>
      <c r="C136" s="642" t="s">
        <v>5428</v>
      </c>
      <c r="D136" s="642" t="s">
        <v>61</v>
      </c>
      <c r="F136" s="946">
        <v>-1</v>
      </c>
      <c r="H136" s="946">
        <v>0</v>
      </c>
      <c r="I136" s="939">
        <v>0</v>
      </c>
      <c r="J136" s="974">
        <v>0</v>
      </c>
      <c r="L136" s="946">
        <v>0</v>
      </c>
      <c r="M136" s="947"/>
      <c r="N136" s="946">
        <v>0</v>
      </c>
      <c r="P136" s="946">
        <v>0</v>
      </c>
      <c r="R136" s="946">
        <v>0</v>
      </c>
      <c r="S136" s="948">
        <v>0</v>
      </c>
      <c r="T136" s="946">
        <v>0</v>
      </c>
      <c r="V136" s="946">
        <v>523</v>
      </c>
      <c r="W136" s="946">
        <v>0</v>
      </c>
      <c r="X136" s="946">
        <v>257</v>
      </c>
      <c r="Y136" s="947"/>
      <c r="Z136" s="946">
        <v>745</v>
      </c>
      <c r="AA136" s="948">
        <v>161765</v>
      </c>
      <c r="AB136" s="946">
        <v>161.76499999999999</v>
      </c>
      <c r="AC136" s="974">
        <v>2659.3249999999998</v>
      </c>
      <c r="AD136" s="946">
        <v>13591.73</v>
      </c>
      <c r="AE136" s="957">
        <v>9930</v>
      </c>
      <c r="AG136" s="957">
        <v>2363</v>
      </c>
      <c r="AH136" s="955">
        <v>0</v>
      </c>
      <c r="AI136" s="425">
        <v>1</v>
      </c>
      <c r="AJ136" s="957">
        <v>0</v>
      </c>
      <c r="AL136" s="939">
        <v>0</v>
      </c>
      <c r="AM136" s="939">
        <v>0</v>
      </c>
      <c r="AN136" s="950">
        <v>1825.451</v>
      </c>
      <c r="AO136" s="946">
        <v>0.17075363708069399</v>
      </c>
      <c r="AP136" s="946">
        <v>171</v>
      </c>
      <c r="AQ136" s="953"/>
      <c r="AR136" s="950"/>
      <c r="AS136" s="950">
        <v>329.60599999999999</v>
      </c>
    </row>
    <row r="137" spans="1:45" x14ac:dyDescent="0.3">
      <c r="A137" s="642" t="s">
        <v>481</v>
      </c>
      <c r="B137" s="642" t="s">
        <v>482</v>
      </c>
      <c r="C137" s="642" t="s">
        <v>480</v>
      </c>
      <c r="D137" s="642" t="s">
        <v>61</v>
      </c>
      <c r="F137" s="946">
        <v>-28</v>
      </c>
      <c r="H137" s="946">
        <v>0</v>
      </c>
      <c r="I137" s="939">
        <v>0</v>
      </c>
      <c r="J137" s="974">
        <v>0</v>
      </c>
      <c r="L137" s="946">
        <v>0</v>
      </c>
      <c r="M137" s="947"/>
      <c r="N137" s="946">
        <v>131</v>
      </c>
      <c r="P137" s="946">
        <v>0</v>
      </c>
      <c r="R137" s="946">
        <v>0</v>
      </c>
      <c r="S137" s="948">
        <v>0</v>
      </c>
      <c r="T137" s="946">
        <v>0</v>
      </c>
      <c r="V137" s="946">
        <v>148</v>
      </c>
      <c r="W137" s="946">
        <v>0</v>
      </c>
      <c r="X137" s="946">
        <v>179</v>
      </c>
      <c r="Y137" s="947"/>
      <c r="Z137" s="946">
        <v>702</v>
      </c>
      <c r="AA137" s="948">
        <v>88556</v>
      </c>
      <c r="AB137" s="946">
        <v>88.555999999999997</v>
      </c>
      <c r="AC137" s="974">
        <v>2745.1210000000001</v>
      </c>
      <c r="AD137" s="946">
        <v>8600.9809999999998</v>
      </c>
      <c r="AE137" s="957">
        <v>0</v>
      </c>
      <c r="AG137" s="957">
        <v>135</v>
      </c>
      <c r="AH137" s="955">
        <v>-679</v>
      </c>
      <c r="AI137" s="425">
        <v>1</v>
      </c>
      <c r="AJ137" s="957">
        <v>-679</v>
      </c>
      <c r="AL137" s="939">
        <v>0</v>
      </c>
      <c r="AM137" s="939">
        <v>0</v>
      </c>
      <c r="AN137" s="950">
        <v>0</v>
      </c>
      <c r="AO137" s="946">
        <v>0.11858461995771601</v>
      </c>
      <c r="AP137" s="946">
        <v>119</v>
      </c>
      <c r="AQ137" s="953"/>
      <c r="AR137" s="950"/>
      <c r="AS137" s="950">
        <v>195.14699999999999</v>
      </c>
    </row>
    <row r="138" spans="1:45" x14ac:dyDescent="0.3">
      <c r="A138" s="642" t="s">
        <v>484</v>
      </c>
      <c r="B138" s="642" t="s">
        <v>485</v>
      </c>
      <c r="C138" s="642" t="s">
        <v>483</v>
      </c>
      <c r="D138" s="642" t="s">
        <v>61</v>
      </c>
      <c r="F138" s="946">
        <v>0</v>
      </c>
      <c r="H138" s="946">
        <v>0</v>
      </c>
      <c r="I138" s="939">
        <v>0</v>
      </c>
      <c r="J138" s="974">
        <v>0</v>
      </c>
      <c r="L138" s="946">
        <v>0</v>
      </c>
      <c r="M138" s="947"/>
      <c r="N138" s="946">
        <v>0</v>
      </c>
      <c r="P138" s="946">
        <v>0</v>
      </c>
      <c r="R138" s="946">
        <v>0</v>
      </c>
      <c r="S138" s="948">
        <v>0</v>
      </c>
      <c r="T138" s="946">
        <v>0</v>
      </c>
      <c r="V138" s="946">
        <v>112</v>
      </c>
      <c r="W138" s="946">
        <v>0</v>
      </c>
      <c r="X138" s="946">
        <v>133</v>
      </c>
      <c r="Y138" s="947"/>
      <c r="Z138" s="946">
        <v>1236</v>
      </c>
      <c r="AA138" s="948">
        <v>94404</v>
      </c>
      <c r="AB138" s="946">
        <v>94.403999999999996</v>
      </c>
      <c r="AC138" s="974">
        <v>1148.2</v>
      </c>
      <c r="AD138" s="946">
        <v>8029.0119999999997</v>
      </c>
      <c r="AE138" s="957">
        <v>0</v>
      </c>
      <c r="AG138" s="957">
        <v>0</v>
      </c>
      <c r="AH138" s="955">
        <v>0</v>
      </c>
      <c r="AI138" s="425">
        <v>1</v>
      </c>
      <c r="AJ138" s="957">
        <v>0</v>
      </c>
      <c r="AL138" s="939">
        <v>0</v>
      </c>
      <c r="AM138" s="939">
        <v>0</v>
      </c>
      <c r="AN138" s="950">
        <v>0</v>
      </c>
      <c r="AO138" s="946">
        <v>8.8535733378932502E-2</v>
      </c>
      <c r="AP138" s="946">
        <v>89</v>
      </c>
      <c r="AQ138" s="953"/>
      <c r="AR138" s="950"/>
      <c r="AS138" s="950">
        <v>181.03800000000001</v>
      </c>
    </row>
    <row r="139" spans="1:45" x14ac:dyDescent="0.3">
      <c r="A139" s="642" t="s">
        <v>487</v>
      </c>
      <c r="B139" s="642" t="s">
        <v>488</v>
      </c>
      <c r="C139" s="642" t="s">
        <v>486</v>
      </c>
      <c r="D139" s="642" t="s">
        <v>97</v>
      </c>
      <c r="F139" s="946">
        <v>-15814</v>
      </c>
      <c r="H139" s="946">
        <v>0</v>
      </c>
      <c r="I139" s="939">
        <v>105000825</v>
      </c>
      <c r="J139" s="974">
        <v>105000.825</v>
      </c>
      <c r="L139" s="946">
        <v>17225</v>
      </c>
      <c r="M139" s="947"/>
      <c r="N139" s="946">
        <v>0</v>
      </c>
      <c r="P139" s="946">
        <v>12343</v>
      </c>
      <c r="R139" s="946">
        <v>11387</v>
      </c>
      <c r="S139" s="948">
        <v>387862</v>
      </c>
      <c r="T139" s="946">
        <v>387.86200000000002</v>
      </c>
      <c r="V139" s="946">
        <v>544</v>
      </c>
      <c r="W139" s="946">
        <v>765</v>
      </c>
      <c r="X139" s="946">
        <v>4031</v>
      </c>
      <c r="Y139" s="947"/>
      <c r="Z139" s="946">
        <v>534</v>
      </c>
      <c r="AA139" s="948">
        <v>347621</v>
      </c>
      <c r="AB139" s="946">
        <v>347.62099999999998</v>
      </c>
      <c r="AC139" s="974">
        <v>12.467000000000001</v>
      </c>
      <c r="AD139" s="946">
        <v>103868.834</v>
      </c>
      <c r="AE139" s="957">
        <v>26160</v>
      </c>
      <c r="AG139" s="957">
        <v>0</v>
      </c>
      <c r="AH139" s="955">
        <v>0</v>
      </c>
      <c r="AI139" s="425">
        <v>1</v>
      </c>
      <c r="AJ139" s="957">
        <v>0</v>
      </c>
      <c r="AL139" s="939">
        <v>1</v>
      </c>
      <c r="AM139" s="939">
        <v>1</v>
      </c>
      <c r="AN139" s="950">
        <v>21326.958070000004</v>
      </c>
      <c r="AO139" s="946">
        <v>0.36999479022141801</v>
      </c>
      <c r="AP139" s="946">
        <v>370</v>
      </c>
      <c r="AQ139" s="953"/>
      <c r="AR139" s="950"/>
      <c r="AS139" s="950">
        <v>815.66499999999996</v>
      </c>
    </row>
    <row r="140" spans="1:45" x14ac:dyDescent="0.3">
      <c r="A140" s="642" t="s">
        <v>490</v>
      </c>
      <c r="B140" s="642" t="s">
        <v>491</v>
      </c>
      <c r="C140" s="642" t="s">
        <v>489</v>
      </c>
      <c r="D140" s="642" t="s">
        <v>61</v>
      </c>
      <c r="F140" s="946">
        <v>0</v>
      </c>
      <c r="H140" s="946">
        <v>0</v>
      </c>
      <c r="I140" s="939">
        <v>0</v>
      </c>
      <c r="J140" s="974">
        <v>0</v>
      </c>
      <c r="L140" s="946">
        <v>0</v>
      </c>
      <c r="M140" s="947"/>
      <c r="N140" s="946">
        <v>0</v>
      </c>
      <c r="P140" s="946">
        <v>0</v>
      </c>
      <c r="R140" s="946">
        <v>0</v>
      </c>
      <c r="S140" s="948">
        <v>0</v>
      </c>
      <c r="T140" s="946">
        <v>0</v>
      </c>
      <c r="V140" s="946">
        <v>265</v>
      </c>
      <c r="W140" s="946">
        <v>0</v>
      </c>
      <c r="X140" s="946">
        <v>212</v>
      </c>
      <c r="Y140" s="947"/>
      <c r="Z140" s="946">
        <v>521</v>
      </c>
      <c r="AA140" s="948">
        <v>112138</v>
      </c>
      <c r="AB140" s="946">
        <v>112.13800000000001</v>
      </c>
      <c r="AC140" s="974">
        <v>785.053</v>
      </c>
      <c r="AD140" s="946">
        <v>7511.8530000000001</v>
      </c>
      <c r="AE140" s="957">
        <v>0</v>
      </c>
      <c r="AG140" s="957">
        <v>0</v>
      </c>
      <c r="AH140" s="955">
        <v>0</v>
      </c>
      <c r="AI140" s="425">
        <v>1</v>
      </c>
      <c r="AJ140" s="957">
        <v>0</v>
      </c>
      <c r="AL140" s="939">
        <v>0</v>
      </c>
      <c r="AM140" s="939">
        <v>0</v>
      </c>
      <c r="AN140" s="950">
        <v>359.43115999999998</v>
      </c>
      <c r="AO140" s="946">
        <v>0.14073867372125601</v>
      </c>
      <c r="AP140" s="946">
        <v>141</v>
      </c>
      <c r="AQ140" s="953"/>
      <c r="AR140" s="950"/>
      <c r="AS140" s="950">
        <v>231.53700000000001</v>
      </c>
    </row>
    <row r="141" spans="1:45" x14ac:dyDescent="0.3">
      <c r="A141" s="642" t="s">
        <v>493</v>
      </c>
      <c r="B141" s="642" t="s">
        <v>494</v>
      </c>
      <c r="C141" s="642" t="s">
        <v>492</v>
      </c>
      <c r="D141" s="642" t="s">
        <v>61</v>
      </c>
      <c r="F141" s="946">
        <v>-90</v>
      </c>
      <c r="H141" s="946">
        <v>0</v>
      </c>
      <c r="I141" s="939">
        <v>0</v>
      </c>
      <c r="J141" s="974">
        <v>0</v>
      </c>
      <c r="L141" s="946">
        <v>0</v>
      </c>
      <c r="M141" s="947"/>
      <c r="N141" s="946">
        <v>0</v>
      </c>
      <c r="P141" s="946">
        <v>0</v>
      </c>
      <c r="R141" s="946">
        <v>0</v>
      </c>
      <c r="S141" s="948">
        <v>0</v>
      </c>
      <c r="T141" s="946">
        <v>0</v>
      </c>
      <c r="V141" s="946">
        <v>701</v>
      </c>
      <c r="W141" s="946">
        <v>0</v>
      </c>
      <c r="X141" s="946">
        <v>255</v>
      </c>
      <c r="Y141" s="947"/>
      <c r="Z141" s="946">
        <v>347</v>
      </c>
      <c r="AA141" s="948">
        <v>151354</v>
      </c>
      <c r="AB141" s="946">
        <v>151.35400000000001</v>
      </c>
      <c r="AC141" s="974">
        <v>257.91699999999997</v>
      </c>
      <c r="AD141" s="946">
        <v>8602.0069999999996</v>
      </c>
      <c r="AE141" s="957" t="s">
        <v>5589</v>
      </c>
      <c r="AG141" s="957">
        <v>0</v>
      </c>
      <c r="AH141" s="955" t="s">
        <v>5442</v>
      </c>
      <c r="AI141" s="425">
        <v>1</v>
      </c>
      <c r="AJ141" s="957">
        <v>0</v>
      </c>
      <c r="AL141" s="939">
        <v>0</v>
      </c>
      <c r="AM141" s="939">
        <v>0</v>
      </c>
      <c r="AN141" s="950">
        <v>1989.3403999999998</v>
      </c>
      <c r="AO141" s="946">
        <v>0.16947150813172801</v>
      </c>
      <c r="AP141" s="946">
        <v>169</v>
      </c>
      <c r="AQ141" s="953"/>
      <c r="AR141" s="950"/>
      <c r="AS141" s="950">
        <v>358.17</v>
      </c>
    </row>
    <row r="142" spans="1:45" x14ac:dyDescent="0.3">
      <c r="A142" s="642" t="s">
        <v>496</v>
      </c>
      <c r="B142" s="642" t="s">
        <v>497</v>
      </c>
      <c r="C142" s="642" t="s">
        <v>495</v>
      </c>
      <c r="D142" s="642" t="s">
        <v>1942</v>
      </c>
      <c r="F142" s="946">
        <v>-8482</v>
      </c>
      <c r="H142" s="946">
        <v>0</v>
      </c>
      <c r="I142" s="939">
        <v>301755273</v>
      </c>
      <c r="J142" s="974">
        <v>301755.27299999999</v>
      </c>
      <c r="L142" s="946">
        <v>25263</v>
      </c>
      <c r="M142" s="947"/>
      <c r="N142" s="946">
        <v>0</v>
      </c>
      <c r="P142" s="946">
        <v>21981</v>
      </c>
      <c r="R142" s="946">
        <v>20025</v>
      </c>
      <c r="S142" s="948">
        <v>887222</v>
      </c>
      <c r="T142" s="946">
        <v>887.22199999999998</v>
      </c>
      <c r="V142" s="946">
        <v>0</v>
      </c>
      <c r="W142" s="946">
        <v>1708</v>
      </c>
      <c r="X142" s="946">
        <v>5223</v>
      </c>
      <c r="Y142" s="947"/>
      <c r="Z142" s="946">
        <v>1391</v>
      </c>
      <c r="AA142" s="948">
        <v>0</v>
      </c>
      <c r="AB142" s="946">
        <v>0</v>
      </c>
      <c r="AC142" s="974">
        <v>0</v>
      </c>
      <c r="AD142" s="946">
        <v>343250.962</v>
      </c>
      <c r="AE142" s="957">
        <v>0</v>
      </c>
      <c r="AG142" s="957">
        <v>0</v>
      </c>
      <c r="AH142" s="955">
        <v>0</v>
      </c>
      <c r="AI142" s="425">
        <v>0</v>
      </c>
      <c r="AJ142" s="957">
        <v>0</v>
      </c>
      <c r="AL142" s="939">
        <v>1</v>
      </c>
      <c r="AM142" s="939">
        <v>1</v>
      </c>
      <c r="AN142" s="950">
        <v>9595.5171000000009</v>
      </c>
      <c r="AO142" s="946">
        <v>0</v>
      </c>
      <c r="AP142" s="946">
        <v>0</v>
      </c>
      <c r="AQ142" s="953"/>
      <c r="AR142" s="950"/>
      <c r="AS142" s="950">
        <v>0</v>
      </c>
    </row>
    <row r="143" spans="1:45" x14ac:dyDescent="0.3">
      <c r="A143" s="642" t="s">
        <v>499</v>
      </c>
      <c r="B143" s="642" t="s">
        <v>500</v>
      </c>
      <c r="C143" s="642" t="s">
        <v>498</v>
      </c>
      <c r="D143" s="642" t="s">
        <v>71</v>
      </c>
      <c r="F143" s="946">
        <v>0</v>
      </c>
      <c r="H143" s="946">
        <v>-71307</v>
      </c>
      <c r="I143" s="939">
        <v>0</v>
      </c>
      <c r="J143" s="974">
        <v>0</v>
      </c>
      <c r="L143" s="946">
        <v>0</v>
      </c>
      <c r="M143" s="947"/>
      <c r="N143" s="946">
        <v>0</v>
      </c>
      <c r="P143" s="946">
        <v>0</v>
      </c>
      <c r="R143" s="946">
        <v>0</v>
      </c>
      <c r="S143" s="948">
        <v>0</v>
      </c>
      <c r="T143" s="946">
        <v>0</v>
      </c>
      <c r="V143" s="946">
        <v>0</v>
      </c>
      <c r="W143" s="946">
        <v>0</v>
      </c>
      <c r="X143" s="946">
        <v>0</v>
      </c>
      <c r="Y143" s="947"/>
      <c r="Z143" s="946">
        <v>0</v>
      </c>
      <c r="AA143" s="948">
        <v>0</v>
      </c>
      <c r="AB143" s="946">
        <v>0</v>
      </c>
      <c r="AC143" s="974">
        <v>0</v>
      </c>
      <c r="AD143" s="946">
        <v>66239.892000000007</v>
      </c>
      <c r="AE143" s="957">
        <v>0</v>
      </c>
      <c r="AG143" s="957">
        <v>0</v>
      </c>
      <c r="AH143" s="955">
        <v>0</v>
      </c>
      <c r="AI143" s="425">
        <v>0</v>
      </c>
      <c r="AJ143" s="957">
        <v>0</v>
      </c>
      <c r="AL143" s="939">
        <v>0</v>
      </c>
      <c r="AM143" s="939">
        <v>0</v>
      </c>
      <c r="AN143" s="950">
        <v>223.06441000000001</v>
      </c>
      <c r="AO143" s="946">
        <v>0</v>
      </c>
      <c r="AP143" s="946">
        <v>0</v>
      </c>
      <c r="AQ143" s="953"/>
      <c r="AR143" s="950"/>
      <c r="AS143" s="950">
        <v>0</v>
      </c>
    </row>
    <row r="144" spans="1:45" x14ac:dyDescent="0.3">
      <c r="A144" s="642" t="s">
        <v>502</v>
      </c>
      <c r="B144" s="642" t="s">
        <v>503</v>
      </c>
      <c r="C144" s="642" t="s">
        <v>501</v>
      </c>
      <c r="D144" s="642" t="s">
        <v>61</v>
      </c>
      <c r="F144" s="946">
        <v>0</v>
      </c>
      <c r="H144" s="946">
        <v>0</v>
      </c>
      <c r="I144" s="939">
        <v>0</v>
      </c>
      <c r="J144" s="974">
        <v>0</v>
      </c>
      <c r="L144" s="946">
        <v>0</v>
      </c>
      <c r="M144" s="947"/>
      <c r="N144" s="946">
        <v>0</v>
      </c>
      <c r="P144" s="946">
        <v>0</v>
      </c>
      <c r="R144" s="946">
        <v>0</v>
      </c>
      <c r="S144" s="948">
        <v>0</v>
      </c>
      <c r="T144" s="946">
        <v>0</v>
      </c>
      <c r="V144" s="946">
        <v>564</v>
      </c>
      <c r="W144" s="946">
        <v>0</v>
      </c>
      <c r="X144" s="946">
        <v>173</v>
      </c>
      <c r="Y144" s="947"/>
      <c r="Z144" s="946">
        <v>47</v>
      </c>
      <c r="AA144" s="948">
        <v>78247</v>
      </c>
      <c r="AB144" s="946">
        <v>78.247</v>
      </c>
      <c r="AC144" s="974">
        <v>0</v>
      </c>
      <c r="AD144" s="946">
        <v>6537.3739999999998</v>
      </c>
      <c r="AE144" s="957">
        <v>4480</v>
      </c>
      <c r="AG144" s="957">
        <v>1032</v>
      </c>
      <c r="AH144" s="955">
        <v>0</v>
      </c>
      <c r="AI144" s="425">
        <v>1</v>
      </c>
      <c r="AJ144" s="957">
        <v>0</v>
      </c>
      <c r="AL144" s="939">
        <v>0</v>
      </c>
      <c r="AM144" s="939">
        <v>0</v>
      </c>
      <c r="AN144" s="950">
        <v>1705.8150000000001</v>
      </c>
      <c r="AO144" s="946">
        <v>0.114593537426774</v>
      </c>
      <c r="AP144" s="946">
        <v>115</v>
      </c>
      <c r="AQ144" s="953"/>
      <c r="AR144" s="950"/>
      <c r="AS144" s="950">
        <v>225.31800000000001</v>
      </c>
    </row>
    <row r="145" spans="1:45" x14ac:dyDescent="0.3">
      <c r="A145" s="642" t="s">
        <v>505</v>
      </c>
      <c r="B145" s="642" t="s">
        <v>506</v>
      </c>
      <c r="C145" s="642" t="s">
        <v>504</v>
      </c>
      <c r="D145" s="642" t="s">
        <v>61</v>
      </c>
      <c r="F145" s="946">
        <v>0</v>
      </c>
      <c r="H145" s="946">
        <v>0</v>
      </c>
      <c r="I145" s="939">
        <v>0</v>
      </c>
      <c r="J145" s="974">
        <v>0</v>
      </c>
      <c r="L145" s="946">
        <v>0</v>
      </c>
      <c r="M145" s="947"/>
      <c r="N145" s="946">
        <v>0</v>
      </c>
      <c r="P145" s="946">
        <v>0</v>
      </c>
      <c r="R145" s="946">
        <v>0</v>
      </c>
      <c r="S145" s="948">
        <v>0</v>
      </c>
      <c r="T145" s="946">
        <v>0</v>
      </c>
      <c r="V145" s="946">
        <v>352</v>
      </c>
      <c r="W145" s="946">
        <v>0</v>
      </c>
      <c r="X145" s="946">
        <v>204</v>
      </c>
      <c r="Y145" s="947"/>
      <c r="Z145" s="946">
        <v>573</v>
      </c>
      <c r="AA145" s="948">
        <v>109610</v>
      </c>
      <c r="AB145" s="946">
        <v>109.61</v>
      </c>
      <c r="AC145" s="974">
        <v>471.86</v>
      </c>
      <c r="AD145" s="946">
        <v>8064.03</v>
      </c>
      <c r="AE145" s="957">
        <v>730</v>
      </c>
      <c r="AG145" s="957">
        <v>1408</v>
      </c>
      <c r="AH145" s="955">
        <v>0</v>
      </c>
      <c r="AI145" s="425">
        <v>1</v>
      </c>
      <c r="AJ145" s="957">
        <v>0</v>
      </c>
      <c r="AL145" s="939">
        <v>0</v>
      </c>
      <c r="AM145" s="939">
        <v>0</v>
      </c>
      <c r="AN145" s="950">
        <v>1998.2889</v>
      </c>
      <c r="AO145" s="946">
        <v>0.13563183065692</v>
      </c>
      <c r="AP145" s="946">
        <v>136</v>
      </c>
      <c r="AQ145" s="953"/>
      <c r="AR145" s="950"/>
      <c r="AS145" s="950">
        <v>262.553</v>
      </c>
    </row>
    <row r="146" spans="1:45" x14ac:dyDescent="0.3">
      <c r="A146" s="642" t="s">
        <v>508</v>
      </c>
      <c r="B146" s="642" t="s">
        <v>509</v>
      </c>
      <c r="C146" s="642" t="s">
        <v>507</v>
      </c>
      <c r="D146" s="642" t="s">
        <v>61</v>
      </c>
      <c r="F146" s="946">
        <v>-2137</v>
      </c>
      <c r="H146" s="946">
        <v>0</v>
      </c>
      <c r="I146" s="939">
        <v>0</v>
      </c>
      <c r="J146" s="974">
        <v>0</v>
      </c>
      <c r="L146" s="946">
        <v>0</v>
      </c>
      <c r="M146" s="947"/>
      <c r="N146" s="946">
        <v>0</v>
      </c>
      <c r="P146" s="946">
        <v>0</v>
      </c>
      <c r="R146" s="946">
        <v>0</v>
      </c>
      <c r="S146" s="948">
        <v>0</v>
      </c>
      <c r="T146" s="946">
        <v>0</v>
      </c>
      <c r="V146" s="946">
        <v>402</v>
      </c>
      <c r="W146" s="946">
        <v>0</v>
      </c>
      <c r="X146" s="946">
        <v>265</v>
      </c>
      <c r="Y146" s="947"/>
      <c r="Z146" s="946">
        <v>495</v>
      </c>
      <c r="AA146" s="948">
        <v>176053</v>
      </c>
      <c r="AB146" s="946">
        <v>176.053</v>
      </c>
      <c r="AC146" s="974">
        <v>596.03</v>
      </c>
      <c r="AD146" s="946">
        <v>5774.6589999999997</v>
      </c>
      <c r="AE146" s="957">
        <v>9407</v>
      </c>
      <c r="AG146" s="957">
        <v>1657</v>
      </c>
      <c r="AH146" s="955">
        <v>0</v>
      </c>
      <c r="AI146" s="425">
        <v>1</v>
      </c>
      <c r="AJ146" s="957">
        <v>0</v>
      </c>
      <c r="AL146" s="939">
        <v>0</v>
      </c>
      <c r="AM146" s="939">
        <v>0</v>
      </c>
      <c r="AN146" s="950">
        <v>2533.21731</v>
      </c>
      <c r="AO146" s="946">
        <v>0.17570036071310699</v>
      </c>
      <c r="AP146" s="946">
        <v>176</v>
      </c>
      <c r="AQ146" s="953"/>
      <c r="AR146" s="950"/>
      <c r="AS146" s="950">
        <v>402.32100000000003</v>
      </c>
    </row>
    <row r="147" spans="1:45" x14ac:dyDescent="0.3">
      <c r="A147" s="642" t="s">
        <v>511</v>
      </c>
      <c r="B147" s="642" t="s">
        <v>512</v>
      </c>
      <c r="C147" s="642" t="s">
        <v>510</v>
      </c>
      <c r="D147" s="642" t="s">
        <v>79</v>
      </c>
      <c r="F147" s="946">
        <v>0</v>
      </c>
      <c r="H147" s="946">
        <v>-2092181</v>
      </c>
      <c r="I147" s="939">
        <v>0</v>
      </c>
      <c r="J147" s="974">
        <v>0</v>
      </c>
      <c r="L147" s="946">
        <v>0</v>
      </c>
      <c r="M147" s="947"/>
      <c r="N147" s="946">
        <v>0</v>
      </c>
      <c r="P147" s="946">
        <v>0</v>
      </c>
      <c r="R147" s="946">
        <v>0</v>
      </c>
      <c r="S147" s="948">
        <v>0</v>
      </c>
      <c r="T147" s="946">
        <v>0</v>
      </c>
      <c r="V147" s="946">
        <v>0</v>
      </c>
      <c r="W147" s="946">
        <v>0</v>
      </c>
      <c r="X147" s="946">
        <v>36414</v>
      </c>
      <c r="Y147" s="947"/>
      <c r="Z147" s="946">
        <v>0</v>
      </c>
      <c r="AA147" s="948">
        <v>0</v>
      </c>
      <c r="AB147" s="946">
        <v>0</v>
      </c>
      <c r="AC147" s="974">
        <v>0</v>
      </c>
      <c r="AD147" s="946">
        <v>1213569.92</v>
      </c>
      <c r="AE147" s="957">
        <v>0</v>
      </c>
      <c r="AG147" s="957">
        <v>1101435</v>
      </c>
      <c r="AH147" s="955">
        <v>0</v>
      </c>
      <c r="AI147" s="425">
        <v>0</v>
      </c>
      <c r="AJ147" s="957">
        <v>0</v>
      </c>
      <c r="AL147" s="939">
        <v>0</v>
      </c>
      <c r="AM147" s="939">
        <v>0</v>
      </c>
      <c r="AN147" s="950">
        <v>80629.324999999997</v>
      </c>
      <c r="AO147" s="946">
        <v>0</v>
      </c>
      <c r="AP147" s="946">
        <v>0</v>
      </c>
      <c r="AQ147" s="953"/>
      <c r="AR147" s="950"/>
      <c r="AS147" s="950">
        <v>0</v>
      </c>
    </row>
    <row r="148" spans="1:45" x14ac:dyDescent="0.3">
      <c r="A148" s="642" t="s">
        <v>514</v>
      </c>
      <c r="B148" s="642" t="s">
        <v>515</v>
      </c>
      <c r="C148" s="642" t="s">
        <v>5590</v>
      </c>
      <c r="D148" s="642" t="s">
        <v>1390</v>
      </c>
      <c r="F148" s="946">
        <v>0</v>
      </c>
      <c r="H148" s="946"/>
      <c r="I148" s="939">
        <v>0</v>
      </c>
      <c r="J148" s="974">
        <v>0</v>
      </c>
      <c r="L148" s="946">
        <v>0</v>
      </c>
      <c r="M148" s="947"/>
      <c r="N148" s="946">
        <v>0</v>
      </c>
      <c r="P148" s="946">
        <v>0</v>
      </c>
      <c r="R148" s="946">
        <v>0</v>
      </c>
      <c r="S148" s="948">
        <v>0</v>
      </c>
      <c r="T148" s="946">
        <v>0</v>
      </c>
      <c r="V148" s="946">
        <v>0</v>
      </c>
      <c r="W148" s="946">
        <v>0</v>
      </c>
      <c r="X148" s="946">
        <v>2209</v>
      </c>
      <c r="Y148" s="947"/>
      <c r="Z148" s="946">
        <v>0</v>
      </c>
      <c r="AA148" s="948">
        <v>0</v>
      </c>
      <c r="AB148" s="946">
        <v>0</v>
      </c>
      <c r="AC148" s="974">
        <v>0</v>
      </c>
      <c r="AD148" s="946">
        <v>80146.894</v>
      </c>
      <c r="AE148" s="957">
        <v>0</v>
      </c>
      <c r="AG148" s="957">
        <v>6937</v>
      </c>
      <c r="AH148" s="955">
        <v>0</v>
      </c>
      <c r="AI148" s="425">
        <v>0</v>
      </c>
      <c r="AJ148" s="957">
        <v>0</v>
      </c>
      <c r="AL148" s="939">
        <v>0</v>
      </c>
      <c r="AM148" s="939">
        <v>0</v>
      </c>
      <c r="AN148" s="950">
        <v>24971.311840000006</v>
      </c>
      <c r="AO148" s="946">
        <v>0</v>
      </c>
      <c r="AP148" s="946">
        <v>0</v>
      </c>
      <c r="AQ148" s="953"/>
      <c r="AR148" s="950"/>
      <c r="AS148" s="950">
        <v>0</v>
      </c>
    </row>
    <row r="149" spans="1:45" x14ac:dyDescent="0.3">
      <c r="A149" s="642" t="s">
        <v>517</v>
      </c>
      <c r="B149" s="642" t="s">
        <v>518</v>
      </c>
      <c r="C149" s="642" t="s">
        <v>516</v>
      </c>
      <c r="D149" s="642" t="s">
        <v>71</v>
      </c>
      <c r="F149" s="946"/>
      <c r="H149" s="975">
        <v>-522944</v>
      </c>
      <c r="I149" s="939">
        <v>0</v>
      </c>
      <c r="J149" s="974">
        <v>0</v>
      </c>
      <c r="L149" s="946"/>
      <c r="M149" s="947"/>
      <c r="N149" s="946"/>
      <c r="P149" s="946"/>
      <c r="R149" s="946"/>
      <c r="S149" s="948">
        <v>0</v>
      </c>
      <c r="T149" s="946">
        <v>0</v>
      </c>
      <c r="V149" s="946"/>
      <c r="W149" s="946"/>
      <c r="X149" s="946"/>
      <c r="Y149" s="947"/>
      <c r="Z149" s="946"/>
      <c r="AA149" s="948">
        <v>0</v>
      </c>
      <c r="AB149" s="946">
        <v>0</v>
      </c>
      <c r="AC149" s="974">
        <v>0</v>
      </c>
      <c r="AD149" s="946">
        <v>177732.25899999999</v>
      </c>
      <c r="AE149" s="957">
        <v>0</v>
      </c>
      <c r="AG149" s="957">
        <v>0</v>
      </c>
      <c r="AH149" s="955">
        <v>0</v>
      </c>
      <c r="AI149" s="425">
        <v>0</v>
      </c>
      <c r="AJ149" s="957">
        <v>0</v>
      </c>
      <c r="AL149" s="939">
        <v>0</v>
      </c>
      <c r="AM149" s="939">
        <v>0</v>
      </c>
      <c r="AN149" s="950">
        <v>0</v>
      </c>
      <c r="AO149" s="946" t="e">
        <v>#N/A</v>
      </c>
      <c r="AP149" s="946" t="e">
        <v>#N/A</v>
      </c>
      <c r="AQ149" s="953"/>
      <c r="AR149" s="950"/>
      <c r="AS149" s="950">
        <v>0</v>
      </c>
    </row>
    <row r="150" spans="1:45" x14ac:dyDescent="0.3">
      <c r="A150" s="642" t="s">
        <v>520</v>
      </c>
      <c r="B150" s="642" t="s">
        <v>521</v>
      </c>
      <c r="C150" s="642" t="s">
        <v>519</v>
      </c>
      <c r="D150" s="642" t="s">
        <v>1940</v>
      </c>
      <c r="F150" s="946">
        <v>-26491</v>
      </c>
      <c r="H150" s="946">
        <v>0</v>
      </c>
      <c r="I150" s="939">
        <v>226760362</v>
      </c>
      <c r="J150" s="974">
        <v>226760.36199999999</v>
      </c>
      <c r="L150" s="946">
        <v>24688</v>
      </c>
      <c r="M150" s="947"/>
      <c r="N150" s="946">
        <v>0</v>
      </c>
      <c r="P150" s="946">
        <v>14955</v>
      </c>
      <c r="R150" s="946">
        <v>15434</v>
      </c>
      <c r="S150" s="948">
        <v>1082281</v>
      </c>
      <c r="T150" s="946">
        <v>1082.2809999999999</v>
      </c>
      <c r="V150" s="946">
        <v>3663</v>
      </c>
      <c r="W150" s="946">
        <v>898</v>
      </c>
      <c r="X150" s="946">
        <v>5755</v>
      </c>
      <c r="Y150" s="947"/>
      <c r="Z150" s="946">
        <v>3707</v>
      </c>
      <c r="AA150" s="948">
        <v>415669</v>
      </c>
      <c r="AB150" s="946">
        <v>415.66899999999998</v>
      </c>
      <c r="AC150" s="974">
        <v>0</v>
      </c>
      <c r="AD150" s="946">
        <v>110030.86</v>
      </c>
      <c r="AE150" s="957">
        <v>16671</v>
      </c>
      <c r="AG150" s="957">
        <v>0</v>
      </c>
      <c r="AH150" s="955">
        <v>-2640</v>
      </c>
      <c r="AI150" s="425">
        <v>1</v>
      </c>
      <c r="AJ150" s="957">
        <v>0</v>
      </c>
      <c r="AL150" s="939">
        <v>1</v>
      </c>
      <c r="AM150" s="939">
        <v>1</v>
      </c>
      <c r="AN150" s="950">
        <v>11559.390079999997</v>
      </c>
      <c r="AO150" s="946">
        <v>0.68307414701757396</v>
      </c>
      <c r="AP150" s="946">
        <v>683</v>
      </c>
      <c r="AQ150" s="953"/>
      <c r="AR150" s="950"/>
      <c r="AS150" s="950">
        <v>1307.046</v>
      </c>
    </row>
    <row r="151" spans="1:45" x14ac:dyDescent="0.3">
      <c r="A151" s="642" t="s">
        <v>524</v>
      </c>
      <c r="B151" s="642" t="s">
        <v>525</v>
      </c>
      <c r="C151" s="642" t="s">
        <v>523</v>
      </c>
      <c r="D151" s="642" t="s">
        <v>61</v>
      </c>
      <c r="F151" s="946">
        <v>0</v>
      </c>
      <c r="H151" s="946">
        <v>0</v>
      </c>
      <c r="I151" s="939">
        <v>0</v>
      </c>
      <c r="J151" s="974">
        <v>0</v>
      </c>
      <c r="L151" s="946">
        <v>0</v>
      </c>
      <c r="M151" s="947"/>
      <c r="N151" s="946">
        <v>0</v>
      </c>
      <c r="P151" s="946">
        <v>0</v>
      </c>
      <c r="R151" s="946">
        <v>0</v>
      </c>
      <c r="S151" s="948">
        <v>0</v>
      </c>
      <c r="T151" s="946">
        <v>0</v>
      </c>
      <c r="V151" s="946">
        <v>428</v>
      </c>
      <c r="W151" s="946">
        <v>0</v>
      </c>
      <c r="X151" s="946">
        <v>202</v>
      </c>
      <c r="Y151" s="947"/>
      <c r="Z151" s="946">
        <v>766</v>
      </c>
      <c r="AA151" s="948">
        <v>81578</v>
      </c>
      <c r="AB151" s="946">
        <v>81.578000000000003</v>
      </c>
      <c r="AC151" s="974">
        <v>2029.25</v>
      </c>
      <c r="AD151" s="946">
        <v>12927.564</v>
      </c>
      <c r="AE151" s="957">
        <v>98483</v>
      </c>
      <c r="AG151" s="957">
        <v>1008</v>
      </c>
      <c r="AH151" s="955">
        <v>0</v>
      </c>
      <c r="AI151" s="425">
        <v>1</v>
      </c>
      <c r="AJ151" s="957">
        <v>0</v>
      </c>
      <c r="AL151" s="939">
        <v>0</v>
      </c>
      <c r="AM151" s="939">
        <v>0</v>
      </c>
      <c r="AN151" s="950">
        <v>5201.7077300000001</v>
      </c>
      <c r="AO151" s="946">
        <v>0.13397196123625299</v>
      </c>
      <c r="AP151" s="946">
        <v>134</v>
      </c>
      <c r="AQ151" s="953"/>
      <c r="AR151" s="950"/>
      <c r="AS151" s="950">
        <v>228.36799999999999</v>
      </c>
    </row>
    <row r="152" spans="1:45" x14ac:dyDescent="0.3">
      <c r="A152" s="642" t="s">
        <v>527</v>
      </c>
      <c r="B152" s="642" t="s">
        <v>528</v>
      </c>
      <c r="C152" s="642" t="s">
        <v>526</v>
      </c>
      <c r="D152" s="642" t="s">
        <v>1940</v>
      </c>
      <c r="F152" s="946">
        <v>-36649</v>
      </c>
      <c r="H152" s="946">
        <v>0</v>
      </c>
      <c r="I152" s="939">
        <v>230748249</v>
      </c>
      <c r="J152" s="974">
        <v>230748.24900000001</v>
      </c>
      <c r="L152" s="946">
        <v>35871</v>
      </c>
      <c r="M152" s="947"/>
      <c r="N152" s="946">
        <v>0</v>
      </c>
      <c r="P152" s="946">
        <v>16958</v>
      </c>
      <c r="R152" s="946">
        <v>16637</v>
      </c>
      <c r="S152" s="948">
        <v>709081</v>
      </c>
      <c r="T152" s="946">
        <v>709.08100000000002</v>
      </c>
      <c r="V152" s="946">
        <v>5755</v>
      </c>
      <c r="W152" s="946">
        <v>948</v>
      </c>
      <c r="X152" s="946">
        <v>7655</v>
      </c>
      <c r="Y152" s="947"/>
      <c r="Z152" s="946">
        <v>2480</v>
      </c>
      <c r="AA152" s="948">
        <v>604260</v>
      </c>
      <c r="AB152" s="946">
        <v>604.26</v>
      </c>
      <c r="AC152" s="974">
        <v>0</v>
      </c>
      <c r="AD152" s="946">
        <v>94362.766000000003</v>
      </c>
      <c r="AE152" s="957">
        <v>27031</v>
      </c>
      <c r="AG152" s="957">
        <v>3000</v>
      </c>
      <c r="AH152" s="955">
        <v>0</v>
      </c>
      <c r="AI152" s="425">
        <v>1</v>
      </c>
      <c r="AJ152" s="957">
        <v>0</v>
      </c>
      <c r="AL152" s="939">
        <v>1</v>
      </c>
      <c r="AM152" s="939">
        <v>1</v>
      </c>
      <c r="AN152" s="950">
        <v>1348.085</v>
      </c>
      <c r="AO152" s="946">
        <v>1.18154465093978</v>
      </c>
      <c r="AP152" s="946">
        <v>1182</v>
      </c>
      <c r="AQ152" s="953"/>
      <c r="AR152" s="950"/>
      <c r="AS152" s="950">
        <v>1928.4490000000001</v>
      </c>
    </row>
    <row r="153" spans="1:45" x14ac:dyDescent="0.3">
      <c r="A153" s="642" t="s">
        <v>530</v>
      </c>
      <c r="B153" s="642" t="s">
        <v>531</v>
      </c>
      <c r="C153" s="642" t="s">
        <v>529</v>
      </c>
      <c r="D153" s="642" t="s">
        <v>125</v>
      </c>
      <c r="F153" s="946">
        <v>0</v>
      </c>
      <c r="H153" s="946">
        <v>0</v>
      </c>
      <c r="I153" s="939">
        <v>82676677</v>
      </c>
      <c r="J153" s="974">
        <v>82676.676999999996</v>
      </c>
      <c r="L153" s="946">
        <v>10765</v>
      </c>
      <c r="M153" s="947"/>
      <c r="N153" s="946">
        <v>0</v>
      </c>
      <c r="P153" s="946">
        <v>7042</v>
      </c>
      <c r="R153" s="946">
        <v>0</v>
      </c>
      <c r="S153" s="948">
        <v>656217</v>
      </c>
      <c r="T153" s="946">
        <v>656.21699999999998</v>
      </c>
      <c r="V153" s="946">
        <v>356</v>
      </c>
      <c r="W153" s="946">
        <v>431</v>
      </c>
      <c r="X153" s="946">
        <v>2489</v>
      </c>
      <c r="Y153" s="947"/>
      <c r="Z153" s="946">
        <v>851</v>
      </c>
      <c r="AA153" s="948">
        <v>210837</v>
      </c>
      <c r="AB153" s="946">
        <v>210.83699999999999</v>
      </c>
      <c r="AC153" s="974">
        <v>160.63900000000001</v>
      </c>
      <c r="AD153" s="946">
        <v>57335.091</v>
      </c>
      <c r="AE153" s="957">
        <v>0</v>
      </c>
      <c r="AG153" s="957">
        <v>288</v>
      </c>
      <c r="AH153" s="955">
        <v>0</v>
      </c>
      <c r="AI153" s="425">
        <v>1</v>
      </c>
      <c r="AJ153" s="957">
        <v>0</v>
      </c>
      <c r="AL153" s="939">
        <v>1</v>
      </c>
      <c r="AM153" s="939">
        <v>1</v>
      </c>
      <c r="AN153" s="950">
        <v>5830.3</v>
      </c>
      <c r="AO153" s="946">
        <v>0.215127996718287</v>
      </c>
      <c r="AP153" s="946">
        <v>215</v>
      </c>
      <c r="AQ153" s="953"/>
      <c r="AR153" s="950"/>
      <c r="AS153" s="950">
        <v>514.89700000000005</v>
      </c>
    </row>
    <row r="154" spans="1:45" x14ac:dyDescent="0.3">
      <c r="A154" s="642" t="s">
        <v>533</v>
      </c>
      <c r="B154" s="642" t="s">
        <v>534</v>
      </c>
      <c r="C154" s="642" t="s">
        <v>532</v>
      </c>
      <c r="D154" s="642" t="s">
        <v>61</v>
      </c>
      <c r="F154" s="946">
        <v>-95</v>
      </c>
      <c r="H154" s="946">
        <v>0</v>
      </c>
      <c r="I154" s="939">
        <v>0</v>
      </c>
      <c r="J154" s="974">
        <v>0</v>
      </c>
      <c r="L154" s="946">
        <v>0</v>
      </c>
      <c r="M154" s="947"/>
      <c r="N154" s="946">
        <v>660</v>
      </c>
      <c r="P154" s="946">
        <v>0</v>
      </c>
      <c r="R154" s="946">
        <v>0</v>
      </c>
      <c r="S154" s="948">
        <v>0</v>
      </c>
      <c r="T154" s="946">
        <v>0</v>
      </c>
      <c r="V154" s="946">
        <v>130</v>
      </c>
      <c r="W154" s="946">
        <v>0</v>
      </c>
      <c r="X154" s="946">
        <v>144</v>
      </c>
      <c r="Y154" s="947"/>
      <c r="Z154" s="946">
        <v>1293</v>
      </c>
      <c r="AA154" s="948">
        <v>70471</v>
      </c>
      <c r="AB154" s="946">
        <v>70.471000000000004</v>
      </c>
      <c r="AC154" s="974">
        <v>1751.84277</v>
      </c>
      <c r="AD154" s="946">
        <v>6281.0189199999995</v>
      </c>
      <c r="AE154" s="957">
        <v>0</v>
      </c>
      <c r="AG154" s="957">
        <v>158</v>
      </c>
      <c r="AH154" s="955">
        <v>0</v>
      </c>
      <c r="AI154" s="425">
        <v>1</v>
      </c>
      <c r="AJ154" s="957">
        <v>0</v>
      </c>
      <c r="AL154" s="939">
        <v>0</v>
      </c>
      <c r="AM154" s="939">
        <v>0</v>
      </c>
      <c r="AN154" s="950">
        <v>518.5</v>
      </c>
      <c r="AO154" s="946">
        <v>9.5502845159147906E-2</v>
      </c>
      <c r="AP154" s="946">
        <v>96</v>
      </c>
      <c r="AQ154" s="953"/>
      <c r="AR154" s="950"/>
      <c r="AS154" s="950">
        <v>174.96</v>
      </c>
    </row>
    <row r="155" spans="1:45" x14ac:dyDescent="0.3">
      <c r="A155" s="642" t="s">
        <v>536</v>
      </c>
      <c r="B155" s="642" t="s">
        <v>537</v>
      </c>
      <c r="C155" s="642" t="s">
        <v>535</v>
      </c>
      <c r="D155" s="642" t="s">
        <v>1940</v>
      </c>
      <c r="F155" s="946">
        <v>-18046</v>
      </c>
      <c r="H155" s="946">
        <v>0</v>
      </c>
      <c r="I155" s="939">
        <v>84647578</v>
      </c>
      <c r="J155" s="974">
        <v>84647.577999999994</v>
      </c>
      <c r="L155" s="946">
        <v>23258</v>
      </c>
      <c r="M155" s="947"/>
      <c r="N155" s="946">
        <v>0</v>
      </c>
      <c r="P155" s="946">
        <v>10717</v>
      </c>
      <c r="R155" s="946">
        <v>10027</v>
      </c>
      <c r="S155" s="948">
        <v>771827</v>
      </c>
      <c r="T155" s="946">
        <v>771.827</v>
      </c>
      <c r="V155" s="946">
        <v>3823</v>
      </c>
      <c r="W155" s="946">
        <v>620</v>
      </c>
      <c r="X155" s="946">
        <v>4264</v>
      </c>
      <c r="Y155" s="947"/>
      <c r="Z155" s="946">
        <v>2750</v>
      </c>
      <c r="AA155" s="948">
        <v>312390</v>
      </c>
      <c r="AB155" s="946">
        <v>312.39</v>
      </c>
      <c r="AC155" s="974">
        <v>0</v>
      </c>
      <c r="AD155" s="946">
        <v>68439.524999999994</v>
      </c>
      <c r="AE155" s="957">
        <v>26712</v>
      </c>
      <c r="AG155" s="957">
        <v>0</v>
      </c>
      <c r="AH155" s="955">
        <v>-4285</v>
      </c>
      <c r="AI155" s="425">
        <v>1</v>
      </c>
      <c r="AJ155" s="957">
        <v>-2500</v>
      </c>
      <c r="AL155" s="939">
        <v>1</v>
      </c>
      <c r="AM155" s="939">
        <v>1</v>
      </c>
      <c r="AN155" s="950">
        <v>10218.152300000002</v>
      </c>
      <c r="AO155" s="946">
        <v>0.93693331884803699</v>
      </c>
      <c r="AP155" s="946">
        <v>937</v>
      </c>
      <c r="AQ155" s="953"/>
      <c r="AR155" s="950"/>
      <c r="AS155" s="950">
        <v>966.19100000000003</v>
      </c>
    </row>
    <row r="156" spans="1:45" x14ac:dyDescent="0.3">
      <c r="A156" s="642" t="s">
        <v>539</v>
      </c>
      <c r="B156" s="642" t="s">
        <v>540</v>
      </c>
      <c r="C156" s="642" t="s">
        <v>538</v>
      </c>
      <c r="D156" s="642" t="s">
        <v>1942</v>
      </c>
      <c r="F156" s="946">
        <v>-19</v>
      </c>
      <c r="H156" s="946">
        <v>0</v>
      </c>
      <c r="I156" s="939">
        <v>903708379</v>
      </c>
      <c r="J156" s="974">
        <v>903708.37899999996</v>
      </c>
      <c r="L156" s="946">
        <v>54412</v>
      </c>
      <c r="M156" s="947"/>
      <c r="N156" s="946">
        <v>0</v>
      </c>
      <c r="P156" s="946">
        <v>37203</v>
      </c>
      <c r="R156" s="946">
        <v>31279</v>
      </c>
      <c r="S156" s="948">
        <v>4081832</v>
      </c>
      <c r="T156" s="946">
        <v>4081.8319999999999</v>
      </c>
      <c r="V156" s="946">
        <v>0</v>
      </c>
      <c r="W156" s="946">
        <v>3209</v>
      </c>
      <c r="X156" s="946">
        <v>8290</v>
      </c>
      <c r="Y156" s="947"/>
      <c r="Z156" s="946">
        <v>3390</v>
      </c>
      <c r="AA156" s="948">
        <v>0</v>
      </c>
      <c r="AB156" s="946">
        <v>0</v>
      </c>
      <c r="AC156" s="974">
        <v>0</v>
      </c>
      <c r="AD156" s="946">
        <v>738072.34889999998</v>
      </c>
      <c r="AE156" s="957">
        <v>0</v>
      </c>
      <c r="AG156" s="957">
        <v>3978</v>
      </c>
      <c r="AH156" s="955">
        <v>0</v>
      </c>
      <c r="AI156" s="425">
        <v>0</v>
      </c>
      <c r="AJ156" s="957">
        <v>0</v>
      </c>
      <c r="AL156" s="939">
        <v>1</v>
      </c>
      <c r="AM156" s="939">
        <v>1</v>
      </c>
      <c r="AN156" s="950">
        <v>9496.0499999999993</v>
      </c>
      <c r="AO156" s="946">
        <v>0</v>
      </c>
      <c r="AP156" s="946">
        <v>0</v>
      </c>
      <c r="AQ156" s="953"/>
      <c r="AR156" s="950"/>
      <c r="AS156" s="950">
        <v>0</v>
      </c>
    </row>
    <row r="157" spans="1:45" x14ac:dyDescent="0.3">
      <c r="A157" s="642" t="s">
        <v>542</v>
      </c>
      <c r="B157" s="642" t="s">
        <v>543</v>
      </c>
      <c r="C157" s="642" t="s">
        <v>541</v>
      </c>
      <c r="D157" s="642" t="s">
        <v>5408</v>
      </c>
      <c r="F157" s="946">
        <v>-8528</v>
      </c>
      <c r="H157" s="946">
        <v>0</v>
      </c>
      <c r="I157" s="939">
        <v>0</v>
      </c>
      <c r="J157" s="974">
        <v>0</v>
      </c>
      <c r="L157" s="946">
        <v>0</v>
      </c>
      <c r="M157" s="947"/>
      <c r="N157" s="946">
        <v>0</v>
      </c>
      <c r="P157" s="946">
        <v>0</v>
      </c>
      <c r="R157" s="946">
        <v>0</v>
      </c>
      <c r="S157" s="948">
        <v>0</v>
      </c>
      <c r="T157" s="946">
        <v>0</v>
      </c>
      <c r="V157" s="946">
        <v>0</v>
      </c>
      <c r="W157" s="946">
        <v>0</v>
      </c>
      <c r="X157" s="946">
        <v>1132</v>
      </c>
      <c r="Y157" s="947"/>
      <c r="Z157" s="946">
        <v>0</v>
      </c>
      <c r="AA157" s="948">
        <v>0</v>
      </c>
      <c r="AB157" s="946">
        <v>0</v>
      </c>
      <c r="AC157" s="974">
        <v>0</v>
      </c>
      <c r="AD157" s="946">
        <v>53396.488159999994</v>
      </c>
      <c r="AE157" s="957">
        <v>0</v>
      </c>
      <c r="AG157" s="957">
        <v>4038</v>
      </c>
      <c r="AH157" s="955">
        <v>0</v>
      </c>
      <c r="AI157" s="425">
        <v>0</v>
      </c>
      <c r="AJ157" s="957">
        <v>0</v>
      </c>
      <c r="AL157" s="939">
        <v>0</v>
      </c>
      <c r="AM157" s="939">
        <v>0</v>
      </c>
      <c r="AN157" s="950">
        <v>311.75</v>
      </c>
      <c r="AO157" s="946">
        <v>0</v>
      </c>
      <c r="AP157" s="946">
        <v>0</v>
      </c>
      <c r="AQ157" s="953"/>
      <c r="AR157" s="950"/>
      <c r="AS157" s="950">
        <v>0</v>
      </c>
    </row>
    <row r="158" spans="1:45" x14ac:dyDescent="0.3">
      <c r="A158" s="642" t="s">
        <v>545</v>
      </c>
      <c r="B158" s="642" t="s">
        <v>546</v>
      </c>
      <c r="C158" s="642" t="s">
        <v>544</v>
      </c>
      <c r="D158" s="642" t="s">
        <v>71</v>
      </c>
      <c r="F158" s="946">
        <v>0</v>
      </c>
      <c r="H158" s="946">
        <v>-235993</v>
      </c>
      <c r="I158" s="939">
        <v>0</v>
      </c>
      <c r="J158" s="974">
        <v>0</v>
      </c>
      <c r="L158" s="946">
        <v>0</v>
      </c>
      <c r="M158" s="947"/>
      <c r="N158" s="946">
        <v>0</v>
      </c>
      <c r="P158" s="946">
        <v>0</v>
      </c>
      <c r="R158" s="946">
        <v>0</v>
      </c>
      <c r="S158" s="948">
        <v>0</v>
      </c>
      <c r="T158" s="946">
        <v>0</v>
      </c>
      <c r="V158" s="946">
        <v>0</v>
      </c>
      <c r="W158" s="946">
        <v>0</v>
      </c>
      <c r="X158" s="946">
        <v>0</v>
      </c>
      <c r="Y158" s="947"/>
      <c r="Z158" s="946">
        <v>0</v>
      </c>
      <c r="AA158" s="948">
        <v>0</v>
      </c>
      <c r="AB158" s="946">
        <v>0</v>
      </c>
      <c r="AC158" s="974">
        <v>0</v>
      </c>
      <c r="AD158" s="946">
        <v>167388.7524</v>
      </c>
      <c r="AE158" s="957">
        <v>0</v>
      </c>
      <c r="AG158" s="957">
        <v>8300</v>
      </c>
      <c r="AH158" s="955">
        <v>0</v>
      </c>
      <c r="AI158" s="425">
        <v>0</v>
      </c>
      <c r="AJ158" s="957">
        <v>0</v>
      </c>
      <c r="AL158" s="939">
        <v>0</v>
      </c>
      <c r="AM158" s="939">
        <v>0</v>
      </c>
      <c r="AN158" s="950">
        <v>1275.9625000000001</v>
      </c>
      <c r="AO158" s="946">
        <v>0</v>
      </c>
      <c r="AP158" s="946">
        <v>0</v>
      </c>
      <c r="AQ158" s="953"/>
      <c r="AR158" s="950"/>
      <c r="AS158" s="950">
        <v>0</v>
      </c>
    </row>
    <row r="159" spans="1:45" x14ac:dyDescent="0.3">
      <c r="A159" s="642" t="s">
        <v>548</v>
      </c>
      <c r="B159" s="642" t="s">
        <v>549</v>
      </c>
      <c r="C159" s="642" t="s">
        <v>547</v>
      </c>
      <c r="D159" s="642" t="s">
        <v>61</v>
      </c>
      <c r="F159" s="946">
        <v>0</v>
      </c>
      <c r="H159" s="946">
        <v>0</v>
      </c>
      <c r="I159" s="939">
        <v>0</v>
      </c>
      <c r="J159" s="974">
        <v>0</v>
      </c>
      <c r="L159" s="946">
        <v>0</v>
      </c>
      <c r="M159" s="947"/>
      <c r="N159" s="946">
        <v>141</v>
      </c>
      <c r="P159" s="946">
        <v>0</v>
      </c>
      <c r="R159" s="946">
        <v>0</v>
      </c>
      <c r="S159" s="948">
        <v>0</v>
      </c>
      <c r="T159" s="946">
        <v>0</v>
      </c>
      <c r="V159" s="946">
        <v>98</v>
      </c>
      <c r="W159" s="946">
        <v>0</v>
      </c>
      <c r="X159" s="946">
        <v>122</v>
      </c>
      <c r="Y159" s="947"/>
      <c r="Z159" s="946">
        <v>2331</v>
      </c>
      <c r="AA159" s="948">
        <v>52971</v>
      </c>
      <c r="AB159" s="946">
        <v>52.970999999999997</v>
      </c>
      <c r="AC159" s="974">
        <v>2114.3270000000002</v>
      </c>
      <c r="AD159" s="946">
        <v>8768.5190000000002</v>
      </c>
      <c r="AE159" s="957">
        <v>0</v>
      </c>
      <c r="AG159" s="957">
        <v>0</v>
      </c>
      <c r="AH159" s="955">
        <v>-3926</v>
      </c>
      <c r="AI159" s="425">
        <v>1</v>
      </c>
      <c r="AJ159" s="957">
        <v>0</v>
      </c>
      <c r="AL159" s="939">
        <v>0</v>
      </c>
      <c r="AM159" s="939">
        <v>0</v>
      </c>
      <c r="AN159" s="950">
        <v>74.684139999999999</v>
      </c>
      <c r="AO159" s="946">
        <v>8.0998807514039095E-2</v>
      </c>
      <c r="AP159" s="946">
        <v>81</v>
      </c>
      <c r="AQ159" s="953"/>
      <c r="AR159" s="950"/>
      <c r="AS159" s="950">
        <v>116.85299999999999</v>
      </c>
    </row>
    <row r="160" spans="1:45" x14ac:dyDescent="0.3">
      <c r="A160" s="642" t="s">
        <v>551</v>
      </c>
      <c r="B160" s="642" t="s">
        <v>552</v>
      </c>
      <c r="C160" s="642" t="s">
        <v>550</v>
      </c>
      <c r="D160" s="642" t="s">
        <v>1940</v>
      </c>
      <c r="F160" s="946">
        <v>-22797</v>
      </c>
      <c r="H160" s="946">
        <v>0</v>
      </c>
      <c r="I160" s="939">
        <v>208553236</v>
      </c>
      <c r="J160" s="974">
        <v>208553.236</v>
      </c>
      <c r="L160" s="946">
        <v>21502</v>
      </c>
      <c r="M160" s="947"/>
      <c r="N160" s="946">
        <v>0</v>
      </c>
      <c r="P160" s="946">
        <v>11903</v>
      </c>
      <c r="R160" s="946">
        <v>9806</v>
      </c>
      <c r="S160" s="948">
        <v>680579</v>
      </c>
      <c r="T160" s="946">
        <v>680.57899999999995</v>
      </c>
      <c r="V160" s="946">
        <v>8471</v>
      </c>
      <c r="W160" s="946">
        <v>775</v>
      </c>
      <c r="X160" s="946">
        <v>5652</v>
      </c>
      <c r="Y160" s="947"/>
      <c r="Z160" s="946">
        <v>1279</v>
      </c>
      <c r="AA160" s="948">
        <v>518563</v>
      </c>
      <c r="AB160" s="946">
        <v>518.56299999999999</v>
      </c>
      <c r="AC160" s="974">
        <v>0</v>
      </c>
      <c r="AD160" s="946">
        <v>117695.96</v>
      </c>
      <c r="AE160" s="957">
        <v>20759</v>
      </c>
      <c r="AG160" s="957">
        <v>0</v>
      </c>
      <c r="AH160" s="955">
        <v>0</v>
      </c>
      <c r="AI160" s="425">
        <v>1</v>
      </c>
      <c r="AJ160" s="957">
        <v>0</v>
      </c>
      <c r="AL160" s="939">
        <v>1</v>
      </c>
      <c r="AM160" s="939">
        <v>1</v>
      </c>
      <c r="AN160" s="950">
        <v>12972.946940000003</v>
      </c>
      <c r="AO160" s="946">
        <v>0.81185329755935698</v>
      </c>
      <c r="AP160" s="946">
        <v>812</v>
      </c>
      <c r="AQ160" s="953"/>
      <c r="AR160" s="950"/>
      <c r="AS160" s="950">
        <v>1351.1189999999999</v>
      </c>
    </row>
    <row r="161" spans="1:45" x14ac:dyDescent="0.3">
      <c r="A161" s="642" t="s">
        <v>554</v>
      </c>
      <c r="B161" s="642" t="s">
        <v>555</v>
      </c>
      <c r="C161" s="642" t="s">
        <v>553</v>
      </c>
      <c r="D161" s="642" t="s">
        <v>61</v>
      </c>
      <c r="F161" s="946">
        <v>0</v>
      </c>
      <c r="H161" s="946">
        <v>0</v>
      </c>
      <c r="I161" s="939">
        <v>0</v>
      </c>
      <c r="J161" s="974">
        <v>0</v>
      </c>
      <c r="L161" s="946">
        <v>0</v>
      </c>
      <c r="M161" s="947"/>
      <c r="N161" s="946">
        <v>0</v>
      </c>
      <c r="P161" s="946">
        <v>0</v>
      </c>
      <c r="R161" s="946">
        <v>0</v>
      </c>
      <c r="S161" s="948">
        <v>0</v>
      </c>
      <c r="T161" s="946">
        <v>0</v>
      </c>
      <c r="V161" s="946">
        <v>566</v>
      </c>
      <c r="W161" s="946">
        <v>0</v>
      </c>
      <c r="X161" s="946">
        <v>215</v>
      </c>
      <c r="Y161" s="947"/>
      <c r="Z161" s="946">
        <v>1165</v>
      </c>
      <c r="AA161" s="948">
        <v>126350</v>
      </c>
      <c r="AB161" s="946">
        <v>126.35</v>
      </c>
      <c r="AC161" s="974">
        <v>0</v>
      </c>
      <c r="AD161" s="946">
        <v>8074.7550000000001</v>
      </c>
      <c r="AE161" s="957">
        <v>17677</v>
      </c>
      <c r="AG161" s="957">
        <v>211</v>
      </c>
      <c r="AH161" s="955">
        <v>0</v>
      </c>
      <c r="AI161" s="425">
        <v>1</v>
      </c>
      <c r="AJ161" s="957">
        <v>0</v>
      </c>
      <c r="AL161" s="939">
        <v>0</v>
      </c>
      <c r="AM161" s="939">
        <v>0</v>
      </c>
      <c r="AN161" s="950">
        <v>7009.6140400000004</v>
      </c>
      <c r="AO161" s="946">
        <v>0.142648234968275</v>
      </c>
      <c r="AP161" s="946">
        <v>143</v>
      </c>
      <c r="AQ161" s="953"/>
      <c r="AR161" s="950"/>
      <c r="AS161" s="950">
        <v>324.38499999999999</v>
      </c>
    </row>
    <row r="162" spans="1:45" x14ac:dyDescent="0.3">
      <c r="A162" s="642" t="s">
        <v>557</v>
      </c>
      <c r="B162" s="642" t="s">
        <v>558</v>
      </c>
      <c r="C162" s="642" t="s">
        <v>556</v>
      </c>
      <c r="D162" s="642" t="s">
        <v>61</v>
      </c>
      <c r="F162" s="946">
        <v>-1</v>
      </c>
      <c r="H162" s="946">
        <v>0</v>
      </c>
      <c r="I162" s="939">
        <v>0</v>
      </c>
      <c r="J162" s="974">
        <v>0</v>
      </c>
      <c r="L162" s="946">
        <v>0</v>
      </c>
      <c r="M162" s="947"/>
      <c r="N162" s="946">
        <v>252</v>
      </c>
      <c r="P162" s="946">
        <v>0</v>
      </c>
      <c r="R162" s="946">
        <v>0</v>
      </c>
      <c r="S162" s="948">
        <v>0</v>
      </c>
      <c r="T162" s="946">
        <v>0</v>
      </c>
      <c r="V162" s="946">
        <v>414</v>
      </c>
      <c r="W162" s="946">
        <v>0</v>
      </c>
      <c r="X162" s="946">
        <v>258</v>
      </c>
      <c r="Y162" s="947"/>
      <c r="Z162" s="946">
        <v>2535</v>
      </c>
      <c r="AA162" s="948">
        <v>128176</v>
      </c>
      <c r="AB162" s="946">
        <v>128.17599999999999</v>
      </c>
      <c r="AC162" s="974">
        <v>1223.4159999999999</v>
      </c>
      <c r="AD162" s="946">
        <v>17890.145</v>
      </c>
      <c r="AE162" s="957">
        <v>16129</v>
      </c>
      <c r="AG162" s="957">
        <v>5443</v>
      </c>
      <c r="AH162" s="955">
        <v>0</v>
      </c>
      <c r="AI162" s="425">
        <v>1</v>
      </c>
      <c r="AJ162" s="957">
        <v>0</v>
      </c>
      <c r="AL162" s="939">
        <v>0</v>
      </c>
      <c r="AM162" s="939">
        <v>0</v>
      </c>
      <c r="AN162" s="950">
        <v>1226.49774</v>
      </c>
      <c r="AO162" s="946">
        <v>0.17121122846806699</v>
      </c>
      <c r="AP162" s="946">
        <v>171</v>
      </c>
      <c r="AQ162" s="953"/>
      <c r="AR162" s="950"/>
      <c r="AS162" s="950">
        <v>277.31</v>
      </c>
    </row>
    <row r="163" spans="1:45" x14ac:dyDescent="0.3">
      <c r="A163" s="642" t="s">
        <v>560</v>
      </c>
      <c r="B163" s="642" t="s">
        <v>561</v>
      </c>
      <c r="C163" s="642" t="s">
        <v>559</v>
      </c>
      <c r="D163" s="642" t="s">
        <v>1940</v>
      </c>
      <c r="F163" s="946">
        <v>-1648</v>
      </c>
      <c r="H163" s="946">
        <v>0</v>
      </c>
      <c r="I163" s="939">
        <v>143233401</v>
      </c>
      <c r="J163" s="974">
        <v>143233.40100000001</v>
      </c>
      <c r="L163" s="946">
        <v>11627</v>
      </c>
      <c r="M163" s="947"/>
      <c r="N163" s="946">
        <v>0</v>
      </c>
      <c r="P163" s="946">
        <v>7721</v>
      </c>
      <c r="R163" s="946">
        <v>6664</v>
      </c>
      <c r="S163" s="948">
        <v>295206</v>
      </c>
      <c r="T163" s="946">
        <v>295.20600000000002</v>
      </c>
      <c r="V163" s="946">
        <v>2277</v>
      </c>
      <c r="W163" s="946">
        <v>655</v>
      </c>
      <c r="X163" s="946">
        <v>2735</v>
      </c>
      <c r="Y163" s="947"/>
      <c r="Z163" s="946">
        <v>3022</v>
      </c>
      <c r="AA163" s="948">
        <v>256554</v>
      </c>
      <c r="AB163" s="946">
        <v>256.55399999999997</v>
      </c>
      <c r="AC163" s="974">
        <v>0</v>
      </c>
      <c r="AD163" s="946">
        <v>146184.50200000001</v>
      </c>
      <c r="AE163" s="957">
        <v>7246</v>
      </c>
      <c r="AG163" s="957">
        <v>0</v>
      </c>
      <c r="AH163" s="955">
        <v>0</v>
      </c>
      <c r="AI163" s="425">
        <v>1</v>
      </c>
      <c r="AJ163" s="957">
        <v>0</v>
      </c>
      <c r="AL163" s="939">
        <v>1</v>
      </c>
      <c r="AM163" s="939">
        <v>1</v>
      </c>
      <c r="AN163" s="950">
        <v>11895.942800000001</v>
      </c>
      <c r="AO163" s="946">
        <v>0.42812163807814302</v>
      </c>
      <c r="AP163" s="946">
        <v>428</v>
      </c>
      <c r="AQ163" s="953"/>
      <c r="AR163" s="950"/>
      <c r="AS163" s="950">
        <v>701.97799999999995</v>
      </c>
    </row>
    <row r="164" spans="1:45" x14ac:dyDescent="0.3">
      <c r="A164" s="642" t="s">
        <v>563</v>
      </c>
      <c r="B164" s="642" t="s">
        <v>564</v>
      </c>
      <c r="C164" s="642" t="s">
        <v>562</v>
      </c>
      <c r="D164" s="642" t="s">
        <v>61</v>
      </c>
      <c r="F164" s="946">
        <v>0</v>
      </c>
      <c r="H164" s="946">
        <v>0</v>
      </c>
      <c r="I164" s="939">
        <v>0</v>
      </c>
      <c r="J164" s="974">
        <v>0</v>
      </c>
      <c r="L164" s="946">
        <v>0</v>
      </c>
      <c r="M164" s="947"/>
      <c r="N164" s="946">
        <v>0</v>
      </c>
      <c r="P164" s="946">
        <v>0</v>
      </c>
      <c r="R164" s="946">
        <v>0</v>
      </c>
      <c r="S164" s="948">
        <v>0</v>
      </c>
      <c r="T164" s="946">
        <v>0</v>
      </c>
      <c r="V164" s="946">
        <v>265</v>
      </c>
      <c r="W164" s="946">
        <v>0</v>
      </c>
      <c r="X164" s="946">
        <v>95</v>
      </c>
      <c r="Y164" s="947"/>
      <c r="Z164" s="946">
        <v>1604</v>
      </c>
      <c r="AA164" s="948">
        <v>50275</v>
      </c>
      <c r="AB164" s="946">
        <v>50.274999999999999</v>
      </c>
      <c r="AC164" s="974">
        <v>3694.5450000000001</v>
      </c>
      <c r="AD164" s="946">
        <v>11507.42</v>
      </c>
      <c r="AE164" s="957">
        <v>0</v>
      </c>
      <c r="AG164" s="957">
        <v>815</v>
      </c>
      <c r="AH164" s="955">
        <v>0</v>
      </c>
      <c r="AI164" s="425">
        <v>1</v>
      </c>
      <c r="AJ164" s="957">
        <v>0</v>
      </c>
      <c r="AL164" s="939">
        <v>0</v>
      </c>
      <c r="AM164" s="939">
        <v>0</v>
      </c>
      <c r="AN164" s="950">
        <v>308.50506000000001</v>
      </c>
      <c r="AO164" s="946">
        <v>6.32250236361247E-2</v>
      </c>
      <c r="AP164" s="946">
        <v>63</v>
      </c>
      <c r="AQ164" s="953"/>
      <c r="AR164" s="950"/>
      <c r="AS164" s="950">
        <v>104.35899999999999</v>
      </c>
    </row>
    <row r="165" spans="1:45" x14ac:dyDescent="0.3">
      <c r="A165" s="642" t="s">
        <v>566</v>
      </c>
      <c r="B165" s="642" t="s">
        <v>567</v>
      </c>
      <c r="C165" s="642" t="s">
        <v>565</v>
      </c>
      <c r="D165" s="642" t="s">
        <v>125</v>
      </c>
      <c r="F165" s="946">
        <v>-8193</v>
      </c>
      <c r="H165" s="946">
        <v>0</v>
      </c>
      <c r="I165" s="939">
        <v>42054622</v>
      </c>
      <c r="J165" s="974">
        <v>42054.622000000003</v>
      </c>
      <c r="L165" s="946">
        <v>9360</v>
      </c>
      <c r="M165" s="947"/>
      <c r="N165" s="946">
        <v>0</v>
      </c>
      <c r="P165" s="946">
        <v>5407</v>
      </c>
      <c r="R165" s="946">
        <v>5358</v>
      </c>
      <c r="S165" s="948">
        <v>582497</v>
      </c>
      <c r="T165" s="946">
        <v>582.49699999999996</v>
      </c>
      <c r="V165" s="946">
        <v>200</v>
      </c>
      <c r="W165" s="946">
        <v>338</v>
      </c>
      <c r="X165" s="946">
        <v>1964</v>
      </c>
      <c r="Y165" s="947"/>
      <c r="Z165" s="946">
        <v>492</v>
      </c>
      <c r="AA165" s="948">
        <v>216500</v>
      </c>
      <c r="AB165" s="946">
        <v>216.5</v>
      </c>
      <c r="AC165" s="974">
        <v>56.674999999999997</v>
      </c>
      <c r="AD165" s="946">
        <v>45844.675000000003</v>
      </c>
      <c r="AE165" s="957">
        <v>495</v>
      </c>
      <c r="AG165" s="957">
        <v>0</v>
      </c>
      <c r="AH165" s="955">
        <v>0</v>
      </c>
      <c r="AI165" s="425">
        <v>1</v>
      </c>
      <c r="AJ165" s="957">
        <v>0</v>
      </c>
      <c r="AL165" s="939">
        <v>1</v>
      </c>
      <c r="AM165" s="939">
        <v>1</v>
      </c>
      <c r="AN165" s="950">
        <v>964.42001000000005</v>
      </c>
      <c r="AO165" s="946">
        <v>0.20595376534343501</v>
      </c>
      <c r="AP165" s="946">
        <v>206</v>
      </c>
      <c r="AQ165" s="953"/>
      <c r="AR165" s="950"/>
      <c r="AS165" s="950">
        <v>463.964</v>
      </c>
    </row>
    <row r="166" spans="1:45" x14ac:dyDescent="0.3">
      <c r="A166" s="642" t="s">
        <v>569</v>
      </c>
      <c r="B166" s="642" t="s">
        <v>570</v>
      </c>
      <c r="C166" s="642" t="s">
        <v>568</v>
      </c>
      <c r="D166" s="642" t="s">
        <v>61</v>
      </c>
      <c r="F166" s="946">
        <v>-1041</v>
      </c>
      <c r="H166" s="946">
        <v>0</v>
      </c>
      <c r="I166" s="939">
        <v>0</v>
      </c>
      <c r="J166" s="974">
        <v>0</v>
      </c>
      <c r="L166" s="946">
        <v>0</v>
      </c>
      <c r="M166" s="947"/>
      <c r="N166" s="946">
        <v>0</v>
      </c>
      <c r="P166" s="946">
        <v>0</v>
      </c>
      <c r="R166" s="946">
        <v>0</v>
      </c>
      <c r="S166" s="948">
        <v>0</v>
      </c>
      <c r="T166" s="946">
        <v>0</v>
      </c>
      <c r="V166" s="946">
        <v>1093</v>
      </c>
      <c r="W166" s="946">
        <v>0</v>
      </c>
      <c r="X166" s="946">
        <v>263</v>
      </c>
      <c r="Y166" s="947"/>
      <c r="Z166" s="946">
        <v>158</v>
      </c>
      <c r="AA166" s="948">
        <v>153627</v>
      </c>
      <c r="AB166" s="946">
        <v>153.62700000000001</v>
      </c>
      <c r="AC166" s="974">
        <v>0</v>
      </c>
      <c r="AD166" s="946">
        <v>7390.1760000000004</v>
      </c>
      <c r="AE166" s="957">
        <v>0</v>
      </c>
      <c r="AG166" s="957">
        <v>184</v>
      </c>
      <c r="AH166" s="955">
        <v>0</v>
      </c>
      <c r="AI166" s="425">
        <v>1</v>
      </c>
      <c r="AJ166" s="957">
        <v>0</v>
      </c>
      <c r="AL166" s="939">
        <v>0</v>
      </c>
      <c r="AM166" s="939">
        <v>0</v>
      </c>
      <c r="AN166" s="950">
        <v>1847.1836599999999</v>
      </c>
      <c r="AO166" s="946">
        <v>0.174732189197633</v>
      </c>
      <c r="AP166" s="946">
        <v>175</v>
      </c>
      <c r="AQ166" s="953"/>
      <c r="AR166" s="950"/>
      <c r="AS166" s="950">
        <v>425.209</v>
      </c>
    </row>
    <row r="167" spans="1:45" x14ac:dyDescent="0.3">
      <c r="A167" s="642" t="s">
        <v>572</v>
      </c>
      <c r="B167" s="642" t="s">
        <v>573</v>
      </c>
      <c r="C167" s="642" t="s">
        <v>571</v>
      </c>
      <c r="D167" s="642" t="s">
        <v>61</v>
      </c>
      <c r="F167" s="946">
        <v>-1</v>
      </c>
      <c r="H167" s="946">
        <v>0</v>
      </c>
      <c r="I167" s="939">
        <v>0</v>
      </c>
      <c r="J167" s="974">
        <v>0</v>
      </c>
      <c r="L167" s="946">
        <v>0</v>
      </c>
      <c r="M167" s="947"/>
      <c r="N167" s="946">
        <v>0</v>
      </c>
      <c r="P167" s="946">
        <v>0</v>
      </c>
      <c r="R167" s="946">
        <v>0</v>
      </c>
      <c r="S167" s="948">
        <v>0</v>
      </c>
      <c r="T167" s="946">
        <v>0</v>
      </c>
      <c r="V167" s="946">
        <v>594</v>
      </c>
      <c r="W167" s="946">
        <v>0</v>
      </c>
      <c r="X167" s="946">
        <v>231</v>
      </c>
      <c r="Y167" s="947"/>
      <c r="Z167" s="946">
        <v>474</v>
      </c>
      <c r="AA167" s="948">
        <v>150939</v>
      </c>
      <c r="AB167" s="946">
        <v>150.93899999999999</v>
      </c>
      <c r="AC167" s="974">
        <v>0</v>
      </c>
      <c r="AD167" s="946">
        <v>9167.9779999999992</v>
      </c>
      <c r="AE167" s="957">
        <v>0</v>
      </c>
      <c r="AG167" s="957">
        <v>0</v>
      </c>
      <c r="AH167" s="955">
        <v>0</v>
      </c>
      <c r="AI167" s="425">
        <v>1</v>
      </c>
      <c r="AJ167" s="957">
        <v>0</v>
      </c>
      <c r="AL167" s="939">
        <v>0</v>
      </c>
      <c r="AM167" s="939">
        <v>0</v>
      </c>
      <c r="AN167" s="950">
        <v>126.29289999999999</v>
      </c>
      <c r="AO167" s="946">
        <v>0.153153596065182</v>
      </c>
      <c r="AP167" s="946">
        <v>153</v>
      </c>
      <c r="AQ167" s="953"/>
      <c r="AR167" s="950"/>
      <c r="AS167" s="950">
        <v>240.43600000000001</v>
      </c>
    </row>
    <row r="168" spans="1:45" x14ac:dyDescent="0.3">
      <c r="A168" s="642" t="s">
        <v>575</v>
      </c>
      <c r="B168" s="642" t="s">
        <v>576</v>
      </c>
      <c r="C168" s="642" t="s">
        <v>574</v>
      </c>
      <c r="D168" s="642" t="s">
        <v>1940</v>
      </c>
      <c r="F168" s="946">
        <v>-1454</v>
      </c>
      <c r="H168" s="946">
        <v>0</v>
      </c>
      <c r="I168" s="939">
        <v>140761635</v>
      </c>
      <c r="J168" s="974">
        <v>140761.63500000001</v>
      </c>
      <c r="L168" s="946">
        <v>11622</v>
      </c>
      <c r="M168" s="947"/>
      <c r="N168" s="946">
        <v>0</v>
      </c>
      <c r="P168" s="946">
        <v>8482</v>
      </c>
      <c r="R168" s="946">
        <v>6825</v>
      </c>
      <c r="S168" s="948">
        <v>585511</v>
      </c>
      <c r="T168" s="946">
        <v>585.51099999999997</v>
      </c>
      <c r="V168" s="946">
        <v>2373</v>
      </c>
      <c r="W168" s="946">
        <v>679</v>
      </c>
      <c r="X168" s="946">
        <v>2382</v>
      </c>
      <c r="Y168" s="947"/>
      <c r="Z168" s="946">
        <v>283</v>
      </c>
      <c r="AA168" s="948">
        <v>271277</v>
      </c>
      <c r="AB168" s="946">
        <v>271.27699999999999</v>
      </c>
      <c r="AC168" s="974">
        <v>0</v>
      </c>
      <c r="AD168" s="946">
        <v>140823.21799999999</v>
      </c>
      <c r="AE168" s="957">
        <v>20962</v>
      </c>
      <c r="AG168" s="957">
        <v>0</v>
      </c>
      <c r="AH168" s="955">
        <v>0</v>
      </c>
      <c r="AI168" s="425">
        <v>1</v>
      </c>
      <c r="AJ168" s="957">
        <v>0</v>
      </c>
      <c r="AL168" s="939">
        <v>1</v>
      </c>
      <c r="AM168" s="939">
        <v>1</v>
      </c>
      <c r="AN168" s="950">
        <v>8860.837019999999</v>
      </c>
      <c r="AO168" s="946">
        <v>0.29959871595170801</v>
      </c>
      <c r="AP168" s="946">
        <v>300</v>
      </c>
      <c r="AQ168" s="953"/>
      <c r="AR168" s="950"/>
      <c r="AS168" s="950">
        <v>593.20399999999995</v>
      </c>
    </row>
    <row r="169" spans="1:45" x14ac:dyDescent="0.3">
      <c r="A169" s="642" t="s">
        <v>578</v>
      </c>
      <c r="B169" s="642" t="s">
        <v>579</v>
      </c>
      <c r="C169" s="642" t="s">
        <v>5429</v>
      </c>
      <c r="D169" s="642" t="s">
        <v>5408</v>
      </c>
      <c r="F169" s="946">
        <v>-2144</v>
      </c>
      <c r="H169" s="946">
        <v>0</v>
      </c>
      <c r="I169" s="939">
        <v>0</v>
      </c>
      <c r="J169" s="974">
        <v>0</v>
      </c>
      <c r="L169" s="946">
        <v>0</v>
      </c>
      <c r="M169" s="947"/>
      <c r="N169" s="946">
        <v>115</v>
      </c>
      <c r="P169" s="946">
        <v>0</v>
      </c>
      <c r="R169" s="946">
        <v>0</v>
      </c>
      <c r="S169" s="948">
        <v>0</v>
      </c>
      <c r="T169" s="946">
        <v>0</v>
      </c>
      <c r="V169" s="946">
        <v>0</v>
      </c>
      <c r="W169" s="946">
        <v>0</v>
      </c>
      <c r="X169" s="946">
        <v>392</v>
      </c>
      <c r="Y169" s="947"/>
      <c r="Z169" s="946">
        <v>0</v>
      </c>
      <c r="AA169" s="948">
        <v>0</v>
      </c>
      <c r="AB169" s="946">
        <v>0</v>
      </c>
      <c r="AC169" s="974">
        <v>0</v>
      </c>
      <c r="AD169" s="946">
        <v>25568.078000000001</v>
      </c>
      <c r="AE169" s="957">
        <v>0</v>
      </c>
      <c r="AG169" s="957">
        <v>0</v>
      </c>
      <c r="AH169" s="955">
        <v>0</v>
      </c>
      <c r="AI169" s="425">
        <v>0</v>
      </c>
      <c r="AJ169" s="957">
        <v>0</v>
      </c>
      <c r="AL169" s="939">
        <v>0</v>
      </c>
      <c r="AM169" s="939">
        <v>0</v>
      </c>
      <c r="AN169" s="950">
        <v>401.30455999999998</v>
      </c>
      <c r="AO169" s="946">
        <v>0</v>
      </c>
      <c r="AP169" s="946">
        <v>0</v>
      </c>
      <c r="AQ169" s="953"/>
      <c r="AR169" s="950"/>
      <c r="AS169" s="950">
        <v>0</v>
      </c>
    </row>
    <row r="170" spans="1:45" x14ac:dyDescent="0.3">
      <c r="A170" s="642" t="s">
        <v>581</v>
      </c>
      <c r="B170" s="642" t="s">
        <v>582</v>
      </c>
      <c r="C170" s="642" t="s">
        <v>580</v>
      </c>
      <c r="D170" s="642" t="s">
        <v>125</v>
      </c>
      <c r="F170" s="946">
        <v>-663</v>
      </c>
      <c r="H170" s="946">
        <v>0</v>
      </c>
      <c r="I170" s="939">
        <v>94845395</v>
      </c>
      <c r="J170" s="974">
        <v>94845.395000000004</v>
      </c>
      <c r="L170" s="946">
        <v>9589</v>
      </c>
      <c r="M170" s="947"/>
      <c r="N170" s="946">
        <v>5353</v>
      </c>
      <c r="P170" s="946">
        <v>7690</v>
      </c>
      <c r="R170" s="946">
        <v>6783</v>
      </c>
      <c r="S170" s="948">
        <v>1177619</v>
      </c>
      <c r="T170" s="946">
        <v>1177.6189999999999</v>
      </c>
      <c r="V170" s="946">
        <v>381</v>
      </c>
      <c r="W170" s="946">
        <v>594</v>
      </c>
      <c r="X170" s="946">
        <v>2250</v>
      </c>
      <c r="Y170" s="947"/>
      <c r="Z170" s="946">
        <v>1330</v>
      </c>
      <c r="AA170" s="948">
        <v>185287</v>
      </c>
      <c r="AB170" s="946">
        <v>185.28700000000001</v>
      </c>
      <c r="AC170" s="974">
        <v>5137.9760999999999</v>
      </c>
      <c r="AD170" s="946">
        <v>124686.58940000001</v>
      </c>
      <c r="AE170" s="957">
        <v>0</v>
      </c>
      <c r="AG170" s="957">
        <v>0</v>
      </c>
      <c r="AH170" s="955">
        <v>0</v>
      </c>
      <c r="AI170" s="425">
        <v>1</v>
      </c>
      <c r="AJ170" s="957">
        <v>0</v>
      </c>
      <c r="AL170" s="939">
        <v>1</v>
      </c>
      <c r="AM170" s="939">
        <v>1</v>
      </c>
      <c r="AN170" s="950">
        <v>4556.1702599999999</v>
      </c>
      <c r="AO170" s="946">
        <v>0.26898055949351002</v>
      </c>
      <c r="AP170" s="946">
        <v>269</v>
      </c>
      <c r="AQ170" s="953"/>
      <c r="AR170" s="950"/>
      <c r="AS170" s="950">
        <v>409.76100000000002</v>
      </c>
    </row>
    <row r="171" spans="1:45" x14ac:dyDescent="0.3">
      <c r="A171" s="642" t="s">
        <v>584</v>
      </c>
      <c r="B171" s="642" t="s">
        <v>585</v>
      </c>
      <c r="C171" s="642" t="s">
        <v>583</v>
      </c>
      <c r="D171" s="642" t="s">
        <v>1942</v>
      </c>
      <c r="F171" s="946">
        <v>-2010</v>
      </c>
      <c r="H171" s="946">
        <v>0</v>
      </c>
      <c r="I171" s="939">
        <v>664282622</v>
      </c>
      <c r="J171" s="974">
        <v>664282.62199999997</v>
      </c>
      <c r="L171" s="946">
        <v>51317</v>
      </c>
      <c r="M171" s="947"/>
      <c r="N171" s="946">
        <v>0</v>
      </c>
      <c r="P171" s="946">
        <v>32324</v>
      </c>
      <c r="R171" s="946">
        <v>23555</v>
      </c>
      <c r="S171" s="948">
        <v>1943870</v>
      </c>
      <c r="T171" s="946">
        <v>1943.87</v>
      </c>
      <c r="V171" s="946">
        <v>0</v>
      </c>
      <c r="W171" s="946">
        <v>2791</v>
      </c>
      <c r="X171" s="946">
        <v>8553</v>
      </c>
      <c r="Y171" s="947"/>
      <c r="Z171" s="946">
        <v>1778</v>
      </c>
      <c r="AA171" s="948">
        <v>0</v>
      </c>
      <c r="AB171" s="946">
        <v>0</v>
      </c>
      <c r="AC171" s="974">
        <v>0</v>
      </c>
      <c r="AD171" s="946">
        <v>701105.28799999994</v>
      </c>
      <c r="AE171" s="957">
        <v>0</v>
      </c>
      <c r="AG171" s="957">
        <v>2000</v>
      </c>
      <c r="AH171" s="955">
        <v>0</v>
      </c>
      <c r="AI171" s="425">
        <v>0</v>
      </c>
      <c r="AJ171" s="957">
        <v>0</v>
      </c>
      <c r="AL171" s="939">
        <v>1</v>
      </c>
      <c r="AM171" s="939">
        <v>1</v>
      </c>
      <c r="AN171" s="950">
        <v>6202.9025699999993</v>
      </c>
      <c r="AO171" s="946">
        <v>0</v>
      </c>
      <c r="AP171" s="946">
        <v>0</v>
      </c>
      <c r="AQ171" s="953"/>
      <c r="AR171" s="950"/>
      <c r="AS171" s="950">
        <v>0</v>
      </c>
    </row>
    <row r="172" spans="1:45" x14ac:dyDescent="0.3">
      <c r="A172" s="642" t="s">
        <v>587</v>
      </c>
      <c r="B172" s="642" t="s">
        <v>588</v>
      </c>
      <c r="C172" s="642" t="s">
        <v>586</v>
      </c>
      <c r="D172" s="642" t="s">
        <v>71</v>
      </c>
      <c r="F172" s="946">
        <v>0</v>
      </c>
      <c r="H172" s="946">
        <v>-141770</v>
      </c>
      <c r="I172" s="939">
        <v>0</v>
      </c>
      <c r="J172" s="974">
        <v>0</v>
      </c>
      <c r="L172" s="946">
        <v>0</v>
      </c>
      <c r="M172" s="947"/>
      <c r="N172" s="946">
        <v>0</v>
      </c>
      <c r="P172" s="946">
        <v>0</v>
      </c>
      <c r="R172" s="946">
        <v>0</v>
      </c>
      <c r="S172" s="948">
        <v>0</v>
      </c>
      <c r="T172" s="946">
        <v>0</v>
      </c>
      <c r="V172" s="946">
        <v>0</v>
      </c>
      <c r="W172" s="946">
        <v>0</v>
      </c>
      <c r="X172" s="946">
        <v>0</v>
      </c>
      <c r="Y172" s="947"/>
      <c r="Z172" s="946">
        <v>0</v>
      </c>
      <c r="AA172" s="948">
        <v>0</v>
      </c>
      <c r="AB172" s="946">
        <v>0</v>
      </c>
      <c r="AC172" s="974">
        <v>0</v>
      </c>
      <c r="AD172" s="946">
        <v>102233.3465</v>
      </c>
      <c r="AE172" s="957">
        <v>0</v>
      </c>
      <c r="AG172" s="957">
        <v>0</v>
      </c>
      <c r="AH172" s="955">
        <v>0</v>
      </c>
      <c r="AI172" s="425">
        <v>0</v>
      </c>
      <c r="AJ172" s="957">
        <v>0</v>
      </c>
      <c r="AL172" s="939">
        <v>0</v>
      </c>
      <c r="AM172" s="939">
        <v>0</v>
      </c>
      <c r="AN172" s="950">
        <v>487</v>
      </c>
      <c r="AO172" s="946">
        <v>0</v>
      </c>
      <c r="AP172" s="946">
        <v>0</v>
      </c>
      <c r="AQ172" s="953"/>
      <c r="AR172" s="950"/>
      <c r="AS172" s="950">
        <v>0</v>
      </c>
    </row>
    <row r="173" spans="1:45" x14ac:dyDescent="0.3">
      <c r="A173" s="642" t="s">
        <v>590</v>
      </c>
      <c r="B173" s="642" t="s">
        <v>591</v>
      </c>
      <c r="C173" s="642" t="s">
        <v>589</v>
      </c>
      <c r="D173" s="642" t="s">
        <v>61</v>
      </c>
      <c r="F173" s="946">
        <v>0</v>
      </c>
      <c r="H173" s="946">
        <v>0</v>
      </c>
      <c r="I173" s="939">
        <v>0</v>
      </c>
      <c r="J173" s="974">
        <v>0</v>
      </c>
      <c r="L173" s="946">
        <v>0</v>
      </c>
      <c r="M173" s="947"/>
      <c r="N173" s="946">
        <v>0</v>
      </c>
      <c r="P173" s="946">
        <v>0</v>
      </c>
      <c r="R173" s="946">
        <v>0</v>
      </c>
      <c r="S173" s="948">
        <v>0</v>
      </c>
      <c r="T173" s="946">
        <v>0</v>
      </c>
      <c r="V173" s="946">
        <v>455</v>
      </c>
      <c r="W173" s="946">
        <v>0</v>
      </c>
      <c r="X173" s="946">
        <v>188</v>
      </c>
      <c r="Y173" s="947"/>
      <c r="Z173" s="946">
        <v>875</v>
      </c>
      <c r="AA173" s="948">
        <v>119847</v>
      </c>
      <c r="AB173" s="946">
        <v>119.84699999999999</v>
      </c>
      <c r="AC173" s="974">
        <v>1313.5709999999999</v>
      </c>
      <c r="AD173" s="946">
        <v>9545.527</v>
      </c>
      <c r="AE173" s="957">
        <v>0</v>
      </c>
      <c r="AG173" s="957">
        <v>1875</v>
      </c>
      <c r="AH173" s="955">
        <v>0</v>
      </c>
      <c r="AI173" s="425">
        <v>1</v>
      </c>
      <c r="AJ173" s="957">
        <v>0</v>
      </c>
      <c r="AL173" s="939">
        <v>0</v>
      </c>
      <c r="AM173" s="939">
        <v>0</v>
      </c>
      <c r="AN173" s="950">
        <v>0</v>
      </c>
      <c r="AO173" s="946">
        <v>0.12455904273162199</v>
      </c>
      <c r="AP173" s="946">
        <v>125</v>
      </c>
      <c r="AQ173" s="953"/>
      <c r="AR173" s="950"/>
      <c r="AS173" s="950">
        <v>257.82299999999998</v>
      </c>
    </row>
    <row r="174" spans="1:45" x14ac:dyDescent="0.3">
      <c r="A174" s="642" t="s">
        <v>593</v>
      </c>
      <c r="B174" s="642" t="s">
        <v>594</v>
      </c>
      <c r="C174" s="642" t="s">
        <v>592</v>
      </c>
      <c r="D174" s="642" t="s">
        <v>61</v>
      </c>
      <c r="F174" s="946">
        <v>0</v>
      </c>
      <c r="H174" s="946">
        <v>0</v>
      </c>
      <c r="I174" s="939">
        <v>0</v>
      </c>
      <c r="J174" s="974">
        <v>0</v>
      </c>
      <c r="L174" s="946">
        <v>0</v>
      </c>
      <c r="M174" s="947"/>
      <c r="N174" s="946">
        <v>0</v>
      </c>
      <c r="P174" s="946">
        <v>0</v>
      </c>
      <c r="R174" s="946">
        <v>0</v>
      </c>
      <c r="S174" s="948">
        <v>0</v>
      </c>
      <c r="T174" s="946">
        <v>0</v>
      </c>
      <c r="V174" s="946">
        <v>184</v>
      </c>
      <c r="W174" s="946">
        <v>0</v>
      </c>
      <c r="X174" s="946">
        <v>163</v>
      </c>
      <c r="Y174" s="947"/>
      <c r="Z174" s="946">
        <v>675</v>
      </c>
      <c r="AA174" s="948">
        <v>96709</v>
      </c>
      <c r="AB174" s="946">
        <v>96.709000000000003</v>
      </c>
      <c r="AC174" s="974">
        <v>754.255</v>
      </c>
      <c r="AD174" s="946">
        <v>7191.9049999999997</v>
      </c>
      <c r="AE174" s="957">
        <v>16359</v>
      </c>
      <c r="AG174" s="957">
        <v>0</v>
      </c>
      <c r="AH174" s="955">
        <v>0</v>
      </c>
      <c r="AI174" s="425">
        <v>1</v>
      </c>
      <c r="AJ174" s="957">
        <v>0</v>
      </c>
      <c r="AL174" s="939">
        <v>0</v>
      </c>
      <c r="AM174" s="939">
        <v>0</v>
      </c>
      <c r="AN174" s="950">
        <v>1943.5914399999999</v>
      </c>
      <c r="AO174" s="946">
        <v>0.108316286298566</v>
      </c>
      <c r="AP174" s="946">
        <v>108</v>
      </c>
      <c r="AQ174" s="953"/>
      <c r="AR174" s="950"/>
      <c r="AS174" s="950">
        <v>201.36600000000001</v>
      </c>
    </row>
    <row r="175" spans="1:45" x14ac:dyDescent="0.3">
      <c r="A175" s="642" t="s">
        <v>596</v>
      </c>
      <c r="B175" s="642" t="s">
        <v>597</v>
      </c>
      <c r="C175" s="642" t="s">
        <v>595</v>
      </c>
      <c r="D175" s="642" t="s">
        <v>1940</v>
      </c>
      <c r="F175" s="946">
        <v>-7014</v>
      </c>
      <c r="H175" s="946">
        <v>0</v>
      </c>
      <c r="I175" s="939">
        <v>174082841</v>
      </c>
      <c r="J175" s="974">
        <v>174082.84099999999</v>
      </c>
      <c r="L175" s="946">
        <v>18539</v>
      </c>
      <c r="M175" s="947"/>
      <c r="N175" s="946">
        <v>0</v>
      </c>
      <c r="P175" s="946">
        <v>9506</v>
      </c>
      <c r="R175" s="946">
        <v>7468</v>
      </c>
      <c r="S175" s="948">
        <v>492914</v>
      </c>
      <c r="T175" s="946">
        <v>492.91399999999999</v>
      </c>
      <c r="V175" s="946">
        <v>2511</v>
      </c>
      <c r="W175" s="946">
        <v>703</v>
      </c>
      <c r="X175" s="946">
        <v>3255</v>
      </c>
      <c r="Y175" s="947"/>
      <c r="Z175" s="946">
        <v>2765</v>
      </c>
      <c r="AA175" s="948">
        <v>372293</v>
      </c>
      <c r="AB175" s="946">
        <v>372.29300000000001</v>
      </c>
      <c r="AC175" s="974">
        <v>0</v>
      </c>
      <c r="AD175" s="946">
        <v>131178.995</v>
      </c>
      <c r="AE175" s="957">
        <v>15354</v>
      </c>
      <c r="AG175" s="957">
        <v>0</v>
      </c>
      <c r="AH175" s="955">
        <v>0</v>
      </c>
      <c r="AI175" s="425">
        <v>1</v>
      </c>
      <c r="AJ175" s="957">
        <v>-1458</v>
      </c>
      <c r="AL175" s="939">
        <v>1</v>
      </c>
      <c r="AM175" s="939">
        <v>1</v>
      </c>
      <c r="AN175" s="950">
        <v>5824.5641699999996</v>
      </c>
      <c r="AO175" s="946">
        <v>0.45891635577453899</v>
      </c>
      <c r="AP175" s="946">
        <v>459</v>
      </c>
      <c r="AQ175" s="953"/>
      <c r="AR175" s="950"/>
      <c r="AS175" s="950">
        <v>824.65700000000004</v>
      </c>
    </row>
    <row r="176" spans="1:45" x14ac:dyDescent="0.3">
      <c r="A176" s="642" t="s">
        <v>599</v>
      </c>
      <c r="B176" s="642" t="s">
        <v>600</v>
      </c>
      <c r="C176" s="642" t="s">
        <v>598</v>
      </c>
      <c r="D176" s="642" t="s">
        <v>61</v>
      </c>
      <c r="F176" s="946">
        <v>-89</v>
      </c>
      <c r="H176" s="946">
        <v>0</v>
      </c>
      <c r="I176" s="939">
        <v>0</v>
      </c>
      <c r="J176" s="974">
        <v>0</v>
      </c>
      <c r="L176" s="946">
        <v>0</v>
      </c>
      <c r="M176" s="947"/>
      <c r="N176" s="946">
        <v>0</v>
      </c>
      <c r="P176" s="946">
        <v>0</v>
      </c>
      <c r="R176" s="946">
        <v>0</v>
      </c>
      <c r="S176" s="948">
        <v>0</v>
      </c>
      <c r="T176" s="946">
        <v>0</v>
      </c>
      <c r="V176" s="946">
        <v>232</v>
      </c>
      <c r="W176" s="946">
        <v>0</v>
      </c>
      <c r="X176" s="946">
        <v>179</v>
      </c>
      <c r="Y176" s="947"/>
      <c r="Z176" s="946">
        <v>529</v>
      </c>
      <c r="AA176" s="948">
        <v>84199</v>
      </c>
      <c r="AB176" s="946">
        <v>84.198999999999998</v>
      </c>
      <c r="AC176" s="974">
        <v>2282.2730000000001</v>
      </c>
      <c r="AD176" s="946">
        <v>7933.549</v>
      </c>
      <c r="AE176" s="957">
        <v>7599</v>
      </c>
      <c r="AG176" s="957">
        <v>0</v>
      </c>
      <c r="AH176" s="955">
        <v>0</v>
      </c>
      <c r="AI176" s="425">
        <v>1</v>
      </c>
      <c r="AJ176" s="957">
        <v>0</v>
      </c>
      <c r="AL176" s="939">
        <v>0</v>
      </c>
      <c r="AM176" s="939">
        <v>0</v>
      </c>
      <c r="AN176" s="950">
        <v>2279.1877100000002</v>
      </c>
      <c r="AO176" s="946">
        <v>0.23671573236943999</v>
      </c>
      <c r="AP176" s="946">
        <v>237</v>
      </c>
      <c r="AQ176" s="953"/>
      <c r="AR176" s="950"/>
      <c r="AS176" s="950">
        <v>190.65899999999999</v>
      </c>
    </row>
    <row r="177" spans="1:45" x14ac:dyDescent="0.3">
      <c r="A177" s="642" t="s">
        <v>602</v>
      </c>
      <c r="B177" s="642" t="s">
        <v>603</v>
      </c>
      <c r="C177" s="642" t="s">
        <v>601</v>
      </c>
      <c r="D177" s="642" t="s">
        <v>61</v>
      </c>
      <c r="F177" s="946">
        <v>0</v>
      </c>
      <c r="H177" s="946">
        <v>0</v>
      </c>
      <c r="I177" s="939">
        <v>0</v>
      </c>
      <c r="J177" s="974">
        <v>0</v>
      </c>
      <c r="L177" s="946">
        <v>0</v>
      </c>
      <c r="M177" s="947"/>
      <c r="N177" s="946">
        <v>11</v>
      </c>
      <c r="P177" s="946">
        <v>0</v>
      </c>
      <c r="R177" s="946">
        <v>0</v>
      </c>
      <c r="S177" s="948">
        <v>0</v>
      </c>
      <c r="T177" s="946">
        <v>0</v>
      </c>
      <c r="V177" s="946">
        <v>386</v>
      </c>
      <c r="W177" s="946">
        <v>0</v>
      </c>
      <c r="X177" s="946">
        <v>141</v>
      </c>
      <c r="Y177" s="947"/>
      <c r="Z177" s="946">
        <v>2097</v>
      </c>
      <c r="AA177" s="948">
        <v>100508</v>
      </c>
      <c r="AB177" s="946">
        <v>100.508</v>
      </c>
      <c r="AC177" s="974">
        <v>3954.2040000000002</v>
      </c>
      <c r="AD177" s="946">
        <v>14654.569</v>
      </c>
      <c r="AE177" s="957">
        <v>0</v>
      </c>
      <c r="AG177" s="957">
        <v>5642</v>
      </c>
      <c r="AH177" s="955">
        <v>0</v>
      </c>
      <c r="AI177" s="425">
        <v>1</v>
      </c>
      <c r="AJ177" s="957">
        <v>0</v>
      </c>
      <c r="AL177" s="939">
        <v>0</v>
      </c>
      <c r="AM177" s="939">
        <v>0</v>
      </c>
      <c r="AN177" s="950">
        <v>0</v>
      </c>
      <c r="AO177" s="946">
        <v>1.4763557024116201</v>
      </c>
      <c r="AP177" s="946">
        <v>1476</v>
      </c>
      <c r="AQ177" s="953"/>
      <c r="AR177" s="950"/>
      <c r="AS177" s="950">
        <v>226.79300000000001</v>
      </c>
    </row>
    <row r="178" spans="1:45" x14ac:dyDescent="0.3">
      <c r="A178" s="642" t="s">
        <v>605</v>
      </c>
      <c r="B178" s="642" t="s">
        <v>606</v>
      </c>
      <c r="C178" s="642" t="s">
        <v>604</v>
      </c>
      <c r="D178" s="642" t="s">
        <v>1940</v>
      </c>
      <c r="F178" s="946">
        <v>-10007</v>
      </c>
      <c r="H178" s="946">
        <v>0</v>
      </c>
      <c r="I178" s="939">
        <v>194174575</v>
      </c>
      <c r="J178" s="974">
        <v>194174.57500000001</v>
      </c>
      <c r="L178" s="946">
        <v>16782</v>
      </c>
      <c r="M178" s="947"/>
      <c r="N178" s="946">
        <v>0</v>
      </c>
      <c r="P178" s="946">
        <v>9454</v>
      </c>
      <c r="R178" s="946">
        <v>8174</v>
      </c>
      <c r="S178" s="948">
        <v>491567</v>
      </c>
      <c r="T178" s="946">
        <v>491.56700000000001</v>
      </c>
      <c r="V178" s="946">
        <v>2965</v>
      </c>
      <c r="W178" s="946">
        <v>675</v>
      </c>
      <c r="X178" s="946">
        <v>3399</v>
      </c>
      <c r="Y178" s="947"/>
      <c r="Z178" s="946">
        <v>2041</v>
      </c>
      <c r="AA178" s="948">
        <v>386073</v>
      </c>
      <c r="AB178" s="946">
        <v>386.07299999999998</v>
      </c>
      <c r="AC178" s="974">
        <v>0</v>
      </c>
      <c r="AD178" s="946">
        <v>119619.8</v>
      </c>
      <c r="AE178" s="957">
        <v>2049</v>
      </c>
      <c r="AG178" s="957">
        <v>3600</v>
      </c>
      <c r="AH178" s="955">
        <v>0</v>
      </c>
      <c r="AI178" s="425">
        <v>1</v>
      </c>
      <c r="AJ178" s="957">
        <v>0</v>
      </c>
      <c r="AL178" s="939">
        <v>1</v>
      </c>
      <c r="AM178" s="939">
        <v>1</v>
      </c>
      <c r="AN178" s="950">
        <v>6576.0659900000001</v>
      </c>
      <c r="AO178" s="946">
        <v>0.52012371874027097</v>
      </c>
      <c r="AP178" s="946">
        <v>520</v>
      </c>
      <c r="AQ178" s="953"/>
      <c r="AR178" s="950"/>
      <c r="AS178" s="950">
        <v>956.85900000000004</v>
      </c>
    </row>
    <row r="179" spans="1:45" x14ac:dyDescent="0.3">
      <c r="A179" s="642" t="s">
        <v>608</v>
      </c>
      <c r="B179" s="642" t="s">
        <v>609</v>
      </c>
      <c r="C179" s="642" t="s">
        <v>5430</v>
      </c>
      <c r="D179" s="642" t="s">
        <v>5408</v>
      </c>
      <c r="F179" s="946">
        <v>-7603</v>
      </c>
      <c r="H179" s="946">
        <v>0</v>
      </c>
      <c r="I179" s="939">
        <v>0</v>
      </c>
      <c r="J179" s="974">
        <v>0</v>
      </c>
      <c r="L179" s="946">
        <v>0</v>
      </c>
      <c r="M179" s="947"/>
      <c r="N179" s="946">
        <v>0</v>
      </c>
      <c r="P179" s="946">
        <v>0</v>
      </c>
      <c r="R179" s="946">
        <v>0</v>
      </c>
      <c r="S179" s="948">
        <v>0</v>
      </c>
      <c r="T179" s="946">
        <v>0</v>
      </c>
      <c r="V179" s="946">
        <v>0</v>
      </c>
      <c r="W179" s="946">
        <v>0</v>
      </c>
      <c r="X179" s="946">
        <v>881</v>
      </c>
      <c r="Y179" s="947"/>
      <c r="Z179" s="946">
        <v>0</v>
      </c>
      <c r="AA179" s="948">
        <v>0</v>
      </c>
      <c r="AB179" s="946">
        <v>0</v>
      </c>
      <c r="AC179" s="974">
        <v>0</v>
      </c>
      <c r="AD179" s="946">
        <v>25311.556</v>
      </c>
      <c r="AE179" s="957">
        <v>0</v>
      </c>
      <c r="AG179" s="957">
        <v>1500</v>
      </c>
      <c r="AH179" s="955">
        <v>0</v>
      </c>
      <c r="AI179" s="425">
        <v>0</v>
      </c>
      <c r="AJ179" s="957">
        <v>0</v>
      </c>
      <c r="AL179" s="939">
        <v>0</v>
      </c>
      <c r="AM179" s="939">
        <v>0</v>
      </c>
      <c r="AN179" s="950">
        <v>616.37467000000004</v>
      </c>
      <c r="AO179" s="946">
        <v>0</v>
      </c>
      <c r="AP179" s="946">
        <v>0</v>
      </c>
      <c r="AQ179" s="953"/>
      <c r="AR179" s="950"/>
      <c r="AS179" s="950">
        <v>0</v>
      </c>
    </row>
    <row r="180" spans="1:45" x14ac:dyDescent="0.3">
      <c r="A180" s="642" t="s">
        <v>611</v>
      </c>
      <c r="B180" s="642" t="s">
        <v>612</v>
      </c>
      <c r="C180" s="642" t="s">
        <v>610</v>
      </c>
      <c r="D180" s="642" t="s">
        <v>71</v>
      </c>
      <c r="F180" s="946">
        <v>0</v>
      </c>
      <c r="H180" s="946">
        <v>-148612</v>
      </c>
      <c r="I180" s="939">
        <v>0</v>
      </c>
      <c r="J180" s="974">
        <v>0</v>
      </c>
      <c r="L180" s="946">
        <v>0</v>
      </c>
      <c r="M180" s="947"/>
      <c r="N180" s="946">
        <v>0</v>
      </c>
      <c r="P180" s="946">
        <v>0</v>
      </c>
      <c r="R180" s="946">
        <v>0</v>
      </c>
      <c r="S180" s="948">
        <v>0</v>
      </c>
      <c r="T180" s="946">
        <v>0</v>
      </c>
      <c r="V180" s="946">
        <v>0</v>
      </c>
      <c r="W180" s="946">
        <v>0</v>
      </c>
      <c r="X180" s="946">
        <v>0</v>
      </c>
      <c r="Y180" s="947"/>
      <c r="Z180" s="946">
        <v>0</v>
      </c>
      <c r="AA180" s="948">
        <v>0</v>
      </c>
      <c r="AB180" s="946">
        <v>0</v>
      </c>
      <c r="AC180" s="974">
        <v>0</v>
      </c>
      <c r="AD180" s="946">
        <v>71122.914999999994</v>
      </c>
      <c r="AE180" s="957">
        <v>0</v>
      </c>
      <c r="AG180" s="957">
        <v>0</v>
      </c>
      <c r="AH180" s="955">
        <v>0</v>
      </c>
      <c r="AI180" s="425">
        <v>0</v>
      </c>
      <c r="AJ180" s="957">
        <v>0</v>
      </c>
      <c r="AL180" s="939">
        <v>0</v>
      </c>
      <c r="AM180" s="939">
        <v>0</v>
      </c>
      <c r="AN180" s="950">
        <v>2328.5383299999999</v>
      </c>
      <c r="AO180" s="946">
        <v>0</v>
      </c>
      <c r="AP180" s="946">
        <v>0</v>
      </c>
      <c r="AQ180" s="953"/>
      <c r="AR180" s="950"/>
      <c r="AS180" s="950">
        <v>0</v>
      </c>
    </row>
    <row r="181" spans="1:45" x14ac:dyDescent="0.3">
      <c r="A181" s="642" t="s">
        <v>614</v>
      </c>
      <c r="B181" s="642" t="s">
        <v>615</v>
      </c>
      <c r="C181" s="642" t="s">
        <v>613</v>
      </c>
      <c r="D181" s="642" t="s">
        <v>61</v>
      </c>
      <c r="F181" s="946">
        <v>-1</v>
      </c>
      <c r="H181" s="946">
        <v>0</v>
      </c>
      <c r="I181" s="939">
        <v>0</v>
      </c>
      <c r="J181" s="974">
        <v>0</v>
      </c>
      <c r="L181" s="946">
        <v>0</v>
      </c>
      <c r="M181" s="947"/>
      <c r="N181" s="946">
        <v>45</v>
      </c>
      <c r="P181" s="946">
        <v>0</v>
      </c>
      <c r="R181" s="946">
        <v>0</v>
      </c>
      <c r="S181" s="948">
        <v>0</v>
      </c>
      <c r="T181" s="946">
        <v>0</v>
      </c>
      <c r="V181" s="946">
        <v>674</v>
      </c>
      <c r="W181" s="946">
        <v>0</v>
      </c>
      <c r="X181" s="946">
        <v>316</v>
      </c>
      <c r="Y181" s="947"/>
      <c r="Z181" s="946">
        <v>2116</v>
      </c>
      <c r="AA181" s="948">
        <v>124087</v>
      </c>
      <c r="AB181" s="946">
        <v>124.087</v>
      </c>
      <c r="AC181" s="974">
        <v>7894.21</v>
      </c>
      <c r="AD181" s="946">
        <v>17624.830999999998</v>
      </c>
      <c r="AE181" s="957">
        <v>0</v>
      </c>
      <c r="AG181" s="957">
        <v>0</v>
      </c>
      <c r="AH181" s="955">
        <v>0</v>
      </c>
      <c r="AI181" s="425">
        <v>1</v>
      </c>
      <c r="AJ181" s="957">
        <v>0</v>
      </c>
      <c r="AL181" s="939">
        <v>0</v>
      </c>
      <c r="AM181" s="939">
        <v>0</v>
      </c>
      <c r="AN181" s="950">
        <v>1038.4181599999999</v>
      </c>
      <c r="AO181" s="946">
        <v>0.20968607924898999</v>
      </c>
      <c r="AP181" s="946">
        <v>210</v>
      </c>
      <c r="AQ181" s="953"/>
      <c r="AR181" s="950"/>
      <c r="AS181" s="950">
        <v>300.05500000000001</v>
      </c>
    </row>
    <row r="182" spans="1:45" x14ac:dyDescent="0.3">
      <c r="A182" s="642" t="s">
        <v>617</v>
      </c>
      <c r="B182" s="642" t="s">
        <v>618</v>
      </c>
      <c r="C182" s="642" t="s">
        <v>616</v>
      </c>
      <c r="D182" s="642" t="s">
        <v>61</v>
      </c>
      <c r="F182" s="946">
        <v>-1616</v>
      </c>
      <c r="H182" s="946">
        <v>0</v>
      </c>
      <c r="I182" s="939">
        <v>0</v>
      </c>
      <c r="J182" s="974">
        <v>0</v>
      </c>
      <c r="L182" s="946">
        <v>0</v>
      </c>
      <c r="M182" s="947"/>
      <c r="N182" s="946">
        <v>0</v>
      </c>
      <c r="P182" s="946">
        <v>0</v>
      </c>
      <c r="R182" s="946">
        <v>0</v>
      </c>
      <c r="S182" s="948">
        <v>0</v>
      </c>
      <c r="T182" s="946">
        <v>0</v>
      </c>
      <c r="V182" s="946">
        <v>151</v>
      </c>
      <c r="W182" s="946">
        <v>0</v>
      </c>
      <c r="X182" s="946">
        <v>248</v>
      </c>
      <c r="Y182" s="947"/>
      <c r="Z182" s="946">
        <v>191</v>
      </c>
      <c r="AA182" s="948">
        <v>112098</v>
      </c>
      <c r="AB182" s="946">
        <v>112.098</v>
      </c>
      <c r="AC182" s="974">
        <v>12.731</v>
      </c>
      <c r="AD182" s="946">
        <v>5499.098</v>
      </c>
      <c r="AE182" s="957" t="s">
        <v>5589</v>
      </c>
      <c r="AG182" s="957">
        <v>900</v>
      </c>
      <c r="AH182" s="955">
        <v>0</v>
      </c>
      <c r="AI182" s="425">
        <v>1</v>
      </c>
      <c r="AJ182" s="957">
        <v>0</v>
      </c>
      <c r="AL182" s="939">
        <v>0</v>
      </c>
      <c r="AM182" s="939">
        <v>0</v>
      </c>
      <c r="AN182" s="950">
        <v>0</v>
      </c>
      <c r="AO182" s="946">
        <v>0.16472257491702499</v>
      </c>
      <c r="AP182" s="946">
        <v>165</v>
      </c>
      <c r="AQ182" s="953"/>
      <c r="AR182" s="950"/>
      <c r="AS182" s="950">
        <v>284.31400000000002</v>
      </c>
    </row>
    <row r="183" spans="1:45" x14ac:dyDescent="0.3">
      <c r="A183" s="642" t="s">
        <v>620</v>
      </c>
      <c r="B183" s="642" t="s">
        <v>621</v>
      </c>
      <c r="C183" s="642" t="s">
        <v>619</v>
      </c>
      <c r="D183" s="642" t="s">
        <v>61</v>
      </c>
      <c r="F183" s="946">
        <v>-1</v>
      </c>
      <c r="H183" s="946">
        <v>0</v>
      </c>
      <c r="I183" s="939">
        <v>0</v>
      </c>
      <c r="J183" s="974">
        <v>0</v>
      </c>
      <c r="L183" s="946">
        <v>0</v>
      </c>
      <c r="M183" s="947"/>
      <c r="N183" s="946">
        <v>0</v>
      </c>
      <c r="P183" s="946">
        <v>0</v>
      </c>
      <c r="R183" s="946">
        <v>0</v>
      </c>
      <c r="S183" s="948">
        <v>0</v>
      </c>
      <c r="T183" s="946">
        <v>0</v>
      </c>
      <c r="V183" s="946">
        <v>732</v>
      </c>
      <c r="W183" s="946">
        <v>0</v>
      </c>
      <c r="X183" s="946">
        <v>300</v>
      </c>
      <c r="Y183" s="947"/>
      <c r="Z183" s="946">
        <v>71</v>
      </c>
      <c r="AA183" s="948">
        <v>183526</v>
      </c>
      <c r="AB183" s="946">
        <v>183.52600000000001</v>
      </c>
      <c r="AC183" s="974">
        <v>0</v>
      </c>
      <c r="AD183" s="946">
        <v>14953.86</v>
      </c>
      <c r="AE183" s="957">
        <v>6171</v>
      </c>
      <c r="AG183" s="957">
        <v>0</v>
      </c>
      <c r="AH183" s="955">
        <v>0</v>
      </c>
      <c r="AI183" s="425">
        <v>1</v>
      </c>
      <c r="AJ183" s="957">
        <v>0</v>
      </c>
      <c r="AL183" s="939">
        <v>0</v>
      </c>
      <c r="AM183" s="939">
        <v>0</v>
      </c>
      <c r="AN183" s="950">
        <v>5622.786720000001</v>
      </c>
      <c r="AO183" s="946">
        <v>0.19933110506778801</v>
      </c>
      <c r="AP183" s="946">
        <v>199</v>
      </c>
      <c r="AQ183" s="953"/>
      <c r="AR183" s="950"/>
      <c r="AS183" s="950">
        <v>448.77499999999998</v>
      </c>
    </row>
    <row r="184" spans="1:45" x14ac:dyDescent="0.3">
      <c r="A184" s="642" t="s">
        <v>623</v>
      </c>
      <c r="B184" s="642" t="s">
        <v>624</v>
      </c>
      <c r="C184" s="642" t="s">
        <v>622</v>
      </c>
      <c r="D184" s="642" t="s">
        <v>125</v>
      </c>
      <c r="F184" s="946">
        <v>-3757</v>
      </c>
      <c r="H184" s="946">
        <v>0</v>
      </c>
      <c r="I184" s="939">
        <v>83165168</v>
      </c>
      <c r="J184" s="974">
        <v>83165.168000000005</v>
      </c>
      <c r="L184" s="946">
        <v>7935</v>
      </c>
      <c r="M184" s="947"/>
      <c r="N184" s="946">
        <v>0</v>
      </c>
      <c r="P184" s="946">
        <v>7101</v>
      </c>
      <c r="R184" s="946">
        <v>6180</v>
      </c>
      <c r="S184" s="948">
        <v>148999</v>
      </c>
      <c r="T184" s="946">
        <v>148.999</v>
      </c>
      <c r="V184" s="946">
        <v>777</v>
      </c>
      <c r="W184" s="946">
        <v>517</v>
      </c>
      <c r="X184" s="946">
        <v>2132</v>
      </c>
      <c r="Y184" s="947"/>
      <c r="Z184" s="946">
        <v>534</v>
      </c>
      <c r="AA184" s="948">
        <v>169833</v>
      </c>
      <c r="AB184" s="946">
        <v>169.833</v>
      </c>
      <c r="AC184" s="974">
        <v>5200.55</v>
      </c>
      <c r="AD184" s="946">
        <v>98474.739000000001</v>
      </c>
      <c r="AE184" s="957">
        <v>0</v>
      </c>
      <c r="AG184" s="957">
        <v>10753</v>
      </c>
      <c r="AH184" s="955">
        <v>0</v>
      </c>
      <c r="AI184" s="425">
        <v>1</v>
      </c>
      <c r="AJ184" s="957">
        <v>0</v>
      </c>
      <c r="AL184" s="939">
        <v>1</v>
      </c>
      <c r="AM184" s="939">
        <v>1</v>
      </c>
      <c r="AN184" s="950">
        <v>5708.6774299999997</v>
      </c>
      <c r="AO184" s="946">
        <v>0.19792623301464199</v>
      </c>
      <c r="AP184" s="946">
        <v>198</v>
      </c>
      <c r="AQ184" s="953"/>
      <c r="AR184" s="950"/>
      <c r="AS184" s="950">
        <v>425.49599999999998</v>
      </c>
    </row>
    <row r="185" spans="1:45" x14ac:dyDescent="0.3">
      <c r="A185" s="642" t="s">
        <v>626</v>
      </c>
      <c r="B185" s="642" t="s">
        <v>627</v>
      </c>
      <c r="C185" s="642" t="s">
        <v>625</v>
      </c>
      <c r="D185" s="642" t="s">
        <v>125</v>
      </c>
      <c r="F185" s="946">
        <v>-1937</v>
      </c>
      <c r="H185" s="946">
        <v>0</v>
      </c>
      <c r="I185" s="939">
        <v>0</v>
      </c>
      <c r="J185" s="974">
        <v>0</v>
      </c>
      <c r="L185" s="946">
        <v>135</v>
      </c>
      <c r="M185" s="947"/>
      <c r="N185" s="946">
        <v>0</v>
      </c>
      <c r="P185" s="946">
        <v>104</v>
      </c>
      <c r="R185" s="946">
        <v>81</v>
      </c>
      <c r="S185" s="948">
        <v>0</v>
      </c>
      <c r="T185" s="946">
        <v>0</v>
      </c>
      <c r="V185" s="946">
        <v>1</v>
      </c>
      <c r="W185" s="946">
        <v>9</v>
      </c>
      <c r="X185" s="946">
        <v>105</v>
      </c>
      <c r="Y185" s="947"/>
      <c r="Z185" s="946">
        <v>0</v>
      </c>
      <c r="AA185" s="948">
        <v>1284</v>
      </c>
      <c r="AB185" s="946">
        <v>1.284</v>
      </c>
      <c r="AC185" s="974">
        <v>0</v>
      </c>
      <c r="AD185" s="946">
        <v>1784.9110000000001</v>
      </c>
      <c r="AE185" s="957">
        <v>0</v>
      </c>
      <c r="AG185" s="957">
        <v>0</v>
      </c>
      <c r="AH185" s="955">
        <v>0</v>
      </c>
      <c r="AI185" s="425">
        <v>1</v>
      </c>
      <c r="AJ185" s="957">
        <v>0</v>
      </c>
      <c r="AL185" s="939">
        <v>1</v>
      </c>
      <c r="AM185" s="939">
        <v>1</v>
      </c>
      <c r="AN185" s="950">
        <v>36.75</v>
      </c>
      <c r="AO185" s="946">
        <v>0</v>
      </c>
      <c r="AP185" s="946">
        <v>0</v>
      </c>
      <c r="AQ185" s="953"/>
      <c r="AR185" s="950"/>
      <c r="AS185" s="950">
        <v>1.587</v>
      </c>
    </row>
    <row r="186" spans="1:45" x14ac:dyDescent="0.3">
      <c r="A186" s="642" t="s">
        <v>629</v>
      </c>
      <c r="B186" s="642" t="s">
        <v>630</v>
      </c>
      <c r="C186" s="642" t="s">
        <v>628</v>
      </c>
      <c r="D186" s="642" t="s">
        <v>1940</v>
      </c>
      <c r="F186" s="946">
        <v>-25347</v>
      </c>
      <c r="H186" s="946">
        <v>0</v>
      </c>
      <c r="I186" s="939">
        <v>158676284</v>
      </c>
      <c r="J186" s="974">
        <v>158676.28400000001</v>
      </c>
      <c r="L186" s="946">
        <v>28135</v>
      </c>
      <c r="M186" s="947"/>
      <c r="N186" s="946">
        <v>0</v>
      </c>
      <c r="P186" s="946">
        <v>14558</v>
      </c>
      <c r="R186" s="946">
        <v>14501</v>
      </c>
      <c r="S186" s="948">
        <v>1182146</v>
      </c>
      <c r="T186" s="946">
        <v>1182.146</v>
      </c>
      <c r="V186" s="946">
        <v>3743</v>
      </c>
      <c r="W186" s="946">
        <v>868</v>
      </c>
      <c r="X186" s="946">
        <v>5877</v>
      </c>
      <c r="Y186" s="947"/>
      <c r="Z186" s="946">
        <v>861</v>
      </c>
      <c r="AA186" s="948">
        <v>593073</v>
      </c>
      <c r="AB186" s="946">
        <v>593.07299999999998</v>
      </c>
      <c r="AC186" s="974">
        <v>0</v>
      </c>
      <c r="AD186" s="946">
        <v>105425.3682</v>
      </c>
      <c r="AE186" s="957">
        <v>74028</v>
      </c>
      <c r="AG186" s="957">
        <v>0</v>
      </c>
      <c r="AH186" s="955">
        <v>0</v>
      </c>
      <c r="AI186" s="425">
        <v>1</v>
      </c>
      <c r="AJ186" s="957">
        <v>0</v>
      </c>
      <c r="AL186" s="939">
        <v>1</v>
      </c>
      <c r="AM186" s="939">
        <v>1</v>
      </c>
      <c r="AN186" s="950">
        <v>10290.019130000001</v>
      </c>
      <c r="AO186" s="946">
        <v>0.99014819393987497</v>
      </c>
      <c r="AP186" s="946">
        <v>990</v>
      </c>
      <c r="AQ186" s="953"/>
      <c r="AR186" s="950"/>
      <c r="AS186" s="950">
        <v>1424.81</v>
      </c>
    </row>
    <row r="187" spans="1:45" x14ac:dyDescent="0.3">
      <c r="A187" s="642" t="s">
        <v>632</v>
      </c>
      <c r="B187" s="642" t="s">
        <v>633</v>
      </c>
      <c r="C187" s="642" t="s">
        <v>631</v>
      </c>
      <c r="D187" s="642" t="s">
        <v>1940</v>
      </c>
      <c r="F187" s="946">
        <v>-10480</v>
      </c>
      <c r="H187" s="946">
        <v>0</v>
      </c>
      <c r="I187" s="939">
        <v>80948716</v>
      </c>
      <c r="J187" s="974">
        <v>80948.716</v>
      </c>
      <c r="L187" s="946">
        <v>22166</v>
      </c>
      <c r="M187" s="947"/>
      <c r="N187" s="946">
        <v>0</v>
      </c>
      <c r="P187" s="946">
        <v>8530</v>
      </c>
      <c r="R187" s="946">
        <v>7662</v>
      </c>
      <c r="S187" s="948">
        <v>457888</v>
      </c>
      <c r="T187" s="946">
        <v>457.88799999999998</v>
      </c>
      <c r="V187" s="946">
        <v>4732</v>
      </c>
      <c r="W187" s="946">
        <v>585</v>
      </c>
      <c r="X187" s="946">
        <v>3635</v>
      </c>
      <c r="Y187" s="947"/>
      <c r="Z187" s="946">
        <v>638</v>
      </c>
      <c r="AA187" s="948">
        <v>364735</v>
      </c>
      <c r="AB187" s="946">
        <v>364.73500000000001</v>
      </c>
      <c r="AC187" s="974">
        <v>0</v>
      </c>
      <c r="AD187" s="946">
        <v>95977.420799999993</v>
      </c>
      <c r="AE187" s="957">
        <v>5000</v>
      </c>
      <c r="AG187" s="957">
        <v>0</v>
      </c>
      <c r="AH187" s="955">
        <v>0</v>
      </c>
      <c r="AI187" s="425">
        <v>1</v>
      </c>
      <c r="AJ187" s="957">
        <v>0</v>
      </c>
      <c r="AL187" s="939">
        <v>1</v>
      </c>
      <c r="AM187" s="939">
        <v>1</v>
      </c>
      <c r="AN187" s="950">
        <v>8001.0781000000015</v>
      </c>
      <c r="AO187" s="946">
        <v>1.0703451558459001</v>
      </c>
      <c r="AP187" s="946">
        <v>1070</v>
      </c>
      <c r="AQ187" s="953"/>
      <c r="AR187" s="950"/>
      <c r="AS187" s="950">
        <v>870.38900000000001</v>
      </c>
    </row>
    <row r="188" spans="1:45" x14ac:dyDescent="0.3">
      <c r="A188" s="642" t="s">
        <v>635</v>
      </c>
      <c r="B188" s="642" t="s">
        <v>636</v>
      </c>
      <c r="C188" s="642" t="s">
        <v>634</v>
      </c>
      <c r="D188" s="642" t="s">
        <v>1942</v>
      </c>
      <c r="F188" s="946">
        <v>-10018</v>
      </c>
      <c r="H188" s="946">
        <v>0</v>
      </c>
      <c r="I188" s="939">
        <v>785785714</v>
      </c>
      <c r="J188" s="974">
        <v>785785.71400000004</v>
      </c>
      <c r="L188" s="946">
        <v>71693</v>
      </c>
      <c r="M188" s="947"/>
      <c r="N188" s="946">
        <v>0</v>
      </c>
      <c r="P188" s="946">
        <v>54478</v>
      </c>
      <c r="R188" s="946">
        <v>50015</v>
      </c>
      <c r="S188" s="948">
        <v>1919791</v>
      </c>
      <c r="T188" s="946">
        <v>1919.7909999999999</v>
      </c>
      <c r="V188" s="946">
        <v>0</v>
      </c>
      <c r="W188" s="946">
        <v>4161</v>
      </c>
      <c r="X188" s="946">
        <v>12953</v>
      </c>
      <c r="Y188" s="947"/>
      <c r="Z188" s="946">
        <v>4381</v>
      </c>
      <c r="AA188" s="948">
        <v>0</v>
      </c>
      <c r="AB188" s="946">
        <v>0</v>
      </c>
      <c r="AC188" s="974">
        <v>0</v>
      </c>
      <c r="AD188" s="946">
        <v>823094.41299999994</v>
      </c>
      <c r="AE188" s="957">
        <v>0</v>
      </c>
      <c r="AG188" s="957">
        <v>4250</v>
      </c>
      <c r="AH188" s="955">
        <v>0</v>
      </c>
      <c r="AI188" s="425">
        <v>0</v>
      </c>
      <c r="AJ188" s="957">
        <v>0</v>
      </c>
      <c r="AL188" s="939">
        <v>1</v>
      </c>
      <c r="AM188" s="939">
        <v>1</v>
      </c>
      <c r="AN188" s="950">
        <v>20038.876749999999</v>
      </c>
      <c r="AO188" s="946">
        <v>0</v>
      </c>
      <c r="AP188" s="946">
        <v>0</v>
      </c>
      <c r="AQ188" s="953"/>
      <c r="AR188" s="950"/>
      <c r="AS188" s="950">
        <v>0</v>
      </c>
    </row>
    <row r="189" spans="1:45" x14ac:dyDescent="0.3">
      <c r="A189" s="642" t="s">
        <v>638</v>
      </c>
      <c r="B189" s="642" t="s">
        <v>639</v>
      </c>
      <c r="C189" s="642" t="s">
        <v>5431</v>
      </c>
      <c r="D189" s="642" t="s">
        <v>5408</v>
      </c>
      <c r="F189" s="946">
        <v>-6655</v>
      </c>
      <c r="H189" s="946">
        <v>0</v>
      </c>
      <c r="I189" s="939">
        <v>0</v>
      </c>
      <c r="J189" s="974">
        <v>0</v>
      </c>
      <c r="L189" s="946">
        <v>0</v>
      </c>
      <c r="M189" s="947"/>
      <c r="N189" s="946">
        <v>0</v>
      </c>
      <c r="P189" s="946">
        <v>0</v>
      </c>
      <c r="R189" s="946">
        <v>0</v>
      </c>
      <c r="S189" s="948">
        <v>0</v>
      </c>
      <c r="T189" s="946">
        <v>0</v>
      </c>
      <c r="V189" s="946">
        <v>0</v>
      </c>
      <c r="W189" s="946">
        <v>0</v>
      </c>
      <c r="X189" s="946">
        <v>1027</v>
      </c>
      <c r="Y189" s="947"/>
      <c r="Z189" s="946">
        <v>0</v>
      </c>
      <c r="AA189" s="948">
        <v>0</v>
      </c>
      <c r="AB189" s="946">
        <v>0</v>
      </c>
      <c r="AC189" s="974">
        <v>0</v>
      </c>
      <c r="AD189" s="946">
        <v>53636.73</v>
      </c>
      <c r="AE189" s="957">
        <v>0</v>
      </c>
      <c r="AG189" s="957">
        <v>6291</v>
      </c>
      <c r="AH189" s="955">
        <v>0</v>
      </c>
      <c r="AI189" s="425">
        <v>0</v>
      </c>
      <c r="AJ189" s="957">
        <v>0</v>
      </c>
      <c r="AL189" s="939">
        <v>0</v>
      </c>
      <c r="AM189" s="939">
        <v>0</v>
      </c>
      <c r="AN189" s="950">
        <v>47.005240000000001</v>
      </c>
      <c r="AO189" s="946">
        <v>0</v>
      </c>
      <c r="AP189" s="946">
        <v>0</v>
      </c>
      <c r="AQ189" s="953"/>
      <c r="AR189" s="950"/>
      <c r="AS189" s="950">
        <v>0</v>
      </c>
    </row>
    <row r="190" spans="1:45" x14ac:dyDescent="0.3">
      <c r="A190" s="642" t="s">
        <v>641</v>
      </c>
      <c r="B190" s="642" t="s">
        <v>642</v>
      </c>
      <c r="C190" s="642" t="s">
        <v>640</v>
      </c>
      <c r="D190" s="642" t="s">
        <v>71</v>
      </c>
      <c r="F190" s="946">
        <v>0</v>
      </c>
      <c r="H190" s="946">
        <v>-223800</v>
      </c>
      <c r="I190" s="939">
        <v>0</v>
      </c>
      <c r="J190" s="974">
        <v>0</v>
      </c>
      <c r="L190" s="946">
        <v>0</v>
      </c>
      <c r="M190" s="947"/>
      <c r="N190" s="946">
        <v>0</v>
      </c>
      <c r="P190" s="946">
        <v>0</v>
      </c>
      <c r="R190" s="946">
        <v>0</v>
      </c>
      <c r="S190" s="948">
        <v>0</v>
      </c>
      <c r="T190" s="946">
        <v>0</v>
      </c>
      <c r="V190" s="946">
        <v>0</v>
      </c>
      <c r="W190" s="946">
        <v>0</v>
      </c>
      <c r="X190" s="946">
        <v>0</v>
      </c>
      <c r="Y190" s="947"/>
      <c r="Z190" s="946">
        <v>0</v>
      </c>
      <c r="AA190" s="948">
        <v>0</v>
      </c>
      <c r="AB190" s="946">
        <v>0</v>
      </c>
      <c r="AC190" s="974">
        <v>0</v>
      </c>
      <c r="AD190" s="946">
        <v>148600.1159</v>
      </c>
      <c r="AE190" s="957">
        <v>0</v>
      </c>
      <c r="AG190" s="957">
        <v>0</v>
      </c>
      <c r="AH190" s="955">
        <v>0</v>
      </c>
      <c r="AI190" s="425">
        <v>0</v>
      </c>
      <c r="AJ190" s="957">
        <v>0</v>
      </c>
      <c r="AL190" s="939">
        <v>0</v>
      </c>
      <c r="AM190" s="939">
        <v>0</v>
      </c>
      <c r="AN190" s="950">
        <v>0</v>
      </c>
      <c r="AO190" s="946">
        <v>0</v>
      </c>
      <c r="AP190" s="946">
        <v>0</v>
      </c>
      <c r="AQ190" s="953"/>
      <c r="AR190" s="950"/>
      <c r="AS190" s="950">
        <v>0</v>
      </c>
    </row>
    <row r="191" spans="1:45" x14ac:dyDescent="0.3">
      <c r="A191" s="642" t="s">
        <v>644</v>
      </c>
      <c r="B191" s="642" t="s">
        <v>645</v>
      </c>
      <c r="C191" s="642" t="s">
        <v>643</v>
      </c>
      <c r="D191" s="642" t="s">
        <v>61</v>
      </c>
      <c r="F191" s="946">
        <v>-648</v>
      </c>
      <c r="H191" s="946">
        <v>0</v>
      </c>
      <c r="I191" s="939">
        <v>0</v>
      </c>
      <c r="J191" s="974">
        <v>0</v>
      </c>
      <c r="L191" s="946">
        <v>0</v>
      </c>
      <c r="M191" s="947"/>
      <c r="N191" s="946">
        <v>486</v>
      </c>
      <c r="P191" s="946">
        <v>0</v>
      </c>
      <c r="R191" s="946">
        <v>0</v>
      </c>
      <c r="S191" s="948">
        <v>0</v>
      </c>
      <c r="T191" s="946">
        <v>0</v>
      </c>
      <c r="V191" s="946">
        <v>480</v>
      </c>
      <c r="W191" s="946">
        <v>0</v>
      </c>
      <c r="X191" s="946">
        <v>379</v>
      </c>
      <c r="Y191" s="947"/>
      <c r="Z191" s="946">
        <v>590</v>
      </c>
      <c r="AA191" s="948">
        <v>163878</v>
      </c>
      <c r="AB191" s="946">
        <v>163.87799999999999</v>
      </c>
      <c r="AC191" s="974">
        <v>2936.47</v>
      </c>
      <c r="AD191" s="946">
        <v>11047.135</v>
      </c>
      <c r="AE191" s="957">
        <v>0</v>
      </c>
      <c r="AG191" s="957">
        <v>0</v>
      </c>
      <c r="AH191" s="955">
        <v>0</v>
      </c>
      <c r="AI191" s="425">
        <v>1</v>
      </c>
      <c r="AJ191" s="957">
        <v>0</v>
      </c>
      <c r="AL191" s="939">
        <v>0</v>
      </c>
      <c r="AM191" s="939">
        <v>0</v>
      </c>
      <c r="AN191" s="950">
        <v>0</v>
      </c>
      <c r="AO191" s="946">
        <v>0.25120814520193802</v>
      </c>
      <c r="AP191" s="946">
        <v>251</v>
      </c>
      <c r="AQ191" s="953"/>
      <c r="AR191" s="950"/>
      <c r="AS191" s="950">
        <v>343.29199999999997</v>
      </c>
    </row>
    <row r="192" spans="1:45" x14ac:dyDescent="0.3">
      <c r="A192" s="642" t="s">
        <v>647</v>
      </c>
      <c r="B192" s="642" t="s">
        <v>648</v>
      </c>
      <c r="C192" s="642" t="s">
        <v>646</v>
      </c>
      <c r="D192" s="642" t="s">
        <v>125</v>
      </c>
      <c r="F192" s="946">
        <v>-25268</v>
      </c>
      <c r="H192" s="946">
        <v>0</v>
      </c>
      <c r="I192" s="939">
        <v>61571053</v>
      </c>
      <c r="J192" s="974">
        <v>61571.053</v>
      </c>
      <c r="L192" s="946">
        <v>25343</v>
      </c>
      <c r="M192" s="947"/>
      <c r="N192" s="946">
        <v>0</v>
      </c>
      <c r="P192" s="946">
        <v>17605</v>
      </c>
      <c r="R192" s="946">
        <v>17920</v>
      </c>
      <c r="S192" s="948">
        <v>279549</v>
      </c>
      <c r="T192" s="946">
        <v>279.54899999999998</v>
      </c>
      <c r="V192" s="946">
        <v>996</v>
      </c>
      <c r="W192" s="946">
        <v>981</v>
      </c>
      <c r="X192" s="946">
        <v>5624</v>
      </c>
      <c r="Y192" s="947"/>
      <c r="Z192" s="946">
        <v>2111</v>
      </c>
      <c r="AA192" s="948">
        <v>515471</v>
      </c>
      <c r="AB192" s="946">
        <v>515.471</v>
      </c>
      <c r="AC192" s="974">
        <v>0</v>
      </c>
      <c r="AD192" s="946">
        <v>98662.456999999995</v>
      </c>
      <c r="AE192" s="957">
        <v>44163</v>
      </c>
      <c r="AG192" s="957">
        <v>0</v>
      </c>
      <c r="AH192" s="955">
        <v>-5000</v>
      </c>
      <c r="AI192" s="425">
        <v>1</v>
      </c>
      <c r="AJ192" s="957">
        <v>-5000</v>
      </c>
      <c r="AL192" s="939">
        <v>1</v>
      </c>
      <c r="AM192" s="939">
        <v>1</v>
      </c>
      <c r="AN192" s="950">
        <v>15268.326220000001</v>
      </c>
      <c r="AO192" s="946">
        <v>0.56527888900649603</v>
      </c>
      <c r="AP192" s="946">
        <v>565</v>
      </c>
      <c r="AQ192" s="953"/>
      <c r="AR192" s="950"/>
      <c r="AS192" s="950">
        <v>1217.067</v>
      </c>
    </row>
    <row r="193" spans="1:45" x14ac:dyDescent="0.3">
      <c r="A193" s="642" t="s">
        <v>650</v>
      </c>
      <c r="B193" s="642" t="s">
        <v>651</v>
      </c>
      <c r="C193" s="642" t="s">
        <v>649</v>
      </c>
      <c r="D193" s="642" t="s">
        <v>1940</v>
      </c>
      <c r="F193" s="946">
        <v>-4</v>
      </c>
      <c r="H193" s="946">
        <v>0</v>
      </c>
      <c r="I193" s="939">
        <v>85466343</v>
      </c>
      <c r="J193" s="974">
        <v>85466.342999999993</v>
      </c>
      <c r="L193" s="946">
        <v>10759</v>
      </c>
      <c r="M193" s="947"/>
      <c r="N193" s="946">
        <v>0</v>
      </c>
      <c r="P193" s="946">
        <v>4481</v>
      </c>
      <c r="R193" s="946">
        <v>1840</v>
      </c>
      <c r="S193" s="948">
        <v>161436</v>
      </c>
      <c r="T193" s="946">
        <v>161.43600000000001</v>
      </c>
      <c r="V193" s="946">
        <v>1619</v>
      </c>
      <c r="W193" s="946">
        <v>387</v>
      </c>
      <c r="X193" s="946">
        <v>1521</v>
      </c>
      <c r="Y193" s="947"/>
      <c r="Z193" s="946">
        <v>506</v>
      </c>
      <c r="AA193" s="948">
        <v>166314</v>
      </c>
      <c r="AB193" s="946">
        <v>166.31399999999999</v>
      </c>
      <c r="AC193" s="974">
        <v>0</v>
      </c>
      <c r="AD193" s="946">
        <v>109163.93799999999</v>
      </c>
      <c r="AE193" s="957">
        <v>4366</v>
      </c>
      <c r="AG193" s="957">
        <v>0</v>
      </c>
      <c r="AH193" s="955">
        <v>0</v>
      </c>
      <c r="AI193" s="425">
        <v>1</v>
      </c>
      <c r="AJ193" s="957">
        <v>0</v>
      </c>
      <c r="AL193" s="939">
        <v>1</v>
      </c>
      <c r="AM193" s="939">
        <v>1</v>
      </c>
      <c r="AN193" s="950">
        <v>7914.7863900000002</v>
      </c>
      <c r="AO193" s="946">
        <v>0.289226078735075</v>
      </c>
      <c r="AP193" s="946">
        <v>289</v>
      </c>
      <c r="AQ193" s="953"/>
      <c r="AR193" s="950"/>
      <c r="AS193" s="950">
        <v>403.20400000000001</v>
      </c>
    </row>
    <row r="194" spans="1:45" x14ac:dyDescent="0.3">
      <c r="A194" s="642" t="s">
        <v>653</v>
      </c>
      <c r="B194" s="642" t="s">
        <v>654</v>
      </c>
      <c r="C194" s="642" t="s">
        <v>652</v>
      </c>
      <c r="D194" s="642" t="s">
        <v>97</v>
      </c>
      <c r="F194" s="946">
        <v>-13514</v>
      </c>
      <c r="H194" s="946">
        <v>0</v>
      </c>
      <c r="I194" s="939">
        <v>239866360</v>
      </c>
      <c r="J194" s="974">
        <v>239866.36</v>
      </c>
      <c r="L194" s="946">
        <v>27018</v>
      </c>
      <c r="M194" s="947"/>
      <c r="N194" s="946">
        <v>0</v>
      </c>
      <c r="P194" s="946">
        <v>18481</v>
      </c>
      <c r="R194" s="946">
        <v>17822</v>
      </c>
      <c r="S194" s="948">
        <v>809055</v>
      </c>
      <c r="T194" s="946">
        <v>809.05499999999995</v>
      </c>
      <c r="V194" s="946">
        <v>1045</v>
      </c>
      <c r="W194" s="946">
        <v>1255</v>
      </c>
      <c r="X194" s="946">
        <v>5700</v>
      </c>
      <c r="Y194" s="947"/>
      <c r="Z194" s="946">
        <v>1927</v>
      </c>
      <c r="AA194" s="948">
        <v>585466</v>
      </c>
      <c r="AB194" s="946">
        <v>585.46600000000001</v>
      </c>
      <c r="AC194" s="974">
        <v>785.62900000000002</v>
      </c>
      <c r="AD194" s="946">
        <v>207709.62899999999</v>
      </c>
      <c r="AE194" s="957">
        <v>54694</v>
      </c>
      <c r="AG194" s="957">
        <v>0</v>
      </c>
      <c r="AH194" s="955">
        <v>0</v>
      </c>
      <c r="AI194" s="425">
        <v>1</v>
      </c>
      <c r="AJ194" s="957">
        <v>0</v>
      </c>
      <c r="AL194" s="939">
        <v>1</v>
      </c>
      <c r="AM194" s="939">
        <v>1</v>
      </c>
      <c r="AN194" s="950">
        <v>12610.483209999999</v>
      </c>
      <c r="AO194" s="946">
        <v>0.57377364495115502</v>
      </c>
      <c r="AP194" s="946">
        <v>574</v>
      </c>
      <c r="AQ194" s="953"/>
      <c r="AR194" s="950"/>
      <c r="AS194" s="950">
        <v>1211.098</v>
      </c>
    </row>
    <row r="195" spans="1:45" x14ac:dyDescent="0.3">
      <c r="A195" s="642" t="s">
        <v>656</v>
      </c>
      <c r="B195" s="642" t="s">
        <v>657</v>
      </c>
      <c r="C195" s="642" t="s">
        <v>655</v>
      </c>
      <c r="D195" s="642" t="s">
        <v>97</v>
      </c>
      <c r="F195" s="946">
        <v>0</v>
      </c>
      <c r="H195" s="946">
        <v>0</v>
      </c>
      <c r="I195" s="939">
        <v>103450915</v>
      </c>
      <c r="J195" s="974">
        <v>103450.91499999999</v>
      </c>
      <c r="L195" s="946">
        <v>18089</v>
      </c>
      <c r="M195" s="947"/>
      <c r="N195" s="946">
        <v>0</v>
      </c>
      <c r="P195" s="946">
        <v>12013</v>
      </c>
      <c r="R195" s="946">
        <v>0</v>
      </c>
      <c r="S195" s="948">
        <v>944994</v>
      </c>
      <c r="T195" s="946">
        <v>944.99400000000003</v>
      </c>
      <c r="V195" s="946">
        <v>474</v>
      </c>
      <c r="W195" s="946">
        <v>660</v>
      </c>
      <c r="X195" s="946">
        <v>4301</v>
      </c>
      <c r="Y195" s="947"/>
      <c r="Z195" s="946">
        <v>1562</v>
      </c>
      <c r="AA195" s="948">
        <v>324135</v>
      </c>
      <c r="AB195" s="946">
        <v>324.13499999999999</v>
      </c>
      <c r="AC195" s="974">
        <v>1441.346</v>
      </c>
      <c r="AD195" s="946">
        <v>64740.35</v>
      </c>
      <c r="AE195" s="957">
        <v>0</v>
      </c>
      <c r="AG195" s="957">
        <v>258</v>
      </c>
      <c r="AH195" s="955">
        <v>0</v>
      </c>
      <c r="AI195" s="425">
        <v>1</v>
      </c>
      <c r="AJ195" s="957">
        <v>0</v>
      </c>
      <c r="AL195" s="939">
        <v>1</v>
      </c>
      <c r="AM195" s="939">
        <v>1</v>
      </c>
      <c r="AN195" s="950">
        <v>4504.8825999999999</v>
      </c>
      <c r="AO195" s="946">
        <v>0.34353896692154001</v>
      </c>
      <c r="AP195" s="946">
        <v>344</v>
      </c>
      <c r="AQ195" s="953"/>
      <c r="AR195" s="950"/>
      <c r="AS195" s="950">
        <v>686.73400000000004</v>
      </c>
    </row>
    <row r="196" spans="1:45" x14ac:dyDescent="0.3">
      <c r="A196" s="642" t="s">
        <v>659</v>
      </c>
      <c r="B196" s="642" t="s">
        <v>660</v>
      </c>
      <c r="C196" s="642" t="s">
        <v>5432</v>
      </c>
      <c r="D196" s="642" t="s">
        <v>5418</v>
      </c>
      <c r="F196" s="946">
        <v>0</v>
      </c>
      <c r="H196" s="946">
        <v>0</v>
      </c>
      <c r="I196" s="939">
        <v>0</v>
      </c>
      <c r="J196" s="974">
        <v>0</v>
      </c>
      <c r="L196" s="946">
        <v>0</v>
      </c>
      <c r="M196" s="947"/>
      <c r="N196" s="946">
        <v>0</v>
      </c>
      <c r="P196" s="946">
        <v>0</v>
      </c>
      <c r="R196" s="946">
        <v>0</v>
      </c>
      <c r="S196" s="948">
        <v>0</v>
      </c>
      <c r="T196" s="946">
        <v>0</v>
      </c>
      <c r="V196" s="946">
        <v>0</v>
      </c>
      <c r="W196" s="946">
        <v>0</v>
      </c>
      <c r="X196" s="946">
        <v>0</v>
      </c>
      <c r="Y196" s="947"/>
      <c r="Z196" s="946">
        <v>0</v>
      </c>
      <c r="AA196" s="948">
        <v>0</v>
      </c>
      <c r="AB196" s="946">
        <v>0</v>
      </c>
      <c r="AC196" s="974">
        <v>0</v>
      </c>
      <c r="AD196" s="946">
        <v>0</v>
      </c>
      <c r="AE196" s="957">
        <v>0</v>
      </c>
      <c r="AG196" s="957">
        <v>431</v>
      </c>
      <c r="AH196" s="955">
        <v>0</v>
      </c>
      <c r="AI196" s="425">
        <v>0</v>
      </c>
      <c r="AJ196" s="957">
        <v>0</v>
      </c>
      <c r="AL196" s="939">
        <v>0</v>
      </c>
      <c r="AM196" s="939">
        <v>0</v>
      </c>
      <c r="AN196" s="950">
        <v>0</v>
      </c>
      <c r="AO196" s="946">
        <v>0</v>
      </c>
      <c r="AP196" s="946">
        <v>0</v>
      </c>
      <c r="AQ196" s="953"/>
      <c r="AR196" s="950"/>
      <c r="AS196" s="950">
        <v>0</v>
      </c>
    </row>
    <row r="197" spans="1:45" x14ac:dyDescent="0.3">
      <c r="A197" s="642" t="s">
        <v>663</v>
      </c>
      <c r="B197" s="642" t="s">
        <v>664</v>
      </c>
      <c r="C197" s="642" t="s">
        <v>662</v>
      </c>
      <c r="D197" s="642" t="s">
        <v>1940</v>
      </c>
      <c r="F197" s="946">
        <v>-33383</v>
      </c>
      <c r="H197" s="946">
        <v>0</v>
      </c>
      <c r="I197" s="939">
        <v>227802078</v>
      </c>
      <c r="J197" s="974">
        <v>227802.07800000001</v>
      </c>
      <c r="L197" s="946">
        <v>34399</v>
      </c>
      <c r="M197" s="947"/>
      <c r="N197" s="946">
        <v>0</v>
      </c>
      <c r="P197" s="946">
        <v>16197</v>
      </c>
      <c r="R197" s="946">
        <v>14946</v>
      </c>
      <c r="S197" s="948">
        <v>617337</v>
      </c>
      <c r="T197" s="946">
        <v>617.33699999999999</v>
      </c>
      <c r="V197" s="946">
        <v>5897</v>
      </c>
      <c r="W197" s="946">
        <v>1019</v>
      </c>
      <c r="X197" s="946">
        <v>7688</v>
      </c>
      <c r="Y197" s="947"/>
      <c r="Z197" s="946">
        <v>2452</v>
      </c>
      <c r="AA197" s="948">
        <v>481996</v>
      </c>
      <c r="AB197" s="946">
        <v>481.99599999999998</v>
      </c>
      <c r="AC197" s="974">
        <v>0</v>
      </c>
      <c r="AD197" s="946">
        <v>140579.75899999999</v>
      </c>
      <c r="AE197" s="957">
        <v>17893</v>
      </c>
      <c r="AG197" s="957">
        <v>6741</v>
      </c>
      <c r="AH197" s="955">
        <v>0</v>
      </c>
      <c r="AI197" s="425">
        <v>1</v>
      </c>
      <c r="AJ197" s="957">
        <v>0</v>
      </c>
      <c r="AL197" s="939">
        <v>1</v>
      </c>
      <c r="AM197" s="939">
        <v>1</v>
      </c>
      <c r="AN197" s="950">
        <v>28666.986039999996</v>
      </c>
      <c r="AO197" s="946">
        <v>1.2252865594278499</v>
      </c>
      <c r="AP197" s="946">
        <v>1225</v>
      </c>
      <c r="AQ197" s="953"/>
      <c r="AR197" s="950"/>
      <c r="AS197" s="950">
        <v>1750.58</v>
      </c>
    </row>
    <row r="198" spans="1:45" x14ac:dyDescent="0.3">
      <c r="A198" s="642" t="s">
        <v>666</v>
      </c>
      <c r="B198" s="642" t="s">
        <v>667</v>
      </c>
      <c r="C198" s="642" t="s">
        <v>665</v>
      </c>
      <c r="D198" s="642" t="s">
        <v>1942</v>
      </c>
      <c r="F198" s="946">
        <v>-34662</v>
      </c>
      <c r="H198" s="946">
        <v>0</v>
      </c>
      <c r="I198" s="939">
        <v>911050648</v>
      </c>
      <c r="J198" s="974">
        <v>911050.64800000004</v>
      </c>
      <c r="L198" s="946">
        <v>72216</v>
      </c>
      <c r="M198" s="947"/>
      <c r="N198" s="946">
        <v>0</v>
      </c>
      <c r="P198" s="946">
        <v>57095</v>
      </c>
      <c r="R198" s="946">
        <v>54947</v>
      </c>
      <c r="S198" s="948">
        <v>5516325</v>
      </c>
      <c r="T198" s="946">
        <v>5516.3249999999998</v>
      </c>
      <c r="V198" s="946">
        <v>0</v>
      </c>
      <c r="W198" s="946">
        <v>3725</v>
      </c>
      <c r="X198" s="946">
        <v>13062</v>
      </c>
      <c r="Y198" s="947"/>
      <c r="Z198" s="946">
        <v>2466</v>
      </c>
      <c r="AA198" s="948">
        <v>0</v>
      </c>
      <c r="AB198" s="946">
        <v>0</v>
      </c>
      <c r="AC198" s="974">
        <v>0</v>
      </c>
      <c r="AD198" s="946">
        <v>571188.17299999995</v>
      </c>
      <c r="AE198" s="957">
        <v>0</v>
      </c>
      <c r="AG198" s="957">
        <v>4683</v>
      </c>
      <c r="AH198" s="955">
        <v>0</v>
      </c>
      <c r="AI198" s="425">
        <v>0</v>
      </c>
      <c r="AJ198" s="957">
        <v>-6000</v>
      </c>
      <c r="AL198" s="939">
        <v>1</v>
      </c>
      <c r="AM198" s="939">
        <v>1</v>
      </c>
      <c r="AN198" s="950">
        <v>10170.5</v>
      </c>
      <c r="AO198" s="946">
        <v>0</v>
      </c>
      <c r="AP198" s="946">
        <v>0</v>
      </c>
      <c r="AQ198" s="953"/>
      <c r="AR198" s="950"/>
      <c r="AS198" s="950">
        <v>0</v>
      </c>
    </row>
    <row r="199" spans="1:45" x14ac:dyDescent="0.3">
      <c r="A199" s="642" t="s">
        <v>669</v>
      </c>
      <c r="B199" s="642" t="s">
        <v>670</v>
      </c>
      <c r="C199" s="642" t="s">
        <v>5433</v>
      </c>
      <c r="D199" s="642" t="s">
        <v>5408</v>
      </c>
      <c r="F199" s="946">
        <v>-8832</v>
      </c>
      <c r="H199" s="946">
        <v>0</v>
      </c>
      <c r="I199" s="939">
        <v>0</v>
      </c>
      <c r="J199" s="974">
        <v>0</v>
      </c>
      <c r="L199" s="946">
        <v>0</v>
      </c>
      <c r="M199" s="947"/>
      <c r="N199" s="946">
        <v>0</v>
      </c>
      <c r="P199" s="946">
        <v>0</v>
      </c>
      <c r="R199" s="946">
        <v>0</v>
      </c>
      <c r="S199" s="948">
        <v>0</v>
      </c>
      <c r="T199" s="946">
        <v>0</v>
      </c>
      <c r="V199" s="946">
        <v>0</v>
      </c>
      <c r="W199" s="946">
        <v>0</v>
      </c>
      <c r="X199" s="946">
        <v>1081</v>
      </c>
      <c r="Y199" s="947"/>
      <c r="Z199" s="946">
        <v>0</v>
      </c>
      <c r="AA199" s="948">
        <v>0</v>
      </c>
      <c r="AB199" s="946">
        <v>0</v>
      </c>
      <c r="AC199" s="974">
        <v>0</v>
      </c>
      <c r="AD199" s="946">
        <v>34754.351000000002</v>
      </c>
      <c r="AE199" s="957">
        <v>0</v>
      </c>
      <c r="AG199" s="957">
        <v>4000</v>
      </c>
      <c r="AH199" s="955">
        <v>0</v>
      </c>
      <c r="AI199" s="425">
        <v>0</v>
      </c>
      <c r="AJ199" s="957">
        <v>0</v>
      </c>
      <c r="AL199" s="939">
        <v>0</v>
      </c>
      <c r="AM199" s="939">
        <v>0</v>
      </c>
      <c r="AN199" s="950">
        <v>89.73</v>
      </c>
      <c r="AO199" s="946">
        <v>0</v>
      </c>
      <c r="AP199" s="946">
        <v>0</v>
      </c>
      <c r="AQ199" s="953"/>
      <c r="AR199" s="950"/>
      <c r="AS199" s="950">
        <v>0</v>
      </c>
    </row>
    <row r="200" spans="1:45" x14ac:dyDescent="0.3">
      <c r="A200" s="642" t="s">
        <v>672</v>
      </c>
      <c r="B200" s="642" t="s">
        <v>673</v>
      </c>
      <c r="C200" s="642" t="s">
        <v>671</v>
      </c>
      <c r="D200" s="642" t="s">
        <v>71</v>
      </c>
      <c r="F200" s="946">
        <v>0</v>
      </c>
      <c r="H200" s="946">
        <v>-230767</v>
      </c>
      <c r="I200" s="939">
        <v>0</v>
      </c>
      <c r="J200" s="974">
        <v>0</v>
      </c>
      <c r="L200" s="946">
        <v>0</v>
      </c>
      <c r="M200" s="947"/>
      <c r="N200" s="946">
        <v>0</v>
      </c>
      <c r="P200" s="946">
        <v>0</v>
      </c>
      <c r="R200" s="946">
        <v>0</v>
      </c>
      <c r="S200" s="948">
        <v>0</v>
      </c>
      <c r="T200" s="946">
        <v>0</v>
      </c>
      <c r="V200" s="946">
        <v>0</v>
      </c>
      <c r="W200" s="946">
        <v>0</v>
      </c>
      <c r="X200" s="946">
        <v>0</v>
      </c>
      <c r="Y200" s="947"/>
      <c r="Z200" s="946">
        <v>0</v>
      </c>
      <c r="AA200" s="948">
        <v>0</v>
      </c>
      <c r="AB200" s="946">
        <v>0</v>
      </c>
      <c r="AC200" s="974">
        <v>0</v>
      </c>
      <c r="AD200" s="946">
        <v>106350.001</v>
      </c>
      <c r="AE200" s="957">
        <v>0</v>
      </c>
      <c r="AG200" s="957">
        <v>6420</v>
      </c>
      <c r="AH200" s="955">
        <v>-1467</v>
      </c>
      <c r="AI200" s="425">
        <v>0</v>
      </c>
      <c r="AJ200" s="957">
        <v>0</v>
      </c>
      <c r="AL200" s="939">
        <v>0</v>
      </c>
      <c r="AM200" s="939">
        <v>0</v>
      </c>
      <c r="AN200" s="950">
        <v>1186.1285600000001</v>
      </c>
      <c r="AO200" s="946">
        <v>0</v>
      </c>
      <c r="AP200" s="946">
        <v>0</v>
      </c>
      <c r="AQ200" s="953"/>
      <c r="AR200" s="950"/>
      <c r="AS200" s="950">
        <v>0</v>
      </c>
    </row>
    <row r="201" spans="1:45" x14ac:dyDescent="0.3">
      <c r="A201" s="642" t="s">
        <v>675</v>
      </c>
      <c r="B201" s="642" t="s">
        <v>676</v>
      </c>
      <c r="C201" s="642" t="s">
        <v>674</v>
      </c>
      <c r="D201" s="642" t="s">
        <v>61</v>
      </c>
      <c r="F201" s="946">
        <v>-211</v>
      </c>
      <c r="H201" s="946">
        <v>0</v>
      </c>
      <c r="I201" s="939">
        <v>0</v>
      </c>
      <c r="J201" s="974">
        <v>0</v>
      </c>
      <c r="L201" s="946">
        <v>0</v>
      </c>
      <c r="M201" s="947"/>
      <c r="N201" s="946">
        <v>0</v>
      </c>
      <c r="P201" s="946">
        <v>0</v>
      </c>
      <c r="R201" s="946">
        <v>0</v>
      </c>
      <c r="S201" s="948">
        <v>0</v>
      </c>
      <c r="T201" s="946">
        <v>0</v>
      </c>
      <c r="V201" s="946">
        <v>489</v>
      </c>
      <c r="W201" s="946">
        <v>0</v>
      </c>
      <c r="X201" s="946">
        <v>395</v>
      </c>
      <c r="Y201" s="947"/>
      <c r="Z201" s="946">
        <v>547</v>
      </c>
      <c r="AA201" s="948">
        <v>171404</v>
      </c>
      <c r="AB201" s="946">
        <v>171.404</v>
      </c>
      <c r="AC201" s="974">
        <v>969.68299999999999</v>
      </c>
      <c r="AD201" s="946">
        <v>11146.1</v>
      </c>
      <c r="AE201" s="957">
        <v>12880</v>
      </c>
      <c r="AG201" s="957">
        <v>427</v>
      </c>
      <c r="AH201" s="955">
        <v>0</v>
      </c>
      <c r="AI201" s="425">
        <v>1</v>
      </c>
      <c r="AJ201" s="957">
        <v>0</v>
      </c>
      <c r="AL201" s="939">
        <v>0</v>
      </c>
      <c r="AM201" s="939">
        <v>0</v>
      </c>
      <c r="AN201" s="950">
        <v>2850.4877700000002</v>
      </c>
      <c r="AO201" s="946">
        <v>0.26244071540865999</v>
      </c>
      <c r="AP201" s="946">
        <v>262</v>
      </c>
      <c r="AQ201" s="953"/>
      <c r="AR201" s="950"/>
      <c r="AS201" s="950">
        <v>393.11700000000002</v>
      </c>
    </row>
    <row r="202" spans="1:45" x14ac:dyDescent="0.3">
      <c r="A202" s="642" t="s">
        <v>678</v>
      </c>
      <c r="B202" s="642" t="s">
        <v>678</v>
      </c>
      <c r="C202" s="642" t="s">
        <v>677</v>
      </c>
      <c r="D202" s="642" t="s">
        <v>5418</v>
      </c>
      <c r="F202" s="946">
        <v>0</v>
      </c>
      <c r="H202" s="946">
        <v>0</v>
      </c>
      <c r="I202" s="939">
        <v>0</v>
      </c>
      <c r="J202" s="974">
        <v>0</v>
      </c>
      <c r="L202" s="946">
        <v>0</v>
      </c>
      <c r="M202" s="947"/>
      <c r="N202" s="946">
        <v>0</v>
      </c>
      <c r="P202" s="946">
        <v>0</v>
      </c>
      <c r="R202" s="946">
        <v>0</v>
      </c>
      <c r="S202" s="948">
        <v>0</v>
      </c>
      <c r="T202" s="946">
        <v>0</v>
      </c>
      <c r="V202" s="946">
        <v>0</v>
      </c>
      <c r="W202" s="946">
        <v>0</v>
      </c>
      <c r="X202" s="946">
        <v>0</v>
      </c>
      <c r="Y202" s="947"/>
      <c r="Z202" s="946">
        <v>0</v>
      </c>
      <c r="AA202" s="948">
        <v>0</v>
      </c>
      <c r="AB202" s="946">
        <v>0</v>
      </c>
      <c r="AC202" s="974">
        <v>0</v>
      </c>
      <c r="AD202" s="946">
        <v>0</v>
      </c>
      <c r="AE202" s="957">
        <v>0</v>
      </c>
      <c r="AG202" s="957">
        <v>0</v>
      </c>
      <c r="AH202" s="955">
        <v>0</v>
      </c>
      <c r="AI202" s="425">
        <v>0</v>
      </c>
      <c r="AJ202" s="957">
        <v>0</v>
      </c>
      <c r="AL202" s="939">
        <v>0</v>
      </c>
      <c r="AM202" s="939">
        <v>0</v>
      </c>
      <c r="AN202" s="950">
        <v>0</v>
      </c>
      <c r="AO202" s="946">
        <v>0</v>
      </c>
      <c r="AP202" s="946">
        <v>0</v>
      </c>
      <c r="AQ202" s="953"/>
      <c r="AR202" s="950"/>
      <c r="AS202" s="950">
        <v>0</v>
      </c>
    </row>
    <row r="203" spans="1:45" x14ac:dyDescent="0.3">
      <c r="A203" s="642" t="s">
        <v>680</v>
      </c>
      <c r="B203" s="642" t="s">
        <v>681</v>
      </c>
      <c r="C203" s="642" t="s">
        <v>679</v>
      </c>
      <c r="D203" s="642" t="s">
        <v>97</v>
      </c>
      <c r="F203" s="946">
        <v>-29253</v>
      </c>
      <c r="H203" s="946">
        <v>0</v>
      </c>
      <c r="I203" s="939">
        <v>493071467</v>
      </c>
      <c r="J203" s="974">
        <v>493071.467</v>
      </c>
      <c r="L203" s="946">
        <v>47126</v>
      </c>
      <c r="M203" s="947"/>
      <c r="N203" s="946">
        <v>0</v>
      </c>
      <c r="P203" s="946">
        <v>32998</v>
      </c>
      <c r="R203" s="946">
        <v>31641</v>
      </c>
      <c r="S203" s="948">
        <v>595478</v>
      </c>
      <c r="T203" s="946">
        <v>595.47799999999995</v>
      </c>
      <c r="V203" s="946">
        <v>2429</v>
      </c>
      <c r="W203" s="946">
        <v>2235</v>
      </c>
      <c r="X203" s="946">
        <v>10922</v>
      </c>
      <c r="Y203" s="947"/>
      <c r="Z203" s="946">
        <v>9022</v>
      </c>
      <c r="AA203" s="948">
        <v>1126953</v>
      </c>
      <c r="AB203" s="946">
        <v>1126.953</v>
      </c>
      <c r="AC203" s="974">
        <v>2139.8380000000002</v>
      </c>
      <c r="AD203" s="946">
        <v>371516.73499999999</v>
      </c>
      <c r="AE203" s="957">
        <v>18200</v>
      </c>
      <c r="AG203" s="957">
        <v>0</v>
      </c>
      <c r="AH203" s="955">
        <v>0</v>
      </c>
      <c r="AI203" s="425">
        <v>1</v>
      </c>
      <c r="AJ203" s="957">
        <v>0</v>
      </c>
      <c r="AL203" s="939">
        <v>1</v>
      </c>
      <c r="AM203" s="939">
        <v>1</v>
      </c>
      <c r="AN203" s="950">
        <v>56099.400140000012</v>
      </c>
      <c r="AO203" s="946">
        <v>1.24500564016226</v>
      </c>
      <c r="AP203" s="946">
        <v>1245</v>
      </c>
      <c r="AQ203" s="953"/>
      <c r="AR203" s="950"/>
      <c r="AS203" s="950">
        <v>2389.6129999999998</v>
      </c>
    </row>
    <row r="204" spans="1:45" x14ac:dyDescent="0.3">
      <c r="A204" s="642" t="s">
        <v>683</v>
      </c>
      <c r="B204" s="642" t="s">
        <v>684</v>
      </c>
      <c r="C204" s="642" t="s">
        <v>5434</v>
      </c>
      <c r="D204" s="642" t="s">
        <v>125</v>
      </c>
      <c r="F204" s="946">
        <v>-29923</v>
      </c>
      <c r="H204" s="946">
        <v>0</v>
      </c>
      <c r="I204" s="939">
        <v>245752897</v>
      </c>
      <c r="J204" s="974">
        <v>245752.897</v>
      </c>
      <c r="L204" s="946">
        <v>28248</v>
      </c>
      <c r="M204" s="947"/>
      <c r="N204" s="946">
        <v>0</v>
      </c>
      <c r="P204" s="946">
        <v>17659</v>
      </c>
      <c r="R204" s="946">
        <v>17556</v>
      </c>
      <c r="S204" s="948">
        <v>836515</v>
      </c>
      <c r="T204" s="946">
        <v>836.51499999999999</v>
      </c>
      <c r="V204" s="946">
        <v>986</v>
      </c>
      <c r="W204" s="946">
        <v>1062</v>
      </c>
      <c r="X204" s="946">
        <v>6985</v>
      </c>
      <c r="Y204" s="947"/>
      <c r="Z204" s="946">
        <v>2803</v>
      </c>
      <c r="AA204" s="948">
        <v>433027</v>
      </c>
      <c r="AB204" s="946">
        <v>433.02699999999999</v>
      </c>
      <c r="AC204" s="974">
        <v>0</v>
      </c>
      <c r="AD204" s="946">
        <v>134423.70000000001</v>
      </c>
      <c r="AE204" s="957">
        <v>32532</v>
      </c>
      <c r="AG204" s="957">
        <v>0</v>
      </c>
      <c r="AH204" s="955">
        <v>0</v>
      </c>
      <c r="AI204" s="425">
        <v>1</v>
      </c>
      <c r="AJ204" s="957">
        <v>0</v>
      </c>
      <c r="AL204" s="939">
        <v>1</v>
      </c>
      <c r="AM204" s="939">
        <v>1</v>
      </c>
      <c r="AN204" s="950">
        <v>5635.4663399999999</v>
      </c>
      <c r="AO204" s="946">
        <v>0.79697895961624399</v>
      </c>
      <c r="AP204" s="946">
        <v>797</v>
      </c>
      <c r="AQ204" s="953"/>
      <c r="AR204" s="950"/>
      <c r="AS204" s="950">
        <v>1115.5920000000001</v>
      </c>
    </row>
    <row r="205" spans="1:45" x14ac:dyDescent="0.3">
      <c r="A205" s="642" t="s">
        <v>686</v>
      </c>
      <c r="B205" s="642" t="s">
        <v>687</v>
      </c>
      <c r="C205" s="642" t="s">
        <v>685</v>
      </c>
      <c r="D205" s="642" t="s">
        <v>1942</v>
      </c>
      <c r="F205" s="946">
        <v>-10</v>
      </c>
      <c r="H205" s="946">
        <v>0</v>
      </c>
      <c r="I205" s="939">
        <v>203777343</v>
      </c>
      <c r="J205" s="974">
        <v>203777.34299999999</v>
      </c>
      <c r="L205" s="946">
        <v>26231</v>
      </c>
      <c r="M205" s="947"/>
      <c r="N205" s="946">
        <v>0</v>
      </c>
      <c r="P205" s="946">
        <v>19867</v>
      </c>
      <c r="R205" s="946">
        <v>17691</v>
      </c>
      <c r="S205" s="948">
        <v>1161998</v>
      </c>
      <c r="T205" s="946">
        <v>1161.998</v>
      </c>
      <c r="V205" s="946">
        <v>0</v>
      </c>
      <c r="W205" s="946">
        <v>1630</v>
      </c>
      <c r="X205" s="946">
        <v>4265</v>
      </c>
      <c r="Y205" s="947"/>
      <c r="Z205" s="946">
        <v>2096</v>
      </c>
      <c r="AA205" s="948">
        <v>0</v>
      </c>
      <c r="AB205" s="946">
        <v>0</v>
      </c>
      <c r="AC205" s="974">
        <v>0</v>
      </c>
      <c r="AD205" s="946">
        <v>351626</v>
      </c>
      <c r="AE205" s="957">
        <v>0</v>
      </c>
      <c r="AG205" s="957">
        <v>41298</v>
      </c>
      <c r="AH205" s="955">
        <v>0</v>
      </c>
      <c r="AI205" s="425">
        <v>0</v>
      </c>
      <c r="AJ205" s="957">
        <v>0</v>
      </c>
      <c r="AL205" s="939">
        <v>1</v>
      </c>
      <c r="AM205" s="939">
        <v>1</v>
      </c>
      <c r="AN205" s="950">
        <v>10814.535800000001</v>
      </c>
      <c r="AO205" s="946">
        <v>0</v>
      </c>
      <c r="AP205" s="946">
        <v>0</v>
      </c>
      <c r="AQ205" s="953"/>
      <c r="AR205" s="950"/>
      <c r="AS205" s="950">
        <v>0</v>
      </c>
    </row>
    <row r="206" spans="1:45" x14ac:dyDescent="0.3">
      <c r="A206" s="642" t="s">
        <v>689</v>
      </c>
      <c r="B206" s="642" t="s">
        <v>690</v>
      </c>
      <c r="C206" s="642" t="s">
        <v>5435</v>
      </c>
      <c r="D206" s="642" t="s">
        <v>5408</v>
      </c>
      <c r="F206" s="946">
        <v>-4475</v>
      </c>
      <c r="H206" s="946">
        <v>0</v>
      </c>
      <c r="I206" s="939">
        <v>0</v>
      </c>
      <c r="J206" s="974">
        <v>0</v>
      </c>
      <c r="L206" s="946">
        <v>0</v>
      </c>
      <c r="M206" s="947"/>
      <c r="N206" s="946">
        <v>0</v>
      </c>
      <c r="P206" s="946">
        <v>0</v>
      </c>
      <c r="R206" s="946">
        <v>0</v>
      </c>
      <c r="S206" s="948">
        <v>0</v>
      </c>
      <c r="T206" s="946">
        <v>0</v>
      </c>
      <c r="V206" s="946">
        <v>0</v>
      </c>
      <c r="W206" s="946">
        <v>0</v>
      </c>
      <c r="X206" s="946">
        <v>621</v>
      </c>
      <c r="Y206" s="947"/>
      <c r="Z206" s="946">
        <v>0</v>
      </c>
      <c r="AA206" s="948">
        <v>0</v>
      </c>
      <c r="AB206" s="946">
        <v>0</v>
      </c>
      <c r="AC206" s="974">
        <v>0</v>
      </c>
      <c r="AD206" s="946">
        <v>24872.773000000001</v>
      </c>
      <c r="AE206" s="957">
        <v>0</v>
      </c>
      <c r="AG206" s="957">
        <v>3660</v>
      </c>
      <c r="AH206" s="955">
        <v>0</v>
      </c>
      <c r="AI206" s="425">
        <v>0</v>
      </c>
      <c r="AJ206" s="957">
        <v>0</v>
      </c>
      <c r="AL206" s="939">
        <v>0</v>
      </c>
      <c r="AM206" s="939">
        <v>0</v>
      </c>
      <c r="AN206" s="950">
        <v>505.78869999999995</v>
      </c>
      <c r="AO206" s="946">
        <v>0</v>
      </c>
      <c r="AP206" s="946">
        <v>0</v>
      </c>
      <c r="AQ206" s="953"/>
      <c r="AR206" s="950"/>
      <c r="AS206" s="950">
        <v>0</v>
      </c>
    </row>
    <row r="207" spans="1:45" x14ac:dyDescent="0.3">
      <c r="A207" s="642" t="s">
        <v>692</v>
      </c>
      <c r="B207" s="642" t="s">
        <v>693</v>
      </c>
      <c r="C207" s="642" t="s">
        <v>691</v>
      </c>
      <c r="D207" s="642" t="s">
        <v>71</v>
      </c>
      <c r="F207" s="946">
        <v>0</v>
      </c>
      <c r="H207" s="946">
        <v>-136270</v>
      </c>
      <c r="I207" s="939">
        <v>0</v>
      </c>
      <c r="J207" s="974">
        <v>0</v>
      </c>
      <c r="L207" s="946">
        <v>0</v>
      </c>
      <c r="M207" s="947"/>
      <c r="N207" s="946">
        <v>0</v>
      </c>
      <c r="P207" s="946">
        <v>0</v>
      </c>
      <c r="R207" s="946">
        <v>0</v>
      </c>
      <c r="S207" s="948">
        <v>0</v>
      </c>
      <c r="T207" s="946">
        <v>0</v>
      </c>
      <c r="V207" s="946">
        <v>0</v>
      </c>
      <c r="W207" s="946">
        <v>0</v>
      </c>
      <c r="X207" s="946">
        <v>0</v>
      </c>
      <c r="Y207" s="947"/>
      <c r="Z207" s="946">
        <v>0</v>
      </c>
      <c r="AA207" s="948">
        <v>0</v>
      </c>
      <c r="AB207" s="946">
        <v>0</v>
      </c>
      <c r="AC207" s="974">
        <v>0</v>
      </c>
      <c r="AD207" s="946">
        <v>86457.152000000002</v>
      </c>
      <c r="AE207" s="957">
        <v>0</v>
      </c>
      <c r="AG207" s="957">
        <v>2995</v>
      </c>
      <c r="AH207" s="955">
        <v>0</v>
      </c>
      <c r="AI207" s="425">
        <v>0</v>
      </c>
      <c r="AJ207" s="957">
        <v>0</v>
      </c>
      <c r="AL207" s="939">
        <v>0</v>
      </c>
      <c r="AM207" s="939">
        <v>0</v>
      </c>
      <c r="AN207" s="950">
        <v>537.14104000000009</v>
      </c>
      <c r="AO207" s="946">
        <v>0</v>
      </c>
      <c r="AP207" s="946">
        <v>0</v>
      </c>
      <c r="AQ207" s="953"/>
      <c r="AR207" s="950"/>
      <c r="AS207" s="950">
        <v>0</v>
      </c>
    </row>
    <row r="208" spans="1:45" x14ac:dyDescent="0.3">
      <c r="A208" s="642" t="s">
        <v>695</v>
      </c>
      <c r="B208" s="642" t="s">
        <v>696</v>
      </c>
      <c r="C208" s="642" t="s">
        <v>694</v>
      </c>
      <c r="D208" s="642" t="s">
        <v>61</v>
      </c>
      <c r="F208" s="946">
        <v>0</v>
      </c>
      <c r="H208" s="946">
        <v>0</v>
      </c>
      <c r="I208" s="939">
        <v>0</v>
      </c>
      <c r="J208" s="974">
        <v>0</v>
      </c>
      <c r="L208" s="946">
        <v>0</v>
      </c>
      <c r="M208" s="947"/>
      <c r="N208" s="946">
        <v>0</v>
      </c>
      <c r="P208" s="946">
        <v>0</v>
      </c>
      <c r="R208" s="946">
        <v>0</v>
      </c>
      <c r="S208" s="948">
        <v>0</v>
      </c>
      <c r="T208" s="946">
        <v>0</v>
      </c>
      <c r="V208" s="946">
        <v>530</v>
      </c>
      <c r="W208" s="946">
        <v>0</v>
      </c>
      <c r="X208" s="946">
        <v>155</v>
      </c>
      <c r="Y208" s="947"/>
      <c r="Z208" s="946">
        <v>380</v>
      </c>
      <c r="AA208" s="948">
        <v>100754</v>
      </c>
      <c r="AB208" s="946">
        <v>100.754</v>
      </c>
      <c r="AC208" s="974">
        <v>4564.518</v>
      </c>
      <c r="AD208" s="946">
        <v>12627.116</v>
      </c>
      <c r="AE208" s="957" t="s">
        <v>5589</v>
      </c>
      <c r="AG208" s="957">
        <v>0</v>
      </c>
      <c r="AH208" s="955">
        <v>0</v>
      </c>
      <c r="AI208" s="425">
        <v>1</v>
      </c>
      <c r="AJ208" s="957">
        <v>0</v>
      </c>
      <c r="AL208" s="939">
        <v>0</v>
      </c>
      <c r="AM208" s="939">
        <v>0</v>
      </c>
      <c r="AN208" s="950">
        <v>1474.655</v>
      </c>
      <c r="AO208" s="946">
        <v>0.10260461167378999</v>
      </c>
      <c r="AP208" s="946">
        <v>103</v>
      </c>
      <c r="AQ208" s="953"/>
      <c r="AR208" s="950"/>
      <c r="AS208" s="950">
        <v>241.876</v>
      </c>
    </row>
    <row r="209" spans="1:45" x14ac:dyDescent="0.3">
      <c r="A209" s="642" t="s">
        <v>698</v>
      </c>
      <c r="B209" s="642" t="s">
        <v>699</v>
      </c>
      <c r="C209" s="642" t="s">
        <v>697</v>
      </c>
      <c r="D209" s="642" t="s">
        <v>1940</v>
      </c>
      <c r="F209" s="946">
        <v>-29017</v>
      </c>
      <c r="H209" s="946">
        <v>0</v>
      </c>
      <c r="I209" s="939">
        <v>275063568</v>
      </c>
      <c r="J209" s="974">
        <v>275063.56800000003</v>
      </c>
      <c r="L209" s="946">
        <v>26064</v>
      </c>
      <c r="M209" s="947"/>
      <c r="N209" s="946">
        <v>0</v>
      </c>
      <c r="P209" s="946">
        <v>14622</v>
      </c>
      <c r="R209" s="946">
        <v>14942</v>
      </c>
      <c r="S209" s="948">
        <v>577371</v>
      </c>
      <c r="T209" s="946">
        <v>577.37099999999998</v>
      </c>
      <c r="V209" s="946">
        <v>4906</v>
      </c>
      <c r="W209" s="946">
        <v>923</v>
      </c>
      <c r="X209" s="946">
        <v>6560</v>
      </c>
      <c r="Y209" s="947"/>
      <c r="Z209" s="946">
        <v>1011</v>
      </c>
      <c r="AA209" s="948">
        <v>423433</v>
      </c>
      <c r="AB209" s="946">
        <v>423.43299999999999</v>
      </c>
      <c r="AC209" s="974">
        <v>0</v>
      </c>
      <c r="AD209" s="946">
        <v>126353.42200000001</v>
      </c>
      <c r="AE209" s="957">
        <v>30316</v>
      </c>
      <c r="AG209" s="957">
        <v>2000</v>
      </c>
      <c r="AH209" s="955">
        <v>0</v>
      </c>
      <c r="AI209" s="425">
        <v>1</v>
      </c>
      <c r="AJ209" s="957">
        <v>0</v>
      </c>
      <c r="AL209" s="939">
        <v>1</v>
      </c>
      <c r="AM209" s="939">
        <v>1</v>
      </c>
      <c r="AN209" s="950">
        <v>4010.8209400000001</v>
      </c>
      <c r="AO209" s="946">
        <v>0.81773426270164196</v>
      </c>
      <c r="AP209" s="946">
        <v>818</v>
      </c>
      <c r="AQ209" s="953"/>
      <c r="AR209" s="950"/>
      <c r="AS209" s="950">
        <v>1581.31</v>
      </c>
    </row>
    <row r="210" spans="1:45" x14ac:dyDescent="0.3">
      <c r="A210" s="642" t="s">
        <v>701</v>
      </c>
      <c r="B210" s="642" t="s">
        <v>702</v>
      </c>
      <c r="C210" s="642" t="s">
        <v>700</v>
      </c>
      <c r="D210" s="642" t="s">
        <v>61</v>
      </c>
      <c r="F210" s="946">
        <v>0</v>
      </c>
      <c r="H210" s="946">
        <v>0</v>
      </c>
      <c r="I210" s="939">
        <v>0</v>
      </c>
      <c r="J210" s="974">
        <v>0</v>
      </c>
      <c r="L210" s="946">
        <v>0</v>
      </c>
      <c r="M210" s="947"/>
      <c r="N210" s="946">
        <v>0</v>
      </c>
      <c r="P210" s="946">
        <v>0</v>
      </c>
      <c r="R210" s="946">
        <v>0</v>
      </c>
      <c r="S210" s="948">
        <v>0</v>
      </c>
      <c r="T210" s="946">
        <v>0</v>
      </c>
      <c r="V210" s="946">
        <v>209</v>
      </c>
      <c r="W210" s="946">
        <v>0</v>
      </c>
      <c r="X210" s="946">
        <v>146</v>
      </c>
      <c r="Y210" s="947"/>
      <c r="Z210" s="946">
        <v>1401</v>
      </c>
      <c r="AA210" s="948">
        <v>85631</v>
      </c>
      <c r="AB210" s="946">
        <v>85.631</v>
      </c>
      <c r="AC210" s="974">
        <v>2125.9839999999999</v>
      </c>
      <c r="AD210" s="946">
        <v>9582.7090000000007</v>
      </c>
      <c r="AE210" s="957">
        <v>0</v>
      </c>
      <c r="AG210" s="957">
        <v>1093</v>
      </c>
      <c r="AH210" s="955">
        <v>0</v>
      </c>
      <c r="AI210" s="425">
        <v>1</v>
      </c>
      <c r="AJ210" s="957">
        <v>0</v>
      </c>
      <c r="AL210" s="939">
        <v>0</v>
      </c>
      <c r="AM210" s="939">
        <v>0</v>
      </c>
      <c r="AN210" s="950">
        <v>28.77646</v>
      </c>
      <c r="AO210" s="946">
        <v>9.6835471213083502E-2</v>
      </c>
      <c r="AP210" s="946">
        <v>97</v>
      </c>
      <c r="AQ210" s="953"/>
      <c r="AR210" s="950"/>
      <c r="AS210" s="950">
        <v>176.721</v>
      </c>
    </row>
    <row r="211" spans="1:45" x14ac:dyDescent="0.3">
      <c r="A211" s="642" t="s">
        <v>704</v>
      </c>
      <c r="B211" s="642" t="s">
        <v>705</v>
      </c>
      <c r="C211" s="642" t="s">
        <v>703</v>
      </c>
      <c r="D211" s="642" t="s">
        <v>61</v>
      </c>
      <c r="F211" s="946">
        <v>-24</v>
      </c>
      <c r="H211" s="946">
        <v>0</v>
      </c>
      <c r="I211" s="939">
        <v>0</v>
      </c>
      <c r="J211" s="974">
        <v>0</v>
      </c>
      <c r="L211" s="946">
        <v>0</v>
      </c>
      <c r="M211" s="947"/>
      <c r="N211" s="946">
        <v>0</v>
      </c>
      <c r="P211" s="946">
        <v>0</v>
      </c>
      <c r="R211" s="946">
        <v>0</v>
      </c>
      <c r="S211" s="948">
        <v>0</v>
      </c>
      <c r="T211" s="946">
        <v>0</v>
      </c>
      <c r="V211" s="946">
        <v>378</v>
      </c>
      <c r="W211" s="946">
        <v>0</v>
      </c>
      <c r="X211" s="946">
        <v>263</v>
      </c>
      <c r="Y211" s="947"/>
      <c r="Z211" s="946">
        <v>421</v>
      </c>
      <c r="AA211" s="948">
        <v>144145</v>
      </c>
      <c r="AB211" s="946">
        <v>144.14500000000001</v>
      </c>
      <c r="AC211" s="974">
        <v>0</v>
      </c>
      <c r="AD211" s="946">
        <v>7359.9</v>
      </c>
      <c r="AE211" s="957">
        <v>5845</v>
      </c>
      <c r="AG211" s="957">
        <v>0</v>
      </c>
      <c r="AH211" s="955">
        <v>0</v>
      </c>
      <c r="AI211" s="425">
        <v>1</v>
      </c>
      <c r="AJ211" s="957">
        <v>0</v>
      </c>
      <c r="AL211" s="939">
        <v>0</v>
      </c>
      <c r="AM211" s="939">
        <v>0</v>
      </c>
      <c r="AN211" s="950">
        <v>2985.2004400000001</v>
      </c>
      <c r="AO211" s="946">
        <v>0.17448840765439499</v>
      </c>
      <c r="AP211" s="946">
        <v>174</v>
      </c>
      <c r="AQ211" s="953"/>
      <c r="AR211" s="950"/>
      <c r="AS211" s="950">
        <v>339.69499999999999</v>
      </c>
    </row>
    <row r="212" spans="1:45" x14ac:dyDescent="0.3">
      <c r="A212" s="642" t="s">
        <v>707</v>
      </c>
      <c r="B212" s="642" t="s">
        <v>708</v>
      </c>
      <c r="C212" s="642" t="s">
        <v>706</v>
      </c>
      <c r="D212" s="642" t="s">
        <v>1942</v>
      </c>
      <c r="F212" s="946">
        <v>-21220</v>
      </c>
      <c r="H212" s="946">
        <v>0</v>
      </c>
      <c r="I212" s="939">
        <v>284389756</v>
      </c>
      <c r="J212" s="974">
        <v>284389.75599999999</v>
      </c>
      <c r="L212" s="946">
        <v>34847</v>
      </c>
      <c r="M212" s="947"/>
      <c r="N212" s="946">
        <v>7277</v>
      </c>
      <c r="P212" s="946">
        <v>35191</v>
      </c>
      <c r="R212" s="946">
        <v>34257</v>
      </c>
      <c r="S212" s="948">
        <v>1594061</v>
      </c>
      <c r="T212" s="946">
        <v>1594.0609999999999</v>
      </c>
      <c r="V212" s="946">
        <v>0</v>
      </c>
      <c r="W212" s="946">
        <v>2273</v>
      </c>
      <c r="X212" s="946">
        <v>7684</v>
      </c>
      <c r="Y212" s="947"/>
      <c r="Z212" s="946">
        <v>1659</v>
      </c>
      <c r="AA212" s="948">
        <v>0</v>
      </c>
      <c r="AB212" s="946">
        <v>0</v>
      </c>
      <c r="AC212" s="974">
        <v>0</v>
      </c>
      <c r="AD212" s="946">
        <v>341704.549</v>
      </c>
      <c r="AE212" s="957">
        <v>0</v>
      </c>
      <c r="AG212" s="957">
        <v>0</v>
      </c>
      <c r="AH212" s="955">
        <v>0</v>
      </c>
      <c r="AI212" s="425">
        <v>0</v>
      </c>
      <c r="AJ212" s="957">
        <v>0</v>
      </c>
      <c r="AL212" s="939">
        <v>1</v>
      </c>
      <c r="AM212" s="939">
        <v>1</v>
      </c>
      <c r="AN212" s="950">
        <v>16888.632200000004</v>
      </c>
      <c r="AO212" s="946">
        <v>0</v>
      </c>
      <c r="AP212" s="946">
        <v>0</v>
      </c>
      <c r="AQ212" s="953"/>
      <c r="AR212" s="950"/>
      <c r="AS212" s="950">
        <v>0</v>
      </c>
    </row>
    <row r="213" spans="1:45" x14ac:dyDescent="0.3">
      <c r="A213" s="642" t="s">
        <v>710</v>
      </c>
      <c r="B213" s="642" t="s">
        <v>711</v>
      </c>
      <c r="C213" s="642" t="s">
        <v>709</v>
      </c>
      <c r="D213" s="642" t="s">
        <v>71</v>
      </c>
      <c r="F213" s="946">
        <v>0</v>
      </c>
      <c r="H213" s="946">
        <v>-78163</v>
      </c>
      <c r="I213" s="939">
        <v>0</v>
      </c>
      <c r="J213" s="974">
        <v>0</v>
      </c>
      <c r="L213" s="946">
        <v>0</v>
      </c>
      <c r="M213" s="947"/>
      <c r="N213" s="946">
        <v>0</v>
      </c>
      <c r="P213" s="946">
        <v>0</v>
      </c>
      <c r="R213" s="946">
        <v>0</v>
      </c>
      <c r="S213" s="948">
        <v>0</v>
      </c>
      <c r="T213" s="946">
        <v>0</v>
      </c>
      <c r="V213" s="946">
        <v>0</v>
      </c>
      <c r="W213" s="946">
        <v>0</v>
      </c>
      <c r="X213" s="946">
        <v>0</v>
      </c>
      <c r="Y213" s="947"/>
      <c r="Z213" s="946">
        <v>0</v>
      </c>
      <c r="AA213" s="948">
        <v>0</v>
      </c>
      <c r="AB213" s="946">
        <v>0</v>
      </c>
      <c r="AC213" s="974">
        <v>0</v>
      </c>
      <c r="AD213" s="946">
        <v>65923.016570000007</v>
      </c>
      <c r="AE213" s="957">
        <v>0</v>
      </c>
      <c r="AG213" s="957">
        <v>0</v>
      </c>
      <c r="AH213" s="955">
        <v>-60</v>
      </c>
      <c r="AI213" s="425">
        <v>0</v>
      </c>
      <c r="AJ213" s="957">
        <v>0</v>
      </c>
      <c r="AL213" s="939">
        <v>0</v>
      </c>
      <c r="AM213" s="939">
        <v>0</v>
      </c>
      <c r="AN213" s="950">
        <v>807.92793000000006</v>
      </c>
      <c r="AO213" s="946">
        <v>0</v>
      </c>
      <c r="AP213" s="946">
        <v>0</v>
      </c>
      <c r="AQ213" s="953"/>
      <c r="AR213" s="950"/>
      <c r="AS213" s="950">
        <v>0</v>
      </c>
    </row>
    <row r="214" spans="1:45" x14ac:dyDescent="0.3">
      <c r="A214" s="642" t="s">
        <v>713</v>
      </c>
      <c r="B214" s="642" t="s">
        <v>714</v>
      </c>
      <c r="C214" s="642" t="s">
        <v>712</v>
      </c>
      <c r="D214" s="642" t="s">
        <v>97</v>
      </c>
      <c r="F214" s="946">
        <v>0</v>
      </c>
      <c r="H214" s="946">
        <v>0</v>
      </c>
      <c r="I214" s="939">
        <v>363206599</v>
      </c>
      <c r="J214" s="974">
        <v>363206.59899999999</v>
      </c>
      <c r="L214" s="946">
        <v>46525</v>
      </c>
      <c r="M214" s="947"/>
      <c r="N214" s="946">
        <v>0</v>
      </c>
      <c r="P214" s="946">
        <v>35627</v>
      </c>
      <c r="R214" s="946">
        <v>0</v>
      </c>
      <c r="S214" s="948">
        <v>4311650</v>
      </c>
      <c r="T214" s="946">
        <v>4311.6499999999996</v>
      </c>
      <c r="V214" s="946">
        <v>1649</v>
      </c>
      <c r="W214" s="946">
        <v>1996</v>
      </c>
      <c r="X214" s="946">
        <v>12182</v>
      </c>
      <c r="Y214" s="947"/>
      <c r="Z214" s="946">
        <v>3530</v>
      </c>
      <c r="AA214" s="948">
        <v>1182726</v>
      </c>
      <c r="AB214" s="946">
        <v>1182.7260000000001</v>
      </c>
      <c r="AC214" s="974">
        <v>0</v>
      </c>
      <c r="AD214" s="946">
        <v>201237.399</v>
      </c>
      <c r="AE214" s="957">
        <v>0</v>
      </c>
      <c r="AG214" s="957">
        <v>0</v>
      </c>
      <c r="AH214" s="955">
        <v>-4000</v>
      </c>
      <c r="AI214" s="425">
        <v>1</v>
      </c>
      <c r="AJ214" s="957">
        <v>-4000</v>
      </c>
      <c r="AL214" s="939">
        <v>1</v>
      </c>
      <c r="AM214" s="939">
        <v>1</v>
      </c>
      <c r="AN214" s="950">
        <v>12415.881939999999</v>
      </c>
      <c r="AO214" s="946">
        <v>1.2480193970742799</v>
      </c>
      <c r="AP214" s="946">
        <v>1248</v>
      </c>
      <c r="AQ214" s="953"/>
      <c r="AR214" s="950"/>
      <c r="AS214" s="950">
        <v>2357.2289999999998</v>
      </c>
    </row>
    <row r="215" spans="1:45" x14ac:dyDescent="0.3">
      <c r="A215" s="642" t="s">
        <v>716</v>
      </c>
      <c r="B215" s="642" t="s">
        <v>717</v>
      </c>
      <c r="C215" s="642" t="s">
        <v>715</v>
      </c>
      <c r="D215" s="642" t="s">
        <v>1390</v>
      </c>
      <c r="F215" s="946">
        <v>0</v>
      </c>
      <c r="H215" s="946">
        <v>0</v>
      </c>
      <c r="I215" s="939">
        <v>0</v>
      </c>
      <c r="J215" s="974">
        <v>0</v>
      </c>
      <c r="L215" s="946">
        <v>0</v>
      </c>
      <c r="M215" s="947"/>
      <c r="N215" s="946">
        <v>0</v>
      </c>
      <c r="P215" s="946">
        <v>0</v>
      </c>
      <c r="R215" s="946">
        <v>0</v>
      </c>
      <c r="S215" s="948">
        <v>0</v>
      </c>
      <c r="T215" s="946">
        <v>0</v>
      </c>
      <c r="V215" s="946">
        <v>0</v>
      </c>
      <c r="W215" s="946">
        <v>0</v>
      </c>
      <c r="X215" s="946">
        <v>0</v>
      </c>
      <c r="Y215" s="947"/>
      <c r="Z215" s="946">
        <v>0</v>
      </c>
      <c r="AA215" s="948">
        <v>0</v>
      </c>
      <c r="AB215" s="946">
        <v>0</v>
      </c>
      <c r="AC215" s="974">
        <v>0</v>
      </c>
      <c r="AD215" s="946">
        <v>7881.8029999999999</v>
      </c>
      <c r="AE215" s="957">
        <v>0</v>
      </c>
      <c r="AG215" s="957">
        <v>7451</v>
      </c>
      <c r="AH215" s="955">
        <v>0</v>
      </c>
      <c r="AI215" s="425">
        <v>0</v>
      </c>
      <c r="AJ215" s="957">
        <v>0</v>
      </c>
      <c r="AL215" s="939">
        <v>0</v>
      </c>
      <c r="AM215" s="939">
        <v>0</v>
      </c>
      <c r="AN215" s="950">
        <v>7555.1422000000002</v>
      </c>
      <c r="AO215" s="946">
        <v>0</v>
      </c>
      <c r="AP215" s="946">
        <v>0</v>
      </c>
      <c r="AQ215" s="953"/>
      <c r="AR215" s="950"/>
      <c r="AS215" s="950">
        <v>0</v>
      </c>
    </row>
    <row r="216" spans="1:45" x14ac:dyDescent="0.3">
      <c r="A216" s="642" t="s">
        <v>719</v>
      </c>
      <c r="B216" s="642" t="s">
        <v>720</v>
      </c>
      <c r="C216" s="642" t="s">
        <v>718</v>
      </c>
      <c r="D216" s="642" t="s">
        <v>125</v>
      </c>
      <c r="F216" s="946">
        <v>-11278</v>
      </c>
      <c r="H216" s="946">
        <v>0</v>
      </c>
      <c r="I216" s="939">
        <v>160436144</v>
      </c>
      <c r="J216" s="974">
        <v>160436.144</v>
      </c>
      <c r="L216" s="946">
        <v>16172</v>
      </c>
      <c r="M216" s="947"/>
      <c r="N216" s="946">
        <v>0</v>
      </c>
      <c r="P216" s="946">
        <v>7878</v>
      </c>
      <c r="R216" s="946">
        <v>7481</v>
      </c>
      <c r="S216" s="948">
        <v>410621</v>
      </c>
      <c r="T216" s="946">
        <v>410.62099999999998</v>
      </c>
      <c r="V216" s="946">
        <v>3867</v>
      </c>
      <c r="W216" s="946">
        <v>532</v>
      </c>
      <c r="X216" s="946">
        <v>3360</v>
      </c>
      <c r="Y216" s="947"/>
      <c r="Z216" s="946">
        <v>392</v>
      </c>
      <c r="AA216" s="948">
        <v>223220</v>
      </c>
      <c r="AB216" s="946">
        <v>223.22</v>
      </c>
      <c r="AC216" s="974">
        <v>0</v>
      </c>
      <c r="AD216" s="946">
        <v>87659.501999999993</v>
      </c>
      <c r="AE216" s="957">
        <v>18596</v>
      </c>
      <c r="AG216" s="957">
        <v>5153</v>
      </c>
      <c r="AH216" s="955">
        <v>0</v>
      </c>
      <c r="AI216" s="425">
        <v>1</v>
      </c>
      <c r="AJ216" s="957">
        <v>0</v>
      </c>
      <c r="AL216" s="939">
        <v>1</v>
      </c>
      <c r="AM216" s="939">
        <v>1</v>
      </c>
      <c r="AN216" s="950">
        <v>16121.79926</v>
      </c>
      <c r="AO216" s="946">
        <v>0.40094851371302598</v>
      </c>
      <c r="AP216" s="946">
        <v>401</v>
      </c>
      <c r="AQ216" s="953"/>
      <c r="AR216" s="950"/>
      <c r="AS216" s="950">
        <v>612.73400000000004</v>
      </c>
    </row>
    <row r="217" spans="1:45" x14ac:dyDescent="0.3">
      <c r="A217" s="642" t="s">
        <v>722</v>
      </c>
      <c r="B217" s="642" t="s">
        <v>723</v>
      </c>
      <c r="C217" s="642" t="s">
        <v>721</v>
      </c>
      <c r="D217" s="642" t="s">
        <v>61</v>
      </c>
      <c r="F217" s="946">
        <v>-1</v>
      </c>
      <c r="H217" s="946">
        <v>0</v>
      </c>
      <c r="I217" s="939">
        <v>0</v>
      </c>
      <c r="J217" s="974">
        <v>0</v>
      </c>
      <c r="L217" s="946">
        <v>0</v>
      </c>
      <c r="M217" s="947"/>
      <c r="N217" s="946">
        <v>0</v>
      </c>
      <c r="P217" s="946">
        <v>0</v>
      </c>
      <c r="R217" s="946">
        <v>0</v>
      </c>
      <c r="S217" s="948">
        <v>0</v>
      </c>
      <c r="T217" s="946">
        <v>0</v>
      </c>
      <c r="V217" s="946">
        <v>798</v>
      </c>
      <c r="W217" s="946">
        <v>0</v>
      </c>
      <c r="X217" s="946">
        <v>225</v>
      </c>
      <c r="Y217" s="947"/>
      <c r="Z217" s="946">
        <v>4216</v>
      </c>
      <c r="AA217" s="948">
        <v>164403</v>
      </c>
      <c r="AB217" s="946">
        <v>164.40299999999999</v>
      </c>
      <c r="AC217" s="974">
        <v>2441.373</v>
      </c>
      <c r="AD217" s="946">
        <v>20648.526000000002</v>
      </c>
      <c r="AE217" s="957">
        <v>0</v>
      </c>
      <c r="AG217" s="957">
        <v>1241</v>
      </c>
      <c r="AH217" s="955">
        <v>0</v>
      </c>
      <c r="AI217" s="425">
        <v>1</v>
      </c>
      <c r="AJ217" s="957">
        <v>0</v>
      </c>
      <c r="AL217" s="939">
        <v>0</v>
      </c>
      <c r="AM217" s="939">
        <v>0</v>
      </c>
      <c r="AN217" s="950">
        <v>0</v>
      </c>
      <c r="AO217" s="946">
        <v>0.14912800205319601</v>
      </c>
      <c r="AP217" s="946">
        <v>149</v>
      </c>
      <c r="AQ217" s="953"/>
      <c r="AR217" s="950"/>
      <c r="AS217" s="950">
        <v>348.90699999999998</v>
      </c>
    </row>
    <row r="218" spans="1:45" x14ac:dyDescent="0.3">
      <c r="A218" s="642" t="s">
        <v>725</v>
      </c>
      <c r="B218" s="642" t="s">
        <v>726</v>
      </c>
      <c r="C218" s="642" t="s">
        <v>724</v>
      </c>
      <c r="D218" s="642" t="s">
        <v>61</v>
      </c>
      <c r="F218" s="946">
        <v>0</v>
      </c>
      <c r="H218" s="946">
        <v>0</v>
      </c>
      <c r="I218" s="939">
        <v>0</v>
      </c>
      <c r="J218" s="974">
        <v>0</v>
      </c>
      <c r="L218" s="946">
        <v>0</v>
      </c>
      <c r="M218" s="947"/>
      <c r="N218" s="946">
        <v>32</v>
      </c>
      <c r="P218" s="946">
        <v>0</v>
      </c>
      <c r="R218" s="946">
        <v>0</v>
      </c>
      <c r="S218" s="948">
        <v>0</v>
      </c>
      <c r="T218" s="946">
        <v>0</v>
      </c>
      <c r="V218" s="946">
        <v>146</v>
      </c>
      <c r="W218" s="946">
        <v>0</v>
      </c>
      <c r="X218" s="946">
        <v>106</v>
      </c>
      <c r="Y218" s="947"/>
      <c r="Z218" s="946">
        <v>961</v>
      </c>
      <c r="AA218" s="948">
        <v>59103</v>
      </c>
      <c r="AB218" s="946">
        <v>59.103000000000002</v>
      </c>
      <c r="AC218" s="974">
        <v>1603.414</v>
      </c>
      <c r="AD218" s="946">
        <v>7024.7749999999996</v>
      </c>
      <c r="AE218" s="957">
        <v>0</v>
      </c>
      <c r="AG218" s="957">
        <v>0</v>
      </c>
      <c r="AH218" s="955">
        <v>0</v>
      </c>
      <c r="AI218" s="425">
        <v>1</v>
      </c>
      <c r="AJ218" s="957">
        <v>0</v>
      </c>
      <c r="AL218" s="939">
        <v>0</v>
      </c>
      <c r="AM218" s="939">
        <v>0</v>
      </c>
      <c r="AN218" s="950">
        <v>0</v>
      </c>
      <c r="AO218" s="946">
        <v>7.0106915981376805E-2</v>
      </c>
      <c r="AP218" s="946">
        <v>70</v>
      </c>
      <c r="AQ218" s="953"/>
      <c r="AR218" s="950"/>
      <c r="AS218" s="950">
        <v>112.896</v>
      </c>
    </row>
    <row r="219" spans="1:45" x14ac:dyDescent="0.3">
      <c r="A219" s="642" t="s">
        <v>728</v>
      </c>
      <c r="B219" s="642" t="s">
        <v>729</v>
      </c>
      <c r="C219" s="642" t="s">
        <v>727</v>
      </c>
      <c r="D219" s="642" t="s">
        <v>61</v>
      </c>
      <c r="F219" s="946">
        <v>0</v>
      </c>
      <c r="H219" s="946">
        <v>0</v>
      </c>
      <c r="I219" s="939">
        <v>0</v>
      </c>
      <c r="J219" s="974">
        <v>0</v>
      </c>
      <c r="L219" s="946">
        <v>0</v>
      </c>
      <c r="M219" s="947"/>
      <c r="N219" s="946">
        <v>239</v>
      </c>
      <c r="P219" s="946">
        <v>0</v>
      </c>
      <c r="R219" s="946">
        <v>0</v>
      </c>
      <c r="S219" s="948">
        <v>0</v>
      </c>
      <c r="T219" s="946">
        <v>0</v>
      </c>
      <c r="V219" s="946">
        <v>141</v>
      </c>
      <c r="W219" s="946">
        <v>0</v>
      </c>
      <c r="X219" s="946">
        <v>126</v>
      </c>
      <c r="Y219" s="947"/>
      <c r="Z219" s="946">
        <v>1421</v>
      </c>
      <c r="AA219" s="948">
        <v>65746</v>
      </c>
      <c r="AB219" s="946">
        <v>65.745999999999995</v>
      </c>
      <c r="AC219" s="974">
        <v>2423.8310000000001</v>
      </c>
      <c r="AD219" s="946">
        <v>7967.5789999999997</v>
      </c>
      <c r="AE219" s="957">
        <v>0</v>
      </c>
      <c r="AG219" s="957">
        <v>0</v>
      </c>
      <c r="AH219" s="955">
        <v>0</v>
      </c>
      <c r="AI219" s="425">
        <v>1</v>
      </c>
      <c r="AJ219" s="957">
        <v>0</v>
      </c>
      <c r="AL219" s="939">
        <v>0</v>
      </c>
      <c r="AM219" s="939">
        <v>0</v>
      </c>
      <c r="AN219" s="950">
        <v>0</v>
      </c>
      <c r="AO219" s="946">
        <v>8.3643078608177795E-2</v>
      </c>
      <c r="AP219" s="946">
        <v>84</v>
      </c>
      <c r="AQ219" s="953"/>
      <c r="AR219" s="950"/>
      <c r="AS219" s="950">
        <v>153.934</v>
      </c>
    </row>
    <row r="220" spans="1:45" x14ac:dyDescent="0.3">
      <c r="A220" s="642" t="s">
        <v>731</v>
      </c>
      <c r="B220" s="642" t="s">
        <v>732</v>
      </c>
      <c r="C220" s="642" t="s">
        <v>730</v>
      </c>
      <c r="D220" s="642" t="s">
        <v>97</v>
      </c>
      <c r="F220" s="946">
        <v>0</v>
      </c>
      <c r="H220" s="946">
        <v>0</v>
      </c>
      <c r="I220" s="939">
        <v>343933228</v>
      </c>
      <c r="J220" s="974">
        <v>343933.228</v>
      </c>
      <c r="L220" s="946">
        <v>0</v>
      </c>
      <c r="M220" s="947"/>
      <c r="N220" s="946">
        <v>0</v>
      </c>
      <c r="P220" s="946">
        <v>31924</v>
      </c>
      <c r="R220" s="946">
        <v>31749</v>
      </c>
      <c r="S220" s="948">
        <v>1983798</v>
      </c>
      <c r="T220" s="946">
        <v>1983.798</v>
      </c>
      <c r="V220" s="946">
        <v>3375</v>
      </c>
      <c r="W220" s="946">
        <v>1800</v>
      </c>
      <c r="X220" s="946">
        <v>12324</v>
      </c>
      <c r="Y220" s="947"/>
      <c r="Z220" s="946">
        <v>9857</v>
      </c>
      <c r="AA220" s="948">
        <v>918663</v>
      </c>
      <c r="AB220" s="946">
        <v>918.66300000000001</v>
      </c>
      <c r="AC220" s="974">
        <v>0</v>
      </c>
      <c r="AD220" s="946">
        <v>196705.62</v>
      </c>
      <c r="AE220" s="957">
        <v>106088</v>
      </c>
      <c r="AG220" s="957">
        <v>21071</v>
      </c>
      <c r="AH220" s="955">
        <v>0</v>
      </c>
      <c r="AI220" s="425">
        <v>1</v>
      </c>
      <c r="AJ220" s="957">
        <v>0</v>
      </c>
      <c r="AL220" s="939">
        <v>1</v>
      </c>
      <c r="AM220" s="939">
        <v>1</v>
      </c>
      <c r="AN220" s="950">
        <v>9812.75</v>
      </c>
      <c r="AO220" s="946">
        <v>1.32788794674221</v>
      </c>
      <c r="AP220" s="946">
        <v>1328</v>
      </c>
      <c r="AQ220" s="953"/>
      <c r="AR220" s="950"/>
      <c r="AS220" s="950">
        <v>2463.5039999999999</v>
      </c>
    </row>
    <row r="221" spans="1:45" x14ac:dyDescent="0.3">
      <c r="A221" s="642" t="s">
        <v>734</v>
      </c>
      <c r="B221" s="642" t="s">
        <v>735</v>
      </c>
      <c r="C221" s="642" t="s">
        <v>733</v>
      </c>
      <c r="D221" s="642" t="s">
        <v>61</v>
      </c>
      <c r="F221" s="946">
        <v>-258</v>
      </c>
      <c r="H221" s="946">
        <v>0</v>
      </c>
      <c r="I221" s="939">
        <v>0</v>
      </c>
      <c r="J221" s="974">
        <v>0</v>
      </c>
      <c r="L221" s="946">
        <v>0</v>
      </c>
      <c r="M221" s="947"/>
      <c r="N221" s="946">
        <v>0</v>
      </c>
      <c r="P221" s="946">
        <v>0</v>
      </c>
      <c r="R221" s="946">
        <v>0</v>
      </c>
      <c r="S221" s="948">
        <v>0</v>
      </c>
      <c r="T221" s="946">
        <v>0</v>
      </c>
      <c r="V221" s="946">
        <v>318</v>
      </c>
      <c r="W221" s="946">
        <v>0</v>
      </c>
      <c r="X221" s="946">
        <v>257</v>
      </c>
      <c r="Y221" s="947"/>
      <c r="Z221" s="946">
        <v>654</v>
      </c>
      <c r="AA221" s="948">
        <v>139214</v>
      </c>
      <c r="AB221" s="946">
        <v>139.214</v>
      </c>
      <c r="AC221" s="974">
        <v>104.807</v>
      </c>
      <c r="AD221" s="946">
        <v>6054.9250000000002</v>
      </c>
      <c r="AE221" s="957">
        <v>29207</v>
      </c>
      <c r="AG221" s="957">
        <v>91</v>
      </c>
      <c r="AH221" s="955">
        <v>0</v>
      </c>
      <c r="AI221" s="425">
        <v>1</v>
      </c>
      <c r="AJ221" s="957">
        <v>0</v>
      </c>
      <c r="AL221" s="939">
        <v>0</v>
      </c>
      <c r="AM221" s="939">
        <v>0</v>
      </c>
      <c r="AN221" s="950">
        <v>2516.2496599999999</v>
      </c>
      <c r="AO221" s="946">
        <v>0.17072957744561201</v>
      </c>
      <c r="AP221" s="946">
        <v>171</v>
      </c>
      <c r="AQ221" s="953"/>
      <c r="AR221" s="950"/>
      <c r="AS221" s="950">
        <v>335.55700000000002</v>
      </c>
    </row>
    <row r="222" spans="1:45" x14ac:dyDescent="0.3">
      <c r="A222" s="642" t="s">
        <v>740</v>
      </c>
      <c r="B222" s="642" t="s">
        <v>741</v>
      </c>
      <c r="C222" s="642" t="s">
        <v>739</v>
      </c>
      <c r="D222" s="642" t="s">
        <v>61</v>
      </c>
      <c r="F222" s="946">
        <v>0</v>
      </c>
      <c r="H222" s="946">
        <v>0</v>
      </c>
      <c r="I222" s="939">
        <v>0</v>
      </c>
      <c r="J222" s="974">
        <v>0</v>
      </c>
      <c r="L222" s="946">
        <v>0</v>
      </c>
      <c r="M222" s="947"/>
      <c r="N222" s="946">
        <v>191</v>
      </c>
      <c r="P222" s="946">
        <v>0</v>
      </c>
      <c r="R222" s="946">
        <v>0</v>
      </c>
      <c r="S222" s="948">
        <v>0</v>
      </c>
      <c r="T222" s="946">
        <v>0</v>
      </c>
      <c r="V222" s="946">
        <v>107</v>
      </c>
      <c r="W222" s="946">
        <v>0</v>
      </c>
      <c r="X222" s="946">
        <v>92</v>
      </c>
      <c r="Y222" s="947"/>
      <c r="Z222" s="946">
        <v>521</v>
      </c>
      <c r="AA222" s="948">
        <v>37093</v>
      </c>
      <c r="AB222" s="946">
        <v>37.093000000000004</v>
      </c>
      <c r="AC222" s="974">
        <v>714.84100000000001</v>
      </c>
      <c r="AD222" s="946">
        <v>4927.9889999999996</v>
      </c>
      <c r="AE222" s="957">
        <v>5865</v>
      </c>
      <c r="AG222" s="957">
        <v>270</v>
      </c>
      <c r="AH222" s="955">
        <v>0</v>
      </c>
      <c r="AI222" s="425">
        <v>1</v>
      </c>
      <c r="AJ222" s="957">
        <v>0</v>
      </c>
      <c r="AL222" s="939">
        <v>0</v>
      </c>
      <c r="AM222" s="939">
        <v>0</v>
      </c>
      <c r="AN222" s="950">
        <v>1167.96198</v>
      </c>
      <c r="AO222" s="946">
        <v>6.0735375829126498E-2</v>
      </c>
      <c r="AP222" s="946">
        <v>61</v>
      </c>
      <c r="AQ222" s="953"/>
      <c r="AR222" s="950"/>
      <c r="AS222" s="950">
        <v>93.236999999999995</v>
      </c>
    </row>
    <row r="223" spans="1:45" x14ac:dyDescent="0.3">
      <c r="A223" s="642" t="s">
        <v>743</v>
      </c>
      <c r="B223" s="642" t="s">
        <v>744</v>
      </c>
      <c r="C223" s="642" t="s">
        <v>742</v>
      </c>
      <c r="D223" s="642" t="s">
        <v>61</v>
      </c>
      <c r="F223" s="946">
        <v>0</v>
      </c>
      <c r="H223" s="946">
        <v>0</v>
      </c>
      <c r="I223" s="939">
        <v>0</v>
      </c>
      <c r="J223" s="974">
        <v>0</v>
      </c>
      <c r="L223" s="946">
        <v>0</v>
      </c>
      <c r="M223" s="947"/>
      <c r="N223" s="946">
        <v>255</v>
      </c>
      <c r="P223" s="946">
        <v>0</v>
      </c>
      <c r="R223" s="946">
        <v>0</v>
      </c>
      <c r="S223" s="948">
        <v>0</v>
      </c>
      <c r="T223" s="946">
        <v>0</v>
      </c>
      <c r="V223" s="946">
        <v>294</v>
      </c>
      <c r="W223" s="946">
        <v>0</v>
      </c>
      <c r="X223" s="946">
        <v>200</v>
      </c>
      <c r="Y223" s="947"/>
      <c r="Z223" s="946">
        <v>995</v>
      </c>
      <c r="AA223" s="948">
        <v>103572</v>
      </c>
      <c r="AB223" s="946">
        <v>103.572</v>
      </c>
      <c r="AC223" s="974">
        <v>5389.97</v>
      </c>
      <c r="AD223" s="946">
        <v>12804.550999999999</v>
      </c>
      <c r="AE223" s="957">
        <v>0</v>
      </c>
      <c r="AG223" s="957">
        <v>25</v>
      </c>
      <c r="AH223" s="955">
        <v>0</v>
      </c>
      <c r="AI223" s="425">
        <v>1</v>
      </c>
      <c r="AJ223" s="957">
        <v>0</v>
      </c>
      <c r="AL223" s="939">
        <v>0</v>
      </c>
      <c r="AM223" s="939">
        <v>0</v>
      </c>
      <c r="AN223" s="950">
        <v>1303.9358999999999</v>
      </c>
      <c r="AO223" s="946">
        <v>0.13296076279753899</v>
      </c>
      <c r="AP223" s="946">
        <v>133</v>
      </c>
      <c r="AQ223" s="953"/>
      <c r="AR223" s="950"/>
      <c r="AS223" s="950">
        <v>266.24599999999998</v>
      </c>
    </row>
    <row r="224" spans="1:45" x14ac:dyDescent="0.3">
      <c r="A224" s="642" t="s">
        <v>746</v>
      </c>
      <c r="B224" s="642" t="s">
        <v>747</v>
      </c>
      <c r="C224" s="642" t="s">
        <v>5436</v>
      </c>
      <c r="D224" s="642" t="s">
        <v>5408</v>
      </c>
      <c r="F224" s="946">
        <v>-11584</v>
      </c>
      <c r="H224" s="946">
        <v>0</v>
      </c>
      <c r="I224" s="939">
        <v>0</v>
      </c>
      <c r="J224" s="974">
        <v>0</v>
      </c>
      <c r="L224" s="946">
        <v>0</v>
      </c>
      <c r="M224" s="947"/>
      <c r="N224" s="946">
        <v>0</v>
      </c>
      <c r="P224" s="946">
        <v>0</v>
      </c>
      <c r="R224" s="946">
        <v>0</v>
      </c>
      <c r="S224" s="948">
        <v>0</v>
      </c>
      <c r="T224" s="946">
        <v>0</v>
      </c>
      <c r="V224" s="946">
        <v>0</v>
      </c>
      <c r="W224" s="946">
        <v>0</v>
      </c>
      <c r="X224" s="946">
        <v>1388</v>
      </c>
      <c r="Y224" s="947"/>
      <c r="Z224" s="946">
        <v>0</v>
      </c>
      <c r="AA224" s="948">
        <v>0</v>
      </c>
      <c r="AB224" s="946">
        <v>0</v>
      </c>
      <c r="AC224" s="974">
        <v>0</v>
      </c>
      <c r="AD224" s="946">
        <v>31688.253000000001</v>
      </c>
      <c r="AE224" s="957">
        <v>0</v>
      </c>
      <c r="AG224" s="957">
        <v>20738</v>
      </c>
      <c r="AH224" s="955">
        <v>0</v>
      </c>
      <c r="AI224" s="425">
        <v>0</v>
      </c>
      <c r="AJ224" s="957">
        <v>0</v>
      </c>
      <c r="AL224" s="939">
        <v>0</v>
      </c>
      <c r="AM224" s="939">
        <v>0</v>
      </c>
      <c r="AN224" s="950">
        <v>1731.9750200000001</v>
      </c>
      <c r="AO224" s="946">
        <v>0</v>
      </c>
      <c r="AP224" s="946">
        <v>0</v>
      </c>
      <c r="AQ224" s="953"/>
      <c r="AR224" s="950"/>
      <c r="AS224" s="950">
        <v>0</v>
      </c>
    </row>
    <row r="225" spans="1:45" x14ac:dyDescent="0.3">
      <c r="A225" s="642" t="s">
        <v>749</v>
      </c>
      <c r="B225" s="642" t="s">
        <v>750</v>
      </c>
      <c r="C225" s="642" t="s">
        <v>748</v>
      </c>
      <c r="D225" s="642" t="s">
        <v>71</v>
      </c>
      <c r="F225" s="946">
        <v>0</v>
      </c>
      <c r="H225" s="946">
        <v>-302214</v>
      </c>
      <c r="I225" s="939">
        <v>0</v>
      </c>
      <c r="J225" s="974">
        <v>0</v>
      </c>
      <c r="L225" s="946">
        <v>0</v>
      </c>
      <c r="M225" s="947"/>
      <c r="N225" s="946">
        <v>0</v>
      </c>
      <c r="P225" s="946">
        <v>0</v>
      </c>
      <c r="R225" s="946">
        <v>0</v>
      </c>
      <c r="S225" s="948">
        <v>0</v>
      </c>
      <c r="T225" s="946">
        <v>0</v>
      </c>
      <c r="V225" s="946">
        <v>0</v>
      </c>
      <c r="W225" s="946">
        <v>0</v>
      </c>
      <c r="X225" s="946">
        <v>0</v>
      </c>
      <c r="Y225" s="947"/>
      <c r="Z225" s="946">
        <v>0</v>
      </c>
      <c r="AA225" s="948">
        <v>0</v>
      </c>
      <c r="AB225" s="946">
        <v>0</v>
      </c>
      <c r="AC225" s="974">
        <v>0</v>
      </c>
      <c r="AD225" s="946">
        <v>89811.81</v>
      </c>
      <c r="AE225" s="957">
        <v>0</v>
      </c>
      <c r="AG225" s="957">
        <v>0</v>
      </c>
      <c r="AH225" s="955">
        <v>0</v>
      </c>
      <c r="AI225" s="425">
        <v>0</v>
      </c>
      <c r="AJ225" s="957">
        <v>0</v>
      </c>
      <c r="AL225" s="939">
        <v>0</v>
      </c>
      <c r="AM225" s="939">
        <v>0</v>
      </c>
      <c r="AN225" s="950">
        <v>2342.36364</v>
      </c>
      <c r="AO225" s="946">
        <v>0</v>
      </c>
      <c r="AP225" s="946">
        <v>0</v>
      </c>
      <c r="AQ225" s="953"/>
      <c r="AR225" s="950"/>
      <c r="AS225" s="950">
        <v>0</v>
      </c>
    </row>
    <row r="226" spans="1:45" x14ac:dyDescent="0.3">
      <c r="A226" s="642" t="s">
        <v>752</v>
      </c>
      <c r="B226" s="642" t="s">
        <v>753</v>
      </c>
      <c r="C226" s="642" t="s">
        <v>5437</v>
      </c>
      <c r="D226" s="642" t="s">
        <v>5425</v>
      </c>
      <c r="F226" s="946">
        <v>0</v>
      </c>
      <c r="H226" s="946">
        <v>0</v>
      </c>
      <c r="I226" s="939">
        <v>0</v>
      </c>
      <c r="J226" s="974">
        <v>0</v>
      </c>
      <c r="L226" s="946">
        <v>0</v>
      </c>
      <c r="M226" s="947"/>
      <c r="N226" s="946">
        <v>0</v>
      </c>
      <c r="P226" s="946">
        <v>0</v>
      </c>
      <c r="R226" s="946">
        <v>0</v>
      </c>
      <c r="S226" s="948">
        <v>0</v>
      </c>
      <c r="T226" s="946">
        <v>0</v>
      </c>
      <c r="V226" s="946">
        <v>0</v>
      </c>
      <c r="W226" s="946">
        <v>0</v>
      </c>
      <c r="X226" s="946">
        <v>0</v>
      </c>
      <c r="Y226" s="947"/>
      <c r="Z226" s="946">
        <v>0</v>
      </c>
      <c r="AA226" s="948">
        <v>0</v>
      </c>
      <c r="AB226" s="946">
        <v>0</v>
      </c>
      <c r="AC226" s="974">
        <v>0</v>
      </c>
      <c r="AD226" s="946">
        <v>0</v>
      </c>
      <c r="AE226" s="957">
        <v>0</v>
      </c>
      <c r="AG226" s="957">
        <v>0</v>
      </c>
      <c r="AH226" s="955">
        <v>0</v>
      </c>
      <c r="AI226" s="425">
        <v>0</v>
      </c>
      <c r="AJ226" s="957">
        <v>0</v>
      </c>
      <c r="AL226" s="939">
        <v>0</v>
      </c>
      <c r="AM226" s="939">
        <v>0</v>
      </c>
      <c r="AN226" s="950">
        <v>1242.8096</v>
      </c>
      <c r="AO226" s="946">
        <v>0</v>
      </c>
      <c r="AP226" s="946">
        <v>0</v>
      </c>
      <c r="AQ226" s="953"/>
      <c r="AR226" s="950"/>
      <c r="AS226" s="950">
        <v>0</v>
      </c>
    </row>
    <row r="227" spans="1:45" x14ac:dyDescent="0.3">
      <c r="A227" s="642" t="s">
        <v>755</v>
      </c>
      <c r="B227" s="642" t="s">
        <v>756</v>
      </c>
      <c r="C227" s="642" t="s">
        <v>754</v>
      </c>
      <c r="D227" s="642" t="s">
        <v>1940</v>
      </c>
      <c r="F227" s="946">
        <v>-5350</v>
      </c>
      <c r="H227" s="946">
        <v>0</v>
      </c>
      <c r="I227" s="939">
        <v>168489419</v>
      </c>
      <c r="J227" s="974">
        <v>168489.41899999999</v>
      </c>
      <c r="L227" s="946">
        <v>11089</v>
      </c>
      <c r="M227" s="947"/>
      <c r="N227" s="946">
        <v>0</v>
      </c>
      <c r="P227" s="946">
        <v>6282</v>
      </c>
      <c r="R227" s="946">
        <v>5010</v>
      </c>
      <c r="S227" s="948">
        <v>300610</v>
      </c>
      <c r="T227" s="946">
        <v>300.61</v>
      </c>
      <c r="V227" s="946">
        <v>1388</v>
      </c>
      <c r="W227" s="946">
        <v>505</v>
      </c>
      <c r="X227" s="946">
        <v>2479</v>
      </c>
      <c r="Y227" s="947"/>
      <c r="Z227" s="946">
        <v>482</v>
      </c>
      <c r="AA227" s="948">
        <v>207201</v>
      </c>
      <c r="AB227" s="946">
        <v>207.20099999999999</v>
      </c>
      <c r="AC227" s="974">
        <v>0</v>
      </c>
      <c r="AD227" s="946">
        <v>104983.45299999999</v>
      </c>
      <c r="AE227" s="957">
        <v>0</v>
      </c>
      <c r="AG227" s="957">
        <v>181</v>
      </c>
      <c r="AH227" s="955">
        <v>0</v>
      </c>
      <c r="AI227" s="425">
        <v>1</v>
      </c>
      <c r="AJ227" s="957">
        <v>0</v>
      </c>
      <c r="AL227" s="939">
        <v>1</v>
      </c>
      <c r="AM227" s="939">
        <v>1</v>
      </c>
      <c r="AN227" s="950">
        <v>2643.2874999999999</v>
      </c>
      <c r="AO227" s="946">
        <v>0.42867330245327101</v>
      </c>
      <c r="AP227" s="946">
        <v>429</v>
      </c>
      <c r="AQ227" s="953"/>
      <c r="AR227" s="950"/>
      <c r="AS227" s="950">
        <v>539.99400000000003</v>
      </c>
    </row>
    <row r="228" spans="1:45" x14ac:dyDescent="0.3">
      <c r="A228" s="642" t="s">
        <v>758</v>
      </c>
      <c r="B228" s="642" t="s">
        <v>759</v>
      </c>
      <c r="C228" s="642" t="s">
        <v>757</v>
      </c>
      <c r="D228" s="642" t="s">
        <v>61</v>
      </c>
      <c r="F228" s="946">
        <v>0</v>
      </c>
      <c r="H228" s="946">
        <v>0</v>
      </c>
      <c r="I228" s="939">
        <v>0</v>
      </c>
      <c r="J228" s="974">
        <v>0</v>
      </c>
      <c r="L228" s="946">
        <v>0</v>
      </c>
      <c r="M228" s="947"/>
      <c r="N228" s="946">
        <v>490</v>
      </c>
      <c r="P228" s="946">
        <v>0</v>
      </c>
      <c r="R228" s="946">
        <v>0</v>
      </c>
      <c r="S228" s="948">
        <v>0</v>
      </c>
      <c r="T228" s="946">
        <v>0</v>
      </c>
      <c r="V228" s="946">
        <v>203</v>
      </c>
      <c r="W228" s="946">
        <v>0</v>
      </c>
      <c r="X228" s="946">
        <v>153</v>
      </c>
      <c r="Y228" s="947"/>
      <c r="Z228" s="946">
        <v>719</v>
      </c>
      <c r="AA228" s="948">
        <v>63596</v>
      </c>
      <c r="AB228" s="946">
        <v>63.595999999999997</v>
      </c>
      <c r="AC228" s="974">
        <v>2144.5488100000002</v>
      </c>
      <c r="AD228" s="946">
        <v>8668.4788100000005</v>
      </c>
      <c r="AE228" s="957">
        <v>23232</v>
      </c>
      <c r="AG228" s="957">
        <v>0</v>
      </c>
      <c r="AH228" s="955">
        <v>0</v>
      </c>
      <c r="AI228" s="425">
        <v>1</v>
      </c>
      <c r="AJ228" s="957">
        <v>0</v>
      </c>
      <c r="AL228" s="939">
        <v>0</v>
      </c>
      <c r="AM228" s="939">
        <v>0</v>
      </c>
      <c r="AN228" s="950">
        <v>1010.7119799999999</v>
      </c>
      <c r="AO228" s="946">
        <v>0.101241990061726</v>
      </c>
      <c r="AP228" s="946">
        <v>101</v>
      </c>
      <c r="AQ228" s="953"/>
      <c r="AR228" s="950"/>
      <c r="AS228" s="950">
        <v>164.57</v>
      </c>
    </row>
    <row r="229" spans="1:45" x14ac:dyDescent="0.3">
      <c r="A229" s="642" t="s">
        <v>761</v>
      </c>
      <c r="B229" s="642" t="s">
        <v>762</v>
      </c>
      <c r="C229" s="642" t="s">
        <v>760</v>
      </c>
      <c r="D229" s="642" t="s">
        <v>61</v>
      </c>
      <c r="F229" s="946">
        <v>0</v>
      </c>
      <c r="H229" s="946">
        <v>0</v>
      </c>
      <c r="I229" s="939">
        <v>0</v>
      </c>
      <c r="J229" s="974">
        <v>0</v>
      </c>
      <c r="L229" s="946">
        <v>0</v>
      </c>
      <c r="M229" s="947"/>
      <c r="N229" s="946">
        <v>454</v>
      </c>
      <c r="P229" s="946">
        <v>0</v>
      </c>
      <c r="R229" s="946">
        <v>0</v>
      </c>
      <c r="S229" s="948">
        <v>0</v>
      </c>
      <c r="T229" s="946">
        <v>0</v>
      </c>
      <c r="V229" s="946">
        <v>195</v>
      </c>
      <c r="W229" s="946">
        <v>0</v>
      </c>
      <c r="X229" s="946">
        <v>157</v>
      </c>
      <c r="Y229" s="947"/>
      <c r="Z229" s="946">
        <v>1779</v>
      </c>
      <c r="AA229" s="948">
        <v>71215</v>
      </c>
      <c r="AB229" s="946">
        <v>71.215000000000003</v>
      </c>
      <c r="AC229" s="974">
        <v>3212.636</v>
      </c>
      <c r="AD229" s="946">
        <v>9879.5990000000002</v>
      </c>
      <c r="AE229" s="957">
        <v>13631</v>
      </c>
      <c r="AG229" s="957">
        <v>1333</v>
      </c>
      <c r="AH229" s="955">
        <v>0</v>
      </c>
      <c r="AI229" s="425">
        <v>1</v>
      </c>
      <c r="AJ229" s="957">
        <v>0</v>
      </c>
      <c r="AL229" s="939">
        <v>0</v>
      </c>
      <c r="AM229" s="939">
        <v>0</v>
      </c>
      <c r="AN229" s="950">
        <v>2901.4467</v>
      </c>
      <c r="AO229" s="946">
        <v>0.104038143481137</v>
      </c>
      <c r="AP229" s="946">
        <v>104</v>
      </c>
      <c r="AQ229" s="953"/>
      <c r="AR229" s="950"/>
      <c r="AS229" s="950">
        <v>158.49100000000001</v>
      </c>
    </row>
    <row r="230" spans="1:45" x14ac:dyDescent="0.3">
      <c r="A230" s="642" t="s">
        <v>764</v>
      </c>
      <c r="B230" s="642" t="s">
        <v>765</v>
      </c>
      <c r="C230" s="642" t="s">
        <v>763</v>
      </c>
      <c r="D230" s="642" t="s">
        <v>61</v>
      </c>
      <c r="F230" s="946">
        <v>0</v>
      </c>
      <c r="H230" s="946">
        <v>0</v>
      </c>
      <c r="I230" s="939">
        <v>0</v>
      </c>
      <c r="J230" s="974">
        <v>0</v>
      </c>
      <c r="L230" s="946">
        <v>0</v>
      </c>
      <c r="M230" s="947"/>
      <c r="N230" s="946">
        <v>0</v>
      </c>
      <c r="P230" s="946">
        <v>0</v>
      </c>
      <c r="R230" s="946">
        <v>0</v>
      </c>
      <c r="S230" s="948">
        <v>0</v>
      </c>
      <c r="T230" s="946">
        <v>0</v>
      </c>
      <c r="V230" s="946">
        <v>442</v>
      </c>
      <c r="W230" s="946">
        <v>0</v>
      </c>
      <c r="X230" s="946">
        <v>148</v>
      </c>
      <c r="Y230" s="947"/>
      <c r="Z230" s="946">
        <v>2228</v>
      </c>
      <c r="AA230" s="948">
        <v>103247</v>
      </c>
      <c r="AB230" s="946">
        <v>103.247</v>
      </c>
      <c r="AC230" s="974">
        <v>4884.433</v>
      </c>
      <c r="AD230" s="946">
        <v>16288.707</v>
      </c>
      <c r="AE230" s="957">
        <v>0</v>
      </c>
      <c r="AG230" s="957">
        <v>0</v>
      </c>
      <c r="AH230" s="955">
        <v>0</v>
      </c>
      <c r="AI230" s="425">
        <v>1</v>
      </c>
      <c r="AJ230" s="957">
        <v>0</v>
      </c>
      <c r="AL230" s="939">
        <v>0</v>
      </c>
      <c r="AM230" s="939">
        <v>0</v>
      </c>
      <c r="AN230" s="950">
        <v>5.2198199999999995</v>
      </c>
      <c r="AO230" s="946">
        <v>9.8002953801808707E-2</v>
      </c>
      <c r="AP230" s="946">
        <v>98</v>
      </c>
      <c r="AQ230" s="953"/>
      <c r="AR230" s="950"/>
      <c r="AS230" s="950">
        <v>223.70099999999999</v>
      </c>
    </row>
    <row r="231" spans="1:45" x14ac:dyDescent="0.3">
      <c r="A231" s="642" t="s">
        <v>767</v>
      </c>
      <c r="B231" s="642" t="s">
        <v>768</v>
      </c>
      <c r="C231" s="642" t="s">
        <v>766</v>
      </c>
      <c r="D231" s="642" t="s">
        <v>125</v>
      </c>
      <c r="F231" s="946">
        <v>-12598</v>
      </c>
      <c r="H231" s="946">
        <v>0</v>
      </c>
      <c r="I231" s="939">
        <v>58517621</v>
      </c>
      <c r="J231" s="974">
        <v>58517.620999999999</v>
      </c>
      <c r="L231" s="946">
        <v>17731</v>
      </c>
      <c r="M231" s="947"/>
      <c r="N231" s="946">
        <v>0</v>
      </c>
      <c r="P231" s="946">
        <v>8543</v>
      </c>
      <c r="R231" s="946">
        <v>8646</v>
      </c>
      <c r="S231" s="948">
        <v>1827557</v>
      </c>
      <c r="T231" s="946">
        <v>1827.557</v>
      </c>
      <c r="V231" s="946">
        <v>337</v>
      </c>
      <c r="W231" s="946">
        <v>512</v>
      </c>
      <c r="X231" s="946">
        <v>3172</v>
      </c>
      <c r="Y231" s="947"/>
      <c r="Z231" s="946">
        <v>855</v>
      </c>
      <c r="AA231" s="948">
        <v>302739</v>
      </c>
      <c r="AB231" s="946">
        <v>302.73899999999998</v>
      </c>
      <c r="AC231" s="974">
        <v>31.994</v>
      </c>
      <c r="AD231" s="946">
        <v>63783.112000000001</v>
      </c>
      <c r="AE231" s="957">
        <v>0</v>
      </c>
      <c r="AG231" s="957">
        <v>0</v>
      </c>
      <c r="AH231" s="955">
        <v>0</v>
      </c>
      <c r="AI231" s="425">
        <v>1</v>
      </c>
      <c r="AJ231" s="957">
        <v>0</v>
      </c>
      <c r="AL231" s="939">
        <v>1</v>
      </c>
      <c r="AM231" s="939">
        <v>1</v>
      </c>
      <c r="AN231" s="950">
        <v>4066.0252700000001</v>
      </c>
      <c r="AO231" s="946">
        <v>0.30626081556497903</v>
      </c>
      <c r="AP231" s="946">
        <v>306</v>
      </c>
      <c r="AQ231" s="953"/>
      <c r="AR231" s="950"/>
      <c r="AS231" s="950">
        <v>646.93499999999995</v>
      </c>
    </row>
    <row r="232" spans="1:45" x14ac:dyDescent="0.3">
      <c r="A232" s="642" t="s">
        <v>770</v>
      </c>
      <c r="B232" s="642" t="s">
        <v>771</v>
      </c>
      <c r="C232" s="642" t="s">
        <v>769</v>
      </c>
      <c r="D232" s="642" t="s">
        <v>125</v>
      </c>
      <c r="F232" s="946">
        <v>-5801</v>
      </c>
      <c r="H232" s="946">
        <v>0</v>
      </c>
      <c r="I232" s="939">
        <v>160659653</v>
      </c>
      <c r="J232" s="974">
        <v>160659.65299999999</v>
      </c>
      <c r="L232" s="946">
        <v>12126</v>
      </c>
      <c r="M232" s="947"/>
      <c r="N232" s="946">
        <v>0</v>
      </c>
      <c r="P232" s="946">
        <v>7307</v>
      </c>
      <c r="R232" s="946">
        <v>6176</v>
      </c>
      <c r="S232" s="948">
        <v>661712</v>
      </c>
      <c r="T232" s="946">
        <v>661.71199999999999</v>
      </c>
      <c r="V232" s="946">
        <v>2023</v>
      </c>
      <c r="W232" s="946">
        <v>613</v>
      </c>
      <c r="X232" s="946">
        <v>3204</v>
      </c>
      <c r="Y232" s="947"/>
      <c r="Z232" s="946">
        <v>5997</v>
      </c>
      <c r="AA232" s="948">
        <v>305040</v>
      </c>
      <c r="AB232" s="946">
        <v>305.04000000000002</v>
      </c>
      <c r="AC232" s="974">
        <v>9857.4950000000008</v>
      </c>
      <c r="AD232" s="946">
        <v>147261.25</v>
      </c>
      <c r="AE232" s="957">
        <v>71370</v>
      </c>
      <c r="AG232" s="957">
        <v>6512</v>
      </c>
      <c r="AH232" s="955">
        <v>0</v>
      </c>
      <c r="AI232" s="425">
        <v>1</v>
      </c>
      <c r="AJ232" s="957">
        <v>0</v>
      </c>
      <c r="AL232" s="939">
        <v>1</v>
      </c>
      <c r="AM232" s="939">
        <v>1</v>
      </c>
      <c r="AN232" s="950">
        <v>18624.458999999999</v>
      </c>
      <c r="AO232" s="946">
        <v>0.36213079462829401</v>
      </c>
      <c r="AP232" s="946">
        <v>362</v>
      </c>
      <c r="AQ232" s="953"/>
      <c r="AR232" s="950"/>
      <c r="AS232" s="950">
        <v>755.36599999999999</v>
      </c>
    </row>
    <row r="233" spans="1:45" x14ac:dyDescent="0.3">
      <c r="A233" s="642" t="s">
        <v>773</v>
      </c>
      <c r="B233" s="642" t="s">
        <v>774</v>
      </c>
      <c r="C233" s="642" t="s">
        <v>772</v>
      </c>
      <c r="D233" s="642" t="s">
        <v>61</v>
      </c>
      <c r="F233" s="946">
        <v>0</v>
      </c>
      <c r="H233" s="946">
        <v>0</v>
      </c>
      <c r="I233" s="939">
        <v>0</v>
      </c>
      <c r="J233" s="974">
        <v>0</v>
      </c>
      <c r="L233" s="946">
        <v>0</v>
      </c>
      <c r="M233" s="947"/>
      <c r="N233" s="946">
        <v>0</v>
      </c>
      <c r="P233" s="946">
        <v>0</v>
      </c>
      <c r="R233" s="946">
        <v>0</v>
      </c>
      <c r="S233" s="948">
        <v>0</v>
      </c>
      <c r="T233" s="946">
        <v>0</v>
      </c>
      <c r="V233" s="946">
        <v>289</v>
      </c>
      <c r="W233" s="946">
        <v>0</v>
      </c>
      <c r="X233" s="946">
        <v>89</v>
      </c>
      <c r="Y233" s="947"/>
      <c r="Z233" s="946">
        <v>493</v>
      </c>
      <c r="AA233" s="948">
        <v>65909</v>
      </c>
      <c r="AB233" s="946">
        <v>65.909000000000006</v>
      </c>
      <c r="AC233" s="974">
        <v>376.75799999999998</v>
      </c>
      <c r="AD233" s="946">
        <v>8366.1380000000008</v>
      </c>
      <c r="AE233" s="957">
        <v>0</v>
      </c>
      <c r="AG233" s="957">
        <v>0</v>
      </c>
      <c r="AH233" s="955">
        <v>0</v>
      </c>
      <c r="AI233" s="425">
        <v>1</v>
      </c>
      <c r="AJ233" s="957">
        <v>0</v>
      </c>
      <c r="AL233" s="939">
        <v>0</v>
      </c>
      <c r="AM233" s="939">
        <v>0</v>
      </c>
      <c r="AN233" s="950">
        <v>2471.9499999999998</v>
      </c>
      <c r="AO233" s="946">
        <v>5.8840496979551897E-2</v>
      </c>
      <c r="AP233" s="946">
        <v>59</v>
      </c>
      <c r="AQ233" s="953"/>
      <c r="AR233" s="950"/>
      <c r="AS233" s="950">
        <v>152.55199999999999</v>
      </c>
    </row>
    <row r="234" spans="1:45" x14ac:dyDescent="0.3">
      <c r="A234" s="642" t="s">
        <v>776</v>
      </c>
      <c r="B234" s="642" t="s">
        <v>777</v>
      </c>
      <c r="C234" s="642" t="s">
        <v>775</v>
      </c>
      <c r="D234" s="642" t="s">
        <v>61</v>
      </c>
      <c r="F234" s="946">
        <v>-1</v>
      </c>
      <c r="H234" s="946">
        <v>0</v>
      </c>
      <c r="I234" s="939">
        <v>0</v>
      </c>
      <c r="J234" s="974">
        <v>0</v>
      </c>
      <c r="L234" s="946">
        <v>0</v>
      </c>
      <c r="M234" s="947"/>
      <c r="N234" s="946">
        <v>0</v>
      </c>
      <c r="P234" s="946">
        <v>0</v>
      </c>
      <c r="R234" s="946">
        <v>0</v>
      </c>
      <c r="S234" s="948">
        <v>0</v>
      </c>
      <c r="T234" s="946">
        <v>0</v>
      </c>
      <c r="V234" s="946">
        <v>632</v>
      </c>
      <c r="W234" s="946">
        <v>0</v>
      </c>
      <c r="X234" s="946">
        <v>276</v>
      </c>
      <c r="Y234" s="947"/>
      <c r="Z234" s="946">
        <v>366</v>
      </c>
      <c r="AA234" s="948">
        <v>141086</v>
      </c>
      <c r="AB234" s="946">
        <v>141.08600000000001</v>
      </c>
      <c r="AC234" s="974">
        <v>6987.1360000000004</v>
      </c>
      <c r="AD234" s="946">
        <v>20572.056</v>
      </c>
      <c r="AE234" s="957">
        <v>12969</v>
      </c>
      <c r="AG234" s="957">
        <v>1750</v>
      </c>
      <c r="AH234" s="955">
        <v>0</v>
      </c>
      <c r="AI234" s="425">
        <v>1</v>
      </c>
      <c r="AJ234" s="957">
        <v>0</v>
      </c>
      <c r="AL234" s="939">
        <v>0</v>
      </c>
      <c r="AM234" s="939">
        <v>0</v>
      </c>
      <c r="AN234" s="950">
        <v>4065.0524100000002</v>
      </c>
      <c r="AO234" s="946">
        <v>0.18286971047304201</v>
      </c>
      <c r="AP234" s="946">
        <v>183</v>
      </c>
      <c r="AQ234" s="953"/>
      <c r="AR234" s="950"/>
      <c r="AS234" s="950">
        <v>332.11200000000002</v>
      </c>
    </row>
    <row r="235" spans="1:45" x14ac:dyDescent="0.3">
      <c r="A235" s="642" t="s">
        <v>779</v>
      </c>
      <c r="B235" s="642" t="s">
        <v>780</v>
      </c>
      <c r="C235" s="642" t="s">
        <v>5438</v>
      </c>
      <c r="D235" s="642" t="s">
        <v>5418</v>
      </c>
      <c r="F235" s="946">
        <v>0</v>
      </c>
      <c r="H235" s="946">
        <v>0</v>
      </c>
      <c r="I235" s="939">
        <v>0</v>
      </c>
      <c r="J235" s="974">
        <v>0</v>
      </c>
      <c r="L235" s="946">
        <v>0</v>
      </c>
      <c r="M235" s="947"/>
      <c r="N235" s="946">
        <v>0</v>
      </c>
      <c r="P235" s="946">
        <v>0</v>
      </c>
      <c r="R235" s="946">
        <v>0</v>
      </c>
      <c r="S235" s="948">
        <v>0</v>
      </c>
      <c r="T235" s="946">
        <v>0</v>
      </c>
      <c r="V235" s="946">
        <v>0</v>
      </c>
      <c r="W235" s="946">
        <v>0</v>
      </c>
      <c r="X235" s="946">
        <v>0</v>
      </c>
      <c r="Y235" s="947"/>
      <c r="Z235" s="946">
        <v>0</v>
      </c>
      <c r="AA235" s="948">
        <v>0</v>
      </c>
      <c r="AB235" s="946">
        <v>0</v>
      </c>
      <c r="AC235" s="974">
        <v>0</v>
      </c>
      <c r="AD235" s="946">
        <v>0</v>
      </c>
      <c r="AE235" s="957">
        <v>0</v>
      </c>
      <c r="AG235" s="957">
        <v>70</v>
      </c>
      <c r="AH235" s="955">
        <v>0</v>
      </c>
      <c r="AI235" s="425">
        <v>0</v>
      </c>
      <c r="AJ235" s="957">
        <v>0</v>
      </c>
      <c r="AL235" s="939">
        <v>0</v>
      </c>
      <c r="AM235" s="939">
        <v>0</v>
      </c>
      <c r="AN235" s="950">
        <v>0</v>
      </c>
      <c r="AO235" s="946">
        <v>0</v>
      </c>
      <c r="AP235" s="946">
        <v>0</v>
      </c>
      <c r="AQ235" s="953"/>
      <c r="AR235" s="950"/>
      <c r="AS235" s="950">
        <v>0</v>
      </c>
    </row>
    <row r="236" spans="1:45" x14ac:dyDescent="0.3">
      <c r="A236" s="642" t="s">
        <v>782</v>
      </c>
      <c r="B236" s="642" t="s">
        <v>783</v>
      </c>
      <c r="C236" s="642" t="s">
        <v>781</v>
      </c>
      <c r="D236" s="642" t="s">
        <v>61</v>
      </c>
      <c r="F236" s="946">
        <v>-88</v>
      </c>
      <c r="H236" s="946">
        <v>0</v>
      </c>
      <c r="I236" s="939">
        <v>0</v>
      </c>
      <c r="J236" s="974">
        <v>0</v>
      </c>
      <c r="L236" s="946">
        <v>0</v>
      </c>
      <c r="M236" s="947"/>
      <c r="N236" s="946">
        <v>40</v>
      </c>
      <c r="P236" s="946">
        <v>0</v>
      </c>
      <c r="R236" s="946">
        <v>0</v>
      </c>
      <c r="S236" s="948">
        <v>0</v>
      </c>
      <c r="T236" s="946">
        <v>0</v>
      </c>
      <c r="V236" s="946">
        <v>233</v>
      </c>
      <c r="W236" s="946">
        <v>0</v>
      </c>
      <c r="X236" s="946">
        <v>254</v>
      </c>
      <c r="Y236" s="947"/>
      <c r="Z236" s="946">
        <v>1573</v>
      </c>
      <c r="AA236" s="948">
        <v>110921</v>
      </c>
      <c r="AB236" s="946">
        <v>110.92100000000001</v>
      </c>
      <c r="AC236" s="974">
        <v>3424.864</v>
      </c>
      <c r="AD236" s="946">
        <v>11070.9236</v>
      </c>
      <c r="AE236" s="957">
        <v>7293</v>
      </c>
      <c r="AG236" s="957">
        <v>4159</v>
      </c>
      <c r="AH236" s="955">
        <v>0</v>
      </c>
      <c r="AI236" s="425">
        <v>1</v>
      </c>
      <c r="AJ236" s="957">
        <v>0</v>
      </c>
      <c r="AL236" s="939">
        <v>0</v>
      </c>
      <c r="AM236" s="939">
        <v>0</v>
      </c>
      <c r="AN236" s="950">
        <v>2665.3112499999997</v>
      </c>
      <c r="AO236" s="946">
        <v>0.16824609177730099</v>
      </c>
      <c r="AP236" s="946">
        <v>168</v>
      </c>
      <c r="AQ236" s="953"/>
      <c r="AR236" s="950"/>
      <c r="AS236" s="950">
        <v>266.44499999999999</v>
      </c>
    </row>
    <row r="237" spans="1:45" x14ac:dyDescent="0.3">
      <c r="A237" s="939" t="s">
        <v>785</v>
      </c>
      <c r="B237" s="939" t="s">
        <v>786</v>
      </c>
      <c r="C237" s="939" t="s">
        <v>784</v>
      </c>
      <c r="D237" s="939" t="s">
        <v>97</v>
      </c>
      <c r="F237" s="946">
        <v>-27608</v>
      </c>
      <c r="H237" s="946">
        <v>0</v>
      </c>
      <c r="I237" s="939">
        <v>119456274</v>
      </c>
      <c r="J237" s="974">
        <v>119456.274</v>
      </c>
      <c r="L237" s="946">
        <v>24939</v>
      </c>
      <c r="M237" s="947"/>
      <c r="N237" s="946">
        <v>0</v>
      </c>
      <c r="P237" s="946">
        <v>16957</v>
      </c>
      <c r="R237" s="946">
        <v>16874</v>
      </c>
      <c r="S237" s="948">
        <v>1119806</v>
      </c>
      <c r="T237" s="946">
        <v>1119.806</v>
      </c>
      <c r="V237" s="946">
        <v>653</v>
      </c>
      <c r="W237" s="946">
        <v>1013</v>
      </c>
      <c r="X237" s="946">
        <v>6231</v>
      </c>
      <c r="Y237" s="947"/>
      <c r="Z237" s="946">
        <v>2460</v>
      </c>
      <c r="AA237" s="948">
        <v>759437</v>
      </c>
      <c r="AB237" s="946">
        <v>759.43700000000001</v>
      </c>
      <c r="AC237" s="974">
        <v>94.117000000000004</v>
      </c>
      <c r="AD237" s="946">
        <v>124072.13400000001</v>
      </c>
      <c r="AE237" s="957">
        <v>15491</v>
      </c>
      <c r="AG237" s="957">
        <v>0</v>
      </c>
      <c r="AH237" s="955">
        <v>0</v>
      </c>
      <c r="AI237" s="425">
        <v>1</v>
      </c>
      <c r="AJ237" s="957">
        <v>0</v>
      </c>
      <c r="AL237" s="939">
        <v>1</v>
      </c>
      <c r="AM237" s="939">
        <v>1</v>
      </c>
      <c r="AN237" s="950">
        <v>10366.591910000001</v>
      </c>
      <c r="AO237" s="946">
        <v>0.62820320465899404</v>
      </c>
      <c r="AP237" s="946">
        <v>628</v>
      </c>
      <c r="AQ237" s="953"/>
      <c r="AR237" s="950"/>
      <c r="AS237" s="950">
        <v>1225.9590000000001</v>
      </c>
    </row>
    <row r="238" spans="1:45" x14ac:dyDescent="0.3">
      <c r="A238" s="642" t="s">
        <v>788</v>
      </c>
      <c r="B238" s="642" t="s">
        <v>789</v>
      </c>
      <c r="C238" s="642" t="s">
        <v>787</v>
      </c>
      <c r="D238" s="642" t="s">
        <v>61</v>
      </c>
      <c r="F238" s="946">
        <v>-66</v>
      </c>
      <c r="H238" s="946">
        <v>0</v>
      </c>
      <c r="I238" s="939">
        <v>0</v>
      </c>
      <c r="J238" s="974">
        <v>0</v>
      </c>
      <c r="L238" s="946">
        <v>0</v>
      </c>
      <c r="M238" s="947"/>
      <c r="N238" s="946">
        <v>0</v>
      </c>
      <c r="P238" s="946">
        <v>0</v>
      </c>
      <c r="R238" s="946">
        <v>0</v>
      </c>
      <c r="S238" s="948">
        <v>0</v>
      </c>
      <c r="T238" s="946">
        <v>0</v>
      </c>
      <c r="V238" s="946">
        <v>192</v>
      </c>
      <c r="W238" s="946">
        <v>0</v>
      </c>
      <c r="X238" s="946">
        <v>258</v>
      </c>
      <c r="Y238" s="947"/>
      <c r="Z238" s="946">
        <v>523</v>
      </c>
      <c r="AA238" s="948">
        <v>135697</v>
      </c>
      <c r="AB238" s="946">
        <v>135.697</v>
      </c>
      <c r="AC238" s="974">
        <v>650.92999999999995</v>
      </c>
      <c r="AD238" s="946">
        <v>8570.25</v>
      </c>
      <c r="AE238" s="957">
        <v>0</v>
      </c>
      <c r="AG238" s="957">
        <v>0</v>
      </c>
      <c r="AH238" s="955">
        <v>-100</v>
      </c>
      <c r="AI238" s="425">
        <v>1</v>
      </c>
      <c r="AJ238" s="957">
        <v>-100</v>
      </c>
      <c r="AL238" s="939">
        <v>0</v>
      </c>
      <c r="AM238" s="939">
        <v>0</v>
      </c>
      <c r="AN238" s="950">
        <v>0</v>
      </c>
      <c r="AO238" s="946">
        <v>0.170912322750608</v>
      </c>
      <c r="AP238" s="946">
        <v>171</v>
      </c>
      <c r="AQ238" s="953"/>
      <c r="AR238" s="950"/>
      <c r="AS238" s="950">
        <v>291.55799999999999</v>
      </c>
    </row>
    <row r="239" spans="1:45" x14ac:dyDescent="0.3">
      <c r="A239" s="642" t="s">
        <v>791</v>
      </c>
      <c r="B239" s="642" t="s">
        <v>792</v>
      </c>
      <c r="C239" s="642" t="s">
        <v>790</v>
      </c>
      <c r="D239" s="642" t="s">
        <v>1940</v>
      </c>
      <c r="F239" s="946">
        <v>-38127</v>
      </c>
      <c r="H239" s="946">
        <v>0</v>
      </c>
      <c r="I239" s="939">
        <v>236703228</v>
      </c>
      <c r="J239" s="974">
        <v>236703.228</v>
      </c>
      <c r="L239" s="946">
        <v>32612</v>
      </c>
      <c r="M239" s="947"/>
      <c r="N239" s="946">
        <v>0</v>
      </c>
      <c r="P239" s="946">
        <v>17981</v>
      </c>
      <c r="R239" s="946">
        <v>17193</v>
      </c>
      <c r="S239" s="948">
        <v>585141</v>
      </c>
      <c r="T239" s="946">
        <v>585.14099999999996</v>
      </c>
      <c r="V239" s="946">
        <v>11432</v>
      </c>
      <c r="W239" s="946">
        <v>991</v>
      </c>
      <c r="X239" s="946">
        <v>7684</v>
      </c>
      <c r="Y239" s="947"/>
      <c r="Z239" s="946">
        <v>7753</v>
      </c>
      <c r="AA239" s="948">
        <v>601378</v>
      </c>
      <c r="AB239" s="946">
        <v>601.37800000000004</v>
      </c>
      <c r="AC239" s="974">
        <v>0</v>
      </c>
      <c r="AD239" s="946">
        <v>93061.900909999997</v>
      </c>
      <c r="AE239" s="957">
        <v>55453</v>
      </c>
      <c r="AG239" s="957">
        <v>250</v>
      </c>
      <c r="AH239" s="955">
        <v>0</v>
      </c>
      <c r="AI239" s="425">
        <v>1</v>
      </c>
      <c r="AJ239" s="957">
        <v>0</v>
      </c>
      <c r="AL239" s="939">
        <v>1</v>
      </c>
      <c r="AM239" s="939">
        <v>1</v>
      </c>
      <c r="AN239" s="950">
        <v>11213.44174</v>
      </c>
      <c r="AO239" s="946">
        <v>1.10135561119667</v>
      </c>
      <c r="AP239" s="946">
        <v>1101</v>
      </c>
      <c r="AQ239" s="953"/>
      <c r="AR239" s="950"/>
      <c r="AS239" s="950">
        <v>1493.4280000000001</v>
      </c>
    </row>
    <row r="240" spans="1:45" x14ac:dyDescent="0.3">
      <c r="A240" s="642" t="s">
        <v>794</v>
      </c>
      <c r="B240" s="642" t="s">
        <v>795</v>
      </c>
      <c r="C240" s="642" t="s">
        <v>793</v>
      </c>
      <c r="D240" s="642" t="s">
        <v>1942</v>
      </c>
      <c r="F240" s="946">
        <v>-40885</v>
      </c>
      <c r="H240" s="946">
        <v>0</v>
      </c>
      <c r="I240" s="939">
        <v>317422453</v>
      </c>
      <c r="J240" s="974">
        <v>317422.45299999998</v>
      </c>
      <c r="L240" s="946">
        <v>42261</v>
      </c>
      <c r="M240" s="947"/>
      <c r="N240" s="946">
        <v>4178</v>
      </c>
      <c r="P240" s="946">
        <v>41495</v>
      </c>
      <c r="R240" s="946">
        <v>39619</v>
      </c>
      <c r="S240" s="948">
        <v>1378730</v>
      </c>
      <c r="T240" s="946">
        <v>1378.73</v>
      </c>
      <c r="V240" s="946">
        <v>0</v>
      </c>
      <c r="W240" s="946">
        <v>2821</v>
      </c>
      <c r="X240" s="946">
        <v>10687</v>
      </c>
      <c r="Y240" s="947"/>
      <c r="Z240" s="946">
        <v>1833</v>
      </c>
      <c r="AA240" s="948">
        <v>0</v>
      </c>
      <c r="AB240" s="946">
        <v>0</v>
      </c>
      <c r="AC240" s="974">
        <v>0</v>
      </c>
      <c r="AD240" s="946">
        <v>462202.94</v>
      </c>
      <c r="AE240" s="957">
        <v>0</v>
      </c>
      <c r="AG240" s="957">
        <v>8</v>
      </c>
      <c r="AH240" s="955">
        <v>-1000</v>
      </c>
      <c r="AI240" s="425">
        <v>0</v>
      </c>
      <c r="AJ240" s="957">
        <v>-1000</v>
      </c>
      <c r="AL240" s="939">
        <v>1</v>
      </c>
      <c r="AM240" s="939">
        <v>1</v>
      </c>
      <c r="AN240" s="950">
        <v>29517.902840000002</v>
      </c>
      <c r="AO240" s="946">
        <v>0</v>
      </c>
      <c r="AP240" s="946">
        <v>0</v>
      </c>
      <c r="AQ240" s="953"/>
      <c r="AR240" s="950"/>
      <c r="AS240" s="950">
        <v>0</v>
      </c>
    </row>
    <row r="241" spans="1:45" x14ac:dyDescent="0.3">
      <c r="A241" s="642" t="s">
        <v>797</v>
      </c>
      <c r="B241" s="642" t="s">
        <v>798</v>
      </c>
      <c r="C241" s="642" t="s">
        <v>796</v>
      </c>
      <c r="D241" s="642" t="s">
        <v>71</v>
      </c>
      <c r="F241" s="946">
        <v>0</v>
      </c>
      <c r="H241" s="946">
        <v>-105602</v>
      </c>
      <c r="I241" s="939">
        <v>0</v>
      </c>
      <c r="J241" s="974">
        <v>0</v>
      </c>
      <c r="L241" s="946">
        <v>0</v>
      </c>
      <c r="M241" s="947"/>
      <c r="N241" s="946">
        <v>0</v>
      </c>
      <c r="P241" s="946">
        <v>0</v>
      </c>
      <c r="R241" s="946">
        <v>0</v>
      </c>
      <c r="S241" s="948">
        <v>0</v>
      </c>
      <c r="T241" s="946">
        <v>0</v>
      </c>
      <c r="V241" s="946">
        <v>0</v>
      </c>
      <c r="W241" s="946">
        <v>0</v>
      </c>
      <c r="X241" s="946">
        <v>0</v>
      </c>
      <c r="Y241" s="947"/>
      <c r="Z241" s="946">
        <v>0</v>
      </c>
      <c r="AA241" s="948">
        <v>0</v>
      </c>
      <c r="AB241" s="946">
        <v>0</v>
      </c>
      <c r="AC241" s="974">
        <v>0</v>
      </c>
      <c r="AD241" s="946">
        <v>87751.373999999996</v>
      </c>
      <c r="AE241" s="957">
        <v>0</v>
      </c>
      <c r="AG241" s="957">
        <v>4245</v>
      </c>
      <c r="AH241" s="955">
        <v>0</v>
      </c>
      <c r="AI241" s="425">
        <v>0</v>
      </c>
      <c r="AJ241" s="957">
        <v>0</v>
      </c>
      <c r="AL241" s="939">
        <v>0</v>
      </c>
      <c r="AM241" s="939">
        <v>0</v>
      </c>
      <c r="AN241" s="950">
        <v>1103.9370699999997</v>
      </c>
      <c r="AO241" s="946">
        <v>0</v>
      </c>
      <c r="AP241" s="946">
        <v>0</v>
      </c>
      <c r="AQ241" s="953"/>
      <c r="AR241" s="950"/>
      <c r="AS241" s="950">
        <v>0</v>
      </c>
    </row>
    <row r="242" spans="1:45" x14ac:dyDescent="0.3">
      <c r="A242" s="642" t="s">
        <v>800</v>
      </c>
      <c r="B242" s="642" t="s">
        <v>801</v>
      </c>
      <c r="C242" s="642" t="s">
        <v>799</v>
      </c>
      <c r="D242" s="642" t="s">
        <v>61</v>
      </c>
      <c r="F242" s="946">
        <v>-17</v>
      </c>
      <c r="H242" s="946">
        <v>0</v>
      </c>
      <c r="I242" s="939">
        <v>0</v>
      </c>
      <c r="J242" s="974">
        <v>0</v>
      </c>
      <c r="L242" s="946">
        <v>0</v>
      </c>
      <c r="M242" s="947"/>
      <c r="N242" s="946">
        <v>326</v>
      </c>
      <c r="P242" s="946">
        <v>0</v>
      </c>
      <c r="R242" s="946">
        <v>0</v>
      </c>
      <c r="S242" s="948">
        <v>0</v>
      </c>
      <c r="T242" s="946">
        <v>0</v>
      </c>
      <c r="V242" s="946">
        <v>406</v>
      </c>
      <c r="W242" s="946">
        <v>0</v>
      </c>
      <c r="X242" s="946">
        <v>206</v>
      </c>
      <c r="Y242" s="947"/>
      <c r="Z242" s="946">
        <v>1451</v>
      </c>
      <c r="AA242" s="948">
        <v>107631</v>
      </c>
      <c r="AB242" s="946">
        <v>107.631</v>
      </c>
      <c r="AC242" s="974">
        <v>2662.7179999999998</v>
      </c>
      <c r="AD242" s="946">
        <v>9557.768</v>
      </c>
      <c r="AE242" s="957">
        <v>0</v>
      </c>
      <c r="AG242" s="957">
        <v>941</v>
      </c>
      <c r="AH242" s="955">
        <v>0</v>
      </c>
      <c r="AI242" s="425">
        <v>1</v>
      </c>
      <c r="AJ242" s="957">
        <v>0</v>
      </c>
      <c r="AL242" s="939">
        <v>0</v>
      </c>
      <c r="AM242" s="939">
        <v>0</v>
      </c>
      <c r="AN242" s="950">
        <v>60.35</v>
      </c>
      <c r="AO242" s="946">
        <v>0.13681810027696301</v>
      </c>
      <c r="AP242" s="946">
        <v>137</v>
      </c>
      <c r="AQ242" s="953"/>
      <c r="AR242" s="950"/>
      <c r="AS242" s="950">
        <v>241.01300000000001</v>
      </c>
    </row>
    <row r="243" spans="1:45" x14ac:dyDescent="0.3">
      <c r="A243" s="642" t="s">
        <v>803</v>
      </c>
      <c r="B243" s="642" t="s">
        <v>804</v>
      </c>
      <c r="C243" s="642" t="s">
        <v>802</v>
      </c>
      <c r="D243" s="642" t="s">
        <v>1390</v>
      </c>
      <c r="F243" s="946">
        <v>0</v>
      </c>
      <c r="H243" s="946">
        <v>0</v>
      </c>
      <c r="I243" s="939">
        <v>0</v>
      </c>
      <c r="J243" s="974">
        <v>0</v>
      </c>
      <c r="L243" s="946">
        <v>0</v>
      </c>
      <c r="M243" s="947"/>
      <c r="N243" s="946">
        <v>0</v>
      </c>
      <c r="P243" s="946">
        <v>0</v>
      </c>
      <c r="R243" s="946">
        <v>0</v>
      </c>
      <c r="S243" s="948">
        <v>0</v>
      </c>
      <c r="T243" s="946">
        <v>0</v>
      </c>
      <c r="V243" s="946">
        <v>0</v>
      </c>
      <c r="W243" s="946">
        <v>0</v>
      </c>
      <c r="X243" s="946">
        <v>0</v>
      </c>
      <c r="Y243" s="947"/>
      <c r="Z243" s="946">
        <v>0</v>
      </c>
      <c r="AA243" s="948">
        <v>0</v>
      </c>
      <c r="AB243" s="946">
        <v>0</v>
      </c>
      <c r="AC243" s="974">
        <v>0</v>
      </c>
      <c r="AD243" s="946">
        <v>0</v>
      </c>
      <c r="AE243" s="957">
        <v>0</v>
      </c>
      <c r="AG243" s="957">
        <v>10036</v>
      </c>
      <c r="AH243" s="955">
        <v>0</v>
      </c>
      <c r="AI243" s="425">
        <v>0</v>
      </c>
      <c r="AJ243" s="957">
        <v>0</v>
      </c>
      <c r="AL243" s="939">
        <v>0</v>
      </c>
      <c r="AM243" s="939">
        <v>0</v>
      </c>
      <c r="AN243" s="950">
        <v>3303.7166699999998</v>
      </c>
      <c r="AO243" s="946">
        <v>0</v>
      </c>
      <c r="AP243" s="946">
        <v>0</v>
      </c>
      <c r="AQ243" s="953"/>
      <c r="AR243" s="950"/>
      <c r="AS243" s="950">
        <v>0</v>
      </c>
    </row>
    <row r="244" spans="1:45" x14ac:dyDescent="0.3">
      <c r="A244" s="642" t="s">
        <v>806</v>
      </c>
      <c r="B244" s="642" t="s">
        <v>807</v>
      </c>
      <c r="C244" s="642" t="s">
        <v>805</v>
      </c>
      <c r="D244" s="642" t="s">
        <v>61</v>
      </c>
      <c r="F244" s="946">
        <v>0</v>
      </c>
      <c r="H244" s="946">
        <v>0</v>
      </c>
      <c r="I244" s="939">
        <v>0</v>
      </c>
      <c r="J244" s="974">
        <v>0</v>
      </c>
      <c r="L244" s="946">
        <v>0</v>
      </c>
      <c r="M244" s="947"/>
      <c r="N244" s="946">
        <v>0</v>
      </c>
      <c r="P244" s="946">
        <v>0</v>
      </c>
      <c r="R244" s="946">
        <v>0</v>
      </c>
      <c r="S244" s="948">
        <v>0</v>
      </c>
      <c r="T244" s="946">
        <v>0</v>
      </c>
      <c r="V244" s="946">
        <v>147</v>
      </c>
      <c r="W244" s="946">
        <v>0</v>
      </c>
      <c r="X244" s="946">
        <v>193</v>
      </c>
      <c r="Y244" s="947"/>
      <c r="Z244" s="946">
        <v>720</v>
      </c>
      <c r="AA244" s="948">
        <v>111806</v>
      </c>
      <c r="AB244" s="946">
        <v>111.806</v>
      </c>
      <c r="AC244" s="974">
        <v>3467.4589999999998</v>
      </c>
      <c r="AD244" s="946">
        <v>9830.0820000000003</v>
      </c>
      <c r="AE244" s="957">
        <v>35356</v>
      </c>
      <c r="AG244" s="957">
        <v>0</v>
      </c>
      <c r="AH244" s="955">
        <v>0</v>
      </c>
      <c r="AI244" s="425">
        <v>1</v>
      </c>
      <c r="AJ244" s="957">
        <v>0</v>
      </c>
      <c r="AL244" s="939">
        <v>0</v>
      </c>
      <c r="AM244" s="939">
        <v>0</v>
      </c>
      <c r="AN244" s="950">
        <v>5188.3540300000004</v>
      </c>
      <c r="AO244" s="946">
        <v>0.12817970720289301</v>
      </c>
      <c r="AP244" s="946">
        <v>128</v>
      </c>
      <c r="AQ244" s="953"/>
      <c r="AR244" s="950"/>
      <c r="AS244" s="950">
        <v>250.255</v>
      </c>
    </row>
    <row r="245" spans="1:45" x14ac:dyDescent="0.3">
      <c r="A245" s="642" t="s">
        <v>809</v>
      </c>
      <c r="B245" s="642" t="s">
        <v>810</v>
      </c>
      <c r="C245" s="642" t="s">
        <v>808</v>
      </c>
      <c r="D245" s="642" t="s">
        <v>125</v>
      </c>
      <c r="F245" s="946">
        <v>-9477</v>
      </c>
      <c r="H245" s="946">
        <v>0</v>
      </c>
      <c r="I245" s="939">
        <v>41433060</v>
      </c>
      <c r="J245" s="974">
        <v>41433.06</v>
      </c>
      <c r="L245" s="946">
        <v>11887</v>
      </c>
      <c r="M245" s="947"/>
      <c r="N245" s="946">
        <v>0</v>
      </c>
      <c r="P245" s="946">
        <v>8226</v>
      </c>
      <c r="R245" s="946">
        <v>8059</v>
      </c>
      <c r="S245" s="948">
        <v>171948</v>
      </c>
      <c r="T245" s="946">
        <v>171.94800000000001</v>
      </c>
      <c r="V245" s="946">
        <v>399</v>
      </c>
      <c r="W245" s="946">
        <v>526</v>
      </c>
      <c r="X245" s="946">
        <v>2739</v>
      </c>
      <c r="Y245" s="947"/>
      <c r="Z245" s="946">
        <v>837</v>
      </c>
      <c r="AA245" s="948">
        <v>213670</v>
      </c>
      <c r="AB245" s="946">
        <v>213.67</v>
      </c>
      <c r="AC245" s="974">
        <v>783.16800000000001</v>
      </c>
      <c r="AD245" s="946">
        <v>78531.328999999998</v>
      </c>
      <c r="AE245" s="957">
        <v>0</v>
      </c>
      <c r="AG245" s="957">
        <v>0</v>
      </c>
      <c r="AH245" s="955">
        <v>0</v>
      </c>
      <c r="AI245" s="425">
        <v>1</v>
      </c>
      <c r="AJ245" s="957">
        <v>0</v>
      </c>
      <c r="AL245" s="939">
        <v>1</v>
      </c>
      <c r="AM245" s="939">
        <v>1</v>
      </c>
      <c r="AN245" s="950">
        <v>2648.3005499999999</v>
      </c>
      <c r="AO245" s="946">
        <v>0.27603932970544398</v>
      </c>
      <c r="AP245" s="946">
        <v>276</v>
      </c>
      <c r="AQ245" s="953"/>
      <c r="AR245" s="950"/>
      <c r="AS245" s="950">
        <v>544.96</v>
      </c>
    </row>
    <row r="246" spans="1:45" x14ac:dyDescent="0.3">
      <c r="A246" s="642" t="s">
        <v>812</v>
      </c>
      <c r="B246" s="642" t="s">
        <v>813</v>
      </c>
      <c r="C246" s="642" t="s">
        <v>811</v>
      </c>
      <c r="D246" s="642" t="s">
        <v>61</v>
      </c>
      <c r="F246" s="946">
        <v>0</v>
      </c>
      <c r="H246" s="946">
        <v>0</v>
      </c>
      <c r="I246" s="939">
        <v>0</v>
      </c>
      <c r="J246" s="974">
        <v>0</v>
      </c>
      <c r="L246" s="946">
        <v>0</v>
      </c>
      <c r="M246" s="947"/>
      <c r="N246" s="946">
        <v>0</v>
      </c>
      <c r="P246" s="946">
        <v>0</v>
      </c>
      <c r="R246" s="946">
        <v>0</v>
      </c>
      <c r="S246" s="948">
        <v>0</v>
      </c>
      <c r="T246" s="946">
        <v>0</v>
      </c>
      <c r="V246" s="946">
        <v>350</v>
      </c>
      <c r="W246" s="946">
        <v>0</v>
      </c>
      <c r="X246" s="946">
        <v>188</v>
      </c>
      <c r="Y246" s="947"/>
      <c r="Z246" s="946">
        <v>295</v>
      </c>
      <c r="AA246" s="948">
        <v>131970</v>
      </c>
      <c r="AB246" s="946">
        <v>131.97</v>
      </c>
      <c r="AC246" s="974">
        <v>1277.296</v>
      </c>
      <c r="AD246" s="946">
        <v>13525.166999999999</v>
      </c>
      <c r="AE246" s="957">
        <v>0</v>
      </c>
      <c r="AG246" s="957">
        <v>0</v>
      </c>
      <c r="AH246" s="955">
        <v>0</v>
      </c>
      <c r="AI246" s="425">
        <v>1</v>
      </c>
      <c r="AJ246" s="957">
        <v>0</v>
      </c>
      <c r="AL246" s="939">
        <v>0</v>
      </c>
      <c r="AM246" s="939">
        <v>0</v>
      </c>
      <c r="AN246" s="950">
        <v>38.753519999999995</v>
      </c>
      <c r="AO246" s="946">
        <v>0.12470464446400099</v>
      </c>
      <c r="AP246" s="946">
        <v>125</v>
      </c>
      <c r="AQ246" s="953"/>
      <c r="AR246" s="950"/>
      <c r="AS246" s="950">
        <v>268.26799999999997</v>
      </c>
    </row>
    <row r="247" spans="1:45" x14ac:dyDescent="0.3">
      <c r="A247" s="642" t="s">
        <v>815</v>
      </c>
      <c r="B247" s="642" t="s">
        <v>816</v>
      </c>
      <c r="C247" s="642" t="s">
        <v>814</v>
      </c>
      <c r="D247" s="642" t="s">
        <v>61</v>
      </c>
      <c r="F247" s="946">
        <v>0</v>
      </c>
      <c r="H247" s="946">
        <v>0</v>
      </c>
      <c r="I247" s="939">
        <v>0</v>
      </c>
      <c r="J247" s="974">
        <v>0</v>
      </c>
      <c r="L247" s="946">
        <v>0</v>
      </c>
      <c r="M247" s="947"/>
      <c r="N247" s="946">
        <v>377</v>
      </c>
      <c r="P247" s="946">
        <v>0</v>
      </c>
      <c r="R247" s="946">
        <v>0</v>
      </c>
      <c r="S247" s="948">
        <v>0</v>
      </c>
      <c r="T247" s="946">
        <v>0</v>
      </c>
      <c r="V247" s="946">
        <v>235</v>
      </c>
      <c r="W247" s="946">
        <v>0</v>
      </c>
      <c r="X247" s="946">
        <v>215</v>
      </c>
      <c r="Y247" s="947"/>
      <c r="Z247" s="946">
        <v>1000</v>
      </c>
      <c r="AA247" s="948">
        <v>90552</v>
      </c>
      <c r="AB247" s="946">
        <v>90.552000000000007</v>
      </c>
      <c r="AC247" s="974">
        <v>3911.9690000000001</v>
      </c>
      <c r="AD247" s="946">
        <v>10788.8</v>
      </c>
      <c r="AE247" s="957">
        <v>750</v>
      </c>
      <c r="AG247" s="957">
        <v>4974</v>
      </c>
      <c r="AH247" s="955">
        <v>0</v>
      </c>
      <c r="AI247" s="425">
        <v>1</v>
      </c>
      <c r="AJ247" s="957">
        <v>0</v>
      </c>
      <c r="AL247" s="939">
        <v>0</v>
      </c>
      <c r="AM247" s="939">
        <v>0</v>
      </c>
      <c r="AN247" s="950">
        <v>2572.4184799999998</v>
      </c>
      <c r="AO247" s="946">
        <v>0.142443917688376</v>
      </c>
      <c r="AP247" s="946">
        <v>142</v>
      </c>
      <c r="AQ247" s="953"/>
      <c r="AR247" s="950"/>
      <c r="AS247" s="950">
        <v>191.00299999999999</v>
      </c>
    </row>
    <row r="248" spans="1:45" x14ac:dyDescent="0.3">
      <c r="A248" s="642" t="s">
        <v>818</v>
      </c>
      <c r="B248" s="642" t="s">
        <v>819</v>
      </c>
      <c r="C248" s="642" t="s">
        <v>817</v>
      </c>
      <c r="D248" s="642" t="s">
        <v>125</v>
      </c>
      <c r="F248" s="946">
        <v>-6426</v>
      </c>
      <c r="H248" s="946">
        <v>0</v>
      </c>
      <c r="I248" s="939">
        <v>96149641</v>
      </c>
      <c r="J248" s="974">
        <v>96149.641000000003</v>
      </c>
      <c r="L248" s="946">
        <v>9700</v>
      </c>
      <c r="M248" s="947"/>
      <c r="N248" s="946">
        <v>216</v>
      </c>
      <c r="P248" s="946">
        <v>7614</v>
      </c>
      <c r="R248" s="946">
        <v>7238</v>
      </c>
      <c r="S248" s="948">
        <v>543518</v>
      </c>
      <c r="T248" s="946">
        <v>543.51800000000003</v>
      </c>
      <c r="V248" s="946">
        <v>354</v>
      </c>
      <c r="W248" s="946">
        <v>514</v>
      </c>
      <c r="X248" s="946">
        <v>2287</v>
      </c>
      <c r="Y248" s="947"/>
      <c r="Z248" s="946">
        <v>673</v>
      </c>
      <c r="AA248" s="948">
        <v>174342</v>
      </c>
      <c r="AB248" s="946">
        <v>174.34200000000001</v>
      </c>
      <c r="AC248" s="974">
        <v>1700.68851</v>
      </c>
      <c r="AD248" s="946">
        <v>84335.487469999993</v>
      </c>
      <c r="AE248" s="957">
        <v>0</v>
      </c>
      <c r="AG248" s="957">
        <v>0</v>
      </c>
      <c r="AH248" s="955">
        <v>-197</v>
      </c>
      <c r="AI248" s="425">
        <v>1</v>
      </c>
      <c r="AJ248" s="957">
        <v>-695</v>
      </c>
      <c r="AL248" s="939">
        <v>1</v>
      </c>
      <c r="AM248" s="939">
        <v>1</v>
      </c>
      <c r="AN248" s="950">
        <v>5652.4281700000001</v>
      </c>
      <c r="AO248" s="946">
        <v>0.27110720199139898</v>
      </c>
      <c r="AP248" s="946">
        <v>271</v>
      </c>
      <c r="AQ248" s="953"/>
      <c r="AR248" s="950"/>
      <c r="AS248" s="950">
        <v>441.94799999999998</v>
      </c>
    </row>
    <row r="249" spans="1:45" x14ac:dyDescent="0.3">
      <c r="A249" s="642" t="s">
        <v>821</v>
      </c>
      <c r="B249" s="642" t="s">
        <v>822</v>
      </c>
      <c r="C249" s="642" t="s">
        <v>820</v>
      </c>
      <c r="D249" s="642" t="s">
        <v>5425</v>
      </c>
      <c r="F249" s="946">
        <v>0</v>
      </c>
      <c r="H249" s="946">
        <v>0</v>
      </c>
      <c r="I249" s="939">
        <v>0</v>
      </c>
      <c r="J249" s="974">
        <v>0</v>
      </c>
      <c r="L249" s="946">
        <v>0</v>
      </c>
      <c r="M249" s="947"/>
      <c r="N249" s="946">
        <v>0</v>
      </c>
      <c r="P249" s="946">
        <v>0</v>
      </c>
      <c r="R249" s="946">
        <v>0</v>
      </c>
      <c r="S249" s="948">
        <v>0</v>
      </c>
      <c r="T249" s="946">
        <v>0</v>
      </c>
      <c r="V249" s="946">
        <v>0</v>
      </c>
      <c r="W249" s="946">
        <v>0</v>
      </c>
      <c r="X249" s="946">
        <v>0</v>
      </c>
      <c r="Y249" s="947"/>
      <c r="Z249" s="946">
        <v>0</v>
      </c>
      <c r="AA249" s="948">
        <v>0</v>
      </c>
      <c r="AB249" s="946">
        <v>0</v>
      </c>
      <c r="AC249" s="974">
        <v>0</v>
      </c>
      <c r="AD249" s="946">
        <v>0</v>
      </c>
      <c r="AE249" s="957">
        <v>0</v>
      </c>
      <c r="AG249" s="957">
        <v>0</v>
      </c>
      <c r="AH249" s="955">
        <v>0</v>
      </c>
      <c r="AI249" s="425">
        <v>0</v>
      </c>
      <c r="AJ249" s="957">
        <v>0</v>
      </c>
      <c r="AL249" s="939">
        <v>0</v>
      </c>
      <c r="AM249" s="939">
        <v>0</v>
      </c>
      <c r="AN249" s="950">
        <v>15724.1</v>
      </c>
      <c r="AO249" s="946">
        <v>0</v>
      </c>
      <c r="AP249" s="946">
        <v>0</v>
      </c>
      <c r="AQ249" s="953"/>
      <c r="AR249" s="950"/>
      <c r="AS249" s="950">
        <v>0</v>
      </c>
    </row>
    <row r="250" spans="1:45" x14ac:dyDescent="0.3">
      <c r="A250" s="642" t="s">
        <v>824</v>
      </c>
      <c r="B250" s="642" t="s">
        <v>825</v>
      </c>
      <c r="C250" s="642" t="s">
        <v>823</v>
      </c>
      <c r="D250" s="642" t="s">
        <v>61</v>
      </c>
      <c r="F250" s="946">
        <v>-94</v>
      </c>
      <c r="H250" s="946">
        <v>0</v>
      </c>
      <c r="I250" s="939">
        <v>0</v>
      </c>
      <c r="J250" s="974">
        <v>0</v>
      </c>
      <c r="L250" s="946">
        <v>0</v>
      </c>
      <c r="M250" s="947"/>
      <c r="N250" s="946">
        <v>508</v>
      </c>
      <c r="P250" s="946">
        <v>0</v>
      </c>
      <c r="R250" s="946">
        <v>0</v>
      </c>
      <c r="S250" s="948">
        <v>0</v>
      </c>
      <c r="T250" s="946">
        <v>0</v>
      </c>
      <c r="V250" s="946">
        <v>317</v>
      </c>
      <c r="W250" s="946">
        <v>0</v>
      </c>
      <c r="X250" s="946">
        <v>222</v>
      </c>
      <c r="Y250" s="947"/>
      <c r="Z250" s="946">
        <v>887</v>
      </c>
      <c r="AA250" s="948">
        <v>136747</v>
      </c>
      <c r="AB250" s="946">
        <v>136.74700000000001</v>
      </c>
      <c r="AC250" s="974">
        <v>2724.8719999999998</v>
      </c>
      <c r="AD250" s="946">
        <v>9235.3619999999992</v>
      </c>
      <c r="AE250" s="957" t="s">
        <v>5589</v>
      </c>
      <c r="AG250" s="957">
        <v>1736</v>
      </c>
      <c r="AH250" s="955">
        <v>0</v>
      </c>
      <c r="AI250" s="425">
        <v>1</v>
      </c>
      <c r="AJ250" s="957">
        <v>0</v>
      </c>
      <c r="AL250" s="939">
        <v>0</v>
      </c>
      <c r="AM250" s="939">
        <v>0</v>
      </c>
      <c r="AN250" s="950">
        <v>0</v>
      </c>
      <c r="AO250" s="946">
        <v>0.147545005603197</v>
      </c>
      <c r="AP250" s="946">
        <v>148</v>
      </c>
      <c r="AQ250" s="953"/>
      <c r="AR250" s="950"/>
      <c r="AS250" s="950">
        <v>241.22800000000001</v>
      </c>
    </row>
    <row r="251" spans="1:45" x14ac:dyDescent="0.3">
      <c r="A251" s="642" t="s">
        <v>827</v>
      </c>
      <c r="B251" s="642" t="s">
        <v>828</v>
      </c>
      <c r="C251" s="642" t="s">
        <v>826</v>
      </c>
      <c r="D251" s="642" t="s">
        <v>125</v>
      </c>
      <c r="F251" s="946">
        <v>-4909</v>
      </c>
      <c r="H251" s="946">
        <v>0</v>
      </c>
      <c r="I251" s="939">
        <v>114691961</v>
      </c>
      <c r="J251" s="974">
        <v>114691.961</v>
      </c>
      <c r="L251" s="946">
        <v>18070</v>
      </c>
      <c r="M251" s="947"/>
      <c r="N251" s="946">
        <v>35</v>
      </c>
      <c r="P251" s="946">
        <v>11427</v>
      </c>
      <c r="R251" s="946">
        <v>11523</v>
      </c>
      <c r="S251" s="948">
        <v>358847.01</v>
      </c>
      <c r="T251" s="946">
        <v>358.84701000000001</v>
      </c>
      <c r="V251" s="946">
        <v>1019</v>
      </c>
      <c r="W251" s="946">
        <v>852</v>
      </c>
      <c r="X251" s="946">
        <v>3914</v>
      </c>
      <c r="Y251" s="947"/>
      <c r="Z251" s="946">
        <v>4070</v>
      </c>
      <c r="AA251" s="948">
        <v>290191</v>
      </c>
      <c r="AB251" s="946">
        <v>290.19099999999997</v>
      </c>
      <c r="AC251" s="974">
        <v>6797.723</v>
      </c>
      <c r="AD251" s="946">
        <v>185268.837</v>
      </c>
      <c r="AE251" s="957">
        <v>2597</v>
      </c>
      <c r="AG251" s="957">
        <v>0</v>
      </c>
      <c r="AH251" s="955">
        <v>0</v>
      </c>
      <c r="AI251" s="425">
        <v>1</v>
      </c>
      <c r="AJ251" s="957">
        <v>0</v>
      </c>
      <c r="AL251" s="939">
        <v>1</v>
      </c>
      <c r="AM251" s="939">
        <v>1</v>
      </c>
      <c r="AN251" s="950">
        <v>5990.2524899999989</v>
      </c>
      <c r="AO251" s="946">
        <v>0.43319150808705997</v>
      </c>
      <c r="AP251" s="946">
        <v>433</v>
      </c>
      <c r="AQ251" s="953"/>
      <c r="AR251" s="950"/>
      <c r="AS251" s="950">
        <v>777.68899999999996</v>
      </c>
    </row>
    <row r="252" spans="1:45" x14ac:dyDescent="0.3">
      <c r="A252" s="642" t="s">
        <v>830</v>
      </c>
      <c r="B252" s="642" t="s">
        <v>831</v>
      </c>
      <c r="C252" s="642" t="s">
        <v>829</v>
      </c>
      <c r="D252" s="642" t="s">
        <v>1390</v>
      </c>
      <c r="F252" s="946">
        <v>0</v>
      </c>
      <c r="H252" s="946">
        <v>0</v>
      </c>
      <c r="I252" s="939">
        <v>0</v>
      </c>
      <c r="J252" s="974">
        <v>0</v>
      </c>
      <c r="L252" s="946">
        <v>0</v>
      </c>
      <c r="M252" s="947"/>
      <c r="N252" s="946">
        <v>0</v>
      </c>
      <c r="P252" s="946">
        <v>0</v>
      </c>
      <c r="R252" s="946">
        <v>0</v>
      </c>
      <c r="S252" s="948">
        <v>0</v>
      </c>
      <c r="T252" s="946">
        <v>0</v>
      </c>
      <c r="V252" s="946">
        <v>0</v>
      </c>
      <c r="W252" s="946">
        <v>0</v>
      </c>
      <c r="X252" s="946">
        <v>0</v>
      </c>
      <c r="Y252" s="947"/>
      <c r="Z252" s="946">
        <v>0</v>
      </c>
      <c r="AA252" s="948">
        <v>0</v>
      </c>
      <c r="AB252" s="946">
        <v>0</v>
      </c>
      <c r="AC252" s="974">
        <v>0</v>
      </c>
      <c r="AD252" s="946">
        <v>0</v>
      </c>
      <c r="AE252" s="957">
        <v>0</v>
      </c>
      <c r="AG252" s="957">
        <v>0</v>
      </c>
      <c r="AH252" s="955">
        <v>0</v>
      </c>
      <c r="AI252" s="425">
        <v>0</v>
      </c>
      <c r="AJ252" s="957">
        <v>0</v>
      </c>
      <c r="AL252" s="939">
        <v>0</v>
      </c>
      <c r="AM252" s="939">
        <v>0</v>
      </c>
      <c r="AN252" s="950">
        <v>0</v>
      </c>
      <c r="AO252" s="946">
        <v>0</v>
      </c>
      <c r="AP252" s="946">
        <v>0</v>
      </c>
      <c r="AQ252" s="953"/>
      <c r="AR252" s="950"/>
      <c r="AS252" s="950">
        <v>0</v>
      </c>
    </row>
    <row r="253" spans="1:45" x14ac:dyDescent="0.3">
      <c r="A253" s="642" t="s">
        <v>833</v>
      </c>
      <c r="B253" s="642" t="s">
        <v>834</v>
      </c>
      <c r="C253" s="642" t="s">
        <v>832</v>
      </c>
      <c r="D253" s="642" t="s">
        <v>125</v>
      </c>
      <c r="F253" s="946">
        <v>-2250</v>
      </c>
      <c r="H253" s="946">
        <v>0</v>
      </c>
      <c r="I253" s="939">
        <v>49586057</v>
      </c>
      <c r="J253" s="974">
        <v>49586.057000000001</v>
      </c>
      <c r="L253" s="946">
        <v>9879</v>
      </c>
      <c r="M253" s="947"/>
      <c r="N253" s="946">
        <v>0</v>
      </c>
      <c r="P253" s="946">
        <v>8095</v>
      </c>
      <c r="R253" s="946">
        <v>6986</v>
      </c>
      <c r="S253" s="948">
        <v>344310</v>
      </c>
      <c r="T253" s="946">
        <v>344.31</v>
      </c>
      <c r="V253" s="946">
        <v>579</v>
      </c>
      <c r="W253" s="946">
        <v>624</v>
      </c>
      <c r="X253" s="946">
        <v>2191</v>
      </c>
      <c r="Y253" s="947"/>
      <c r="Z253" s="946">
        <v>2047</v>
      </c>
      <c r="AA253" s="948">
        <v>210309</v>
      </c>
      <c r="AB253" s="946">
        <v>210.309</v>
      </c>
      <c r="AC253" s="974">
        <v>6384.3389999999999</v>
      </c>
      <c r="AD253" s="946">
        <v>130273.277</v>
      </c>
      <c r="AE253" s="957">
        <v>0</v>
      </c>
      <c r="AG253" s="957">
        <v>0</v>
      </c>
      <c r="AH253" s="955">
        <v>0</v>
      </c>
      <c r="AI253" s="425">
        <v>1</v>
      </c>
      <c r="AJ253" s="957">
        <v>0</v>
      </c>
      <c r="AL253" s="939">
        <v>1</v>
      </c>
      <c r="AM253" s="939">
        <v>1</v>
      </c>
      <c r="AN253" s="950">
        <v>5563.8954999999996</v>
      </c>
      <c r="AO253" s="946">
        <v>0.22858829383211501</v>
      </c>
      <c r="AP253" s="946">
        <v>229</v>
      </c>
      <c r="AQ253" s="953"/>
      <c r="AR253" s="950"/>
      <c r="AS253" s="950">
        <v>522.92600000000004</v>
      </c>
    </row>
    <row r="254" spans="1:45" x14ac:dyDescent="0.3">
      <c r="A254" s="642" t="s">
        <v>836</v>
      </c>
      <c r="B254" s="642" t="s">
        <v>837</v>
      </c>
      <c r="C254" s="642" t="s">
        <v>835</v>
      </c>
      <c r="D254" s="642" t="s">
        <v>97</v>
      </c>
      <c r="F254" s="946">
        <v>-11797</v>
      </c>
      <c r="H254" s="946">
        <v>0</v>
      </c>
      <c r="I254" s="939">
        <v>159241698</v>
      </c>
      <c r="J254" s="974">
        <v>159241.698</v>
      </c>
      <c r="L254" s="946">
        <v>12970</v>
      </c>
      <c r="M254" s="947"/>
      <c r="N254" s="946">
        <v>0</v>
      </c>
      <c r="P254" s="946">
        <v>10480</v>
      </c>
      <c r="R254" s="946">
        <v>9579</v>
      </c>
      <c r="S254" s="948">
        <v>612042</v>
      </c>
      <c r="T254" s="946">
        <v>612.04200000000003</v>
      </c>
      <c r="V254" s="946">
        <v>386</v>
      </c>
      <c r="W254" s="946">
        <v>696</v>
      </c>
      <c r="X254" s="946">
        <v>3330</v>
      </c>
      <c r="Y254" s="947"/>
      <c r="Z254" s="946">
        <v>1700</v>
      </c>
      <c r="AA254" s="948">
        <v>285431</v>
      </c>
      <c r="AB254" s="946">
        <v>285.43099999999998</v>
      </c>
      <c r="AC254" s="974">
        <v>0</v>
      </c>
      <c r="AD254" s="946">
        <v>109720.306</v>
      </c>
      <c r="AE254" s="957">
        <v>7802</v>
      </c>
      <c r="AG254" s="957">
        <v>0</v>
      </c>
      <c r="AH254" s="955">
        <v>0</v>
      </c>
      <c r="AI254" s="425">
        <v>1</v>
      </c>
      <c r="AJ254" s="957">
        <v>0</v>
      </c>
      <c r="AL254" s="939">
        <v>1</v>
      </c>
      <c r="AM254" s="939">
        <v>1</v>
      </c>
      <c r="AN254" s="950">
        <v>13455.662679999999</v>
      </c>
      <c r="AO254" s="946">
        <v>0.31850254111341397</v>
      </c>
      <c r="AP254" s="946">
        <v>319</v>
      </c>
      <c r="AQ254" s="953"/>
      <c r="AR254" s="950"/>
      <c r="AS254" s="950">
        <v>695.529</v>
      </c>
    </row>
    <row r="255" spans="1:45" x14ac:dyDescent="0.3">
      <c r="A255" s="642" t="s">
        <v>839</v>
      </c>
      <c r="B255" s="642" t="s">
        <v>840</v>
      </c>
      <c r="C255" s="642" t="s">
        <v>838</v>
      </c>
      <c r="D255" s="642" t="s">
        <v>61</v>
      </c>
      <c r="F255" s="946">
        <v>0</v>
      </c>
      <c r="H255" s="946">
        <v>0</v>
      </c>
      <c r="I255" s="939">
        <v>0</v>
      </c>
      <c r="J255" s="974">
        <v>0</v>
      </c>
      <c r="L255" s="946">
        <v>0</v>
      </c>
      <c r="M255" s="947"/>
      <c r="N255" s="946">
        <v>0</v>
      </c>
      <c r="P255" s="946">
        <v>0</v>
      </c>
      <c r="R255" s="946">
        <v>0</v>
      </c>
      <c r="S255" s="948">
        <v>0</v>
      </c>
      <c r="T255" s="946">
        <v>0</v>
      </c>
      <c r="V255" s="946">
        <v>167</v>
      </c>
      <c r="W255" s="946">
        <v>0</v>
      </c>
      <c r="X255" s="946">
        <v>132</v>
      </c>
      <c r="Y255" s="947"/>
      <c r="Z255" s="946">
        <v>723</v>
      </c>
      <c r="AA255" s="948">
        <v>72552</v>
      </c>
      <c r="AB255" s="946">
        <v>72.552000000000007</v>
      </c>
      <c r="AC255" s="974">
        <v>1130.857</v>
      </c>
      <c r="AD255" s="946">
        <v>5914.8469999999998</v>
      </c>
      <c r="AE255" s="957">
        <v>2133</v>
      </c>
      <c r="AG255" s="957">
        <v>23</v>
      </c>
      <c r="AH255" s="955">
        <v>0</v>
      </c>
      <c r="AI255" s="425">
        <v>1</v>
      </c>
      <c r="AJ255" s="957">
        <v>0</v>
      </c>
      <c r="AL255" s="939">
        <v>0</v>
      </c>
      <c r="AM255" s="939">
        <v>0</v>
      </c>
      <c r="AN255" s="950">
        <v>1406.2056</v>
      </c>
      <c r="AO255" s="946">
        <v>8.7910345610779705E-2</v>
      </c>
      <c r="AP255" s="946">
        <v>88</v>
      </c>
      <c r="AQ255" s="953"/>
      <c r="AR255" s="950"/>
      <c r="AS255" s="950">
        <v>134.756</v>
      </c>
    </row>
    <row r="256" spans="1:45" x14ac:dyDescent="0.3">
      <c r="A256" s="642" t="s">
        <v>842</v>
      </c>
      <c r="B256" s="642" t="s">
        <v>843</v>
      </c>
      <c r="C256" s="642" t="s">
        <v>841</v>
      </c>
      <c r="D256" s="642" t="s">
        <v>61</v>
      </c>
      <c r="F256" s="946">
        <v>0</v>
      </c>
      <c r="H256" s="946">
        <v>0</v>
      </c>
      <c r="I256" s="939">
        <v>0</v>
      </c>
      <c r="J256" s="974">
        <v>0</v>
      </c>
      <c r="L256" s="946">
        <v>0</v>
      </c>
      <c r="M256" s="947"/>
      <c r="N256" s="946">
        <v>0</v>
      </c>
      <c r="P256" s="946">
        <v>0</v>
      </c>
      <c r="R256" s="946">
        <v>0</v>
      </c>
      <c r="S256" s="948">
        <v>0</v>
      </c>
      <c r="T256" s="946">
        <v>0</v>
      </c>
      <c r="V256" s="946">
        <v>138</v>
      </c>
      <c r="W256" s="946">
        <v>0</v>
      </c>
      <c r="X256" s="946">
        <v>166</v>
      </c>
      <c r="Y256" s="947"/>
      <c r="Z256" s="946">
        <v>2218</v>
      </c>
      <c r="AA256" s="948">
        <v>80729</v>
      </c>
      <c r="AB256" s="946">
        <v>80.728999999999999</v>
      </c>
      <c r="AC256" s="974">
        <v>2528.1669999999999</v>
      </c>
      <c r="AD256" s="946">
        <v>8746.2350000000006</v>
      </c>
      <c r="AE256" s="957" t="s">
        <v>5589</v>
      </c>
      <c r="AG256" s="957">
        <v>0</v>
      </c>
      <c r="AH256" s="955">
        <v>0</v>
      </c>
      <c r="AI256" s="425">
        <v>1</v>
      </c>
      <c r="AJ256" s="957">
        <v>0</v>
      </c>
      <c r="AL256" s="939">
        <v>0</v>
      </c>
      <c r="AM256" s="939">
        <v>0</v>
      </c>
      <c r="AN256" s="950">
        <v>1901.12726</v>
      </c>
      <c r="AO256" s="946">
        <v>0.152807818856564</v>
      </c>
      <c r="AP256" s="946">
        <v>153</v>
      </c>
      <c r="AQ256" s="953"/>
      <c r="AR256" s="950"/>
      <c r="AS256" s="950">
        <v>185.17099999999999</v>
      </c>
    </row>
    <row r="257" spans="1:45" x14ac:dyDescent="0.3">
      <c r="A257" s="642" t="s">
        <v>845</v>
      </c>
      <c r="B257" s="642" t="s">
        <v>846</v>
      </c>
      <c r="C257" s="642" t="s">
        <v>844</v>
      </c>
      <c r="D257" s="642" t="s">
        <v>5418</v>
      </c>
      <c r="F257" s="946">
        <v>0</v>
      </c>
      <c r="H257" s="946">
        <v>0</v>
      </c>
      <c r="I257" s="939">
        <v>0</v>
      </c>
      <c r="J257" s="974">
        <v>0</v>
      </c>
      <c r="L257" s="946">
        <v>0</v>
      </c>
      <c r="M257" s="947"/>
      <c r="N257" s="946">
        <v>0</v>
      </c>
      <c r="P257" s="946">
        <v>0</v>
      </c>
      <c r="R257" s="946">
        <v>0</v>
      </c>
      <c r="S257" s="948">
        <v>0</v>
      </c>
      <c r="T257" s="946">
        <v>0</v>
      </c>
      <c r="V257" s="946">
        <v>0</v>
      </c>
      <c r="W257" s="946">
        <v>0</v>
      </c>
      <c r="X257" s="946">
        <v>0</v>
      </c>
      <c r="Y257" s="947"/>
      <c r="Z257" s="946">
        <v>0</v>
      </c>
      <c r="AA257" s="948">
        <v>0</v>
      </c>
      <c r="AB257" s="946">
        <v>0</v>
      </c>
      <c r="AC257" s="974">
        <v>0</v>
      </c>
      <c r="AD257" s="946">
        <v>0</v>
      </c>
      <c r="AE257" s="957">
        <v>0</v>
      </c>
      <c r="AG257" s="957">
        <v>0</v>
      </c>
      <c r="AH257" s="955">
        <v>0</v>
      </c>
      <c r="AI257" s="425">
        <v>0</v>
      </c>
      <c r="AJ257" s="957">
        <v>0</v>
      </c>
      <c r="AL257" s="939">
        <v>0</v>
      </c>
      <c r="AM257" s="939">
        <v>0</v>
      </c>
      <c r="AN257" s="950">
        <v>0</v>
      </c>
      <c r="AO257" s="946">
        <v>0</v>
      </c>
      <c r="AP257" s="946">
        <v>0</v>
      </c>
      <c r="AQ257" s="953"/>
      <c r="AR257" s="950"/>
      <c r="AS257" s="950">
        <v>0</v>
      </c>
    </row>
    <row r="258" spans="1:45" x14ac:dyDescent="0.3">
      <c r="A258" s="642" t="s">
        <v>848</v>
      </c>
      <c r="B258" s="642" t="s">
        <v>849</v>
      </c>
      <c r="C258" s="642" t="s">
        <v>847</v>
      </c>
      <c r="D258" s="642" t="s">
        <v>1942</v>
      </c>
      <c r="F258" s="946">
        <v>-11</v>
      </c>
      <c r="H258" s="946">
        <v>0</v>
      </c>
      <c r="I258" s="939">
        <v>284881370</v>
      </c>
      <c r="J258" s="974">
        <v>284881.37</v>
      </c>
      <c r="L258" s="946">
        <v>22972</v>
      </c>
      <c r="M258" s="947"/>
      <c r="N258" s="946">
        <v>8694</v>
      </c>
      <c r="P258" s="946">
        <v>20026</v>
      </c>
      <c r="R258" s="946">
        <v>17328</v>
      </c>
      <c r="S258" s="948">
        <v>1367289</v>
      </c>
      <c r="T258" s="946">
        <v>1367.289</v>
      </c>
      <c r="V258" s="946">
        <v>0</v>
      </c>
      <c r="W258" s="946">
        <v>1636</v>
      </c>
      <c r="X258" s="946">
        <v>4668</v>
      </c>
      <c r="Y258" s="947"/>
      <c r="Z258" s="946">
        <v>1647</v>
      </c>
      <c r="AA258" s="948">
        <v>0</v>
      </c>
      <c r="AB258" s="946">
        <v>0</v>
      </c>
      <c r="AC258" s="974">
        <v>0</v>
      </c>
      <c r="AD258" s="946">
        <v>351786.06900000002</v>
      </c>
      <c r="AE258" s="957">
        <v>0</v>
      </c>
      <c r="AG258" s="957">
        <v>412</v>
      </c>
      <c r="AH258" s="955">
        <v>0</v>
      </c>
      <c r="AI258" s="425">
        <v>0</v>
      </c>
      <c r="AJ258" s="957">
        <v>0</v>
      </c>
      <c r="AL258" s="939">
        <v>1</v>
      </c>
      <c r="AM258" s="939">
        <v>1</v>
      </c>
      <c r="AN258" s="950">
        <v>9117.6104500000001</v>
      </c>
      <c r="AO258" s="946">
        <v>0</v>
      </c>
      <c r="AP258" s="946">
        <v>0</v>
      </c>
      <c r="AQ258" s="953"/>
      <c r="AR258" s="950"/>
      <c r="AS258" s="950">
        <v>0</v>
      </c>
    </row>
    <row r="259" spans="1:45" x14ac:dyDescent="0.3">
      <c r="A259" s="642" t="s">
        <v>851</v>
      </c>
      <c r="B259" s="642" t="s">
        <v>852</v>
      </c>
      <c r="C259" s="642" t="s">
        <v>5439</v>
      </c>
      <c r="D259" s="642" t="s">
        <v>5408</v>
      </c>
      <c r="F259" s="946">
        <v>-2632</v>
      </c>
      <c r="H259" s="946">
        <v>0</v>
      </c>
      <c r="I259" s="939">
        <v>0</v>
      </c>
      <c r="J259" s="974">
        <v>0</v>
      </c>
      <c r="L259" s="946">
        <v>0</v>
      </c>
      <c r="M259" s="947"/>
      <c r="N259" s="946">
        <v>540</v>
      </c>
      <c r="P259" s="946">
        <v>0</v>
      </c>
      <c r="R259" s="946">
        <v>0</v>
      </c>
      <c r="S259" s="948">
        <v>0</v>
      </c>
      <c r="T259" s="946">
        <v>0</v>
      </c>
      <c r="V259" s="946">
        <v>0</v>
      </c>
      <c r="W259" s="946">
        <v>0</v>
      </c>
      <c r="X259" s="946">
        <v>424</v>
      </c>
      <c r="Y259" s="947"/>
      <c r="Z259" s="946">
        <v>0</v>
      </c>
      <c r="AA259" s="948">
        <v>0</v>
      </c>
      <c r="AB259" s="946">
        <v>0</v>
      </c>
      <c r="AC259" s="974">
        <v>0</v>
      </c>
      <c r="AD259" s="946">
        <v>23285.070329999999</v>
      </c>
      <c r="AE259" s="957">
        <v>0</v>
      </c>
      <c r="AG259" s="957">
        <v>125</v>
      </c>
      <c r="AH259" s="955">
        <v>0</v>
      </c>
      <c r="AI259" s="425">
        <v>0</v>
      </c>
      <c r="AJ259" s="957">
        <v>0</v>
      </c>
      <c r="AL259" s="939">
        <v>0</v>
      </c>
      <c r="AM259" s="939">
        <v>0</v>
      </c>
      <c r="AN259" s="950">
        <v>478.66636</v>
      </c>
      <c r="AO259" s="946">
        <v>0</v>
      </c>
      <c r="AP259" s="946">
        <v>0</v>
      </c>
      <c r="AQ259" s="953"/>
      <c r="AR259" s="950"/>
      <c r="AS259" s="950">
        <v>0</v>
      </c>
    </row>
    <row r="260" spans="1:45" x14ac:dyDescent="0.3">
      <c r="A260" s="642" t="s">
        <v>854</v>
      </c>
      <c r="B260" s="642" t="s">
        <v>855</v>
      </c>
      <c r="C260" s="642" t="s">
        <v>853</v>
      </c>
      <c r="D260" s="642" t="s">
        <v>71</v>
      </c>
      <c r="F260" s="946">
        <v>0</v>
      </c>
      <c r="H260" s="946">
        <v>-91374</v>
      </c>
      <c r="I260" s="939">
        <v>0</v>
      </c>
      <c r="J260" s="974">
        <v>0</v>
      </c>
      <c r="L260" s="946">
        <v>0</v>
      </c>
      <c r="M260" s="947"/>
      <c r="N260" s="946">
        <v>0</v>
      </c>
      <c r="P260" s="946">
        <v>0</v>
      </c>
      <c r="R260" s="946">
        <v>0</v>
      </c>
      <c r="S260" s="948">
        <v>0</v>
      </c>
      <c r="T260" s="946">
        <v>0</v>
      </c>
      <c r="V260" s="946">
        <v>0</v>
      </c>
      <c r="W260" s="946">
        <v>0</v>
      </c>
      <c r="X260" s="946">
        <v>0</v>
      </c>
      <c r="Y260" s="947"/>
      <c r="Z260" s="946">
        <v>0</v>
      </c>
      <c r="AA260" s="948">
        <v>0</v>
      </c>
      <c r="AB260" s="946">
        <v>0</v>
      </c>
      <c r="AC260" s="974">
        <v>0</v>
      </c>
      <c r="AD260" s="946">
        <v>86556.035999999993</v>
      </c>
      <c r="AE260" s="957">
        <v>0</v>
      </c>
      <c r="AG260" s="957">
        <v>1557</v>
      </c>
      <c r="AH260" s="955">
        <v>0</v>
      </c>
      <c r="AI260" s="425">
        <v>0</v>
      </c>
      <c r="AJ260" s="957">
        <v>0</v>
      </c>
      <c r="AL260" s="939">
        <v>0</v>
      </c>
      <c r="AM260" s="939">
        <v>0</v>
      </c>
      <c r="AN260" s="950">
        <v>146.80000000000001</v>
      </c>
      <c r="AO260" s="946">
        <v>0</v>
      </c>
      <c r="AP260" s="946">
        <v>0</v>
      </c>
      <c r="AQ260" s="953"/>
      <c r="AR260" s="950"/>
      <c r="AS260" s="950">
        <v>0</v>
      </c>
    </row>
    <row r="261" spans="1:45" x14ac:dyDescent="0.3">
      <c r="A261" s="642" t="s">
        <v>857</v>
      </c>
      <c r="B261" s="642" t="s">
        <v>858</v>
      </c>
      <c r="C261" s="642" t="s">
        <v>856</v>
      </c>
      <c r="D261" s="642" t="s">
        <v>71</v>
      </c>
      <c r="F261" s="946">
        <v>0</v>
      </c>
      <c r="H261" s="946">
        <v>-88264</v>
      </c>
      <c r="I261" s="939">
        <v>0</v>
      </c>
      <c r="J261" s="974">
        <v>0</v>
      </c>
      <c r="L261" s="946">
        <v>0</v>
      </c>
      <c r="M261" s="947"/>
      <c r="N261" s="946">
        <v>0</v>
      </c>
      <c r="P261" s="946">
        <v>0</v>
      </c>
      <c r="R261" s="946">
        <v>0</v>
      </c>
      <c r="S261" s="948">
        <v>0</v>
      </c>
      <c r="T261" s="946">
        <v>0</v>
      </c>
      <c r="V261" s="946">
        <v>0</v>
      </c>
      <c r="W261" s="946">
        <v>0</v>
      </c>
      <c r="X261" s="946">
        <v>0</v>
      </c>
      <c r="Y261" s="947"/>
      <c r="Z261" s="946">
        <v>0</v>
      </c>
      <c r="AA261" s="948">
        <v>0</v>
      </c>
      <c r="AB261" s="946">
        <v>0</v>
      </c>
      <c r="AC261" s="974">
        <v>0</v>
      </c>
      <c r="AD261" s="946">
        <v>70247.095000000001</v>
      </c>
      <c r="AE261" s="957">
        <v>0</v>
      </c>
      <c r="AG261" s="957">
        <v>0</v>
      </c>
      <c r="AH261" s="955">
        <v>0</v>
      </c>
      <c r="AI261" s="425">
        <v>0</v>
      </c>
      <c r="AJ261" s="957">
        <v>0</v>
      </c>
      <c r="AL261" s="939">
        <v>0</v>
      </c>
      <c r="AM261" s="939">
        <v>0</v>
      </c>
      <c r="AN261" s="950">
        <v>497.40296000000001</v>
      </c>
      <c r="AO261" s="946">
        <v>0</v>
      </c>
      <c r="AP261" s="946">
        <v>0</v>
      </c>
      <c r="AQ261" s="953"/>
      <c r="AR261" s="950"/>
      <c r="AS261" s="950">
        <v>0</v>
      </c>
    </row>
    <row r="262" spans="1:45" x14ac:dyDescent="0.3">
      <c r="A262" s="642" t="s">
        <v>859</v>
      </c>
      <c r="B262" s="642" t="s">
        <v>860</v>
      </c>
      <c r="C262" s="642" t="s">
        <v>5440</v>
      </c>
      <c r="D262" s="642" t="s">
        <v>5408</v>
      </c>
      <c r="F262" s="946">
        <v>-2348</v>
      </c>
      <c r="H262" s="946">
        <v>0</v>
      </c>
      <c r="I262" s="939">
        <v>0</v>
      </c>
      <c r="J262" s="974">
        <v>0</v>
      </c>
      <c r="L262" s="946">
        <v>0</v>
      </c>
      <c r="M262" s="947"/>
      <c r="N262" s="946">
        <v>0</v>
      </c>
      <c r="P262" s="946">
        <v>0</v>
      </c>
      <c r="R262" s="946">
        <v>0</v>
      </c>
      <c r="S262" s="948">
        <v>0</v>
      </c>
      <c r="T262" s="946">
        <v>0</v>
      </c>
      <c r="V262" s="946">
        <v>0</v>
      </c>
      <c r="W262" s="946">
        <v>0</v>
      </c>
      <c r="X262" s="946">
        <v>372</v>
      </c>
      <c r="Y262" s="947"/>
      <c r="Z262" s="946">
        <v>0</v>
      </c>
      <c r="AA262" s="948">
        <v>0</v>
      </c>
      <c r="AB262" s="946">
        <v>0</v>
      </c>
      <c r="AC262" s="974">
        <v>0</v>
      </c>
      <c r="AD262" s="946">
        <v>17230.800999999999</v>
      </c>
      <c r="AE262" s="957">
        <v>0</v>
      </c>
      <c r="AG262" s="957">
        <v>0</v>
      </c>
      <c r="AH262" s="955">
        <v>0</v>
      </c>
      <c r="AI262" s="425">
        <v>0</v>
      </c>
      <c r="AJ262" s="957">
        <v>0</v>
      </c>
      <c r="AL262" s="939">
        <v>0</v>
      </c>
      <c r="AM262" s="939">
        <v>0</v>
      </c>
      <c r="AN262" s="950">
        <v>0</v>
      </c>
      <c r="AO262" s="946">
        <v>0</v>
      </c>
      <c r="AP262" s="946">
        <v>0</v>
      </c>
      <c r="AQ262" s="953"/>
      <c r="AR262" s="950"/>
      <c r="AS262" s="950">
        <v>0</v>
      </c>
    </row>
    <row r="263" spans="1:45" x14ac:dyDescent="0.3">
      <c r="A263" s="642" t="s">
        <v>865</v>
      </c>
      <c r="B263" s="642" t="s">
        <v>866</v>
      </c>
      <c r="C263" s="642" t="s">
        <v>864</v>
      </c>
      <c r="D263" s="642" t="s">
        <v>5418</v>
      </c>
      <c r="F263" s="946">
        <v>0</v>
      </c>
      <c r="H263" s="946">
        <v>0</v>
      </c>
      <c r="I263" s="939">
        <v>0</v>
      </c>
      <c r="J263" s="974">
        <v>0</v>
      </c>
      <c r="L263" s="946">
        <v>0</v>
      </c>
      <c r="M263" s="947"/>
      <c r="N263" s="946">
        <v>0</v>
      </c>
      <c r="P263" s="946">
        <v>0</v>
      </c>
      <c r="R263" s="946">
        <v>0</v>
      </c>
      <c r="S263" s="948">
        <v>0</v>
      </c>
      <c r="T263" s="946">
        <v>0</v>
      </c>
      <c r="V263" s="946">
        <v>0</v>
      </c>
      <c r="W263" s="946">
        <v>0</v>
      </c>
      <c r="X263" s="946">
        <v>0</v>
      </c>
      <c r="Y263" s="947"/>
      <c r="Z263" s="946">
        <v>0</v>
      </c>
      <c r="AA263" s="948">
        <v>0</v>
      </c>
      <c r="AB263" s="946">
        <v>0</v>
      </c>
      <c r="AC263" s="974">
        <v>0</v>
      </c>
      <c r="AD263" s="946">
        <v>0</v>
      </c>
      <c r="AE263" s="957">
        <v>0</v>
      </c>
      <c r="AG263" s="957">
        <v>0</v>
      </c>
      <c r="AH263" s="955">
        <v>0</v>
      </c>
      <c r="AI263" s="425">
        <v>0</v>
      </c>
      <c r="AJ263" s="957">
        <v>0</v>
      </c>
      <c r="AL263" s="939">
        <v>0</v>
      </c>
      <c r="AM263" s="939">
        <v>0</v>
      </c>
      <c r="AN263" s="950">
        <v>26.14809</v>
      </c>
      <c r="AO263" s="946">
        <v>0</v>
      </c>
      <c r="AP263" s="946">
        <v>0</v>
      </c>
      <c r="AQ263" s="953"/>
      <c r="AR263" s="950"/>
      <c r="AS263" s="950">
        <v>0</v>
      </c>
    </row>
    <row r="264" spans="1:45" x14ac:dyDescent="0.3">
      <c r="A264" s="642" t="s">
        <v>862</v>
      </c>
      <c r="B264" s="642" t="s">
        <v>863</v>
      </c>
      <c r="C264" s="642" t="s">
        <v>861</v>
      </c>
      <c r="D264" s="642" t="s">
        <v>125</v>
      </c>
      <c r="F264" s="946">
        <v>-10837</v>
      </c>
      <c r="H264" s="946">
        <v>0</v>
      </c>
      <c r="I264" s="939">
        <v>150831511</v>
      </c>
      <c r="J264" s="974">
        <v>150831.511</v>
      </c>
      <c r="L264" s="946">
        <v>17366</v>
      </c>
      <c r="M264" s="947"/>
      <c r="N264" s="946">
        <v>2456</v>
      </c>
      <c r="P264" s="946">
        <v>13287</v>
      </c>
      <c r="R264" s="946">
        <v>12496</v>
      </c>
      <c r="S264" s="948">
        <v>840602</v>
      </c>
      <c r="T264" s="946">
        <v>840.60199999999998</v>
      </c>
      <c r="V264" s="946">
        <v>510</v>
      </c>
      <c r="W264" s="946">
        <v>1027</v>
      </c>
      <c r="X264" s="946">
        <v>4751</v>
      </c>
      <c r="Y264" s="947"/>
      <c r="Z264" s="946">
        <v>4011</v>
      </c>
      <c r="AA264" s="948">
        <v>424939</v>
      </c>
      <c r="AB264" s="946">
        <v>424.93900000000002</v>
      </c>
      <c r="AC264" s="974">
        <v>9869.5689999999995</v>
      </c>
      <c r="AD264" s="946">
        <v>215939.79800000001</v>
      </c>
      <c r="AE264" s="957">
        <v>32050</v>
      </c>
      <c r="AG264" s="957">
        <v>3142</v>
      </c>
      <c r="AH264" s="955">
        <v>0</v>
      </c>
      <c r="AI264" s="425">
        <v>1</v>
      </c>
      <c r="AJ264" s="957">
        <v>0</v>
      </c>
      <c r="AL264" s="939">
        <v>1</v>
      </c>
      <c r="AM264" s="939">
        <v>1</v>
      </c>
      <c r="AN264" s="950">
        <v>11984.24785</v>
      </c>
      <c r="AO264" s="946">
        <v>0.460692818328931</v>
      </c>
      <c r="AP264" s="946">
        <v>461</v>
      </c>
      <c r="AQ264" s="953"/>
      <c r="AR264" s="950"/>
      <c r="AS264" s="950">
        <v>890.00199999999995</v>
      </c>
    </row>
    <row r="265" spans="1:45" x14ac:dyDescent="0.3">
      <c r="A265" s="642" t="s">
        <v>868</v>
      </c>
      <c r="B265" s="642" t="s">
        <v>869</v>
      </c>
      <c r="C265" s="642" t="s">
        <v>867</v>
      </c>
      <c r="D265" s="642" t="s">
        <v>71</v>
      </c>
      <c r="F265" s="946">
        <v>0</v>
      </c>
      <c r="H265" s="946">
        <v>-273394</v>
      </c>
      <c r="I265" s="939">
        <v>0</v>
      </c>
      <c r="J265" s="974">
        <v>0</v>
      </c>
      <c r="L265" s="946">
        <v>0</v>
      </c>
      <c r="M265" s="947"/>
      <c r="N265" s="946">
        <v>0</v>
      </c>
      <c r="P265" s="946">
        <v>0</v>
      </c>
      <c r="R265" s="946">
        <v>0</v>
      </c>
      <c r="S265" s="948">
        <v>0</v>
      </c>
      <c r="T265" s="946">
        <v>0</v>
      </c>
      <c r="V265" s="946">
        <v>0</v>
      </c>
      <c r="W265" s="946">
        <v>0</v>
      </c>
      <c r="X265" s="946">
        <v>0</v>
      </c>
      <c r="Y265" s="947"/>
      <c r="Z265" s="946">
        <v>0</v>
      </c>
      <c r="AA265" s="948">
        <v>0</v>
      </c>
      <c r="AB265" s="946">
        <v>0</v>
      </c>
      <c r="AC265" s="974">
        <v>0</v>
      </c>
      <c r="AD265" s="946">
        <v>61819.740960000003</v>
      </c>
      <c r="AE265" s="957">
        <v>0</v>
      </c>
      <c r="AG265" s="957">
        <v>0</v>
      </c>
      <c r="AH265" s="955">
        <v>0</v>
      </c>
      <c r="AI265" s="425">
        <v>0</v>
      </c>
      <c r="AJ265" s="957">
        <v>0</v>
      </c>
      <c r="AL265" s="939">
        <v>0</v>
      </c>
      <c r="AM265" s="939">
        <v>0</v>
      </c>
      <c r="AN265" s="950">
        <v>2633.07062</v>
      </c>
      <c r="AO265" s="946">
        <v>0</v>
      </c>
      <c r="AP265" s="946">
        <v>0</v>
      </c>
      <c r="AQ265" s="953"/>
      <c r="AR265" s="950"/>
      <c r="AS265" s="950">
        <v>0</v>
      </c>
    </row>
    <row r="266" spans="1:45" x14ac:dyDescent="0.3">
      <c r="A266" s="642" t="s">
        <v>871</v>
      </c>
      <c r="B266" s="642" t="s">
        <v>872</v>
      </c>
      <c r="C266" s="642" t="s">
        <v>870</v>
      </c>
      <c r="D266" s="642" t="s">
        <v>61</v>
      </c>
      <c r="F266" s="946">
        <v>-225</v>
      </c>
      <c r="H266" s="946">
        <v>0</v>
      </c>
      <c r="I266" s="939">
        <v>0</v>
      </c>
      <c r="J266" s="974">
        <v>0</v>
      </c>
      <c r="L266" s="946">
        <v>0</v>
      </c>
      <c r="M266" s="947"/>
      <c r="N266" s="946">
        <v>0</v>
      </c>
      <c r="P266" s="946">
        <v>0</v>
      </c>
      <c r="R266" s="946">
        <v>0</v>
      </c>
      <c r="S266" s="948">
        <v>0</v>
      </c>
      <c r="T266" s="946">
        <v>0</v>
      </c>
      <c r="V266" s="946">
        <v>614</v>
      </c>
      <c r="W266" s="946">
        <v>0</v>
      </c>
      <c r="X266" s="946">
        <v>413</v>
      </c>
      <c r="Y266" s="947"/>
      <c r="Z266" s="946">
        <v>546</v>
      </c>
      <c r="AA266" s="948">
        <v>233500</v>
      </c>
      <c r="AB266" s="946">
        <v>233.5</v>
      </c>
      <c r="AC266" s="974">
        <v>0</v>
      </c>
      <c r="AD266" s="946">
        <v>10588.575000000001</v>
      </c>
      <c r="AE266" s="957">
        <v>51372</v>
      </c>
      <c r="AG266" s="957">
        <v>1090</v>
      </c>
      <c r="AH266" s="955">
        <v>0</v>
      </c>
      <c r="AI266" s="425">
        <v>1</v>
      </c>
      <c r="AJ266" s="957">
        <v>0</v>
      </c>
      <c r="AL266" s="939">
        <v>0</v>
      </c>
      <c r="AM266" s="939">
        <v>0</v>
      </c>
      <c r="AN266" s="950">
        <v>8487.2564299999995</v>
      </c>
      <c r="AO266" s="946">
        <v>0.27386933906277</v>
      </c>
      <c r="AP266" s="946">
        <v>274</v>
      </c>
      <c r="AQ266" s="953"/>
      <c r="AR266" s="950"/>
      <c r="AS266" s="950">
        <v>572.11300000000006</v>
      </c>
    </row>
    <row r="267" spans="1:45" x14ac:dyDescent="0.3">
      <c r="A267" s="642" t="s">
        <v>877</v>
      </c>
      <c r="B267" s="642" t="s">
        <v>878</v>
      </c>
      <c r="C267" s="642" t="s">
        <v>876</v>
      </c>
      <c r="D267" s="642" t="s">
        <v>1942</v>
      </c>
      <c r="F267" s="946">
        <v>-7336</v>
      </c>
      <c r="H267" s="946">
        <v>0</v>
      </c>
      <c r="I267" s="939">
        <v>329877714</v>
      </c>
      <c r="J267" s="974">
        <v>329877.71399999998</v>
      </c>
      <c r="L267" s="946">
        <v>43160</v>
      </c>
      <c r="M267" s="947"/>
      <c r="N267" s="946">
        <v>0</v>
      </c>
      <c r="P267" s="946">
        <v>33462</v>
      </c>
      <c r="R267" s="946">
        <v>30920</v>
      </c>
      <c r="S267" s="948">
        <v>2649972</v>
      </c>
      <c r="T267" s="946">
        <v>2649.9720000000002</v>
      </c>
      <c r="V267" s="946">
        <v>0</v>
      </c>
      <c r="W267" s="946">
        <v>2381</v>
      </c>
      <c r="X267" s="946">
        <v>7507</v>
      </c>
      <c r="Y267" s="947"/>
      <c r="Z267" s="946">
        <v>1637</v>
      </c>
      <c r="AA267" s="948">
        <v>0</v>
      </c>
      <c r="AB267" s="946">
        <v>0</v>
      </c>
      <c r="AC267" s="974">
        <v>0</v>
      </c>
      <c r="AD267" s="946">
        <v>427308.57500000001</v>
      </c>
      <c r="AE267" s="957">
        <v>0</v>
      </c>
      <c r="AG267" s="957">
        <v>0</v>
      </c>
      <c r="AH267" s="955">
        <v>0</v>
      </c>
      <c r="AI267" s="425">
        <v>0</v>
      </c>
      <c r="AJ267" s="957">
        <v>0</v>
      </c>
      <c r="AL267" s="939">
        <v>1</v>
      </c>
      <c r="AM267" s="939">
        <v>1</v>
      </c>
      <c r="AN267" s="950">
        <v>15803.471089999999</v>
      </c>
      <c r="AO267" s="946">
        <v>0</v>
      </c>
      <c r="AP267" s="946">
        <v>0</v>
      </c>
      <c r="AQ267" s="953"/>
      <c r="AR267" s="950"/>
      <c r="AS267" s="950">
        <v>0</v>
      </c>
    </row>
    <row r="268" spans="1:45" x14ac:dyDescent="0.3">
      <c r="A268" s="642" t="s">
        <v>880</v>
      </c>
      <c r="B268" s="642" t="s">
        <v>881</v>
      </c>
      <c r="C268" s="642" t="s">
        <v>5441</v>
      </c>
      <c r="D268" s="642" t="s">
        <v>5408</v>
      </c>
      <c r="F268" s="946">
        <v>-5619</v>
      </c>
      <c r="H268" s="946">
        <v>0</v>
      </c>
      <c r="I268" s="939">
        <v>0</v>
      </c>
      <c r="J268" s="974">
        <v>0</v>
      </c>
      <c r="L268" s="946">
        <v>0</v>
      </c>
      <c r="M268" s="947"/>
      <c r="N268" s="946">
        <v>0</v>
      </c>
      <c r="P268" s="946">
        <v>0</v>
      </c>
      <c r="R268" s="946">
        <v>0</v>
      </c>
      <c r="S268" s="948">
        <v>0</v>
      </c>
      <c r="T268" s="946">
        <v>0</v>
      </c>
      <c r="V268" s="946">
        <v>0</v>
      </c>
      <c r="W268" s="946">
        <v>0</v>
      </c>
      <c r="X268" s="946">
        <v>748</v>
      </c>
      <c r="Y268" s="947"/>
      <c r="Z268" s="946">
        <v>0</v>
      </c>
      <c r="AA268" s="948">
        <v>0</v>
      </c>
      <c r="AB268" s="946">
        <v>0</v>
      </c>
      <c r="AC268" s="974">
        <v>0</v>
      </c>
      <c r="AD268" s="946">
        <v>27692.094010000001</v>
      </c>
      <c r="AE268" s="957">
        <v>0</v>
      </c>
      <c r="AG268" s="957">
        <v>0</v>
      </c>
      <c r="AH268" s="955">
        <v>0</v>
      </c>
      <c r="AI268" s="425">
        <v>0</v>
      </c>
      <c r="AJ268" s="957">
        <v>0</v>
      </c>
      <c r="AL268" s="939">
        <v>0</v>
      </c>
      <c r="AM268" s="939">
        <v>0</v>
      </c>
      <c r="AN268" s="950">
        <v>773.75440000000003</v>
      </c>
      <c r="AO268" s="946">
        <v>0</v>
      </c>
      <c r="AP268" s="946">
        <v>0</v>
      </c>
      <c r="AQ268" s="953"/>
      <c r="AR268" s="950"/>
      <c r="AS268" s="950">
        <v>0</v>
      </c>
    </row>
    <row r="269" spans="1:45" x14ac:dyDescent="0.3">
      <c r="A269" s="642" t="s">
        <v>883</v>
      </c>
      <c r="B269" s="642" t="s">
        <v>884</v>
      </c>
      <c r="C269" s="642" t="s">
        <v>882</v>
      </c>
      <c r="D269" s="642" t="s">
        <v>71</v>
      </c>
      <c r="F269" s="946">
        <v>0</v>
      </c>
      <c r="H269" s="946">
        <v>-163186</v>
      </c>
      <c r="I269" s="939">
        <v>0</v>
      </c>
      <c r="J269" s="974">
        <v>0</v>
      </c>
      <c r="L269" s="946">
        <v>0</v>
      </c>
      <c r="M269" s="947"/>
      <c r="N269" s="946">
        <v>0</v>
      </c>
      <c r="P269" s="946">
        <v>0</v>
      </c>
      <c r="R269" s="946">
        <v>0</v>
      </c>
      <c r="S269" s="948">
        <v>0</v>
      </c>
      <c r="T269" s="946">
        <v>0</v>
      </c>
      <c r="V269" s="946">
        <v>0</v>
      </c>
      <c r="W269" s="946">
        <v>0</v>
      </c>
      <c r="X269" s="946">
        <v>0</v>
      </c>
      <c r="Y269" s="947"/>
      <c r="Z269" s="946">
        <v>0</v>
      </c>
      <c r="AA269" s="948">
        <v>0</v>
      </c>
      <c r="AB269" s="946">
        <v>0</v>
      </c>
      <c r="AC269" s="974">
        <v>0</v>
      </c>
      <c r="AD269" s="946">
        <v>83253.101999999999</v>
      </c>
      <c r="AE269" s="957">
        <v>0</v>
      </c>
      <c r="AG269" s="957">
        <v>2000</v>
      </c>
      <c r="AH269" s="955">
        <v>0</v>
      </c>
      <c r="AI269" s="425">
        <v>0</v>
      </c>
      <c r="AJ269" s="957">
        <v>0</v>
      </c>
      <c r="AL269" s="939">
        <v>0</v>
      </c>
      <c r="AM269" s="939">
        <v>0</v>
      </c>
      <c r="AN269" s="950">
        <v>1524.0799600000005</v>
      </c>
      <c r="AO269" s="946">
        <v>0</v>
      </c>
      <c r="AP269" s="946">
        <v>0</v>
      </c>
      <c r="AQ269" s="953"/>
      <c r="AR269" s="950"/>
      <c r="AS269" s="950">
        <v>0</v>
      </c>
    </row>
    <row r="270" spans="1:45" x14ac:dyDescent="0.3">
      <c r="A270" s="642" t="s">
        <v>886</v>
      </c>
      <c r="B270" s="642" t="s">
        <v>887</v>
      </c>
      <c r="C270" s="642" t="s">
        <v>885</v>
      </c>
      <c r="D270" s="642" t="s">
        <v>61</v>
      </c>
      <c r="F270" s="946">
        <v>-1</v>
      </c>
      <c r="H270" s="946">
        <v>0</v>
      </c>
      <c r="I270" s="939">
        <v>0</v>
      </c>
      <c r="J270" s="974">
        <v>0</v>
      </c>
      <c r="L270" s="946">
        <v>0</v>
      </c>
      <c r="M270" s="947"/>
      <c r="N270" s="946">
        <v>0</v>
      </c>
      <c r="P270" s="946">
        <v>0</v>
      </c>
      <c r="R270" s="946">
        <v>0</v>
      </c>
      <c r="S270" s="948">
        <v>0</v>
      </c>
      <c r="T270" s="946">
        <v>0</v>
      </c>
      <c r="V270" s="946">
        <v>359</v>
      </c>
      <c r="W270" s="946">
        <v>0</v>
      </c>
      <c r="X270" s="946">
        <v>254</v>
      </c>
      <c r="Y270" s="947"/>
      <c r="Z270" s="946">
        <v>644</v>
      </c>
      <c r="AA270" s="948">
        <v>153470</v>
      </c>
      <c r="AB270" s="946">
        <v>153.47</v>
      </c>
      <c r="AC270" s="974">
        <v>0</v>
      </c>
      <c r="AD270" s="946">
        <v>9743.7043400000002</v>
      </c>
      <c r="AE270" s="957">
        <v>11763</v>
      </c>
      <c r="AG270" s="957" t="s">
        <v>5442</v>
      </c>
      <c r="AH270" s="955">
        <v>0</v>
      </c>
      <c r="AI270" s="425">
        <v>1</v>
      </c>
      <c r="AJ270" s="957" t="s">
        <v>5442</v>
      </c>
      <c r="AL270" s="939">
        <v>0</v>
      </c>
      <c r="AM270" s="939">
        <v>0</v>
      </c>
      <c r="AN270" s="950">
        <v>2131.7075</v>
      </c>
      <c r="AO270" s="946">
        <v>0.16888594225303399</v>
      </c>
      <c r="AP270" s="946">
        <v>169</v>
      </c>
      <c r="AQ270" s="953"/>
      <c r="AR270" s="950"/>
      <c r="AS270" s="950">
        <v>355.78500000000003</v>
      </c>
    </row>
    <row r="271" spans="1:45" x14ac:dyDescent="0.3">
      <c r="A271" s="642" t="s">
        <v>889</v>
      </c>
      <c r="B271" s="642" t="s">
        <v>890</v>
      </c>
      <c r="C271" s="642" t="s">
        <v>888</v>
      </c>
      <c r="D271" s="642" t="s">
        <v>61</v>
      </c>
      <c r="F271" s="946">
        <v>0</v>
      </c>
      <c r="H271" s="946">
        <v>0</v>
      </c>
      <c r="I271" s="939">
        <v>0</v>
      </c>
      <c r="J271" s="974">
        <v>0</v>
      </c>
      <c r="L271" s="946">
        <v>0</v>
      </c>
      <c r="M271" s="947"/>
      <c r="N271" s="946">
        <v>0</v>
      </c>
      <c r="P271" s="946">
        <v>0</v>
      </c>
      <c r="R271" s="946">
        <v>0</v>
      </c>
      <c r="S271" s="948">
        <v>0</v>
      </c>
      <c r="T271" s="946">
        <v>0</v>
      </c>
      <c r="V271" s="946">
        <v>142</v>
      </c>
      <c r="W271" s="946">
        <v>0</v>
      </c>
      <c r="X271" s="946">
        <v>106</v>
      </c>
      <c r="Y271" s="947"/>
      <c r="Z271" s="946">
        <v>132</v>
      </c>
      <c r="AA271" s="948">
        <v>43078</v>
      </c>
      <c r="AB271" s="946">
        <v>43.078000000000003</v>
      </c>
      <c r="AC271" s="974">
        <v>0</v>
      </c>
      <c r="AD271" s="946">
        <v>4215.7150000000001</v>
      </c>
      <c r="AE271" s="957">
        <v>1160</v>
      </c>
      <c r="AG271" s="957">
        <v>30</v>
      </c>
      <c r="AH271" s="955">
        <v>0</v>
      </c>
      <c r="AI271" s="425">
        <v>1</v>
      </c>
      <c r="AJ271" s="957">
        <v>-265</v>
      </c>
      <c r="AL271" s="939">
        <v>0</v>
      </c>
      <c r="AM271" s="939">
        <v>0</v>
      </c>
      <c r="AN271" s="950">
        <v>614.1666899999999</v>
      </c>
      <c r="AO271" s="946">
        <v>7.0554628630164096E-2</v>
      </c>
      <c r="AP271" s="946">
        <v>71</v>
      </c>
      <c r="AQ271" s="953"/>
      <c r="AR271" s="950"/>
      <c r="AS271" s="950">
        <v>84.787000000000006</v>
      </c>
    </row>
    <row r="272" spans="1:45" x14ac:dyDescent="0.3">
      <c r="A272" s="642" t="s">
        <v>892</v>
      </c>
      <c r="B272" s="642" t="s">
        <v>893</v>
      </c>
      <c r="C272" s="642" t="s">
        <v>891</v>
      </c>
      <c r="D272" s="642" t="s">
        <v>97</v>
      </c>
      <c r="F272" s="946">
        <v>0</v>
      </c>
      <c r="H272" s="946">
        <v>0</v>
      </c>
      <c r="I272" s="939">
        <v>168686166</v>
      </c>
      <c r="J272" s="974">
        <v>168686.166</v>
      </c>
      <c r="L272" s="946">
        <v>0</v>
      </c>
      <c r="M272" s="947"/>
      <c r="N272" s="946">
        <v>0</v>
      </c>
      <c r="P272" s="946">
        <v>12132</v>
      </c>
      <c r="R272" s="946">
        <v>11188</v>
      </c>
      <c r="S272" s="948">
        <v>2580176</v>
      </c>
      <c r="T272" s="946">
        <v>2580.1759999999999</v>
      </c>
      <c r="V272" s="946">
        <v>553</v>
      </c>
      <c r="W272" s="946">
        <v>758</v>
      </c>
      <c r="X272" s="946">
        <v>4467</v>
      </c>
      <c r="Y272" s="947"/>
      <c r="Z272" s="946">
        <v>562</v>
      </c>
      <c r="AA272" s="948">
        <v>361343</v>
      </c>
      <c r="AB272" s="946">
        <v>361.34300000000002</v>
      </c>
      <c r="AC272" s="974">
        <v>313.98399999999998</v>
      </c>
      <c r="AD272" s="946">
        <v>103246</v>
      </c>
      <c r="AE272" s="957">
        <v>21719</v>
      </c>
      <c r="AG272" s="957">
        <v>0</v>
      </c>
      <c r="AH272" s="955">
        <v>-2500</v>
      </c>
      <c r="AI272" s="425">
        <v>1</v>
      </c>
      <c r="AJ272" s="957">
        <v>-2500</v>
      </c>
      <c r="AL272" s="939">
        <v>1</v>
      </c>
      <c r="AM272" s="939">
        <v>1</v>
      </c>
      <c r="AN272" s="950">
        <v>876.827</v>
      </c>
      <c r="AO272" s="946">
        <v>0.43671667635854</v>
      </c>
      <c r="AP272" s="946">
        <v>437</v>
      </c>
      <c r="AQ272" s="953"/>
      <c r="AR272" s="950"/>
      <c r="AS272" s="950">
        <v>824.03700000000003</v>
      </c>
    </row>
    <row r="273" spans="1:45" x14ac:dyDescent="0.3">
      <c r="A273" s="642" t="s">
        <v>895</v>
      </c>
      <c r="B273" s="642" t="s">
        <v>896</v>
      </c>
      <c r="C273" s="642" t="s">
        <v>894</v>
      </c>
      <c r="D273" s="642" t="s">
        <v>61</v>
      </c>
      <c r="F273" s="946">
        <v>-1</v>
      </c>
      <c r="H273" s="946">
        <v>0</v>
      </c>
      <c r="I273" s="939">
        <v>0</v>
      </c>
      <c r="J273" s="974">
        <v>0</v>
      </c>
      <c r="L273" s="946">
        <v>0</v>
      </c>
      <c r="M273" s="947"/>
      <c r="N273" s="946">
        <v>0</v>
      </c>
      <c r="P273" s="946">
        <v>0</v>
      </c>
      <c r="R273" s="946">
        <v>0</v>
      </c>
      <c r="S273" s="948">
        <v>0</v>
      </c>
      <c r="T273" s="946">
        <v>0</v>
      </c>
      <c r="V273" s="946">
        <v>1084</v>
      </c>
      <c r="W273" s="946">
        <v>0</v>
      </c>
      <c r="X273" s="946">
        <v>432</v>
      </c>
      <c r="Y273" s="947"/>
      <c r="Z273" s="946">
        <v>471</v>
      </c>
      <c r="AA273" s="948">
        <v>180678</v>
      </c>
      <c r="AB273" s="946">
        <v>180.678</v>
      </c>
      <c r="AC273" s="974">
        <v>271.04199999999997</v>
      </c>
      <c r="AD273" s="946">
        <v>15028.571</v>
      </c>
      <c r="AE273" s="957">
        <v>33457</v>
      </c>
      <c r="AG273" s="957">
        <v>2314</v>
      </c>
      <c r="AH273" s="955">
        <v>0</v>
      </c>
      <c r="AI273" s="425">
        <v>1</v>
      </c>
      <c r="AJ273" s="957">
        <v>0</v>
      </c>
      <c r="AL273" s="939">
        <v>0</v>
      </c>
      <c r="AM273" s="939">
        <v>0</v>
      </c>
      <c r="AN273" s="950">
        <v>6404.48</v>
      </c>
      <c r="AO273" s="946">
        <v>0.28636940283047002</v>
      </c>
      <c r="AP273" s="946">
        <v>286</v>
      </c>
      <c r="AQ273" s="953"/>
      <c r="AR273" s="950"/>
      <c r="AS273" s="950">
        <v>394.803</v>
      </c>
    </row>
    <row r="274" spans="1:45" x14ac:dyDescent="0.3">
      <c r="A274" s="642" t="s">
        <v>898</v>
      </c>
      <c r="B274" s="642" t="s">
        <v>899</v>
      </c>
      <c r="C274" s="642" t="s">
        <v>897</v>
      </c>
      <c r="D274" s="642" t="s">
        <v>1942</v>
      </c>
      <c r="F274" s="946">
        <v>-11</v>
      </c>
      <c r="H274" s="946">
        <v>0</v>
      </c>
      <c r="I274" s="939">
        <v>248376015</v>
      </c>
      <c r="J274" s="974">
        <v>248376.01500000001</v>
      </c>
      <c r="L274" s="946">
        <v>32569</v>
      </c>
      <c r="M274" s="947"/>
      <c r="N274" s="946">
        <v>0</v>
      </c>
      <c r="P274" s="946">
        <v>17916</v>
      </c>
      <c r="R274" s="946">
        <v>10705</v>
      </c>
      <c r="S274" s="948">
        <v>3453565</v>
      </c>
      <c r="T274" s="946">
        <v>3453.5650000000001</v>
      </c>
      <c r="V274" s="946">
        <v>0</v>
      </c>
      <c r="W274" s="946">
        <v>1547</v>
      </c>
      <c r="X274" s="946">
        <v>4960</v>
      </c>
      <c r="Y274" s="947"/>
      <c r="Z274" s="946">
        <v>2924</v>
      </c>
      <c r="AA274" s="948">
        <v>0</v>
      </c>
      <c r="AB274" s="946">
        <v>0</v>
      </c>
      <c r="AC274" s="974">
        <v>0</v>
      </c>
      <c r="AD274" s="946">
        <v>435816.47499999998</v>
      </c>
      <c r="AE274" s="957">
        <v>0</v>
      </c>
      <c r="AG274" s="957">
        <v>1010</v>
      </c>
      <c r="AH274" s="955">
        <v>0</v>
      </c>
      <c r="AI274" s="425">
        <v>0</v>
      </c>
      <c r="AJ274" s="957">
        <v>0</v>
      </c>
      <c r="AL274" s="939">
        <v>1</v>
      </c>
      <c r="AM274" s="939">
        <v>1</v>
      </c>
      <c r="AN274" s="950">
        <v>11939.083059999999</v>
      </c>
      <c r="AO274" s="946">
        <v>0</v>
      </c>
      <c r="AP274" s="946">
        <v>0</v>
      </c>
      <c r="AQ274" s="953"/>
      <c r="AR274" s="950"/>
      <c r="AS274" s="950">
        <v>0</v>
      </c>
    </row>
    <row r="275" spans="1:45" x14ac:dyDescent="0.3">
      <c r="A275" s="642" t="s">
        <v>901</v>
      </c>
      <c r="B275" s="642" t="s">
        <v>902</v>
      </c>
      <c r="C275" s="642" t="s">
        <v>900</v>
      </c>
      <c r="D275" s="642" t="s">
        <v>5418</v>
      </c>
      <c r="F275" s="946">
        <v>0</v>
      </c>
      <c r="H275" s="946">
        <v>0</v>
      </c>
      <c r="I275" s="939">
        <v>0</v>
      </c>
      <c r="J275" s="974">
        <v>0</v>
      </c>
      <c r="L275" s="946">
        <v>0</v>
      </c>
      <c r="M275" s="947"/>
      <c r="N275" s="946">
        <v>0</v>
      </c>
      <c r="P275" s="946">
        <v>0</v>
      </c>
      <c r="R275" s="946">
        <v>0</v>
      </c>
      <c r="S275" s="948">
        <v>0</v>
      </c>
      <c r="T275" s="946">
        <v>0</v>
      </c>
      <c r="V275" s="946">
        <v>0</v>
      </c>
      <c r="W275" s="946">
        <v>0</v>
      </c>
      <c r="X275" s="946">
        <v>0</v>
      </c>
      <c r="Y275" s="947"/>
      <c r="Z275" s="946">
        <v>0</v>
      </c>
      <c r="AA275" s="948">
        <v>0</v>
      </c>
      <c r="AB275" s="946">
        <v>0</v>
      </c>
      <c r="AC275" s="974">
        <v>0</v>
      </c>
      <c r="AD275" s="946">
        <v>0</v>
      </c>
      <c r="AE275" s="957">
        <v>0</v>
      </c>
      <c r="AG275" s="957">
        <v>87</v>
      </c>
      <c r="AH275" s="955">
        <v>0</v>
      </c>
      <c r="AI275" s="425">
        <v>0</v>
      </c>
      <c r="AJ275" s="957">
        <v>0</v>
      </c>
      <c r="AL275" s="939">
        <v>0</v>
      </c>
      <c r="AM275" s="939">
        <v>0</v>
      </c>
      <c r="AN275" s="950">
        <v>16.655510000000003</v>
      </c>
      <c r="AO275" s="946">
        <v>0</v>
      </c>
      <c r="AP275" s="946">
        <v>0</v>
      </c>
      <c r="AQ275" s="953"/>
      <c r="AR275" s="950"/>
      <c r="AS275" s="950">
        <v>0</v>
      </c>
    </row>
    <row r="276" spans="1:45" x14ac:dyDescent="0.3">
      <c r="A276" s="642" t="s">
        <v>904</v>
      </c>
      <c r="B276" s="642" t="s">
        <v>905</v>
      </c>
      <c r="C276" s="642" t="s">
        <v>903</v>
      </c>
      <c r="D276" s="642" t="s">
        <v>61</v>
      </c>
      <c r="F276" s="946">
        <v>-1206</v>
      </c>
      <c r="H276" s="946">
        <v>0</v>
      </c>
      <c r="I276" s="939">
        <v>0</v>
      </c>
      <c r="J276" s="974">
        <v>0</v>
      </c>
      <c r="L276" s="946">
        <v>0</v>
      </c>
      <c r="M276" s="947"/>
      <c r="N276" s="946">
        <v>0</v>
      </c>
      <c r="P276" s="946">
        <v>0</v>
      </c>
      <c r="R276" s="946">
        <v>0</v>
      </c>
      <c r="S276" s="948">
        <v>0</v>
      </c>
      <c r="T276" s="946">
        <v>0</v>
      </c>
      <c r="V276" s="946">
        <v>178</v>
      </c>
      <c r="W276" s="946">
        <v>0</v>
      </c>
      <c r="X276" s="946">
        <v>281</v>
      </c>
      <c r="Y276" s="947"/>
      <c r="Z276" s="946">
        <v>462</v>
      </c>
      <c r="AA276" s="948">
        <v>126490</v>
      </c>
      <c r="AB276" s="946">
        <v>126.49</v>
      </c>
      <c r="AC276" s="974">
        <v>2439.8159999999998</v>
      </c>
      <c r="AD276" s="946">
        <v>9179.0949999999993</v>
      </c>
      <c r="AE276" s="957">
        <v>0</v>
      </c>
      <c r="AG276" s="957">
        <v>0</v>
      </c>
      <c r="AH276" s="955">
        <v>0</v>
      </c>
      <c r="AI276" s="425">
        <v>1</v>
      </c>
      <c r="AJ276" s="957">
        <v>0</v>
      </c>
      <c r="AL276" s="939">
        <v>0</v>
      </c>
      <c r="AM276" s="939">
        <v>0</v>
      </c>
      <c r="AN276" s="950">
        <v>628.21037999999999</v>
      </c>
      <c r="AO276" s="946">
        <v>0.186254578067857</v>
      </c>
      <c r="AP276" s="946">
        <v>186</v>
      </c>
      <c r="AQ276" s="953"/>
      <c r="AR276" s="950"/>
      <c r="AS276" s="950">
        <v>244.209</v>
      </c>
    </row>
    <row r="277" spans="1:45" x14ac:dyDescent="0.3">
      <c r="A277" s="642" t="s">
        <v>907</v>
      </c>
      <c r="B277" s="642" t="s">
        <v>908</v>
      </c>
      <c r="C277" s="642" t="s">
        <v>906</v>
      </c>
      <c r="D277" s="642" t="s">
        <v>125</v>
      </c>
      <c r="F277" s="946">
        <v>-10794</v>
      </c>
      <c r="H277" s="946">
        <v>0</v>
      </c>
      <c r="I277" s="939">
        <v>102217691</v>
      </c>
      <c r="J277" s="974">
        <v>102217.69100000001</v>
      </c>
      <c r="L277" s="946">
        <v>11569</v>
      </c>
      <c r="M277" s="947"/>
      <c r="N277" s="946">
        <v>0</v>
      </c>
      <c r="P277" s="946">
        <v>7753</v>
      </c>
      <c r="R277" s="946">
        <v>7480</v>
      </c>
      <c r="S277" s="948">
        <v>116885</v>
      </c>
      <c r="T277" s="946">
        <v>116.88500000000001</v>
      </c>
      <c r="V277" s="946">
        <v>1356</v>
      </c>
      <c r="W277" s="946">
        <v>536</v>
      </c>
      <c r="X277" s="946">
        <v>2896</v>
      </c>
      <c r="Y277" s="947"/>
      <c r="Z277" s="946">
        <v>2916</v>
      </c>
      <c r="AA277" s="948">
        <v>213076</v>
      </c>
      <c r="AB277" s="946">
        <v>213.07599999999999</v>
      </c>
      <c r="AC277" s="974">
        <v>704.85500000000002</v>
      </c>
      <c r="AD277" s="946">
        <v>92151.85</v>
      </c>
      <c r="AE277" s="957">
        <v>0</v>
      </c>
      <c r="AG277" s="957">
        <v>0</v>
      </c>
      <c r="AH277" s="955">
        <v>0</v>
      </c>
      <c r="AI277" s="425">
        <v>1</v>
      </c>
      <c r="AJ277" s="957">
        <v>0</v>
      </c>
      <c r="AL277" s="939">
        <v>1</v>
      </c>
      <c r="AM277" s="939">
        <v>1</v>
      </c>
      <c r="AN277" s="950">
        <v>12911.588179999999</v>
      </c>
      <c r="AO277" s="946">
        <v>0.30234761481493</v>
      </c>
      <c r="AP277" s="946">
        <v>302</v>
      </c>
      <c r="AQ277" s="953"/>
      <c r="AR277" s="950"/>
      <c r="AS277" s="950">
        <v>616.97699999999998</v>
      </c>
    </row>
    <row r="278" spans="1:45" x14ac:dyDescent="0.3">
      <c r="A278" s="642" t="s">
        <v>910</v>
      </c>
      <c r="B278" s="642" t="s">
        <v>911</v>
      </c>
      <c r="C278" s="642" t="s">
        <v>909</v>
      </c>
      <c r="D278" s="642" t="s">
        <v>125</v>
      </c>
      <c r="F278" s="946">
        <v>-10046</v>
      </c>
      <c r="H278" s="946">
        <v>0</v>
      </c>
      <c r="I278" s="939">
        <v>76688096</v>
      </c>
      <c r="J278" s="974">
        <v>76688.096000000005</v>
      </c>
      <c r="L278" s="946">
        <v>15940</v>
      </c>
      <c r="M278" s="947"/>
      <c r="N278" s="946">
        <v>0</v>
      </c>
      <c r="P278" s="946">
        <v>13502</v>
      </c>
      <c r="R278" s="946">
        <v>12933</v>
      </c>
      <c r="S278" s="948">
        <v>582142</v>
      </c>
      <c r="T278" s="946">
        <v>582.14200000000005</v>
      </c>
      <c r="V278" s="946">
        <v>1033</v>
      </c>
      <c r="W278" s="946">
        <v>867</v>
      </c>
      <c r="X278" s="946">
        <v>4021</v>
      </c>
      <c r="Y278" s="947"/>
      <c r="Z278" s="946">
        <v>1707</v>
      </c>
      <c r="AA278" s="948">
        <v>395193</v>
      </c>
      <c r="AB278" s="946">
        <v>395.19299999999998</v>
      </c>
      <c r="AC278" s="974">
        <v>0</v>
      </c>
      <c r="AD278" s="946">
        <v>123287.24</v>
      </c>
      <c r="AE278" s="957">
        <v>0</v>
      </c>
      <c r="AG278" s="957">
        <v>53</v>
      </c>
      <c r="AH278" s="955">
        <v>0</v>
      </c>
      <c r="AI278" s="425">
        <v>1</v>
      </c>
      <c r="AJ278" s="957">
        <v>0</v>
      </c>
      <c r="AL278" s="939">
        <v>1</v>
      </c>
      <c r="AM278" s="939">
        <v>1</v>
      </c>
      <c r="AN278" s="950">
        <v>6226.6398799999997</v>
      </c>
      <c r="AO278" s="946">
        <v>0.41588072872176801</v>
      </c>
      <c r="AP278" s="946">
        <v>416</v>
      </c>
      <c r="AQ278" s="953"/>
      <c r="AR278" s="950"/>
      <c r="AS278" s="950">
        <v>924.28899999999999</v>
      </c>
    </row>
    <row r="279" spans="1:45" x14ac:dyDescent="0.3">
      <c r="A279" s="642" t="s">
        <v>913</v>
      </c>
      <c r="B279" s="642" t="s">
        <v>914</v>
      </c>
      <c r="C279" s="642" t="s">
        <v>912</v>
      </c>
      <c r="D279" s="642" t="s">
        <v>125</v>
      </c>
      <c r="F279" s="946">
        <v>-12097</v>
      </c>
      <c r="H279" s="946">
        <v>0</v>
      </c>
      <c r="I279" s="939">
        <v>78023801</v>
      </c>
      <c r="J279" s="974">
        <v>78023.801000000007</v>
      </c>
      <c r="L279" s="946">
        <v>18605</v>
      </c>
      <c r="M279" s="947"/>
      <c r="N279" s="946">
        <v>0</v>
      </c>
      <c r="P279" s="946">
        <v>9218</v>
      </c>
      <c r="R279" s="946">
        <v>8616</v>
      </c>
      <c r="S279" s="948">
        <v>446562</v>
      </c>
      <c r="T279" s="946">
        <v>446.56200000000001</v>
      </c>
      <c r="V279" s="946">
        <v>1441</v>
      </c>
      <c r="W279" s="946">
        <v>601</v>
      </c>
      <c r="X279" s="946">
        <v>3345</v>
      </c>
      <c r="Y279" s="947"/>
      <c r="Z279" s="946">
        <v>905</v>
      </c>
      <c r="AA279" s="948">
        <v>241454</v>
      </c>
      <c r="AB279" s="946">
        <v>241.45400000000001</v>
      </c>
      <c r="AC279" s="974">
        <v>0</v>
      </c>
      <c r="AD279" s="946">
        <v>89845.544999999998</v>
      </c>
      <c r="AE279" s="957">
        <v>24605</v>
      </c>
      <c r="AG279" s="957">
        <v>45100</v>
      </c>
      <c r="AH279" s="955">
        <v>0</v>
      </c>
      <c r="AI279" s="425">
        <v>1</v>
      </c>
      <c r="AJ279" s="957">
        <v>0</v>
      </c>
      <c r="AL279" s="939">
        <v>1</v>
      </c>
      <c r="AM279" s="939">
        <v>1</v>
      </c>
      <c r="AN279" s="950">
        <v>19734.657039999998</v>
      </c>
      <c r="AO279" s="946">
        <v>0.53250113500235596</v>
      </c>
      <c r="AP279" s="946">
        <v>533</v>
      </c>
      <c r="AQ279" s="953"/>
      <c r="AR279" s="950"/>
      <c r="AS279" s="950">
        <v>821.69600000000003</v>
      </c>
    </row>
    <row r="280" spans="1:45" x14ac:dyDescent="0.3">
      <c r="A280" s="642" t="s">
        <v>916</v>
      </c>
      <c r="B280" s="642" t="s">
        <v>917</v>
      </c>
      <c r="C280" s="642" t="s">
        <v>915</v>
      </c>
      <c r="D280" s="642" t="s">
        <v>61</v>
      </c>
      <c r="F280" s="946">
        <v>-1</v>
      </c>
      <c r="H280" s="946">
        <v>0</v>
      </c>
      <c r="I280" s="939">
        <v>0</v>
      </c>
      <c r="J280" s="974">
        <v>0</v>
      </c>
      <c r="L280" s="946">
        <v>0</v>
      </c>
      <c r="M280" s="947"/>
      <c r="N280" s="946">
        <v>0</v>
      </c>
      <c r="P280" s="946">
        <v>0</v>
      </c>
      <c r="R280" s="946">
        <v>0</v>
      </c>
      <c r="S280" s="948">
        <v>0</v>
      </c>
      <c r="T280" s="946">
        <v>0</v>
      </c>
      <c r="V280" s="946">
        <v>330</v>
      </c>
      <c r="W280" s="946">
        <v>0</v>
      </c>
      <c r="X280" s="946">
        <v>383</v>
      </c>
      <c r="Y280" s="947"/>
      <c r="Z280" s="946">
        <v>1866</v>
      </c>
      <c r="AA280" s="948">
        <v>210265</v>
      </c>
      <c r="AB280" s="946">
        <v>210.26499999999999</v>
      </c>
      <c r="AC280" s="974">
        <v>384.375</v>
      </c>
      <c r="AD280" s="946">
        <v>13652.505999999999</v>
      </c>
      <c r="AE280" s="957">
        <v>0</v>
      </c>
      <c r="AG280" s="957" t="s">
        <v>5442</v>
      </c>
      <c r="AH280" s="955">
        <v>0</v>
      </c>
      <c r="AI280" s="425">
        <v>1</v>
      </c>
      <c r="AJ280" s="957" t="s">
        <v>5442</v>
      </c>
      <c r="AL280" s="939">
        <v>0</v>
      </c>
      <c r="AM280" s="939">
        <v>0</v>
      </c>
      <c r="AN280" s="950">
        <v>102.02828000000001</v>
      </c>
      <c r="AO280" s="946">
        <v>0.254335381105529</v>
      </c>
      <c r="AP280" s="946">
        <v>254</v>
      </c>
      <c r="AQ280" s="953"/>
      <c r="AR280" s="950"/>
      <c r="AS280" s="950">
        <v>452.33100000000002</v>
      </c>
    </row>
    <row r="281" spans="1:45" x14ac:dyDescent="0.3">
      <c r="A281" s="642" t="s">
        <v>919</v>
      </c>
      <c r="B281" s="642" t="s">
        <v>920</v>
      </c>
      <c r="C281" s="642" t="s">
        <v>918</v>
      </c>
      <c r="D281" s="642" t="s">
        <v>125</v>
      </c>
      <c r="F281" s="946">
        <v>-2108</v>
      </c>
      <c r="H281" s="946">
        <v>0</v>
      </c>
      <c r="I281" s="939">
        <v>86837817</v>
      </c>
      <c r="J281" s="974">
        <v>86837.816999999995</v>
      </c>
      <c r="L281" s="946">
        <v>10316</v>
      </c>
      <c r="M281" s="947"/>
      <c r="N281" s="946">
        <v>0</v>
      </c>
      <c r="P281" s="946">
        <v>4452</v>
      </c>
      <c r="R281" s="946">
        <v>2693</v>
      </c>
      <c r="S281" s="948">
        <v>234950</v>
      </c>
      <c r="T281" s="946">
        <v>234.95</v>
      </c>
      <c r="V281" s="946">
        <v>1556</v>
      </c>
      <c r="W281" s="946">
        <v>384</v>
      </c>
      <c r="X281" s="946">
        <v>2116</v>
      </c>
      <c r="Y281" s="947"/>
      <c r="Z281" s="946">
        <v>2038</v>
      </c>
      <c r="AA281" s="948">
        <v>149734</v>
      </c>
      <c r="AB281" s="946">
        <v>149.73400000000001</v>
      </c>
      <c r="AC281" s="974">
        <v>0</v>
      </c>
      <c r="AD281" s="946">
        <v>104403</v>
      </c>
      <c r="AE281" s="957">
        <v>50145</v>
      </c>
      <c r="AG281" s="957">
        <v>0</v>
      </c>
      <c r="AH281" s="955">
        <v>0</v>
      </c>
      <c r="AI281" s="425">
        <v>1</v>
      </c>
      <c r="AJ281" s="957">
        <v>0</v>
      </c>
      <c r="AL281" s="939">
        <v>1</v>
      </c>
      <c r="AM281" s="939">
        <v>1</v>
      </c>
      <c r="AN281" s="950">
        <v>11561.165000000001</v>
      </c>
      <c r="AO281" s="946">
        <v>0.29336586858790897</v>
      </c>
      <c r="AP281" s="946">
        <v>293</v>
      </c>
      <c r="AQ281" s="953"/>
      <c r="AR281" s="950"/>
      <c r="AS281" s="950">
        <v>509.49799999999999</v>
      </c>
    </row>
    <row r="282" spans="1:45" x14ac:dyDescent="0.3">
      <c r="A282" s="642" t="s">
        <v>922</v>
      </c>
      <c r="B282" s="642" t="s">
        <v>923</v>
      </c>
      <c r="C282" s="642" t="s">
        <v>921</v>
      </c>
      <c r="D282" s="642" t="s">
        <v>1940</v>
      </c>
      <c r="F282" s="946">
        <v>-10783</v>
      </c>
      <c r="H282" s="946">
        <v>0</v>
      </c>
      <c r="I282" s="939">
        <v>270164861</v>
      </c>
      <c r="J282" s="974">
        <v>270164.86099999998</v>
      </c>
      <c r="L282" s="946">
        <v>14576</v>
      </c>
      <c r="M282" s="947"/>
      <c r="N282" s="946">
        <v>0</v>
      </c>
      <c r="P282" s="946">
        <v>10442</v>
      </c>
      <c r="R282" s="946">
        <v>10081</v>
      </c>
      <c r="S282" s="948">
        <v>741798</v>
      </c>
      <c r="T282" s="946">
        <v>741.798</v>
      </c>
      <c r="V282" s="946">
        <v>5299</v>
      </c>
      <c r="W282" s="946">
        <v>753</v>
      </c>
      <c r="X282" s="946">
        <v>3684</v>
      </c>
      <c r="Y282" s="947"/>
      <c r="Z282" s="946">
        <v>1126</v>
      </c>
      <c r="AA282" s="948">
        <v>307239</v>
      </c>
      <c r="AB282" s="946">
        <v>307.23899999999998</v>
      </c>
      <c r="AC282" s="974">
        <v>0</v>
      </c>
      <c r="AD282" s="946">
        <v>133421.717</v>
      </c>
      <c r="AE282" s="957">
        <v>9339</v>
      </c>
      <c r="AG282" s="957">
        <v>0</v>
      </c>
      <c r="AH282" s="955">
        <v>0</v>
      </c>
      <c r="AI282" s="425">
        <v>1</v>
      </c>
      <c r="AJ282" s="957">
        <v>0</v>
      </c>
      <c r="AL282" s="939">
        <v>1</v>
      </c>
      <c r="AM282" s="939">
        <v>1</v>
      </c>
      <c r="AN282" s="950">
        <v>7130.77</v>
      </c>
      <c r="AO282" s="946">
        <v>0.53345985848511401</v>
      </c>
      <c r="AP282" s="946">
        <v>533</v>
      </c>
      <c r="AQ282" s="953"/>
      <c r="AR282" s="950"/>
      <c r="AS282" s="950">
        <v>804.69200000000001</v>
      </c>
    </row>
    <row r="283" spans="1:45" x14ac:dyDescent="0.3">
      <c r="A283" s="642" t="s">
        <v>925</v>
      </c>
      <c r="B283" s="642" t="s">
        <v>926</v>
      </c>
      <c r="C283" s="642" t="s">
        <v>924</v>
      </c>
      <c r="D283" s="642" t="s">
        <v>125</v>
      </c>
      <c r="F283" s="946">
        <v>-7704</v>
      </c>
      <c r="H283" s="946">
        <v>0</v>
      </c>
      <c r="I283" s="939">
        <v>38461321</v>
      </c>
      <c r="J283" s="974">
        <v>38461.321000000004</v>
      </c>
      <c r="L283" s="946">
        <v>12189</v>
      </c>
      <c r="M283" s="947"/>
      <c r="N283" s="946">
        <v>0</v>
      </c>
      <c r="P283" s="946">
        <v>7597</v>
      </c>
      <c r="R283" s="946">
        <v>6928</v>
      </c>
      <c r="S283" s="948">
        <v>340256</v>
      </c>
      <c r="T283" s="946">
        <v>340.25599999999997</v>
      </c>
      <c r="V283" s="946">
        <v>226</v>
      </c>
      <c r="W283" s="946">
        <v>486</v>
      </c>
      <c r="X283" s="946">
        <v>2486</v>
      </c>
      <c r="Y283" s="947"/>
      <c r="Z283" s="946">
        <v>949</v>
      </c>
      <c r="AA283" s="948">
        <v>221212</v>
      </c>
      <c r="AB283" s="946">
        <v>221.21199999999999</v>
      </c>
      <c r="AC283" s="974">
        <v>592.82000000000005</v>
      </c>
      <c r="AD283" s="946">
        <v>70776.945999999996</v>
      </c>
      <c r="AE283" s="957">
        <v>0</v>
      </c>
      <c r="AG283" s="957">
        <v>0</v>
      </c>
      <c r="AH283" s="955">
        <v>0</v>
      </c>
      <c r="AI283" s="425">
        <v>1</v>
      </c>
      <c r="AJ283" s="957">
        <v>0</v>
      </c>
      <c r="AL283" s="939">
        <v>1</v>
      </c>
      <c r="AM283" s="939">
        <v>1</v>
      </c>
      <c r="AN283" s="950">
        <v>1961.7662700000001</v>
      </c>
      <c r="AO283" s="946">
        <v>0.239074105822495</v>
      </c>
      <c r="AP283" s="946">
        <v>239</v>
      </c>
      <c r="AQ283" s="953"/>
      <c r="AR283" s="950"/>
      <c r="AS283" s="950">
        <v>518.35199999999998</v>
      </c>
    </row>
    <row r="284" spans="1:45" x14ac:dyDescent="0.3">
      <c r="A284" s="642" t="s">
        <v>928</v>
      </c>
      <c r="B284" s="642" t="s">
        <v>929</v>
      </c>
      <c r="C284" s="642" t="s">
        <v>927</v>
      </c>
      <c r="D284" s="642" t="s">
        <v>61</v>
      </c>
      <c r="F284" s="946">
        <v>0</v>
      </c>
      <c r="H284" s="946">
        <v>0</v>
      </c>
      <c r="I284" s="939">
        <v>0</v>
      </c>
      <c r="J284" s="974">
        <v>0</v>
      </c>
      <c r="L284" s="946">
        <v>0</v>
      </c>
      <c r="M284" s="947"/>
      <c r="N284" s="946">
        <v>0</v>
      </c>
      <c r="P284" s="946">
        <v>0</v>
      </c>
      <c r="R284" s="946">
        <v>0</v>
      </c>
      <c r="S284" s="948">
        <v>0</v>
      </c>
      <c r="T284" s="946">
        <v>0</v>
      </c>
      <c r="V284" s="946">
        <v>322</v>
      </c>
      <c r="W284" s="946">
        <v>0</v>
      </c>
      <c r="X284" s="946">
        <v>152</v>
      </c>
      <c r="Y284" s="947"/>
      <c r="Z284" s="946">
        <v>330</v>
      </c>
      <c r="AA284" s="948">
        <v>97247</v>
      </c>
      <c r="AB284" s="946">
        <v>97.247</v>
      </c>
      <c r="AC284" s="974">
        <v>15</v>
      </c>
      <c r="AD284" s="946">
        <v>6761.7719999999999</v>
      </c>
      <c r="AE284" s="957" t="s">
        <v>5589</v>
      </c>
      <c r="AG284" s="957">
        <v>0</v>
      </c>
      <c r="AH284" s="955" t="s">
        <v>5442</v>
      </c>
      <c r="AI284" s="425">
        <v>1</v>
      </c>
      <c r="AJ284" s="957">
        <v>0</v>
      </c>
      <c r="AL284" s="939">
        <v>0</v>
      </c>
      <c r="AM284" s="939">
        <v>0</v>
      </c>
      <c r="AN284" s="950">
        <v>3315.0149999999999</v>
      </c>
      <c r="AO284" s="946">
        <v>0.100935768324449</v>
      </c>
      <c r="AP284" s="946">
        <v>101</v>
      </c>
      <c r="AQ284" s="953"/>
      <c r="AR284" s="950"/>
      <c r="AS284" s="950">
        <v>230.53100000000001</v>
      </c>
    </row>
    <row r="285" spans="1:45" x14ac:dyDescent="0.3">
      <c r="A285" s="642" t="s">
        <v>931</v>
      </c>
      <c r="B285" s="642" t="s">
        <v>932</v>
      </c>
      <c r="C285" s="642" t="s">
        <v>930</v>
      </c>
      <c r="D285" s="642" t="s">
        <v>61</v>
      </c>
      <c r="F285" s="946">
        <v>0</v>
      </c>
      <c r="H285" s="946">
        <v>0</v>
      </c>
      <c r="I285" s="939">
        <v>0</v>
      </c>
      <c r="J285" s="974">
        <v>0</v>
      </c>
      <c r="L285" s="946">
        <v>0</v>
      </c>
      <c r="M285" s="947"/>
      <c r="N285" s="946">
        <v>0</v>
      </c>
      <c r="P285" s="946">
        <v>0</v>
      </c>
      <c r="R285" s="946">
        <v>0</v>
      </c>
      <c r="S285" s="948">
        <v>0</v>
      </c>
      <c r="T285" s="946">
        <v>0</v>
      </c>
      <c r="V285" s="946">
        <v>679</v>
      </c>
      <c r="W285" s="946">
        <v>0</v>
      </c>
      <c r="X285" s="946">
        <v>164</v>
      </c>
      <c r="Y285" s="947"/>
      <c r="Z285" s="946">
        <v>1494</v>
      </c>
      <c r="AA285" s="948">
        <v>106553</v>
      </c>
      <c r="AB285" s="946">
        <v>106.553</v>
      </c>
      <c r="AC285" s="974">
        <v>507.416</v>
      </c>
      <c r="AD285" s="946">
        <v>15606.531999999999</v>
      </c>
      <c r="AE285" s="957">
        <v>0</v>
      </c>
      <c r="AG285" s="957">
        <v>0</v>
      </c>
      <c r="AH285" s="955">
        <v>0</v>
      </c>
      <c r="AI285" s="425">
        <v>1</v>
      </c>
      <c r="AJ285" s="957">
        <v>0</v>
      </c>
      <c r="AL285" s="939">
        <v>0</v>
      </c>
      <c r="AM285" s="939">
        <v>0</v>
      </c>
      <c r="AN285" s="950">
        <v>0</v>
      </c>
      <c r="AO285" s="946">
        <v>0.10913265190957901</v>
      </c>
      <c r="AP285" s="946">
        <v>109</v>
      </c>
      <c r="AQ285" s="953"/>
      <c r="AR285" s="950"/>
      <c r="AS285" s="950">
        <v>265.64600000000002</v>
      </c>
    </row>
    <row r="286" spans="1:45" x14ac:dyDescent="0.3">
      <c r="A286" s="642" t="s">
        <v>934</v>
      </c>
      <c r="B286" s="642" t="s">
        <v>935</v>
      </c>
      <c r="C286" s="642" t="s">
        <v>933</v>
      </c>
      <c r="D286" s="642" t="s">
        <v>61</v>
      </c>
      <c r="F286" s="946">
        <v>0</v>
      </c>
      <c r="H286" s="946">
        <v>0</v>
      </c>
      <c r="I286" s="939">
        <v>0</v>
      </c>
      <c r="J286" s="974">
        <v>0</v>
      </c>
      <c r="L286" s="946">
        <v>0</v>
      </c>
      <c r="M286" s="947"/>
      <c r="N286" s="946">
        <v>113</v>
      </c>
      <c r="P286" s="946">
        <v>0</v>
      </c>
      <c r="R286" s="946">
        <v>0</v>
      </c>
      <c r="S286" s="948">
        <v>0</v>
      </c>
      <c r="T286" s="946">
        <v>0</v>
      </c>
      <c r="V286" s="946">
        <v>70</v>
      </c>
      <c r="W286" s="946">
        <v>0</v>
      </c>
      <c r="X286" s="946">
        <v>93</v>
      </c>
      <c r="Y286" s="947"/>
      <c r="Z286" s="946">
        <v>1206</v>
      </c>
      <c r="AA286" s="948">
        <v>37158</v>
      </c>
      <c r="AB286" s="946">
        <v>37.158000000000001</v>
      </c>
      <c r="AC286" s="974">
        <v>517.34699999999998</v>
      </c>
      <c r="AD286" s="946">
        <v>4462.7690000000002</v>
      </c>
      <c r="AE286" s="957">
        <v>0</v>
      </c>
      <c r="AG286" s="957">
        <v>1353</v>
      </c>
      <c r="AH286" s="955">
        <v>0</v>
      </c>
      <c r="AI286" s="425">
        <v>1</v>
      </c>
      <c r="AJ286" s="957">
        <v>0</v>
      </c>
      <c r="AL286" s="939">
        <v>0</v>
      </c>
      <c r="AM286" s="939">
        <v>0</v>
      </c>
      <c r="AN286" s="950">
        <v>2.5666700000000002</v>
      </c>
      <c r="AO286" s="946">
        <v>6.1959683359532398E-2</v>
      </c>
      <c r="AP286" s="946">
        <v>62</v>
      </c>
      <c r="AQ286" s="953"/>
      <c r="AR286" s="950"/>
      <c r="AS286" s="950">
        <v>72.611999999999995</v>
      </c>
    </row>
    <row r="287" spans="1:45" x14ac:dyDescent="0.3">
      <c r="A287" s="642" t="s">
        <v>937</v>
      </c>
      <c r="B287" s="642" t="s">
        <v>938</v>
      </c>
      <c r="C287" s="642" t="s">
        <v>936</v>
      </c>
      <c r="D287" s="642" t="s">
        <v>1940</v>
      </c>
      <c r="F287" s="946">
        <v>-4</v>
      </c>
      <c r="H287" s="946">
        <v>0</v>
      </c>
      <c r="I287" s="939">
        <v>122587823</v>
      </c>
      <c r="J287" s="974">
        <v>122587.823</v>
      </c>
      <c r="L287" s="946">
        <v>9874</v>
      </c>
      <c r="M287" s="947"/>
      <c r="N287" s="946">
        <v>0</v>
      </c>
      <c r="P287" s="946">
        <v>5167</v>
      </c>
      <c r="R287" s="946">
        <v>776</v>
      </c>
      <c r="S287" s="948">
        <v>384140</v>
      </c>
      <c r="T287" s="946">
        <v>384.14</v>
      </c>
      <c r="V287" s="946">
        <v>1438</v>
      </c>
      <c r="W287" s="946">
        <v>446</v>
      </c>
      <c r="X287" s="946">
        <v>1556</v>
      </c>
      <c r="Y287" s="947"/>
      <c r="Z287" s="946">
        <v>26</v>
      </c>
      <c r="AA287" s="948">
        <v>175239</v>
      </c>
      <c r="AB287" s="946">
        <v>175.239</v>
      </c>
      <c r="AC287" s="974">
        <v>0</v>
      </c>
      <c r="AD287" s="946">
        <v>144225.70199999999</v>
      </c>
      <c r="AE287" s="957">
        <v>0</v>
      </c>
      <c r="AG287" s="957">
        <v>917</v>
      </c>
      <c r="AH287" s="955">
        <v>0</v>
      </c>
      <c r="AI287" s="425">
        <v>1</v>
      </c>
      <c r="AJ287" s="957">
        <v>0</v>
      </c>
      <c r="AL287" s="939">
        <v>1</v>
      </c>
      <c r="AM287" s="939">
        <v>1</v>
      </c>
      <c r="AN287" s="950">
        <v>3256.7839300000001</v>
      </c>
      <c r="AO287" s="946">
        <v>0.65864635005955097</v>
      </c>
      <c r="AP287" s="946">
        <v>659</v>
      </c>
      <c r="AQ287" s="953"/>
      <c r="AR287" s="950"/>
      <c r="AS287" s="950">
        <v>417.262</v>
      </c>
    </row>
    <row r="288" spans="1:45" x14ac:dyDescent="0.3">
      <c r="A288" s="642" t="s">
        <v>940</v>
      </c>
      <c r="B288" s="642" t="s">
        <v>941</v>
      </c>
      <c r="C288" s="642" t="s">
        <v>939</v>
      </c>
      <c r="D288" s="642" t="s">
        <v>61</v>
      </c>
      <c r="F288" s="946">
        <v>0</v>
      </c>
      <c r="H288" s="946">
        <v>0</v>
      </c>
      <c r="I288" s="939">
        <v>0</v>
      </c>
      <c r="J288" s="974">
        <v>0</v>
      </c>
      <c r="L288" s="946">
        <v>0</v>
      </c>
      <c r="M288" s="947"/>
      <c r="N288" s="946">
        <v>380</v>
      </c>
      <c r="P288" s="946">
        <v>0</v>
      </c>
      <c r="R288" s="946">
        <v>0</v>
      </c>
      <c r="S288" s="948">
        <v>0</v>
      </c>
      <c r="T288" s="946">
        <v>0</v>
      </c>
      <c r="V288" s="946">
        <v>134</v>
      </c>
      <c r="W288" s="946">
        <v>0</v>
      </c>
      <c r="X288" s="946">
        <v>104</v>
      </c>
      <c r="Y288" s="947"/>
      <c r="Z288" s="946">
        <v>195</v>
      </c>
      <c r="AA288" s="948">
        <v>36396</v>
      </c>
      <c r="AB288" s="946">
        <v>36.396000000000001</v>
      </c>
      <c r="AC288" s="974">
        <v>706.66700000000003</v>
      </c>
      <c r="AD288" s="946">
        <v>5158.7259999999997</v>
      </c>
      <c r="AE288" s="957">
        <v>951</v>
      </c>
      <c r="AG288" s="957">
        <v>0</v>
      </c>
      <c r="AH288" s="955">
        <v>0</v>
      </c>
      <c r="AI288" s="425">
        <v>1</v>
      </c>
      <c r="AJ288" s="957">
        <v>0</v>
      </c>
      <c r="AL288" s="939">
        <v>0</v>
      </c>
      <c r="AM288" s="939">
        <v>0</v>
      </c>
      <c r="AN288" s="950">
        <v>370.85202000000004</v>
      </c>
      <c r="AO288" s="946">
        <v>6.8815345277991602E-2</v>
      </c>
      <c r="AP288" s="946">
        <v>69</v>
      </c>
      <c r="AQ288" s="953"/>
      <c r="AR288" s="950"/>
      <c r="AS288" s="950">
        <v>87.072999999999993</v>
      </c>
    </row>
    <row r="289" spans="1:45" x14ac:dyDescent="0.3">
      <c r="A289" s="642" t="s">
        <v>943</v>
      </c>
      <c r="B289" s="642" t="s">
        <v>944</v>
      </c>
      <c r="C289" s="642" t="s">
        <v>942</v>
      </c>
      <c r="D289" s="642" t="s">
        <v>97</v>
      </c>
      <c r="F289" s="946">
        <v>0</v>
      </c>
      <c r="H289" s="946">
        <v>0</v>
      </c>
      <c r="I289" s="939">
        <v>172478995</v>
      </c>
      <c r="J289" s="974">
        <v>172478.995</v>
      </c>
      <c r="L289" s="946">
        <v>0</v>
      </c>
      <c r="M289" s="947"/>
      <c r="N289" s="946">
        <v>0</v>
      </c>
      <c r="P289" s="946">
        <v>12159</v>
      </c>
      <c r="R289" s="946">
        <v>12278</v>
      </c>
      <c r="S289" s="948">
        <v>493978</v>
      </c>
      <c r="T289" s="946">
        <v>493.97800000000001</v>
      </c>
      <c r="V289" s="946">
        <v>701</v>
      </c>
      <c r="W289" s="946">
        <v>748</v>
      </c>
      <c r="X289" s="946">
        <v>4230</v>
      </c>
      <c r="Y289" s="947"/>
      <c r="Z289" s="946">
        <v>1246</v>
      </c>
      <c r="AA289" s="948">
        <v>362545</v>
      </c>
      <c r="AB289" s="946">
        <v>362.54500000000002</v>
      </c>
      <c r="AC289" s="974">
        <v>0</v>
      </c>
      <c r="AD289" s="946">
        <v>100037.29</v>
      </c>
      <c r="AE289" s="957">
        <v>0</v>
      </c>
      <c r="AG289" s="957">
        <v>155</v>
      </c>
      <c r="AH289" s="955">
        <v>0</v>
      </c>
      <c r="AI289" s="425">
        <v>1</v>
      </c>
      <c r="AJ289" s="957">
        <v>0</v>
      </c>
      <c r="AL289" s="939">
        <v>1</v>
      </c>
      <c r="AM289" s="939">
        <v>1</v>
      </c>
      <c r="AN289" s="950">
        <v>2223.8740900000003</v>
      </c>
      <c r="AO289" s="946">
        <v>0.38895603790952898</v>
      </c>
      <c r="AP289" s="946">
        <v>389</v>
      </c>
      <c r="AQ289" s="953"/>
      <c r="AR289" s="950"/>
      <c r="AS289" s="950">
        <v>830.16499999999996</v>
      </c>
    </row>
    <row r="290" spans="1:45" x14ac:dyDescent="0.3">
      <c r="A290" s="642" t="s">
        <v>946</v>
      </c>
      <c r="B290" s="642" t="s">
        <v>947</v>
      </c>
      <c r="C290" s="642" t="s">
        <v>945</v>
      </c>
      <c r="D290" s="642" t="s">
        <v>61</v>
      </c>
      <c r="F290" s="946">
        <v>0</v>
      </c>
      <c r="H290" s="946">
        <v>0</v>
      </c>
      <c r="I290" s="939">
        <v>0</v>
      </c>
      <c r="J290" s="974">
        <v>0</v>
      </c>
      <c r="L290" s="946">
        <v>0</v>
      </c>
      <c r="M290" s="947"/>
      <c r="N290" s="946">
        <v>0</v>
      </c>
      <c r="P290" s="946">
        <v>0</v>
      </c>
      <c r="R290" s="946">
        <v>0</v>
      </c>
      <c r="S290" s="948">
        <v>0</v>
      </c>
      <c r="T290" s="946">
        <v>0</v>
      </c>
      <c r="V290" s="946">
        <v>285</v>
      </c>
      <c r="W290" s="946">
        <v>0</v>
      </c>
      <c r="X290" s="946">
        <v>120</v>
      </c>
      <c r="Y290" s="947"/>
      <c r="Z290" s="946">
        <v>660</v>
      </c>
      <c r="AA290" s="948">
        <v>61690</v>
      </c>
      <c r="AB290" s="946">
        <v>61.69</v>
      </c>
      <c r="AC290" s="974">
        <v>1760.9010000000001</v>
      </c>
      <c r="AD290" s="946">
        <v>9779.4959999999992</v>
      </c>
      <c r="AE290" s="957">
        <v>0</v>
      </c>
      <c r="AG290" s="957">
        <v>2616</v>
      </c>
      <c r="AH290" s="955">
        <v>0</v>
      </c>
      <c r="AI290" s="425">
        <v>1</v>
      </c>
      <c r="AJ290" s="957">
        <v>0</v>
      </c>
      <c r="AL290" s="939">
        <v>0</v>
      </c>
      <c r="AM290" s="939">
        <v>0</v>
      </c>
      <c r="AN290" s="950">
        <v>0</v>
      </c>
      <c r="AO290" s="946">
        <v>7.9499645654474496E-2</v>
      </c>
      <c r="AP290" s="946">
        <v>79</v>
      </c>
      <c r="AQ290" s="953"/>
      <c r="AR290" s="950"/>
      <c r="AS290" s="950">
        <v>127.979</v>
      </c>
    </row>
    <row r="291" spans="1:45" x14ac:dyDescent="0.3">
      <c r="A291" s="642" t="s">
        <v>949</v>
      </c>
      <c r="B291" s="642" t="s">
        <v>950</v>
      </c>
      <c r="C291" s="642" t="s">
        <v>948</v>
      </c>
      <c r="D291" s="642" t="s">
        <v>61</v>
      </c>
      <c r="F291" s="946">
        <v>0</v>
      </c>
      <c r="H291" s="946">
        <v>0</v>
      </c>
      <c r="I291" s="939">
        <v>0</v>
      </c>
      <c r="J291" s="974">
        <v>0</v>
      </c>
      <c r="L291" s="946">
        <v>0</v>
      </c>
      <c r="M291" s="947"/>
      <c r="N291" s="946">
        <v>0</v>
      </c>
      <c r="P291" s="946">
        <v>0</v>
      </c>
      <c r="R291" s="946">
        <v>0</v>
      </c>
      <c r="S291" s="948">
        <v>0</v>
      </c>
      <c r="T291" s="946">
        <v>0</v>
      </c>
      <c r="V291" s="946">
        <v>142</v>
      </c>
      <c r="W291" s="946">
        <v>0</v>
      </c>
      <c r="X291" s="946">
        <v>150</v>
      </c>
      <c r="Y291" s="947"/>
      <c r="Z291" s="946">
        <v>132</v>
      </c>
      <c r="AA291" s="948">
        <v>84089</v>
      </c>
      <c r="AB291" s="946">
        <v>84.088999999999999</v>
      </c>
      <c r="AC291" s="974">
        <v>58.33</v>
      </c>
      <c r="AD291" s="946">
        <v>6042.9939999999997</v>
      </c>
      <c r="AE291" s="957">
        <v>0</v>
      </c>
      <c r="AG291" s="957">
        <v>0</v>
      </c>
      <c r="AH291" s="955">
        <v>0</v>
      </c>
      <c r="AI291" s="425">
        <v>1</v>
      </c>
      <c r="AJ291" s="957">
        <v>0</v>
      </c>
      <c r="AL291" s="939">
        <v>0</v>
      </c>
      <c r="AM291" s="939">
        <v>0</v>
      </c>
      <c r="AN291" s="950">
        <v>128.4504</v>
      </c>
      <c r="AO291" s="946">
        <v>9.9708642339038894E-2</v>
      </c>
      <c r="AP291" s="946">
        <v>100</v>
      </c>
      <c r="AQ291" s="953"/>
      <c r="AR291" s="950"/>
      <c r="AS291" s="950">
        <v>183.66</v>
      </c>
    </row>
    <row r="292" spans="1:45" x14ac:dyDescent="0.3">
      <c r="A292" s="642" t="s">
        <v>952</v>
      </c>
      <c r="B292" s="642" t="s">
        <v>953</v>
      </c>
      <c r="C292" s="642" t="s">
        <v>951</v>
      </c>
      <c r="D292" s="642" t="s">
        <v>61</v>
      </c>
      <c r="F292" s="946">
        <v>0</v>
      </c>
      <c r="H292" s="946">
        <v>0</v>
      </c>
      <c r="I292" s="939">
        <v>0</v>
      </c>
      <c r="J292" s="974">
        <v>0</v>
      </c>
      <c r="L292" s="946">
        <v>0</v>
      </c>
      <c r="M292" s="947"/>
      <c r="N292" s="946">
        <v>64</v>
      </c>
      <c r="P292" s="946">
        <v>0</v>
      </c>
      <c r="R292" s="946">
        <v>0</v>
      </c>
      <c r="S292" s="948">
        <v>0</v>
      </c>
      <c r="T292" s="946">
        <v>0</v>
      </c>
      <c r="V292" s="946">
        <v>470</v>
      </c>
      <c r="W292" s="946">
        <v>0</v>
      </c>
      <c r="X292" s="946">
        <v>164</v>
      </c>
      <c r="Y292" s="947"/>
      <c r="Z292" s="946">
        <v>467</v>
      </c>
      <c r="AA292" s="948">
        <v>110552</v>
      </c>
      <c r="AB292" s="946">
        <v>110.55200000000001</v>
      </c>
      <c r="AC292" s="974">
        <v>2349.8110000000001</v>
      </c>
      <c r="AD292" s="946">
        <v>10444.103999999999</v>
      </c>
      <c r="AE292" s="957">
        <v>0</v>
      </c>
      <c r="AG292" s="957">
        <v>0</v>
      </c>
      <c r="AH292" s="955">
        <v>-900</v>
      </c>
      <c r="AI292" s="425">
        <v>1</v>
      </c>
      <c r="AJ292" s="957">
        <v>0</v>
      </c>
      <c r="AL292" s="939">
        <v>0</v>
      </c>
      <c r="AM292" s="939">
        <v>0</v>
      </c>
      <c r="AN292" s="950">
        <v>551.78404999999998</v>
      </c>
      <c r="AO292" s="946">
        <v>0.10866811729935499</v>
      </c>
      <c r="AP292" s="946">
        <v>109</v>
      </c>
      <c r="AQ292" s="953"/>
      <c r="AR292" s="950"/>
      <c r="AS292" s="950">
        <v>228.31299999999999</v>
      </c>
    </row>
    <row r="293" spans="1:45" x14ac:dyDescent="0.3">
      <c r="A293" s="642" t="s">
        <v>955</v>
      </c>
      <c r="B293" s="642" t="s">
        <v>956</v>
      </c>
      <c r="C293" s="642" t="s">
        <v>954</v>
      </c>
      <c r="D293" s="642" t="s">
        <v>97</v>
      </c>
      <c r="F293" s="946">
        <v>-15653</v>
      </c>
      <c r="H293" s="946">
        <v>0</v>
      </c>
      <c r="I293" s="939">
        <v>90952918</v>
      </c>
      <c r="J293" s="974">
        <v>90952.918000000005</v>
      </c>
      <c r="L293" s="946">
        <v>17209</v>
      </c>
      <c r="M293" s="947"/>
      <c r="N293" s="946">
        <v>0</v>
      </c>
      <c r="P293" s="946">
        <v>14757</v>
      </c>
      <c r="R293" s="946">
        <v>14481</v>
      </c>
      <c r="S293" s="948">
        <v>1441640</v>
      </c>
      <c r="T293" s="946">
        <v>1441.64</v>
      </c>
      <c r="V293" s="946">
        <v>579</v>
      </c>
      <c r="W293" s="946">
        <v>908</v>
      </c>
      <c r="X293" s="946">
        <v>4426</v>
      </c>
      <c r="Y293" s="947"/>
      <c r="Z293" s="946">
        <v>1292</v>
      </c>
      <c r="AA293" s="948">
        <v>386890</v>
      </c>
      <c r="AB293" s="946">
        <v>386.89</v>
      </c>
      <c r="AC293" s="974">
        <v>3350.3980000000001</v>
      </c>
      <c r="AD293" s="946">
        <v>123910.26700000001</v>
      </c>
      <c r="AE293" s="957">
        <v>10524</v>
      </c>
      <c r="AG293" s="957">
        <v>0</v>
      </c>
      <c r="AH293" s="955">
        <v>-1000</v>
      </c>
      <c r="AI293" s="425">
        <v>1</v>
      </c>
      <c r="AJ293" s="957">
        <v>0</v>
      </c>
      <c r="AL293" s="939">
        <v>1</v>
      </c>
      <c r="AM293" s="939">
        <v>1</v>
      </c>
      <c r="AN293" s="950">
        <v>10918.84244</v>
      </c>
      <c r="AO293" s="946">
        <v>0.38030122492324803</v>
      </c>
      <c r="AP293" s="946">
        <v>380</v>
      </c>
      <c r="AQ293" s="953"/>
      <c r="AR293" s="950"/>
      <c r="AS293" s="950">
        <v>861.12</v>
      </c>
    </row>
    <row r="294" spans="1:45" x14ac:dyDescent="0.3">
      <c r="A294" s="642" t="s">
        <v>958</v>
      </c>
      <c r="B294" s="642" t="s">
        <v>959</v>
      </c>
      <c r="C294" s="642" t="s">
        <v>957</v>
      </c>
      <c r="D294" s="642" t="s">
        <v>61</v>
      </c>
      <c r="F294" s="946">
        <v>0</v>
      </c>
      <c r="H294" s="946">
        <v>0</v>
      </c>
      <c r="I294" s="939">
        <v>0</v>
      </c>
      <c r="J294" s="974">
        <v>0</v>
      </c>
      <c r="L294" s="946">
        <v>0</v>
      </c>
      <c r="M294" s="947"/>
      <c r="N294" s="946">
        <v>0</v>
      </c>
      <c r="P294" s="946">
        <v>0</v>
      </c>
      <c r="R294" s="946">
        <v>0</v>
      </c>
      <c r="S294" s="948">
        <v>0</v>
      </c>
      <c r="T294" s="946">
        <v>0</v>
      </c>
      <c r="V294" s="946">
        <v>312</v>
      </c>
      <c r="W294" s="946">
        <v>0</v>
      </c>
      <c r="X294" s="946">
        <v>166</v>
      </c>
      <c r="Y294" s="947"/>
      <c r="Z294" s="946">
        <v>1934</v>
      </c>
      <c r="AA294" s="948">
        <v>95686</v>
      </c>
      <c r="AB294" s="946">
        <v>95.686000000000007</v>
      </c>
      <c r="AC294" s="974">
        <v>940.03700000000003</v>
      </c>
      <c r="AD294" s="946">
        <v>9023.41</v>
      </c>
      <c r="AE294" s="957">
        <v>19714</v>
      </c>
      <c r="AG294" s="957">
        <v>0</v>
      </c>
      <c r="AH294" s="955">
        <v>0</v>
      </c>
      <c r="AI294" s="425">
        <v>1</v>
      </c>
      <c r="AJ294" s="957">
        <v>0</v>
      </c>
      <c r="AL294" s="939">
        <v>0</v>
      </c>
      <c r="AM294" s="939">
        <v>0</v>
      </c>
      <c r="AN294" s="950">
        <v>1334.7104199999999</v>
      </c>
      <c r="AO294" s="946">
        <v>0.110450144663196</v>
      </c>
      <c r="AP294" s="946">
        <v>110</v>
      </c>
      <c r="AQ294" s="953"/>
      <c r="AR294" s="950"/>
      <c r="AS294" s="950">
        <v>225.08099999999999</v>
      </c>
    </row>
    <row r="295" spans="1:45" x14ac:dyDescent="0.3">
      <c r="A295" s="642" t="s">
        <v>961</v>
      </c>
      <c r="B295" s="642" t="s">
        <v>962</v>
      </c>
      <c r="C295" s="642" t="s">
        <v>960</v>
      </c>
      <c r="D295" s="642" t="s">
        <v>61</v>
      </c>
      <c r="F295" s="946">
        <v>0</v>
      </c>
      <c r="H295" s="946">
        <v>0</v>
      </c>
      <c r="I295" s="939">
        <v>0</v>
      </c>
      <c r="J295" s="974">
        <v>0</v>
      </c>
      <c r="L295" s="946">
        <v>0</v>
      </c>
      <c r="M295" s="947"/>
      <c r="N295" s="946">
        <v>0</v>
      </c>
      <c r="P295" s="946">
        <v>0</v>
      </c>
      <c r="R295" s="946">
        <v>0</v>
      </c>
      <c r="S295" s="948">
        <v>0</v>
      </c>
      <c r="T295" s="946">
        <v>0</v>
      </c>
      <c r="V295" s="946">
        <v>353</v>
      </c>
      <c r="W295" s="946">
        <v>0</v>
      </c>
      <c r="X295" s="946">
        <v>128</v>
      </c>
      <c r="Y295" s="947"/>
      <c r="Z295" s="946">
        <v>907</v>
      </c>
      <c r="AA295" s="948">
        <v>63538</v>
      </c>
      <c r="AB295" s="946">
        <v>63.537999999999997</v>
      </c>
      <c r="AC295" s="974">
        <v>0</v>
      </c>
      <c r="AD295" s="946">
        <v>6198.7839999999997</v>
      </c>
      <c r="AE295" s="957">
        <v>32632</v>
      </c>
      <c r="AG295" s="957">
        <v>0</v>
      </c>
      <c r="AH295" s="955">
        <v>0</v>
      </c>
      <c r="AI295" s="425">
        <v>1</v>
      </c>
      <c r="AJ295" s="957">
        <v>0</v>
      </c>
      <c r="AL295" s="939">
        <v>0</v>
      </c>
      <c r="AM295" s="939">
        <v>0</v>
      </c>
      <c r="AN295" s="950">
        <v>15068.2</v>
      </c>
      <c r="AO295" s="946">
        <v>0.12588807516722</v>
      </c>
      <c r="AP295" s="946">
        <v>126</v>
      </c>
      <c r="AQ295" s="953"/>
      <c r="AR295" s="950"/>
      <c r="AS295" s="950">
        <v>157.89400000000001</v>
      </c>
    </row>
    <row r="296" spans="1:45" x14ac:dyDescent="0.3">
      <c r="A296" s="642" t="s">
        <v>964</v>
      </c>
      <c r="B296" s="642" t="s">
        <v>965</v>
      </c>
      <c r="C296" s="642" t="s">
        <v>963</v>
      </c>
      <c r="D296" s="642" t="s">
        <v>61</v>
      </c>
      <c r="F296" s="946">
        <v>0</v>
      </c>
      <c r="H296" s="946">
        <v>0</v>
      </c>
      <c r="I296" s="939">
        <v>0</v>
      </c>
      <c r="J296" s="974">
        <v>0</v>
      </c>
      <c r="L296" s="946">
        <v>0</v>
      </c>
      <c r="M296" s="947"/>
      <c r="N296" s="946">
        <v>0</v>
      </c>
      <c r="P296" s="946">
        <v>0</v>
      </c>
      <c r="R296" s="946">
        <v>0</v>
      </c>
      <c r="S296" s="948">
        <v>0</v>
      </c>
      <c r="T296" s="946">
        <v>0</v>
      </c>
      <c r="V296" s="946">
        <v>167</v>
      </c>
      <c r="W296" s="946">
        <v>0</v>
      </c>
      <c r="X296" s="946">
        <v>164</v>
      </c>
      <c r="Y296" s="947"/>
      <c r="Z296" s="946">
        <v>1587</v>
      </c>
      <c r="AA296" s="948">
        <v>79124</v>
      </c>
      <c r="AB296" s="946">
        <v>79.123999999999995</v>
      </c>
      <c r="AC296" s="974">
        <v>2439.6959999999999</v>
      </c>
      <c r="AD296" s="946">
        <v>10106.796</v>
      </c>
      <c r="AE296" s="957">
        <v>0</v>
      </c>
      <c r="AG296" s="957">
        <v>1293</v>
      </c>
      <c r="AH296" s="955">
        <v>0</v>
      </c>
      <c r="AI296" s="425">
        <v>1</v>
      </c>
      <c r="AJ296" s="957">
        <v>0</v>
      </c>
      <c r="AL296" s="939">
        <v>0</v>
      </c>
      <c r="AM296" s="939">
        <v>0</v>
      </c>
      <c r="AN296" s="950">
        <v>0</v>
      </c>
      <c r="AO296" s="946">
        <v>0.10907608297082499</v>
      </c>
      <c r="AP296" s="946">
        <v>109</v>
      </c>
      <c r="AQ296" s="953"/>
      <c r="AR296" s="950"/>
      <c r="AS296" s="950">
        <v>154.126</v>
      </c>
    </row>
    <row r="297" spans="1:45" x14ac:dyDescent="0.3">
      <c r="A297" s="642" t="s">
        <v>967</v>
      </c>
      <c r="B297" s="642" t="s">
        <v>968</v>
      </c>
      <c r="C297" s="642" t="s">
        <v>966</v>
      </c>
      <c r="D297" s="642" t="s">
        <v>61</v>
      </c>
      <c r="F297" s="946">
        <v>0</v>
      </c>
      <c r="H297" s="946">
        <v>0</v>
      </c>
      <c r="I297" s="939">
        <v>0</v>
      </c>
      <c r="J297" s="974">
        <v>0</v>
      </c>
      <c r="L297" s="946">
        <v>0</v>
      </c>
      <c r="M297" s="947"/>
      <c r="N297" s="946">
        <v>0</v>
      </c>
      <c r="P297" s="946">
        <v>0</v>
      </c>
      <c r="R297" s="946">
        <v>0</v>
      </c>
      <c r="S297" s="948">
        <v>0</v>
      </c>
      <c r="T297" s="946">
        <v>0</v>
      </c>
      <c r="V297" s="946">
        <v>484</v>
      </c>
      <c r="W297" s="946">
        <v>0</v>
      </c>
      <c r="X297" s="946">
        <v>164</v>
      </c>
      <c r="Y297" s="947"/>
      <c r="Z297" s="946">
        <v>344</v>
      </c>
      <c r="AA297" s="948">
        <v>94545</v>
      </c>
      <c r="AB297" s="946">
        <v>94.545000000000002</v>
      </c>
      <c r="AC297" s="974">
        <v>0</v>
      </c>
      <c r="AD297" s="946">
        <v>7195.942</v>
      </c>
      <c r="AE297" s="957">
        <v>0</v>
      </c>
      <c r="AG297" s="957">
        <v>0</v>
      </c>
      <c r="AH297" s="955">
        <v>0</v>
      </c>
      <c r="AI297" s="425">
        <v>1</v>
      </c>
      <c r="AJ297" s="957">
        <v>-250</v>
      </c>
      <c r="AL297" s="939">
        <v>0</v>
      </c>
      <c r="AM297" s="939">
        <v>0</v>
      </c>
      <c r="AN297" s="950">
        <v>0</v>
      </c>
      <c r="AO297" s="946">
        <v>0.108921139444033</v>
      </c>
      <c r="AP297" s="946">
        <v>109</v>
      </c>
      <c r="AQ297" s="953"/>
      <c r="AR297" s="950"/>
      <c r="AS297" s="950">
        <v>257.44799999999998</v>
      </c>
    </row>
    <row r="298" spans="1:45" x14ac:dyDescent="0.3">
      <c r="A298" s="642" t="s">
        <v>970</v>
      </c>
      <c r="B298" s="642" t="s">
        <v>971</v>
      </c>
      <c r="C298" s="642" t="s">
        <v>969</v>
      </c>
      <c r="D298" s="642" t="s">
        <v>125</v>
      </c>
      <c r="F298" s="946">
        <v>-1</v>
      </c>
      <c r="H298" s="946">
        <v>0</v>
      </c>
      <c r="I298" s="939">
        <v>8881983</v>
      </c>
      <c r="J298" s="974">
        <v>8881.9830000000002</v>
      </c>
      <c r="L298" s="946">
        <v>1366</v>
      </c>
      <c r="M298" s="947"/>
      <c r="N298" s="946">
        <v>890</v>
      </c>
      <c r="P298" s="946">
        <v>1061</v>
      </c>
      <c r="R298" s="946">
        <v>219</v>
      </c>
      <c r="S298" s="948">
        <v>61648</v>
      </c>
      <c r="T298" s="946">
        <v>61.648000000000003</v>
      </c>
      <c r="V298" s="946">
        <v>66</v>
      </c>
      <c r="W298" s="946">
        <v>92</v>
      </c>
      <c r="X298" s="946">
        <v>307</v>
      </c>
      <c r="Y298" s="947"/>
      <c r="Z298" s="946">
        <v>461</v>
      </c>
      <c r="AA298" s="948">
        <v>21961</v>
      </c>
      <c r="AB298" s="946">
        <v>21.960999999999999</v>
      </c>
      <c r="AC298" s="974">
        <v>792.38900000000001</v>
      </c>
      <c r="AD298" s="946">
        <v>31084.489000000001</v>
      </c>
      <c r="AE298" s="957">
        <v>0</v>
      </c>
      <c r="AG298" s="957">
        <v>0</v>
      </c>
      <c r="AH298" s="955">
        <v>0</v>
      </c>
      <c r="AI298" s="425">
        <v>1</v>
      </c>
      <c r="AJ298" s="957">
        <v>0</v>
      </c>
      <c r="AL298" s="939">
        <v>1</v>
      </c>
      <c r="AM298" s="939">
        <v>1</v>
      </c>
      <c r="AN298" s="950">
        <v>1033.12318</v>
      </c>
      <c r="AO298" s="946">
        <v>4.8028390543752901E-2</v>
      </c>
      <c r="AP298" s="946">
        <v>48</v>
      </c>
      <c r="AQ298" s="953"/>
      <c r="AR298" s="950"/>
      <c r="AS298" s="950">
        <v>54.470999999999997</v>
      </c>
    </row>
    <row r="299" spans="1:45" x14ac:dyDescent="0.3">
      <c r="A299" s="642" t="s">
        <v>973</v>
      </c>
      <c r="B299" s="642" t="s">
        <v>974</v>
      </c>
      <c r="C299" s="642" t="s">
        <v>972</v>
      </c>
      <c r="D299" s="642" t="s">
        <v>61</v>
      </c>
      <c r="F299" s="946">
        <v>0</v>
      </c>
      <c r="H299" s="946">
        <v>0</v>
      </c>
      <c r="I299" s="939">
        <v>0</v>
      </c>
      <c r="J299" s="974">
        <v>0</v>
      </c>
      <c r="L299" s="946">
        <v>0</v>
      </c>
      <c r="M299" s="947"/>
      <c r="N299" s="946">
        <v>600</v>
      </c>
      <c r="P299" s="946">
        <v>0</v>
      </c>
      <c r="R299" s="946">
        <v>0</v>
      </c>
      <c r="S299" s="948">
        <v>0</v>
      </c>
      <c r="T299" s="946">
        <v>0</v>
      </c>
      <c r="V299" s="946">
        <v>88</v>
      </c>
      <c r="W299" s="946">
        <v>0</v>
      </c>
      <c r="X299" s="946">
        <v>113</v>
      </c>
      <c r="Y299" s="947"/>
      <c r="Z299" s="946">
        <v>488</v>
      </c>
      <c r="AA299" s="948">
        <v>49195</v>
      </c>
      <c r="AB299" s="946">
        <v>49.195</v>
      </c>
      <c r="AC299" s="974">
        <v>1134.847</v>
      </c>
      <c r="AD299" s="946">
        <v>5762.7839999999997</v>
      </c>
      <c r="AE299" s="957">
        <v>0</v>
      </c>
      <c r="AG299" s="957">
        <v>4389</v>
      </c>
      <c r="AH299" s="955">
        <v>0</v>
      </c>
      <c r="AI299" s="425">
        <v>1</v>
      </c>
      <c r="AJ299" s="957">
        <v>0</v>
      </c>
      <c r="AL299" s="939">
        <v>0</v>
      </c>
      <c r="AM299" s="939">
        <v>0</v>
      </c>
      <c r="AN299" s="950">
        <v>50.768089999999994</v>
      </c>
      <c r="AO299" s="946">
        <v>7.4962958777548494E-2</v>
      </c>
      <c r="AP299" s="946">
        <v>75</v>
      </c>
      <c r="AQ299" s="953"/>
      <c r="AR299" s="950"/>
      <c r="AS299" s="950">
        <v>113.57899999999999</v>
      </c>
    </row>
    <row r="300" spans="1:45" x14ac:dyDescent="0.3">
      <c r="A300" s="642" t="s">
        <v>976</v>
      </c>
      <c r="B300" s="642" t="s">
        <v>977</v>
      </c>
      <c r="C300" s="642" t="s">
        <v>975</v>
      </c>
      <c r="D300" s="642" t="s">
        <v>97</v>
      </c>
      <c r="F300" s="946">
        <v>0</v>
      </c>
      <c r="H300" s="946">
        <v>0</v>
      </c>
      <c r="I300" s="939">
        <v>181770633</v>
      </c>
      <c r="J300" s="974">
        <v>181770.633</v>
      </c>
      <c r="L300" s="946">
        <v>0</v>
      </c>
      <c r="M300" s="947"/>
      <c r="N300" s="946">
        <v>0</v>
      </c>
      <c r="P300" s="946">
        <v>14098</v>
      </c>
      <c r="R300" s="946">
        <v>14087</v>
      </c>
      <c r="S300" s="948">
        <v>785624</v>
      </c>
      <c r="T300" s="946">
        <v>785.62400000000002</v>
      </c>
      <c r="V300" s="946">
        <v>992</v>
      </c>
      <c r="W300" s="946">
        <v>889</v>
      </c>
      <c r="X300" s="946">
        <v>5007</v>
      </c>
      <c r="Y300" s="947"/>
      <c r="Z300" s="946">
        <v>5012</v>
      </c>
      <c r="AA300" s="948">
        <v>467948</v>
      </c>
      <c r="AB300" s="946">
        <v>467.94799999999998</v>
      </c>
      <c r="AC300" s="974">
        <v>0</v>
      </c>
      <c r="AD300" s="946">
        <v>127542.213</v>
      </c>
      <c r="AE300" s="957">
        <v>19242</v>
      </c>
      <c r="AG300" s="957">
        <v>0</v>
      </c>
      <c r="AH300" s="955">
        <v>0</v>
      </c>
      <c r="AI300" s="425">
        <v>1</v>
      </c>
      <c r="AJ300" s="957">
        <v>0</v>
      </c>
      <c r="AL300" s="939">
        <v>1</v>
      </c>
      <c r="AM300" s="939">
        <v>1</v>
      </c>
      <c r="AN300" s="950">
        <v>2726.3</v>
      </c>
      <c r="AO300" s="946">
        <v>0.46505047837156599</v>
      </c>
      <c r="AP300" s="946">
        <v>465</v>
      </c>
      <c r="AQ300" s="953"/>
      <c r="AR300" s="950"/>
      <c r="AS300" s="950">
        <v>1061.6969999999999</v>
      </c>
    </row>
    <row r="301" spans="1:45" x14ac:dyDescent="0.3">
      <c r="A301" s="642" t="s">
        <v>979</v>
      </c>
      <c r="B301" s="642" t="s">
        <v>980</v>
      </c>
      <c r="C301" s="642" t="s">
        <v>978</v>
      </c>
      <c r="D301" s="642" t="s">
        <v>97</v>
      </c>
      <c r="F301" s="946">
        <v>0</v>
      </c>
      <c r="H301" s="946">
        <v>0</v>
      </c>
      <c r="I301" s="939">
        <v>235870221</v>
      </c>
      <c r="J301" s="974">
        <v>235870.22099999999</v>
      </c>
      <c r="L301" s="946">
        <v>25816</v>
      </c>
      <c r="M301" s="947"/>
      <c r="N301" s="946">
        <v>0</v>
      </c>
      <c r="P301" s="946">
        <v>22697</v>
      </c>
      <c r="R301" s="946">
        <v>23021</v>
      </c>
      <c r="S301" s="948">
        <v>1025399</v>
      </c>
      <c r="T301" s="946">
        <v>1025.3989999999999</v>
      </c>
      <c r="V301" s="946">
        <v>1201</v>
      </c>
      <c r="W301" s="946">
        <v>1247</v>
      </c>
      <c r="X301" s="946">
        <v>7015</v>
      </c>
      <c r="Y301" s="947"/>
      <c r="Z301" s="946">
        <v>786</v>
      </c>
      <c r="AA301" s="948">
        <v>529584</v>
      </c>
      <c r="AB301" s="946">
        <v>529.58399999999995</v>
      </c>
      <c r="AC301" s="974">
        <v>0</v>
      </c>
      <c r="AD301" s="946">
        <v>117967.93399999999</v>
      </c>
      <c r="AE301" s="957">
        <v>41191</v>
      </c>
      <c r="AG301" s="957">
        <v>0</v>
      </c>
      <c r="AH301" s="955">
        <v>0</v>
      </c>
      <c r="AI301" s="425">
        <v>1</v>
      </c>
      <c r="AJ301" s="957">
        <v>0</v>
      </c>
      <c r="AL301" s="939">
        <v>1</v>
      </c>
      <c r="AM301" s="939">
        <v>1</v>
      </c>
      <c r="AN301" s="950">
        <v>15315.277529999998</v>
      </c>
      <c r="AO301" s="946">
        <v>0.60818332775333195</v>
      </c>
      <c r="AP301" s="946">
        <v>608</v>
      </c>
      <c r="AQ301" s="953"/>
      <c r="AR301" s="950"/>
      <c r="AS301" s="950">
        <v>1151.191</v>
      </c>
    </row>
    <row r="302" spans="1:45" x14ac:dyDescent="0.3">
      <c r="A302" s="642" t="s">
        <v>982</v>
      </c>
      <c r="B302" s="642" t="s">
        <v>983</v>
      </c>
      <c r="C302" s="642" t="s">
        <v>981</v>
      </c>
      <c r="D302" s="642" t="s">
        <v>61</v>
      </c>
      <c r="F302" s="946">
        <v>-52</v>
      </c>
      <c r="H302" s="946">
        <v>0</v>
      </c>
      <c r="I302" s="939">
        <v>0</v>
      </c>
      <c r="J302" s="974">
        <v>0</v>
      </c>
      <c r="L302" s="946">
        <v>0</v>
      </c>
      <c r="M302" s="947"/>
      <c r="N302" s="946">
        <v>22</v>
      </c>
      <c r="P302" s="946">
        <v>0</v>
      </c>
      <c r="R302" s="946">
        <v>0</v>
      </c>
      <c r="S302" s="948">
        <v>0</v>
      </c>
      <c r="T302" s="946">
        <v>0</v>
      </c>
      <c r="V302" s="946">
        <v>429</v>
      </c>
      <c r="W302" s="946">
        <v>0</v>
      </c>
      <c r="X302" s="946">
        <v>295</v>
      </c>
      <c r="Y302" s="947"/>
      <c r="Z302" s="946">
        <v>139</v>
      </c>
      <c r="AA302" s="948">
        <v>171187</v>
      </c>
      <c r="AB302" s="946">
        <v>171.18700000000001</v>
      </c>
      <c r="AC302" s="974">
        <v>1081.164</v>
      </c>
      <c r="AD302" s="946">
        <v>10551.554</v>
      </c>
      <c r="AE302" s="957">
        <v>0</v>
      </c>
      <c r="AG302" s="957">
        <v>1621</v>
      </c>
      <c r="AH302" s="955">
        <v>0</v>
      </c>
      <c r="AI302" s="425">
        <v>1</v>
      </c>
      <c r="AJ302" s="957">
        <v>0</v>
      </c>
      <c r="AL302" s="939">
        <v>0</v>
      </c>
      <c r="AM302" s="939">
        <v>0</v>
      </c>
      <c r="AN302" s="950">
        <v>761.27555000000007</v>
      </c>
      <c r="AO302" s="946">
        <v>0.196075591133753</v>
      </c>
      <c r="AP302" s="946">
        <v>196</v>
      </c>
      <c r="AQ302" s="953"/>
      <c r="AR302" s="950"/>
      <c r="AS302" s="950">
        <v>355.63299999999998</v>
      </c>
    </row>
    <row r="303" spans="1:45" x14ac:dyDescent="0.3">
      <c r="A303" s="642" t="s">
        <v>985</v>
      </c>
      <c r="B303" s="642" t="s">
        <v>986</v>
      </c>
      <c r="C303" s="642" t="s">
        <v>984</v>
      </c>
      <c r="D303" s="642" t="s">
        <v>61</v>
      </c>
      <c r="F303" s="946">
        <v>-22</v>
      </c>
      <c r="H303" s="946">
        <v>0</v>
      </c>
      <c r="I303" s="939">
        <v>0</v>
      </c>
      <c r="J303" s="974">
        <v>0</v>
      </c>
      <c r="L303" s="946">
        <v>0</v>
      </c>
      <c r="M303" s="947"/>
      <c r="N303" s="946">
        <v>0</v>
      </c>
      <c r="P303" s="946">
        <v>0</v>
      </c>
      <c r="R303" s="946">
        <v>0</v>
      </c>
      <c r="S303" s="948">
        <v>0</v>
      </c>
      <c r="T303" s="946">
        <v>0</v>
      </c>
      <c r="V303" s="946">
        <v>377</v>
      </c>
      <c r="W303" s="946">
        <v>0</v>
      </c>
      <c r="X303" s="946">
        <v>245</v>
      </c>
      <c r="Y303" s="947"/>
      <c r="Z303" s="946">
        <v>990</v>
      </c>
      <c r="AA303" s="948">
        <v>118970</v>
      </c>
      <c r="AB303" s="946">
        <v>118.97</v>
      </c>
      <c r="AC303" s="974">
        <v>3103.5949999999998</v>
      </c>
      <c r="AD303" s="946">
        <v>10535.102999999999</v>
      </c>
      <c r="AE303" s="957">
        <v>9349</v>
      </c>
      <c r="AG303" s="957">
        <v>1807</v>
      </c>
      <c r="AH303" s="955">
        <v>-831</v>
      </c>
      <c r="AI303" s="425">
        <v>1</v>
      </c>
      <c r="AJ303" s="957">
        <v>0</v>
      </c>
      <c r="AL303" s="939">
        <v>0</v>
      </c>
      <c r="AM303" s="939">
        <v>0</v>
      </c>
      <c r="AN303" s="950">
        <v>1730.8615</v>
      </c>
      <c r="AO303" s="946">
        <v>0.16253352909349</v>
      </c>
      <c r="AP303" s="946">
        <v>163</v>
      </c>
      <c r="AQ303" s="953"/>
      <c r="AR303" s="950"/>
      <c r="AS303" s="950">
        <v>312.78399999999999</v>
      </c>
    </row>
    <row r="304" spans="1:45" x14ac:dyDescent="0.3">
      <c r="A304" s="642" t="s">
        <v>988</v>
      </c>
      <c r="B304" s="642" t="s">
        <v>989</v>
      </c>
      <c r="C304" s="642" t="s">
        <v>987</v>
      </c>
      <c r="D304" s="642" t="s">
        <v>97</v>
      </c>
      <c r="F304" s="946">
        <v>0</v>
      </c>
      <c r="H304" s="946">
        <v>0</v>
      </c>
      <c r="I304" s="939">
        <v>168589925</v>
      </c>
      <c r="J304" s="974">
        <v>168589.92499999999</v>
      </c>
      <c r="L304" s="946">
        <v>22624</v>
      </c>
      <c r="M304" s="947"/>
      <c r="N304" s="946">
        <v>0</v>
      </c>
      <c r="P304" s="946">
        <v>16085</v>
      </c>
      <c r="R304" s="946">
        <v>0</v>
      </c>
      <c r="S304" s="948">
        <v>2106579</v>
      </c>
      <c r="T304" s="946">
        <v>2106.5790000000002</v>
      </c>
      <c r="V304" s="946">
        <v>558</v>
      </c>
      <c r="W304" s="946">
        <v>1029</v>
      </c>
      <c r="X304" s="946">
        <v>4477</v>
      </c>
      <c r="Y304" s="947"/>
      <c r="Z304" s="946">
        <v>794</v>
      </c>
      <c r="AA304" s="948">
        <v>418008</v>
      </c>
      <c r="AB304" s="946">
        <v>418.00799999999998</v>
      </c>
      <c r="AC304" s="974">
        <v>1381.527</v>
      </c>
      <c r="AD304" s="946">
        <v>150007.93599999999</v>
      </c>
      <c r="AE304" s="957">
        <v>0</v>
      </c>
      <c r="AG304" s="957">
        <v>0</v>
      </c>
      <c r="AH304" s="955">
        <v>0</v>
      </c>
      <c r="AI304" s="425">
        <v>1</v>
      </c>
      <c r="AJ304" s="957">
        <v>0</v>
      </c>
      <c r="AL304" s="939">
        <v>1</v>
      </c>
      <c r="AM304" s="939">
        <v>1</v>
      </c>
      <c r="AN304" s="950">
        <v>6165.2151899999999</v>
      </c>
      <c r="AO304" s="946">
        <v>0.46176772883470502</v>
      </c>
      <c r="AP304" s="946">
        <v>462</v>
      </c>
      <c r="AQ304" s="953"/>
      <c r="AR304" s="950"/>
      <c r="AS304" s="950">
        <v>940.31899999999996</v>
      </c>
    </row>
    <row r="305" spans="1:45" x14ac:dyDescent="0.3">
      <c r="A305" s="642" t="s">
        <v>991</v>
      </c>
      <c r="B305" s="642" t="s">
        <v>992</v>
      </c>
      <c r="C305" s="642" t="s">
        <v>990</v>
      </c>
      <c r="D305" s="642" t="s">
        <v>61</v>
      </c>
      <c r="F305" s="946">
        <v>0</v>
      </c>
      <c r="H305" s="946">
        <v>0</v>
      </c>
      <c r="I305" s="939">
        <v>0</v>
      </c>
      <c r="J305" s="974">
        <v>0</v>
      </c>
      <c r="L305" s="946">
        <v>0</v>
      </c>
      <c r="M305" s="947"/>
      <c r="N305" s="946">
        <v>142</v>
      </c>
      <c r="P305" s="946">
        <v>0</v>
      </c>
      <c r="R305" s="946">
        <v>0</v>
      </c>
      <c r="S305" s="948">
        <v>0</v>
      </c>
      <c r="T305" s="946">
        <v>0</v>
      </c>
      <c r="V305" s="946">
        <v>132</v>
      </c>
      <c r="W305" s="946">
        <v>0</v>
      </c>
      <c r="X305" s="946">
        <v>169</v>
      </c>
      <c r="Y305" s="947"/>
      <c r="Z305" s="946">
        <v>1647</v>
      </c>
      <c r="AA305" s="948">
        <v>77229</v>
      </c>
      <c r="AB305" s="946">
        <v>77.228999999999999</v>
      </c>
      <c r="AC305" s="974">
        <v>1971.8025299999999</v>
      </c>
      <c r="AD305" s="946">
        <v>7975.5555300000005</v>
      </c>
      <c r="AE305" s="957">
        <v>1501</v>
      </c>
      <c r="AG305" s="957">
        <v>6384</v>
      </c>
      <c r="AH305" s="955">
        <v>0</v>
      </c>
      <c r="AI305" s="425">
        <v>1</v>
      </c>
      <c r="AJ305" s="957">
        <v>0</v>
      </c>
      <c r="AL305" s="939">
        <v>0</v>
      </c>
      <c r="AM305" s="939">
        <v>0</v>
      </c>
      <c r="AN305" s="950">
        <v>1917.105</v>
      </c>
      <c r="AO305" s="946">
        <v>0.11248025088960401</v>
      </c>
      <c r="AP305" s="946">
        <v>112</v>
      </c>
      <c r="AQ305" s="953"/>
      <c r="AR305" s="950"/>
      <c r="AS305" s="950">
        <v>150.17699999999999</v>
      </c>
    </row>
    <row r="306" spans="1:45" x14ac:dyDescent="0.3">
      <c r="A306" s="642" t="s">
        <v>994</v>
      </c>
      <c r="B306" s="642" t="s">
        <v>995</v>
      </c>
      <c r="C306" s="642" t="s">
        <v>993</v>
      </c>
      <c r="D306" s="642" t="s">
        <v>61</v>
      </c>
      <c r="F306" s="946">
        <v>0</v>
      </c>
      <c r="H306" s="946">
        <v>0</v>
      </c>
      <c r="I306" s="939">
        <v>0</v>
      </c>
      <c r="J306" s="974">
        <v>0</v>
      </c>
      <c r="L306" s="946">
        <v>0</v>
      </c>
      <c r="M306" s="947"/>
      <c r="N306" s="946">
        <v>0</v>
      </c>
      <c r="P306" s="946">
        <v>0</v>
      </c>
      <c r="R306" s="946">
        <v>0</v>
      </c>
      <c r="S306" s="948">
        <v>0</v>
      </c>
      <c r="T306" s="946">
        <v>0</v>
      </c>
      <c r="V306" s="946">
        <v>444</v>
      </c>
      <c r="W306" s="946">
        <v>0</v>
      </c>
      <c r="X306" s="946">
        <v>159</v>
      </c>
      <c r="Y306" s="947"/>
      <c r="Z306" s="946">
        <v>810</v>
      </c>
      <c r="AA306" s="948">
        <v>110542</v>
      </c>
      <c r="AB306" s="946">
        <v>110.542</v>
      </c>
      <c r="AC306" s="974">
        <v>4977.049</v>
      </c>
      <c r="AD306" s="946">
        <v>16818.118999999999</v>
      </c>
      <c r="AE306" s="957">
        <v>0</v>
      </c>
      <c r="AG306" s="957">
        <v>1463</v>
      </c>
      <c r="AH306" s="955">
        <v>0</v>
      </c>
      <c r="AI306" s="425">
        <v>1</v>
      </c>
      <c r="AJ306" s="957">
        <v>0</v>
      </c>
      <c r="AL306" s="939">
        <v>0</v>
      </c>
      <c r="AM306" s="939">
        <v>0</v>
      </c>
      <c r="AN306" s="950">
        <v>260.11336</v>
      </c>
      <c r="AO306" s="946">
        <v>0.10541274229794199</v>
      </c>
      <c r="AP306" s="946">
        <v>105</v>
      </c>
      <c r="AQ306" s="953"/>
      <c r="AR306" s="950"/>
      <c r="AS306" s="950">
        <v>223.71299999999999</v>
      </c>
    </row>
    <row r="307" spans="1:45" x14ac:dyDescent="0.3">
      <c r="A307" s="642" t="s">
        <v>997</v>
      </c>
      <c r="B307" s="642" t="s">
        <v>998</v>
      </c>
      <c r="C307" s="642" t="s">
        <v>996</v>
      </c>
      <c r="D307" s="642" t="s">
        <v>97</v>
      </c>
      <c r="F307" s="946">
        <v>-38865</v>
      </c>
      <c r="H307" s="946">
        <v>0</v>
      </c>
      <c r="I307" s="939">
        <v>227426888</v>
      </c>
      <c r="J307" s="974">
        <v>227426.88800000001</v>
      </c>
      <c r="L307" s="946">
        <v>35232</v>
      </c>
      <c r="M307" s="947"/>
      <c r="N307" s="946">
        <v>0</v>
      </c>
      <c r="P307" s="946">
        <v>29511</v>
      </c>
      <c r="R307" s="946">
        <v>29290</v>
      </c>
      <c r="S307" s="948">
        <v>2524086</v>
      </c>
      <c r="T307" s="946">
        <v>2524.0859999999998</v>
      </c>
      <c r="V307" s="946">
        <v>1408</v>
      </c>
      <c r="W307" s="946">
        <v>1826</v>
      </c>
      <c r="X307" s="946">
        <v>9980</v>
      </c>
      <c r="Y307" s="947"/>
      <c r="Z307" s="946">
        <v>3435</v>
      </c>
      <c r="AA307" s="948">
        <v>762360</v>
      </c>
      <c r="AB307" s="946">
        <v>762.36</v>
      </c>
      <c r="AC307" s="974">
        <v>654.79399999999998</v>
      </c>
      <c r="AD307" s="946">
        <v>251911.29319999999</v>
      </c>
      <c r="AE307" s="957">
        <v>9976</v>
      </c>
      <c r="AG307" s="957">
        <v>0</v>
      </c>
      <c r="AH307" s="955">
        <v>0</v>
      </c>
      <c r="AI307" s="425">
        <v>1</v>
      </c>
      <c r="AJ307" s="957">
        <v>0</v>
      </c>
      <c r="AL307" s="939">
        <v>1</v>
      </c>
      <c r="AM307" s="939">
        <v>1</v>
      </c>
      <c r="AN307" s="950">
        <v>20679.145230000002</v>
      </c>
      <c r="AO307" s="946">
        <v>0.95940143485528795</v>
      </c>
      <c r="AP307" s="946">
        <v>959</v>
      </c>
      <c r="AQ307" s="953"/>
      <c r="AR307" s="950"/>
      <c r="AS307" s="950">
        <v>1829.655</v>
      </c>
    </row>
    <row r="308" spans="1:45" x14ac:dyDescent="0.3">
      <c r="A308" s="642" t="s">
        <v>1064</v>
      </c>
      <c r="B308" s="642" t="s">
        <v>1065</v>
      </c>
      <c r="C308" s="642" t="s">
        <v>1063</v>
      </c>
      <c r="D308" s="642" t="s">
        <v>1390</v>
      </c>
      <c r="F308" s="946">
        <v>0</v>
      </c>
      <c r="H308" s="946">
        <v>0</v>
      </c>
      <c r="I308" s="939">
        <v>0</v>
      </c>
      <c r="J308" s="974">
        <v>0</v>
      </c>
      <c r="L308" s="946">
        <v>0</v>
      </c>
      <c r="M308" s="947"/>
      <c r="N308" s="946">
        <v>0</v>
      </c>
      <c r="P308" s="946">
        <v>0</v>
      </c>
      <c r="R308" s="946">
        <v>0</v>
      </c>
      <c r="S308" s="948">
        <v>0</v>
      </c>
      <c r="T308" s="946">
        <v>0</v>
      </c>
      <c r="V308" s="946">
        <v>0</v>
      </c>
      <c r="W308" s="946">
        <v>0</v>
      </c>
      <c r="X308" s="946">
        <v>0</v>
      </c>
      <c r="Y308" s="947"/>
      <c r="Z308" s="946">
        <v>0</v>
      </c>
      <c r="AA308" s="948">
        <v>0</v>
      </c>
      <c r="AB308" s="946">
        <v>0</v>
      </c>
      <c r="AC308" s="974">
        <v>0</v>
      </c>
      <c r="AD308" s="946">
        <v>0</v>
      </c>
      <c r="AE308" s="957">
        <v>0</v>
      </c>
      <c r="AG308" s="957">
        <v>0</v>
      </c>
      <c r="AH308" s="955">
        <v>0</v>
      </c>
      <c r="AI308" s="425">
        <v>0</v>
      </c>
      <c r="AJ308" s="957">
        <v>0</v>
      </c>
      <c r="AL308" s="939">
        <v>0</v>
      </c>
      <c r="AM308" s="939">
        <v>0</v>
      </c>
      <c r="AN308" s="950">
        <v>1387.5</v>
      </c>
      <c r="AO308" s="946">
        <v>0</v>
      </c>
      <c r="AP308" s="946">
        <v>0</v>
      </c>
      <c r="AQ308" s="953"/>
      <c r="AR308" s="950"/>
      <c r="AS308" s="950">
        <v>0</v>
      </c>
    </row>
    <row r="309" spans="1:45" x14ac:dyDescent="0.3">
      <c r="A309" s="642" t="s">
        <v>1003</v>
      </c>
      <c r="B309" s="642" t="s">
        <v>1004</v>
      </c>
      <c r="C309" s="642" t="s">
        <v>5443</v>
      </c>
      <c r="D309" s="642" t="s">
        <v>5408</v>
      </c>
      <c r="F309" s="946">
        <v>-1363</v>
      </c>
      <c r="H309" s="946">
        <v>0</v>
      </c>
      <c r="I309" s="939">
        <v>0</v>
      </c>
      <c r="J309" s="974">
        <v>0</v>
      </c>
      <c r="L309" s="946">
        <v>0</v>
      </c>
      <c r="M309" s="947"/>
      <c r="N309" s="946">
        <v>336</v>
      </c>
      <c r="P309" s="946">
        <v>0</v>
      </c>
      <c r="R309" s="946">
        <v>0</v>
      </c>
      <c r="S309" s="948">
        <v>0</v>
      </c>
      <c r="T309" s="946">
        <v>0</v>
      </c>
      <c r="V309" s="946">
        <v>0</v>
      </c>
      <c r="W309" s="946">
        <v>0</v>
      </c>
      <c r="X309" s="946">
        <v>270</v>
      </c>
      <c r="Y309" s="947"/>
      <c r="Z309" s="946">
        <v>0</v>
      </c>
      <c r="AA309" s="948">
        <v>0</v>
      </c>
      <c r="AB309" s="946">
        <v>0</v>
      </c>
      <c r="AC309" s="974">
        <v>0</v>
      </c>
      <c r="AD309" s="946">
        <v>18012.202000000001</v>
      </c>
      <c r="AE309" s="957">
        <v>0</v>
      </c>
      <c r="AG309" s="957">
        <v>9242</v>
      </c>
      <c r="AH309" s="955">
        <v>0</v>
      </c>
      <c r="AI309" s="425">
        <v>0</v>
      </c>
      <c r="AJ309" s="957">
        <v>0</v>
      </c>
      <c r="AL309" s="939">
        <v>0</v>
      </c>
      <c r="AM309" s="939">
        <v>0</v>
      </c>
      <c r="AN309" s="950">
        <v>238.04939000000002</v>
      </c>
      <c r="AO309" s="946">
        <v>0</v>
      </c>
      <c r="AP309" s="946">
        <v>0</v>
      </c>
      <c r="AQ309" s="953"/>
      <c r="AR309" s="950"/>
      <c r="AS309" s="950">
        <v>0</v>
      </c>
    </row>
    <row r="310" spans="1:45" x14ac:dyDescent="0.3">
      <c r="A310" s="642" t="s">
        <v>1000</v>
      </c>
      <c r="B310" s="642" t="s">
        <v>1001</v>
      </c>
      <c r="C310" s="642" t="s">
        <v>999</v>
      </c>
      <c r="D310" s="642" t="s">
        <v>125</v>
      </c>
      <c r="F310" s="946">
        <v>-6450</v>
      </c>
      <c r="H310" s="946">
        <v>0</v>
      </c>
      <c r="I310" s="939">
        <v>110541780</v>
      </c>
      <c r="J310" s="974">
        <v>110541.78</v>
      </c>
      <c r="L310" s="946">
        <v>12775</v>
      </c>
      <c r="M310" s="947"/>
      <c r="N310" s="946">
        <v>6941</v>
      </c>
      <c r="P310" s="946">
        <v>12620</v>
      </c>
      <c r="R310" s="946">
        <v>11863</v>
      </c>
      <c r="S310" s="948">
        <v>1511943</v>
      </c>
      <c r="T310" s="946">
        <v>1511.943</v>
      </c>
      <c r="V310" s="946">
        <v>696</v>
      </c>
      <c r="W310" s="946">
        <v>941</v>
      </c>
      <c r="X310" s="946">
        <v>3521</v>
      </c>
      <c r="Y310" s="947"/>
      <c r="Z310" s="946">
        <v>4651</v>
      </c>
      <c r="AA310" s="948">
        <v>258719</v>
      </c>
      <c r="AB310" s="946">
        <v>258.71899999999999</v>
      </c>
      <c r="AC310" s="974">
        <v>9534.2080000000005</v>
      </c>
      <c r="AD310" s="946">
        <v>189819.51199999999</v>
      </c>
      <c r="AE310" s="957">
        <v>11593</v>
      </c>
      <c r="AG310" s="957">
        <v>0</v>
      </c>
      <c r="AH310" s="955">
        <v>-1500</v>
      </c>
      <c r="AI310" s="425">
        <v>1</v>
      </c>
      <c r="AJ310" s="957">
        <v>0</v>
      </c>
      <c r="AL310" s="939">
        <v>1</v>
      </c>
      <c r="AM310" s="939">
        <v>1</v>
      </c>
      <c r="AN310" s="950">
        <v>10714.523379999999</v>
      </c>
      <c r="AO310" s="946">
        <v>0.39733758976906203</v>
      </c>
      <c r="AP310" s="946">
        <v>397</v>
      </c>
      <c r="AQ310" s="953"/>
      <c r="AR310" s="950"/>
      <c r="AS310" s="950">
        <v>648.26099999999997</v>
      </c>
    </row>
    <row r="311" spans="1:45" x14ac:dyDescent="0.3">
      <c r="A311" s="642" t="s">
        <v>1006</v>
      </c>
      <c r="B311" s="642" t="s">
        <v>1007</v>
      </c>
      <c r="C311" s="642" t="s">
        <v>1005</v>
      </c>
      <c r="D311" s="642" t="s">
        <v>125</v>
      </c>
      <c r="F311" s="946">
        <v>-6451</v>
      </c>
      <c r="H311" s="946">
        <v>0</v>
      </c>
      <c r="I311" s="939">
        <v>77160090</v>
      </c>
      <c r="J311" s="974">
        <v>77160.09</v>
      </c>
      <c r="L311" s="946">
        <v>7851</v>
      </c>
      <c r="M311" s="947"/>
      <c r="N311" s="946">
        <v>0</v>
      </c>
      <c r="P311" s="946">
        <v>4661</v>
      </c>
      <c r="R311" s="946">
        <v>3989</v>
      </c>
      <c r="S311" s="948">
        <v>311820</v>
      </c>
      <c r="T311" s="946">
        <v>311.82</v>
      </c>
      <c r="V311" s="946">
        <v>999</v>
      </c>
      <c r="W311" s="946">
        <v>348</v>
      </c>
      <c r="X311" s="946">
        <v>2088</v>
      </c>
      <c r="Y311" s="947"/>
      <c r="Z311" s="946">
        <v>1422</v>
      </c>
      <c r="AA311" s="948">
        <v>194422</v>
      </c>
      <c r="AB311" s="946">
        <v>194.422</v>
      </c>
      <c r="AC311" s="974">
        <v>198.72900000000001</v>
      </c>
      <c r="AD311" s="946">
        <v>65102.192999999999</v>
      </c>
      <c r="AE311" s="957">
        <v>13801</v>
      </c>
      <c r="AG311" s="957" t="s">
        <v>5442</v>
      </c>
      <c r="AH311" s="955">
        <v>0</v>
      </c>
      <c r="AI311" s="425">
        <v>1</v>
      </c>
      <c r="AJ311" s="957" t="s">
        <v>5589</v>
      </c>
      <c r="AL311" s="939">
        <v>1</v>
      </c>
      <c r="AM311" s="939">
        <v>1</v>
      </c>
      <c r="AN311" s="950">
        <v>9013.9476099999993</v>
      </c>
      <c r="AO311" s="946">
        <v>0.29191667542113298</v>
      </c>
      <c r="AP311" s="946">
        <v>292</v>
      </c>
      <c r="AQ311" s="953"/>
      <c r="AR311" s="950"/>
      <c r="AS311" s="950">
        <v>456.00299999999999</v>
      </c>
    </row>
    <row r="312" spans="1:45" x14ac:dyDescent="0.3">
      <c r="A312" s="642" t="s">
        <v>1009</v>
      </c>
      <c r="B312" s="642" t="s">
        <v>1010</v>
      </c>
      <c r="C312" s="642" t="s">
        <v>1008</v>
      </c>
      <c r="D312" s="642" t="s">
        <v>97</v>
      </c>
      <c r="F312" s="946">
        <v>0</v>
      </c>
      <c r="H312" s="946">
        <v>0</v>
      </c>
      <c r="I312" s="939">
        <v>112422964</v>
      </c>
      <c r="J312" s="974">
        <v>112422.96400000001</v>
      </c>
      <c r="L312" s="946">
        <v>11829</v>
      </c>
      <c r="M312" s="947"/>
      <c r="N312" s="946">
        <v>0</v>
      </c>
      <c r="P312" s="946">
        <v>7517</v>
      </c>
      <c r="R312" s="946">
        <v>6447</v>
      </c>
      <c r="S312" s="948">
        <v>768824</v>
      </c>
      <c r="T312" s="946">
        <v>768.82399999999996</v>
      </c>
      <c r="V312" s="946">
        <v>891</v>
      </c>
      <c r="W312" s="946">
        <v>587</v>
      </c>
      <c r="X312" s="946">
        <v>2083</v>
      </c>
      <c r="Y312" s="947"/>
      <c r="Z312" s="946">
        <v>1325</v>
      </c>
      <c r="AA312" s="948">
        <v>248864</v>
      </c>
      <c r="AB312" s="946">
        <v>248.864</v>
      </c>
      <c r="AC312" s="974">
        <v>1517.287</v>
      </c>
      <c r="AD312" s="946">
        <v>120234.76700000001</v>
      </c>
      <c r="AE312" s="957">
        <v>9884</v>
      </c>
      <c r="AG312" s="957">
        <v>138</v>
      </c>
      <c r="AH312" s="955">
        <v>0</v>
      </c>
      <c r="AI312" s="425">
        <v>1</v>
      </c>
      <c r="AJ312" s="957">
        <v>0</v>
      </c>
      <c r="AL312" s="939">
        <v>1</v>
      </c>
      <c r="AM312" s="939">
        <v>1</v>
      </c>
      <c r="AN312" s="950">
        <v>10357.45161</v>
      </c>
      <c r="AO312" s="946">
        <v>0.205269149836703</v>
      </c>
      <c r="AP312" s="946">
        <v>205</v>
      </c>
      <c r="AQ312" s="953"/>
      <c r="AR312" s="950"/>
      <c r="AS312" s="950">
        <v>495.35</v>
      </c>
    </row>
    <row r="313" spans="1:45" x14ac:dyDescent="0.3">
      <c r="A313" s="642" t="s">
        <v>1012</v>
      </c>
      <c r="B313" s="642" t="s">
        <v>1013</v>
      </c>
      <c r="C313" s="642" t="s">
        <v>1011</v>
      </c>
      <c r="D313" s="642" t="s">
        <v>1942</v>
      </c>
      <c r="F313" s="946">
        <v>-6407</v>
      </c>
      <c r="H313" s="946">
        <v>0</v>
      </c>
      <c r="I313" s="939">
        <v>225489045</v>
      </c>
      <c r="J313" s="974">
        <v>225489.04500000001</v>
      </c>
      <c r="L313" s="946">
        <v>21881</v>
      </c>
      <c r="M313" s="947"/>
      <c r="N313" s="946">
        <v>2521</v>
      </c>
      <c r="P313" s="946">
        <v>24591</v>
      </c>
      <c r="R313" s="946">
        <v>23373</v>
      </c>
      <c r="S313" s="948">
        <v>1192816</v>
      </c>
      <c r="T313" s="946">
        <v>1192.816</v>
      </c>
      <c r="V313" s="946">
        <v>0</v>
      </c>
      <c r="W313" s="946">
        <v>1686</v>
      </c>
      <c r="X313" s="946">
        <v>4709</v>
      </c>
      <c r="Y313" s="947"/>
      <c r="Z313" s="946">
        <v>1266</v>
      </c>
      <c r="AA313" s="948">
        <v>0</v>
      </c>
      <c r="AB313" s="946">
        <v>0</v>
      </c>
      <c r="AC313" s="974">
        <v>0</v>
      </c>
      <c r="AD313" s="946">
        <v>279841.54100000003</v>
      </c>
      <c r="AE313" s="957">
        <v>0</v>
      </c>
      <c r="AG313" s="957">
        <v>0</v>
      </c>
      <c r="AH313" s="955">
        <v>0</v>
      </c>
      <c r="AI313" s="425">
        <v>0</v>
      </c>
      <c r="AJ313" s="957">
        <v>0</v>
      </c>
      <c r="AL313" s="939">
        <v>1</v>
      </c>
      <c r="AM313" s="939">
        <v>1</v>
      </c>
      <c r="AN313" s="950">
        <v>7296.25</v>
      </c>
      <c r="AO313" s="946">
        <v>0</v>
      </c>
      <c r="AP313" s="946">
        <v>0</v>
      </c>
      <c r="AQ313" s="953"/>
      <c r="AR313" s="950"/>
      <c r="AS313" s="950">
        <v>0</v>
      </c>
    </row>
    <row r="314" spans="1:45" x14ac:dyDescent="0.3">
      <c r="A314" s="642" t="s">
        <v>1015</v>
      </c>
      <c r="B314" s="642" t="s">
        <v>1016</v>
      </c>
      <c r="C314" s="642" t="s">
        <v>5444</v>
      </c>
      <c r="D314" s="642" t="s">
        <v>61</v>
      </c>
      <c r="F314" s="946">
        <v>-7</v>
      </c>
      <c r="H314" s="946">
        <v>0</v>
      </c>
      <c r="I314" s="939">
        <v>0</v>
      </c>
      <c r="J314" s="974">
        <v>0</v>
      </c>
      <c r="L314" s="946">
        <v>0</v>
      </c>
      <c r="M314" s="947"/>
      <c r="N314" s="946">
        <v>253</v>
      </c>
      <c r="P314" s="946">
        <v>0</v>
      </c>
      <c r="R314" s="946">
        <v>0</v>
      </c>
      <c r="S314" s="948">
        <v>0</v>
      </c>
      <c r="T314" s="946">
        <v>0</v>
      </c>
      <c r="V314" s="946">
        <v>454</v>
      </c>
      <c r="W314" s="946">
        <v>0</v>
      </c>
      <c r="X314" s="946">
        <v>270</v>
      </c>
      <c r="Y314" s="947"/>
      <c r="Z314" s="946">
        <v>1567</v>
      </c>
      <c r="AA314" s="948">
        <v>178308</v>
      </c>
      <c r="AB314" s="946">
        <v>178.30799999999999</v>
      </c>
      <c r="AC314" s="974">
        <v>2677.71</v>
      </c>
      <c r="AD314" s="946">
        <v>12599.839</v>
      </c>
      <c r="AE314" s="957">
        <v>3466</v>
      </c>
      <c r="AG314" s="957">
        <v>2102</v>
      </c>
      <c r="AH314" s="955">
        <v>0</v>
      </c>
      <c r="AI314" s="425">
        <v>1</v>
      </c>
      <c r="AJ314" s="957">
        <v>0</v>
      </c>
      <c r="AL314" s="939">
        <v>0</v>
      </c>
      <c r="AM314" s="939">
        <v>0</v>
      </c>
      <c r="AN314" s="950">
        <v>2553.85</v>
      </c>
      <c r="AO314" s="946">
        <v>0.371314339688956</v>
      </c>
      <c r="AP314" s="946">
        <v>371</v>
      </c>
      <c r="AQ314" s="953"/>
      <c r="AR314" s="950"/>
      <c r="AS314" s="950">
        <v>413.74</v>
      </c>
    </row>
    <row r="315" spans="1:45" x14ac:dyDescent="0.3">
      <c r="A315" s="642" t="s">
        <v>1018</v>
      </c>
      <c r="B315" s="642" t="s">
        <v>1019</v>
      </c>
      <c r="C315" s="642" t="s">
        <v>1017</v>
      </c>
      <c r="D315" s="642" t="s">
        <v>61</v>
      </c>
      <c r="F315" s="946">
        <v>0</v>
      </c>
      <c r="H315" s="946">
        <v>0</v>
      </c>
      <c r="I315" s="939">
        <v>0</v>
      </c>
      <c r="J315" s="974">
        <v>0</v>
      </c>
      <c r="L315" s="946">
        <v>0</v>
      </c>
      <c r="M315" s="947"/>
      <c r="N315" s="946">
        <v>137</v>
      </c>
      <c r="P315" s="946">
        <v>0</v>
      </c>
      <c r="R315" s="946">
        <v>0</v>
      </c>
      <c r="S315" s="948">
        <v>0</v>
      </c>
      <c r="T315" s="946">
        <v>0</v>
      </c>
      <c r="V315" s="946">
        <v>518</v>
      </c>
      <c r="W315" s="946">
        <v>0</v>
      </c>
      <c r="X315" s="946">
        <v>182</v>
      </c>
      <c r="Y315" s="947"/>
      <c r="Z315" s="946">
        <v>2376</v>
      </c>
      <c r="AA315" s="948">
        <v>113169</v>
      </c>
      <c r="AB315" s="946">
        <v>113.169</v>
      </c>
      <c r="AC315" s="974">
        <v>6515.7780000000002</v>
      </c>
      <c r="AD315" s="946">
        <v>17005.181829999998</v>
      </c>
      <c r="AE315" s="957">
        <v>15335</v>
      </c>
      <c r="AG315" s="957">
        <v>3420</v>
      </c>
      <c r="AH315" s="955">
        <v>0</v>
      </c>
      <c r="AI315" s="425">
        <v>1</v>
      </c>
      <c r="AJ315" s="957">
        <v>0</v>
      </c>
      <c r="AL315" s="939">
        <v>0</v>
      </c>
      <c r="AM315" s="939">
        <v>0</v>
      </c>
      <c r="AN315" s="950">
        <v>7192.8050000000003</v>
      </c>
      <c r="AO315" s="946">
        <v>0.121100072026223</v>
      </c>
      <c r="AP315" s="946">
        <v>121</v>
      </c>
      <c r="AQ315" s="953"/>
      <c r="AR315" s="950"/>
      <c r="AS315" s="950">
        <v>224.42599999999999</v>
      </c>
    </row>
    <row r="316" spans="1:45" x14ac:dyDescent="0.3">
      <c r="A316" s="642" t="s">
        <v>1021</v>
      </c>
      <c r="B316" s="642" t="s">
        <v>1022</v>
      </c>
      <c r="C316" s="642" t="s">
        <v>1020</v>
      </c>
      <c r="D316" s="642" t="s">
        <v>61</v>
      </c>
      <c r="F316" s="946">
        <v>0</v>
      </c>
      <c r="H316" s="946">
        <v>0</v>
      </c>
      <c r="I316" s="939">
        <v>0</v>
      </c>
      <c r="J316" s="974">
        <v>0</v>
      </c>
      <c r="L316" s="946">
        <v>0</v>
      </c>
      <c r="M316" s="947"/>
      <c r="N316" s="946">
        <v>0</v>
      </c>
      <c r="P316" s="946">
        <v>0</v>
      </c>
      <c r="R316" s="946">
        <v>0</v>
      </c>
      <c r="S316" s="948">
        <v>0</v>
      </c>
      <c r="T316" s="946">
        <v>0</v>
      </c>
      <c r="V316" s="946">
        <v>211</v>
      </c>
      <c r="W316" s="946">
        <v>0</v>
      </c>
      <c r="X316" s="946">
        <v>174</v>
      </c>
      <c r="Y316" s="947"/>
      <c r="Z316" s="946">
        <v>3018</v>
      </c>
      <c r="AA316" s="948">
        <v>93597</v>
      </c>
      <c r="AB316" s="946">
        <v>93.596999999999994</v>
      </c>
      <c r="AC316" s="974">
        <v>986.56399999999996</v>
      </c>
      <c r="AD316" s="946">
        <v>7332.7070000000003</v>
      </c>
      <c r="AE316" s="957">
        <v>6495</v>
      </c>
      <c r="AG316" s="957">
        <v>0</v>
      </c>
      <c r="AH316" s="955">
        <v>0</v>
      </c>
      <c r="AI316" s="425">
        <v>1</v>
      </c>
      <c r="AJ316" s="957">
        <v>0</v>
      </c>
      <c r="AL316" s="939">
        <v>0</v>
      </c>
      <c r="AM316" s="939">
        <v>0</v>
      </c>
      <c r="AN316" s="950">
        <v>1504.8050000000001</v>
      </c>
      <c r="AO316" s="946">
        <v>0.240816306060984</v>
      </c>
      <c r="AP316" s="946">
        <v>241</v>
      </c>
      <c r="AQ316" s="953"/>
      <c r="AR316" s="950"/>
      <c r="AS316" s="950">
        <v>166.381</v>
      </c>
    </row>
    <row r="317" spans="1:45" x14ac:dyDescent="0.3">
      <c r="A317" s="642" t="s">
        <v>1024</v>
      </c>
      <c r="B317" s="642" t="s">
        <v>1025</v>
      </c>
      <c r="C317" s="642" t="s">
        <v>1023</v>
      </c>
      <c r="D317" s="642" t="s">
        <v>5418</v>
      </c>
      <c r="F317" s="946">
        <v>0</v>
      </c>
      <c r="H317" s="946">
        <v>0</v>
      </c>
      <c r="I317" s="939">
        <v>0</v>
      </c>
      <c r="J317" s="974">
        <v>0</v>
      </c>
      <c r="L317" s="946">
        <v>0</v>
      </c>
      <c r="M317" s="947"/>
      <c r="N317" s="946">
        <v>0</v>
      </c>
      <c r="P317" s="946">
        <v>0</v>
      </c>
      <c r="R317" s="946">
        <v>0</v>
      </c>
      <c r="S317" s="948">
        <v>0</v>
      </c>
      <c r="T317" s="946">
        <v>0</v>
      </c>
      <c r="V317" s="946">
        <v>0</v>
      </c>
      <c r="W317" s="946">
        <v>0</v>
      </c>
      <c r="X317" s="946">
        <v>0</v>
      </c>
      <c r="Y317" s="947"/>
      <c r="Z317" s="946">
        <v>0</v>
      </c>
      <c r="AA317" s="948">
        <v>0</v>
      </c>
      <c r="AB317" s="946">
        <v>0</v>
      </c>
      <c r="AC317" s="974">
        <v>0</v>
      </c>
      <c r="AD317" s="946">
        <v>0</v>
      </c>
      <c r="AE317" s="957">
        <v>0</v>
      </c>
      <c r="AG317" s="957">
        <v>0</v>
      </c>
      <c r="AH317" s="955">
        <v>0</v>
      </c>
      <c r="AI317" s="425">
        <v>0</v>
      </c>
      <c r="AJ317" s="957">
        <v>0</v>
      </c>
      <c r="AL317" s="939">
        <v>0</v>
      </c>
      <c r="AM317" s="939">
        <v>0</v>
      </c>
      <c r="AN317" s="950">
        <v>0</v>
      </c>
      <c r="AO317" s="946">
        <v>0</v>
      </c>
      <c r="AP317" s="946">
        <v>0</v>
      </c>
      <c r="AQ317" s="953"/>
      <c r="AR317" s="950"/>
      <c r="AS317" s="950">
        <v>0</v>
      </c>
    </row>
    <row r="318" spans="1:45" x14ac:dyDescent="0.3">
      <c r="A318" s="642" t="s">
        <v>1028</v>
      </c>
      <c r="B318" s="642" t="s">
        <v>1029</v>
      </c>
      <c r="C318" s="642" t="s">
        <v>1027</v>
      </c>
      <c r="D318" s="642" t="s">
        <v>125</v>
      </c>
      <c r="F318" s="946">
        <v>0</v>
      </c>
      <c r="H318" s="946">
        <v>0</v>
      </c>
      <c r="I318" s="939">
        <v>152257412</v>
      </c>
      <c r="J318" s="974">
        <v>152257.41200000001</v>
      </c>
      <c r="L318" s="946">
        <v>9825</v>
      </c>
      <c r="M318" s="947"/>
      <c r="N318" s="946">
        <v>0</v>
      </c>
      <c r="P318" s="946">
        <v>7310</v>
      </c>
      <c r="R318" s="946">
        <v>4633</v>
      </c>
      <c r="S318" s="948">
        <v>830532</v>
      </c>
      <c r="T318" s="946">
        <v>830.53200000000004</v>
      </c>
      <c r="V318" s="946">
        <v>679</v>
      </c>
      <c r="W318" s="946">
        <v>631</v>
      </c>
      <c r="X318" s="946">
        <v>2597</v>
      </c>
      <c r="Y318" s="947"/>
      <c r="Z318" s="946">
        <v>4698</v>
      </c>
      <c r="AA318" s="948">
        <v>202777</v>
      </c>
      <c r="AB318" s="946">
        <v>202.77699999999999</v>
      </c>
      <c r="AC318" s="974">
        <v>8829.0349999999999</v>
      </c>
      <c r="AD318" s="946">
        <v>175951.315</v>
      </c>
      <c r="AE318" s="957">
        <v>0</v>
      </c>
      <c r="AG318" s="957">
        <v>3053</v>
      </c>
      <c r="AH318" s="955">
        <v>0</v>
      </c>
      <c r="AI318" s="425">
        <v>1</v>
      </c>
      <c r="AJ318" s="957">
        <v>0</v>
      </c>
      <c r="AL318" s="939">
        <v>1</v>
      </c>
      <c r="AM318" s="939">
        <v>1</v>
      </c>
      <c r="AN318" s="950">
        <v>3947.8745400000003</v>
      </c>
      <c r="AO318" s="946">
        <v>0.28784387444442699</v>
      </c>
      <c r="AP318" s="946">
        <v>288</v>
      </c>
      <c r="AQ318" s="953"/>
      <c r="AR318" s="950"/>
      <c r="AS318" s="950">
        <v>463.15800000000002</v>
      </c>
    </row>
    <row r="319" spans="1:45" x14ac:dyDescent="0.3">
      <c r="A319" s="642" t="s">
        <v>1031</v>
      </c>
      <c r="B319" s="642" t="s">
        <v>1032</v>
      </c>
      <c r="C319" s="642" t="s">
        <v>1030</v>
      </c>
      <c r="D319" s="642" t="s">
        <v>61</v>
      </c>
      <c r="F319" s="946">
        <v>0</v>
      </c>
      <c r="H319" s="946">
        <v>0</v>
      </c>
      <c r="I319" s="939">
        <v>0</v>
      </c>
      <c r="J319" s="974">
        <v>0</v>
      </c>
      <c r="L319" s="946">
        <v>0</v>
      </c>
      <c r="M319" s="947"/>
      <c r="N319" s="946">
        <v>428</v>
      </c>
      <c r="P319" s="946">
        <v>0</v>
      </c>
      <c r="R319" s="946">
        <v>0</v>
      </c>
      <c r="S319" s="948">
        <v>0</v>
      </c>
      <c r="T319" s="946">
        <v>0</v>
      </c>
      <c r="V319" s="946">
        <v>175</v>
      </c>
      <c r="W319" s="946">
        <v>0</v>
      </c>
      <c r="X319" s="946">
        <v>133</v>
      </c>
      <c r="Y319" s="947"/>
      <c r="Z319" s="946">
        <v>1008</v>
      </c>
      <c r="AA319" s="948">
        <v>84340</v>
      </c>
      <c r="AB319" s="946">
        <v>84.34</v>
      </c>
      <c r="AC319" s="974">
        <v>3134.1089999999999</v>
      </c>
      <c r="AD319" s="946">
        <v>10195.694</v>
      </c>
      <c r="AE319" s="957">
        <v>0</v>
      </c>
      <c r="AG319" s="957">
        <v>0</v>
      </c>
      <c r="AH319" s="955">
        <v>0</v>
      </c>
      <c r="AI319" s="425">
        <v>1</v>
      </c>
      <c r="AJ319" s="957">
        <v>0</v>
      </c>
      <c r="AL319" s="939">
        <v>0</v>
      </c>
      <c r="AM319" s="939">
        <v>0</v>
      </c>
      <c r="AN319" s="950">
        <v>363.31001000000003</v>
      </c>
      <c r="AO319" s="946">
        <v>8.8216861267679497E-2</v>
      </c>
      <c r="AP319" s="946">
        <v>88</v>
      </c>
      <c r="AQ319" s="953"/>
      <c r="AR319" s="950"/>
      <c r="AS319" s="950">
        <v>182.14599999999999</v>
      </c>
    </row>
    <row r="320" spans="1:45" x14ac:dyDescent="0.3">
      <c r="A320" s="642" t="s">
        <v>1034</v>
      </c>
      <c r="B320" s="642" t="s">
        <v>1035</v>
      </c>
      <c r="C320" s="642" t="s">
        <v>1033</v>
      </c>
      <c r="D320" s="642" t="s">
        <v>61</v>
      </c>
      <c r="F320" s="946">
        <v>-286</v>
      </c>
      <c r="H320" s="946">
        <v>0</v>
      </c>
      <c r="I320" s="939">
        <v>0</v>
      </c>
      <c r="J320" s="974">
        <v>0</v>
      </c>
      <c r="L320" s="946">
        <v>0</v>
      </c>
      <c r="M320" s="947"/>
      <c r="N320" s="946">
        <v>167</v>
      </c>
      <c r="P320" s="946">
        <v>0</v>
      </c>
      <c r="R320" s="946">
        <v>0</v>
      </c>
      <c r="S320" s="948">
        <v>0</v>
      </c>
      <c r="T320" s="946">
        <v>0</v>
      </c>
      <c r="V320" s="946">
        <v>172</v>
      </c>
      <c r="W320" s="946">
        <v>0</v>
      </c>
      <c r="X320" s="946">
        <v>231</v>
      </c>
      <c r="Y320" s="947"/>
      <c r="Z320" s="946">
        <v>1118</v>
      </c>
      <c r="AA320" s="948">
        <v>83812</v>
      </c>
      <c r="AB320" s="946">
        <v>83.811999999999998</v>
      </c>
      <c r="AC320" s="974">
        <v>1014.8150000000001</v>
      </c>
      <c r="AD320" s="946">
        <v>6821.7389999999996</v>
      </c>
      <c r="AE320" s="957">
        <v>24663</v>
      </c>
      <c r="AG320" s="957">
        <v>2561</v>
      </c>
      <c r="AH320" s="955">
        <v>0</v>
      </c>
      <c r="AI320" s="425">
        <v>1</v>
      </c>
      <c r="AJ320" s="957">
        <v>0</v>
      </c>
      <c r="AL320" s="939">
        <v>0</v>
      </c>
      <c r="AM320" s="939">
        <v>0</v>
      </c>
      <c r="AN320" s="950">
        <v>2347.4687999999996</v>
      </c>
      <c r="AO320" s="946">
        <v>0.153058104399663</v>
      </c>
      <c r="AP320" s="946">
        <v>153</v>
      </c>
      <c r="AQ320" s="953"/>
      <c r="AR320" s="950"/>
      <c r="AS320" s="950">
        <v>175.18299999999999</v>
      </c>
    </row>
    <row r="321" spans="1:45" x14ac:dyDescent="0.3">
      <c r="A321" s="642" t="s">
        <v>1037</v>
      </c>
      <c r="B321" s="642" t="s">
        <v>1038</v>
      </c>
      <c r="C321" s="642" t="s">
        <v>1036</v>
      </c>
      <c r="D321" s="642" t="s">
        <v>61</v>
      </c>
      <c r="F321" s="946">
        <v>-1</v>
      </c>
      <c r="H321" s="946">
        <v>0</v>
      </c>
      <c r="I321" s="939">
        <v>0</v>
      </c>
      <c r="J321" s="974">
        <v>0</v>
      </c>
      <c r="L321" s="946">
        <v>0</v>
      </c>
      <c r="M321" s="947"/>
      <c r="N321" s="946">
        <v>309</v>
      </c>
      <c r="P321" s="946">
        <v>0</v>
      </c>
      <c r="R321" s="946">
        <v>0</v>
      </c>
      <c r="S321" s="948">
        <v>0</v>
      </c>
      <c r="T321" s="946">
        <v>0</v>
      </c>
      <c r="V321" s="946">
        <v>345</v>
      </c>
      <c r="W321" s="946">
        <v>0</v>
      </c>
      <c r="X321" s="946">
        <v>253</v>
      </c>
      <c r="Y321" s="947"/>
      <c r="Z321" s="946">
        <v>1232</v>
      </c>
      <c r="AA321" s="948">
        <v>125811</v>
      </c>
      <c r="AB321" s="946">
        <v>125.81100000000001</v>
      </c>
      <c r="AC321" s="974">
        <v>1937.1119899999999</v>
      </c>
      <c r="AD321" s="946">
        <v>10391.83201</v>
      </c>
      <c r="AE321" s="957">
        <v>17289</v>
      </c>
      <c r="AG321" s="957">
        <v>3480</v>
      </c>
      <c r="AH321" s="955">
        <v>0</v>
      </c>
      <c r="AI321" s="425">
        <v>1</v>
      </c>
      <c r="AJ321" s="957">
        <v>0</v>
      </c>
      <c r="AL321" s="939">
        <v>0</v>
      </c>
      <c r="AM321" s="939">
        <v>0</v>
      </c>
      <c r="AN321" s="950">
        <v>2335.4657699999998</v>
      </c>
      <c r="AO321" s="946">
        <v>0.167858228154213</v>
      </c>
      <c r="AP321" s="946">
        <v>168</v>
      </c>
      <c r="AQ321" s="953"/>
      <c r="AR321" s="950"/>
      <c r="AS321" s="950">
        <v>291.78199999999998</v>
      </c>
    </row>
    <row r="322" spans="1:45" x14ac:dyDescent="0.3">
      <c r="A322" s="642" t="s">
        <v>1040</v>
      </c>
      <c r="B322" s="642" t="s">
        <v>1041</v>
      </c>
      <c r="C322" s="642" t="s">
        <v>1039</v>
      </c>
      <c r="D322" s="642" t="s">
        <v>61</v>
      </c>
      <c r="F322" s="946">
        <v>0</v>
      </c>
      <c r="H322" s="946">
        <v>0</v>
      </c>
      <c r="I322" s="939">
        <v>0</v>
      </c>
      <c r="J322" s="974">
        <v>0</v>
      </c>
      <c r="L322" s="946">
        <v>0</v>
      </c>
      <c r="M322" s="947"/>
      <c r="N322" s="946">
        <v>455</v>
      </c>
      <c r="P322" s="946">
        <v>0</v>
      </c>
      <c r="R322" s="946">
        <v>0</v>
      </c>
      <c r="S322" s="948">
        <v>0</v>
      </c>
      <c r="T322" s="946">
        <v>0</v>
      </c>
      <c r="V322" s="946">
        <v>159</v>
      </c>
      <c r="W322" s="946">
        <v>0</v>
      </c>
      <c r="X322" s="946">
        <v>155</v>
      </c>
      <c r="Y322" s="947"/>
      <c r="Z322" s="946">
        <v>130</v>
      </c>
      <c r="AA322" s="948">
        <v>78307</v>
      </c>
      <c r="AB322" s="946">
        <v>78.307000000000002</v>
      </c>
      <c r="AC322" s="974">
        <v>1981.289</v>
      </c>
      <c r="AD322" s="946">
        <v>11569.790999999999</v>
      </c>
      <c r="AE322" s="957">
        <v>0</v>
      </c>
      <c r="AG322" s="957" t="s">
        <v>5442</v>
      </c>
      <c r="AH322" s="955">
        <v>0</v>
      </c>
      <c r="AI322" s="425">
        <v>1</v>
      </c>
      <c r="AJ322" s="957" t="s">
        <v>5442</v>
      </c>
      <c r="AL322" s="939">
        <v>0</v>
      </c>
      <c r="AM322" s="939">
        <v>0</v>
      </c>
      <c r="AN322" s="950">
        <v>566.79999999999995</v>
      </c>
      <c r="AO322" s="946">
        <v>0.102892053031498</v>
      </c>
      <c r="AP322" s="946">
        <v>103</v>
      </c>
      <c r="AQ322" s="953"/>
      <c r="AR322" s="950"/>
      <c r="AS322" s="950">
        <v>156.97399999999999</v>
      </c>
    </row>
    <row r="323" spans="1:45" x14ac:dyDescent="0.3">
      <c r="A323" s="642" t="s">
        <v>1043</v>
      </c>
      <c r="B323" s="642" t="s">
        <v>1044</v>
      </c>
      <c r="C323" s="642" t="s">
        <v>1042</v>
      </c>
      <c r="D323" s="642" t="s">
        <v>61</v>
      </c>
      <c r="F323" s="946">
        <v>0</v>
      </c>
      <c r="H323" s="946">
        <v>0</v>
      </c>
      <c r="I323" s="939">
        <v>0</v>
      </c>
      <c r="J323" s="974">
        <v>0</v>
      </c>
      <c r="L323" s="946">
        <v>0</v>
      </c>
      <c r="M323" s="947"/>
      <c r="N323" s="946">
        <v>299</v>
      </c>
      <c r="P323" s="946">
        <v>0</v>
      </c>
      <c r="R323" s="946">
        <v>0</v>
      </c>
      <c r="S323" s="948">
        <v>0</v>
      </c>
      <c r="T323" s="946">
        <v>0</v>
      </c>
      <c r="V323" s="946">
        <v>229</v>
      </c>
      <c r="W323" s="946">
        <v>0</v>
      </c>
      <c r="X323" s="946">
        <v>215</v>
      </c>
      <c r="Y323" s="947"/>
      <c r="Z323" s="946">
        <v>2093</v>
      </c>
      <c r="AA323" s="948">
        <v>126534</v>
      </c>
      <c r="AB323" s="946">
        <v>126.53400000000001</v>
      </c>
      <c r="AC323" s="974">
        <v>4457.0910000000003</v>
      </c>
      <c r="AD323" s="946">
        <v>12950.406999999999</v>
      </c>
      <c r="AE323" s="957">
        <v>0</v>
      </c>
      <c r="AG323" s="957">
        <v>0</v>
      </c>
      <c r="AH323" s="955">
        <v>0</v>
      </c>
      <c r="AI323" s="425">
        <v>1</v>
      </c>
      <c r="AJ323" s="957">
        <v>0</v>
      </c>
      <c r="AL323" s="939">
        <v>0</v>
      </c>
      <c r="AM323" s="939">
        <v>0</v>
      </c>
      <c r="AN323" s="950">
        <v>480</v>
      </c>
      <c r="AO323" s="946">
        <v>1.1754865633696201</v>
      </c>
      <c r="AP323" s="946">
        <v>1175</v>
      </c>
      <c r="AQ323" s="953"/>
      <c r="AR323" s="950"/>
      <c r="AS323" s="950">
        <v>233.83099999999999</v>
      </c>
    </row>
    <row r="324" spans="1:45" x14ac:dyDescent="0.3">
      <c r="A324" s="642" t="s">
        <v>1046</v>
      </c>
      <c r="B324" s="642" t="s">
        <v>1047</v>
      </c>
      <c r="C324" s="642" t="s">
        <v>1045</v>
      </c>
      <c r="D324" s="642" t="s">
        <v>61</v>
      </c>
      <c r="F324" s="946">
        <v>0</v>
      </c>
      <c r="H324" s="946">
        <v>0</v>
      </c>
      <c r="I324" s="939">
        <v>0</v>
      </c>
      <c r="J324" s="974">
        <v>0</v>
      </c>
      <c r="L324" s="946">
        <v>0</v>
      </c>
      <c r="M324" s="947"/>
      <c r="N324" s="946">
        <v>44</v>
      </c>
      <c r="P324" s="946">
        <v>0</v>
      </c>
      <c r="R324" s="946">
        <v>0</v>
      </c>
      <c r="S324" s="948">
        <v>0</v>
      </c>
      <c r="T324" s="946">
        <v>0</v>
      </c>
      <c r="V324" s="946">
        <v>361</v>
      </c>
      <c r="W324" s="946">
        <v>0</v>
      </c>
      <c r="X324" s="946">
        <v>180</v>
      </c>
      <c r="Y324" s="947"/>
      <c r="Z324" s="946">
        <v>2003</v>
      </c>
      <c r="AA324" s="948">
        <v>88607</v>
      </c>
      <c r="AB324" s="946">
        <v>88.606999999999999</v>
      </c>
      <c r="AC324" s="974">
        <v>6279.375</v>
      </c>
      <c r="AD324" s="946">
        <v>14500.601000000001</v>
      </c>
      <c r="AE324" s="957">
        <v>0</v>
      </c>
      <c r="AG324" s="957">
        <v>9344</v>
      </c>
      <c r="AH324" s="955">
        <v>0</v>
      </c>
      <c r="AI324" s="425">
        <v>1</v>
      </c>
      <c r="AJ324" s="957">
        <v>0</v>
      </c>
      <c r="AL324" s="939">
        <v>0</v>
      </c>
      <c r="AM324" s="939">
        <v>0</v>
      </c>
      <c r="AN324" s="950">
        <v>0</v>
      </c>
      <c r="AO324" s="946">
        <v>0.119166472667724</v>
      </c>
      <c r="AP324" s="946">
        <v>119</v>
      </c>
      <c r="AQ324" s="953"/>
      <c r="AR324" s="950"/>
      <c r="AS324" s="950">
        <v>220.21899999999999</v>
      </c>
    </row>
    <row r="325" spans="1:45" x14ac:dyDescent="0.3">
      <c r="A325" s="642" t="s">
        <v>1049</v>
      </c>
      <c r="B325" s="642" t="s">
        <v>1050</v>
      </c>
      <c r="C325" s="642" t="s">
        <v>1048</v>
      </c>
      <c r="D325" s="642" t="s">
        <v>61</v>
      </c>
      <c r="F325" s="946">
        <v>0</v>
      </c>
      <c r="H325" s="946">
        <v>0</v>
      </c>
      <c r="I325" s="939">
        <v>0</v>
      </c>
      <c r="J325" s="974">
        <v>0</v>
      </c>
      <c r="L325" s="946">
        <v>0</v>
      </c>
      <c r="M325" s="947"/>
      <c r="N325" s="946">
        <v>0</v>
      </c>
      <c r="P325" s="946">
        <v>0</v>
      </c>
      <c r="R325" s="946">
        <v>0</v>
      </c>
      <c r="S325" s="948">
        <v>0</v>
      </c>
      <c r="T325" s="946">
        <v>0</v>
      </c>
      <c r="V325" s="946">
        <v>158</v>
      </c>
      <c r="W325" s="946">
        <v>0</v>
      </c>
      <c r="X325" s="946">
        <v>162</v>
      </c>
      <c r="Y325" s="947"/>
      <c r="Z325" s="946">
        <v>802</v>
      </c>
      <c r="AA325" s="948">
        <v>98227</v>
      </c>
      <c r="AB325" s="946">
        <v>98.227000000000004</v>
      </c>
      <c r="AC325" s="974">
        <v>468.51</v>
      </c>
      <c r="AD325" s="946">
        <v>8635.866</v>
      </c>
      <c r="AE325" s="957">
        <v>0</v>
      </c>
      <c r="AG325" s="957">
        <v>4153</v>
      </c>
      <c r="AH325" s="955">
        <v>0</v>
      </c>
      <c r="AI325" s="425">
        <v>1</v>
      </c>
      <c r="AJ325" s="957">
        <v>0</v>
      </c>
      <c r="AL325" s="939">
        <v>0</v>
      </c>
      <c r="AM325" s="939">
        <v>0</v>
      </c>
      <c r="AN325" s="950">
        <v>0</v>
      </c>
      <c r="AO325" s="946">
        <v>0.107343406760921</v>
      </c>
      <c r="AP325" s="946">
        <v>107</v>
      </c>
      <c r="AQ325" s="953"/>
      <c r="AR325" s="950"/>
      <c r="AS325" s="950">
        <v>196.25800000000001</v>
      </c>
    </row>
    <row r="326" spans="1:45" x14ac:dyDescent="0.3">
      <c r="A326" s="642" t="s">
        <v>1052</v>
      </c>
      <c r="B326" s="642" t="s">
        <v>1053</v>
      </c>
      <c r="C326" s="642" t="s">
        <v>1051</v>
      </c>
      <c r="D326" s="642" t="s">
        <v>61</v>
      </c>
      <c r="F326" s="946">
        <v>-1</v>
      </c>
      <c r="H326" s="946">
        <v>0</v>
      </c>
      <c r="I326" s="939">
        <v>0</v>
      </c>
      <c r="J326" s="974">
        <v>0</v>
      </c>
      <c r="L326" s="946">
        <v>0</v>
      </c>
      <c r="M326" s="947"/>
      <c r="N326" s="946">
        <v>174</v>
      </c>
      <c r="P326" s="946">
        <v>0</v>
      </c>
      <c r="R326" s="946">
        <v>0</v>
      </c>
      <c r="S326" s="948">
        <v>0</v>
      </c>
      <c r="T326" s="946">
        <v>0</v>
      </c>
      <c r="V326" s="946">
        <v>464</v>
      </c>
      <c r="W326" s="946">
        <v>0</v>
      </c>
      <c r="X326" s="946">
        <v>253</v>
      </c>
      <c r="Y326" s="947"/>
      <c r="Z326" s="946">
        <v>1511</v>
      </c>
      <c r="AA326" s="948">
        <v>170092</v>
      </c>
      <c r="AB326" s="946">
        <v>170.09200000000001</v>
      </c>
      <c r="AC326" s="974">
        <v>6535.76</v>
      </c>
      <c r="AD326" s="946">
        <v>17579.57</v>
      </c>
      <c r="AE326" s="957">
        <v>0</v>
      </c>
      <c r="AG326" s="957">
        <v>0</v>
      </c>
      <c r="AH326" s="955">
        <v>0</v>
      </c>
      <c r="AI326" s="425">
        <v>1</v>
      </c>
      <c r="AJ326" s="957">
        <v>0</v>
      </c>
      <c r="AL326" s="939">
        <v>0</v>
      </c>
      <c r="AM326" s="939">
        <v>0</v>
      </c>
      <c r="AN326" s="950">
        <v>0</v>
      </c>
      <c r="AO326" s="946">
        <v>0.16776527324381499</v>
      </c>
      <c r="AP326" s="946">
        <v>168</v>
      </c>
      <c r="AQ326" s="953"/>
      <c r="AR326" s="950"/>
      <c r="AS326" s="950">
        <v>392.75799999999998</v>
      </c>
    </row>
    <row r="327" spans="1:45" x14ac:dyDescent="0.3">
      <c r="A327" s="642" t="s">
        <v>1055</v>
      </c>
      <c r="B327" s="642" t="s">
        <v>1056</v>
      </c>
      <c r="C327" s="642" t="s">
        <v>1054</v>
      </c>
      <c r="D327" s="642" t="s">
        <v>61</v>
      </c>
      <c r="F327" s="946">
        <v>-98</v>
      </c>
      <c r="H327" s="946">
        <v>0</v>
      </c>
      <c r="I327" s="939">
        <v>0</v>
      </c>
      <c r="J327" s="974">
        <v>0</v>
      </c>
      <c r="L327" s="946">
        <v>0</v>
      </c>
      <c r="M327" s="947"/>
      <c r="N327" s="946">
        <v>0</v>
      </c>
      <c r="P327" s="946">
        <v>0</v>
      </c>
      <c r="R327" s="946">
        <v>0</v>
      </c>
      <c r="S327" s="948">
        <v>0</v>
      </c>
      <c r="T327" s="946">
        <v>0</v>
      </c>
      <c r="V327" s="946">
        <v>136</v>
      </c>
      <c r="W327" s="946">
        <v>0</v>
      </c>
      <c r="X327" s="946">
        <v>162</v>
      </c>
      <c r="Y327" s="947"/>
      <c r="Z327" s="946">
        <v>499</v>
      </c>
      <c r="AA327" s="948">
        <v>91468</v>
      </c>
      <c r="AB327" s="946">
        <v>91.468000000000004</v>
      </c>
      <c r="AC327" s="974">
        <v>2419.7779999999998</v>
      </c>
      <c r="AD327" s="946">
        <v>7511.6639999999998</v>
      </c>
      <c r="AE327" s="957">
        <v>0</v>
      </c>
      <c r="AG327" s="957">
        <v>0</v>
      </c>
      <c r="AH327" s="955">
        <v>0</v>
      </c>
      <c r="AI327" s="425">
        <v>1</v>
      </c>
      <c r="AJ327" s="957">
        <v>0</v>
      </c>
      <c r="AL327" s="939">
        <v>0</v>
      </c>
      <c r="AM327" s="939">
        <v>0</v>
      </c>
      <c r="AN327" s="950">
        <v>232.41023000000001</v>
      </c>
      <c r="AO327" s="946">
        <v>0.10740709400679201</v>
      </c>
      <c r="AP327" s="946">
        <v>107</v>
      </c>
      <c r="AQ327" s="953"/>
      <c r="AR327" s="950"/>
      <c r="AS327" s="950">
        <v>203.00899999999999</v>
      </c>
    </row>
    <row r="328" spans="1:45" x14ac:dyDescent="0.3">
      <c r="A328" s="642" t="s">
        <v>1058</v>
      </c>
      <c r="B328" s="642" t="s">
        <v>1059</v>
      </c>
      <c r="C328" s="642" t="s">
        <v>1057</v>
      </c>
      <c r="D328" s="642" t="s">
        <v>97</v>
      </c>
      <c r="F328" s="946">
        <v>-15449</v>
      </c>
      <c r="H328" s="946">
        <v>0</v>
      </c>
      <c r="I328" s="939">
        <v>100744809</v>
      </c>
      <c r="J328" s="974">
        <v>100744.80899999999</v>
      </c>
      <c r="L328" s="946">
        <v>14190</v>
      </c>
      <c r="M328" s="947"/>
      <c r="N328" s="946">
        <v>0</v>
      </c>
      <c r="P328" s="946">
        <v>10723</v>
      </c>
      <c r="R328" s="946">
        <v>10485</v>
      </c>
      <c r="S328" s="948">
        <v>278069</v>
      </c>
      <c r="T328" s="946">
        <v>278.06900000000002</v>
      </c>
      <c r="V328" s="946">
        <v>385</v>
      </c>
      <c r="W328" s="946">
        <v>618</v>
      </c>
      <c r="X328" s="946">
        <v>3410</v>
      </c>
      <c r="Y328" s="947"/>
      <c r="Z328" s="946">
        <v>570</v>
      </c>
      <c r="AA328" s="948">
        <v>292717</v>
      </c>
      <c r="AB328" s="946">
        <v>292.71699999999998</v>
      </c>
      <c r="AC328" s="974">
        <v>0</v>
      </c>
      <c r="AD328" s="946">
        <v>68017.17</v>
      </c>
      <c r="AE328" s="957">
        <v>23290</v>
      </c>
      <c r="AG328" s="957">
        <v>1000</v>
      </c>
      <c r="AH328" s="955">
        <v>0</v>
      </c>
      <c r="AI328" s="425">
        <v>1</v>
      </c>
      <c r="AJ328" s="957">
        <v>0</v>
      </c>
      <c r="AL328" s="939">
        <v>1</v>
      </c>
      <c r="AM328" s="939">
        <v>1</v>
      </c>
      <c r="AN328" s="950">
        <v>21549.412680000001</v>
      </c>
      <c r="AO328" s="946">
        <v>0.29254922673245898</v>
      </c>
      <c r="AP328" s="946">
        <v>293</v>
      </c>
      <c r="AQ328" s="953"/>
      <c r="AR328" s="950"/>
      <c r="AS328" s="950">
        <v>721.91700000000003</v>
      </c>
    </row>
    <row r="329" spans="1:45" x14ac:dyDescent="0.3">
      <c r="A329" s="642" t="s">
        <v>1061</v>
      </c>
      <c r="B329" s="642" t="s">
        <v>1062</v>
      </c>
      <c r="C329" s="642" t="s">
        <v>5445</v>
      </c>
      <c r="D329" s="642" t="s">
        <v>5408</v>
      </c>
      <c r="F329" s="946">
        <v>-8716</v>
      </c>
      <c r="H329" s="946">
        <v>0</v>
      </c>
      <c r="I329" s="939">
        <v>0</v>
      </c>
      <c r="J329" s="974">
        <v>0</v>
      </c>
      <c r="L329" s="946">
        <v>0</v>
      </c>
      <c r="M329" s="947"/>
      <c r="N329" s="946">
        <v>0</v>
      </c>
      <c r="P329" s="946">
        <v>0</v>
      </c>
      <c r="R329" s="946">
        <v>0</v>
      </c>
      <c r="S329" s="948">
        <v>0</v>
      </c>
      <c r="T329" s="946">
        <v>0</v>
      </c>
      <c r="V329" s="946">
        <v>0</v>
      </c>
      <c r="W329" s="946">
        <v>0</v>
      </c>
      <c r="X329" s="946">
        <v>1081</v>
      </c>
      <c r="Y329" s="947"/>
      <c r="Z329" s="946">
        <v>0</v>
      </c>
      <c r="AA329" s="948">
        <v>0</v>
      </c>
      <c r="AB329" s="946">
        <v>0</v>
      </c>
      <c r="AC329" s="974">
        <v>0</v>
      </c>
      <c r="AD329" s="946">
        <v>28390.657999999999</v>
      </c>
      <c r="AE329" s="957">
        <v>0</v>
      </c>
      <c r="AG329" s="957">
        <v>100</v>
      </c>
      <c r="AH329" s="955">
        <v>0</v>
      </c>
      <c r="AI329" s="425">
        <v>0</v>
      </c>
      <c r="AJ329" s="957">
        <v>0</v>
      </c>
      <c r="AL329" s="939">
        <v>0</v>
      </c>
      <c r="AM329" s="939">
        <v>0</v>
      </c>
      <c r="AN329" s="950">
        <v>930.07425999999998</v>
      </c>
      <c r="AO329" s="946">
        <v>0</v>
      </c>
      <c r="AP329" s="946">
        <v>0</v>
      </c>
      <c r="AQ329" s="953"/>
      <c r="AR329" s="950"/>
      <c r="AS329" s="950">
        <v>0</v>
      </c>
    </row>
    <row r="330" spans="1:45" x14ac:dyDescent="0.3">
      <c r="A330" s="642" t="s">
        <v>1067</v>
      </c>
      <c r="B330" s="642" t="s">
        <v>1068</v>
      </c>
      <c r="C330" s="642" t="s">
        <v>1066</v>
      </c>
      <c r="D330" s="642" t="s">
        <v>71</v>
      </c>
      <c r="F330" s="946">
        <v>0</v>
      </c>
      <c r="H330" s="946">
        <v>-227827</v>
      </c>
      <c r="I330" s="939">
        <v>0</v>
      </c>
      <c r="J330" s="974">
        <v>0</v>
      </c>
      <c r="L330" s="946">
        <v>0</v>
      </c>
      <c r="M330" s="947"/>
      <c r="N330" s="946">
        <v>0</v>
      </c>
      <c r="P330" s="946">
        <v>0</v>
      </c>
      <c r="R330" s="946">
        <v>0</v>
      </c>
      <c r="S330" s="948">
        <v>0</v>
      </c>
      <c r="T330" s="946">
        <v>0</v>
      </c>
      <c r="V330" s="946">
        <v>0</v>
      </c>
      <c r="W330" s="946">
        <v>0</v>
      </c>
      <c r="X330" s="946">
        <v>0</v>
      </c>
      <c r="Y330" s="947"/>
      <c r="Z330" s="946">
        <v>0</v>
      </c>
      <c r="AA330" s="948">
        <v>0</v>
      </c>
      <c r="AB330" s="946">
        <v>0</v>
      </c>
      <c r="AC330" s="974">
        <v>0</v>
      </c>
      <c r="AD330" s="946">
        <v>81622.228000000003</v>
      </c>
      <c r="AE330" s="957">
        <v>0</v>
      </c>
      <c r="AG330" s="957">
        <v>0</v>
      </c>
      <c r="AH330" s="955">
        <v>0</v>
      </c>
      <c r="AI330" s="425">
        <v>0</v>
      </c>
      <c r="AJ330" s="957">
        <v>0</v>
      </c>
      <c r="AL330" s="939">
        <v>0</v>
      </c>
      <c r="AM330" s="939">
        <v>0</v>
      </c>
      <c r="AN330" s="950">
        <v>1384.8525199999999</v>
      </c>
      <c r="AO330" s="946">
        <v>0</v>
      </c>
      <c r="AP330" s="946">
        <v>0</v>
      </c>
      <c r="AQ330" s="953"/>
      <c r="AR330" s="950"/>
      <c r="AS330" s="950">
        <v>0</v>
      </c>
    </row>
    <row r="331" spans="1:45" x14ac:dyDescent="0.3">
      <c r="A331" s="642" t="s">
        <v>1070</v>
      </c>
      <c r="B331" s="642" t="s">
        <v>1071</v>
      </c>
      <c r="C331" s="642" t="s">
        <v>1069</v>
      </c>
      <c r="D331" s="642" t="s">
        <v>125</v>
      </c>
      <c r="F331" s="946">
        <v>-11367</v>
      </c>
      <c r="H331" s="946">
        <v>0</v>
      </c>
      <c r="I331" s="939">
        <v>147578746</v>
      </c>
      <c r="J331" s="974">
        <v>147578.74600000001</v>
      </c>
      <c r="L331" s="946">
        <v>17876</v>
      </c>
      <c r="M331" s="947"/>
      <c r="N331" s="946">
        <v>0</v>
      </c>
      <c r="P331" s="946">
        <v>11526</v>
      </c>
      <c r="R331" s="946">
        <v>10705</v>
      </c>
      <c r="S331" s="948">
        <v>401363</v>
      </c>
      <c r="T331" s="946">
        <v>401.363</v>
      </c>
      <c r="V331" s="946">
        <v>1318</v>
      </c>
      <c r="W331" s="946">
        <v>749</v>
      </c>
      <c r="X331" s="946">
        <v>3816</v>
      </c>
      <c r="Y331" s="947"/>
      <c r="Z331" s="946">
        <v>912</v>
      </c>
      <c r="AA331" s="948">
        <v>351724</v>
      </c>
      <c r="AB331" s="946">
        <v>351.72399999999999</v>
      </c>
      <c r="AC331" s="974">
        <v>0</v>
      </c>
      <c r="AD331" s="946">
        <v>108769.821</v>
      </c>
      <c r="AE331" s="957">
        <v>2920</v>
      </c>
      <c r="AG331" s="957">
        <v>0</v>
      </c>
      <c r="AH331" s="955">
        <v>0</v>
      </c>
      <c r="AI331" s="425">
        <v>1</v>
      </c>
      <c r="AJ331" s="957">
        <v>0</v>
      </c>
      <c r="AL331" s="939">
        <v>1</v>
      </c>
      <c r="AM331" s="939">
        <v>1</v>
      </c>
      <c r="AN331" s="950">
        <v>6855.9943499999999</v>
      </c>
      <c r="AO331" s="946">
        <v>0.45592598142534801</v>
      </c>
      <c r="AP331" s="946">
        <v>456</v>
      </c>
      <c r="AQ331" s="953"/>
      <c r="AR331" s="950"/>
      <c r="AS331" s="950">
        <v>905.86400000000003</v>
      </c>
    </row>
    <row r="332" spans="1:45" x14ac:dyDescent="0.3">
      <c r="A332" s="642" t="s">
        <v>1073</v>
      </c>
      <c r="B332" s="642" t="s">
        <v>1074</v>
      </c>
      <c r="C332" s="642" t="s">
        <v>1072</v>
      </c>
      <c r="D332" s="642" t="s">
        <v>125</v>
      </c>
      <c r="F332" s="946">
        <v>-6244</v>
      </c>
      <c r="H332" s="946">
        <v>0</v>
      </c>
      <c r="I332" s="939">
        <v>56559630</v>
      </c>
      <c r="J332" s="974">
        <v>56559.63</v>
      </c>
      <c r="L332" s="946">
        <v>10073</v>
      </c>
      <c r="M332" s="947"/>
      <c r="N332" s="946">
        <v>0</v>
      </c>
      <c r="P332" s="946">
        <v>8155</v>
      </c>
      <c r="R332" s="946">
        <v>7797</v>
      </c>
      <c r="S332" s="948">
        <v>380366</v>
      </c>
      <c r="T332" s="946">
        <v>380.36599999999999</v>
      </c>
      <c r="V332" s="946">
        <v>685</v>
      </c>
      <c r="W332" s="946">
        <v>556</v>
      </c>
      <c r="X332" s="946">
        <v>2433</v>
      </c>
      <c r="Y332" s="947"/>
      <c r="Z332" s="946">
        <v>675</v>
      </c>
      <c r="AA332" s="948">
        <v>225717</v>
      </c>
      <c r="AB332" s="946">
        <v>225.71700000000001</v>
      </c>
      <c r="AC332" s="974">
        <v>452.88</v>
      </c>
      <c r="AD332" s="946">
        <v>92296.717999999993</v>
      </c>
      <c r="AE332" s="957">
        <v>36962</v>
      </c>
      <c r="AG332" s="957">
        <v>418</v>
      </c>
      <c r="AH332" s="955">
        <v>0</v>
      </c>
      <c r="AI332" s="425">
        <v>1</v>
      </c>
      <c r="AJ332" s="957">
        <v>0</v>
      </c>
      <c r="AL332" s="939">
        <v>1</v>
      </c>
      <c r="AM332" s="939">
        <v>1</v>
      </c>
      <c r="AN332" s="950">
        <v>12020.54304</v>
      </c>
      <c r="AO332" s="946">
        <v>0.25557453333595798</v>
      </c>
      <c r="AP332" s="946">
        <v>256</v>
      </c>
      <c r="AQ332" s="953"/>
      <c r="AR332" s="950"/>
      <c r="AS332" s="950">
        <v>612.94299999999998</v>
      </c>
    </row>
    <row r="333" spans="1:45" x14ac:dyDescent="0.3">
      <c r="A333" s="642" t="s">
        <v>1076</v>
      </c>
      <c r="B333" s="642" t="s">
        <v>1077</v>
      </c>
      <c r="C333" s="642" t="s">
        <v>1075</v>
      </c>
      <c r="D333" s="642" t="s">
        <v>1940</v>
      </c>
      <c r="F333" s="946">
        <v>-37776</v>
      </c>
      <c r="H333" s="946">
        <v>0</v>
      </c>
      <c r="I333" s="939">
        <v>200436742</v>
      </c>
      <c r="J333" s="974">
        <v>200436.742</v>
      </c>
      <c r="L333" s="946">
        <v>29504</v>
      </c>
      <c r="M333" s="947"/>
      <c r="N333" s="946">
        <v>0</v>
      </c>
      <c r="P333" s="946">
        <v>17776</v>
      </c>
      <c r="R333" s="946">
        <v>17847</v>
      </c>
      <c r="S333" s="948">
        <v>179220</v>
      </c>
      <c r="T333" s="946">
        <v>179.22</v>
      </c>
      <c r="V333" s="946">
        <v>5534</v>
      </c>
      <c r="W333" s="946">
        <v>1060</v>
      </c>
      <c r="X333" s="946">
        <v>7988</v>
      </c>
      <c r="Y333" s="947"/>
      <c r="Z333" s="946">
        <v>5113</v>
      </c>
      <c r="AA333" s="948">
        <v>555782</v>
      </c>
      <c r="AB333" s="946">
        <v>555.78200000000004</v>
      </c>
      <c r="AC333" s="974">
        <v>0</v>
      </c>
      <c r="AD333" s="946">
        <v>128607.77</v>
      </c>
      <c r="AE333" s="957">
        <v>26130</v>
      </c>
      <c r="AG333" s="957" t="s">
        <v>5442</v>
      </c>
      <c r="AH333" s="955">
        <v>0</v>
      </c>
      <c r="AI333" s="425">
        <v>1</v>
      </c>
      <c r="AJ333" s="957" t="s">
        <v>5442</v>
      </c>
      <c r="AL333" s="939">
        <v>1</v>
      </c>
      <c r="AM333" s="939">
        <v>1</v>
      </c>
      <c r="AN333" s="950">
        <v>30314.363420000001</v>
      </c>
      <c r="AO333" s="946">
        <v>1.35746959710044</v>
      </c>
      <c r="AP333" s="946">
        <v>1357</v>
      </c>
      <c r="AQ333" s="953"/>
      <c r="AR333" s="950"/>
      <c r="AS333" s="950">
        <v>1709.72</v>
      </c>
    </row>
    <row r="334" spans="1:45" x14ac:dyDescent="0.3">
      <c r="A334" s="642" t="s">
        <v>1079</v>
      </c>
      <c r="B334" s="642" t="s">
        <v>1080</v>
      </c>
      <c r="C334" s="642" t="s">
        <v>1078</v>
      </c>
      <c r="D334" s="642" t="s">
        <v>61</v>
      </c>
      <c r="F334" s="946">
        <v>0</v>
      </c>
      <c r="H334" s="946">
        <v>0</v>
      </c>
      <c r="I334" s="939">
        <v>0</v>
      </c>
      <c r="J334" s="974">
        <v>0</v>
      </c>
      <c r="L334" s="946">
        <v>0</v>
      </c>
      <c r="M334" s="947"/>
      <c r="N334" s="946">
        <v>0</v>
      </c>
      <c r="P334" s="946">
        <v>0</v>
      </c>
      <c r="R334" s="946">
        <v>0</v>
      </c>
      <c r="S334" s="948">
        <v>0</v>
      </c>
      <c r="T334" s="946">
        <v>0</v>
      </c>
      <c r="V334" s="946">
        <v>614</v>
      </c>
      <c r="W334" s="946">
        <v>0</v>
      </c>
      <c r="X334" s="946">
        <v>133</v>
      </c>
      <c r="Y334" s="947"/>
      <c r="Z334" s="946">
        <v>1294</v>
      </c>
      <c r="AA334" s="948">
        <v>87584</v>
      </c>
      <c r="AB334" s="946">
        <v>87.584000000000003</v>
      </c>
      <c r="AC334" s="974">
        <v>0</v>
      </c>
      <c r="AD334" s="946">
        <v>8238.7909999999993</v>
      </c>
      <c r="AE334" s="957">
        <v>0</v>
      </c>
      <c r="AG334" s="957">
        <v>750</v>
      </c>
      <c r="AH334" s="955">
        <v>0</v>
      </c>
      <c r="AI334" s="425">
        <v>1</v>
      </c>
      <c r="AJ334" s="957">
        <v>0</v>
      </c>
      <c r="AL334" s="939">
        <v>0</v>
      </c>
      <c r="AM334" s="939">
        <v>0</v>
      </c>
      <c r="AN334" s="950">
        <v>25020.25301</v>
      </c>
      <c r="AO334" s="946">
        <v>8.8240355821562699E-2</v>
      </c>
      <c r="AP334" s="946">
        <v>88</v>
      </c>
      <c r="AQ334" s="953"/>
      <c r="AR334" s="950"/>
      <c r="AS334" s="950">
        <v>202.45400000000001</v>
      </c>
    </row>
    <row r="335" spans="1:45" x14ac:dyDescent="0.3">
      <c r="A335" s="642" t="s">
        <v>1082</v>
      </c>
      <c r="B335" s="642" t="s">
        <v>1083</v>
      </c>
      <c r="C335" s="642" t="s">
        <v>1081</v>
      </c>
      <c r="D335" s="642" t="s">
        <v>61</v>
      </c>
      <c r="F335" s="946">
        <v>0</v>
      </c>
      <c r="H335" s="946">
        <v>0</v>
      </c>
      <c r="I335" s="939">
        <v>0</v>
      </c>
      <c r="J335" s="974">
        <v>0</v>
      </c>
      <c r="L335" s="946">
        <v>0</v>
      </c>
      <c r="M335" s="947"/>
      <c r="N335" s="946">
        <v>0</v>
      </c>
      <c r="P335" s="946">
        <v>0</v>
      </c>
      <c r="R335" s="946">
        <v>0</v>
      </c>
      <c r="S335" s="948">
        <v>0</v>
      </c>
      <c r="T335" s="946">
        <v>0</v>
      </c>
      <c r="V335" s="946">
        <v>498</v>
      </c>
      <c r="W335" s="946">
        <v>0</v>
      </c>
      <c r="X335" s="946">
        <v>174</v>
      </c>
      <c r="Y335" s="947"/>
      <c r="Z335" s="946">
        <v>1225</v>
      </c>
      <c r="AA335" s="948">
        <v>111722</v>
      </c>
      <c r="AB335" s="946">
        <v>111.72199999999999</v>
      </c>
      <c r="AC335" s="974">
        <v>3253.3705</v>
      </c>
      <c r="AD335" s="946">
        <v>15319.290419999999</v>
      </c>
      <c r="AE335" s="957">
        <v>2145</v>
      </c>
      <c r="AG335" s="957">
        <v>0</v>
      </c>
      <c r="AH335" s="955">
        <v>-4983</v>
      </c>
      <c r="AI335" s="425">
        <v>1</v>
      </c>
      <c r="AJ335" s="957">
        <v>0</v>
      </c>
      <c r="AL335" s="939">
        <v>0</v>
      </c>
      <c r="AM335" s="939">
        <v>0</v>
      </c>
      <c r="AN335" s="950">
        <v>5701.3674900000005</v>
      </c>
      <c r="AO335" s="946">
        <v>0.115514278893817</v>
      </c>
      <c r="AP335" s="946">
        <v>116</v>
      </c>
      <c r="AQ335" s="953"/>
      <c r="AR335" s="950"/>
      <c r="AS335" s="950">
        <v>244.94200000000001</v>
      </c>
    </row>
    <row r="336" spans="1:45" x14ac:dyDescent="0.3">
      <c r="A336" s="642" t="s">
        <v>1085</v>
      </c>
      <c r="B336" s="642" t="s">
        <v>1086</v>
      </c>
      <c r="C336" s="642" t="s">
        <v>1084</v>
      </c>
      <c r="D336" s="642" t="s">
        <v>97</v>
      </c>
      <c r="F336" s="946">
        <v>0</v>
      </c>
      <c r="H336" s="946">
        <v>0</v>
      </c>
      <c r="I336" s="939">
        <v>123796947</v>
      </c>
      <c r="J336" s="974">
        <v>123796.947</v>
      </c>
      <c r="L336" s="946">
        <v>15065</v>
      </c>
      <c r="M336" s="947"/>
      <c r="N336" s="946">
        <v>0</v>
      </c>
      <c r="P336" s="946">
        <v>10623</v>
      </c>
      <c r="R336" s="946">
        <v>0</v>
      </c>
      <c r="S336" s="948">
        <v>1081819</v>
      </c>
      <c r="T336" s="946">
        <v>1081.819</v>
      </c>
      <c r="V336" s="946">
        <v>341</v>
      </c>
      <c r="W336" s="946">
        <v>650</v>
      </c>
      <c r="X336" s="946">
        <v>3186</v>
      </c>
      <c r="Y336" s="947"/>
      <c r="Z336" s="946">
        <v>1344</v>
      </c>
      <c r="AA336" s="948">
        <v>249323</v>
      </c>
      <c r="AB336" s="946">
        <v>249.32300000000001</v>
      </c>
      <c r="AC336" s="974">
        <v>335.36599999999999</v>
      </c>
      <c r="AD336" s="946">
        <v>86984.373999999996</v>
      </c>
      <c r="AE336" s="957">
        <v>0</v>
      </c>
      <c r="AG336" s="957">
        <v>1880</v>
      </c>
      <c r="AH336" s="955">
        <v>-2578</v>
      </c>
      <c r="AI336" s="425">
        <v>1</v>
      </c>
      <c r="AJ336" s="957">
        <v>0</v>
      </c>
      <c r="AL336" s="939">
        <v>1</v>
      </c>
      <c r="AM336" s="939">
        <v>1</v>
      </c>
      <c r="AN336" s="950">
        <v>4052.9897400000004</v>
      </c>
      <c r="AO336" s="946">
        <v>0.29095527103111002</v>
      </c>
      <c r="AP336" s="946">
        <v>291</v>
      </c>
      <c r="AQ336" s="953"/>
      <c r="AR336" s="950"/>
      <c r="AS336" s="950">
        <v>629.36800000000005</v>
      </c>
    </row>
    <row r="337" spans="1:45" x14ac:dyDescent="0.3">
      <c r="A337" s="642" t="s">
        <v>1088</v>
      </c>
      <c r="B337" s="642" t="s">
        <v>1089</v>
      </c>
      <c r="C337" s="642" t="s">
        <v>1087</v>
      </c>
      <c r="D337" s="642" t="s">
        <v>61</v>
      </c>
      <c r="F337" s="946">
        <v>0</v>
      </c>
      <c r="H337" s="946">
        <v>0</v>
      </c>
      <c r="I337" s="939">
        <v>0</v>
      </c>
      <c r="J337" s="974">
        <v>0</v>
      </c>
      <c r="L337" s="946">
        <v>0</v>
      </c>
      <c r="M337" s="947"/>
      <c r="N337" s="946">
        <v>26</v>
      </c>
      <c r="P337" s="946">
        <v>0</v>
      </c>
      <c r="R337" s="946">
        <v>0</v>
      </c>
      <c r="S337" s="948">
        <v>0</v>
      </c>
      <c r="T337" s="946">
        <v>0</v>
      </c>
      <c r="V337" s="946">
        <v>214</v>
      </c>
      <c r="W337" s="946">
        <v>0</v>
      </c>
      <c r="X337" s="946">
        <v>195</v>
      </c>
      <c r="Y337" s="947"/>
      <c r="Z337" s="946">
        <v>1702</v>
      </c>
      <c r="AA337" s="948">
        <v>111377</v>
      </c>
      <c r="AB337" s="946">
        <v>111.377</v>
      </c>
      <c r="AC337" s="974">
        <v>1276.001</v>
      </c>
      <c r="AD337" s="946">
        <v>9295.5210000000006</v>
      </c>
      <c r="AE337" s="957" t="s">
        <v>5589</v>
      </c>
      <c r="AG337" s="957">
        <v>90</v>
      </c>
      <c r="AH337" s="955">
        <v>0</v>
      </c>
      <c r="AI337" s="425">
        <v>1</v>
      </c>
      <c r="AJ337" s="957">
        <v>0</v>
      </c>
      <c r="AL337" s="939">
        <v>0</v>
      </c>
      <c r="AM337" s="939">
        <v>0</v>
      </c>
      <c r="AN337" s="950">
        <v>0</v>
      </c>
      <c r="AO337" s="946">
        <v>0.39822587841774598</v>
      </c>
      <c r="AP337" s="946">
        <v>398</v>
      </c>
      <c r="AQ337" s="953"/>
      <c r="AR337" s="950"/>
      <c r="AS337" s="950">
        <v>234.666</v>
      </c>
    </row>
    <row r="338" spans="1:45" x14ac:dyDescent="0.3">
      <c r="A338" s="642" t="s">
        <v>1091</v>
      </c>
      <c r="B338" s="642" t="s">
        <v>1092</v>
      </c>
      <c r="C338" s="642" t="s">
        <v>1090</v>
      </c>
      <c r="D338" s="642" t="s">
        <v>1942</v>
      </c>
      <c r="F338" s="946">
        <v>-11272</v>
      </c>
      <c r="H338" s="946">
        <v>0</v>
      </c>
      <c r="I338" s="939">
        <v>299126430</v>
      </c>
      <c r="J338" s="974">
        <v>299126.43</v>
      </c>
      <c r="L338" s="946">
        <v>41241</v>
      </c>
      <c r="M338" s="947"/>
      <c r="N338" s="946">
        <v>0</v>
      </c>
      <c r="P338" s="946">
        <v>34634</v>
      </c>
      <c r="R338" s="946">
        <v>32709</v>
      </c>
      <c r="S338" s="948">
        <v>2322087</v>
      </c>
      <c r="T338" s="946">
        <v>2322.087</v>
      </c>
      <c r="V338" s="946">
        <v>0</v>
      </c>
      <c r="W338" s="946">
        <v>2391</v>
      </c>
      <c r="X338" s="946">
        <v>6976</v>
      </c>
      <c r="Y338" s="947"/>
      <c r="Z338" s="946">
        <v>2026</v>
      </c>
      <c r="AA338" s="948">
        <v>0</v>
      </c>
      <c r="AB338" s="946">
        <v>0</v>
      </c>
      <c r="AC338" s="974">
        <v>0</v>
      </c>
      <c r="AD338" s="946">
        <v>406257.91749999998</v>
      </c>
      <c r="AE338" s="957">
        <v>0</v>
      </c>
      <c r="AG338" s="957">
        <v>0</v>
      </c>
      <c r="AH338" s="955">
        <v>0</v>
      </c>
      <c r="AI338" s="425">
        <v>0</v>
      </c>
      <c r="AJ338" s="957">
        <v>0</v>
      </c>
      <c r="AL338" s="939">
        <v>1</v>
      </c>
      <c r="AM338" s="939">
        <v>1</v>
      </c>
      <c r="AN338" s="950">
        <v>18934.599730000002</v>
      </c>
      <c r="AO338" s="946">
        <v>0</v>
      </c>
      <c r="AP338" s="946">
        <v>0</v>
      </c>
      <c r="AQ338" s="953"/>
      <c r="AR338" s="950"/>
      <c r="AS338" s="950">
        <v>0</v>
      </c>
    </row>
    <row r="339" spans="1:45" x14ac:dyDescent="0.3">
      <c r="A339" s="642" t="s">
        <v>1094</v>
      </c>
      <c r="B339" s="642" t="s">
        <v>1095</v>
      </c>
      <c r="C339" s="642" t="s">
        <v>5446</v>
      </c>
      <c r="D339" s="642" t="s">
        <v>5408</v>
      </c>
      <c r="F339" s="946">
        <v>-4923</v>
      </c>
      <c r="H339" s="946">
        <v>0</v>
      </c>
      <c r="I339" s="939">
        <v>0</v>
      </c>
      <c r="J339" s="974">
        <v>0</v>
      </c>
      <c r="L339" s="946">
        <v>0</v>
      </c>
      <c r="M339" s="947"/>
      <c r="N339" s="946">
        <v>0</v>
      </c>
      <c r="P339" s="946">
        <v>0</v>
      </c>
      <c r="R339" s="946">
        <v>0</v>
      </c>
      <c r="S339" s="948">
        <v>0</v>
      </c>
      <c r="T339" s="946">
        <v>0</v>
      </c>
      <c r="V339" s="946">
        <v>0</v>
      </c>
      <c r="W339" s="946">
        <v>0</v>
      </c>
      <c r="X339" s="946">
        <v>663</v>
      </c>
      <c r="Y339" s="947"/>
      <c r="Z339" s="946">
        <v>0</v>
      </c>
      <c r="AA339" s="948">
        <v>0</v>
      </c>
      <c r="AB339" s="946">
        <v>0</v>
      </c>
      <c r="AC339" s="974">
        <v>0</v>
      </c>
      <c r="AD339" s="946">
        <v>28532.303</v>
      </c>
      <c r="AE339" s="957">
        <v>0</v>
      </c>
      <c r="AG339" s="957">
        <v>1325</v>
      </c>
      <c r="AH339" s="955">
        <v>0</v>
      </c>
      <c r="AI339" s="425">
        <v>0</v>
      </c>
      <c r="AJ339" s="957">
        <v>0</v>
      </c>
      <c r="AL339" s="939">
        <v>0</v>
      </c>
      <c r="AM339" s="939">
        <v>0</v>
      </c>
      <c r="AN339" s="950">
        <v>712.81624999999997</v>
      </c>
      <c r="AO339" s="946">
        <v>0</v>
      </c>
      <c r="AP339" s="946">
        <v>0</v>
      </c>
      <c r="AQ339" s="953"/>
      <c r="AR339" s="950"/>
      <c r="AS339" s="950">
        <v>0</v>
      </c>
    </row>
    <row r="340" spans="1:45" x14ac:dyDescent="0.3">
      <c r="A340" s="642" t="s">
        <v>1097</v>
      </c>
      <c r="B340" s="642" t="s">
        <v>1098</v>
      </c>
      <c r="C340" s="642" t="s">
        <v>1096</v>
      </c>
      <c r="D340" s="642" t="s">
        <v>61</v>
      </c>
      <c r="F340" s="946">
        <v>0</v>
      </c>
      <c r="H340" s="946">
        <v>0</v>
      </c>
      <c r="I340" s="939">
        <v>0</v>
      </c>
      <c r="J340" s="974">
        <v>0</v>
      </c>
      <c r="L340" s="946">
        <v>0</v>
      </c>
      <c r="M340" s="947"/>
      <c r="N340" s="946">
        <v>63</v>
      </c>
      <c r="P340" s="946">
        <v>0</v>
      </c>
      <c r="R340" s="946">
        <v>0</v>
      </c>
      <c r="S340" s="948">
        <v>0</v>
      </c>
      <c r="T340" s="946">
        <v>0</v>
      </c>
      <c r="V340" s="946">
        <v>149</v>
      </c>
      <c r="W340" s="946">
        <v>0</v>
      </c>
      <c r="X340" s="946">
        <v>181</v>
      </c>
      <c r="Y340" s="947"/>
      <c r="Z340" s="946">
        <v>255</v>
      </c>
      <c r="AA340" s="948">
        <v>77966</v>
      </c>
      <c r="AB340" s="946">
        <v>77.965999999999994</v>
      </c>
      <c r="AC340" s="974">
        <v>1476.9960000000001</v>
      </c>
      <c r="AD340" s="946">
        <v>7359.2460000000001</v>
      </c>
      <c r="AE340" s="957">
        <v>0</v>
      </c>
      <c r="AG340" s="957">
        <v>0</v>
      </c>
      <c r="AH340" s="955">
        <v>0</v>
      </c>
      <c r="AI340" s="425">
        <v>1</v>
      </c>
      <c r="AJ340" s="957">
        <v>0</v>
      </c>
      <c r="AL340" s="939">
        <v>0</v>
      </c>
      <c r="AM340" s="939">
        <v>0</v>
      </c>
      <c r="AN340" s="950">
        <v>95.311080000000004</v>
      </c>
      <c r="AO340" s="946">
        <v>0.11996862672236901</v>
      </c>
      <c r="AP340" s="946">
        <v>120</v>
      </c>
      <c r="AQ340" s="953"/>
      <c r="AR340" s="950"/>
      <c r="AS340" s="950">
        <v>143.25200000000001</v>
      </c>
    </row>
    <row r="341" spans="1:45" x14ac:dyDescent="0.3">
      <c r="A341" s="642" t="s">
        <v>1100</v>
      </c>
      <c r="B341" s="642" t="s">
        <v>1101</v>
      </c>
      <c r="C341" s="642" t="s">
        <v>1099</v>
      </c>
      <c r="D341" s="642" t="s">
        <v>71</v>
      </c>
      <c r="F341" s="946">
        <v>0</v>
      </c>
      <c r="H341" s="946">
        <v>-141374</v>
      </c>
      <c r="I341" s="939">
        <v>0</v>
      </c>
      <c r="J341" s="974">
        <v>0</v>
      </c>
      <c r="L341" s="946">
        <v>0</v>
      </c>
      <c r="M341" s="947"/>
      <c r="N341" s="946">
        <v>0</v>
      </c>
      <c r="P341" s="946">
        <v>0</v>
      </c>
      <c r="R341" s="946">
        <v>0</v>
      </c>
      <c r="S341" s="948">
        <v>0</v>
      </c>
      <c r="T341" s="946">
        <v>0</v>
      </c>
      <c r="V341" s="946">
        <v>0</v>
      </c>
      <c r="W341" s="946">
        <v>0</v>
      </c>
      <c r="X341" s="946">
        <v>0</v>
      </c>
      <c r="Y341" s="947"/>
      <c r="Z341" s="946">
        <v>0</v>
      </c>
      <c r="AA341" s="948">
        <v>0</v>
      </c>
      <c r="AB341" s="946">
        <v>0</v>
      </c>
      <c r="AC341" s="974">
        <v>0</v>
      </c>
      <c r="AD341" s="946">
        <v>88267.261689999999</v>
      </c>
      <c r="AE341" s="957">
        <v>0</v>
      </c>
      <c r="AG341" s="957">
        <v>2257</v>
      </c>
      <c r="AH341" s="955">
        <v>0</v>
      </c>
      <c r="AI341" s="425">
        <v>0</v>
      </c>
      <c r="AJ341" s="957">
        <v>0</v>
      </c>
      <c r="AL341" s="939">
        <v>0</v>
      </c>
      <c r="AM341" s="939">
        <v>0</v>
      </c>
      <c r="AN341" s="950">
        <v>2260.51125</v>
      </c>
      <c r="AO341" s="946">
        <v>0</v>
      </c>
      <c r="AP341" s="946">
        <v>0</v>
      </c>
      <c r="AQ341" s="953"/>
      <c r="AR341" s="950"/>
      <c r="AS341" s="950">
        <v>0</v>
      </c>
    </row>
    <row r="342" spans="1:45" x14ac:dyDescent="0.3">
      <c r="A342" s="642" t="s">
        <v>1103</v>
      </c>
      <c r="B342" s="642" t="s">
        <v>1104</v>
      </c>
      <c r="C342" s="642" t="s">
        <v>1102</v>
      </c>
      <c r="D342" s="642" t="s">
        <v>61</v>
      </c>
      <c r="F342" s="946">
        <v>0</v>
      </c>
      <c r="H342" s="946">
        <v>0</v>
      </c>
      <c r="I342" s="939">
        <v>0</v>
      </c>
      <c r="J342" s="974">
        <v>0</v>
      </c>
      <c r="L342" s="946">
        <v>0</v>
      </c>
      <c r="M342" s="947"/>
      <c r="N342" s="946">
        <v>0</v>
      </c>
      <c r="P342" s="946">
        <v>0</v>
      </c>
      <c r="R342" s="946">
        <v>0</v>
      </c>
      <c r="S342" s="948">
        <v>0</v>
      </c>
      <c r="T342" s="946">
        <v>0</v>
      </c>
      <c r="V342" s="946">
        <v>512</v>
      </c>
      <c r="W342" s="946">
        <v>0</v>
      </c>
      <c r="X342" s="946">
        <v>177</v>
      </c>
      <c r="Y342" s="947"/>
      <c r="Z342" s="946">
        <v>32</v>
      </c>
      <c r="AA342" s="948">
        <v>100942</v>
      </c>
      <c r="AB342" s="946">
        <v>100.94199999999999</v>
      </c>
      <c r="AC342" s="974">
        <v>0</v>
      </c>
      <c r="AD342" s="946">
        <v>6316.7950000000001</v>
      </c>
      <c r="AE342" s="957">
        <v>31794</v>
      </c>
      <c r="AG342" s="957">
        <v>243</v>
      </c>
      <c r="AH342" s="955">
        <v>0</v>
      </c>
      <c r="AI342" s="425">
        <v>1</v>
      </c>
      <c r="AJ342" s="957">
        <v>0</v>
      </c>
      <c r="AL342" s="939">
        <v>0</v>
      </c>
      <c r="AM342" s="939">
        <v>0</v>
      </c>
      <c r="AN342" s="950">
        <v>7383.2099500000004</v>
      </c>
      <c r="AO342" s="946">
        <v>0.11768184224264799</v>
      </c>
      <c r="AP342" s="946">
        <v>118</v>
      </c>
      <c r="AQ342" s="953"/>
      <c r="AR342" s="950"/>
      <c r="AS342" s="950">
        <v>262.89999999999998</v>
      </c>
    </row>
    <row r="343" spans="1:45" x14ac:dyDescent="0.3">
      <c r="A343" s="642" t="s">
        <v>1106</v>
      </c>
      <c r="B343" s="642" t="s">
        <v>1107</v>
      </c>
      <c r="C343" s="642" t="s">
        <v>1105</v>
      </c>
      <c r="D343" s="642" t="s">
        <v>97</v>
      </c>
      <c r="F343" s="946">
        <v>0</v>
      </c>
      <c r="H343" s="946">
        <v>0</v>
      </c>
      <c r="I343" s="939">
        <v>204955129</v>
      </c>
      <c r="J343" s="974">
        <v>204955.12899999999</v>
      </c>
      <c r="L343" s="946">
        <v>0</v>
      </c>
      <c r="M343" s="947"/>
      <c r="N343" s="946">
        <v>0</v>
      </c>
      <c r="P343" s="946">
        <v>10983</v>
      </c>
      <c r="R343" s="946">
        <v>9711</v>
      </c>
      <c r="S343" s="948">
        <v>922044</v>
      </c>
      <c r="T343" s="946">
        <v>922.04399999999998</v>
      </c>
      <c r="V343" s="946">
        <v>719</v>
      </c>
      <c r="W343" s="946">
        <v>866</v>
      </c>
      <c r="X343" s="946">
        <v>3303</v>
      </c>
      <c r="Y343" s="947"/>
      <c r="Z343" s="946">
        <v>1929</v>
      </c>
      <c r="AA343" s="948">
        <v>336392</v>
      </c>
      <c r="AB343" s="946">
        <v>336.392</v>
      </c>
      <c r="AC343" s="974">
        <v>0</v>
      </c>
      <c r="AD343" s="946">
        <v>175469.82699999999</v>
      </c>
      <c r="AE343" s="957">
        <v>2163</v>
      </c>
      <c r="AG343" s="957">
        <v>5629</v>
      </c>
      <c r="AH343" s="955">
        <v>0</v>
      </c>
      <c r="AI343" s="425">
        <v>1</v>
      </c>
      <c r="AJ343" s="957">
        <v>0</v>
      </c>
      <c r="AL343" s="939">
        <v>1</v>
      </c>
      <c r="AM343" s="939">
        <v>1</v>
      </c>
      <c r="AN343" s="950">
        <v>13932.77752</v>
      </c>
      <c r="AO343" s="946">
        <v>0.34067606708178999</v>
      </c>
      <c r="AP343" s="946">
        <v>341</v>
      </c>
      <c r="AQ343" s="953"/>
      <c r="AR343" s="950"/>
      <c r="AS343" s="950">
        <v>690.74</v>
      </c>
    </row>
    <row r="344" spans="1:45" x14ac:dyDescent="0.3">
      <c r="A344" s="642" t="s">
        <v>1109</v>
      </c>
      <c r="B344" s="642" t="s">
        <v>1110</v>
      </c>
      <c r="C344" s="642" t="s">
        <v>1108</v>
      </c>
      <c r="D344" s="642" t="s">
        <v>125</v>
      </c>
      <c r="F344" s="946">
        <v>-5265</v>
      </c>
      <c r="H344" s="946">
        <v>0</v>
      </c>
      <c r="I344" s="939">
        <v>79864240</v>
      </c>
      <c r="J344" s="974">
        <v>79864.240000000005</v>
      </c>
      <c r="L344" s="946">
        <v>14852</v>
      </c>
      <c r="M344" s="947"/>
      <c r="N344" s="946">
        <v>0</v>
      </c>
      <c r="P344" s="946">
        <v>7945</v>
      </c>
      <c r="R344" s="946">
        <v>7172</v>
      </c>
      <c r="S344" s="948">
        <v>501230</v>
      </c>
      <c r="T344" s="946">
        <v>501.23</v>
      </c>
      <c r="V344" s="946">
        <v>439</v>
      </c>
      <c r="W344" s="946">
        <v>571</v>
      </c>
      <c r="X344" s="946">
        <v>2735</v>
      </c>
      <c r="Y344" s="947"/>
      <c r="Z344" s="946">
        <v>2596</v>
      </c>
      <c r="AA344" s="948">
        <v>289991</v>
      </c>
      <c r="AB344" s="946">
        <v>289.99099999999999</v>
      </c>
      <c r="AC344" s="974">
        <v>925.55</v>
      </c>
      <c r="AD344" s="946">
        <v>102622.787</v>
      </c>
      <c r="AE344" s="957">
        <v>0</v>
      </c>
      <c r="AG344" s="957">
        <v>3648</v>
      </c>
      <c r="AH344" s="955">
        <v>0</v>
      </c>
      <c r="AI344" s="425">
        <v>1</v>
      </c>
      <c r="AJ344" s="957">
        <v>0</v>
      </c>
      <c r="AL344" s="939">
        <v>1</v>
      </c>
      <c r="AM344" s="939">
        <v>1</v>
      </c>
      <c r="AN344" s="950">
        <v>897.20873000000006</v>
      </c>
      <c r="AO344" s="946">
        <v>0.29234362959674098</v>
      </c>
      <c r="AP344" s="946">
        <v>292</v>
      </c>
      <c r="AQ344" s="953"/>
      <c r="AR344" s="950"/>
      <c r="AS344" s="950">
        <v>625.67999999999995</v>
      </c>
    </row>
    <row r="345" spans="1:45" x14ac:dyDescent="0.3">
      <c r="A345" s="642" t="s">
        <v>1112</v>
      </c>
      <c r="B345" s="642" t="s">
        <v>1113</v>
      </c>
      <c r="C345" s="642" t="s">
        <v>1111</v>
      </c>
      <c r="D345" s="642" t="s">
        <v>125</v>
      </c>
      <c r="F345" s="946">
        <v>-24207</v>
      </c>
      <c r="H345" s="946">
        <v>0</v>
      </c>
      <c r="I345" s="939">
        <v>85675612</v>
      </c>
      <c r="J345" s="974">
        <v>85675.611999999994</v>
      </c>
      <c r="L345" s="946">
        <v>23658</v>
      </c>
      <c r="M345" s="947"/>
      <c r="N345" s="946">
        <v>0</v>
      </c>
      <c r="P345" s="946">
        <v>15718</v>
      </c>
      <c r="R345" s="946">
        <v>15398</v>
      </c>
      <c r="S345" s="948">
        <v>597108</v>
      </c>
      <c r="T345" s="946">
        <v>597.10799999999995</v>
      </c>
      <c r="V345" s="946">
        <v>810</v>
      </c>
      <c r="W345" s="946">
        <v>899</v>
      </c>
      <c r="X345" s="946">
        <v>5023</v>
      </c>
      <c r="Y345" s="947"/>
      <c r="Z345" s="946">
        <v>1634</v>
      </c>
      <c r="AA345" s="948">
        <v>387981</v>
      </c>
      <c r="AB345" s="946">
        <v>387.98099999999999</v>
      </c>
      <c r="AC345" s="974">
        <v>0</v>
      </c>
      <c r="AD345" s="946">
        <v>95697.088000000003</v>
      </c>
      <c r="AE345" s="957">
        <v>6610</v>
      </c>
      <c r="AG345" s="957">
        <v>0</v>
      </c>
      <c r="AH345" s="955">
        <v>-1800</v>
      </c>
      <c r="AI345" s="425">
        <v>1</v>
      </c>
      <c r="AJ345" s="957">
        <v>-1800</v>
      </c>
      <c r="AL345" s="939">
        <v>1</v>
      </c>
      <c r="AM345" s="939">
        <v>1</v>
      </c>
      <c r="AN345" s="950">
        <v>16805.647420000001</v>
      </c>
      <c r="AO345" s="946">
        <v>0.44836155738909</v>
      </c>
      <c r="AP345" s="946">
        <v>448</v>
      </c>
      <c r="AQ345" s="953"/>
      <c r="AR345" s="950"/>
      <c r="AS345" s="950">
        <v>895.58799999999997</v>
      </c>
    </row>
    <row r="346" spans="1:45" x14ac:dyDescent="0.3">
      <c r="A346" s="642" t="s">
        <v>1115</v>
      </c>
      <c r="B346" s="642" t="s">
        <v>1116</v>
      </c>
      <c r="C346" s="642" t="s">
        <v>1114</v>
      </c>
      <c r="D346" s="642" t="s">
        <v>61</v>
      </c>
      <c r="F346" s="946">
        <v>0</v>
      </c>
      <c r="H346" s="946">
        <v>0</v>
      </c>
      <c r="I346" s="939">
        <v>0</v>
      </c>
      <c r="J346" s="974">
        <v>0</v>
      </c>
      <c r="L346" s="946">
        <v>0</v>
      </c>
      <c r="M346" s="947"/>
      <c r="N346" s="946">
        <v>314</v>
      </c>
      <c r="P346" s="946">
        <v>0</v>
      </c>
      <c r="R346" s="946">
        <v>0</v>
      </c>
      <c r="S346" s="948">
        <v>0</v>
      </c>
      <c r="T346" s="946">
        <v>0</v>
      </c>
      <c r="V346" s="946">
        <v>375</v>
      </c>
      <c r="W346" s="946">
        <v>0</v>
      </c>
      <c r="X346" s="946">
        <v>170</v>
      </c>
      <c r="Y346" s="947"/>
      <c r="Z346" s="946">
        <v>3803</v>
      </c>
      <c r="AA346" s="948">
        <v>113838</v>
      </c>
      <c r="AB346" s="946">
        <v>113.83799999999999</v>
      </c>
      <c r="AC346" s="974">
        <v>3903.683</v>
      </c>
      <c r="AD346" s="946">
        <v>13008.473</v>
      </c>
      <c r="AE346" s="957">
        <v>0</v>
      </c>
      <c r="AG346" s="957">
        <v>0</v>
      </c>
      <c r="AH346" s="955" t="s">
        <v>5442</v>
      </c>
      <c r="AI346" s="425">
        <v>1</v>
      </c>
      <c r="AJ346" s="957">
        <v>0</v>
      </c>
      <c r="AL346" s="939">
        <v>0</v>
      </c>
      <c r="AM346" s="939">
        <v>0</v>
      </c>
      <c r="AN346" s="950">
        <v>0</v>
      </c>
      <c r="AO346" s="946">
        <v>0.20505100366553899</v>
      </c>
      <c r="AP346" s="946">
        <v>205</v>
      </c>
      <c r="AQ346" s="953"/>
      <c r="AR346" s="950"/>
      <c r="AS346" s="950">
        <v>239.07499999999999</v>
      </c>
    </row>
    <row r="347" spans="1:45" x14ac:dyDescent="0.3">
      <c r="A347" s="642" t="s">
        <v>1118</v>
      </c>
      <c r="B347" s="642" t="s">
        <v>1119</v>
      </c>
      <c r="C347" s="642" t="s">
        <v>1117</v>
      </c>
      <c r="D347" s="642" t="s">
        <v>61</v>
      </c>
      <c r="F347" s="946">
        <v>0</v>
      </c>
      <c r="H347" s="946">
        <v>0</v>
      </c>
      <c r="I347" s="939">
        <v>0</v>
      </c>
      <c r="J347" s="974">
        <v>0</v>
      </c>
      <c r="L347" s="946">
        <v>0</v>
      </c>
      <c r="M347" s="947"/>
      <c r="N347" s="946">
        <v>0</v>
      </c>
      <c r="P347" s="946">
        <v>0</v>
      </c>
      <c r="R347" s="946">
        <v>0</v>
      </c>
      <c r="S347" s="948">
        <v>0</v>
      </c>
      <c r="T347" s="946">
        <v>0</v>
      </c>
      <c r="V347" s="946">
        <v>216</v>
      </c>
      <c r="W347" s="946">
        <v>0</v>
      </c>
      <c r="X347" s="946">
        <v>170</v>
      </c>
      <c r="Y347" s="947"/>
      <c r="Z347" s="946">
        <v>1432</v>
      </c>
      <c r="AA347" s="948">
        <v>98021</v>
      </c>
      <c r="AB347" s="946">
        <v>98.021000000000001</v>
      </c>
      <c r="AC347" s="974">
        <v>4635.4949999999999</v>
      </c>
      <c r="AD347" s="946">
        <v>14969.666999999999</v>
      </c>
      <c r="AE347" s="957">
        <v>11347</v>
      </c>
      <c r="AG347" s="957">
        <v>106</v>
      </c>
      <c r="AH347" s="955">
        <v>0</v>
      </c>
      <c r="AI347" s="425">
        <v>1</v>
      </c>
      <c r="AJ347" s="957">
        <v>0</v>
      </c>
      <c r="AL347" s="939">
        <v>0</v>
      </c>
      <c r="AM347" s="939">
        <v>0</v>
      </c>
      <c r="AN347" s="950">
        <v>3512.2516000000001</v>
      </c>
      <c r="AO347" s="946">
        <v>0.113003055481451</v>
      </c>
      <c r="AP347" s="946">
        <v>113</v>
      </c>
      <c r="AQ347" s="953"/>
      <c r="AR347" s="950"/>
      <c r="AS347" s="950">
        <v>224.34700000000001</v>
      </c>
    </row>
    <row r="348" spans="1:45" x14ac:dyDescent="0.3">
      <c r="A348" s="642" t="s">
        <v>1121</v>
      </c>
      <c r="B348" s="642" t="s">
        <v>1122</v>
      </c>
      <c r="C348" s="642" t="s">
        <v>1120</v>
      </c>
      <c r="D348" s="642" t="s">
        <v>1942</v>
      </c>
      <c r="F348" s="946">
        <v>-17155</v>
      </c>
      <c r="H348" s="946">
        <v>0</v>
      </c>
      <c r="I348" s="939">
        <v>233713514</v>
      </c>
      <c r="J348" s="974">
        <v>233713.514</v>
      </c>
      <c r="L348" s="946">
        <v>31670</v>
      </c>
      <c r="M348" s="947"/>
      <c r="N348" s="946">
        <v>2280</v>
      </c>
      <c r="P348" s="946">
        <v>31949</v>
      </c>
      <c r="R348" s="946">
        <v>29008</v>
      </c>
      <c r="S348" s="948">
        <v>2323773</v>
      </c>
      <c r="T348" s="946">
        <v>2323.7730000000001</v>
      </c>
      <c r="V348" s="946">
        <v>0</v>
      </c>
      <c r="W348" s="946">
        <v>2201</v>
      </c>
      <c r="X348" s="946">
        <v>7080</v>
      </c>
      <c r="Y348" s="947"/>
      <c r="Z348" s="946">
        <v>1514</v>
      </c>
      <c r="AA348" s="948">
        <v>0</v>
      </c>
      <c r="AB348" s="946">
        <v>0</v>
      </c>
      <c r="AC348" s="974">
        <v>0</v>
      </c>
      <c r="AD348" s="946">
        <v>372798.58799999999</v>
      </c>
      <c r="AE348" s="957">
        <v>0</v>
      </c>
      <c r="AG348" s="957">
        <v>2875</v>
      </c>
      <c r="AH348" s="955">
        <v>0</v>
      </c>
      <c r="AI348" s="425">
        <v>0</v>
      </c>
      <c r="AJ348" s="957">
        <v>0</v>
      </c>
      <c r="AL348" s="939">
        <v>1</v>
      </c>
      <c r="AM348" s="939">
        <v>1</v>
      </c>
      <c r="AN348" s="950">
        <v>5779.7089599999999</v>
      </c>
      <c r="AO348" s="946">
        <v>0</v>
      </c>
      <c r="AP348" s="946">
        <v>0</v>
      </c>
      <c r="AQ348" s="953"/>
      <c r="AR348" s="950"/>
      <c r="AS348" s="950">
        <v>0</v>
      </c>
    </row>
    <row r="349" spans="1:45" x14ac:dyDescent="0.3">
      <c r="A349" s="642" t="s">
        <v>1124</v>
      </c>
      <c r="B349" s="642" t="s">
        <v>1125</v>
      </c>
      <c r="C349" s="642" t="s">
        <v>1123</v>
      </c>
      <c r="D349" s="642" t="s">
        <v>71</v>
      </c>
      <c r="F349" s="946">
        <v>0</v>
      </c>
      <c r="H349" s="946">
        <v>-84335</v>
      </c>
      <c r="I349" s="939">
        <v>0</v>
      </c>
      <c r="J349" s="974">
        <v>0</v>
      </c>
      <c r="L349" s="946">
        <v>0</v>
      </c>
      <c r="M349" s="947"/>
      <c r="N349" s="946">
        <v>0</v>
      </c>
      <c r="P349" s="946">
        <v>0</v>
      </c>
      <c r="R349" s="946">
        <v>0</v>
      </c>
      <c r="S349" s="948">
        <v>0</v>
      </c>
      <c r="T349" s="946">
        <v>0</v>
      </c>
      <c r="V349" s="946">
        <v>0</v>
      </c>
      <c r="W349" s="946">
        <v>0</v>
      </c>
      <c r="X349" s="946">
        <v>0</v>
      </c>
      <c r="Y349" s="947"/>
      <c r="Z349" s="946">
        <v>0</v>
      </c>
      <c r="AA349" s="948">
        <v>0</v>
      </c>
      <c r="AB349" s="946">
        <v>0</v>
      </c>
      <c r="AC349" s="974">
        <v>0</v>
      </c>
      <c r="AD349" s="946">
        <v>64169.484250000001</v>
      </c>
      <c r="AE349" s="957">
        <v>0</v>
      </c>
      <c r="AG349" s="957">
        <v>4252</v>
      </c>
      <c r="AH349" s="955">
        <v>0</v>
      </c>
      <c r="AI349" s="425">
        <v>0</v>
      </c>
      <c r="AJ349" s="957">
        <v>0</v>
      </c>
      <c r="AL349" s="939">
        <v>0</v>
      </c>
      <c r="AM349" s="939">
        <v>0</v>
      </c>
      <c r="AN349" s="950">
        <v>299.39591000000001</v>
      </c>
      <c r="AO349" s="946">
        <v>0</v>
      </c>
      <c r="AP349" s="946">
        <v>0</v>
      </c>
      <c r="AQ349" s="953"/>
      <c r="AR349" s="950"/>
      <c r="AS349" s="950">
        <v>0</v>
      </c>
    </row>
    <row r="350" spans="1:45" x14ac:dyDescent="0.3">
      <c r="A350" s="642" t="s">
        <v>1127</v>
      </c>
      <c r="B350" s="642" t="s">
        <v>1128</v>
      </c>
      <c r="C350" s="642" t="s">
        <v>1126</v>
      </c>
      <c r="D350" s="642" t="s">
        <v>97</v>
      </c>
      <c r="F350" s="946">
        <v>-28974</v>
      </c>
      <c r="H350" s="946">
        <v>0</v>
      </c>
      <c r="I350" s="939">
        <v>94137903</v>
      </c>
      <c r="J350" s="974">
        <v>94137.903000000006</v>
      </c>
      <c r="L350" s="946">
        <v>25157</v>
      </c>
      <c r="M350" s="947"/>
      <c r="N350" s="946">
        <v>0</v>
      </c>
      <c r="P350" s="946">
        <v>18586</v>
      </c>
      <c r="R350" s="946">
        <v>18684</v>
      </c>
      <c r="S350" s="948">
        <v>814525</v>
      </c>
      <c r="T350" s="946">
        <v>814.52499999999998</v>
      </c>
      <c r="V350" s="946">
        <v>500</v>
      </c>
      <c r="W350" s="946">
        <v>1058</v>
      </c>
      <c r="X350" s="946">
        <v>5920</v>
      </c>
      <c r="Y350" s="947"/>
      <c r="Z350" s="946">
        <v>1842</v>
      </c>
      <c r="AA350" s="948">
        <v>545897</v>
      </c>
      <c r="AB350" s="946">
        <v>545.89700000000005</v>
      </c>
      <c r="AC350" s="974">
        <v>58.591999999999999</v>
      </c>
      <c r="AD350" s="946">
        <v>114764.996</v>
      </c>
      <c r="AE350" s="957">
        <v>0</v>
      </c>
      <c r="AG350" s="957">
        <v>7096</v>
      </c>
      <c r="AH350" s="955">
        <v>0</v>
      </c>
      <c r="AI350" s="425">
        <v>1</v>
      </c>
      <c r="AJ350" s="957">
        <v>0</v>
      </c>
      <c r="AL350" s="939">
        <v>1</v>
      </c>
      <c r="AM350" s="939">
        <v>1</v>
      </c>
      <c r="AN350" s="950">
        <v>11873.954169999999</v>
      </c>
      <c r="AO350" s="946">
        <v>0.53572127243631096</v>
      </c>
      <c r="AP350" s="946">
        <v>536</v>
      </c>
      <c r="AQ350" s="953"/>
      <c r="AR350" s="950"/>
      <c r="AS350" s="950">
        <v>1207.47</v>
      </c>
    </row>
    <row r="351" spans="1:45" x14ac:dyDescent="0.3">
      <c r="A351" s="642" t="s">
        <v>1130</v>
      </c>
      <c r="B351" s="642" t="s">
        <v>1131</v>
      </c>
      <c r="C351" s="642" t="s">
        <v>1129</v>
      </c>
      <c r="D351" s="642" t="s">
        <v>1942</v>
      </c>
      <c r="F351" s="946">
        <v>-18</v>
      </c>
      <c r="H351" s="946">
        <v>0</v>
      </c>
      <c r="I351" s="939">
        <v>539651079</v>
      </c>
      <c r="J351" s="974">
        <v>539651.07900000003</v>
      </c>
      <c r="L351" s="946">
        <v>39637</v>
      </c>
      <c r="M351" s="947"/>
      <c r="N351" s="946">
        <v>0</v>
      </c>
      <c r="P351" s="946">
        <v>31231</v>
      </c>
      <c r="R351" s="946">
        <v>11408</v>
      </c>
      <c r="S351" s="948">
        <v>1578347</v>
      </c>
      <c r="T351" s="946">
        <v>1578.347</v>
      </c>
      <c r="V351" s="946">
        <v>0</v>
      </c>
      <c r="W351" s="946">
        <v>2696</v>
      </c>
      <c r="X351" s="946">
        <v>7936</v>
      </c>
      <c r="Y351" s="947"/>
      <c r="Z351" s="946">
        <v>2237</v>
      </c>
      <c r="AA351" s="948">
        <v>0</v>
      </c>
      <c r="AB351" s="946">
        <v>0</v>
      </c>
      <c r="AC351" s="974">
        <v>0</v>
      </c>
      <c r="AD351" s="946">
        <v>829721.39939999999</v>
      </c>
      <c r="AE351" s="957">
        <v>0</v>
      </c>
      <c r="AG351" s="957">
        <v>6239</v>
      </c>
      <c r="AH351" s="955">
        <v>0</v>
      </c>
      <c r="AI351" s="425">
        <v>0</v>
      </c>
      <c r="AJ351" s="957">
        <v>0</v>
      </c>
      <c r="AL351" s="939">
        <v>1</v>
      </c>
      <c r="AM351" s="939">
        <v>1</v>
      </c>
      <c r="AN351" s="950">
        <v>16903.076069999999</v>
      </c>
      <c r="AO351" s="946">
        <v>0</v>
      </c>
      <c r="AP351" s="946">
        <v>0</v>
      </c>
      <c r="AQ351" s="953"/>
      <c r="AR351" s="950"/>
      <c r="AS351" s="950">
        <v>0</v>
      </c>
    </row>
    <row r="352" spans="1:45" x14ac:dyDescent="0.3">
      <c r="A352" s="642" t="s">
        <v>1133</v>
      </c>
      <c r="B352" s="642" t="s">
        <v>1134</v>
      </c>
      <c r="C352" s="642" t="s">
        <v>1132</v>
      </c>
      <c r="D352" s="642" t="s">
        <v>61</v>
      </c>
      <c r="F352" s="946">
        <v>0</v>
      </c>
      <c r="H352" s="946">
        <v>0</v>
      </c>
      <c r="I352" s="939">
        <v>0</v>
      </c>
      <c r="J352" s="974">
        <v>0</v>
      </c>
      <c r="L352" s="946">
        <v>0</v>
      </c>
      <c r="M352" s="947"/>
      <c r="N352" s="946">
        <v>0</v>
      </c>
      <c r="P352" s="946">
        <v>0</v>
      </c>
      <c r="R352" s="946">
        <v>0</v>
      </c>
      <c r="S352" s="948">
        <v>0</v>
      </c>
      <c r="T352" s="946">
        <v>0</v>
      </c>
      <c r="V352" s="946">
        <v>323</v>
      </c>
      <c r="W352" s="946">
        <v>0</v>
      </c>
      <c r="X352" s="946">
        <v>108</v>
      </c>
      <c r="Y352" s="947"/>
      <c r="Z352" s="946">
        <v>329</v>
      </c>
      <c r="AA352" s="948">
        <v>43198</v>
      </c>
      <c r="AB352" s="946">
        <v>43.198</v>
      </c>
      <c r="AC352" s="974">
        <v>636.89490999999998</v>
      </c>
      <c r="AD352" s="946">
        <v>9931.2669100000003</v>
      </c>
      <c r="AE352" s="957">
        <v>0</v>
      </c>
      <c r="AG352" s="957">
        <v>0</v>
      </c>
      <c r="AH352" s="955">
        <v>0</v>
      </c>
      <c r="AI352" s="425">
        <v>1</v>
      </c>
      <c r="AJ352" s="957">
        <v>0</v>
      </c>
      <c r="AL352" s="939">
        <v>0</v>
      </c>
      <c r="AM352" s="939">
        <v>0</v>
      </c>
      <c r="AN352" s="950">
        <v>1326.58248</v>
      </c>
      <c r="AO352" s="946">
        <v>7.1749164707010496E-2</v>
      </c>
      <c r="AP352" s="946">
        <v>72</v>
      </c>
      <c r="AQ352" s="953"/>
      <c r="AR352" s="950"/>
      <c r="AS352" s="950">
        <v>120.065</v>
      </c>
    </row>
    <row r="353" spans="1:45" x14ac:dyDescent="0.3">
      <c r="A353" s="642" t="s">
        <v>1136</v>
      </c>
      <c r="B353" s="642" t="s">
        <v>1137</v>
      </c>
      <c r="C353" s="642" t="s">
        <v>1135</v>
      </c>
      <c r="D353" s="642" t="s">
        <v>71</v>
      </c>
      <c r="F353" s="946">
        <v>0</v>
      </c>
      <c r="H353" s="946">
        <v>-120705</v>
      </c>
      <c r="I353" s="939">
        <v>0</v>
      </c>
      <c r="J353" s="974">
        <v>0</v>
      </c>
      <c r="L353" s="946">
        <v>0</v>
      </c>
      <c r="M353" s="947"/>
      <c r="N353" s="946">
        <v>0</v>
      </c>
      <c r="P353" s="946">
        <v>0</v>
      </c>
      <c r="R353" s="946">
        <v>0</v>
      </c>
      <c r="S353" s="948">
        <v>0</v>
      </c>
      <c r="T353" s="946">
        <v>0</v>
      </c>
      <c r="V353" s="946">
        <v>0</v>
      </c>
      <c r="W353" s="946">
        <v>0</v>
      </c>
      <c r="X353" s="946">
        <v>0</v>
      </c>
      <c r="Y353" s="947"/>
      <c r="Z353" s="946">
        <v>0</v>
      </c>
      <c r="AA353" s="948">
        <v>0</v>
      </c>
      <c r="AB353" s="946">
        <v>0</v>
      </c>
      <c r="AC353" s="974">
        <v>0</v>
      </c>
      <c r="AD353" s="946">
        <v>150788.408</v>
      </c>
      <c r="AE353" s="957">
        <v>0</v>
      </c>
      <c r="AG353" s="957">
        <v>0</v>
      </c>
      <c r="AH353" s="955">
        <v>0</v>
      </c>
      <c r="AI353" s="425">
        <v>0</v>
      </c>
      <c r="AJ353" s="957">
        <v>0</v>
      </c>
      <c r="AL353" s="939">
        <v>0</v>
      </c>
      <c r="AM353" s="939">
        <v>0</v>
      </c>
      <c r="AN353" s="950">
        <v>326.22428000000002</v>
      </c>
      <c r="AO353" s="946">
        <v>0</v>
      </c>
      <c r="AP353" s="946">
        <v>0</v>
      </c>
      <c r="AQ353" s="953"/>
      <c r="AR353" s="950"/>
      <c r="AS353" s="950">
        <v>0</v>
      </c>
    </row>
    <row r="354" spans="1:45" x14ac:dyDescent="0.3">
      <c r="A354" s="642" t="s">
        <v>1139</v>
      </c>
      <c r="B354" s="642" t="s">
        <v>1140</v>
      </c>
      <c r="C354" s="642" t="s">
        <v>1138</v>
      </c>
      <c r="D354" s="642" t="s">
        <v>71</v>
      </c>
      <c r="F354" s="946">
        <v>0</v>
      </c>
      <c r="H354" s="946">
        <v>-197803</v>
      </c>
      <c r="I354" s="939">
        <v>0</v>
      </c>
      <c r="J354" s="974">
        <v>0</v>
      </c>
      <c r="L354" s="946">
        <v>0</v>
      </c>
      <c r="M354" s="947"/>
      <c r="N354" s="946">
        <v>0</v>
      </c>
      <c r="P354" s="946">
        <v>0</v>
      </c>
      <c r="R354" s="946">
        <v>0</v>
      </c>
      <c r="S354" s="948">
        <v>0</v>
      </c>
      <c r="T354" s="946">
        <v>0</v>
      </c>
      <c r="V354" s="946">
        <v>0</v>
      </c>
      <c r="W354" s="946">
        <v>0</v>
      </c>
      <c r="X354" s="946">
        <v>0</v>
      </c>
      <c r="Y354" s="947"/>
      <c r="Z354" s="946">
        <v>0</v>
      </c>
      <c r="AA354" s="948">
        <v>0</v>
      </c>
      <c r="AB354" s="946">
        <v>0</v>
      </c>
      <c r="AC354" s="974">
        <v>0</v>
      </c>
      <c r="AD354" s="946">
        <v>143202.78349999999</v>
      </c>
      <c r="AE354" s="957">
        <v>0</v>
      </c>
      <c r="AG354" s="957">
        <v>4300</v>
      </c>
      <c r="AH354" s="955">
        <v>0</v>
      </c>
      <c r="AI354" s="425">
        <v>0</v>
      </c>
      <c r="AJ354" s="957">
        <v>0</v>
      </c>
      <c r="AL354" s="939">
        <v>0</v>
      </c>
      <c r="AM354" s="939">
        <v>0</v>
      </c>
      <c r="AN354" s="950">
        <v>418.27623</v>
      </c>
      <c r="AO354" s="946">
        <v>0</v>
      </c>
      <c r="AP354" s="946">
        <v>0</v>
      </c>
      <c r="AQ354" s="953"/>
      <c r="AR354" s="950"/>
      <c r="AS354" s="950">
        <v>0</v>
      </c>
    </row>
    <row r="355" spans="1:45" x14ac:dyDescent="0.3">
      <c r="A355" s="642" t="s">
        <v>1142</v>
      </c>
      <c r="B355" s="642" t="s">
        <v>1143</v>
      </c>
      <c r="C355" s="642" t="s">
        <v>1141</v>
      </c>
      <c r="D355" s="642" t="s">
        <v>1940</v>
      </c>
      <c r="F355" s="946">
        <v>-6964</v>
      </c>
      <c r="H355" s="946">
        <v>0</v>
      </c>
      <c r="I355" s="939">
        <v>112493312</v>
      </c>
      <c r="J355" s="974">
        <v>112493.31200000001</v>
      </c>
      <c r="L355" s="946">
        <v>10476</v>
      </c>
      <c r="M355" s="947"/>
      <c r="N355" s="946">
        <v>0</v>
      </c>
      <c r="P355" s="946">
        <v>5764</v>
      </c>
      <c r="R355" s="946">
        <v>4067</v>
      </c>
      <c r="S355" s="948">
        <v>112368</v>
      </c>
      <c r="T355" s="946">
        <v>112.36799999999999</v>
      </c>
      <c r="V355" s="946">
        <v>1780</v>
      </c>
      <c r="W355" s="946">
        <v>498</v>
      </c>
      <c r="X355" s="946">
        <v>2511</v>
      </c>
      <c r="Y355" s="947"/>
      <c r="Z355" s="946">
        <v>100</v>
      </c>
      <c r="AA355" s="948">
        <v>216593</v>
      </c>
      <c r="AB355" s="946">
        <v>216.59299999999999</v>
      </c>
      <c r="AC355" s="974">
        <v>0</v>
      </c>
      <c r="AD355" s="946">
        <v>112959.7092</v>
      </c>
      <c r="AE355" s="957">
        <v>10162</v>
      </c>
      <c r="AG355" s="957">
        <v>0</v>
      </c>
      <c r="AH355" s="955">
        <v>0</v>
      </c>
      <c r="AI355" s="425">
        <v>1</v>
      </c>
      <c r="AJ355" s="957">
        <v>0</v>
      </c>
      <c r="AL355" s="939">
        <v>1</v>
      </c>
      <c r="AM355" s="939">
        <v>1</v>
      </c>
      <c r="AN355" s="950">
        <v>9111.5974999999999</v>
      </c>
      <c r="AO355" s="946">
        <v>0.33089139278491497</v>
      </c>
      <c r="AP355" s="946">
        <v>331</v>
      </c>
      <c r="AQ355" s="953"/>
      <c r="AR355" s="950"/>
      <c r="AS355" s="950">
        <v>581.00099999999998</v>
      </c>
    </row>
    <row r="356" spans="1:45" x14ac:dyDescent="0.3">
      <c r="A356" s="642" t="s">
        <v>1145</v>
      </c>
      <c r="B356" s="642" t="s">
        <v>1146</v>
      </c>
      <c r="C356" s="642" t="s">
        <v>1144</v>
      </c>
      <c r="D356" s="642" t="s">
        <v>61</v>
      </c>
      <c r="F356" s="946">
        <v>-120</v>
      </c>
      <c r="H356" s="946">
        <v>0</v>
      </c>
      <c r="I356" s="939">
        <v>0</v>
      </c>
      <c r="J356" s="974">
        <v>0</v>
      </c>
      <c r="L356" s="946">
        <v>0</v>
      </c>
      <c r="M356" s="947"/>
      <c r="N356" s="946">
        <v>0</v>
      </c>
      <c r="P356" s="946">
        <v>0</v>
      </c>
      <c r="R356" s="946">
        <v>0</v>
      </c>
      <c r="S356" s="948">
        <v>0</v>
      </c>
      <c r="T356" s="946">
        <v>0</v>
      </c>
      <c r="V356" s="946">
        <v>676</v>
      </c>
      <c r="W356" s="946">
        <v>0</v>
      </c>
      <c r="X356" s="946">
        <v>296</v>
      </c>
      <c r="Y356" s="947"/>
      <c r="Z356" s="946">
        <v>1407</v>
      </c>
      <c r="AA356" s="948">
        <v>169442</v>
      </c>
      <c r="AB356" s="946">
        <v>169.44200000000001</v>
      </c>
      <c r="AC356" s="974">
        <v>1660.788</v>
      </c>
      <c r="AD356" s="946">
        <v>10923.56</v>
      </c>
      <c r="AE356" s="957">
        <v>0</v>
      </c>
      <c r="AG356" s="957">
        <v>50</v>
      </c>
      <c r="AH356" s="955">
        <v>-2884</v>
      </c>
      <c r="AI356" s="425">
        <v>1</v>
      </c>
      <c r="AJ356" s="957">
        <v>0</v>
      </c>
      <c r="AL356" s="939">
        <v>0</v>
      </c>
      <c r="AM356" s="939">
        <v>0</v>
      </c>
      <c r="AN356" s="950">
        <v>0</v>
      </c>
      <c r="AO356" s="946">
        <v>0.19626962720011801</v>
      </c>
      <c r="AP356" s="946">
        <v>196</v>
      </c>
      <c r="AQ356" s="953"/>
      <c r="AR356" s="950"/>
      <c r="AS356" s="950">
        <v>410.69799999999998</v>
      </c>
    </row>
    <row r="357" spans="1:45" x14ac:dyDescent="0.3">
      <c r="A357" s="642" t="s">
        <v>1148</v>
      </c>
      <c r="B357" s="642" t="s">
        <v>1149</v>
      </c>
      <c r="C357" s="642" t="s">
        <v>1147</v>
      </c>
      <c r="D357" s="642" t="s">
        <v>125</v>
      </c>
      <c r="F357" s="946">
        <v>-4498</v>
      </c>
      <c r="H357" s="946">
        <v>0</v>
      </c>
      <c r="I357" s="939">
        <v>79134826</v>
      </c>
      <c r="J357" s="974">
        <v>79134.826000000001</v>
      </c>
      <c r="L357" s="946">
        <v>10592</v>
      </c>
      <c r="M357" s="947"/>
      <c r="N357" s="946">
        <v>0</v>
      </c>
      <c r="P357" s="946">
        <v>6014</v>
      </c>
      <c r="R357" s="946">
        <v>5395</v>
      </c>
      <c r="S357" s="948">
        <v>382551</v>
      </c>
      <c r="T357" s="946">
        <v>382.55099999999999</v>
      </c>
      <c r="V357" s="946">
        <v>1942</v>
      </c>
      <c r="W357" s="946">
        <v>519</v>
      </c>
      <c r="X357" s="946">
        <v>2226</v>
      </c>
      <c r="Y357" s="947"/>
      <c r="Z357" s="946">
        <v>3161</v>
      </c>
      <c r="AA357" s="948">
        <v>188915</v>
      </c>
      <c r="AB357" s="946">
        <v>188.91499999999999</v>
      </c>
      <c r="AC357" s="974">
        <v>9599.4760000000006</v>
      </c>
      <c r="AD357" s="946">
        <v>127551.21799999999</v>
      </c>
      <c r="AE357" s="957">
        <v>14062</v>
      </c>
      <c r="AG357" s="957">
        <v>76</v>
      </c>
      <c r="AH357" s="955">
        <v>0</v>
      </c>
      <c r="AI357" s="425">
        <v>1</v>
      </c>
      <c r="AJ357" s="957">
        <v>-867</v>
      </c>
      <c r="AL357" s="939">
        <v>1</v>
      </c>
      <c r="AM357" s="939">
        <v>1</v>
      </c>
      <c r="AN357" s="950">
        <v>9381.6856800000005</v>
      </c>
      <c r="AO357" s="946">
        <v>0.30153746944323501</v>
      </c>
      <c r="AP357" s="946">
        <v>302</v>
      </c>
      <c r="AQ357" s="953"/>
      <c r="AR357" s="950"/>
      <c r="AS357" s="950">
        <v>556.73</v>
      </c>
    </row>
    <row r="358" spans="1:45" x14ac:dyDescent="0.3">
      <c r="A358" s="642" t="s">
        <v>1151</v>
      </c>
      <c r="B358" s="642" t="s">
        <v>1152</v>
      </c>
      <c r="C358" s="642" t="s">
        <v>1150</v>
      </c>
      <c r="D358" s="642" t="s">
        <v>97</v>
      </c>
      <c r="F358" s="946">
        <v>0</v>
      </c>
      <c r="H358" s="946">
        <v>0</v>
      </c>
      <c r="I358" s="939">
        <v>139037779</v>
      </c>
      <c r="J358" s="974">
        <v>139037.77900000001</v>
      </c>
      <c r="L358" s="946">
        <v>0</v>
      </c>
      <c r="M358" s="947"/>
      <c r="N358" s="946">
        <v>0</v>
      </c>
      <c r="P358" s="946">
        <v>12589</v>
      </c>
      <c r="R358" s="946">
        <v>12585</v>
      </c>
      <c r="S358" s="948">
        <v>726068</v>
      </c>
      <c r="T358" s="946">
        <v>726.06799999999998</v>
      </c>
      <c r="V358" s="946">
        <v>678</v>
      </c>
      <c r="W358" s="946">
        <v>779</v>
      </c>
      <c r="X358" s="946">
        <v>3881</v>
      </c>
      <c r="Y358" s="947"/>
      <c r="Z358" s="946">
        <v>791</v>
      </c>
      <c r="AA358" s="948">
        <v>295178</v>
      </c>
      <c r="AB358" s="946">
        <v>295.178</v>
      </c>
      <c r="AC358" s="974">
        <v>32</v>
      </c>
      <c r="AD358" s="946">
        <v>104622.378</v>
      </c>
      <c r="AE358" s="957">
        <v>0</v>
      </c>
      <c r="AG358" s="957">
        <v>11995</v>
      </c>
      <c r="AH358" s="955">
        <v>0</v>
      </c>
      <c r="AI358" s="425">
        <v>1</v>
      </c>
      <c r="AJ358" s="957">
        <v>0</v>
      </c>
      <c r="AL358" s="939">
        <v>1</v>
      </c>
      <c r="AM358" s="939">
        <v>1</v>
      </c>
      <c r="AN358" s="950">
        <v>4057.1600199999998</v>
      </c>
      <c r="AO358" s="946">
        <v>0.37602232008876002</v>
      </c>
      <c r="AP358" s="946">
        <v>376</v>
      </c>
      <c r="AQ358" s="953"/>
      <c r="AR358" s="950"/>
      <c r="AS358" s="950">
        <v>829.67100000000005</v>
      </c>
    </row>
    <row r="359" spans="1:45" x14ac:dyDescent="0.3">
      <c r="A359" s="642" t="s">
        <v>1154</v>
      </c>
      <c r="B359" s="642" t="s">
        <v>1155</v>
      </c>
      <c r="C359" s="642" t="s">
        <v>1153</v>
      </c>
      <c r="D359" s="642" t="s">
        <v>61</v>
      </c>
      <c r="F359" s="946">
        <v>-195</v>
      </c>
      <c r="H359" s="946">
        <v>0</v>
      </c>
      <c r="I359" s="939">
        <v>0</v>
      </c>
      <c r="J359" s="974">
        <v>0</v>
      </c>
      <c r="L359" s="946">
        <v>0</v>
      </c>
      <c r="M359" s="947"/>
      <c r="N359" s="946">
        <v>0</v>
      </c>
      <c r="P359" s="946">
        <v>0</v>
      </c>
      <c r="R359" s="946">
        <v>0</v>
      </c>
      <c r="S359" s="948">
        <v>0</v>
      </c>
      <c r="T359" s="946">
        <v>0</v>
      </c>
      <c r="V359" s="946">
        <v>252</v>
      </c>
      <c r="W359" s="946">
        <v>0</v>
      </c>
      <c r="X359" s="946">
        <v>161</v>
      </c>
      <c r="Y359" s="947"/>
      <c r="Z359" s="946">
        <v>917</v>
      </c>
      <c r="AA359" s="948">
        <v>87020</v>
      </c>
      <c r="AB359" s="946">
        <v>87.02</v>
      </c>
      <c r="AC359" s="974">
        <v>0</v>
      </c>
      <c r="AD359" s="946">
        <v>4407.33</v>
      </c>
      <c r="AE359" s="957">
        <v>15260</v>
      </c>
      <c r="AG359" s="957" t="s">
        <v>5442</v>
      </c>
      <c r="AH359" s="955">
        <v>0</v>
      </c>
      <c r="AI359" s="425">
        <v>1</v>
      </c>
      <c r="AJ359" s="957" t="s">
        <v>5442</v>
      </c>
      <c r="AL359" s="939">
        <v>0</v>
      </c>
      <c r="AM359" s="939">
        <v>0</v>
      </c>
      <c r="AN359" s="950">
        <v>2553.9708599999999</v>
      </c>
      <c r="AO359" s="946">
        <v>0.106980083753834</v>
      </c>
      <c r="AP359" s="946">
        <v>107</v>
      </c>
      <c r="AQ359" s="953"/>
      <c r="AR359" s="950"/>
      <c r="AS359" s="950">
        <v>193.03100000000001</v>
      </c>
    </row>
    <row r="360" spans="1:45" x14ac:dyDescent="0.3">
      <c r="A360" s="642" t="s">
        <v>1157</v>
      </c>
      <c r="B360" s="642" t="s">
        <v>1158</v>
      </c>
      <c r="C360" s="642" t="s">
        <v>1156</v>
      </c>
      <c r="D360" s="642" t="s">
        <v>61</v>
      </c>
      <c r="F360" s="946">
        <v>0</v>
      </c>
      <c r="H360" s="946">
        <v>0</v>
      </c>
      <c r="I360" s="939">
        <v>0</v>
      </c>
      <c r="J360" s="974">
        <v>0</v>
      </c>
      <c r="L360" s="946">
        <v>0</v>
      </c>
      <c r="M360" s="947"/>
      <c r="N360" s="946">
        <v>0</v>
      </c>
      <c r="P360" s="946">
        <v>0</v>
      </c>
      <c r="R360" s="946">
        <v>0</v>
      </c>
      <c r="S360" s="948">
        <v>0</v>
      </c>
      <c r="T360" s="946">
        <v>0</v>
      </c>
      <c r="V360" s="946">
        <v>313</v>
      </c>
      <c r="W360" s="946">
        <v>0</v>
      </c>
      <c r="X360" s="946">
        <v>101</v>
      </c>
      <c r="Y360" s="947"/>
      <c r="Z360" s="946">
        <v>618</v>
      </c>
      <c r="AA360" s="948">
        <v>65618</v>
      </c>
      <c r="AB360" s="946">
        <v>65.617999999999995</v>
      </c>
      <c r="AC360" s="974">
        <v>1070.596</v>
      </c>
      <c r="AD360" s="946">
        <v>10007.882</v>
      </c>
      <c r="AE360" s="957">
        <v>5562</v>
      </c>
      <c r="AG360" s="957">
        <v>0</v>
      </c>
      <c r="AH360" s="955">
        <v>0</v>
      </c>
      <c r="AI360" s="425">
        <v>1</v>
      </c>
      <c r="AJ360" s="957">
        <v>0</v>
      </c>
      <c r="AL360" s="939">
        <v>0</v>
      </c>
      <c r="AM360" s="939">
        <v>0</v>
      </c>
      <c r="AN360" s="950">
        <v>2729.52196</v>
      </c>
      <c r="AO360" s="946">
        <v>6.6752494169485199E-2</v>
      </c>
      <c r="AP360" s="946">
        <v>67</v>
      </c>
      <c r="AQ360" s="953"/>
      <c r="AR360" s="950"/>
      <c r="AS360" s="950">
        <v>160.84399999999999</v>
      </c>
    </row>
    <row r="361" spans="1:45" x14ac:dyDescent="0.3">
      <c r="A361" s="642" t="s">
        <v>1160</v>
      </c>
      <c r="B361" s="642" t="s">
        <v>1161</v>
      </c>
      <c r="C361" s="642" t="s">
        <v>1159</v>
      </c>
      <c r="D361" s="642" t="s">
        <v>1390</v>
      </c>
      <c r="F361" s="946">
        <v>0</v>
      </c>
      <c r="H361" s="946">
        <v>0</v>
      </c>
      <c r="I361" s="939">
        <v>0</v>
      </c>
      <c r="J361" s="974">
        <v>0</v>
      </c>
      <c r="L361" s="946">
        <v>0</v>
      </c>
      <c r="M361" s="947"/>
      <c r="N361" s="946">
        <v>0</v>
      </c>
      <c r="P361" s="946">
        <v>0</v>
      </c>
      <c r="R361" s="946">
        <v>0</v>
      </c>
      <c r="S361" s="948">
        <v>0</v>
      </c>
      <c r="T361" s="946">
        <v>0</v>
      </c>
      <c r="V361" s="946">
        <v>0</v>
      </c>
      <c r="W361" s="946">
        <v>0</v>
      </c>
      <c r="X361" s="946">
        <v>0</v>
      </c>
      <c r="Y361" s="947"/>
      <c r="Z361" s="946">
        <v>0</v>
      </c>
      <c r="AA361" s="948">
        <v>0</v>
      </c>
      <c r="AB361" s="946">
        <v>0</v>
      </c>
      <c r="AC361" s="974">
        <v>0</v>
      </c>
      <c r="AD361" s="946">
        <v>0</v>
      </c>
      <c r="AE361" s="957">
        <v>0</v>
      </c>
      <c r="AG361" s="957">
        <v>7235</v>
      </c>
      <c r="AH361" s="955">
        <v>0</v>
      </c>
      <c r="AI361" s="425">
        <v>0</v>
      </c>
      <c r="AJ361" s="957">
        <v>0</v>
      </c>
      <c r="AL361" s="939">
        <v>0</v>
      </c>
      <c r="AM361" s="939">
        <v>0</v>
      </c>
      <c r="AN361" s="950">
        <v>748.62198999999998</v>
      </c>
      <c r="AO361" s="946">
        <v>0</v>
      </c>
      <c r="AP361" s="946">
        <v>0</v>
      </c>
      <c r="AQ361" s="953"/>
      <c r="AR361" s="950"/>
      <c r="AS361" s="950">
        <v>0</v>
      </c>
    </row>
    <row r="362" spans="1:45" x14ac:dyDescent="0.3">
      <c r="A362" s="642" t="s">
        <v>1164</v>
      </c>
      <c r="B362" s="642" t="s">
        <v>1165</v>
      </c>
      <c r="C362" s="642" t="s">
        <v>1163</v>
      </c>
      <c r="D362" s="642" t="s">
        <v>61</v>
      </c>
      <c r="F362" s="946">
        <v>-1</v>
      </c>
      <c r="H362" s="946">
        <v>0</v>
      </c>
      <c r="I362" s="939">
        <v>0</v>
      </c>
      <c r="J362" s="974">
        <v>0</v>
      </c>
      <c r="L362" s="946">
        <v>0</v>
      </c>
      <c r="M362" s="947"/>
      <c r="N362" s="946">
        <v>51</v>
      </c>
      <c r="P362" s="946">
        <v>0</v>
      </c>
      <c r="R362" s="946">
        <v>0</v>
      </c>
      <c r="S362" s="948">
        <v>0</v>
      </c>
      <c r="T362" s="946">
        <v>0</v>
      </c>
      <c r="V362" s="946">
        <v>450</v>
      </c>
      <c r="W362" s="946">
        <v>0</v>
      </c>
      <c r="X362" s="946">
        <v>234</v>
      </c>
      <c r="Y362" s="947"/>
      <c r="Z362" s="946">
        <v>1270</v>
      </c>
      <c r="AA362" s="948">
        <v>157558</v>
      </c>
      <c r="AB362" s="946">
        <v>157.55799999999999</v>
      </c>
      <c r="AC362" s="974">
        <v>4311.4380000000001</v>
      </c>
      <c r="AD362" s="946">
        <v>13501.977999999999</v>
      </c>
      <c r="AE362" s="957">
        <v>0</v>
      </c>
      <c r="AG362" s="957">
        <v>0</v>
      </c>
      <c r="AH362" s="955">
        <v>0</v>
      </c>
      <c r="AI362" s="425">
        <v>1</v>
      </c>
      <c r="AJ362" s="957">
        <v>0</v>
      </c>
      <c r="AL362" s="939">
        <v>0</v>
      </c>
      <c r="AM362" s="939">
        <v>0</v>
      </c>
      <c r="AN362" s="950">
        <v>0</v>
      </c>
      <c r="AO362" s="946">
        <v>0.15525657557897399</v>
      </c>
      <c r="AP362" s="946">
        <v>155</v>
      </c>
      <c r="AQ362" s="953"/>
      <c r="AR362" s="950"/>
      <c r="AS362" s="950">
        <v>294.983</v>
      </c>
    </row>
    <row r="363" spans="1:45" x14ac:dyDescent="0.3">
      <c r="A363" s="642" t="s">
        <v>1167</v>
      </c>
      <c r="B363" s="642" t="s">
        <v>1168</v>
      </c>
      <c r="C363" s="642" t="s">
        <v>5447</v>
      </c>
      <c r="D363" s="642" t="s">
        <v>125</v>
      </c>
      <c r="F363" s="946">
        <v>-10336</v>
      </c>
      <c r="H363" s="946">
        <v>0</v>
      </c>
      <c r="I363" s="939">
        <v>111053189</v>
      </c>
      <c r="J363" s="974">
        <v>111053.189</v>
      </c>
      <c r="L363" s="946">
        <v>13168</v>
      </c>
      <c r="M363" s="947"/>
      <c r="N363" s="946">
        <v>0</v>
      </c>
      <c r="P363" s="946">
        <v>8124</v>
      </c>
      <c r="R363" s="946">
        <v>7824</v>
      </c>
      <c r="S363" s="948">
        <v>839531</v>
      </c>
      <c r="T363" s="946">
        <v>839.53099999999995</v>
      </c>
      <c r="V363" s="946">
        <v>388</v>
      </c>
      <c r="W363" s="946">
        <v>523</v>
      </c>
      <c r="X363" s="946">
        <v>2671</v>
      </c>
      <c r="Y363" s="947"/>
      <c r="Z363" s="946">
        <v>3721</v>
      </c>
      <c r="AA363" s="948">
        <v>230316</v>
      </c>
      <c r="AB363" s="946">
        <v>230.316</v>
      </c>
      <c r="AC363" s="974">
        <v>5156.6899999999996</v>
      </c>
      <c r="AD363" s="946">
        <v>82672.457999999999</v>
      </c>
      <c r="AE363" s="957">
        <v>0</v>
      </c>
      <c r="AG363" s="957">
        <v>0</v>
      </c>
      <c r="AH363" s="955">
        <v>-4222</v>
      </c>
      <c r="AI363" s="425">
        <v>1</v>
      </c>
      <c r="AJ363" s="957">
        <v>-4222</v>
      </c>
      <c r="AL363" s="939">
        <v>1</v>
      </c>
      <c r="AM363" s="939">
        <v>1</v>
      </c>
      <c r="AN363" s="950">
        <v>5068.6500599999999</v>
      </c>
      <c r="AO363" s="946">
        <v>0.22991491400372399</v>
      </c>
      <c r="AP363" s="946">
        <v>230</v>
      </c>
      <c r="AQ363" s="953"/>
      <c r="AR363" s="950"/>
      <c r="AS363" s="950">
        <v>572.61699999999996</v>
      </c>
    </row>
    <row r="364" spans="1:45" x14ac:dyDescent="0.3">
      <c r="A364" s="642" t="s">
        <v>1170</v>
      </c>
      <c r="B364" s="642" t="s">
        <v>1171</v>
      </c>
      <c r="C364" s="642" t="s">
        <v>1169</v>
      </c>
      <c r="D364" s="642" t="s">
        <v>61</v>
      </c>
      <c r="F364" s="946">
        <v>-445</v>
      </c>
      <c r="H364" s="946">
        <v>0</v>
      </c>
      <c r="I364" s="939">
        <v>0</v>
      </c>
      <c r="J364" s="974">
        <v>0</v>
      </c>
      <c r="L364" s="946">
        <v>0</v>
      </c>
      <c r="M364" s="947"/>
      <c r="N364" s="946">
        <v>0</v>
      </c>
      <c r="P364" s="946">
        <v>0</v>
      </c>
      <c r="R364" s="946">
        <v>0</v>
      </c>
      <c r="S364" s="948">
        <v>0</v>
      </c>
      <c r="T364" s="946">
        <v>0</v>
      </c>
      <c r="V364" s="946">
        <v>795</v>
      </c>
      <c r="W364" s="946">
        <v>0</v>
      </c>
      <c r="X364" s="946">
        <v>349</v>
      </c>
      <c r="Y364" s="947"/>
      <c r="Z364" s="946">
        <v>1850</v>
      </c>
      <c r="AA364" s="948">
        <v>207175</v>
      </c>
      <c r="AB364" s="946">
        <v>207.17500000000001</v>
      </c>
      <c r="AC364" s="974">
        <v>2273.1219999999998</v>
      </c>
      <c r="AD364" s="946">
        <v>11385.432000000001</v>
      </c>
      <c r="AE364" s="957">
        <v>5202</v>
      </c>
      <c r="AG364" s="957">
        <v>82</v>
      </c>
      <c r="AH364" s="955">
        <v>0</v>
      </c>
      <c r="AI364" s="425">
        <v>1</v>
      </c>
      <c r="AJ364" s="957">
        <v>0</v>
      </c>
      <c r="AL364" s="939">
        <v>0</v>
      </c>
      <c r="AM364" s="939">
        <v>0</v>
      </c>
      <c r="AN364" s="950">
        <v>1285.97615</v>
      </c>
      <c r="AO364" s="946">
        <v>0.23143160095617901</v>
      </c>
      <c r="AP364" s="946">
        <v>231</v>
      </c>
      <c r="AQ364" s="953"/>
      <c r="AR364" s="950"/>
      <c r="AS364" s="950">
        <v>472.75599999999997</v>
      </c>
    </row>
    <row r="365" spans="1:45" x14ac:dyDescent="0.3">
      <c r="A365" s="642" t="s">
        <v>1173</v>
      </c>
      <c r="B365" s="642" t="s">
        <v>1174</v>
      </c>
      <c r="C365" s="642" t="s">
        <v>1172</v>
      </c>
      <c r="D365" s="642" t="s">
        <v>61</v>
      </c>
      <c r="F365" s="946">
        <v>0</v>
      </c>
      <c r="H365" s="946">
        <v>0</v>
      </c>
      <c r="I365" s="939">
        <v>0</v>
      </c>
      <c r="J365" s="974">
        <v>0</v>
      </c>
      <c r="L365" s="946">
        <v>0</v>
      </c>
      <c r="M365" s="947"/>
      <c r="N365" s="946">
        <v>0</v>
      </c>
      <c r="P365" s="946">
        <v>0</v>
      </c>
      <c r="R365" s="946">
        <v>0</v>
      </c>
      <c r="S365" s="948">
        <v>0</v>
      </c>
      <c r="T365" s="946">
        <v>0</v>
      </c>
      <c r="V365" s="946">
        <v>380</v>
      </c>
      <c r="W365" s="946">
        <v>0</v>
      </c>
      <c r="X365" s="946">
        <v>164</v>
      </c>
      <c r="Y365" s="947"/>
      <c r="Z365" s="946">
        <v>2105</v>
      </c>
      <c r="AA365" s="948">
        <v>83650</v>
      </c>
      <c r="AB365" s="946">
        <v>83.65</v>
      </c>
      <c r="AC365" s="974">
        <v>1847.7950000000001</v>
      </c>
      <c r="AD365" s="946">
        <v>10089.081</v>
      </c>
      <c r="AE365" s="957">
        <v>0</v>
      </c>
      <c r="AG365" s="957">
        <v>3578</v>
      </c>
      <c r="AH365" s="955">
        <v>0</v>
      </c>
      <c r="AI365" s="425">
        <v>1</v>
      </c>
      <c r="AJ365" s="957">
        <v>0</v>
      </c>
      <c r="AL365" s="939">
        <v>0</v>
      </c>
      <c r="AM365" s="939">
        <v>0</v>
      </c>
      <c r="AN365" s="950">
        <v>150.50839999999999</v>
      </c>
      <c r="AO365" s="946">
        <v>0.37670049320874999</v>
      </c>
      <c r="AP365" s="946">
        <v>377</v>
      </c>
      <c r="AQ365" s="953"/>
      <c r="AR365" s="950"/>
      <c r="AS365" s="950">
        <v>227.791</v>
      </c>
    </row>
    <row r="366" spans="1:45" x14ac:dyDescent="0.3">
      <c r="A366" s="642" t="s">
        <v>1176</v>
      </c>
      <c r="B366" s="642" t="s">
        <v>1177</v>
      </c>
      <c r="C366" s="642" t="s">
        <v>1175</v>
      </c>
      <c r="D366" s="642" t="s">
        <v>61</v>
      </c>
      <c r="F366" s="946">
        <v>-24</v>
      </c>
      <c r="H366" s="946">
        <v>0</v>
      </c>
      <c r="I366" s="939">
        <v>0</v>
      </c>
      <c r="J366" s="974">
        <v>0</v>
      </c>
      <c r="L366" s="946">
        <v>0</v>
      </c>
      <c r="M366" s="947"/>
      <c r="N366" s="946">
        <v>14</v>
      </c>
      <c r="P366" s="946">
        <v>0</v>
      </c>
      <c r="R366" s="946">
        <v>0</v>
      </c>
      <c r="S366" s="948">
        <v>0</v>
      </c>
      <c r="T366" s="946">
        <v>0</v>
      </c>
      <c r="V366" s="946">
        <v>216</v>
      </c>
      <c r="W366" s="946">
        <v>0</v>
      </c>
      <c r="X366" s="946">
        <v>127</v>
      </c>
      <c r="Y366" s="947"/>
      <c r="Z366" s="946">
        <v>1633</v>
      </c>
      <c r="AA366" s="948">
        <v>87754</v>
      </c>
      <c r="AB366" s="946">
        <v>87.754000000000005</v>
      </c>
      <c r="AC366" s="974">
        <v>2433.3110000000001</v>
      </c>
      <c r="AD366" s="946">
        <v>7244.9059999999999</v>
      </c>
      <c r="AE366" s="957">
        <v>0</v>
      </c>
      <c r="AG366" s="957">
        <v>0</v>
      </c>
      <c r="AH366" s="955">
        <v>0</v>
      </c>
      <c r="AI366" s="425">
        <v>1</v>
      </c>
      <c r="AJ366" s="957">
        <v>0</v>
      </c>
      <c r="AL366" s="939">
        <v>0</v>
      </c>
      <c r="AM366" s="939">
        <v>0</v>
      </c>
      <c r="AN366" s="950">
        <v>423.17500000000001</v>
      </c>
      <c r="AO366" s="946">
        <v>1.30836354995792</v>
      </c>
      <c r="AP366" s="946">
        <v>1308</v>
      </c>
      <c r="AQ366" s="953"/>
      <c r="AR366" s="950"/>
      <c r="AS366" s="950">
        <v>170.512</v>
      </c>
    </row>
    <row r="367" spans="1:45" x14ac:dyDescent="0.3">
      <c r="A367" s="642" t="s">
        <v>1179</v>
      </c>
      <c r="B367" s="642" t="s">
        <v>1180</v>
      </c>
      <c r="C367" s="642" t="s">
        <v>1178</v>
      </c>
      <c r="D367" s="642" t="s">
        <v>71</v>
      </c>
      <c r="F367" s="946">
        <v>0</v>
      </c>
      <c r="H367" s="946">
        <v>-277141</v>
      </c>
      <c r="I367" s="939">
        <v>0</v>
      </c>
      <c r="J367" s="974">
        <v>0</v>
      </c>
      <c r="L367" s="946">
        <v>0</v>
      </c>
      <c r="M367" s="947"/>
      <c r="N367" s="946">
        <v>0</v>
      </c>
      <c r="P367" s="946">
        <v>0</v>
      </c>
      <c r="R367" s="946">
        <v>0</v>
      </c>
      <c r="S367" s="948">
        <v>0</v>
      </c>
      <c r="T367" s="946">
        <v>0</v>
      </c>
      <c r="V367" s="946">
        <v>0</v>
      </c>
      <c r="W367" s="946">
        <v>0</v>
      </c>
      <c r="X367" s="946">
        <v>0</v>
      </c>
      <c r="Y367" s="947"/>
      <c r="Z367" s="946">
        <v>0</v>
      </c>
      <c r="AA367" s="948">
        <v>0</v>
      </c>
      <c r="AB367" s="946">
        <v>0</v>
      </c>
      <c r="AC367" s="974">
        <v>0</v>
      </c>
      <c r="AD367" s="946">
        <v>226286.014</v>
      </c>
      <c r="AE367" s="957">
        <v>0</v>
      </c>
      <c r="AG367" s="957">
        <v>12952</v>
      </c>
      <c r="AH367" s="955">
        <v>0</v>
      </c>
      <c r="AI367" s="425">
        <v>0</v>
      </c>
      <c r="AJ367" s="957">
        <v>0</v>
      </c>
      <c r="AL367" s="939">
        <v>0</v>
      </c>
      <c r="AM367" s="939">
        <v>0</v>
      </c>
      <c r="AN367" s="950">
        <v>1259.59348</v>
      </c>
      <c r="AO367" s="946">
        <v>0</v>
      </c>
      <c r="AP367" s="946">
        <v>0</v>
      </c>
      <c r="AQ367" s="953"/>
      <c r="AR367" s="950"/>
      <c r="AS367" s="950">
        <v>0</v>
      </c>
    </row>
    <row r="368" spans="1:45" x14ac:dyDescent="0.3">
      <c r="A368" s="642" t="s">
        <v>1182</v>
      </c>
      <c r="B368" s="642" t="s">
        <v>1183</v>
      </c>
      <c r="C368" s="642" t="s">
        <v>1181</v>
      </c>
      <c r="D368" s="642" t="s">
        <v>61</v>
      </c>
      <c r="F368" s="946">
        <v>-103</v>
      </c>
      <c r="H368" s="946">
        <v>0</v>
      </c>
      <c r="I368" s="939">
        <v>0</v>
      </c>
      <c r="J368" s="974">
        <v>0</v>
      </c>
      <c r="L368" s="946">
        <v>0</v>
      </c>
      <c r="M368" s="947"/>
      <c r="N368" s="946">
        <v>0</v>
      </c>
      <c r="P368" s="946">
        <v>0</v>
      </c>
      <c r="R368" s="946">
        <v>0</v>
      </c>
      <c r="S368" s="948">
        <v>0</v>
      </c>
      <c r="T368" s="946">
        <v>0</v>
      </c>
      <c r="V368" s="946">
        <v>881</v>
      </c>
      <c r="W368" s="946">
        <v>0</v>
      </c>
      <c r="X368" s="946">
        <v>348</v>
      </c>
      <c r="Y368" s="947"/>
      <c r="Z368" s="946">
        <v>549</v>
      </c>
      <c r="AA368" s="948">
        <v>228241</v>
      </c>
      <c r="AB368" s="946">
        <v>228.24100000000001</v>
      </c>
      <c r="AC368" s="974">
        <v>2270.3510000000001</v>
      </c>
      <c r="AD368" s="946">
        <v>13430.050999999999</v>
      </c>
      <c r="AE368" s="957">
        <v>11515</v>
      </c>
      <c r="AG368" s="957">
        <v>20</v>
      </c>
      <c r="AH368" s="955">
        <v>0</v>
      </c>
      <c r="AI368" s="425">
        <v>1</v>
      </c>
      <c r="AJ368" s="957">
        <v>0</v>
      </c>
      <c r="AL368" s="939">
        <v>0</v>
      </c>
      <c r="AM368" s="939">
        <v>0</v>
      </c>
      <c r="AN368" s="950">
        <v>622.33099000000004</v>
      </c>
      <c r="AO368" s="946">
        <v>0.231199678771776</v>
      </c>
      <c r="AP368" s="946">
        <v>231</v>
      </c>
      <c r="AQ368" s="953"/>
      <c r="AR368" s="950"/>
      <c r="AS368" s="950">
        <v>543.197</v>
      </c>
    </row>
    <row r="369" spans="1:45" x14ac:dyDescent="0.3">
      <c r="A369" s="642" t="s">
        <v>1185</v>
      </c>
      <c r="B369" s="642" t="s">
        <v>1186</v>
      </c>
      <c r="C369" s="642" t="s">
        <v>5591</v>
      </c>
      <c r="D369" s="642" t="s">
        <v>5418</v>
      </c>
      <c r="F369" s="946">
        <v>0</v>
      </c>
      <c r="H369" s="946">
        <v>0</v>
      </c>
      <c r="I369" s="939">
        <v>0</v>
      </c>
      <c r="J369" s="974">
        <v>0</v>
      </c>
      <c r="L369" s="946">
        <v>0</v>
      </c>
      <c r="M369" s="947"/>
      <c r="N369" s="946">
        <v>0</v>
      </c>
      <c r="P369" s="946">
        <v>0</v>
      </c>
      <c r="R369" s="946">
        <v>0</v>
      </c>
      <c r="S369" s="948">
        <v>0</v>
      </c>
      <c r="T369" s="946">
        <v>0</v>
      </c>
      <c r="V369" s="946">
        <v>0</v>
      </c>
      <c r="W369" s="946">
        <v>0</v>
      </c>
      <c r="X369" s="946">
        <v>0</v>
      </c>
      <c r="Y369" s="947"/>
      <c r="Z369" s="946">
        <v>0</v>
      </c>
      <c r="AA369" s="948">
        <v>0</v>
      </c>
      <c r="AB369" s="946">
        <v>0</v>
      </c>
      <c r="AC369" s="974">
        <v>0</v>
      </c>
      <c r="AD369" s="946">
        <v>0</v>
      </c>
      <c r="AE369" s="957">
        <v>0</v>
      </c>
      <c r="AG369" s="957">
        <v>550</v>
      </c>
      <c r="AH369" s="955">
        <v>0</v>
      </c>
      <c r="AI369" s="425">
        <v>0</v>
      </c>
      <c r="AJ369" s="957">
        <v>0</v>
      </c>
      <c r="AL369" s="939">
        <v>0</v>
      </c>
      <c r="AM369" s="939">
        <v>0</v>
      </c>
      <c r="AN369" s="950">
        <v>5.2633999999999999</v>
      </c>
      <c r="AO369" s="946">
        <v>0</v>
      </c>
      <c r="AP369" s="946">
        <v>0</v>
      </c>
      <c r="AQ369" s="953"/>
      <c r="AR369" s="950"/>
      <c r="AS369" s="950">
        <v>0</v>
      </c>
    </row>
    <row r="370" spans="1:45" x14ac:dyDescent="0.3">
      <c r="A370" s="642" t="s">
        <v>737</v>
      </c>
      <c r="B370" s="642" t="s">
        <v>738</v>
      </c>
      <c r="C370" s="642" t="s">
        <v>736</v>
      </c>
      <c r="D370" s="642" t="s">
        <v>125</v>
      </c>
      <c r="F370" s="946">
        <v>-6380</v>
      </c>
      <c r="H370" s="946">
        <v>0</v>
      </c>
      <c r="I370" s="939">
        <v>100775866</v>
      </c>
      <c r="J370" s="974">
        <v>100775.86599999999</v>
      </c>
      <c r="L370" s="946">
        <v>18075</v>
      </c>
      <c r="M370" s="947"/>
      <c r="N370" s="946">
        <v>0</v>
      </c>
      <c r="P370" s="946">
        <v>8497</v>
      </c>
      <c r="R370" s="946">
        <v>7308</v>
      </c>
      <c r="S370" s="948">
        <v>720484</v>
      </c>
      <c r="T370" s="946">
        <v>720.48400000000004</v>
      </c>
      <c r="V370" s="946">
        <v>1581</v>
      </c>
      <c r="W370" s="946">
        <v>674</v>
      </c>
      <c r="X370" s="946">
        <v>3324</v>
      </c>
      <c r="Y370" s="947"/>
      <c r="Z370" s="946">
        <v>1979</v>
      </c>
      <c r="AA370" s="948">
        <v>265678</v>
      </c>
      <c r="AB370" s="946">
        <v>265.678</v>
      </c>
      <c r="AC370" s="974">
        <v>563.10799999999995</v>
      </c>
      <c r="AD370" s="946">
        <v>140702.285</v>
      </c>
      <c r="AE370" s="957">
        <v>5590</v>
      </c>
      <c r="AG370" s="957">
        <v>0</v>
      </c>
      <c r="AH370" s="955">
        <v>0</v>
      </c>
      <c r="AI370" s="425">
        <v>1</v>
      </c>
      <c r="AJ370" s="957">
        <v>0</v>
      </c>
      <c r="AL370" s="939">
        <v>1</v>
      </c>
      <c r="AM370" s="939">
        <v>1</v>
      </c>
      <c r="AN370" s="950">
        <v>3747.4866299999994</v>
      </c>
      <c r="AO370" s="946">
        <v>0.390676131934028</v>
      </c>
      <c r="AP370" s="946">
        <v>391</v>
      </c>
      <c r="AQ370" s="953"/>
      <c r="AR370" s="950"/>
      <c r="AS370" s="950">
        <v>719.07299999999998</v>
      </c>
    </row>
    <row r="371" spans="1:45" x14ac:dyDescent="0.3">
      <c r="A371" s="642" t="s">
        <v>1299</v>
      </c>
      <c r="B371" s="642" t="s">
        <v>1300</v>
      </c>
      <c r="C371" s="642" t="s">
        <v>5592</v>
      </c>
      <c r="D371" s="642" t="s">
        <v>1390</v>
      </c>
      <c r="F371" s="946">
        <v>0</v>
      </c>
      <c r="H371" s="946">
        <v>0</v>
      </c>
      <c r="I371" s="939">
        <v>0</v>
      </c>
      <c r="J371" s="974">
        <v>0</v>
      </c>
      <c r="L371" s="946">
        <v>0</v>
      </c>
      <c r="M371" s="947"/>
      <c r="N371" s="946">
        <v>0</v>
      </c>
      <c r="P371" s="946">
        <v>0</v>
      </c>
      <c r="R371" s="946">
        <v>0</v>
      </c>
      <c r="S371" s="948">
        <v>0</v>
      </c>
      <c r="T371" s="946">
        <v>0</v>
      </c>
      <c r="V371" s="946">
        <v>0</v>
      </c>
      <c r="W371" s="946">
        <v>0</v>
      </c>
      <c r="X371" s="946">
        <v>0</v>
      </c>
      <c r="Y371" s="947"/>
      <c r="Z371" s="946">
        <v>0</v>
      </c>
      <c r="AA371" s="948">
        <v>0</v>
      </c>
      <c r="AB371" s="946">
        <v>0</v>
      </c>
      <c r="AC371" s="974">
        <v>0</v>
      </c>
      <c r="AD371" s="946">
        <v>0</v>
      </c>
      <c r="AE371" s="957">
        <v>0</v>
      </c>
      <c r="AG371" s="957">
        <v>0</v>
      </c>
      <c r="AH371" s="955">
        <v>0</v>
      </c>
      <c r="AI371" s="425">
        <v>0</v>
      </c>
      <c r="AJ371" s="957">
        <v>0</v>
      </c>
      <c r="AL371" s="939">
        <v>0</v>
      </c>
      <c r="AM371" s="939">
        <v>0</v>
      </c>
      <c r="AN371" s="950">
        <v>5369.8879100000004</v>
      </c>
      <c r="AO371" s="946">
        <v>0</v>
      </c>
      <c r="AP371" s="946">
        <v>0</v>
      </c>
      <c r="AQ371" s="953"/>
      <c r="AR371" s="950"/>
      <c r="AS371" s="950">
        <v>0</v>
      </c>
    </row>
    <row r="372" spans="1:45" x14ac:dyDescent="0.3">
      <c r="A372" s="642" t="s">
        <v>1188</v>
      </c>
      <c r="B372" s="642" t="s">
        <v>1189</v>
      </c>
      <c r="C372" s="642" t="s">
        <v>1187</v>
      </c>
      <c r="D372" s="642" t="s">
        <v>61</v>
      </c>
      <c r="F372" s="946">
        <v>0</v>
      </c>
      <c r="H372" s="946">
        <v>0</v>
      </c>
      <c r="I372" s="939">
        <v>0</v>
      </c>
      <c r="J372" s="974">
        <v>0</v>
      </c>
      <c r="L372" s="946">
        <v>0</v>
      </c>
      <c r="M372" s="947"/>
      <c r="N372" s="946">
        <v>0</v>
      </c>
      <c r="P372" s="946">
        <v>0</v>
      </c>
      <c r="R372" s="946">
        <v>0</v>
      </c>
      <c r="S372" s="948">
        <v>0</v>
      </c>
      <c r="T372" s="946">
        <v>0</v>
      </c>
      <c r="V372" s="946">
        <v>289</v>
      </c>
      <c r="W372" s="946">
        <v>0</v>
      </c>
      <c r="X372" s="946">
        <v>138</v>
      </c>
      <c r="Y372" s="947"/>
      <c r="Z372" s="946">
        <v>220</v>
      </c>
      <c r="AA372" s="948">
        <v>73468</v>
      </c>
      <c r="AB372" s="946">
        <v>73.468000000000004</v>
      </c>
      <c r="AC372" s="974">
        <v>2228.7330000000002</v>
      </c>
      <c r="AD372" s="946">
        <v>9644.9089999999997</v>
      </c>
      <c r="AE372" s="957">
        <v>0</v>
      </c>
      <c r="AG372" s="957">
        <v>0</v>
      </c>
      <c r="AH372" s="955">
        <v>0</v>
      </c>
      <c r="AI372" s="425">
        <v>1</v>
      </c>
      <c r="AJ372" s="957">
        <v>0</v>
      </c>
      <c r="AL372" s="939">
        <v>0</v>
      </c>
      <c r="AM372" s="939">
        <v>0</v>
      </c>
      <c r="AN372" s="950">
        <v>192.8</v>
      </c>
      <c r="AO372" s="946">
        <v>9.1256463475228006E-2</v>
      </c>
      <c r="AP372" s="946">
        <v>91</v>
      </c>
      <c r="AQ372" s="953"/>
      <c r="AR372" s="950"/>
      <c r="AS372" s="950">
        <v>177.029</v>
      </c>
    </row>
    <row r="373" spans="1:45" x14ac:dyDescent="0.3">
      <c r="A373" s="642" t="s">
        <v>1191</v>
      </c>
      <c r="B373" s="642" t="s">
        <v>1192</v>
      </c>
      <c r="C373" s="642" t="s">
        <v>1190</v>
      </c>
      <c r="D373" s="642" t="s">
        <v>125</v>
      </c>
      <c r="F373" s="946">
        <v>-7056</v>
      </c>
      <c r="H373" s="946">
        <v>0</v>
      </c>
      <c r="I373" s="939">
        <v>46288134</v>
      </c>
      <c r="J373" s="974">
        <v>46288.133999999998</v>
      </c>
      <c r="L373" s="946">
        <v>11911</v>
      </c>
      <c r="M373" s="947"/>
      <c r="N373" s="946">
        <v>0</v>
      </c>
      <c r="P373" s="946">
        <v>6362</v>
      </c>
      <c r="R373" s="946">
        <v>5569</v>
      </c>
      <c r="S373" s="948">
        <v>291100</v>
      </c>
      <c r="T373" s="946">
        <v>291.10000000000002</v>
      </c>
      <c r="V373" s="946">
        <v>877</v>
      </c>
      <c r="W373" s="946">
        <v>442</v>
      </c>
      <c r="X373" s="946">
        <v>2289</v>
      </c>
      <c r="Y373" s="947"/>
      <c r="Z373" s="946">
        <v>1313</v>
      </c>
      <c r="AA373" s="948">
        <v>177106</v>
      </c>
      <c r="AB373" s="946">
        <v>177.10599999999999</v>
      </c>
      <c r="AC373" s="974">
        <v>0</v>
      </c>
      <c r="AD373" s="946">
        <v>74451.167000000001</v>
      </c>
      <c r="AE373" s="957">
        <v>6376</v>
      </c>
      <c r="AG373" s="957">
        <v>0</v>
      </c>
      <c r="AH373" s="955">
        <v>-3000</v>
      </c>
      <c r="AI373" s="425">
        <v>1</v>
      </c>
      <c r="AJ373" s="957">
        <v>-3190</v>
      </c>
      <c r="AL373" s="939">
        <v>1</v>
      </c>
      <c r="AM373" s="939">
        <v>1</v>
      </c>
      <c r="AN373" s="950">
        <v>13087.999699999998</v>
      </c>
      <c r="AO373" s="946">
        <v>0.25622156685217801</v>
      </c>
      <c r="AP373" s="946">
        <v>256</v>
      </c>
      <c r="AQ373" s="953"/>
      <c r="AR373" s="950"/>
      <c r="AS373" s="950">
        <v>448.05900000000003</v>
      </c>
    </row>
    <row r="374" spans="1:45" x14ac:dyDescent="0.3">
      <c r="A374" s="642" t="s">
        <v>1194</v>
      </c>
      <c r="B374" s="642" t="s">
        <v>1195</v>
      </c>
      <c r="C374" s="642" t="s">
        <v>1193</v>
      </c>
      <c r="D374" s="642" t="s">
        <v>61</v>
      </c>
      <c r="F374" s="946">
        <v>0</v>
      </c>
      <c r="H374" s="946">
        <v>0</v>
      </c>
      <c r="I374" s="939">
        <v>0</v>
      </c>
      <c r="J374" s="974">
        <v>0</v>
      </c>
      <c r="L374" s="946">
        <v>0</v>
      </c>
      <c r="M374" s="947"/>
      <c r="N374" s="946">
        <v>0</v>
      </c>
      <c r="P374" s="946">
        <v>0</v>
      </c>
      <c r="R374" s="946">
        <v>0</v>
      </c>
      <c r="S374" s="948">
        <v>0</v>
      </c>
      <c r="T374" s="946">
        <v>0</v>
      </c>
      <c r="V374" s="946">
        <v>392</v>
      </c>
      <c r="W374" s="946">
        <v>0</v>
      </c>
      <c r="X374" s="946">
        <v>159</v>
      </c>
      <c r="Y374" s="947"/>
      <c r="Z374" s="946">
        <v>1194</v>
      </c>
      <c r="AA374" s="948">
        <v>117195</v>
      </c>
      <c r="AB374" s="946">
        <v>117.19499999999999</v>
      </c>
      <c r="AC374" s="974">
        <v>3554.7379999999998</v>
      </c>
      <c r="AD374" s="946">
        <v>15284.137000000001</v>
      </c>
      <c r="AE374" s="957">
        <v>0</v>
      </c>
      <c r="AG374" s="957">
        <v>2550</v>
      </c>
      <c r="AH374" s="955">
        <v>0</v>
      </c>
      <c r="AI374" s="425">
        <v>1</v>
      </c>
      <c r="AJ374" s="957">
        <v>0</v>
      </c>
      <c r="AL374" s="939">
        <v>0</v>
      </c>
      <c r="AM374" s="939">
        <v>0</v>
      </c>
      <c r="AN374" s="950">
        <v>0</v>
      </c>
      <c r="AO374" s="946">
        <v>1.0059829272507901</v>
      </c>
      <c r="AP374" s="946">
        <v>1006</v>
      </c>
      <c r="AQ374" s="953"/>
      <c r="AR374" s="950"/>
      <c r="AS374" s="950">
        <v>255.614</v>
      </c>
    </row>
    <row r="375" spans="1:45" x14ac:dyDescent="0.3">
      <c r="A375" s="642" t="s">
        <v>1197</v>
      </c>
      <c r="B375" s="642" t="s">
        <v>1198</v>
      </c>
      <c r="C375" s="642" t="s">
        <v>5450</v>
      </c>
      <c r="D375" s="642" t="s">
        <v>125</v>
      </c>
      <c r="F375" s="946">
        <v>-6765</v>
      </c>
      <c r="H375" s="946">
        <v>0</v>
      </c>
      <c r="I375" s="939">
        <v>47056681</v>
      </c>
      <c r="J375" s="974">
        <v>47056.680999999997</v>
      </c>
      <c r="L375" s="946">
        <v>10084</v>
      </c>
      <c r="M375" s="947"/>
      <c r="N375" s="946">
        <v>0</v>
      </c>
      <c r="P375" s="946">
        <v>8887</v>
      </c>
      <c r="R375" s="946">
        <v>8838</v>
      </c>
      <c r="S375" s="948">
        <v>428916</v>
      </c>
      <c r="T375" s="946">
        <v>428.916</v>
      </c>
      <c r="V375" s="946">
        <v>762</v>
      </c>
      <c r="W375" s="946">
        <v>559</v>
      </c>
      <c r="X375" s="946">
        <v>2243</v>
      </c>
      <c r="Y375" s="947"/>
      <c r="Z375" s="946">
        <v>27</v>
      </c>
      <c r="AA375" s="948">
        <v>216230</v>
      </c>
      <c r="AB375" s="946">
        <v>216.23</v>
      </c>
      <c r="AC375" s="974">
        <v>379.6</v>
      </c>
      <c r="AD375" s="946">
        <v>78451.600000000006</v>
      </c>
      <c r="AE375" s="957">
        <v>0</v>
      </c>
      <c r="AG375" s="957">
        <v>642</v>
      </c>
      <c r="AH375" s="955">
        <v>0</v>
      </c>
      <c r="AI375" s="425">
        <v>1</v>
      </c>
      <c r="AJ375" s="957">
        <v>0</v>
      </c>
      <c r="AL375" s="939">
        <v>1</v>
      </c>
      <c r="AM375" s="939">
        <v>1</v>
      </c>
      <c r="AN375" s="950">
        <v>11084.604580000001</v>
      </c>
      <c r="AO375" s="946">
        <v>0.19108097346303199</v>
      </c>
      <c r="AP375" s="946">
        <v>191</v>
      </c>
      <c r="AQ375" s="953"/>
      <c r="AR375" s="950"/>
      <c r="AS375" s="950">
        <v>501.88900000000001</v>
      </c>
    </row>
    <row r="376" spans="1:45" x14ac:dyDescent="0.3">
      <c r="A376" s="642" t="s">
        <v>1200</v>
      </c>
      <c r="B376" s="642" t="s">
        <v>1201</v>
      </c>
      <c r="C376" s="642" t="s">
        <v>1199</v>
      </c>
      <c r="D376" s="642" t="s">
        <v>61</v>
      </c>
      <c r="F376" s="946">
        <v>-138</v>
      </c>
      <c r="H376" s="946">
        <v>0</v>
      </c>
      <c r="I376" s="939">
        <v>0</v>
      </c>
      <c r="J376" s="974">
        <v>0</v>
      </c>
      <c r="L376" s="946">
        <v>0</v>
      </c>
      <c r="M376" s="947"/>
      <c r="N376" s="946">
        <v>497</v>
      </c>
      <c r="P376" s="946">
        <v>0</v>
      </c>
      <c r="R376" s="946">
        <v>0</v>
      </c>
      <c r="S376" s="948">
        <v>0</v>
      </c>
      <c r="T376" s="946">
        <v>0</v>
      </c>
      <c r="V376" s="946">
        <v>252</v>
      </c>
      <c r="W376" s="946">
        <v>0</v>
      </c>
      <c r="X376" s="946">
        <v>164</v>
      </c>
      <c r="Y376" s="947"/>
      <c r="Z376" s="946">
        <v>275</v>
      </c>
      <c r="AA376" s="948">
        <v>61067</v>
      </c>
      <c r="AB376" s="946">
        <v>61.067</v>
      </c>
      <c r="AC376" s="974">
        <v>1746.5229999999999</v>
      </c>
      <c r="AD376" s="946">
        <v>6114.23</v>
      </c>
      <c r="AE376" s="957">
        <v>0</v>
      </c>
      <c r="AG376" s="957">
        <v>0</v>
      </c>
      <c r="AH376" s="955">
        <v>0</v>
      </c>
      <c r="AI376" s="425">
        <v>1</v>
      </c>
      <c r="AJ376" s="957">
        <v>0</v>
      </c>
      <c r="AL376" s="939">
        <v>0</v>
      </c>
      <c r="AM376" s="939">
        <v>0</v>
      </c>
      <c r="AN376" s="950">
        <v>23.784179999999999</v>
      </c>
      <c r="AO376" s="946">
        <v>0.10890292287811899</v>
      </c>
      <c r="AP376" s="946">
        <v>109</v>
      </c>
      <c r="AQ376" s="953"/>
      <c r="AR376" s="950"/>
      <c r="AS376" s="950">
        <v>158.023</v>
      </c>
    </row>
    <row r="377" spans="1:45" x14ac:dyDescent="0.3">
      <c r="A377" s="642" t="s">
        <v>1203</v>
      </c>
      <c r="B377" s="642" t="s">
        <v>1204</v>
      </c>
      <c r="C377" s="642" t="s">
        <v>1202</v>
      </c>
      <c r="D377" s="642" t="s">
        <v>1940</v>
      </c>
      <c r="F377" s="946">
        <v>-35056</v>
      </c>
      <c r="H377" s="946">
        <v>0</v>
      </c>
      <c r="I377" s="939">
        <v>310261283</v>
      </c>
      <c r="J377" s="974">
        <v>310261.283</v>
      </c>
      <c r="L377" s="946">
        <v>37372</v>
      </c>
      <c r="M377" s="947"/>
      <c r="N377" s="946">
        <v>0</v>
      </c>
      <c r="P377" s="946">
        <v>16602</v>
      </c>
      <c r="R377" s="946">
        <v>16810</v>
      </c>
      <c r="S377" s="948">
        <v>383938</v>
      </c>
      <c r="T377" s="946">
        <v>383.93799999999999</v>
      </c>
      <c r="V377" s="946">
        <v>5944</v>
      </c>
      <c r="W377" s="946">
        <v>989</v>
      </c>
      <c r="X377" s="946">
        <v>7688</v>
      </c>
      <c r="Y377" s="947"/>
      <c r="Z377" s="946">
        <v>16263</v>
      </c>
      <c r="AA377" s="948">
        <v>723559</v>
      </c>
      <c r="AB377" s="946">
        <v>723.55899999999997</v>
      </c>
      <c r="AC377" s="974">
        <v>0</v>
      </c>
      <c r="AD377" s="946">
        <v>121673.61500000001</v>
      </c>
      <c r="AE377" s="957">
        <v>52974</v>
      </c>
      <c r="AG377" s="957">
        <v>30</v>
      </c>
      <c r="AH377" s="955">
        <v>0</v>
      </c>
      <c r="AI377" s="425">
        <v>1</v>
      </c>
      <c r="AJ377" s="957">
        <v>0</v>
      </c>
      <c r="AL377" s="939">
        <v>1</v>
      </c>
      <c r="AM377" s="939">
        <v>1</v>
      </c>
      <c r="AN377" s="950">
        <v>1331.0550799999999</v>
      </c>
      <c r="AO377" s="946">
        <v>1.5084289284324399</v>
      </c>
      <c r="AP377" s="946">
        <v>1508</v>
      </c>
      <c r="AQ377" s="953"/>
      <c r="AR377" s="950"/>
      <c r="AS377" s="950">
        <v>1778.962</v>
      </c>
    </row>
    <row r="378" spans="1:45" x14ac:dyDescent="0.3">
      <c r="A378" s="642" t="s">
        <v>1206</v>
      </c>
      <c r="B378" s="642" t="s">
        <v>1207</v>
      </c>
      <c r="C378" s="642" t="s">
        <v>1205</v>
      </c>
      <c r="D378" s="642" t="s">
        <v>97</v>
      </c>
      <c r="F378" s="946">
        <v>0</v>
      </c>
      <c r="H378" s="946">
        <v>0</v>
      </c>
      <c r="I378" s="939">
        <v>157135495</v>
      </c>
      <c r="J378" s="974">
        <v>157135.495</v>
      </c>
      <c r="L378" s="946">
        <v>0</v>
      </c>
      <c r="M378" s="947"/>
      <c r="N378" s="946">
        <v>0</v>
      </c>
      <c r="P378" s="946">
        <v>8989</v>
      </c>
      <c r="R378" s="946">
        <v>8224</v>
      </c>
      <c r="S378" s="948">
        <v>361327</v>
      </c>
      <c r="T378" s="946">
        <v>361.327</v>
      </c>
      <c r="V378" s="946">
        <v>673</v>
      </c>
      <c r="W378" s="946">
        <v>638</v>
      </c>
      <c r="X378" s="946">
        <v>2511</v>
      </c>
      <c r="Y378" s="947"/>
      <c r="Z378" s="946">
        <v>1292</v>
      </c>
      <c r="AA378" s="948">
        <v>237494</v>
      </c>
      <c r="AB378" s="946">
        <v>237.494</v>
      </c>
      <c r="AC378" s="974">
        <v>99.325000000000003</v>
      </c>
      <c r="AD378" s="946">
        <v>112854.35400000001</v>
      </c>
      <c r="AE378" s="957">
        <v>0</v>
      </c>
      <c r="AG378" s="957">
        <v>0</v>
      </c>
      <c r="AH378" s="955">
        <v>0</v>
      </c>
      <c r="AI378" s="425">
        <v>1</v>
      </c>
      <c r="AJ378" s="957">
        <v>0</v>
      </c>
      <c r="AL378" s="939">
        <v>1</v>
      </c>
      <c r="AM378" s="939">
        <v>1</v>
      </c>
      <c r="AN378" s="950">
        <v>6994.876009999999</v>
      </c>
      <c r="AO378" s="946">
        <v>0.28554932911108699</v>
      </c>
      <c r="AP378" s="946">
        <v>286</v>
      </c>
      <c r="AQ378" s="953"/>
      <c r="AR378" s="950"/>
      <c r="AS378" s="950">
        <v>551.01099999999997</v>
      </c>
    </row>
    <row r="379" spans="1:45" x14ac:dyDescent="0.3">
      <c r="A379" s="642" t="s">
        <v>1209</v>
      </c>
      <c r="B379" s="642" t="s">
        <v>1210</v>
      </c>
      <c r="C379" s="642" t="s">
        <v>1208</v>
      </c>
      <c r="D379" s="642" t="s">
        <v>61</v>
      </c>
      <c r="F379" s="946">
        <v>0</v>
      </c>
      <c r="H379" s="946">
        <v>0</v>
      </c>
      <c r="I379" s="939">
        <v>0</v>
      </c>
      <c r="J379" s="974">
        <v>0</v>
      </c>
      <c r="L379" s="946">
        <v>0</v>
      </c>
      <c r="M379" s="947"/>
      <c r="N379" s="946">
        <v>0</v>
      </c>
      <c r="P379" s="946">
        <v>0</v>
      </c>
      <c r="R379" s="946">
        <v>0</v>
      </c>
      <c r="S379" s="948">
        <v>0</v>
      </c>
      <c r="T379" s="946">
        <v>0</v>
      </c>
      <c r="V379" s="946">
        <v>432</v>
      </c>
      <c r="W379" s="946">
        <v>0</v>
      </c>
      <c r="X379" s="946">
        <v>164</v>
      </c>
      <c r="Y379" s="947"/>
      <c r="Z379" s="946">
        <v>1146</v>
      </c>
      <c r="AA379" s="948">
        <v>97994</v>
      </c>
      <c r="AB379" s="946">
        <v>97.994</v>
      </c>
      <c r="AC379" s="974">
        <v>2987.1579999999999</v>
      </c>
      <c r="AD379" s="946">
        <v>11992.578</v>
      </c>
      <c r="AE379" s="957">
        <v>0</v>
      </c>
      <c r="AG379" s="957">
        <v>3361</v>
      </c>
      <c r="AH379" s="955">
        <v>0</v>
      </c>
      <c r="AI379" s="425">
        <v>1</v>
      </c>
      <c r="AJ379" s="957">
        <v>0</v>
      </c>
      <c r="AL379" s="939">
        <v>0</v>
      </c>
      <c r="AM379" s="939">
        <v>0</v>
      </c>
      <c r="AN379" s="950">
        <v>0</v>
      </c>
      <c r="AO379" s="946">
        <v>0.108635102173985</v>
      </c>
      <c r="AP379" s="946">
        <v>109</v>
      </c>
      <c r="AQ379" s="953"/>
      <c r="AR379" s="950"/>
      <c r="AS379" s="950">
        <v>231.87100000000001</v>
      </c>
    </row>
    <row r="380" spans="1:45" x14ac:dyDescent="0.3">
      <c r="A380" s="642" t="s">
        <v>1212</v>
      </c>
      <c r="B380" s="642" t="s">
        <v>1213</v>
      </c>
      <c r="C380" s="642" t="s">
        <v>1211</v>
      </c>
      <c r="D380" s="642" t="s">
        <v>5408</v>
      </c>
      <c r="F380" s="946">
        <v>-9263</v>
      </c>
      <c r="H380" s="946">
        <v>0</v>
      </c>
      <c r="I380" s="939">
        <v>0</v>
      </c>
      <c r="J380" s="974">
        <v>0</v>
      </c>
      <c r="L380" s="946">
        <v>0</v>
      </c>
      <c r="M380" s="947"/>
      <c r="N380" s="946">
        <v>0</v>
      </c>
      <c r="P380" s="946">
        <v>0</v>
      </c>
      <c r="R380" s="946">
        <v>0</v>
      </c>
      <c r="S380" s="948">
        <v>0</v>
      </c>
      <c r="T380" s="946">
        <v>0</v>
      </c>
      <c r="V380" s="946">
        <v>0</v>
      </c>
      <c r="W380" s="946">
        <v>0</v>
      </c>
      <c r="X380" s="946">
        <v>1072</v>
      </c>
      <c r="Y380" s="947"/>
      <c r="Z380" s="946">
        <v>0</v>
      </c>
      <c r="AA380" s="948">
        <v>0</v>
      </c>
      <c r="AB380" s="946">
        <v>0</v>
      </c>
      <c r="AC380" s="974">
        <v>0</v>
      </c>
      <c r="AD380" s="946">
        <v>25614.425999999999</v>
      </c>
      <c r="AE380" s="957">
        <v>0</v>
      </c>
      <c r="AG380" s="957">
        <v>250</v>
      </c>
      <c r="AH380" s="955">
        <v>0</v>
      </c>
      <c r="AI380" s="425">
        <v>0</v>
      </c>
      <c r="AJ380" s="957">
        <v>0</v>
      </c>
      <c r="AL380" s="939">
        <v>0</v>
      </c>
      <c r="AM380" s="939">
        <v>0</v>
      </c>
      <c r="AN380" s="950">
        <v>0</v>
      </c>
      <c r="AO380" s="946">
        <v>0</v>
      </c>
      <c r="AP380" s="946">
        <v>0</v>
      </c>
      <c r="AQ380" s="953"/>
      <c r="AR380" s="950"/>
      <c r="AS380" s="950">
        <v>0</v>
      </c>
    </row>
    <row r="381" spans="1:45" x14ac:dyDescent="0.3">
      <c r="A381" s="642" t="s">
        <v>1215</v>
      </c>
      <c r="B381" s="642" t="s">
        <v>1216</v>
      </c>
      <c r="C381" s="642" t="s">
        <v>1214</v>
      </c>
      <c r="D381" s="642" t="s">
        <v>61</v>
      </c>
      <c r="F381" s="946">
        <v>0</v>
      </c>
      <c r="H381" s="946">
        <v>0</v>
      </c>
      <c r="I381" s="939">
        <v>0</v>
      </c>
      <c r="J381" s="974">
        <v>0</v>
      </c>
      <c r="L381" s="946">
        <v>0</v>
      </c>
      <c r="M381" s="947"/>
      <c r="N381" s="946">
        <v>293</v>
      </c>
      <c r="P381" s="946">
        <v>0</v>
      </c>
      <c r="R381" s="946">
        <v>0</v>
      </c>
      <c r="S381" s="948">
        <v>0</v>
      </c>
      <c r="T381" s="946">
        <v>0</v>
      </c>
      <c r="V381" s="946">
        <v>193</v>
      </c>
      <c r="W381" s="946">
        <v>0</v>
      </c>
      <c r="X381" s="946">
        <v>107</v>
      </c>
      <c r="Y381" s="947"/>
      <c r="Z381" s="946">
        <v>1343</v>
      </c>
      <c r="AA381" s="948">
        <v>60617</v>
      </c>
      <c r="AB381" s="946">
        <v>60.616999999999997</v>
      </c>
      <c r="AC381" s="974">
        <v>3998.069</v>
      </c>
      <c r="AD381" s="946">
        <v>10401.841</v>
      </c>
      <c r="AE381" s="957">
        <v>924</v>
      </c>
      <c r="AG381" s="957">
        <v>579</v>
      </c>
      <c r="AH381" s="955">
        <v>0</v>
      </c>
      <c r="AI381" s="425">
        <v>1</v>
      </c>
      <c r="AJ381" s="957">
        <v>0</v>
      </c>
      <c r="AL381" s="939">
        <v>0</v>
      </c>
      <c r="AM381" s="939">
        <v>0</v>
      </c>
      <c r="AN381" s="950">
        <v>4250.5952800000005</v>
      </c>
      <c r="AO381" s="946">
        <v>1.4134700472252499</v>
      </c>
      <c r="AP381" s="946">
        <v>1413</v>
      </c>
      <c r="AQ381" s="953"/>
      <c r="AR381" s="950"/>
      <c r="AS381" s="950">
        <v>129.857</v>
      </c>
    </row>
    <row r="382" spans="1:45" x14ac:dyDescent="0.3">
      <c r="A382" s="642" t="s">
        <v>1218</v>
      </c>
      <c r="B382" s="642" t="s">
        <v>1219</v>
      </c>
      <c r="C382" s="642" t="s">
        <v>1217</v>
      </c>
      <c r="D382" s="642" t="s">
        <v>61</v>
      </c>
      <c r="F382" s="946">
        <v>0</v>
      </c>
      <c r="H382" s="946">
        <v>0</v>
      </c>
      <c r="I382" s="939">
        <v>0</v>
      </c>
      <c r="J382" s="974">
        <v>0</v>
      </c>
      <c r="L382" s="946">
        <v>0</v>
      </c>
      <c r="M382" s="947"/>
      <c r="N382" s="946">
        <v>10</v>
      </c>
      <c r="P382" s="946">
        <v>0</v>
      </c>
      <c r="R382" s="946">
        <v>0</v>
      </c>
      <c r="S382" s="948">
        <v>0</v>
      </c>
      <c r="T382" s="946">
        <v>0</v>
      </c>
      <c r="V382" s="946">
        <v>262</v>
      </c>
      <c r="W382" s="946">
        <v>0</v>
      </c>
      <c r="X382" s="946">
        <v>163</v>
      </c>
      <c r="Y382" s="947"/>
      <c r="Z382" s="946">
        <v>3381</v>
      </c>
      <c r="AA382" s="948">
        <v>87277</v>
      </c>
      <c r="AB382" s="946">
        <v>87.277000000000001</v>
      </c>
      <c r="AC382" s="974">
        <v>4687.6120000000001</v>
      </c>
      <c r="AD382" s="946">
        <v>12808.781000000001</v>
      </c>
      <c r="AE382" s="957">
        <v>0</v>
      </c>
      <c r="AG382" s="957">
        <v>6749</v>
      </c>
      <c r="AH382" s="955">
        <v>0</v>
      </c>
      <c r="AI382" s="425">
        <v>1</v>
      </c>
      <c r="AJ382" s="957">
        <v>0</v>
      </c>
      <c r="AL382" s="939">
        <v>0</v>
      </c>
      <c r="AM382" s="939">
        <v>0</v>
      </c>
      <c r="AN382" s="950">
        <v>0</v>
      </c>
      <c r="AO382" s="946">
        <v>0.72145346740503402</v>
      </c>
      <c r="AP382" s="946">
        <v>721</v>
      </c>
      <c r="AQ382" s="953"/>
      <c r="AR382" s="950"/>
      <c r="AS382" s="950">
        <v>223.01499999999999</v>
      </c>
    </row>
    <row r="383" spans="1:45" x14ac:dyDescent="0.3">
      <c r="A383" s="642" t="s">
        <v>1221</v>
      </c>
      <c r="B383" s="642" t="s">
        <v>1222</v>
      </c>
      <c r="C383" s="642" t="s">
        <v>1220</v>
      </c>
      <c r="D383" s="642" t="s">
        <v>97</v>
      </c>
      <c r="F383" s="946">
        <v>-14831</v>
      </c>
      <c r="H383" s="946">
        <v>0</v>
      </c>
      <c r="I383" s="939">
        <v>138195877</v>
      </c>
      <c r="J383" s="974">
        <v>138195.87700000001</v>
      </c>
      <c r="L383" s="946">
        <v>25484</v>
      </c>
      <c r="M383" s="947"/>
      <c r="N383" s="946">
        <v>0</v>
      </c>
      <c r="P383" s="946">
        <v>17387</v>
      </c>
      <c r="R383" s="946">
        <v>17422</v>
      </c>
      <c r="S383" s="948">
        <v>841703</v>
      </c>
      <c r="T383" s="946">
        <v>841.70299999999997</v>
      </c>
      <c r="V383" s="946">
        <v>797</v>
      </c>
      <c r="W383" s="946">
        <v>1113</v>
      </c>
      <c r="X383" s="946">
        <v>4973</v>
      </c>
      <c r="Y383" s="947"/>
      <c r="Z383" s="946">
        <v>5104</v>
      </c>
      <c r="AA383" s="948">
        <v>493356</v>
      </c>
      <c r="AB383" s="946">
        <v>493.35599999999999</v>
      </c>
      <c r="AC383" s="974">
        <v>3383.4670000000001</v>
      </c>
      <c r="AD383" s="946">
        <v>166280.79699999999</v>
      </c>
      <c r="AE383" s="957">
        <v>0</v>
      </c>
      <c r="AG383" s="957">
        <v>0</v>
      </c>
      <c r="AH383" s="955">
        <v>-1000</v>
      </c>
      <c r="AI383" s="425">
        <v>1</v>
      </c>
      <c r="AJ383" s="957">
        <v>-1000</v>
      </c>
      <c r="AL383" s="939">
        <v>1</v>
      </c>
      <c r="AM383" s="939">
        <v>1</v>
      </c>
      <c r="AN383" s="950">
        <v>7303.5562300000001</v>
      </c>
      <c r="AO383" s="946">
        <v>0.461409054078118</v>
      </c>
      <c r="AP383" s="946">
        <v>461</v>
      </c>
      <c r="AQ383" s="953"/>
      <c r="AR383" s="950"/>
      <c r="AS383" s="950">
        <v>1088.3989999999999</v>
      </c>
    </row>
    <row r="384" spans="1:45" x14ac:dyDescent="0.3">
      <c r="A384" s="642" t="s">
        <v>1224</v>
      </c>
      <c r="B384" s="642" t="s">
        <v>1225</v>
      </c>
      <c r="C384" s="642" t="s">
        <v>1223</v>
      </c>
      <c r="D384" s="642" t="s">
        <v>97</v>
      </c>
      <c r="F384" s="946">
        <v>0</v>
      </c>
      <c r="H384" s="946">
        <v>0</v>
      </c>
      <c r="I384" s="939">
        <v>178079958</v>
      </c>
      <c r="J384" s="974">
        <v>178079.95800000001</v>
      </c>
      <c r="L384" s="946">
        <v>18707</v>
      </c>
      <c r="M384" s="947"/>
      <c r="N384" s="946">
        <v>0</v>
      </c>
      <c r="P384" s="946">
        <v>15211</v>
      </c>
      <c r="R384" s="946">
        <v>14181</v>
      </c>
      <c r="S384" s="948">
        <v>808399</v>
      </c>
      <c r="T384" s="946">
        <v>808.399</v>
      </c>
      <c r="V384" s="946">
        <v>853</v>
      </c>
      <c r="W384" s="946">
        <v>966</v>
      </c>
      <c r="X384" s="946">
        <v>5154</v>
      </c>
      <c r="Y384" s="947"/>
      <c r="Z384" s="946">
        <v>450</v>
      </c>
      <c r="AA384" s="948">
        <v>477909</v>
      </c>
      <c r="AB384" s="946">
        <v>477.90899999999999</v>
      </c>
      <c r="AC384" s="974">
        <v>0</v>
      </c>
      <c r="AD384" s="946">
        <v>138425.25</v>
      </c>
      <c r="AE384" s="957">
        <v>0</v>
      </c>
      <c r="AG384" s="957">
        <v>0</v>
      </c>
      <c r="AH384" s="955">
        <v>0</v>
      </c>
      <c r="AI384" s="425">
        <v>1</v>
      </c>
      <c r="AJ384" s="957">
        <v>0</v>
      </c>
      <c r="AL384" s="939">
        <v>1</v>
      </c>
      <c r="AM384" s="939">
        <v>1</v>
      </c>
      <c r="AN384" s="950">
        <v>6490.7837099999997</v>
      </c>
      <c r="AO384" s="946">
        <v>0.471526102583741</v>
      </c>
      <c r="AP384" s="946">
        <v>472</v>
      </c>
      <c r="AQ384" s="953"/>
      <c r="AR384" s="950"/>
      <c r="AS384" s="950">
        <v>971.53099999999995</v>
      </c>
    </row>
    <row r="385" spans="1:45" x14ac:dyDescent="0.3">
      <c r="A385" s="642" t="s">
        <v>1227</v>
      </c>
      <c r="B385" s="642" t="s">
        <v>1228</v>
      </c>
      <c r="C385" s="642" t="s">
        <v>1226</v>
      </c>
      <c r="D385" s="642" t="s">
        <v>1940</v>
      </c>
      <c r="F385" s="946">
        <v>-19491</v>
      </c>
      <c r="H385" s="946">
        <v>0</v>
      </c>
      <c r="I385" s="939">
        <v>176557426</v>
      </c>
      <c r="J385" s="974">
        <v>176557.42600000001</v>
      </c>
      <c r="L385" s="946">
        <v>17002</v>
      </c>
      <c r="M385" s="947"/>
      <c r="N385" s="946">
        <v>0</v>
      </c>
      <c r="P385" s="946">
        <v>10818</v>
      </c>
      <c r="R385" s="946">
        <v>9486</v>
      </c>
      <c r="S385" s="948">
        <v>1098814</v>
      </c>
      <c r="T385" s="946">
        <v>1098.8140000000001</v>
      </c>
      <c r="V385" s="946">
        <v>5540</v>
      </c>
      <c r="W385" s="946">
        <v>735</v>
      </c>
      <c r="X385" s="946">
        <v>4836</v>
      </c>
      <c r="Y385" s="947"/>
      <c r="Z385" s="946">
        <v>2250</v>
      </c>
      <c r="AA385" s="948">
        <v>297793</v>
      </c>
      <c r="AB385" s="946">
        <v>297.79300000000001</v>
      </c>
      <c r="AC385" s="974">
        <v>0</v>
      </c>
      <c r="AD385" s="946">
        <v>121409.4</v>
      </c>
      <c r="AE385" s="957">
        <v>5480</v>
      </c>
      <c r="AG385" s="957">
        <v>0</v>
      </c>
      <c r="AH385" s="955">
        <v>0</v>
      </c>
      <c r="AI385" s="425">
        <v>1</v>
      </c>
      <c r="AJ385" s="957">
        <v>0</v>
      </c>
      <c r="AL385" s="939">
        <v>1</v>
      </c>
      <c r="AM385" s="939">
        <v>1</v>
      </c>
      <c r="AN385" s="950">
        <v>11142.603379999997</v>
      </c>
      <c r="AO385" s="946">
        <v>0.67441079827024997</v>
      </c>
      <c r="AP385" s="946">
        <v>674</v>
      </c>
      <c r="AQ385" s="953"/>
      <c r="AR385" s="950"/>
      <c r="AS385" s="950">
        <v>943.76199999999994</v>
      </c>
    </row>
    <row r="386" spans="1:45" x14ac:dyDescent="0.3">
      <c r="A386" s="642" t="s">
        <v>1230</v>
      </c>
      <c r="B386" s="642" t="s">
        <v>1231</v>
      </c>
      <c r="C386" s="642" t="s">
        <v>1229</v>
      </c>
      <c r="D386" s="642" t="s">
        <v>1940</v>
      </c>
      <c r="F386" s="946">
        <v>-24307</v>
      </c>
      <c r="H386" s="946">
        <v>0</v>
      </c>
      <c r="I386" s="939">
        <v>169445461</v>
      </c>
      <c r="J386" s="974">
        <v>169445.46100000001</v>
      </c>
      <c r="L386" s="946">
        <v>29412</v>
      </c>
      <c r="M386" s="947"/>
      <c r="N386" s="946">
        <v>0</v>
      </c>
      <c r="P386" s="946">
        <v>16634</v>
      </c>
      <c r="R386" s="946">
        <v>16985</v>
      </c>
      <c r="S386" s="948">
        <v>253947</v>
      </c>
      <c r="T386" s="946">
        <v>253.947</v>
      </c>
      <c r="V386" s="946">
        <v>4533</v>
      </c>
      <c r="W386" s="946">
        <v>876</v>
      </c>
      <c r="X386" s="946">
        <v>5095</v>
      </c>
      <c r="Y386" s="947"/>
      <c r="Z386" s="946">
        <v>4764</v>
      </c>
      <c r="AA386" s="948">
        <v>305621</v>
      </c>
      <c r="AB386" s="946">
        <v>305.62099999999998</v>
      </c>
      <c r="AC386" s="974">
        <v>0</v>
      </c>
      <c r="AD386" s="946">
        <v>65834.065000000002</v>
      </c>
      <c r="AE386" s="957">
        <v>147797</v>
      </c>
      <c r="AG386" s="957">
        <v>0</v>
      </c>
      <c r="AH386" s="955">
        <v>0</v>
      </c>
      <c r="AI386" s="425">
        <v>1</v>
      </c>
      <c r="AJ386" s="957">
        <v>0</v>
      </c>
      <c r="AL386" s="939">
        <v>1</v>
      </c>
      <c r="AM386" s="939">
        <v>1</v>
      </c>
      <c r="AN386" s="950">
        <v>799.45222000000001</v>
      </c>
      <c r="AO386" s="946">
        <v>1.1882740998919701</v>
      </c>
      <c r="AP386" s="946">
        <v>1188</v>
      </c>
      <c r="AQ386" s="953"/>
      <c r="AR386" s="950"/>
      <c r="AS386" s="950">
        <v>1230.066</v>
      </c>
    </row>
    <row r="387" spans="1:45" x14ac:dyDescent="0.3">
      <c r="A387" s="642" t="s">
        <v>1233</v>
      </c>
      <c r="B387" s="642" t="s">
        <v>1234</v>
      </c>
      <c r="C387" s="642" t="s">
        <v>1232</v>
      </c>
      <c r="D387" s="642" t="s">
        <v>125</v>
      </c>
      <c r="F387" s="946">
        <v>-1419</v>
      </c>
      <c r="H387" s="946">
        <v>0</v>
      </c>
      <c r="I387" s="939">
        <v>111475941</v>
      </c>
      <c r="J387" s="974">
        <v>111475.94100000001</v>
      </c>
      <c r="L387" s="946">
        <v>12902</v>
      </c>
      <c r="M387" s="947"/>
      <c r="N387" s="946">
        <v>0</v>
      </c>
      <c r="P387" s="946">
        <v>7166</v>
      </c>
      <c r="R387" s="946">
        <v>6211</v>
      </c>
      <c r="S387" s="948">
        <v>526953</v>
      </c>
      <c r="T387" s="946">
        <v>526.95299999999997</v>
      </c>
      <c r="V387" s="946">
        <v>569</v>
      </c>
      <c r="W387" s="946">
        <v>556</v>
      </c>
      <c r="X387" s="946">
        <v>2160</v>
      </c>
      <c r="Y387" s="947"/>
      <c r="Z387" s="946">
        <v>702</v>
      </c>
      <c r="AA387" s="948">
        <v>222278</v>
      </c>
      <c r="AB387" s="946">
        <v>222.27799999999999</v>
      </c>
      <c r="AC387" s="974">
        <v>2559.9589999999998</v>
      </c>
      <c r="AD387" s="946">
        <v>114821.474</v>
      </c>
      <c r="AE387" s="957">
        <v>0</v>
      </c>
      <c r="AG387" s="957">
        <v>0</v>
      </c>
      <c r="AH387" s="955">
        <v>0</v>
      </c>
      <c r="AI387" s="425">
        <v>1</v>
      </c>
      <c r="AJ387" s="957">
        <v>0</v>
      </c>
      <c r="AL387" s="939">
        <v>1</v>
      </c>
      <c r="AM387" s="939">
        <v>1</v>
      </c>
      <c r="AN387" s="950">
        <v>29841.092549999998</v>
      </c>
      <c r="AO387" s="946">
        <v>0.24841692465086601</v>
      </c>
      <c r="AP387" s="946">
        <v>248</v>
      </c>
      <c r="AQ387" s="953"/>
      <c r="AR387" s="950"/>
      <c r="AS387" s="950">
        <v>510.95800000000003</v>
      </c>
    </row>
    <row r="388" spans="1:45" x14ac:dyDescent="0.3">
      <c r="A388" s="642" t="s">
        <v>1236</v>
      </c>
      <c r="B388" s="642" t="s">
        <v>1237</v>
      </c>
      <c r="C388" s="642" t="s">
        <v>1235</v>
      </c>
      <c r="D388" s="642" t="s">
        <v>61</v>
      </c>
      <c r="F388" s="946">
        <v>-1</v>
      </c>
      <c r="H388" s="946">
        <v>0</v>
      </c>
      <c r="I388" s="939">
        <v>0</v>
      </c>
      <c r="J388" s="974">
        <v>0</v>
      </c>
      <c r="L388" s="946">
        <v>0</v>
      </c>
      <c r="M388" s="947"/>
      <c r="N388" s="946">
        <v>0</v>
      </c>
      <c r="P388" s="946">
        <v>0</v>
      </c>
      <c r="R388" s="946">
        <v>0</v>
      </c>
      <c r="S388" s="948">
        <v>0</v>
      </c>
      <c r="T388" s="946">
        <v>0</v>
      </c>
      <c r="V388" s="946">
        <v>370</v>
      </c>
      <c r="W388" s="946">
        <v>0</v>
      </c>
      <c r="X388" s="946">
        <v>238</v>
      </c>
      <c r="Y388" s="947"/>
      <c r="Z388" s="946">
        <v>2681</v>
      </c>
      <c r="AA388" s="948">
        <v>135875</v>
      </c>
      <c r="AB388" s="946">
        <v>135.875</v>
      </c>
      <c r="AC388" s="974">
        <v>2001.905</v>
      </c>
      <c r="AD388" s="946">
        <v>11976.731</v>
      </c>
      <c r="AE388" s="957">
        <v>30858</v>
      </c>
      <c r="AG388" s="957" t="s">
        <v>5442</v>
      </c>
      <c r="AH388" s="955">
        <v>0</v>
      </c>
      <c r="AI388" s="425">
        <v>1</v>
      </c>
      <c r="AJ388" s="957" t="s">
        <v>5442</v>
      </c>
      <c r="AL388" s="939">
        <v>0</v>
      </c>
      <c r="AM388" s="939">
        <v>0</v>
      </c>
      <c r="AN388" s="950">
        <v>5702.4354199999998</v>
      </c>
      <c r="AO388" s="946">
        <v>0.157684579285018</v>
      </c>
      <c r="AP388" s="946">
        <v>158</v>
      </c>
      <c r="AQ388" s="953"/>
      <c r="AR388" s="950"/>
      <c r="AS388" s="950">
        <v>255.69300000000001</v>
      </c>
    </row>
    <row r="389" spans="1:45" x14ac:dyDescent="0.3">
      <c r="A389" s="642" t="s">
        <v>1239</v>
      </c>
      <c r="B389" s="642" t="s">
        <v>1240</v>
      </c>
      <c r="C389" s="642" t="s">
        <v>1238</v>
      </c>
      <c r="D389" s="642" t="s">
        <v>1942</v>
      </c>
      <c r="F389" s="946">
        <v>-10</v>
      </c>
      <c r="H389" s="946">
        <v>0</v>
      </c>
      <c r="I389" s="939">
        <v>246692168</v>
      </c>
      <c r="J389" s="974">
        <v>246692.16800000001</v>
      </c>
      <c r="L389" s="946">
        <v>24274</v>
      </c>
      <c r="M389" s="947"/>
      <c r="N389" s="946">
        <v>0</v>
      </c>
      <c r="P389" s="946">
        <v>17470</v>
      </c>
      <c r="R389" s="946">
        <v>15133</v>
      </c>
      <c r="S389" s="948">
        <v>1751747</v>
      </c>
      <c r="T389" s="946">
        <v>1751.7470000000001</v>
      </c>
      <c r="V389" s="946">
        <v>0</v>
      </c>
      <c r="W389" s="946">
        <v>1508</v>
      </c>
      <c r="X389" s="946">
        <v>4419</v>
      </c>
      <c r="Y389" s="947"/>
      <c r="Z389" s="946">
        <v>2446</v>
      </c>
      <c r="AA389" s="948">
        <v>0</v>
      </c>
      <c r="AB389" s="946">
        <v>0</v>
      </c>
      <c r="AC389" s="974">
        <v>0</v>
      </c>
      <c r="AD389" s="946">
        <v>343146.89619999996</v>
      </c>
      <c r="AE389" s="957">
        <v>0</v>
      </c>
      <c r="AG389" s="957">
        <v>111</v>
      </c>
      <c r="AH389" s="955">
        <v>0</v>
      </c>
      <c r="AI389" s="425">
        <v>0</v>
      </c>
      <c r="AJ389" s="957">
        <v>0</v>
      </c>
      <c r="AL389" s="939">
        <v>1</v>
      </c>
      <c r="AM389" s="939">
        <v>1</v>
      </c>
      <c r="AN389" s="950">
        <v>16003.306259999999</v>
      </c>
      <c r="AO389" s="946">
        <v>0</v>
      </c>
      <c r="AP389" s="946">
        <v>0</v>
      </c>
      <c r="AQ389" s="953"/>
      <c r="AR389" s="950"/>
      <c r="AS389" s="950">
        <v>0</v>
      </c>
    </row>
    <row r="390" spans="1:45" x14ac:dyDescent="0.3">
      <c r="A390" s="642" t="s">
        <v>1242</v>
      </c>
      <c r="B390" s="642" t="s">
        <v>1243</v>
      </c>
      <c r="C390" s="642" t="s">
        <v>1241</v>
      </c>
      <c r="D390" s="642" t="s">
        <v>71</v>
      </c>
      <c r="F390" s="946">
        <v>0</v>
      </c>
      <c r="H390" s="946">
        <v>-64255</v>
      </c>
      <c r="I390" s="939">
        <v>0</v>
      </c>
      <c r="J390" s="974">
        <v>0</v>
      </c>
      <c r="L390" s="946">
        <v>0</v>
      </c>
      <c r="M390" s="947"/>
      <c r="N390" s="946">
        <v>0</v>
      </c>
      <c r="P390" s="946">
        <v>0</v>
      </c>
      <c r="R390" s="946">
        <v>0</v>
      </c>
      <c r="S390" s="948">
        <v>0</v>
      </c>
      <c r="T390" s="946">
        <v>0</v>
      </c>
      <c r="V390" s="946">
        <v>0</v>
      </c>
      <c r="W390" s="946">
        <v>0</v>
      </c>
      <c r="X390" s="946">
        <v>0</v>
      </c>
      <c r="Y390" s="947"/>
      <c r="Z390" s="946">
        <v>0</v>
      </c>
      <c r="AA390" s="948">
        <v>0</v>
      </c>
      <c r="AB390" s="946">
        <v>0</v>
      </c>
      <c r="AC390" s="974">
        <v>0</v>
      </c>
      <c r="AD390" s="946">
        <v>56663.738939999996</v>
      </c>
      <c r="AE390" s="957">
        <v>0</v>
      </c>
      <c r="AG390" s="957">
        <v>0</v>
      </c>
      <c r="AH390" s="955">
        <v>0</v>
      </c>
      <c r="AI390" s="425">
        <v>0</v>
      </c>
      <c r="AJ390" s="957">
        <v>0</v>
      </c>
      <c r="AL390" s="939">
        <v>0</v>
      </c>
      <c r="AM390" s="939">
        <v>0</v>
      </c>
      <c r="AN390" s="950">
        <v>663.21983999999998</v>
      </c>
      <c r="AO390" s="946">
        <v>0</v>
      </c>
      <c r="AP390" s="946">
        <v>0</v>
      </c>
      <c r="AQ390" s="953"/>
      <c r="AR390" s="950"/>
      <c r="AS390" s="950">
        <v>0</v>
      </c>
    </row>
    <row r="391" spans="1:45" x14ac:dyDescent="0.3">
      <c r="A391" s="642" t="s">
        <v>1245</v>
      </c>
      <c r="B391" s="642" t="s">
        <v>1246</v>
      </c>
      <c r="C391" s="642" t="s">
        <v>1244</v>
      </c>
      <c r="D391" s="642" t="s">
        <v>61</v>
      </c>
      <c r="F391" s="946">
        <v>0</v>
      </c>
      <c r="H391" s="946">
        <v>0</v>
      </c>
      <c r="I391" s="939">
        <v>0</v>
      </c>
      <c r="J391" s="974">
        <v>0</v>
      </c>
      <c r="L391" s="946">
        <v>0</v>
      </c>
      <c r="M391" s="947"/>
      <c r="N391" s="946">
        <v>0</v>
      </c>
      <c r="P391" s="946">
        <v>0</v>
      </c>
      <c r="R391" s="946">
        <v>0</v>
      </c>
      <c r="S391" s="948">
        <v>0</v>
      </c>
      <c r="T391" s="946">
        <v>0</v>
      </c>
      <c r="V391" s="946">
        <v>637</v>
      </c>
      <c r="W391" s="946">
        <v>0</v>
      </c>
      <c r="X391" s="946">
        <v>196</v>
      </c>
      <c r="Y391" s="947"/>
      <c r="Z391" s="946">
        <v>718</v>
      </c>
      <c r="AA391" s="948">
        <v>99973</v>
      </c>
      <c r="AB391" s="946">
        <v>99.972999999999999</v>
      </c>
      <c r="AC391" s="974">
        <v>0</v>
      </c>
      <c r="AD391" s="946">
        <v>9571.2420000000002</v>
      </c>
      <c r="AE391" s="957">
        <v>0</v>
      </c>
      <c r="AG391" s="957">
        <v>0</v>
      </c>
      <c r="AH391" s="955">
        <v>0</v>
      </c>
      <c r="AI391" s="425">
        <v>1</v>
      </c>
      <c r="AJ391" s="957">
        <v>0</v>
      </c>
      <c r="AL391" s="939">
        <v>0</v>
      </c>
      <c r="AM391" s="939">
        <v>0</v>
      </c>
      <c r="AN391" s="950">
        <v>1.7196099999999999</v>
      </c>
      <c r="AO391" s="946">
        <v>0.129881955777472</v>
      </c>
      <c r="AP391" s="946">
        <v>130</v>
      </c>
      <c r="AQ391" s="953"/>
      <c r="AR391" s="950"/>
      <c r="AS391" s="950">
        <v>262.726</v>
      </c>
    </row>
    <row r="392" spans="1:45" x14ac:dyDescent="0.3">
      <c r="A392" s="642" t="s">
        <v>1248</v>
      </c>
      <c r="B392" s="642" t="s">
        <v>1249</v>
      </c>
      <c r="C392" s="642" t="s">
        <v>1247</v>
      </c>
      <c r="D392" s="642" t="s">
        <v>61</v>
      </c>
      <c r="F392" s="946">
        <v>0</v>
      </c>
      <c r="H392" s="946">
        <v>0</v>
      </c>
      <c r="I392" s="939">
        <v>0</v>
      </c>
      <c r="J392" s="974">
        <v>0</v>
      </c>
      <c r="L392" s="946">
        <v>0</v>
      </c>
      <c r="M392" s="947"/>
      <c r="N392" s="946">
        <v>0</v>
      </c>
      <c r="P392" s="946">
        <v>0</v>
      </c>
      <c r="R392" s="946">
        <v>0</v>
      </c>
      <c r="S392" s="948">
        <v>0</v>
      </c>
      <c r="T392" s="946">
        <v>0</v>
      </c>
      <c r="V392" s="946">
        <v>611</v>
      </c>
      <c r="W392" s="946">
        <v>0</v>
      </c>
      <c r="X392" s="946">
        <v>138</v>
      </c>
      <c r="Y392" s="947"/>
      <c r="Z392" s="946">
        <v>1613</v>
      </c>
      <c r="AA392" s="948">
        <v>85312</v>
      </c>
      <c r="AB392" s="946">
        <v>85.311999999999998</v>
      </c>
      <c r="AC392" s="974">
        <v>3976.3910000000001</v>
      </c>
      <c r="AD392" s="946">
        <v>15036.031000000001</v>
      </c>
      <c r="AE392" s="957">
        <v>50147</v>
      </c>
      <c r="AG392" s="957">
        <v>980</v>
      </c>
      <c r="AH392" s="955">
        <v>0</v>
      </c>
      <c r="AI392" s="425">
        <v>1</v>
      </c>
      <c r="AJ392" s="957">
        <v>0</v>
      </c>
      <c r="AL392" s="939">
        <v>0</v>
      </c>
      <c r="AM392" s="939">
        <v>0</v>
      </c>
      <c r="AN392" s="950">
        <v>5157.2541199999996</v>
      </c>
      <c r="AO392" s="946">
        <v>9.1615338447705794E-2</v>
      </c>
      <c r="AP392" s="946">
        <v>92</v>
      </c>
      <c r="AQ392" s="953"/>
      <c r="AR392" s="950"/>
      <c r="AS392" s="950">
        <v>205.733</v>
      </c>
    </row>
    <row r="393" spans="1:45" x14ac:dyDescent="0.3">
      <c r="A393" s="642" t="s">
        <v>1251</v>
      </c>
      <c r="B393" s="642" t="s">
        <v>1252</v>
      </c>
      <c r="C393" s="642" t="s">
        <v>1250</v>
      </c>
      <c r="D393" s="642" t="s">
        <v>61</v>
      </c>
      <c r="F393" s="946">
        <v>0</v>
      </c>
      <c r="H393" s="946">
        <v>0</v>
      </c>
      <c r="I393" s="939">
        <v>0</v>
      </c>
      <c r="J393" s="974">
        <v>0</v>
      </c>
      <c r="L393" s="946">
        <v>0</v>
      </c>
      <c r="M393" s="947"/>
      <c r="N393" s="946">
        <v>217</v>
      </c>
      <c r="P393" s="946">
        <v>0</v>
      </c>
      <c r="R393" s="946">
        <v>0</v>
      </c>
      <c r="S393" s="948">
        <v>0</v>
      </c>
      <c r="T393" s="946">
        <v>0</v>
      </c>
      <c r="V393" s="946">
        <v>555</v>
      </c>
      <c r="W393" s="946">
        <v>0</v>
      </c>
      <c r="X393" s="946">
        <v>204</v>
      </c>
      <c r="Y393" s="947"/>
      <c r="Z393" s="946">
        <v>2245</v>
      </c>
      <c r="AA393" s="948">
        <v>112775</v>
      </c>
      <c r="AB393" s="946">
        <v>112.77500000000001</v>
      </c>
      <c r="AC393" s="974">
        <v>7526.93</v>
      </c>
      <c r="AD393" s="946">
        <v>21128.448</v>
      </c>
      <c r="AE393" s="957">
        <v>8817</v>
      </c>
      <c r="AG393" s="957">
        <v>3663</v>
      </c>
      <c r="AH393" s="955" t="s">
        <v>5442</v>
      </c>
      <c r="AI393" s="425">
        <v>1</v>
      </c>
      <c r="AJ393" s="957">
        <v>0</v>
      </c>
      <c r="AL393" s="939">
        <v>0</v>
      </c>
      <c r="AM393" s="939">
        <v>0</v>
      </c>
      <c r="AN393" s="950">
        <v>1509.5466000000001</v>
      </c>
      <c r="AO393" s="946">
        <v>0.13508571492039101</v>
      </c>
      <c r="AP393" s="946">
        <v>135</v>
      </c>
      <c r="AQ393" s="953"/>
      <c r="AR393" s="950"/>
      <c r="AS393" s="950">
        <v>243.77500000000001</v>
      </c>
    </row>
    <row r="394" spans="1:45" x14ac:dyDescent="0.3">
      <c r="A394" s="642" t="s">
        <v>1254</v>
      </c>
      <c r="B394" s="642" t="s">
        <v>1255</v>
      </c>
      <c r="C394" s="642" t="s">
        <v>1253</v>
      </c>
      <c r="D394" s="642" t="s">
        <v>61</v>
      </c>
      <c r="F394" s="946">
        <v>0</v>
      </c>
      <c r="H394" s="946">
        <v>0</v>
      </c>
      <c r="I394" s="939">
        <v>0</v>
      </c>
      <c r="J394" s="974">
        <v>0</v>
      </c>
      <c r="L394" s="946">
        <v>0</v>
      </c>
      <c r="M394" s="947"/>
      <c r="N394" s="946">
        <v>0</v>
      </c>
      <c r="P394" s="946">
        <v>0</v>
      </c>
      <c r="R394" s="946">
        <v>0</v>
      </c>
      <c r="S394" s="948">
        <v>0</v>
      </c>
      <c r="T394" s="946">
        <v>0</v>
      </c>
      <c r="V394" s="946">
        <v>505</v>
      </c>
      <c r="W394" s="946">
        <v>0</v>
      </c>
      <c r="X394" s="946">
        <v>201</v>
      </c>
      <c r="Y394" s="947"/>
      <c r="Z394" s="946">
        <v>712</v>
      </c>
      <c r="AA394" s="948">
        <v>124400</v>
      </c>
      <c r="AB394" s="946">
        <v>124.4</v>
      </c>
      <c r="AC394" s="974">
        <v>1893.5419999999999</v>
      </c>
      <c r="AD394" s="946">
        <v>11641.352000000001</v>
      </c>
      <c r="AE394" s="957">
        <v>2653</v>
      </c>
      <c r="AG394" s="957">
        <v>0</v>
      </c>
      <c r="AH394" s="955">
        <v>0</v>
      </c>
      <c r="AI394" s="425">
        <v>1</v>
      </c>
      <c r="AJ394" s="957">
        <v>0</v>
      </c>
      <c r="AL394" s="939">
        <v>0</v>
      </c>
      <c r="AM394" s="939">
        <v>0</v>
      </c>
      <c r="AN394" s="950">
        <v>6023.9353499999988</v>
      </c>
      <c r="AO394" s="946">
        <v>0.13316623074546</v>
      </c>
      <c r="AP394" s="946">
        <v>133</v>
      </c>
      <c r="AQ394" s="953"/>
      <c r="AR394" s="950"/>
      <c r="AS394" s="950">
        <v>316.89400000000001</v>
      </c>
    </row>
    <row r="395" spans="1:45" x14ac:dyDescent="0.3">
      <c r="A395" s="642" t="s">
        <v>1257</v>
      </c>
      <c r="B395" s="642" t="s">
        <v>1258</v>
      </c>
      <c r="C395" s="642" t="s">
        <v>1256</v>
      </c>
      <c r="D395" s="642" t="s">
        <v>125</v>
      </c>
      <c r="F395" s="946">
        <v>-3</v>
      </c>
      <c r="H395" s="946">
        <v>0</v>
      </c>
      <c r="I395" s="939">
        <v>109012348</v>
      </c>
      <c r="J395" s="974">
        <v>109012.348</v>
      </c>
      <c r="L395" s="946">
        <v>6143</v>
      </c>
      <c r="M395" s="947"/>
      <c r="N395" s="946">
        <v>0</v>
      </c>
      <c r="P395" s="946">
        <v>3916</v>
      </c>
      <c r="R395" s="946">
        <v>806</v>
      </c>
      <c r="S395" s="948">
        <v>403609</v>
      </c>
      <c r="T395" s="946">
        <v>403.60899999999998</v>
      </c>
      <c r="V395" s="946">
        <v>273</v>
      </c>
      <c r="W395" s="946">
        <v>338</v>
      </c>
      <c r="X395" s="946">
        <v>1248</v>
      </c>
      <c r="Y395" s="947"/>
      <c r="Z395" s="946">
        <v>1205</v>
      </c>
      <c r="AA395" s="948">
        <v>97987</v>
      </c>
      <c r="AB395" s="946">
        <v>97.986999999999995</v>
      </c>
      <c r="AC395" s="974">
        <v>4700.2250000000004</v>
      </c>
      <c r="AD395" s="946">
        <v>114792.31</v>
      </c>
      <c r="AE395" s="957">
        <v>0</v>
      </c>
      <c r="AG395" s="957">
        <v>0</v>
      </c>
      <c r="AH395" s="955">
        <v>0</v>
      </c>
      <c r="AI395" s="425">
        <v>1</v>
      </c>
      <c r="AJ395" s="957">
        <v>0</v>
      </c>
      <c r="AL395" s="939">
        <v>1</v>
      </c>
      <c r="AM395" s="939">
        <v>1</v>
      </c>
      <c r="AN395" s="950">
        <v>6366.1608600000009</v>
      </c>
      <c r="AO395" s="946">
        <v>0.20926456462846901</v>
      </c>
      <c r="AP395" s="946">
        <v>209</v>
      </c>
      <c r="AQ395" s="953"/>
      <c r="AR395" s="950"/>
      <c r="AS395" s="950">
        <v>302.18400000000003</v>
      </c>
    </row>
    <row r="396" spans="1:45" x14ac:dyDescent="0.3">
      <c r="A396" s="642" t="s">
        <v>1260</v>
      </c>
      <c r="B396" s="642" t="s">
        <v>1261</v>
      </c>
      <c r="C396" s="642" t="s">
        <v>1259</v>
      </c>
      <c r="D396" s="642" t="s">
        <v>61</v>
      </c>
      <c r="F396" s="946">
        <v>0</v>
      </c>
      <c r="H396" s="946">
        <v>0</v>
      </c>
      <c r="I396" s="939">
        <v>0</v>
      </c>
      <c r="J396" s="974">
        <v>0</v>
      </c>
      <c r="L396" s="946">
        <v>0</v>
      </c>
      <c r="M396" s="947"/>
      <c r="N396" s="946">
        <v>487</v>
      </c>
      <c r="P396" s="946">
        <v>0</v>
      </c>
      <c r="R396" s="946">
        <v>0</v>
      </c>
      <c r="S396" s="948">
        <v>0</v>
      </c>
      <c r="T396" s="946">
        <v>0</v>
      </c>
      <c r="V396" s="946">
        <v>178</v>
      </c>
      <c r="W396" s="946">
        <v>0</v>
      </c>
      <c r="X396" s="946">
        <v>114</v>
      </c>
      <c r="Y396" s="947"/>
      <c r="Z396" s="946">
        <v>352</v>
      </c>
      <c r="AA396" s="948">
        <v>54232</v>
      </c>
      <c r="AB396" s="946">
        <v>54.231999999999999</v>
      </c>
      <c r="AC396" s="974">
        <v>1845.38</v>
      </c>
      <c r="AD396" s="946">
        <v>6947.6</v>
      </c>
      <c r="AE396" s="957">
        <v>0</v>
      </c>
      <c r="AG396" s="957">
        <v>0</v>
      </c>
      <c r="AH396" s="955">
        <v>0</v>
      </c>
      <c r="AI396" s="425">
        <v>1</v>
      </c>
      <c r="AJ396" s="957">
        <v>0</v>
      </c>
      <c r="AL396" s="939">
        <v>0</v>
      </c>
      <c r="AM396" s="939">
        <v>0</v>
      </c>
      <c r="AN396" s="950">
        <v>735.01416999999992</v>
      </c>
      <c r="AO396" s="946">
        <v>7.5389348392253794E-2</v>
      </c>
      <c r="AP396" s="946">
        <v>75</v>
      </c>
      <c r="AQ396" s="953"/>
      <c r="AR396" s="950"/>
      <c r="AS396" s="950">
        <v>110.797</v>
      </c>
    </row>
    <row r="397" spans="1:45" x14ac:dyDescent="0.3">
      <c r="A397" s="642" t="s">
        <v>1263</v>
      </c>
      <c r="B397" s="642" t="s">
        <v>1264</v>
      </c>
      <c r="C397" s="642" t="s">
        <v>1262</v>
      </c>
      <c r="D397" s="642" t="s">
        <v>61</v>
      </c>
      <c r="F397" s="946">
        <v>-1</v>
      </c>
      <c r="H397" s="946">
        <v>0</v>
      </c>
      <c r="I397" s="939">
        <v>0</v>
      </c>
      <c r="J397" s="974">
        <v>0</v>
      </c>
      <c r="L397" s="946">
        <v>0</v>
      </c>
      <c r="M397" s="947"/>
      <c r="N397" s="946">
        <v>0</v>
      </c>
      <c r="P397" s="946">
        <v>0</v>
      </c>
      <c r="R397" s="946">
        <v>0</v>
      </c>
      <c r="S397" s="948">
        <v>0</v>
      </c>
      <c r="T397" s="946">
        <v>0</v>
      </c>
      <c r="V397" s="946">
        <v>142</v>
      </c>
      <c r="W397" s="946">
        <v>0</v>
      </c>
      <c r="X397" s="946">
        <v>229</v>
      </c>
      <c r="Y397" s="947"/>
      <c r="Z397" s="946">
        <v>703</v>
      </c>
      <c r="AA397" s="948">
        <v>153177</v>
      </c>
      <c r="AB397" s="946">
        <v>153.17699999999999</v>
      </c>
      <c r="AC397" s="974">
        <v>678.798</v>
      </c>
      <c r="AD397" s="946">
        <v>8905.4860000000008</v>
      </c>
      <c r="AE397" s="957">
        <v>6669</v>
      </c>
      <c r="AG397" s="957">
        <v>2033</v>
      </c>
      <c r="AH397" s="955">
        <v>-486</v>
      </c>
      <c r="AI397" s="425">
        <v>1</v>
      </c>
      <c r="AJ397" s="957">
        <v>-486</v>
      </c>
      <c r="AL397" s="939">
        <v>0</v>
      </c>
      <c r="AM397" s="939">
        <v>0</v>
      </c>
      <c r="AN397" s="950">
        <v>3056.98686</v>
      </c>
      <c r="AO397" s="946">
        <v>0.151639767634794</v>
      </c>
      <c r="AP397" s="946">
        <v>152</v>
      </c>
      <c r="AQ397" s="953"/>
      <c r="AR397" s="950"/>
      <c r="AS397" s="950">
        <v>270.83</v>
      </c>
    </row>
    <row r="398" spans="1:45" x14ac:dyDescent="0.3">
      <c r="A398" s="642" t="s">
        <v>1266</v>
      </c>
      <c r="B398" s="642" t="s">
        <v>1267</v>
      </c>
      <c r="C398" s="642" t="s">
        <v>1265</v>
      </c>
      <c r="D398" s="642" t="s">
        <v>61</v>
      </c>
      <c r="F398" s="946">
        <v>0</v>
      </c>
      <c r="H398" s="946">
        <v>0</v>
      </c>
      <c r="I398" s="939">
        <v>0</v>
      </c>
      <c r="J398" s="974">
        <v>0</v>
      </c>
      <c r="L398" s="946">
        <v>0</v>
      </c>
      <c r="M398" s="947"/>
      <c r="N398" s="946">
        <v>498</v>
      </c>
      <c r="P398" s="946">
        <v>0</v>
      </c>
      <c r="R398" s="946">
        <v>0</v>
      </c>
      <c r="S398" s="948">
        <v>0</v>
      </c>
      <c r="T398" s="946">
        <v>0</v>
      </c>
      <c r="V398" s="946">
        <v>186</v>
      </c>
      <c r="W398" s="946">
        <v>0</v>
      </c>
      <c r="X398" s="946">
        <v>208</v>
      </c>
      <c r="Y398" s="947"/>
      <c r="Z398" s="946">
        <v>924</v>
      </c>
      <c r="AA398" s="948">
        <v>99005</v>
      </c>
      <c r="AB398" s="946">
        <v>99.004999999999995</v>
      </c>
      <c r="AC398" s="974">
        <v>2333.8180000000002</v>
      </c>
      <c r="AD398" s="946">
        <v>9402.4979999999996</v>
      </c>
      <c r="AE398" s="957">
        <v>0</v>
      </c>
      <c r="AG398" s="957">
        <v>3236</v>
      </c>
      <c r="AH398" s="955">
        <v>0</v>
      </c>
      <c r="AI398" s="425">
        <v>1</v>
      </c>
      <c r="AJ398" s="957">
        <v>0</v>
      </c>
      <c r="AL398" s="939">
        <v>0</v>
      </c>
      <c r="AM398" s="939">
        <v>0</v>
      </c>
      <c r="AN398" s="950">
        <v>360.15</v>
      </c>
      <c r="AO398" s="946">
        <v>0.138279756105889</v>
      </c>
      <c r="AP398" s="946">
        <v>138</v>
      </c>
      <c r="AQ398" s="953"/>
      <c r="AR398" s="950"/>
      <c r="AS398" s="950">
        <v>227.55099999999999</v>
      </c>
    </row>
    <row r="399" spans="1:45" x14ac:dyDescent="0.3">
      <c r="A399" s="642" t="s">
        <v>1269</v>
      </c>
      <c r="B399" s="642" t="s">
        <v>1270</v>
      </c>
      <c r="C399" s="642" t="s">
        <v>1268</v>
      </c>
      <c r="D399" s="642" t="s">
        <v>5425</v>
      </c>
      <c r="F399" s="946">
        <v>0</v>
      </c>
      <c r="H399" s="946">
        <v>0</v>
      </c>
      <c r="I399" s="939">
        <v>0</v>
      </c>
      <c r="J399" s="974">
        <v>0</v>
      </c>
      <c r="L399" s="946">
        <v>0</v>
      </c>
      <c r="M399" s="947"/>
      <c r="N399" s="946">
        <v>0</v>
      </c>
      <c r="P399" s="946">
        <v>0</v>
      </c>
      <c r="R399" s="946">
        <v>0</v>
      </c>
      <c r="S399" s="948">
        <v>0</v>
      </c>
      <c r="T399" s="946">
        <v>0</v>
      </c>
      <c r="V399" s="946">
        <v>0</v>
      </c>
      <c r="W399" s="946">
        <v>0</v>
      </c>
      <c r="X399" s="946">
        <v>0</v>
      </c>
      <c r="Y399" s="947"/>
      <c r="Z399" s="946">
        <v>0</v>
      </c>
      <c r="AA399" s="948">
        <v>0</v>
      </c>
      <c r="AB399" s="946">
        <v>0</v>
      </c>
      <c r="AC399" s="974">
        <v>0</v>
      </c>
      <c r="AD399" s="946">
        <v>0</v>
      </c>
      <c r="AE399" s="957">
        <v>0</v>
      </c>
      <c r="AG399" s="957">
        <v>2854</v>
      </c>
      <c r="AH399" s="955">
        <v>0</v>
      </c>
      <c r="AI399" s="425">
        <v>0</v>
      </c>
      <c r="AJ399" s="957">
        <v>0</v>
      </c>
      <c r="AL399" s="939">
        <v>0</v>
      </c>
      <c r="AM399" s="939">
        <v>0</v>
      </c>
      <c r="AN399" s="950">
        <v>531.53938000000005</v>
      </c>
      <c r="AO399" s="946">
        <v>0</v>
      </c>
      <c r="AP399" s="946">
        <v>0</v>
      </c>
      <c r="AQ399" s="953"/>
      <c r="AR399" s="950"/>
      <c r="AS399" s="950">
        <v>0</v>
      </c>
    </row>
    <row r="400" spans="1:45" x14ac:dyDescent="0.3">
      <c r="A400" s="642" t="s">
        <v>1272</v>
      </c>
      <c r="B400" s="642" t="s">
        <v>1273</v>
      </c>
      <c r="C400" s="642" t="s">
        <v>1271</v>
      </c>
      <c r="D400" s="642" t="s">
        <v>71</v>
      </c>
      <c r="F400" s="946">
        <v>0</v>
      </c>
      <c r="H400" s="946">
        <v>-145383</v>
      </c>
      <c r="I400" s="939">
        <v>0</v>
      </c>
      <c r="J400" s="974">
        <v>0</v>
      </c>
      <c r="L400" s="946">
        <v>0</v>
      </c>
      <c r="M400" s="947"/>
      <c r="N400" s="946">
        <v>0</v>
      </c>
      <c r="P400" s="946">
        <v>0</v>
      </c>
      <c r="R400" s="946">
        <v>0</v>
      </c>
      <c r="S400" s="948">
        <v>0</v>
      </c>
      <c r="T400" s="946">
        <v>0</v>
      </c>
      <c r="V400" s="946">
        <v>0</v>
      </c>
      <c r="W400" s="946">
        <v>0</v>
      </c>
      <c r="X400" s="946">
        <v>0</v>
      </c>
      <c r="Y400" s="947"/>
      <c r="Z400" s="946">
        <v>0</v>
      </c>
      <c r="AA400" s="948">
        <v>0</v>
      </c>
      <c r="AB400" s="946">
        <v>0</v>
      </c>
      <c r="AC400" s="974">
        <v>0</v>
      </c>
      <c r="AD400" s="946">
        <v>113717.81299999999</v>
      </c>
      <c r="AE400" s="957">
        <v>0</v>
      </c>
      <c r="AG400" s="957">
        <v>0</v>
      </c>
      <c r="AH400" s="955">
        <v>0</v>
      </c>
      <c r="AI400" s="425">
        <v>0</v>
      </c>
      <c r="AJ400" s="957">
        <v>0</v>
      </c>
      <c r="AL400" s="939">
        <v>0</v>
      </c>
      <c r="AM400" s="939">
        <v>0</v>
      </c>
      <c r="AN400" s="950">
        <v>764.56283999999994</v>
      </c>
      <c r="AO400" s="946">
        <v>0</v>
      </c>
      <c r="AP400" s="946">
        <v>0</v>
      </c>
      <c r="AQ400" s="953"/>
      <c r="AR400" s="950"/>
      <c r="AS400" s="950">
        <v>0</v>
      </c>
    </row>
    <row r="401" spans="1:45" x14ac:dyDescent="0.3">
      <c r="A401" s="642" t="s">
        <v>1275</v>
      </c>
      <c r="B401" s="642" t="s">
        <v>1276</v>
      </c>
      <c r="C401" s="642" t="s">
        <v>1274</v>
      </c>
      <c r="D401" s="642" t="s">
        <v>1390</v>
      </c>
      <c r="F401" s="946">
        <v>0</v>
      </c>
      <c r="H401" s="946">
        <v>0</v>
      </c>
      <c r="I401" s="939">
        <v>0</v>
      </c>
      <c r="J401" s="974">
        <v>0</v>
      </c>
      <c r="L401" s="946">
        <v>0</v>
      </c>
      <c r="M401" s="947"/>
      <c r="N401" s="946">
        <v>0</v>
      </c>
      <c r="P401" s="946">
        <v>0</v>
      </c>
      <c r="R401" s="946">
        <v>0</v>
      </c>
      <c r="S401" s="948">
        <v>0</v>
      </c>
      <c r="T401" s="946">
        <v>0</v>
      </c>
      <c r="V401" s="946">
        <v>0</v>
      </c>
      <c r="W401" s="946">
        <v>0</v>
      </c>
      <c r="X401" s="946">
        <v>0</v>
      </c>
      <c r="Y401" s="947"/>
      <c r="Z401" s="946">
        <v>0</v>
      </c>
      <c r="AA401" s="948">
        <v>0</v>
      </c>
      <c r="AB401" s="946">
        <v>0</v>
      </c>
      <c r="AC401" s="974">
        <v>0</v>
      </c>
      <c r="AD401" s="946">
        <v>0</v>
      </c>
      <c r="AE401" s="957">
        <v>0</v>
      </c>
      <c r="AG401" s="957">
        <v>0</v>
      </c>
      <c r="AH401" s="955">
        <v>0</v>
      </c>
      <c r="AI401" s="425">
        <v>0</v>
      </c>
      <c r="AJ401" s="957">
        <v>0</v>
      </c>
      <c r="AL401" s="939">
        <v>0</v>
      </c>
      <c r="AM401" s="939">
        <v>0</v>
      </c>
      <c r="AN401" s="950">
        <v>12365.173620000001</v>
      </c>
      <c r="AO401" s="946">
        <v>0</v>
      </c>
      <c r="AP401" s="946">
        <v>0</v>
      </c>
      <c r="AQ401" s="953"/>
      <c r="AR401" s="950"/>
      <c r="AS401" s="950">
        <v>0</v>
      </c>
    </row>
    <row r="402" spans="1:45" x14ac:dyDescent="0.3">
      <c r="A402" s="642" t="s">
        <v>1278</v>
      </c>
      <c r="B402" s="642" t="s">
        <v>1279</v>
      </c>
      <c r="C402" s="642" t="s">
        <v>1277</v>
      </c>
      <c r="D402" s="642" t="s">
        <v>5408</v>
      </c>
      <c r="F402" s="946">
        <v>-19858</v>
      </c>
      <c r="H402" s="946">
        <v>0</v>
      </c>
      <c r="I402" s="939">
        <v>0</v>
      </c>
      <c r="J402" s="974">
        <v>0</v>
      </c>
      <c r="L402" s="946">
        <v>0</v>
      </c>
      <c r="M402" s="947"/>
      <c r="N402" s="946">
        <v>0</v>
      </c>
      <c r="P402" s="946">
        <v>0</v>
      </c>
      <c r="R402" s="946">
        <v>0</v>
      </c>
      <c r="S402" s="948">
        <v>0</v>
      </c>
      <c r="T402" s="946">
        <v>0</v>
      </c>
      <c r="V402" s="946">
        <v>0</v>
      </c>
      <c r="W402" s="946">
        <v>0</v>
      </c>
      <c r="X402" s="946">
        <v>2325</v>
      </c>
      <c r="Y402" s="947"/>
      <c r="Z402" s="946">
        <v>0</v>
      </c>
      <c r="AA402" s="948">
        <v>0</v>
      </c>
      <c r="AB402" s="946">
        <v>0</v>
      </c>
      <c r="AC402" s="974">
        <v>0</v>
      </c>
      <c r="AD402" s="946">
        <v>49404.872000000003</v>
      </c>
      <c r="AE402" s="957">
        <v>0</v>
      </c>
      <c r="AG402" s="957">
        <v>5225</v>
      </c>
      <c r="AH402" s="955">
        <v>0</v>
      </c>
      <c r="AI402" s="425">
        <v>0</v>
      </c>
      <c r="AJ402" s="957">
        <v>0</v>
      </c>
      <c r="AL402" s="939">
        <v>0</v>
      </c>
      <c r="AM402" s="939">
        <v>0</v>
      </c>
      <c r="AN402" s="950">
        <v>1530.4711499999999</v>
      </c>
      <c r="AO402" s="946">
        <v>0</v>
      </c>
      <c r="AP402" s="946">
        <v>0</v>
      </c>
      <c r="AQ402" s="953"/>
      <c r="AR402" s="950"/>
      <c r="AS402" s="950">
        <v>0</v>
      </c>
    </row>
    <row r="403" spans="1:45" x14ac:dyDescent="0.3">
      <c r="A403" s="642" t="s">
        <v>1281</v>
      </c>
      <c r="B403" s="642" t="s">
        <v>1282</v>
      </c>
      <c r="C403" s="642" t="s">
        <v>1280</v>
      </c>
      <c r="D403" s="642" t="s">
        <v>71</v>
      </c>
      <c r="F403" s="946">
        <v>0</v>
      </c>
      <c r="H403" s="946">
        <v>-544169</v>
      </c>
      <c r="I403" s="939">
        <v>0</v>
      </c>
      <c r="J403" s="974">
        <v>0</v>
      </c>
      <c r="L403" s="946">
        <v>0</v>
      </c>
      <c r="M403" s="947"/>
      <c r="N403" s="946">
        <v>0</v>
      </c>
      <c r="P403" s="946">
        <v>0</v>
      </c>
      <c r="R403" s="946">
        <v>0</v>
      </c>
      <c r="S403" s="948">
        <v>0</v>
      </c>
      <c r="T403" s="946">
        <v>0</v>
      </c>
      <c r="V403" s="946">
        <v>0</v>
      </c>
      <c r="W403" s="946">
        <v>0</v>
      </c>
      <c r="X403" s="946">
        <v>0</v>
      </c>
      <c r="Y403" s="947"/>
      <c r="Z403" s="946">
        <v>0</v>
      </c>
      <c r="AA403" s="948">
        <v>0</v>
      </c>
      <c r="AB403" s="946">
        <v>0</v>
      </c>
      <c r="AC403" s="974">
        <v>0</v>
      </c>
      <c r="AD403" s="946">
        <v>136212.30900000001</v>
      </c>
      <c r="AE403" s="957">
        <v>0</v>
      </c>
      <c r="AG403" s="957">
        <v>12919</v>
      </c>
      <c r="AH403" s="955">
        <v>0</v>
      </c>
      <c r="AI403" s="425">
        <v>0</v>
      </c>
      <c r="AJ403" s="957">
        <v>0</v>
      </c>
      <c r="AL403" s="939">
        <v>0</v>
      </c>
      <c r="AM403" s="939">
        <v>0</v>
      </c>
      <c r="AN403" s="950">
        <v>3244.5715</v>
      </c>
      <c r="AO403" s="946">
        <v>0</v>
      </c>
      <c r="AP403" s="946">
        <v>0</v>
      </c>
      <c r="AQ403" s="953"/>
      <c r="AR403" s="950"/>
      <c r="AS403" s="950">
        <v>0</v>
      </c>
    </row>
    <row r="404" spans="1:45" x14ac:dyDescent="0.3">
      <c r="A404" s="642" t="s">
        <v>1284</v>
      </c>
      <c r="B404" s="642" t="s">
        <v>1285</v>
      </c>
      <c r="C404" s="642" t="s">
        <v>1283</v>
      </c>
      <c r="D404" s="642" t="s">
        <v>125</v>
      </c>
      <c r="F404" s="946">
        <v>-3712</v>
      </c>
      <c r="H404" s="946">
        <v>0</v>
      </c>
      <c r="I404" s="939">
        <v>141517310</v>
      </c>
      <c r="J404" s="974">
        <v>141517.31</v>
      </c>
      <c r="L404" s="946">
        <v>19107</v>
      </c>
      <c r="M404" s="947"/>
      <c r="N404" s="946">
        <v>393</v>
      </c>
      <c r="P404" s="946">
        <v>11363</v>
      </c>
      <c r="R404" s="946">
        <v>10069</v>
      </c>
      <c r="S404" s="948">
        <v>419562.99</v>
      </c>
      <c r="T404" s="946">
        <v>419.56299000000001</v>
      </c>
      <c r="V404" s="946">
        <v>1388</v>
      </c>
      <c r="W404" s="946">
        <v>982</v>
      </c>
      <c r="X404" s="946">
        <v>3457</v>
      </c>
      <c r="Y404" s="947"/>
      <c r="Z404" s="946">
        <v>5152</v>
      </c>
      <c r="AA404" s="948">
        <v>356170</v>
      </c>
      <c r="AB404" s="946">
        <v>356.17</v>
      </c>
      <c r="AC404" s="974">
        <v>11324.584999999999</v>
      </c>
      <c r="AD404" s="946">
        <v>236538.01</v>
      </c>
      <c r="AE404" s="957">
        <v>0</v>
      </c>
      <c r="AG404" s="957">
        <v>0</v>
      </c>
      <c r="AH404" s="955">
        <v>0</v>
      </c>
      <c r="AI404" s="425">
        <v>1</v>
      </c>
      <c r="AJ404" s="957">
        <v>-7900</v>
      </c>
      <c r="AL404" s="939">
        <v>1</v>
      </c>
      <c r="AM404" s="939">
        <v>1</v>
      </c>
      <c r="AN404" s="950">
        <v>20602.833429999999</v>
      </c>
      <c r="AO404" s="946">
        <v>0.49568759930400202</v>
      </c>
      <c r="AP404" s="946">
        <v>496</v>
      </c>
      <c r="AQ404" s="953"/>
      <c r="AR404" s="950"/>
      <c r="AS404" s="950">
        <v>814.62</v>
      </c>
    </row>
    <row r="405" spans="1:45" x14ac:dyDescent="0.3">
      <c r="A405" s="642" t="s">
        <v>1287</v>
      </c>
      <c r="B405" s="642" t="s">
        <v>1288</v>
      </c>
      <c r="C405" s="642" t="s">
        <v>1286</v>
      </c>
      <c r="D405" s="642" t="s">
        <v>1390</v>
      </c>
      <c r="F405" s="946">
        <v>0</v>
      </c>
      <c r="H405" s="946">
        <v>0</v>
      </c>
      <c r="I405" s="939">
        <v>0</v>
      </c>
      <c r="J405" s="974">
        <v>0</v>
      </c>
      <c r="L405" s="946">
        <v>0</v>
      </c>
      <c r="M405" s="947"/>
      <c r="N405" s="946">
        <v>0</v>
      </c>
      <c r="P405" s="946">
        <v>0</v>
      </c>
      <c r="R405" s="946">
        <v>0</v>
      </c>
      <c r="S405" s="948">
        <v>0</v>
      </c>
      <c r="T405" s="946">
        <v>0</v>
      </c>
      <c r="V405" s="946">
        <v>0</v>
      </c>
      <c r="W405" s="946">
        <v>0</v>
      </c>
      <c r="X405" s="946">
        <v>0</v>
      </c>
      <c r="Y405" s="947"/>
      <c r="Z405" s="946">
        <v>0</v>
      </c>
      <c r="AA405" s="948">
        <v>0</v>
      </c>
      <c r="AB405" s="946">
        <v>0</v>
      </c>
      <c r="AC405" s="974">
        <v>0</v>
      </c>
      <c r="AD405" s="946">
        <v>0</v>
      </c>
      <c r="AE405" s="957">
        <v>0</v>
      </c>
      <c r="AG405" s="957">
        <v>0</v>
      </c>
      <c r="AH405" s="955">
        <v>0</v>
      </c>
      <c r="AI405" s="425">
        <v>0</v>
      </c>
      <c r="AJ405" s="957">
        <v>0</v>
      </c>
      <c r="AL405" s="939">
        <v>0</v>
      </c>
      <c r="AM405" s="939">
        <v>0</v>
      </c>
      <c r="AN405" s="950">
        <v>0</v>
      </c>
      <c r="AO405" s="946">
        <v>0</v>
      </c>
      <c r="AP405" s="946">
        <v>0</v>
      </c>
      <c r="AQ405" s="953"/>
      <c r="AR405" s="950"/>
      <c r="AS405" s="950">
        <v>0</v>
      </c>
    </row>
    <row r="406" spans="1:45" x14ac:dyDescent="0.3">
      <c r="A406" s="642" t="s">
        <v>1290</v>
      </c>
      <c r="B406" s="642" t="s">
        <v>1291</v>
      </c>
      <c r="C406" s="642" t="s">
        <v>1289</v>
      </c>
      <c r="D406" s="642" t="s">
        <v>61</v>
      </c>
      <c r="F406" s="946">
        <v>-82</v>
      </c>
      <c r="H406" s="946">
        <v>0</v>
      </c>
      <c r="I406" s="939">
        <v>0</v>
      </c>
      <c r="J406" s="974">
        <v>0</v>
      </c>
      <c r="L406" s="946">
        <v>0</v>
      </c>
      <c r="M406" s="947"/>
      <c r="N406" s="946">
        <v>133</v>
      </c>
      <c r="P406" s="946">
        <v>0</v>
      </c>
      <c r="R406" s="946">
        <v>0</v>
      </c>
      <c r="S406" s="948">
        <v>0</v>
      </c>
      <c r="T406" s="946">
        <v>0</v>
      </c>
      <c r="V406" s="946">
        <v>260</v>
      </c>
      <c r="W406" s="946">
        <v>0</v>
      </c>
      <c r="X406" s="946">
        <v>148</v>
      </c>
      <c r="Y406" s="947"/>
      <c r="Z406" s="946">
        <v>2378</v>
      </c>
      <c r="AA406" s="948">
        <v>75493</v>
      </c>
      <c r="AB406" s="946">
        <v>75.492999999999995</v>
      </c>
      <c r="AC406" s="974">
        <v>4424.6530000000002</v>
      </c>
      <c r="AD406" s="946">
        <v>9705.8539999999994</v>
      </c>
      <c r="AE406" s="957">
        <v>0</v>
      </c>
      <c r="AG406" s="957">
        <v>540</v>
      </c>
      <c r="AH406" s="955">
        <v>0</v>
      </c>
      <c r="AI406" s="425">
        <v>1</v>
      </c>
      <c r="AJ406" s="957">
        <v>0</v>
      </c>
      <c r="AL406" s="939">
        <v>0</v>
      </c>
      <c r="AM406" s="939">
        <v>0</v>
      </c>
      <c r="AN406" s="950">
        <v>0</v>
      </c>
      <c r="AO406" s="946">
        <v>9.8176626672715095E-2</v>
      </c>
      <c r="AP406" s="946">
        <v>98</v>
      </c>
      <c r="AQ406" s="953"/>
      <c r="AR406" s="950"/>
      <c r="AS406" s="950">
        <v>186.89500000000001</v>
      </c>
    </row>
    <row r="407" spans="1:45" x14ac:dyDescent="0.3">
      <c r="A407" s="642" t="s">
        <v>1293</v>
      </c>
      <c r="B407" s="642" t="s">
        <v>1294</v>
      </c>
      <c r="C407" s="642" t="s">
        <v>1292</v>
      </c>
      <c r="D407" s="642" t="s">
        <v>61</v>
      </c>
      <c r="F407" s="946">
        <v>-207</v>
      </c>
      <c r="H407" s="946">
        <v>0</v>
      </c>
      <c r="I407" s="939">
        <v>0</v>
      </c>
      <c r="J407" s="974">
        <v>0</v>
      </c>
      <c r="L407" s="946">
        <v>0</v>
      </c>
      <c r="M407" s="947"/>
      <c r="N407" s="946">
        <v>181</v>
      </c>
      <c r="P407" s="946">
        <v>0</v>
      </c>
      <c r="R407" s="946">
        <v>0</v>
      </c>
      <c r="S407" s="948">
        <v>0</v>
      </c>
      <c r="T407" s="946">
        <v>0</v>
      </c>
      <c r="V407" s="946">
        <v>669</v>
      </c>
      <c r="W407" s="946">
        <v>0</v>
      </c>
      <c r="X407" s="946">
        <v>312</v>
      </c>
      <c r="Y407" s="947"/>
      <c r="Z407" s="946">
        <v>1756</v>
      </c>
      <c r="AA407" s="948">
        <v>152088</v>
      </c>
      <c r="AB407" s="946">
        <v>152.08799999999999</v>
      </c>
      <c r="AC407" s="974">
        <v>4734.7190000000001</v>
      </c>
      <c r="AD407" s="946">
        <v>15476.019</v>
      </c>
      <c r="AE407" s="957">
        <v>0</v>
      </c>
      <c r="AG407" s="957">
        <v>4619</v>
      </c>
      <c r="AH407" s="955">
        <v>0</v>
      </c>
      <c r="AI407" s="425">
        <v>1</v>
      </c>
      <c r="AJ407" s="957">
        <v>0</v>
      </c>
      <c r="AL407" s="939">
        <v>0</v>
      </c>
      <c r="AM407" s="939">
        <v>0</v>
      </c>
      <c r="AN407" s="950">
        <v>181.83901</v>
      </c>
      <c r="AO407" s="946">
        <v>0.20694850353641001</v>
      </c>
      <c r="AP407" s="946">
        <v>207</v>
      </c>
      <c r="AQ407" s="953"/>
      <c r="AR407" s="950"/>
      <c r="AS407" s="950">
        <v>367.76900000000001</v>
      </c>
    </row>
    <row r="408" spans="1:45" x14ac:dyDescent="0.3">
      <c r="A408" s="642" t="s">
        <v>1296</v>
      </c>
      <c r="B408" s="642" t="s">
        <v>1297</v>
      </c>
      <c r="C408" s="642" t="s">
        <v>1295</v>
      </c>
      <c r="D408" s="642" t="s">
        <v>1942</v>
      </c>
      <c r="F408" s="946">
        <v>-13</v>
      </c>
      <c r="H408" s="946">
        <v>0</v>
      </c>
      <c r="I408" s="939">
        <v>486701751</v>
      </c>
      <c r="J408" s="974">
        <v>486701.75099999999</v>
      </c>
      <c r="L408" s="946">
        <v>36244</v>
      </c>
      <c r="M408" s="947"/>
      <c r="N408" s="946">
        <v>0</v>
      </c>
      <c r="P408" s="946">
        <v>25827</v>
      </c>
      <c r="R408" s="946">
        <v>20613</v>
      </c>
      <c r="S408" s="948">
        <v>4308911</v>
      </c>
      <c r="T408" s="946">
        <v>4308.9110000000001</v>
      </c>
      <c r="V408" s="946">
        <v>0</v>
      </c>
      <c r="W408" s="946">
        <v>2230</v>
      </c>
      <c r="X408" s="946">
        <v>5464</v>
      </c>
      <c r="Y408" s="947"/>
      <c r="Z408" s="946">
        <v>1960</v>
      </c>
      <c r="AA408" s="948">
        <v>0</v>
      </c>
      <c r="AB408" s="946">
        <v>0</v>
      </c>
      <c r="AC408" s="974">
        <v>0</v>
      </c>
      <c r="AD408" s="946">
        <v>532646</v>
      </c>
      <c r="AE408" s="957">
        <v>0</v>
      </c>
      <c r="AG408" s="957">
        <v>6869</v>
      </c>
      <c r="AH408" s="955">
        <v>-4000</v>
      </c>
      <c r="AI408" s="425">
        <v>0</v>
      </c>
      <c r="AJ408" s="957">
        <v>0</v>
      </c>
      <c r="AL408" s="939">
        <v>1</v>
      </c>
      <c r="AM408" s="939">
        <v>1</v>
      </c>
      <c r="AN408" s="950">
        <v>19038.993739999998</v>
      </c>
      <c r="AO408" s="946">
        <v>0</v>
      </c>
      <c r="AP408" s="946">
        <v>0</v>
      </c>
      <c r="AQ408" s="953"/>
      <c r="AR408" s="950"/>
      <c r="AS408" s="950">
        <v>0</v>
      </c>
    </row>
    <row r="409" spans="1:45" x14ac:dyDescent="0.3">
      <c r="A409" s="642" t="s">
        <v>1302</v>
      </c>
      <c r="B409" s="642" t="s">
        <v>1303</v>
      </c>
      <c r="C409" s="642" t="s">
        <v>5451</v>
      </c>
      <c r="D409" s="642" t="s">
        <v>5408</v>
      </c>
      <c r="F409" s="946">
        <v>-14048</v>
      </c>
      <c r="H409" s="946">
        <v>0</v>
      </c>
      <c r="I409" s="939">
        <v>0</v>
      </c>
      <c r="J409" s="974">
        <v>0</v>
      </c>
      <c r="L409" s="946">
        <v>0</v>
      </c>
      <c r="M409" s="947"/>
      <c r="N409" s="946">
        <v>0</v>
      </c>
      <c r="P409" s="946">
        <v>0</v>
      </c>
      <c r="R409" s="946">
        <v>0</v>
      </c>
      <c r="S409" s="948">
        <v>0</v>
      </c>
      <c r="T409" s="946">
        <v>0</v>
      </c>
      <c r="V409" s="946">
        <v>0</v>
      </c>
      <c r="W409" s="946">
        <v>0</v>
      </c>
      <c r="X409" s="946">
        <v>1705</v>
      </c>
      <c r="Y409" s="947"/>
      <c r="Z409" s="946">
        <v>0</v>
      </c>
      <c r="AA409" s="948">
        <v>0</v>
      </c>
      <c r="AB409" s="946">
        <v>0</v>
      </c>
      <c r="AC409" s="974">
        <v>0</v>
      </c>
      <c r="AD409" s="946">
        <v>48232.41</v>
      </c>
      <c r="AE409" s="957">
        <v>0</v>
      </c>
      <c r="AG409" s="957">
        <v>2000</v>
      </c>
      <c r="AH409" s="955">
        <v>0</v>
      </c>
      <c r="AI409" s="425">
        <v>0</v>
      </c>
      <c r="AJ409" s="957">
        <v>0</v>
      </c>
      <c r="AL409" s="939">
        <v>0</v>
      </c>
      <c r="AM409" s="939">
        <v>0</v>
      </c>
      <c r="AN409" s="950">
        <v>1872.2408699999999</v>
      </c>
      <c r="AO409" s="946">
        <v>0</v>
      </c>
      <c r="AP409" s="946">
        <v>0</v>
      </c>
      <c r="AQ409" s="953"/>
      <c r="AR409" s="950"/>
      <c r="AS409" s="950">
        <v>0</v>
      </c>
    </row>
    <row r="410" spans="1:45" x14ac:dyDescent="0.3">
      <c r="A410" s="642" t="s">
        <v>1305</v>
      </c>
      <c r="B410" s="642" t="s">
        <v>1306</v>
      </c>
      <c r="C410" s="642" t="s">
        <v>1304</v>
      </c>
      <c r="D410" s="642" t="s">
        <v>71</v>
      </c>
      <c r="F410" s="946">
        <v>0</v>
      </c>
      <c r="H410" s="946">
        <v>-383144</v>
      </c>
      <c r="I410" s="939">
        <v>0</v>
      </c>
      <c r="J410" s="974">
        <v>0</v>
      </c>
      <c r="L410" s="946">
        <v>0</v>
      </c>
      <c r="M410" s="947"/>
      <c r="N410" s="946">
        <v>0</v>
      </c>
      <c r="P410" s="946">
        <v>0</v>
      </c>
      <c r="R410" s="946">
        <v>0</v>
      </c>
      <c r="S410" s="948">
        <v>0</v>
      </c>
      <c r="T410" s="946">
        <v>0</v>
      </c>
      <c r="V410" s="946">
        <v>0</v>
      </c>
      <c r="W410" s="946">
        <v>0</v>
      </c>
      <c r="X410" s="946">
        <v>0</v>
      </c>
      <c r="Y410" s="947"/>
      <c r="Z410" s="946">
        <v>0</v>
      </c>
      <c r="AA410" s="948">
        <v>0</v>
      </c>
      <c r="AB410" s="946">
        <v>0</v>
      </c>
      <c r="AC410" s="974">
        <v>0</v>
      </c>
      <c r="AD410" s="946">
        <v>147864.606</v>
      </c>
      <c r="AE410" s="957">
        <v>0</v>
      </c>
      <c r="AG410" s="957">
        <v>7794</v>
      </c>
      <c r="AH410" s="955">
        <v>0</v>
      </c>
      <c r="AI410" s="425">
        <v>0</v>
      </c>
      <c r="AJ410" s="957">
        <v>0</v>
      </c>
      <c r="AL410" s="939">
        <v>0</v>
      </c>
      <c r="AM410" s="939">
        <v>0</v>
      </c>
      <c r="AN410" s="950">
        <v>0</v>
      </c>
      <c r="AO410" s="946">
        <v>0</v>
      </c>
      <c r="AP410" s="946">
        <v>0</v>
      </c>
      <c r="AQ410" s="953"/>
      <c r="AR410" s="950"/>
      <c r="AS410" s="950">
        <v>0</v>
      </c>
    </row>
    <row r="411" spans="1:45" x14ac:dyDescent="0.3">
      <c r="A411" s="642" t="s">
        <v>1308</v>
      </c>
      <c r="B411" s="642" t="s">
        <v>1309</v>
      </c>
      <c r="C411" s="642" t="s">
        <v>1307</v>
      </c>
      <c r="D411" s="642" t="s">
        <v>5425</v>
      </c>
      <c r="F411" s="946">
        <v>0</v>
      </c>
      <c r="H411" s="946">
        <v>0</v>
      </c>
      <c r="I411" s="939">
        <v>0</v>
      </c>
      <c r="J411" s="974">
        <v>0</v>
      </c>
      <c r="L411" s="946">
        <v>0</v>
      </c>
      <c r="M411" s="947"/>
      <c r="N411" s="946">
        <v>0</v>
      </c>
      <c r="P411" s="946">
        <v>0</v>
      </c>
      <c r="R411" s="946">
        <v>0</v>
      </c>
      <c r="S411" s="948">
        <v>0</v>
      </c>
      <c r="T411" s="946">
        <v>0</v>
      </c>
      <c r="V411" s="946">
        <v>0</v>
      </c>
      <c r="W411" s="946">
        <v>0</v>
      </c>
      <c r="X411" s="946">
        <v>0</v>
      </c>
      <c r="Y411" s="947"/>
      <c r="Z411" s="946">
        <v>0</v>
      </c>
      <c r="AA411" s="948">
        <v>0</v>
      </c>
      <c r="AB411" s="946">
        <v>0</v>
      </c>
      <c r="AC411" s="974">
        <v>0</v>
      </c>
      <c r="AD411" s="946">
        <v>0</v>
      </c>
      <c r="AE411" s="957">
        <v>0</v>
      </c>
      <c r="AG411" s="957">
        <v>0</v>
      </c>
      <c r="AH411" s="955">
        <v>0</v>
      </c>
      <c r="AI411" s="425">
        <v>0</v>
      </c>
      <c r="AJ411" s="957">
        <v>0</v>
      </c>
      <c r="AL411" s="939">
        <v>0</v>
      </c>
      <c r="AM411" s="939">
        <v>0</v>
      </c>
      <c r="AN411" s="950">
        <v>36.9</v>
      </c>
      <c r="AO411" s="946">
        <v>0</v>
      </c>
      <c r="AP411" s="946">
        <v>0</v>
      </c>
      <c r="AQ411" s="953"/>
      <c r="AR411" s="950"/>
      <c r="AS411" s="950">
        <v>0</v>
      </c>
    </row>
    <row r="412" spans="1:45" x14ac:dyDescent="0.3">
      <c r="A412" s="642" t="s">
        <v>1311</v>
      </c>
      <c r="B412" s="642" t="s">
        <v>1312</v>
      </c>
      <c r="C412" s="642" t="s">
        <v>1310</v>
      </c>
      <c r="D412" s="642" t="s">
        <v>1940</v>
      </c>
      <c r="F412" s="946">
        <v>-31216</v>
      </c>
      <c r="H412" s="946">
        <v>0</v>
      </c>
      <c r="I412" s="939">
        <v>93377315</v>
      </c>
      <c r="J412" s="974">
        <v>93377.315000000002</v>
      </c>
      <c r="L412" s="946">
        <v>33323</v>
      </c>
      <c r="M412" s="947"/>
      <c r="N412" s="946">
        <v>0</v>
      </c>
      <c r="P412" s="946">
        <v>17247</v>
      </c>
      <c r="R412" s="946">
        <v>17649</v>
      </c>
      <c r="S412" s="948">
        <v>296718</v>
      </c>
      <c r="T412" s="946">
        <v>296.71800000000002</v>
      </c>
      <c r="V412" s="946">
        <v>6918</v>
      </c>
      <c r="W412" s="946">
        <v>893</v>
      </c>
      <c r="X412" s="946">
        <v>6231</v>
      </c>
      <c r="Y412" s="947"/>
      <c r="Z412" s="946">
        <v>2250</v>
      </c>
      <c r="AA412" s="948">
        <v>455753</v>
      </c>
      <c r="AB412" s="946">
        <v>455.75299999999999</v>
      </c>
      <c r="AC412" s="974">
        <v>166.51795000000001</v>
      </c>
      <c r="AD412" s="946">
        <v>63502.788</v>
      </c>
      <c r="AE412" s="957">
        <v>19384</v>
      </c>
      <c r="AG412" s="957">
        <v>0</v>
      </c>
      <c r="AH412" s="955">
        <v>-714</v>
      </c>
      <c r="AI412" s="425">
        <v>1</v>
      </c>
      <c r="AJ412" s="957">
        <v>0</v>
      </c>
      <c r="AL412" s="939">
        <v>1</v>
      </c>
      <c r="AM412" s="939">
        <v>1</v>
      </c>
      <c r="AN412" s="950">
        <v>4882.9835000000003</v>
      </c>
      <c r="AO412" s="946">
        <v>1.69423396102015</v>
      </c>
      <c r="AP412" s="946">
        <v>1694</v>
      </c>
      <c r="AQ412" s="953"/>
      <c r="AR412" s="950"/>
      <c r="AS412" s="950">
        <v>1234.5139999999999</v>
      </c>
    </row>
    <row r="413" spans="1:45" x14ac:dyDescent="0.3">
      <c r="A413" s="642" t="s">
        <v>1314</v>
      </c>
      <c r="B413" s="642" t="s">
        <v>1315</v>
      </c>
      <c r="C413" s="642" t="s">
        <v>1313</v>
      </c>
      <c r="D413" s="642" t="s">
        <v>97</v>
      </c>
      <c r="F413" s="946">
        <v>0</v>
      </c>
      <c r="H413" s="946">
        <v>0</v>
      </c>
      <c r="I413" s="939">
        <v>220539990</v>
      </c>
      <c r="J413" s="974">
        <v>220539.99</v>
      </c>
      <c r="L413" s="946">
        <v>0</v>
      </c>
      <c r="M413" s="947"/>
      <c r="N413" s="946">
        <v>0</v>
      </c>
      <c r="P413" s="946">
        <v>18004</v>
      </c>
      <c r="R413" s="946">
        <v>16763</v>
      </c>
      <c r="S413" s="948">
        <v>1456187</v>
      </c>
      <c r="T413" s="946">
        <v>1456.1869999999999</v>
      </c>
      <c r="V413" s="946">
        <v>723</v>
      </c>
      <c r="W413" s="946">
        <v>1075</v>
      </c>
      <c r="X413" s="946">
        <v>4867</v>
      </c>
      <c r="Y413" s="947"/>
      <c r="Z413" s="946">
        <v>3160</v>
      </c>
      <c r="AA413" s="948">
        <v>440605</v>
      </c>
      <c r="AB413" s="946">
        <v>440.60500000000002</v>
      </c>
      <c r="AC413" s="974">
        <v>84.129000000000005</v>
      </c>
      <c r="AD413" s="946">
        <v>132693.902</v>
      </c>
      <c r="AE413" s="957">
        <v>15297</v>
      </c>
      <c r="AG413" s="957">
        <v>10021</v>
      </c>
      <c r="AH413" s="955">
        <v>0</v>
      </c>
      <c r="AI413" s="425">
        <v>1</v>
      </c>
      <c r="AJ413" s="957">
        <v>0</v>
      </c>
      <c r="AL413" s="939">
        <v>1</v>
      </c>
      <c r="AM413" s="939">
        <v>1</v>
      </c>
      <c r="AN413" s="950">
        <v>17357.699689999998</v>
      </c>
      <c r="AO413" s="946">
        <v>0.494818950877638</v>
      </c>
      <c r="AP413" s="946">
        <v>495</v>
      </c>
      <c r="AQ413" s="953"/>
      <c r="AR413" s="950"/>
      <c r="AS413" s="950">
        <v>968.05200000000002</v>
      </c>
    </row>
    <row r="414" spans="1:45" x14ac:dyDescent="0.3">
      <c r="A414" s="642" t="s">
        <v>1320</v>
      </c>
      <c r="B414" s="642" t="s">
        <v>1321</v>
      </c>
      <c r="C414" s="642" t="s">
        <v>1319</v>
      </c>
      <c r="D414" s="642" t="s">
        <v>71</v>
      </c>
      <c r="F414" s="946">
        <v>0</v>
      </c>
      <c r="H414" s="946">
        <v>-75664</v>
      </c>
      <c r="I414" s="939">
        <v>0</v>
      </c>
      <c r="J414" s="974">
        <v>0</v>
      </c>
      <c r="L414" s="946">
        <v>0</v>
      </c>
      <c r="M414" s="947"/>
      <c r="N414" s="946">
        <v>0</v>
      </c>
      <c r="P414" s="946">
        <v>0</v>
      </c>
      <c r="R414" s="946">
        <v>0</v>
      </c>
      <c r="S414" s="948">
        <v>0</v>
      </c>
      <c r="T414" s="946">
        <v>0</v>
      </c>
      <c r="V414" s="946">
        <v>0</v>
      </c>
      <c r="W414" s="946">
        <v>0</v>
      </c>
      <c r="X414" s="946">
        <v>0</v>
      </c>
      <c r="Y414" s="947"/>
      <c r="Z414" s="946">
        <v>0</v>
      </c>
      <c r="AA414" s="948">
        <v>0</v>
      </c>
      <c r="AB414" s="946">
        <v>0</v>
      </c>
      <c r="AC414" s="974">
        <v>0</v>
      </c>
      <c r="AD414" s="946">
        <v>64358.38</v>
      </c>
      <c r="AE414" s="957">
        <v>0</v>
      </c>
      <c r="AG414" s="957">
        <v>0</v>
      </c>
      <c r="AH414" s="955">
        <v>0</v>
      </c>
      <c r="AI414" s="425">
        <v>0</v>
      </c>
      <c r="AJ414" s="957">
        <v>0</v>
      </c>
      <c r="AL414" s="939">
        <v>0</v>
      </c>
      <c r="AM414" s="939">
        <v>0</v>
      </c>
      <c r="AN414" s="950">
        <v>44.886009999999992</v>
      </c>
      <c r="AO414" s="946">
        <v>0</v>
      </c>
      <c r="AP414" s="946">
        <v>0</v>
      </c>
      <c r="AQ414" s="953"/>
      <c r="AR414" s="950"/>
      <c r="AS414" s="950">
        <v>0</v>
      </c>
    </row>
    <row r="415" spans="1:45" x14ac:dyDescent="0.3">
      <c r="A415" s="642" t="s">
        <v>1317</v>
      </c>
      <c r="B415" s="642" t="s">
        <v>1318</v>
      </c>
      <c r="C415" s="642" t="s">
        <v>1316</v>
      </c>
      <c r="D415" s="642" t="s">
        <v>125</v>
      </c>
      <c r="F415" s="946">
        <v>-9</v>
      </c>
      <c r="H415" s="946">
        <v>0</v>
      </c>
      <c r="I415" s="939">
        <v>206202226</v>
      </c>
      <c r="J415" s="974">
        <v>206202.226</v>
      </c>
      <c r="L415" s="946">
        <v>18015</v>
      </c>
      <c r="M415" s="947"/>
      <c r="N415" s="946">
        <v>3480</v>
      </c>
      <c r="P415" s="946">
        <v>14253</v>
      </c>
      <c r="R415" s="946">
        <v>10242</v>
      </c>
      <c r="S415" s="948">
        <v>1081101</v>
      </c>
      <c r="T415" s="946">
        <v>1081.1010000000001</v>
      </c>
      <c r="V415" s="946">
        <v>1036</v>
      </c>
      <c r="W415" s="946">
        <v>1231</v>
      </c>
      <c r="X415" s="946">
        <v>3991</v>
      </c>
      <c r="Y415" s="947"/>
      <c r="Z415" s="946">
        <v>6678</v>
      </c>
      <c r="AA415" s="948">
        <v>455750</v>
      </c>
      <c r="AB415" s="946">
        <v>455.75</v>
      </c>
      <c r="AC415" s="974">
        <v>26857.582600000002</v>
      </c>
      <c r="AD415" s="946">
        <v>338049.61489999999</v>
      </c>
      <c r="AE415" s="957">
        <v>20349</v>
      </c>
      <c r="AG415" s="957">
        <v>0</v>
      </c>
      <c r="AH415" s="955">
        <v>-1000</v>
      </c>
      <c r="AI415" s="425">
        <v>1</v>
      </c>
      <c r="AJ415" s="957">
        <v>-1000</v>
      </c>
      <c r="AL415" s="939">
        <v>1</v>
      </c>
      <c r="AM415" s="939">
        <v>1</v>
      </c>
      <c r="AN415" s="950">
        <v>11163.43525</v>
      </c>
      <c r="AO415" s="946">
        <v>0.50817584245540004</v>
      </c>
      <c r="AP415" s="946">
        <v>508</v>
      </c>
      <c r="AQ415" s="953"/>
      <c r="AR415" s="950"/>
      <c r="AS415" s="950">
        <v>981.23099999999999</v>
      </c>
    </row>
    <row r="416" spans="1:45" x14ac:dyDescent="0.3">
      <c r="A416" s="642" t="s">
        <v>1323</v>
      </c>
      <c r="B416" s="642" t="s">
        <v>1324</v>
      </c>
      <c r="C416" s="642" t="s">
        <v>1322</v>
      </c>
      <c r="D416" s="642" t="s">
        <v>61</v>
      </c>
      <c r="F416" s="946">
        <v>0</v>
      </c>
      <c r="H416" s="946">
        <v>0</v>
      </c>
      <c r="I416" s="939">
        <v>0</v>
      </c>
      <c r="J416" s="974">
        <v>0</v>
      </c>
      <c r="L416" s="946">
        <v>0</v>
      </c>
      <c r="M416" s="947"/>
      <c r="N416" s="946">
        <v>49</v>
      </c>
      <c r="P416" s="946">
        <v>0</v>
      </c>
      <c r="R416" s="946">
        <v>0</v>
      </c>
      <c r="S416" s="948">
        <v>0</v>
      </c>
      <c r="T416" s="946">
        <v>0</v>
      </c>
      <c r="V416" s="946">
        <v>308</v>
      </c>
      <c r="W416" s="946">
        <v>0</v>
      </c>
      <c r="X416" s="946">
        <v>154</v>
      </c>
      <c r="Y416" s="947"/>
      <c r="Z416" s="946">
        <v>2327</v>
      </c>
      <c r="AA416" s="948">
        <v>103510</v>
      </c>
      <c r="AB416" s="946">
        <v>103.51</v>
      </c>
      <c r="AC416" s="974">
        <v>3776.4119999999998</v>
      </c>
      <c r="AD416" s="946">
        <v>12679.653</v>
      </c>
      <c r="AE416" s="957">
        <v>16728</v>
      </c>
      <c r="AG416" s="957">
        <v>4641</v>
      </c>
      <c r="AH416" s="955">
        <v>0</v>
      </c>
      <c r="AI416" s="425">
        <v>1</v>
      </c>
      <c r="AJ416" s="957">
        <v>0</v>
      </c>
      <c r="AL416" s="939">
        <v>0</v>
      </c>
      <c r="AM416" s="939">
        <v>0</v>
      </c>
      <c r="AN416" s="950">
        <v>5362.9255999999996</v>
      </c>
      <c r="AO416" s="946">
        <v>0.10201824183926</v>
      </c>
      <c r="AP416" s="946">
        <v>102</v>
      </c>
      <c r="AQ416" s="953"/>
      <c r="AR416" s="950"/>
      <c r="AS416" s="950">
        <v>218.37799999999999</v>
      </c>
    </row>
    <row r="417" spans="1:47" x14ac:dyDescent="0.3">
      <c r="A417" s="642" t="s">
        <v>1326</v>
      </c>
      <c r="B417" s="642" t="s">
        <v>1327</v>
      </c>
      <c r="C417" s="642" t="s">
        <v>1325</v>
      </c>
      <c r="D417" s="642" t="s">
        <v>125</v>
      </c>
      <c r="F417" s="946">
        <v>-2</v>
      </c>
      <c r="H417" s="946">
        <v>0</v>
      </c>
      <c r="I417" s="939">
        <v>71735470</v>
      </c>
      <c r="J417" s="974">
        <v>71735.47</v>
      </c>
      <c r="L417" s="946">
        <v>4967</v>
      </c>
      <c r="M417" s="947"/>
      <c r="N417" s="946">
        <v>0</v>
      </c>
      <c r="P417" s="946">
        <v>3725</v>
      </c>
      <c r="R417" s="946">
        <v>2256</v>
      </c>
      <c r="S417" s="948">
        <v>112671</v>
      </c>
      <c r="T417" s="946">
        <v>112.67100000000001</v>
      </c>
      <c r="V417" s="946">
        <v>1494</v>
      </c>
      <c r="W417" s="946">
        <v>322</v>
      </c>
      <c r="X417" s="946">
        <v>877</v>
      </c>
      <c r="Y417" s="947"/>
      <c r="Z417" s="946">
        <v>497</v>
      </c>
      <c r="AA417" s="948">
        <v>90218</v>
      </c>
      <c r="AB417" s="946">
        <v>90.218000000000004</v>
      </c>
      <c r="AC417" s="974">
        <v>1763.17</v>
      </c>
      <c r="AD417" s="946">
        <v>84256.17</v>
      </c>
      <c r="AE417" s="957">
        <v>0</v>
      </c>
      <c r="AG417" s="957">
        <v>602</v>
      </c>
      <c r="AH417" s="955">
        <v>0</v>
      </c>
      <c r="AI417" s="425">
        <v>1</v>
      </c>
      <c r="AJ417" s="957">
        <v>0</v>
      </c>
      <c r="AL417" s="939">
        <v>1</v>
      </c>
      <c r="AM417" s="939">
        <v>1</v>
      </c>
      <c r="AN417" s="950">
        <v>2383.2549599999998</v>
      </c>
      <c r="AO417" s="946">
        <v>0.192048250119014</v>
      </c>
      <c r="AP417" s="946">
        <v>192</v>
      </c>
      <c r="AQ417" s="953"/>
      <c r="AR417" s="950"/>
      <c r="AS417" s="950">
        <v>251.99100000000001</v>
      </c>
    </row>
    <row r="418" spans="1:47" x14ac:dyDescent="0.3">
      <c r="A418" s="642" t="s">
        <v>1329</v>
      </c>
      <c r="B418" s="642" t="s">
        <v>1330</v>
      </c>
      <c r="C418" s="642" t="s">
        <v>1328</v>
      </c>
      <c r="D418" s="642" t="s">
        <v>97</v>
      </c>
      <c r="F418" s="946">
        <v>0</v>
      </c>
      <c r="H418" s="946">
        <v>0</v>
      </c>
      <c r="I418" s="939">
        <v>196091010</v>
      </c>
      <c r="J418" s="974">
        <v>196091.01</v>
      </c>
      <c r="L418" s="946">
        <v>30989</v>
      </c>
      <c r="M418" s="947"/>
      <c r="N418" s="946">
        <v>0</v>
      </c>
      <c r="P418" s="946">
        <v>19767</v>
      </c>
      <c r="R418" s="946">
        <v>0</v>
      </c>
      <c r="S418" s="948">
        <v>1523377</v>
      </c>
      <c r="T418" s="946">
        <v>1523.377</v>
      </c>
      <c r="V418" s="946">
        <v>540</v>
      </c>
      <c r="W418" s="946">
        <v>1215</v>
      </c>
      <c r="X418" s="946">
        <v>5616</v>
      </c>
      <c r="Y418" s="947"/>
      <c r="Z418" s="946">
        <v>438</v>
      </c>
      <c r="AA418" s="948">
        <v>506405</v>
      </c>
      <c r="AB418" s="946">
        <v>506.40499999999997</v>
      </c>
      <c r="AC418" s="974">
        <v>0</v>
      </c>
      <c r="AD418" s="946">
        <v>163030.29999999999</v>
      </c>
      <c r="AE418" s="957">
        <v>0</v>
      </c>
      <c r="AG418" s="957">
        <v>0</v>
      </c>
      <c r="AH418" s="955">
        <v>0</v>
      </c>
      <c r="AI418" s="425">
        <v>1</v>
      </c>
      <c r="AJ418" s="957">
        <v>-2930</v>
      </c>
      <c r="AL418" s="939">
        <v>1</v>
      </c>
      <c r="AM418" s="939">
        <v>1</v>
      </c>
      <c r="AN418" s="950">
        <v>543.40251999999998</v>
      </c>
      <c r="AO418" s="946">
        <v>0.51990961790172896</v>
      </c>
      <c r="AP418" s="946">
        <v>520</v>
      </c>
      <c r="AQ418" s="953"/>
      <c r="AR418" s="950"/>
      <c r="AS418" s="950">
        <v>1185.1030000000001</v>
      </c>
    </row>
    <row r="419" spans="1:47" x14ac:dyDescent="0.3">
      <c r="A419" s="642" t="s">
        <v>1332</v>
      </c>
      <c r="B419" s="642" t="s">
        <v>1333</v>
      </c>
      <c r="C419" s="642" t="s">
        <v>1331</v>
      </c>
      <c r="D419" s="642" t="s">
        <v>61</v>
      </c>
      <c r="F419" s="946">
        <v>0</v>
      </c>
      <c r="H419" s="946">
        <v>0</v>
      </c>
      <c r="I419" s="939">
        <v>0</v>
      </c>
      <c r="J419" s="974">
        <v>0</v>
      </c>
      <c r="L419" s="946">
        <v>0</v>
      </c>
      <c r="M419" s="947"/>
      <c r="N419" s="946">
        <v>0</v>
      </c>
      <c r="P419" s="946">
        <v>0</v>
      </c>
      <c r="R419" s="946">
        <v>0</v>
      </c>
      <c r="S419" s="948">
        <v>0</v>
      </c>
      <c r="T419" s="946">
        <v>0</v>
      </c>
      <c r="V419" s="946">
        <v>404</v>
      </c>
      <c r="W419" s="946">
        <v>0</v>
      </c>
      <c r="X419" s="946">
        <v>147</v>
      </c>
      <c r="Y419" s="947"/>
      <c r="Z419" s="946">
        <v>231</v>
      </c>
      <c r="AA419" s="948">
        <v>80132</v>
      </c>
      <c r="AB419" s="946">
        <v>80.132000000000005</v>
      </c>
      <c r="AC419" s="974">
        <v>0</v>
      </c>
      <c r="AD419" s="946">
        <v>10606.601000000001</v>
      </c>
      <c r="AE419" s="957" t="s">
        <v>5589</v>
      </c>
      <c r="AG419" s="957">
        <v>134</v>
      </c>
      <c r="AH419" s="955">
        <v>0</v>
      </c>
      <c r="AI419" s="425">
        <v>1</v>
      </c>
      <c r="AJ419" s="957">
        <v>0</v>
      </c>
      <c r="AL419" s="939">
        <v>0</v>
      </c>
      <c r="AM419" s="939">
        <v>0</v>
      </c>
      <c r="AN419" s="950">
        <v>46018.391220000005</v>
      </c>
      <c r="AO419" s="946">
        <v>9.7653105719237299E-2</v>
      </c>
      <c r="AP419" s="946">
        <v>98</v>
      </c>
      <c r="AQ419" s="953"/>
      <c r="AR419" s="950"/>
      <c r="AS419" s="950">
        <v>187.69399999999999</v>
      </c>
    </row>
    <row r="420" spans="1:47" x14ac:dyDescent="0.3">
      <c r="A420" s="642" t="s">
        <v>1335</v>
      </c>
      <c r="B420" s="642" t="s">
        <v>1336</v>
      </c>
      <c r="C420" s="642" t="s">
        <v>1334</v>
      </c>
      <c r="D420" s="642" t="s">
        <v>125</v>
      </c>
      <c r="F420" s="946">
        <v>-2</v>
      </c>
      <c r="H420" s="946">
        <v>0</v>
      </c>
      <c r="I420" s="939">
        <v>85076317</v>
      </c>
      <c r="J420" s="974">
        <v>85076.316999999995</v>
      </c>
      <c r="L420" s="946">
        <v>5690</v>
      </c>
      <c r="M420" s="947"/>
      <c r="N420" s="946">
        <v>0</v>
      </c>
      <c r="P420" s="946">
        <v>3140</v>
      </c>
      <c r="R420" s="946">
        <v>472</v>
      </c>
      <c r="S420" s="948">
        <v>264970</v>
      </c>
      <c r="T420" s="946">
        <v>264.97000000000003</v>
      </c>
      <c r="V420" s="946">
        <v>472</v>
      </c>
      <c r="W420" s="946">
        <v>271</v>
      </c>
      <c r="X420" s="946">
        <v>973</v>
      </c>
      <c r="Y420" s="947"/>
      <c r="Z420" s="946">
        <v>4765</v>
      </c>
      <c r="AA420" s="948">
        <v>78772</v>
      </c>
      <c r="AB420" s="946">
        <v>78.772000000000006</v>
      </c>
      <c r="AC420" s="974">
        <v>5155.3270000000002</v>
      </c>
      <c r="AD420" s="946">
        <v>130209.594</v>
      </c>
      <c r="AE420" s="957">
        <v>1313</v>
      </c>
      <c r="AG420" s="957">
        <v>1</v>
      </c>
      <c r="AH420" s="955">
        <v>0</v>
      </c>
      <c r="AI420" s="425">
        <v>1</v>
      </c>
      <c r="AJ420" s="957">
        <v>0</v>
      </c>
      <c r="AL420" s="939">
        <v>1</v>
      </c>
      <c r="AM420" s="939">
        <v>1</v>
      </c>
      <c r="AN420" s="950">
        <v>3502.3926000000006</v>
      </c>
      <c r="AO420" s="946">
        <v>0.33753376033702998</v>
      </c>
      <c r="AP420" s="946">
        <v>338</v>
      </c>
      <c r="AQ420" s="953"/>
      <c r="AR420" s="950"/>
      <c r="AS420" s="950">
        <v>181.608</v>
      </c>
    </row>
    <row r="421" spans="1:47" x14ac:dyDescent="0.3">
      <c r="A421" s="642" t="s">
        <v>1338</v>
      </c>
      <c r="B421" s="642" t="s">
        <v>1339</v>
      </c>
      <c r="C421" s="642" t="s">
        <v>1337</v>
      </c>
      <c r="D421" s="642" t="s">
        <v>97</v>
      </c>
      <c r="F421" s="946">
        <v>0</v>
      </c>
      <c r="H421" s="946">
        <v>0</v>
      </c>
      <c r="I421" s="939">
        <v>140216862</v>
      </c>
      <c r="J421" s="974">
        <v>140216.86199999999</v>
      </c>
      <c r="L421" s="946">
        <v>21753</v>
      </c>
      <c r="M421" s="947"/>
      <c r="N421" s="946">
        <v>0</v>
      </c>
      <c r="P421" s="946">
        <v>15377</v>
      </c>
      <c r="R421" s="946">
        <v>14761</v>
      </c>
      <c r="S421" s="948">
        <v>948777</v>
      </c>
      <c r="T421" s="946">
        <v>948.77700000000004</v>
      </c>
      <c r="V421" s="946">
        <v>915</v>
      </c>
      <c r="W421" s="946">
        <v>929</v>
      </c>
      <c r="X421" s="946">
        <v>5493</v>
      </c>
      <c r="Y421" s="947"/>
      <c r="Z421" s="946">
        <v>1632</v>
      </c>
      <c r="AA421" s="948">
        <v>431043</v>
      </c>
      <c r="AB421" s="946">
        <v>431.04300000000001</v>
      </c>
      <c r="AC421" s="974">
        <v>0</v>
      </c>
      <c r="AD421" s="946">
        <v>118072.89</v>
      </c>
      <c r="AE421" s="957">
        <v>7011</v>
      </c>
      <c r="AG421" s="957">
        <v>0</v>
      </c>
      <c r="AH421" s="955">
        <v>-3000</v>
      </c>
      <c r="AI421" s="425">
        <v>1</v>
      </c>
      <c r="AJ421" s="957">
        <v>-3000</v>
      </c>
      <c r="AL421" s="939">
        <v>1</v>
      </c>
      <c r="AM421" s="939">
        <v>1</v>
      </c>
      <c r="AN421" s="950">
        <v>22782.950279999997</v>
      </c>
      <c r="AO421" s="946">
        <v>0.487349277392846</v>
      </c>
      <c r="AP421" s="946">
        <v>487</v>
      </c>
      <c r="AQ421" s="953"/>
      <c r="AR421" s="950"/>
      <c r="AS421" s="950">
        <v>995.20799999999997</v>
      </c>
    </row>
    <row r="422" spans="1:47" x14ac:dyDescent="0.3">
      <c r="A422" s="642" t="s">
        <v>1341</v>
      </c>
      <c r="B422" s="642" t="s">
        <v>1342</v>
      </c>
      <c r="C422" s="642" t="s">
        <v>1340</v>
      </c>
      <c r="D422" s="642" t="s">
        <v>61</v>
      </c>
      <c r="F422" s="946">
        <v>0</v>
      </c>
      <c r="H422" s="946">
        <v>0</v>
      </c>
      <c r="I422" s="939">
        <v>0</v>
      </c>
      <c r="J422" s="974">
        <v>0</v>
      </c>
      <c r="L422" s="946">
        <v>0</v>
      </c>
      <c r="M422" s="947"/>
      <c r="N422" s="946">
        <v>0</v>
      </c>
      <c r="P422" s="946">
        <v>0</v>
      </c>
      <c r="R422" s="946">
        <v>0</v>
      </c>
      <c r="S422" s="948">
        <v>0</v>
      </c>
      <c r="T422" s="946">
        <v>0</v>
      </c>
      <c r="V422" s="946">
        <v>474</v>
      </c>
      <c r="W422" s="946">
        <v>0</v>
      </c>
      <c r="X422" s="946">
        <v>180</v>
      </c>
      <c r="Y422" s="947"/>
      <c r="Z422" s="946">
        <v>891</v>
      </c>
      <c r="AA422" s="948">
        <v>116947</v>
      </c>
      <c r="AB422" s="946">
        <v>116.947</v>
      </c>
      <c r="AC422" s="974">
        <v>150.58799999999999</v>
      </c>
      <c r="AD422" s="946">
        <v>6684.8530000000001</v>
      </c>
      <c r="AE422" s="957">
        <v>0</v>
      </c>
      <c r="AG422" s="957">
        <v>493</v>
      </c>
      <c r="AH422" s="955">
        <v>0</v>
      </c>
      <c r="AI422" s="425">
        <v>1</v>
      </c>
      <c r="AJ422" s="957">
        <v>0</v>
      </c>
      <c r="AL422" s="939">
        <v>0</v>
      </c>
      <c r="AM422" s="939">
        <v>0</v>
      </c>
      <c r="AN422" s="950">
        <v>270.63302999999996</v>
      </c>
      <c r="AO422" s="946">
        <v>0.11963681928756</v>
      </c>
      <c r="AP422" s="946">
        <v>120</v>
      </c>
      <c r="AQ422" s="953"/>
      <c r="AR422" s="950"/>
      <c r="AS422" s="950">
        <v>252.54400000000001</v>
      </c>
    </row>
    <row r="423" spans="1:47" x14ac:dyDescent="0.3">
      <c r="A423" s="642" t="s">
        <v>1344</v>
      </c>
      <c r="B423" s="642" t="s">
        <v>1345</v>
      </c>
      <c r="C423" s="642" t="s">
        <v>1343</v>
      </c>
      <c r="D423" s="642" t="s">
        <v>1942</v>
      </c>
      <c r="F423" s="946">
        <v>-10</v>
      </c>
      <c r="H423" s="946">
        <v>0</v>
      </c>
      <c r="I423" s="939">
        <v>234506632</v>
      </c>
      <c r="J423" s="974">
        <v>234506.63200000001</v>
      </c>
      <c r="L423" s="946">
        <v>31218</v>
      </c>
      <c r="M423" s="947"/>
      <c r="N423" s="946">
        <v>0</v>
      </c>
      <c r="P423" s="946">
        <v>21760</v>
      </c>
      <c r="R423" s="946">
        <v>19024</v>
      </c>
      <c r="S423" s="948">
        <v>2828718</v>
      </c>
      <c r="T423" s="946">
        <v>2828.7179999999998</v>
      </c>
      <c r="V423" s="946">
        <v>0</v>
      </c>
      <c r="W423" s="946">
        <v>1610</v>
      </c>
      <c r="X423" s="946">
        <v>4377</v>
      </c>
      <c r="Y423" s="947"/>
      <c r="Z423" s="946">
        <v>1506</v>
      </c>
      <c r="AA423" s="948">
        <v>0</v>
      </c>
      <c r="AB423" s="946">
        <v>0</v>
      </c>
      <c r="AC423" s="974">
        <v>0</v>
      </c>
      <c r="AD423" s="946">
        <v>301346.304</v>
      </c>
      <c r="AE423" s="957">
        <v>0</v>
      </c>
      <c r="AG423" s="957">
        <v>3550</v>
      </c>
      <c r="AH423" s="955">
        <v>-3550</v>
      </c>
      <c r="AI423" s="425">
        <v>0</v>
      </c>
      <c r="AJ423" s="957">
        <v>-3550</v>
      </c>
      <c r="AL423" s="939">
        <v>1</v>
      </c>
      <c r="AM423" s="939">
        <v>1</v>
      </c>
      <c r="AN423" s="950">
        <v>13359.324720000001</v>
      </c>
      <c r="AO423" s="946">
        <v>0</v>
      </c>
      <c r="AP423" s="946">
        <v>0</v>
      </c>
      <c r="AQ423" s="953"/>
      <c r="AR423" s="950"/>
      <c r="AS423" s="950">
        <v>0</v>
      </c>
    </row>
    <row r="424" spans="1:47" x14ac:dyDescent="0.3">
      <c r="A424" s="642" t="s">
        <v>1347</v>
      </c>
      <c r="B424" s="642" t="s">
        <v>1348</v>
      </c>
      <c r="C424" s="642" t="s">
        <v>1346</v>
      </c>
      <c r="D424" s="642" t="s">
        <v>61</v>
      </c>
      <c r="F424" s="946">
        <v>0</v>
      </c>
      <c r="H424" s="946">
        <v>0</v>
      </c>
      <c r="I424" s="939">
        <v>0</v>
      </c>
      <c r="J424" s="974">
        <v>0</v>
      </c>
      <c r="L424" s="946">
        <v>0</v>
      </c>
      <c r="M424" s="947"/>
      <c r="N424" s="946">
        <v>0</v>
      </c>
      <c r="P424" s="946">
        <v>0</v>
      </c>
      <c r="R424" s="946">
        <v>0</v>
      </c>
      <c r="S424" s="948">
        <v>0</v>
      </c>
      <c r="T424" s="946">
        <v>0</v>
      </c>
      <c r="V424" s="946">
        <v>372</v>
      </c>
      <c r="W424" s="946">
        <v>0</v>
      </c>
      <c r="X424" s="946">
        <v>186</v>
      </c>
      <c r="Y424" s="947"/>
      <c r="Z424" s="946">
        <v>156</v>
      </c>
      <c r="AA424" s="948">
        <v>102121</v>
      </c>
      <c r="AB424" s="946">
        <v>102.121</v>
      </c>
      <c r="AC424" s="974">
        <v>0</v>
      </c>
      <c r="AD424" s="946">
        <v>9996.11</v>
      </c>
      <c r="AE424" s="957">
        <v>0</v>
      </c>
      <c r="AG424" s="957">
        <v>229</v>
      </c>
      <c r="AH424" s="955">
        <v>0</v>
      </c>
      <c r="AI424" s="425">
        <v>1</v>
      </c>
      <c r="AJ424" s="957">
        <v>-100</v>
      </c>
      <c r="AL424" s="939">
        <v>0</v>
      </c>
      <c r="AM424" s="939">
        <v>0</v>
      </c>
      <c r="AN424" s="950">
        <v>2589.6860600000005</v>
      </c>
      <c r="AO424" s="946">
        <v>0.12317671367015399</v>
      </c>
      <c r="AP424" s="946">
        <v>123</v>
      </c>
      <c r="AQ424" s="953"/>
      <c r="AR424" s="950"/>
      <c r="AS424" s="950">
        <v>270.76499999999999</v>
      </c>
    </row>
    <row r="425" spans="1:47" x14ac:dyDescent="0.3">
      <c r="A425" s="642" t="s">
        <v>1350</v>
      </c>
      <c r="B425" s="642" t="s">
        <v>1351</v>
      </c>
      <c r="C425" s="642" t="s">
        <v>1349</v>
      </c>
      <c r="D425" s="642" t="s">
        <v>61</v>
      </c>
      <c r="F425" s="946">
        <v>0</v>
      </c>
      <c r="H425" s="946">
        <v>0</v>
      </c>
      <c r="I425" s="939">
        <v>0</v>
      </c>
      <c r="J425" s="974">
        <v>0</v>
      </c>
      <c r="L425" s="946">
        <v>0</v>
      </c>
      <c r="M425" s="947"/>
      <c r="N425" s="946">
        <v>58</v>
      </c>
      <c r="P425" s="946">
        <v>0</v>
      </c>
      <c r="R425" s="946">
        <v>0</v>
      </c>
      <c r="S425" s="948">
        <v>0</v>
      </c>
      <c r="T425" s="946">
        <v>0</v>
      </c>
      <c r="V425" s="946">
        <v>363</v>
      </c>
      <c r="W425" s="946">
        <v>0</v>
      </c>
      <c r="X425" s="946">
        <v>183</v>
      </c>
      <c r="Y425" s="947"/>
      <c r="Z425" s="946">
        <v>2556</v>
      </c>
      <c r="AA425" s="948">
        <v>119299</v>
      </c>
      <c r="AB425" s="946">
        <v>119.29900000000001</v>
      </c>
      <c r="AC425" s="974">
        <v>2741.9810000000002</v>
      </c>
      <c r="AD425" s="946">
        <v>9157.0010000000002</v>
      </c>
      <c r="AE425" s="957">
        <v>0</v>
      </c>
      <c r="AG425" s="957">
        <v>6442</v>
      </c>
      <c r="AH425" s="955">
        <v>0</v>
      </c>
      <c r="AI425" s="425">
        <v>1</v>
      </c>
      <c r="AJ425" s="957">
        <v>0</v>
      </c>
      <c r="AL425" s="939">
        <v>0</v>
      </c>
      <c r="AM425" s="939">
        <v>0</v>
      </c>
      <c r="AN425" s="950">
        <v>0</v>
      </c>
      <c r="AO425" s="946">
        <v>1.0530575646195</v>
      </c>
      <c r="AP425" s="946">
        <v>1053</v>
      </c>
      <c r="AQ425" s="953"/>
      <c r="AR425" s="950"/>
      <c r="AS425" s="950">
        <v>249.96899999999999</v>
      </c>
    </row>
    <row r="426" spans="1:47" x14ac:dyDescent="0.3">
      <c r="A426" s="642" t="s">
        <v>1353</v>
      </c>
      <c r="B426" s="642" t="s">
        <v>1354</v>
      </c>
      <c r="C426" s="642" t="s">
        <v>1352</v>
      </c>
      <c r="D426" s="642" t="s">
        <v>61</v>
      </c>
      <c r="F426" s="946">
        <v>-1</v>
      </c>
      <c r="H426" s="946">
        <v>0</v>
      </c>
      <c r="I426" s="939">
        <v>0</v>
      </c>
      <c r="J426" s="974">
        <v>0</v>
      </c>
      <c r="L426" s="946">
        <v>0</v>
      </c>
      <c r="M426" s="947"/>
      <c r="N426" s="946">
        <v>0</v>
      </c>
      <c r="P426" s="946">
        <v>0</v>
      </c>
      <c r="R426" s="946">
        <v>0</v>
      </c>
      <c r="S426" s="948">
        <v>0</v>
      </c>
      <c r="T426" s="946">
        <v>0</v>
      </c>
      <c r="V426" s="946">
        <v>266</v>
      </c>
      <c r="W426" s="946">
        <v>0</v>
      </c>
      <c r="X426" s="946">
        <v>235</v>
      </c>
      <c r="Y426" s="947"/>
      <c r="Z426" s="946">
        <v>1257</v>
      </c>
      <c r="AA426" s="948">
        <v>148942</v>
      </c>
      <c r="AB426" s="946">
        <v>148.94200000000001</v>
      </c>
      <c r="AC426" s="974">
        <v>864.17100000000005</v>
      </c>
      <c r="AD426" s="946">
        <v>9025.2489999999998</v>
      </c>
      <c r="AE426" s="957">
        <v>0</v>
      </c>
      <c r="AG426" s="957">
        <v>155</v>
      </c>
      <c r="AH426" s="955">
        <v>0</v>
      </c>
      <c r="AI426" s="425">
        <v>1</v>
      </c>
      <c r="AJ426" s="957">
        <v>0</v>
      </c>
      <c r="AL426" s="939">
        <v>0</v>
      </c>
      <c r="AM426" s="939">
        <v>0</v>
      </c>
      <c r="AN426" s="950">
        <v>34.4148</v>
      </c>
      <c r="AO426" s="946">
        <v>0.15596423819161201</v>
      </c>
      <c r="AP426" s="946">
        <v>156</v>
      </c>
      <c r="AQ426" s="953"/>
      <c r="AR426" s="950"/>
      <c r="AS426" s="950">
        <v>275.75599999999997</v>
      </c>
    </row>
    <row r="427" spans="1:47" x14ac:dyDescent="0.3">
      <c r="A427" s="642" t="s">
        <v>1356</v>
      </c>
      <c r="B427" s="642" t="s">
        <v>1357</v>
      </c>
      <c r="C427" s="642" t="s">
        <v>1355</v>
      </c>
      <c r="D427" s="642" t="s">
        <v>61</v>
      </c>
      <c r="F427" s="946">
        <v>0</v>
      </c>
      <c r="H427" s="946">
        <v>0</v>
      </c>
      <c r="I427" s="939">
        <v>0</v>
      </c>
      <c r="J427" s="974">
        <v>0</v>
      </c>
      <c r="L427" s="946">
        <v>0</v>
      </c>
      <c r="M427" s="947"/>
      <c r="N427" s="946">
        <v>0</v>
      </c>
      <c r="P427" s="946">
        <v>0</v>
      </c>
      <c r="R427" s="946">
        <v>0</v>
      </c>
      <c r="S427" s="948">
        <v>0</v>
      </c>
      <c r="T427" s="946">
        <v>0</v>
      </c>
      <c r="V427" s="946">
        <v>352</v>
      </c>
      <c r="W427" s="946">
        <v>0</v>
      </c>
      <c r="X427" s="946">
        <v>196</v>
      </c>
      <c r="Y427" s="947"/>
      <c r="Z427" s="946">
        <v>464</v>
      </c>
      <c r="AA427" s="948">
        <v>130569</v>
      </c>
      <c r="AB427" s="946">
        <v>130.56899999999999</v>
      </c>
      <c r="AC427" s="974">
        <v>1586.4</v>
      </c>
      <c r="AD427" s="946">
        <v>9434.41</v>
      </c>
      <c r="AE427" s="957">
        <v>0</v>
      </c>
      <c r="AG427" s="957">
        <v>0</v>
      </c>
      <c r="AH427" s="955">
        <v>0</v>
      </c>
      <c r="AI427" s="425">
        <v>1</v>
      </c>
      <c r="AJ427" s="957">
        <v>0</v>
      </c>
      <c r="AL427" s="939">
        <v>0</v>
      </c>
      <c r="AM427" s="939">
        <v>0</v>
      </c>
      <c r="AN427" s="950">
        <v>820.8</v>
      </c>
      <c r="AO427" s="946">
        <v>0.13006892468954601</v>
      </c>
      <c r="AP427" s="946">
        <v>130</v>
      </c>
      <c r="AQ427" s="953"/>
      <c r="AR427" s="950"/>
      <c r="AS427" s="950">
        <v>273.23399999999998</v>
      </c>
    </row>
    <row r="428" spans="1:47" x14ac:dyDescent="0.3">
      <c r="A428" s="642" t="s">
        <v>1359</v>
      </c>
      <c r="B428" s="642" t="s">
        <v>1360</v>
      </c>
      <c r="C428" s="642" t="s">
        <v>1358</v>
      </c>
      <c r="D428" s="642" t="s">
        <v>125</v>
      </c>
      <c r="F428" s="946">
        <v>-561</v>
      </c>
      <c r="H428" s="946">
        <v>0</v>
      </c>
      <c r="I428" s="939">
        <v>75568449</v>
      </c>
      <c r="J428" s="974">
        <v>75568.448999999993</v>
      </c>
      <c r="L428" s="946">
        <v>8372</v>
      </c>
      <c r="M428" s="947"/>
      <c r="N428" s="946">
        <v>0</v>
      </c>
      <c r="P428" s="946">
        <v>6191</v>
      </c>
      <c r="R428" s="946">
        <v>5369</v>
      </c>
      <c r="S428" s="948">
        <v>333217</v>
      </c>
      <c r="T428" s="946">
        <v>333.21699999999998</v>
      </c>
      <c r="V428" s="946">
        <v>392</v>
      </c>
      <c r="W428" s="946">
        <v>494</v>
      </c>
      <c r="X428" s="946">
        <v>1831</v>
      </c>
      <c r="Y428" s="947"/>
      <c r="Z428" s="946">
        <v>1838</v>
      </c>
      <c r="AA428" s="948">
        <v>156350</v>
      </c>
      <c r="AB428" s="946">
        <v>156.35</v>
      </c>
      <c r="AC428" s="974">
        <v>866.25199999999995</v>
      </c>
      <c r="AD428" s="946">
        <v>102908.962</v>
      </c>
      <c r="AE428" s="957">
        <v>35863</v>
      </c>
      <c r="AG428" s="957">
        <v>100</v>
      </c>
      <c r="AH428" s="955">
        <v>0</v>
      </c>
      <c r="AI428" s="425">
        <v>1</v>
      </c>
      <c r="AJ428" s="957">
        <v>0</v>
      </c>
      <c r="AL428" s="939">
        <v>1</v>
      </c>
      <c r="AM428" s="939">
        <v>1</v>
      </c>
      <c r="AN428" s="950">
        <v>9559.5705599999983</v>
      </c>
      <c r="AO428" s="946">
        <v>0.26033020465201301</v>
      </c>
      <c r="AP428" s="946">
        <v>260</v>
      </c>
      <c r="AQ428" s="953"/>
      <c r="AR428" s="950"/>
      <c r="AS428" s="950">
        <v>369.58499999999998</v>
      </c>
    </row>
    <row r="429" spans="1:47" x14ac:dyDescent="0.3">
      <c r="A429" s="642" t="s">
        <v>1362</v>
      </c>
      <c r="B429" s="642" t="s">
        <v>1363</v>
      </c>
      <c r="C429" s="642" t="s">
        <v>1361</v>
      </c>
      <c r="D429" s="642" t="s">
        <v>5418</v>
      </c>
      <c r="F429" s="946">
        <v>0</v>
      </c>
      <c r="H429" s="946">
        <v>0</v>
      </c>
      <c r="I429" s="939">
        <v>0</v>
      </c>
      <c r="J429" s="974">
        <v>0</v>
      </c>
      <c r="L429" s="946">
        <v>0</v>
      </c>
      <c r="M429" s="947"/>
      <c r="N429" s="946">
        <v>0</v>
      </c>
      <c r="P429" s="946">
        <v>0</v>
      </c>
      <c r="R429" s="946">
        <v>0</v>
      </c>
      <c r="S429" s="948">
        <v>0</v>
      </c>
      <c r="T429" s="946">
        <v>0</v>
      </c>
      <c r="V429" s="946">
        <v>0</v>
      </c>
      <c r="W429" s="946">
        <v>0</v>
      </c>
      <c r="X429" s="946">
        <v>0</v>
      </c>
      <c r="Y429" s="947"/>
      <c r="Z429" s="946">
        <v>0</v>
      </c>
      <c r="AA429" s="948">
        <v>0</v>
      </c>
      <c r="AB429" s="946">
        <v>0</v>
      </c>
      <c r="AC429" s="974">
        <v>0</v>
      </c>
      <c r="AD429" s="946">
        <v>0</v>
      </c>
      <c r="AE429" s="957">
        <v>0</v>
      </c>
      <c r="AG429" s="957">
        <v>66</v>
      </c>
      <c r="AH429" s="955">
        <v>0</v>
      </c>
      <c r="AI429" s="425">
        <v>0</v>
      </c>
      <c r="AJ429" s="957">
        <v>0</v>
      </c>
      <c r="AL429" s="939">
        <v>0</v>
      </c>
      <c r="AM429" s="939">
        <v>0</v>
      </c>
      <c r="AN429" s="950">
        <v>0</v>
      </c>
      <c r="AO429" s="946">
        <v>0</v>
      </c>
      <c r="AP429" s="946">
        <v>0</v>
      </c>
      <c r="AQ429" s="953"/>
      <c r="AR429" s="950"/>
      <c r="AS429" s="950">
        <v>0</v>
      </c>
    </row>
    <row r="431" spans="1:47" x14ac:dyDescent="0.3">
      <c r="E431" s="947"/>
      <c r="F431" s="947"/>
      <c r="G431" s="947"/>
      <c r="H431" s="947"/>
      <c r="I431" s="947"/>
      <c r="J431" s="947"/>
      <c r="K431" s="947"/>
      <c r="L431" s="947"/>
      <c r="M431" s="947"/>
      <c r="N431" s="947"/>
      <c r="O431" s="947"/>
      <c r="P431" s="947"/>
      <c r="Q431" s="947"/>
      <c r="R431" s="947"/>
      <c r="S431" s="947"/>
      <c r="T431" s="947"/>
      <c r="U431" s="947"/>
      <c r="V431" s="947"/>
      <c r="W431" s="947"/>
      <c r="X431" s="947"/>
      <c r="Y431" s="947"/>
      <c r="Z431" s="947"/>
      <c r="AA431" s="947"/>
      <c r="AB431" s="947"/>
      <c r="AC431" s="947"/>
      <c r="AD431" s="947"/>
      <c r="AE431" s="958"/>
      <c r="AF431" s="951"/>
      <c r="AG431" s="947"/>
      <c r="AH431" s="958"/>
      <c r="AI431" s="947"/>
      <c r="AJ431" s="947"/>
      <c r="AK431" s="947"/>
      <c r="AL431" s="947"/>
      <c r="AM431" s="947"/>
      <c r="AN431" s="947"/>
      <c r="AO431" s="947"/>
      <c r="AP431" s="947"/>
      <c r="AQ431" s="947"/>
      <c r="AR431" s="947"/>
      <c r="AS431" s="947"/>
      <c r="AT431" s="947"/>
      <c r="AU431" s="947"/>
    </row>
    <row r="434" spans="40:40" x14ac:dyDescent="0.3">
      <c r="AN434" s="947"/>
    </row>
  </sheetData>
  <sheetProtection sheet="1" objects="1" scenarios="1"/>
  <autoFilter ref="A2:AS429" xr:uid="{182CB58C-B0A3-4FE4-8D3F-91AE4BAB8042}"/>
  <phoneticPr fontId="200" type="noConversion"/>
  <hyperlinks>
    <hyperlink ref="AO3" r:id="rId1" xr:uid="{6D6FFFF0-1562-4A9D-9832-6D111CD47750}"/>
  </hyperlinks>
  <pageMargins left="0.7" right="0.7" top="0.75" bottom="0.75" header="0.3" footer="0.3"/>
  <pageSetup paperSize="9" orientation="portrait"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theme="5" tint="0.59999389629810485"/>
  </sheetPr>
  <dimension ref="A1:C1"/>
  <sheetViews>
    <sheetView workbookViewId="0"/>
  </sheetViews>
  <sheetFormatPr defaultRowHeight="12.5" x14ac:dyDescent="0.25"/>
  <cols>
    <col min="1" max="1" width="14" customWidth="1"/>
  </cols>
  <sheetData>
    <row r="1" spans="1:3" x14ac:dyDescent="0.25">
      <c r="A1" t="str">
        <f>LA_name</f>
        <v>Please click here to select your authority name ==&gt;</v>
      </c>
      <c r="B1" t="s">
        <v>2904</v>
      </c>
      <c r="C1">
        <v>2019</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tabColor theme="5" tint="0.59999389629810485"/>
  </sheetPr>
  <dimension ref="A1:L422"/>
  <sheetViews>
    <sheetView zoomScaleNormal="100" workbookViewId="0">
      <selection sqref="A1:XFD1048576"/>
    </sheetView>
  </sheetViews>
  <sheetFormatPr defaultRowHeight="12.5" x14ac:dyDescent="0.25"/>
  <cols>
    <col min="2" max="4" width="20" customWidth="1"/>
    <col min="5" max="5" width="14.7265625" customWidth="1"/>
    <col min="6" max="6" width="47.26953125" customWidth="1"/>
    <col min="8" max="11" width="21.26953125" customWidth="1"/>
    <col min="12" max="12" width="24.26953125" customWidth="1"/>
  </cols>
  <sheetData>
    <row r="1" spans="1:12" ht="14" x14ac:dyDescent="0.25">
      <c r="A1" s="1150" t="s">
        <v>5593</v>
      </c>
      <c r="B1" s="1150" t="s">
        <v>5594</v>
      </c>
      <c r="C1" s="1150" t="s">
        <v>5595</v>
      </c>
      <c r="D1" s="1150" t="s">
        <v>5596</v>
      </c>
      <c r="E1" s="1150" t="s">
        <v>5597</v>
      </c>
      <c r="F1" s="1150" t="s">
        <v>5598</v>
      </c>
      <c r="G1" s="1150" t="s">
        <v>1382</v>
      </c>
      <c r="H1" s="1150" t="s">
        <v>5599</v>
      </c>
      <c r="I1" s="1150" t="s">
        <v>5600</v>
      </c>
      <c r="J1" s="1150" t="s">
        <v>5601</v>
      </c>
      <c r="K1" s="1150" t="s">
        <v>5602</v>
      </c>
      <c r="L1" s="1150" t="s">
        <v>5603</v>
      </c>
    </row>
    <row r="2" spans="1:12" ht="14" x14ac:dyDescent="0.3">
      <c r="A2" s="434" t="str">
        <f>E2&amp;B2</f>
        <v>RO110</v>
      </c>
      <c r="B2" s="434">
        <v>10</v>
      </c>
      <c r="C2" s="434">
        <v>7</v>
      </c>
      <c r="D2" s="434">
        <v>1</v>
      </c>
      <c r="E2" s="435" t="s">
        <v>2490</v>
      </c>
      <c r="F2" s="436" t="s">
        <v>5604</v>
      </c>
      <c r="G2" s="437">
        <v>4000</v>
      </c>
      <c r="H2" s="437"/>
      <c r="I2" s="438">
        <v>60</v>
      </c>
      <c r="J2" s="434">
        <v>10</v>
      </c>
      <c r="K2" s="434">
        <v>7</v>
      </c>
      <c r="L2" s="435" t="s">
        <v>5605</v>
      </c>
    </row>
    <row r="3" spans="1:12" ht="14" x14ac:dyDescent="0.3">
      <c r="A3" s="434" t="str">
        <f t="shared" ref="A3:A67" si="0">E3&amp;B3</f>
        <v>RO120</v>
      </c>
      <c r="B3" s="434">
        <v>20</v>
      </c>
      <c r="C3" s="434">
        <v>7</v>
      </c>
      <c r="D3" s="434">
        <v>2</v>
      </c>
      <c r="E3" s="435" t="s">
        <v>2490</v>
      </c>
      <c r="F3" s="436" t="s">
        <v>5606</v>
      </c>
      <c r="G3" s="437">
        <v>4000</v>
      </c>
      <c r="H3" s="437"/>
      <c r="I3" s="438">
        <v>45</v>
      </c>
      <c r="J3" s="434">
        <v>20</v>
      </c>
      <c r="K3" s="434">
        <v>7</v>
      </c>
      <c r="L3" s="435" t="s">
        <v>5605</v>
      </c>
    </row>
    <row r="4" spans="1:12" ht="14" x14ac:dyDescent="0.3">
      <c r="A4" s="434" t="str">
        <f t="shared" si="0"/>
        <v>RO130</v>
      </c>
      <c r="B4" s="434">
        <v>30</v>
      </c>
      <c r="C4" s="434">
        <v>7</v>
      </c>
      <c r="D4" s="434">
        <v>3</v>
      </c>
      <c r="E4" s="435" t="s">
        <v>2490</v>
      </c>
      <c r="F4" s="436" t="s">
        <v>5607</v>
      </c>
      <c r="G4" s="437">
        <v>10000</v>
      </c>
      <c r="H4" s="437"/>
      <c r="I4" s="438">
        <v>60</v>
      </c>
      <c r="J4" s="434">
        <v>30</v>
      </c>
      <c r="K4" s="434">
        <v>7</v>
      </c>
      <c r="L4" s="435" t="s">
        <v>5605</v>
      </c>
    </row>
    <row r="5" spans="1:12" ht="14" x14ac:dyDescent="0.3">
      <c r="A5" s="434" t="str">
        <f t="shared" si="0"/>
        <v>RO140</v>
      </c>
      <c r="B5" s="434">
        <v>40</v>
      </c>
      <c r="C5" s="434">
        <v>7</v>
      </c>
      <c r="D5" s="434">
        <v>4</v>
      </c>
      <c r="E5" s="435" t="s">
        <v>2490</v>
      </c>
      <c r="F5" s="436" t="s">
        <v>5608</v>
      </c>
      <c r="G5" s="437">
        <v>4000</v>
      </c>
      <c r="H5" s="437"/>
      <c r="I5" s="438">
        <v>60</v>
      </c>
      <c r="J5" s="434">
        <v>40</v>
      </c>
      <c r="K5" s="434">
        <v>7</v>
      </c>
      <c r="L5" s="435" t="s">
        <v>5605</v>
      </c>
    </row>
    <row r="6" spans="1:12" ht="14" x14ac:dyDescent="0.3">
      <c r="A6" s="434" t="str">
        <f t="shared" si="0"/>
        <v>RO145</v>
      </c>
      <c r="B6" s="434">
        <v>45</v>
      </c>
      <c r="C6" s="434">
        <v>7</v>
      </c>
      <c r="D6" s="434">
        <v>5</v>
      </c>
      <c r="E6" s="435" t="s">
        <v>2490</v>
      </c>
      <c r="F6" s="436" t="s">
        <v>5609</v>
      </c>
      <c r="G6" s="437">
        <v>8000</v>
      </c>
      <c r="H6" s="437"/>
      <c r="I6" s="438">
        <v>60</v>
      </c>
      <c r="J6" s="434">
        <v>45</v>
      </c>
      <c r="K6" s="434">
        <v>7</v>
      </c>
      <c r="L6" s="435" t="s">
        <v>5605</v>
      </c>
    </row>
    <row r="7" spans="1:12" ht="14" x14ac:dyDescent="0.3">
      <c r="A7" s="434" t="str">
        <f t="shared" si="0"/>
        <v>RO165</v>
      </c>
      <c r="B7" s="434">
        <v>65</v>
      </c>
      <c r="C7" s="434">
        <v>7</v>
      </c>
      <c r="D7" s="434">
        <v>6</v>
      </c>
      <c r="E7" s="435" t="s">
        <v>2490</v>
      </c>
      <c r="F7" s="436" t="s">
        <v>5610</v>
      </c>
      <c r="G7" s="437">
        <v>4000</v>
      </c>
      <c r="H7" s="437"/>
      <c r="I7" s="438">
        <v>60</v>
      </c>
      <c r="J7" s="434">
        <v>65</v>
      </c>
      <c r="K7" s="434">
        <v>7</v>
      </c>
      <c r="L7" s="435" t="s">
        <v>5605</v>
      </c>
    </row>
    <row r="8" spans="1:12" ht="14" x14ac:dyDescent="0.3">
      <c r="A8" s="434" t="str">
        <f t="shared" si="0"/>
        <v>RO190</v>
      </c>
      <c r="B8" s="434">
        <v>90</v>
      </c>
      <c r="C8" s="434">
        <v>7</v>
      </c>
      <c r="D8" s="434">
        <v>7</v>
      </c>
      <c r="E8" s="435" t="s">
        <v>2490</v>
      </c>
      <c r="F8" s="436" t="s">
        <v>5611</v>
      </c>
      <c r="G8" s="437">
        <v>8000</v>
      </c>
      <c r="H8" s="437"/>
      <c r="I8" s="438">
        <v>60</v>
      </c>
      <c r="J8" s="434">
        <v>90</v>
      </c>
      <c r="K8" s="434">
        <v>7</v>
      </c>
      <c r="L8" s="435" t="s">
        <v>5605</v>
      </c>
    </row>
    <row r="9" spans="1:12" ht="14" x14ac:dyDescent="0.3">
      <c r="A9" s="439" t="str">
        <f t="shared" si="0"/>
        <v>RO211</v>
      </c>
      <c r="B9" s="439">
        <v>11</v>
      </c>
      <c r="C9" s="439">
        <v>7</v>
      </c>
      <c r="D9" s="439">
        <v>8</v>
      </c>
      <c r="E9" s="440" t="s">
        <v>2499</v>
      </c>
      <c r="F9" s="441" t="s">
        <v>5612</v>
      </c>
      <c r="G9" s="442">
        <v>4000</v>
      </c>
      <c r="H9" s="442"/>
      <c r="I9" s="443">
        <v>40</v>
      </c>
      <c r="J9" s="439">
        <v>11</v>
      </c>
      <c r="K9" s="439">
        <v>7</v>
      </c>
      <c r="L9" s="440" t="s">
        <v>5613</v>
      </c>
    </row>
    <row r="10" spans="1:12" ht="14" x14ac:dyDescent="0.3">
      <c r="A10" s="439" t="str">
        <f t="shared" si="0"/>
        <v>RO212</v>
      </c>
      <c r="B10" s="439">
        <v>12</v>
      </c>
      <c r="C10" s="439">
        <v>7</v>
      </c>
      <c r="D10" s="439">
        <v>9</v>
      </c>
      <c r="E10" s="440" t="s">
        <v>2499</v>
      </c>
      <c r="F10" s="441" t="s">
        <v>5614</v>
      </c>
      <c r="G10" s="442">
        <v>4000</v>
      </c>
      <c r="H10" s="442"/>
      <c r="I10" s="443">
        <v>40</v>
      </c>
      <c r="J10" s="439">
        <v>12</v>
      </c>
      <c r="K10" s="439">
        <v>7</v>
      </c>
      <c r="L10" s="440" t="s">
        <v>5613</v>
      </c>
    </row>
    <row r="11" spans="1:12" ht="14" x14ac:dyDescent="0.3">
      <c r="A11" s="439" t="str">
        <f t="shared" si="0"/>
        <v>RO231</v>
      </c>
      <c r="B11" s="439">
        <v>31</v>
      </c>
      <c r="C11" s="439">
        <v>7</v>
      </c>
      <c r="D11" s="439">
        <v>10</v>
      </c>
      <c r="E11" s="440" t="s">
        <v>2499</v>
      </c>
      <c r="F11" s="441" t="s">
        <v>5615</v>
      </c>
      <c r="G11" s="442">
        <v>4000</v>
      </c>
      <c r="H11" s="442"/>
      <c r="I11" s="443">
        <v>40</v>
      </c>
      <c r="J11" s="439">
        <v>31</v>
      </c>
      <c r="K11" s="439">
        <v>7</v>
      </c>
      <c r="L11" s="440" t="s">
        <v>5613</v>
      </c>
    </row>
    <row r="12" spans="1:12" ht="14" x14ac:dyDescent="0.3">
      <c r="A12" s="439" t="str">
        <f t="shared" si="0"/>
        <v>RO232</v>
      </c>
      <c r="B12" s="439">
        <v>32</v>
      </c>
      <c r="C12" s="439">
        <v>7</v>
      </c>
      <c r="D12" s="439">
        <v>11</v>
      </c>
      <c r="E12" s="440" t="s">
        <v>2499</v>
      </c>
      <c r="F12" s="441" t="s">
        <v>5616</v>
      </c>
      <c r="G12" s="442">
        <v>4000</v>
      </c>
      <c r="H12" s="442"/>
      <c r="I12" s="443">
        <v>40</v>
      </c>
      <c r="J12" s="439">
        <v>32</v>
      </c>
      <c r="K12" s="439">
        <v>7</v>
      </c>
      <c r="L12" s="440" t="s">
        <v>5613</v>
      </c>
    </row>
    <row r="13" spans="1:12" ht="14" x14ac:dyDescent="0.3">
      <c r="A13" s="439" t="str">
        <f t="shared" si="0"/>
        <v>RO233</v>
      </c>
      <c r="B13" s="439">
        <v>33</v>
      </c>
      <c r="C13" s="439">
        <v>7</v>
      </c>
      <c r="D13" s="439">
        <v>12</v>
      </c>
      <c r="E13" s="440" t="s">
        <v>2499</v>
      </c>
      <c r="F13" s="441" t="s">
        <v>5617</v>
      </c>
      <c r="G13" s="442">
        <v>4000</v>
      </c>
      <c r="H13" s="442"/>
      <c r="I13" s="443">
        <v>40</v>
      </c>
      <c r="J13" s="439">
        <v>33</v>
      </c>
      <c r="K13" s="439">
        <v>7</v>
      </c>
      <c r="L13" s="440" t="s">
        <v>5613</v>
      </c>
    </row>
    <row r="14" spans="1:12" ht="14" x14ac:dyDescent="0.3">
      <c r="A14" s="439" t="str">
        <f t="shared" si="0"/>
        <v>RO241</v>
      </c>
      <c r="B14" s="439">
        <v>41</v>
      </c>
      <c r="C14" s="439">
        <v>7</v>
      </c>
      <c r="D14" s="439">
        <v>13</v>
      </c>
      <c r="E14" s="440" t="s">
        <v>2499</v>
      </c>
      <c r="F14" s="441" t="s">
        <v>5618</v>
      </c>
      <c r="G14" s="442">
        <v>4000</v>
      </c>
      <c r="H14" s="442"/>
      <c r="I14" s="443">
        <v>40</v>
      </c>
      <c r="J14" s="439">
        <v>41</v>
      </c>
      <c r="K14" s="439">
        <v>7</v>
      </c>
      <c r="L14" s="440" t="s">
        <v>5613</v>
      </c>
    </row>
    <row r="15" spans="1:12" ht="14" x14ac:dyDescent="0.3">
      <c r="A15" s="439" t="str">
        <f t="shared" si="0"/>
        <v>RO244</v>
      </c>
      <c r="B15" s="439">
        <v>44</v>
      </c>
      <c r="C15" s="439">
        <v>7</v>
      </c>
      <c r="D15" s="439">
        <v>14</v>
      </c>
      <c r="E15" s="440" t="s">
        <v>2499</v>
      </c>
      <c r="F15" s="441" t="s">
        <v>5619</v>
      </c>
      <c r="G15" s="442">
        <v>8000</v>
      </c>
      <c r="H15" s="442"/>
      <c r="I15" s="443">
        <v>40</v>
      </c>
      <c r="J15" s="439">
        <v>44</v>
      </c>
      <c r="K15" s="439">
        <v>7</v>
      </c>
      <c r="L15" s="440" t="s">
        <v>5613</v>
      </c>
    </row>
    <row r="16" spans="1:12" ht="14" x14ac:dyDescent="0.3">
      <c r="A16" s="439" t="str">
        <f t="shared" si="0"/>
        <v>RO248</v>
      </c>
      <c r="B16" s="439">
        <v>48</v>
      </c>
      <c r="C16" s="439">
        <v>7</v>
      </c>
      <c r="D16" s="439">
        <v>15</v>
      </c>
      <c r="E16" s="440" t="s">
        <v>2499</v>
      </c>
      <c r="F16" s="441" t="s">
        <v>5620</v>
      </c>
      <c r="G16" s="442">
        <v>4000</v>
      </c>
      <c r="H16" s="442"/>
      <c r="I16" s="443">
        <v>40</v>
      </c>
      <c r="J16" s="439">
        <v>48</v>
      </c>
      <c r="K16" s="439">
        <v>7</v>
      </c>
      <c r="L16" s="440" t="s">
        <v>5613</v>
      </c>
    </row>
    <row r="17" spans="1:12" ht="14" x14ac:dyDescent="0.3">
      <c r="A17" s="439" t="str">
        <f t="shared" si="0"/>
        <v>RO249</v>
      </c>
      <c r="B17" s="439">
        <v>49</v>
      </c>
      <c r="C17" s="439">
        <v>7</v>
      </c>
      <c r="D17" s="439">
        <v>16</v>
      </c>
      <c r="E17" s="440" t="s">
        <v>2499</v>
      </c>
      <c r="F17" s="441" t="s">
        <v>5617</v>
      </c>
      <c r="G17" s="442">
        <v>4000</v>
      </c>
      <c r="H17" s="442"/>
      <c r="I17" s="443">
        <v>40</v>
      </c>
      <c r="J17" s="439">
        <v>49</v>
      </c>
      <c r="K17" s="439">
        <v>7</v>
      </c>
      <c r="L17" s="440" t="s">
        <v>5613</v>
      </c>
    </row>
    <row r="18" spans="1:12" ht="14" x14ac:dyDescent="0.3">
      <c r="A18" s="439" t="str">
        <f t="shared" si="0"/>
        <v>RO251</v>
      </c>
      <c r="B18" s="439">
        <v>51</v>
      </c>
      <c r="C18" s="439">
        <v>7</v>
      </c>
      <c r="D18" s="439">
        <v>17</v>
      </c>
      <c r="E18" s="440" t="s">
        <v>2499</v>
      </c>
      <c r="F18" s="441" t="s">
        <v>5621</v>
      </c>
      <c r="G18" s="442">
        <v>3000</v>
      </c>
      <c r="H18" s="442"/>
      <c r="I18" s="443">
        <v>30</v>
      </c>
      <c r="J18" s="439">
        <v>51</v>
      </c>
      <c r="K18" s="439">
        <v>7</v>
      </c>
      <c r="L18" s="440" t="s">
        <v>5613</v>
      </c>
    </row>
    <row r="19" spans="1:12" ht="14" x14ac:dyDescent="0.3">
      <c r="A19" s="439" t="s">
        <v>5622</v>
      </c>
      <c r="B19" s="439">
        <v>52</v>
      </c>
      <c r="C19" s="439">
        <v>7</v>
      </c>
      <c r="D19" s="439"/>
      <c r="E19" s="440" t="s">
        <v>2499</v>
      </c>
      <c r="F19" s="441"/>
      <c r="G19" s="442">
        <v>3000</v>
      </c>
      <c r="H19" s="442"/>
      <c r="I19" s="443">
        <v>30</v>
      </c>
      <c r="J19" s="439">
        <v>52</v>
      </c>
      <c r="K19" s="439">
        <v>7</v>
      </c>
      <c r="L19" s="440" t="s">
        <v>5613</v>
      </c>
    </row>
    <row r="20" spans="1:12" ht="14" x14ac:dyDescent="0.3">
      <c r="A20" s="439" t="str">
        <f t="shared" si="0"/>
        <v>RO254</v>
      </c>
      <c r="B20" s="439">
        <v>54</v>
      </c>
      <c r="C20" s="439">
        <v>7</v>
      </c>
      <c r="D20" s="439">
        <v>18</v>
      </c>
      <c r="E20" s="440" t="s">
        <v>2499</v>
      </c>
      <c r="F20" s="441" t="s">
        <v>5623</v>
      </c>
      <c r="G20" s="442">
        <v>3000</v>
      </c>
      <c r="H20" s="442"/>
      <c r="I20" s="443">
        <v>30</v>
      </c>
      <c r="J20" s="439">
        <v>54</v>
      </c>
      <c r="K20" s="439">
        <v>7</v>
      </c>
      <c r="L20" s="440" t="s">
        <v>5613</v>
      </c>
    </row>
    <row r="21" spans="1:12" ht="14" x14ac:dyDescent="0.3">
      <c r="A21" s="439" t="str">
        <f t="shared" si="0"/>
        <v>RO258</v>
      </c>
      <c r="B21" s="439">
        <v>58</v>
      </c>
      <c r="C21" s="439">
        <v>7</v>
      </c>
      <c r="D21" s="439">
        <v>19</v>
      </c>
      <c r="E21" s="440" t="s">
        <v>2499</v>
      </c>
      <c r="F21" s="441" t="s">
        <v>5624</v>
      </c>
      <c r="G21" s="442">
        <v>3000</v>
      </c>
      <c r="H21" s="442"/>
      <c r="I21" s="443">
        <v>30</v>
      </c>
      <c r="J21" s="439">
        <v>58</v>
      </c>
      <c r="K21" s="439">
        <v>7</v>
      </c>
      <c r="L21" s="440" t="s">
        <v>5613</v>
      </c>
    </row>
    <row r="22" spans="1:12" ht="14" x14ac:dyDescent="0.3">
      <c r="A22" s="439" t="str">
        <f t="shared" si="0"/>
        <v>RO261</v>
      </c>
      <c r="B22" s="439">
        <v>61</v>
      </c>
      <c r="C22" s="439">
        <v>7</v>
      </c>
      <c r="D22" s="439">
        <v>20</v>
      </c>
      <c r="E22" s="440" t="s">
        <v>2499</v>
      </c>
      <c r="F22" s="441" t="s">
        <v>5625</v>
      </c>
      <c r="G22" s="442">
        <v>4000</v>
      </c>
      <c r="H22" s="442"/>
      <c r="I22" s="443">
        <v>40</v>
      </c>
      <c r="J22" s="439">
        <v>61</v>
      </c>
      <c r="K22" s="439">
        <v>7</v>
      </c>
      <c r="L22" s="440" t="s">
        <v>5613</v>
      </c>
    </row>
    <row r="23" spans="1:12" ht="14" x14ac:dyDescent="0.3">
      <c r="A23" s="439" t="str">
        <f t="shared" si="0"/>
        <v>RO262</v>
      </c>
      <c r="B23" s="439">
        <v>62</v>
      </c>
      <c r="C23" s="439">
        <v>7</v>
      </c>
      <c r="D23" s="439">
        <v>21</v>
      </c>
      <c r="E23" s="440" t="s">
        <v>2499</v>
      </c>
      <c r="F23" s="441" t="s">
        <v>5626</v>
      </c>
      <c r="G23" s="442">
        <v>4000</v>
      </c>
      <c r="H23" s="442"/>
      <c r="I23" s="443">
        <v>40</v>
      </c>
      <c r="J23" s="439">
        <v>62</v>
      </c>
      <c r="K23" s="439">
        <v>7</v>
      </c>
      <c r="L23" s="440" t="s">
        <v>5613</v>
      </c>
    </row>
    <row r="24" spans="1:12" ht="14" x14ac:dyDescent="0.3">
      <c r="A24" s="439" t="str">
        <f t="shared" si="0"/>
        <v>RO271</v>
      </c>
      <c r="B24" s="439">
        <v>71</v>
      </c>
      <c r="C24" s="439">
        <v>7</v>
      </c>
      <c r="D24" s="439">
        <v>22</v>
      </c>
      <c r="E24" s="440" t="s">
        <v>2499</v>
      </c>
      <c r="F24" s="441" t="s">
        <v>5627</v>
      </c>
      <c r="G24" s="442">
        <v>4000</v>
      </c>
      <c r="H24" s="442"/>
      <c r="I24" s="443">
        <v>40</v>
      </c>
      <c r="J24" s="439">
        <v>71</v>
      </c>
      <c r="K24" s="439">
        <v>7</v>
      </c>
      <c r="L24" s="440" t="s">
        <v>5613</v>
      </c>
    </row>
    <row r="25" spans="1:12" ht="14" x14ac:dyDescent="0.3">
      <c r="A25" s="439" t="str">
        <f t="shared" si="0"/>
        <v>RO272</v>
      </c>
      <c r="B25" s="439">
        <v>72</v>
      </c>
      <c r="C25" s="439">
        <v>7</v>
      </c>
      <c r="D25" s="439">
        <v>23</v>
      </c>
      <c r="E25" s="440" t="s">
        <v>2499</v>
      </c>
      <c r="F25" s="441" t="s">
        <v>5628</v>
      </c>
      <c r="G25" s="442">
        <v>4000</v>
      </c>
      <c r="H25" s="442"/>
      <c r="I25" s="443">
        <v>40</v>
      </c>
      <c r="J25" s="439">
        <v>72</v>
      </c>
      <c r="K25" s="439">
        <v>7</v>
      </c>
      <c r="L25" s="440" t="s">
        <v>5613</v>
      </c>
    </row>
    <row r="26" spans="1:12" ht="14" x14ac:dyDescent="0.3">
      <c r="A26" s="439" t="str">
        <f t="shared" si="0"/>
        <v>RO273</v>
      </c>
      <c r="B26" s="439">
        <v>73</v>
      </c>
      <c r="C26" s="439">
        <v>7</v>
      </c>
      <c r="D26" s="439">
        <v>24</v>
      </c>
      <c r="E26" s="440" t="s">
        <v>2499</v>
      </c>
      <c r="F26" s="442" t="s">
        <v>5629</v>
      </c>
      <c r="G26" s="442">
        <v>4000</v>
      </c>
      <c r="H26" s="442"/>
      <c r="I26" s="443">
        <v>40</v>
      </c>
      <c r="J26" s="439">
        <v>73</v>
      </c>
      <c r="K26" s="439">
        <v>7</v>
      </c>
      <c r="L26" s="440" t="s">
        <v>5613</v>
      </c>
    </row>
    <row r="27" spans="1:12" ht="14" x14ac:dyDescent="0.3">
      <c r="A27" s="439" t="str">
        <f t="shared" si="0"/>
        <v>RO274</v>
      </c>
      <c r="B27" s="439">
        <v>74</v>
      </c>
      <c r="C27" s="439">
        <v>7</v>
      </c>
      <c r="D27" s="439">
        <v>25</v>
      </c>
      <c r="E27" s="440" t="s">
        <v>2499</v>
      </c>
      <c r="F27" s="442" t="s">
        <v>5630</v>
      </c>
      <c r="G27" s="442">
        <v>4000</v>
      </c>
      <c r="H27" s="442"/>
      <c r="I27" s="443">
        <v>40</v>
      </c>
      <c r="J27" s="439">
        <v>74</v>
      </c>
      <c r="K27" s="439">
        <v>7</v>
      </c>
      <c r="L27" s="440" t="s">
        <v>5613</v>
      </c>
    </row>
    <row r="28" spans="1:12" ht="14" x14ac:dyDescent="0.3">
      <c r="A28" s="439" t="str">
        <f t="shared" si="0"/>
        <v>RO275</v>
      </c>
      <c r="B28" s="439">
        <v>75</v>
      </c>
      <c r="C28" s="439">
        <v>7</v>
      </c>
      <c r="D28" s="439">
        <v>26</v>
      </c>
      <c r="E28" s="440" t="s">
        <v>2499</v>
      </c>
      <c r="F28" s="442" t="s">
        <v>5631</v>
      </c>
      <c r="G28" s="442">
        <v>4000</v>
      </c>
      <c r="H28" s="442"/>
      <c r="I28" s="443">
        <v>40</v>
      </c>
      <c r="J28" s="439">
        <v>75</v>
      </c>
      <c r="K28" s="439">
        <v>7</v>
      </c>
      <c r="L28" s="440" t="s">
        <v>5613</v>
      </c>
    </row>
    <row r="29" spans="1:12" ht="14" x14ac:dyDescent="0.3">
      <c r="A29" s="439" t="str">
        <f t="shared" si="0"/>
        <v>RO276</v>
      </c>
      <c r="B29" s="439">
        <v>76</v>
      </c>
      <c r="C29" s="439">
        <v>7</v>
      </c>
      <c r="D29" s="439">
        <v>27</v>
      </c>
      <c r="E29" s="440" t="s">
        <v>2499</v>
      </c>
      <c r="F29" s="442" t="s">
        <v>5632</v>
      </c>
      <c r="G29" s="442">
        <v>4000</v>
      </c>
      <c r="H29" s="442"/>
      <c r="I29" s="443">
        <v>40</v>
      </c>
      <c r="J29" s="439">
        <v>76</v>
      </c>
      <c r="K29" s="439">
        <v>7</v>
      </c>
      <c r="L29" s="440" t="s">
        <v>5613</v>
      </c>
    </row>
    <row r="30" spans="1:12" ht="14" x14ac:dyDescent="0.3">
      <c r="A30" s="439" t="str">
        <f t="shared" si="0"/>
        <v>RO280</v>
      </c>
      <c r="B30" s="439">
        <v>80</v>
      </c>
      <c r="C30" s="439">
        <v>7</v>
      </c>
      <c r="D30" s="439">
        <v>28</v>
      </c>
      <c r="E30" s="440" t="s">
        <v>2499</v>
      </c>
      <c r="F30" s="442" t="s">
        <v>5633</v>
      </c>
      <c r="G30" s="442">
        <v>3000</v>
      </c>
      <c r="H30" s="442"/>
      <c r="I30" s="443">
        <v>30</v>
      </c>
      <c r="J30" s="439">
        <v>80</v>
      </c>
      <c r="K30" s="439">
        <v>7</v>
      </c>
      <c r="L30" s="440" t="s">
        <v>5613</v>
      </c>
    </row>
    <row r="31" spans="1:12" ht="14" x14ac:dyDescent="0.3">
      <c r="A31" s="439" t="str">
        <f t="shared" si="0"/>
        <v>RO290</v>
      </c>
      <c r="B31" s="439">
        <v>90</v>
      </c>
      <c r="C31" s="439">
        <v>7</v>
      </c>
      <c r="D31" s="439">
        <v>29</v>
      </c>
      <c r="E31" s="440" t="s">
        <v>2499</v>
      </c>
      <c r="F31" s="442" t="s">
        <v>5634</v>
      </c>
      <c r="G31" s="442">
        <v>4000</v>
      </c>
      <c r="H31" s="442"/>
      <c r="I31" s="443">
        <v>40</v>
      </c>
      <c r="J31" s="439">
        <v>90</v>
      </c>
      <c r="K31" s="439">
        <v>7</v>
      </c>
      <c r="L31" s="440" t="s">
        <v>5613</v>
      </c>
    </row>
    <row r="32" spans="1:12" ht="14" x14ac:dyDescent="0.3">
      <c r="A32" s="439" t="str">
        <f t="shared" si="0"/>
        <v>RO2101</v>
      </c>
      <c r="B32" s="439">
        <v>101</v>
      </c>
      <c r="C32" s="439">
        <v>5</v>
      </c>
      <c r="D32" s="439">
        <v>30</v>
      </c>
      <c r="E32" s="440" t="s">
        <v>2499</v>
      </c>
      <c r="F32" s="442" t="s">
        <v>5635</v>
      </c>
      <c r="G32" s="442">
        <v>4000</v>
      </c>
      <c r="H32" s="442"/>
      <c r="I32" s="443">
        <v>40</v>
      </c>
      <c r="J32" s="439">
        <v>101</v>
      </c>
      <c r="K32" s="439">
        <v>5</v>
      </c>
      <c r="L32" s="440" t="s">
        <v>5613</v>
      </c>
    </row>
    <row r="33" spans="1:12" ht="14" x14ac:dyDescent="0.3">
      <c r="A33" s="439" t="str">
        <f t="shared" si="0"/>
        <v>RO2102</v>
      </c>
      <c r="B33" s="439">
        <v>102</v>
      </c>
      <c r="C33" s="439">
        <v>5</v>
      </c>
      <c r="D33" s="439">
        <v>31</v>
      </c>
      <c r="E33" s="440" t="s">
        <v>2499</v>
      </c>
      <c r="F33" s="442" t="s">
        <v>5636</v>
      </c>
      <c r="G33" s="442">
        <v>4000</v>
      </c>
      <c r="H33" s="442"/>
      <c r="I33" s="443">
        <v>40</v>
      </c>
      <c r="J33" s="439">
        <v>102</v>
      </c>
      <c r="K33" s="439">
        <v>5</v>
      </c>
      <c r="L33" s="440" t="s">
        <v>5613</v>
      </c>
    </row>
    <row r="34" spans="1:12" ht="14" x14ac:dyDescent="0.3">
      <c r="A34" s="439" t="str">
        <f t="shared" si="0"/>
        <v>RO2103</v>
      </c>
      <c r="B34" s="439">
        <v>103</v>
      </c>
      <c r="C34" s="439">
        <v>5</v>
      </c>
      <c r="D34" s="439">
        <v>32</v>
      </c>
      <c r="E34" s="440" t="s">
        <v>2499</v>
      </c>
      <c r="F34" s="442" t="s">
        <v>5637</v>
      </c>
      <c r="G34" s="442">
        <v>4000</v>
      </c>
      <c r="H34" s="442"/>
      <c r="I34" s="443">
        <v>40</v>
      </c>
      <c r="J34" s="439">
        <v>103</v>
      </c>
      <c r="K34" s="439">
        <v>5</v>
      </c>
      <c r="L34" s="440" t="s">
        <v>5613</v>
      </c>
    </row>
    <row r="35" spans="1:12" ht="14" x14ac:dyDescent="0.3">
      <c r="A35" s="439" t="str">
        <f t="shared" si="0"/>
        <v>RO2104</v>
      </c>
      <c r="B35" s="439">
        <v>104</v>
      </c>
      <c r="C35" s="439">
        <v>5</v>
      </c>
      <c r="D35" s="439">
        <v>33</v>
      </c>
      <c r="E35" s="440" t="s">
        <v>2499</v>
      </c>
      <c r="F35" s="442" t="s">
        <v>5638</v>
      </c>
      <c r="G35" s="442">
        <v>4000</v>
      </c>
      <c r="H35" s="442"/>
      <c r="I35" s="443">
        <v>40</v>
      </c>
      <c r="J35" s="439">
        <v>104</v>
      </c>
      <c r="K35" s="439">
        <v>5</v>
      </c>
      <c r="L35" s="440" t="s">
        <v>5613</v>
      </c>
    </row>
    <row r="36" spans="1:12" ht="14" x14ac:dyDescent="0.3">
      <c r="A36" s="439" t="str">
        <f t="shared" si="0"/>
        <v>RO2130</v>
      </c>
      <c r="B36" s="439">
        <v>130</v>
      </c>
      <c r="C36" s="439">
        <v>7</v>
      </c>
      <c r="D36" s="439">
        <v>34</v>
      </c>
      <c r="E36" s="440" t="s">
        <v>2499</v>
      </c>
      <c r="F36" s="442" t="s">
        <v>5639</v>
      </c>
      <c r="G36" s="442">
        <v>4000</v>
      </c>
      <c r="H36" s="442"/>
      <c r="I36" s="443">
        <v>40</v>
      </c>
      <c r="J36" s="439">
        <v>130</v>
      </c>
      <c r="K36" s="439">
        <v>7</v>
      </c>
      <c r="L36" s="440" t="s">
        <v>5613</v>
      </c>
    </row>
    <row r="37" spans="1:12" ht="14" x14ac:dyDescent="0.3">
      <c r="A37" s="439" t="str">
        <f t="shared" si="0"/>
        <v>RO2141</v>
      </c>
      <c r="B37" s="439">
        <v>141</v>
      </c>
      <c r="C37" s="439">
        <v>2</v>
      </c>
      <c r="D37" s="439">
        <v>35</v>
      </c>
      <c r="E37" s="440" t="s">
        <v>2499</v>
      </c>
      <c r="F37" s="442" t="s">
        <v>5640</v>
      </c>
      <c r="G37" s="442">
        <v>4000</v>
      </c>
      <c r="H37" s="442"/>
      <c r="I37" s="443">
        <v>40</v>
      </c>
      <c r="J37" s="439">
        <v>141</v>
      </c>
      <c r="K37" s="439">
        <v>2</v>
      </c>
      <c r="L37" s="440" t="s">
        <v>5613</v>
      </c>
    </row>
    <row r="38" spans="1:12" ht="14" x14ac:dyDescent="0.3">
      <c r="A38" s="439" t="str">
        <f t="shared" si="0"/>
        <v>RO2144</v>
      </c>
      <c r="B38" s="439">
        <v>144</v>
      </c>
      <c r="C38" s="439">
        <v>2</v>
      </c>
      <c r="D38" s="439">
        <v>36</v>
      </c>
      <c r="E38" s="440" t="s">
        <v>2499</v>
      </c>
      <c r="F38" s="442" t="s">
        <v>5641</v>
      </c>
      <c r="G38" s="442">
        <v>4000</v>
      </c>
      <c r="H38" s="442"/>
      <c r="I38" s="443">
        <v>40</v>
      </c>
      <c r="J38" s="439">
        <v>144</v>
      </c>
      <c r="K38" s="439">
        <v>2</v>
      </c>
      <c r="L38" s="440" t="s">
        <v>5613</v>
      </c>
    </row>
    <row r="39" spans="1:12" ht="14" x14ac:dyDescent="0.3">
      <c r="A39" s="439" t="str">
        <f t="shared" si="0"/>
        <v>RO2161</v>
      </c>
      <c r="B39" s="439">
        <v>161</v>
      </c>
      <c r="C39" s="439">
        <v>4</v>
      </c>
      <c r="D39" s="439">
        <v>37</v>
      </c>
      <c r="E39" s="440" t="s">
        <v>2499</v>
      </c>
      <c r="F39" s="442" t="s">
        <v>5642</v>
      </c>
      <c r="G39" s="442">
        <v>4000</v>
      </c>
      <c r="H39" s="442"/>
      <c r="I39" s="443">
        <v>40</v>
      </c>
      <c r="J39" s="439">
        <v>161</v>
      </c>
      <c r="K39" s="439">
        <v>4</v>
      </c>
      <c r="L39" s="440" t="s">
        <v>5613</v>
      </c>
    </row>
    <row r="40" spans="1:12" ht="14" x14ac:dyDescent="0.3">
      <c r="A40" s="439" t="str">
        <f t="shared" si="0"/>
        <v>RO2162</v>
      </c>
      <c r="B40" s="439">
        <v>162</v>
      </c>
      <c r="C40" s="439">
        <v>4</v>
      </c>
      <c r="D40" s="439">
        <v>38</v>
      </c>
      <c r="E40" s="440" t="s">
        <v>2499</v>
      </c>
      <c r="F40" s="442" t="s">
        <v>5643</v>
      </c>
      <c r="G40" s="442">
        <v>4000</v>
      </c>
      <c r="H40" s="442"/>
      <c r="I40" s="443">
        <v>40</v>
      </c>
      <c r="J40" s="439">
        <v>162</v>
      </c>
      <c r="K40" s="439">
        <v>4</v>
      </c>
      <c r="L40" s="440" t="s">
        <v>5613</v>
      </c>
    </row>
    <row r="41" spans="1:12" ht="14" x14ac:dyDescent="0.3">
      <c r="A41" s="439" t="str">
        <f t="shared" si="0"/>
        <v>RO2172</v>
      </c>
      <c r="B41" s="439">
        <v>172</v>
      </c>
      <c r="C41" s="439">
        <v>7</v>
      </c>
      <c r="D41" s="439">
        <v>39</v>
      </c>
      <c r="E41" s="440" t="s">
        <v>2499</v>
      </c>
      <c r="F41" s="442" t="s">
        <v>5644</v>
      </c>
      <c r="G41" s="442">
        <v>4000</v>
      </c>
      <c r="H41" s="442"/>
      <c r="I41" s="443">
        <v>40</v>
      </c>
      <c r="J41" s="439">
        <v>172</v>
      </c>
      <c r="K41" s="439">
        <v>7</v>
      </c>
      <c r="L41" s="440" t="s">
        <v>5613</v>
      </c>
    </row>
    <row r="42" spans="1:12" ht="14" x14ac:dyDescent="0.3">
      <c r="A42" s="439" t="str">
        <f t="shared" si="0"/>
        <v>RO2173</v>
      </c>
      <c r="B42" s="439">
        <v>173</v>
      </c>
      <c r="C42" s="439">
        <v>7</v>
      </c>
      <c r="D42" s="439">
        <v>40</v>
      </c>
      <c r="E42" s="440" t="s">
        <v>2499</v>
      </c>
      <c r="F42" s="442" t="s">
        <v>5645</v>
      </c>
      <c r="G42" s="442">
        <v>4000</v>
      </c>
      <c r="H42" s="442"/>
      <c r="I42" s="443">
        <v>40</v>
      </c>
      <c r="J42" s="439">
        <v>173</v>
      </c>
      <c r="K42" s="439">
        <v>7</v>
      </c>
      <c r="L42" s="440" t="s">
        <v>5613</v>
      </c>
    </row>
    <row r="43" spans="1:12" ht="14" x14ac:dyDescent="0.3">
      <c r="A43" s="439" t="str">
        <f t="shared" si="0"/>
        <v>RO2174</v>
      </c>
      <c r="B43" s="439">
        <v>174</v>
      </c>
      <c r="C43" s="439">
        <v>7</v>
      </c>
      <c r="D43" s="439">
        <v>41</v>
      </c>
      <c r="E43" s="440" t="s">
        <v>2499</v>
      </c>
      <c r="F43" s="442" t="s">
        <v>5646</v>
      </c>
      <c r="G43" s="442">
        <v>4000</v>
      </c>
      <c r="H43" s="442"/>
      <c r="I43" s="443">
        <v>40</v>
      </c>
      <c r="J43" s="439">
        <v>174</v>
      </c>
      <c r="K43" s="439">
        <v>7</v>
      </c>
      <c r="L43" s="440" t="s">
        <v>5613</v>
      </c>
    </row>
    <row r="44" spans="1:12" ht="14" x14ac:dyDescent="0.3">
      <c r="A44" s="434" t="str">
        <f t="shared" si="0"/>
        <v>RO310</v>
      </c>
      <c r="B44" s="434">
        <v>10</v>
      </c>
      <c r="C44" s="434">
        <v>7</v>
      </c>
      <c r="D44" s="434">
        <v>42</v>
      </c>
      <c r="E44" s="435" t="s">
        <v>2536</v>
      </c>
      <c r="F44" s="437" t="s">
        <v>5647</v>
      </c>
      <c r="G44" s="437">
        <v>4000</v>
      </c>
      <c r="H44" s="437"/>
      <c r="I44" s="438">
        <v>45</v>
      </c>
      <c r="J44" s="434">
        <v>10</v>
      </c>
      <c r="K44" s="434">
        <v>7</v>
      </c>
      <c r="L44" s="435" t="s">
        <v>5648</v>
      </c>
    </row>
    <row r="45" spans="1:12" ht="14" x14ac:dyDescent="0.3">
      <c r="A45" s="434" t="str">
        <f t="shared" si="0"/>
        <v>RO313</v>
      </c>
      <c r="B45" s="434">
        <v>13</v>
      </c>
      <c r="C45" s="434">
        <v>7</v>
      </c>
      <c r="D45" s="434">
        <v>43</v>
      </c>
      <c r="E45" s="435" t="s">
        <v>2536</v>
      </c>
      <c r="F45" s="436" t="s">
        <v>5649</v>
      </c>
      <c r="G45" s="437">
        <v>4000</v>
      </c>
      <c r="H45" s="437"/>
      <c r="I45" s="438">
        <v>45</v>
      </c>
      <c r="J45" s="434">
        <v>13</v>
      </c>
      <c r="K45" s="434">
        <v>7</v>
      </c>
      <c r="L45" s="435" t="s">
        <v>5648</v>
      </c>
    </row>
    <row r="46" spans="1:12" ht="14" x14ac:dyDescent="0.3">
      <c r="A46" s="434" t="str">
        <f t="shared" si="0"/>
        <v>RO315</v>
      </c>
      <c r="B46" s="434">
        <v>15</v>
      </c>
      <c r="C46" s="434">
        <v>7</v>
      </c>
      <c r="D46" s="434">
        <v>44</v>
      </c>
      <c r="E46" s="435" t="s">
        <v>2536</v>
      </c>
      <c r="F46" s="436" t="s">
        <v>5650</v>
      </c>
      <c r="G46" s="437">
        <v>4000</v>
      </c>
      <c r="H46" s="437"/>
      <c r="I46" s="438">
        <v>45</v>
      </c>
      <c r="J46" s="434">
        <v>15</v>
      </c>
      <c r="K46" s="434">
        <v>7</v>
      </c>
      <c r="L46" s="435" t="s">
        <v>5648</v>
      </c>
    </row>
    <row r="47" spans="1:12" ht="14" x14ac:dyDescent="0.3">
      <c r="A47" s="434" t="str">
        <f t="shared" si="0"/>
        <v>RO322</v>
      </c>
      <c r="B47" s="434">
        <v>22</v>
      </c>
      <c r="C47" s="434">
        <v>7</v>
      </c>
      <c r="D47" s="434">
        <v>45</v>
      </c>
      <c r="E47" s="435" t="s">
        <v>2536</v>
      </c>
      <c r="F47" s="436" t="s">
        <v>5651</v>
      </c>
      <c r="G47" s="437">
        <v>4000</v>
      </c>
      <c r="H47" s="437"/>
      <c r="I47" s="438">
        <v>45</v>
      </c>
      <c r="J47" s="434">
        <v>22</v>
      </c>
      <c r="K47" s="434">
        <v>7</v>
      </c>
      <c r="L47" s="435" t="s">
        <v>5648</v>
      </c>
    </row>
    <row r="48" spans="1:12" ht="14" x14ac:dyDescent="0.3">
      <c r="A48" s="434" t="str">
        <f t="shared" si="0"/>
        <v>RO323</v>
      </c>
      <c r="B48" s="434">
        <v>23</v>
      </c>
      <c r="C48" s="434">
        <v>7</v>
      </c>
      <c r="D48" s="434">
        <v>46</v>
      </c>
      <c r="E48" s="435" t="s">
        <v>2536</v>
      </c>
      <c r="F48" s="436" t="s">
        <v>5652</v>
      </c>
      <c r="G48" s="437">
        <v>3000</v>
      </c>
      <c r="H48" s="437"/>
      <c r="I48" s="438">
        <v>30</v>
      </c>
      <c r="J48" s="434">
        <v>23</v>
      </c>
      <c r="K48" s="434">
        <v>7</v>
      </c>
      <c r="L48" s="435" t="s">
        <v>5648</v>
      </c>
    </row>
    <row r="49" spans="1:12" ht="14" x14ac:dyDescent="0.3">
      <c r="A49" s="434" t="str">
        <f t="shared" si="0"/>
        <v>RO325</v>
      </c>
      <c r="B49" s="434">
        <v>25</v>
      </c>
      <c r="C49" s="434">
        <v>7</v>
      </c>
      <c r="D49" s="434">
        <v>47</v>
      </c>
      <c r="E49" s="435" t="s">
        <v>2536</v>
      </c>
      <c r="F49" s="436" t="s">
        <v>5653</v>
      </c>
      <c r="G49" s="437">
        <v>10000</v>
      </c>
      <c r="H49" s="437"/>
      <c r="I49" s="438">
        <v>45</v>
      </c>
      <c r="J49" s="434">
        <v>25</v>
      </c>
      <c r="K49" s="434">
        <v>7</v>
      </c>
      <c r="L49" s="435" t="s">
        <v>5648</v>
      </c>
    </row>
    <row r="50" spans="1:12" ht="14" x14ac:dyDescent="0.3">
      <c r="A50" s="434" t="str">
        <f t="shared" si="0"/>
        <v>RO326</v>
      </c>
      <c r="B50" s="434">
        <v>26</v>
      </c>
      <c r="C50" s="434">
        <v>7</v>
      </c>
      <c r="D50" s="434">
        <v>48</v>
      </c>
      <c r="E50" s="435" t="s">
        <v>2536</v>
      </c>
      <c r="F50" s="436" t="s">
        <v>5654</v>
      </c>
      <c r="G50" s="437">
        <v>4000</v>
      </c>
      <c r="H50" s="437"/>
      <c r="I50" s="438">
        <v>40</v>
      </c>
      <c r="J50" s="434">
        <v>26</v>
      </c>
      <c r="K50" s="434">
        <v>7</v>
      </c>
      <c r="L50" s="435" t="s">
        <v>5648</v>
      </c>
    </row>
    <row r="51" spans="1:12" ht="14" x14ac:dyDescent="0.3">
      <c r="A51" s="434" t="str">
        <f t="shared" si="0"/>
        <v>RO327</v>
      </c>
      <c r="B51" s="434">
        <v>27</v>
      </c>
      <c r="C51" s="434">
        <v>7</v>
      </c>
      <c r="D51" s="434">
        <v>49</v>
      </c>
      <c r="E51" s="435" t="s">
        <v>2536</v>
      </c>
      <c r="F51" s="436" t="s">
        <v>5655</v>
      </c>
      <c r="G51" s="437">
        <v>10000</v>
      </c>
      <c r="H51" s="437"/>
      <c r="I51" s="438">
        <v>40</v>
      </c>
      <c r="J51" s="434">
        <v>27</v>
      </c>
      <c r="K51" s="434">
        <v>7</v>
      </c>
      <c r="L51" s="435" t="s">
        <v>5648</v>
      </c>
    </row>
    <row r="52" spans="1:12" ht="14" x14ac:dyDescent="0.3">
      <c r="A52" s="434" t="str">
        <f t="shared" si="0"/>
        <v>RO330</v>
      </c>
      <c r="B52" s="434">
        <v>30</v>
      </c>
      <c r="C52" s="434">
        <v>7</v>
      </c>
      <c r="D52" s="434">
        <v>50</v>
      </c>
      <c r="E52" s="435" t="s">
        <v>2536</v>
      </c>
      <c r="F52" s="436" t="s">
        <v>5656</v>
      </c>
      <c r="G52" s="437">
        <v>10000</v>
      </c>
      <c r="H52" s="437"/>
      <c r="I52" s="438">
        <v>40</v>
      </c>
      <c r="J52" s="434">
        <v>30</v>
      </c>
      <c r="K52" s="434">
        <v>7</v>
      </c>
      <c r="L52" s="435" t="s">
        <v>5648</v>
      </c>
    </row>
    <row r="53" spans="1:12" ht="14" x14ac:dyDescent="0.3">
      <c r="A53" s="434" t="str">
        <f t="shared" si="0"/>
        <v>RO332</v>
      </c>
      <c r="B53" s="434">
        <v>32</v>
      </c>
      <c r="C53" s="434">
        <v>7</v>
      </c>
      <c r="D53" s="434">
        <v>51</v>
      </c>
      <c r="E53" s="435" t="s">
        <v>2536</v>
      </c>
      <c r="F53" s="436" t="s">
        <v>5657</v>
      </c>
      <c r="G53" s="437">
        <v>4000</v>
      </c>
      <c r="H53" s="437"/>
      <c r="I53" s="438">
        <v>40</v>
      </c>
      <c r="J53" s="434">
        <v>32</v>
      </c>
      <c r="K53" s="434">
        <v>7</v>
      </c>
      <c r="L53" s="435" t="s">
        <v>5648</v>
      </c>
    </row>
    <row r="54" spans="1:12" ht="14" x14ac:dyDescent="0.3">
      <c r="A54" s="434" t="str">
        <f t="shared" si="0"/>
        <v>RO333</v>
      </c>
      <c r="B54" s="434">
        <v>33</v>
      </c>
      <c r="C54" s="434">
        <v>7</v>
      </c>
      <c r="D54" s="434">
        <v>52</v>
      </c>
      <c r="E54" s="435" t="s">
        <v>2536</v>
      </c>
      <c r="F54" s="436" t="s">
        <v>5658</v>
      </c>
      <c r="G54" s="437">
        <v>10000</v>
      </c>
      <c r="H54" s="437"/>
      <c r="I54" s="438">
        <v>40</v>
      </c>
      <c r="J54" s="434">
        <v>33</v>
      </c>
      <c r="K54" s="434">
        <v>7</v>
      </c>
      <c r="L54" s="435" t="s">
        <v>5648</v>
      </c>
    </row>
    <row r="55" spans="1:12" ht="14" x14ac:dyDescent="0.3">
      <c r="A55" s="434" t="str">
        <f t="shared" si="0"/>
        <v>RO334</v>
      </c>
      <c r="B55" s="434">
        <v>34</v>
      </c>
      <c r="C55" s="434">
        <v>7</v>
      </c>
      <c r="D55" s="434">
        <v>53</v>
      </c>
      <c r="E55" s="435" t="s">
        <v>2536</v>
      </c>
      <c r="F55" s="436" t="s">
        <v>5659</v>
      </c>
      <c r="G55" s="437">
        <v>4000</v>
      </c>
      <c r="H55" s="437"/>
      <c r="I55" s="438">
        <v>40</v>
      </c>
      <c r="J55" s="434">
        <v>34</v>
      </c>
      <c r="K55" s="434">
        <v>7</v>
      </c>
      <c r="L55" s="435" t="s">
        <v>5648</v>
      </c>
    </row>
    <row r="56" spans="1:12" ht="14" x14ac:dyDescent="0.3">
      <c r="A56" s="434" t="str">
        <f t="shared" si="0"/>
        <v>RO335</v>
      </c>
      <c r="B56" s="434">
        <v>35</v>
      </c>
      <c r="C56" s="434">
        <v>7</v>
      </c>
      <c r="D56" s="434">
        <v>54</v>
      </c>
      <c r="E56" s="435" t="s">
        <v>2536</v>
      </c>
      <c r="F56" s="436" t="s">
        <v>5660</v>
      </c>
      <c r="G56" s="437">
        <v>4000</v>
      </c>
      <c r="H56" s="437"/>
      <c r="I56" s="438">
        <v>40</v>
      </c>
      <c r="J56" s="434">
        <v>35</v>
      </c>
      <c r="K56" s="434">
        <v>7</v>
      </c>
      <c r="L56" s="435" t="s">
        <v>5648</v>
      </c>
    </row>
    <row r="57" spans="1:12" ht="14" x14ac:dyDescent="0.3">
      <c r="A57" s="434" t="str">
        <f t="shared" si="0"/>
        <v>RO336</v>
      </c>
      <c r="B57" s="434">
        <v>36</v>
      </c>
      <c r="C57" s="434">
        <v>7</v>
      </c>
      <c r="D57" s="434">
        <v>55</v>
      </c>
      <c r="E57" s="435" t="s">
        <v>2536</v>
      </c>
      <c r="F57" s="436" t="s">
        <v>5661</v>
      </c>
      <c r="G57" s="437">
        <v>6000</v>
      </c>
      <c r="H57" s="437"/>
      <c r="I57" s="438">
        <v>55</v>
      </c>
      <c r="J57" s="434">
        <v>36</v>
      </c>
      <c r="K57" s="434">
        <v>7</v>
      </c>
      <c r="L57" s="435" t="s">
        <v>5648</v>
      </c>
    </row>
    <row r="58" spans="1:12" ht="14" x14ac:dyDescent="0.3">
      <c r="A58" s="434" t="str">
        <f t="shared" si="0"/>
        <v>RO337</v>
      </c>
      <c r="B58" s="434">
        <v>37</v>
      </c>
      <c r="C58" s="434">
        <v>7</v>
      </c>
      <c r="D58" s="434">
        <v>56</v>
      </c>
      <c r="E58" s="435" t="s">
        <v>2536</v>
      </c>
      <c r="F58" s="436" t="s">
        <v>5662</v>
      </c>
      <c r="G58" s="437">
        <v>8000</v>
      </c>
      <c r="H58" s="437"/>
      <c r="I58" s="438">
        <v>55</v>
      </c>
      <c r="J58" s="434">
        <v>37</v>
      </c>
      <c r="K58" s="434">
        <v>7</v>
      </c>
      <c r="L58" s="435" t="s">
        <v>5648</v>
      </c>
    </row>
    <row r="59" spans="1:12" ht="14" x14ac:dyDescent="0.3">
      <c r="A59" s="434" t="str">
        <f t="shared" si="0"/>
        <v>RO340</v>
      </c>
      <c r="B59" s="434">
        <v>40</v>
      </c>
      <c r="C59" s="434">
        <v>7</v>
      </c>
      <c r="D59" s="434">
        <v>57</v>
      </c>
      <c r="E59" s="435" t="s">
        <v>2536</v>
      </c>
      <c r="F59" s="436" t="s">
        <v>5663</v>
      </c>
      <c r="G59" s="437">
        <v>4000</v>
      </c>
      <c r="H59" s="437"/>
      <c r="I59" s="438">
        <v>40</v>
      </c>
      <c r="J59" s="434">
        <v>40</v>
      </c>
      <c r="K59" s="434">
        <v>7</v>
      </c>
      <c r="L59" s="435" t="s">
        <v>5648</v>
      </c>
    </row>
    <row r="60" spans="1:12" ht="14" x14ac:dyDescent="0.3">
      <c r="A60" s="434" t="str">
        <f t="shared" si="0"/>
        <v>RO341</v>
      </c>
      <c r="B60" s="434">
        <v>41</v>
      </c>
      <c r="C60" s="434">
        <v>7</v>
      </c>
      <c r="D60" s="434">
        <v>58</v>
      </c>
      <c r="E60" s="435" t="s">
        <v>2536</v>
      </c>
      <c r="F60" s="436" t="s">
        <v>5664</v>
      </c>
      <c r="G60" s="437">
        <v>4000</v>
      </c>
      <c r="H60" s="437"/>
      <c r="I60" s="438">
        <v>40</v>
      </c>
      <c r="J60" s="434">
        <v>41</v>
      </c>
      <c r="K60" s="434">
        <v>7</v>
      </c>
      <c r="L60" s="435" t="s">
        <v>5648</v>
      </c>
    </row>
    <row r="61" spans="1:12" ht="14" x14ac:dyDescent="0.3">
      <c r="A61" s="434" t="str">
        <f t="shared" si="0"/>
        <v>RO344</v>
      </c>
      <c r="B61" s="434">
        <v>44</v>
      </c>
      <c r="C61" s="434">
        <v>7</v>
      </c>
      <c r="D61" s="434">
        <v>59</v>
      </c>
      <c r="E61" s="435" t="s">
        <v>2536</v>
      </c>
      <c r="F61" s="436" t="s">
        <v>5665</v>
      </c>
      <c r="G61" s="437">
        <v>12000</v>
      </c>
      <c r="H61" s="437"/>
      <c r="I61" s="438">
        <v>40</v>
      </c>
      <c r="J61" s="434">
        <v>44</v>
      </c>
      <c r="K61" s="434">
        <v>7</v>
      </c>
      <c r="L61" s="435" t="s">
        <v>5648</v>
      </c>
    </row>
    <row r="62" spans="1:12" ht="14" x14ac:dyDescent="0.3">
      <c r="A62" s="434" t="str">
        <f t="shared" si="0"/>
        <v>RO345</v>
      </c>
      <c r="B62" s="434">
        <v>45</v>
      </c>
      <c r="C62" s="434">
        <v>7</v>
      </c>
      <c r="D62" s="434">
        <v>60</v>
      </c>
      <c r="E62" s="435" t="s">
        <v>2536</v>
      </c>
      <c r="F62" s="436" t="s">
        <v>5666</v>
      </c>
      <c r="G62" s="437">
        <v>4000</v>
      </c>
      <c r="H62" s="437"/>
      <c r="I62" s="438">
        <v>40</v>
      </c>
      <c r="J62" s="434">
        <v>45</v>
      </c>
      <c r="K62" s="434">
        <v>7</v>
      </c>
      <c r="L62" s="435" t="s">
        <v>5648</v>
      </c>
    </row>
    <row r="63" spans="1:12" ht="14" x14ac:dyDescent="0.3">
      <c r="A63" s="434" t="str">
        <f t="shared" si="0"/>
        <v>RO348</v>
      </c>
      <c r="B63" s="434">
        <v>48</v>
      </c>
      <c r="C63" s="434">
        <v>7</v>
      </c>
      <c r="D63" s="434">
        <v>61</v>
      </c>
      <c r="E63" s="435" t="s">
        <v>2536</v>
      </c>
      <c r="F63" s="436" t="s">
        <v>5667</v>
      </c>
      <c r="G63" s="437">
        <v>4000</v>
      </c>
      <c r="H63" s="437"/>
      <c r="I63" s="438">
        <v>40</v>
      </c>
      <c r="J63" s="434">
        <v>48</v>
      </c>
      <c r="K63" s="434">
        <v>7</v>
      </c>
      <c r="L63" s="435" t="s">
        <v>5648</v>
      </c>
    </row>
    <row r="64" spans="1:12" ht="14" x14ac:dyDescent="0.3">
      <c r="A64" s="434" t="str">
        <f t="shared" si="0"/>
        <v>RO349</v>
      </c>
      <c r="B64" s="434">
        <v>49</v>
      </c>
      <c r="C64" s="434">
        <v>7</v>
      </c>
      <c r="D64" s="434">
        <v>62</v>
      </c>
      <c r="E64" s="435" t="s">
        <v>2536</v>
      </c>
      <c r="F64" s="436" t="s">
        <v>5668</v>
      </c>
      <c r="G64" s="437">
        <v>4000</v>
      </c>
      <c r="H64" s="437"/>
      <c r="I64" s="438">
        <v>40</v>
      </c>
      <c r="J64" s="434">
        <v>49</v>
      </c>
      <c r="K64" s="434">
        <v>7</v>
      </c>
      <c r="L64" s="435" t="s">
        <v>5648</v>
      </c>
    </row>
    <row r="65" spans="1:12" ht="14" x14ac:dyDescent="0.3">
      <c r="A65" s="434" t="str">
        <f t="shared" si="0"/>
        <v>RO350</v>
      </c>
      <c r="B65" s="434">
        <v>50</v>
      </c>
      <c r="C65" s="434">
        <v>7</v>
      </c>
      <c r="D65" s="434">
        <v>63</v>
      </c>
      <c r="E65" s="435" t="s">
        <v>2536</v>
      </c>
      <c r="F65" s="436" t="s">
        <v>5669</v>
      </c>
      <c r="G65" s="437">
        <v>5000</v>
      </c>
      <c r="H65" s="437"/>
      <c r="I65" s="438">
        <v>40</v>
      </c>
      <c r="J65" s="434">
        <v>50</v>
      </c>
      <c r="K65" s="434">
        <v>7</v>
      </c>
      <c r="L65" s="435" t="s">
        <v>5648</v>
      </c>
    </row>
    <row r="66" spans="1:12" ht="14" x14ac:dyDescent="0.3">
      <c r="A66" s="434" t="str">
        <f t="shared" si="0"/>
        <v>RO351</v>
      </c>
      <c r="B66" s="434">
        <v>51</v>
      </c>
      <c r="C66" s="434">
        <v>7</v>
      </c>
      <c r="D66" s="434">
        <v>64</v>
      </c>
      <c r="E66" s="435" t="s">
        <v>2536</v>
      </c>
      <c r="F66" s="436" t="s">
        <v>5670</v>
      </c>
      <c r="G66" s="437">
        <v>4000</v>
      </c>
      <c r="H66" s="437"/>
      <c r="I66" s="438">
        <v>40</v>
      </c>
      <c r="J66" s="434">
        <v>51</v>
      </c>
      <c r="K66" s="434">
        <v>7</v>
      </c>
      <c r="L66" s="435" t="s">
        <v>5648</v>
      </c>
    </row>
    <row r="67" spans="1:12" ht="14" x14ac:dyDescent="0.3">
      <c r="A67" s="434" t="str">
        <f t="shared" si="0"/>
        <v>RO353</v>
      </c>
      <c r="B67" s="434">
        <v>53</v>
      </c>
      <c r="C67" s="434">
        <v>7</v>
      </c>
      <c r="D67" s="434">
        <v>65</v>
      </c>
      <c r="E67" s="435" t="s">
        <v>2536</v>
      </c>
      <c r="F67" s="436" t="s">
        <v>5671</v>
      </c>
      <c r="G67" s="437">
        <v>4000</v>
      </c>
      <c r="H67" s="437"/>
      <c r="I67" s="438">
        <v>40</v>
      </c>
      <c r="J67" s="434">
        <v>53</v>
      </c>
      <c r="K67" s="434">
        <v>7</v>
      </c>
      <c r="L67" s="435" t="s">
        <v>5648</v>
      </c>
    </row>
    <row r="68" spans="1:12" ht="14" x14ac:dyDescent="0.3">
      <c r="A68" s="434" t="str">
        <f t="shared" ref="A68:A131" si="1">E68&amp;B68</f>
        <v>RO354</v>
      </c>
      <c r="B68" s="434">
        <v>54</v>
      </c>
      <c r="C68" s="434">
        <v>7</v>
      </c>
      <c r="D68" s="434">
        <v>66</v>
      </c>
      <c r="E68" s="435" t="s">
        <v>2536</v>
      </c>
      <c r="F68" s="436" t="s">
        <v>5672</v>
      </c>
      <c r="G68" s="437">
        <v>10000</v>
      </c>
      <c r="H68" s="437"/>
      <c r="I68" s="438">
        <v>55</v>
      </c>
      <c r="J68" s="434">
        <v>54</v>
      </c>
      <c r="K68" s="434">
        <v>7</v>
      </c>
      <c r="L68" s="435" t="s">
        <v>5648</v>
      </c>
    </row>
    <row r="69" spans="1:12" ht="14" x14ac:dyDescent="0.3">
      <c r="A69" s="434" t="str">
        <f t="shared" si="1"/>
        <v>RO355</v>
      </c>
      <c r="B69" s="434">
        <v>55</v>
      </c>
      <c r="C69" s="434">
        <v>7</v>
      </c>
      <c r="D69" s="434">
        <v>67</v>
      </c>
      <c r="E69" s="435" t="s">
        <v>2536</v>
      </c>
      <c r="F69" s="436" t="s">
        <v>5673</v>
      </c>
      <c r="G69" s="437">
        <v>4000</v>
      </c>
      <c r="H69" s="437"/>
      <c r="I69" s="438">
        <v>40</v>
      </c>
      <c r="J69" s="434">
        <v>55</v>
      </c>
      <c r="K69" s="434">
        <v>7</v>
      </c>
      <c r="L69" s="435" t="s">
        <v>5648</v>
      </c>
    </row>
    <row r="70" spans="1:12" ht="14" x14ac:dyDescent="0.3">
      <c r="A70" s="434" t="str">
        <f t="shared" si="1"/>
        <v>RO356</v>
      </c>
      <c r="B70" s="434">
        <v>56</v>
      </c>
      <c r="C70" s="434">
        <v>7</v>
      </c>
      <c r="D70" s="434">
        <v>68</v>
      </c>
      <c r="E70" s="435" t="s">
        <v>2536</v>
      </c>
      <c r="F70" s="436" t="s">
        <v>5674</v>
      </c>
      <c r="G70" s="437">
        <v>10000</v>
      </c>
      <c r="H70" s="437"/>
      <c r="I70" s="438">
        <v>55</v>
      </c>
      <c r="J70" s="434">
        <v>56</v>
      </c>
      <c r="K70" s="434">
        <v>7</v>
      </c>
      <c r="L70" s="435" t="s">
        <v>5648</v>
      </c>
    </row>
    <row r="71" spans="1:12" ht="14" x14ac:dyDescent="0.3">
      <c r="A71" s="434" t="str">
        <f t="shared" si="1"/>
        <v>RO360</v>
      </c>
      <c r="B71" s="434">
        <v>60</v>
      </c>
      <c r="C71" s="434">
        <v>7</v>
      </c>
      <c r="D71" s="434">
        <v>69</v>
      </c>
      <c r="E71" s="435" t="s">
        <v>2536</v>
      </c>
      <c r="F71" s="436" t="s">
        <v>5675</v>
      </c>
      <c r="G71" s="437">
        <v>10000</v>
      </c>
      <c r="H71" s="437"/>
      <c r="I71" s="438">
        <v>55</v>
      </c>
      <c r="J71" s="434">
        <v>60</v>
      </c>
      <c r="K71" s="434">
        <v>7</v>
      </c>
      <c r="L71" s="435" t="s">
        <v>5648</v>
      </c>
    </row>
    <row r="72" spans="1:12" ht="14" x14ac:dyDescent="0.3">
      <c r="A72" s="434" t="str">
        <f t="shared" si="1"/>
        <v>RO361</v>
      </c>
      <c r="B72" s="434">
        <v>61</v>
      </c>
      <c r="C72" s="434">
        <v>7</v>
      </c>
      <c r="D72" s="434">
        <v>70</v>
      </c>
      <c r="E72" s="435" t="s">
        <v>2536</v>
      </c>
      <c r="F72" s="436" t="s">
        <v>5676</v>
      </c>
      <c r="G72" s="437">
        <v>3000</v>
      </c>
      <c r="H72" s="437"/>
      <c r="I72" s="438">
        <v>40</v>
      </c>
      <c r="J72" s="434">
        <v>61</v>
      </c>
      <c r="K72" s="434">
        <v>7</v>
      </c>
      <c r="L72" s="435" t="s">
        <v>5648</v>
      </c>
    </row>
    <row r="73" spans="1:12" ht="14" x14ac:dyDescent="0.3">
      <c r="A73" s="434" t="str">
        <f t="shared" si="1"/>
        <v>RO362</v>
      </c>
      <c r="B73" s="434">
        <v>62</v>
      </c>
      <c r="C73" s="434">
        <v>7</v>
      </c>
      <c r="D73" s="434">
        <v>71</v>
      </c>
      <c r="E73" s="435" t="s">
        <v>2536</v>
      </c>
      <c r="F73" s="436" t="s">
        <v>5677</v>
      </c>
      <c r="G73" s="437">
        <v>3000</v>
      </c>
      <c r="H73" s="437"/>
      <c r="I73" s="438">
        <v>40</v>
      </c>
      <c r="J73" s="434">
        <v>62</v>
      </c>
      <c r="K73" s="434">
        <v>7</v>
      </c>
      <c r="L73" s="435" t="s">
        <v>5648</v>
      </c>
    </row>
    <row r="74" spans="1:12" ht="14" x14ac:dyDescent="0.3">
      <c r="A74" s="434" t="str">
        <f t="shared" si="1"/>
        <v>RO363</v>
      </c>
      <c r="B74" s="434">
        <v>63</v>
      </c>
      <c r="C74" s="434">
        <v>7</v>
      </c>
      <c r="D74" s="434">
        <v>72</v>
      </c>
      <c r="E74" s="435" t="s">
        <v>2536</v>
      </c>
      <c r="F74" s="436" t="s">
        <v>5678</v>
      </c>
      <c r="G74" s="437">
        <v>3000</v>
      </c>
      <c r="H74" s="437"/>
      <c r="I74" s="438">
        <v>40</v>
      </c>
      <c r="J74" s="434">
        <v>63</v>
      </c>
      <c r="K74" s="434">
        <v>7</v>
      </c>
      <c r="L74" s="435" t="s">
        <v>5648</v>
      </c>
    </row>
    <row r="75" spans="1:12" ht="14" x14ac:dyDescent="0.3">
      <c r="A75" s="434" t="str">
        <f t="shared" si="1"/>
        <v>RO365</v>
      </c>
      <c r="B75" s="434">
        <v>65</v>
      </c>
      <c r="C75" s="434">
        <v>7</v>
      </c>
      <c r="D75" s="434">
        <v>73</v>
      </c>
      <c r="E75" s="435" t="s">
        <v>2536</v>
      </c>
      <c r="F75" s="436" t="s">
        <v>5679</v>
      </c>
      <c r="G75" s="437">
        <v>3000</v>
      </c>
      <c r="H75" s="437"/>
      <c r="I75" s="438">
        <v>40</v>
      </c>
      <c r="J75" s="434">
        <v>65</v>
      </c>
      <c r="K75" s="434">
        <v>7</v>
      </c>
      <c r="L75" s="435" t="s">
        <v>5648</v>
      </c>
    </row>
    <row r="76" spans="1:12" ht="14" x14ac:dyDescent="0.3">
      <c r="A76" s="434" t="str">
        <f t="shared" si="1"/>
        <v>RO366</v>
      </c>
      <c r="B76" s="434">
        <v>66</v>
      </c>
      <c r="C76" s="434">
        <v>7</v>
      </c>
      <c r="D76" s="434">
        <v>74</v>
      </c>
      <c r="E76" s="435" t="s">
        <v>2536</v>
      </c>
      <c r="F76" s="436" t="s">
        <v>5680</v>
      </c>
      <c r="G76" s="437">
        <v>3000</v>
      </c>
      <c r="H76" s="437"/>
      <c r="I76" s="438">
        <v>40</v>
      </c>
      <c r="J76" s="434">
        <v>66</v>
      </c>
      <c r="K76" s="434">
        <v>7</v>
      </c>
      <c r="L76" s="435" t="s">
        <v>5648</v>
      </c>
    </row>
    <row r="77" spans="1:12" ht="14" x14ac:dyDescent="0.3">
      <c r="A77" s="434" t="str">
        <f t="shared" si="1"/>
        <v>RO368</v>
      </c>
      <c r="B77" s="434">
        <v>68</v>
      </c>
      <c r="C77" s="434">
        <v>7</v>
      </c>
      <c r="D77" s="434">
        <v>75</v>
      </c>
      <c r="E77" s="435" t="s">
        <v>2536</v>
      </c>
      <c r="F77" s="436" t="s">
        <v>5681</v>
      </c>
      <c r="G77" s="437">
        <v>2000</v>
      </c>
      <c r="H77" s="437"/>
      <c r="I77" s="438">
        <v>40</v>
      </c>
      <c r="J77" s="434">
        <v>68</v>
      </c>
      <c r="K77" s="434">
        <v>7</v>
      </c>
      <c r="L77" s="435" t="s">
        <v>5648</v>
      </c>
    </row>
    <row r="78" spans="1:12" ht="14" x14ac:dyDescent="0.3">
      <c r="A78" s="434" t="str">
        <f t="shared" si="1"/>
        <v>RO370</v>
      </c>
      <c r="B78" s="434">
        <v>70</v>
      </c>
      <c r="C78" s="434">
        <v>7</v>
      </c>
      <c r="D78" s="434">
        <v>76</v>
      </c>
      <c r="E78" s="435" t="s">
        <v>2536</v>
      </c>
      <c r="F78" s="436" t="s">
        <v>5682</v>
      </c>
      <c r="G78" s="437">
        <v>2000</v>
      </c>
      <c r="H78" s="437"/>
      <c r="I78" s="438">
        <v>40</v>
      </c>
      <c r="J78" s="434">
        <v>70</v>
      </c>
      <c r="K78" s="434">
        <v>7</v>
      </c>
      <c r="L78" s="435" t="s">
        <v>5648</v>
      </c>
    </row>
    <row r="79" spans="1:12" ht="14" x14ac:dyDescent="0.3">
      <c r="A79" s="434" t="str">
        <f t="shared" si="1"/>
        <v>RO371</v>
      </c>
      <c r="B79" s="434">
        <v>71</v>
      </c>
      <c r="C79" s="434">
        <v>7</v>
      </c>
      <c r="D79" s="434">
        <v>77</v>
      </c>
      <c r="E79" s="435" t="s">
        <v>2536</v>
      </c>
      <c r="F79" s="436" t="s">
        <v>5683</v>
      </c>
      <c r="G79" s="437">
        <v>2000</v>
      </c>
      <c r="H79" s="437"/>
      <c r="I79" s="438">
        <v>40</v>
      </c>
      <c r="J79" s="434">
        <v>71</v>
      </c>
      <c r="K79" s="434">
        <v>7</v>
      </c>
      <c r="L79" s="435" t="s">
        <v>5648</v>
      </c>
    </row>
    <row r="80" spans="1:12" ht="14" x14ac:dyDescent="0.3">
      <c r="A80" s="434" t="str">
        <f t="shared" si="1"/>
        <v>RO372</v>
      </c>
      <c r="B80" s="434">
        <v>72</v>
      </c>
      <c r="C80" s="434">
        <v>7</v>
      </c>
      <c r="D80" s="434">
        <v>78</v>
      </c>
      <c r="E80" s="435" t="s">
        <v>2536</v>
      </c>
      <c r="F80" s="436" t="s">
        <v>5684</v>
      </c>
      <c r="G80" s="437">
        <v>2000</v>
      </c>
      <c r="H80" s="437"/>
      <c r="I80" s="438">
        <v>40</v>
      </c>
      <c r="J80" s="434">
        <v>72</v>
      </c>
      <c r="K80" s="434">
        <v>7</v>
      </c>
      <c r="L80" s="435" t="s">
        <v>5648</v>
      </c>
    </row>
    <row r="81" spans="1:12" ht="14" x14ac:dyDescent="0.3">
      <c r="A81" s="434" t="str">
        <f t="shared" si="1"/>
        <v>RO373</v>
      </c>
      <c r="B81" s="434">
        <v>73</v>
      </c>
      <c r="C81" s="434">
        <v>7</v>
      </c>
      <c r="D81" s="434">
        <v>79</v>
      </c>
      <c r="E81" s="435" t="s">
        <v>2536</v>
      </c>
      <c r="F81" s="436" t="s">
        <v>5685</v>
      </c>
      <c r="G81" s="437">
        <v>2000</v>
      </c>
      <c r="H81" s="437"/>
      <c r="I81" s="438">
        <v>40</v>
      </c>
      <c r="J81" s="434">
        <v>73</v>
      </c>
      <c r="K81" s="434">
        <v>7</v>
      </c>
      <c r="L81" s="435" t="s">
        <v>5648</v>
      </c>
    </row>
    <row r="82" spans="1:12" ht="14" x14ac:dyDescent="0.3">
      <c r="A82" s="434" t="str">
        <f t="shared" si="1"/>
        <v>RO374</v>
      </c>
      <c r="B82" s="434">
        <v>74</v>
      </c>
      <c r="C82" s="434">
        <v>7</v>
      </c>
      <c r="D82" s="434">
        <v>80</v>
      </c>
      <c r="E82" s="435" t="s">
        <v>2536</v>
      </c>
      <c r="F82" s="436" t="s">
        <v>5686</v>
      </c>
      <c r="G82" s="437">
        <v>2000</v>
      </c>
      <c r="H82" s="437"/>
      <c r="I82" s="438">
        <v>40</v>
      </c>
      <c r="J82" s="434">
        <v>74</v>
      </c>
      <c r="K82" s="434">
        <v>7</v>
      </c>
      <c r="L82" s="435" t="s">
        <v>5648</v>
      </c>
    </row>
    <row r="83" spans="1:12" ht="14" x14ac:dyDescent="0.3">
      <c r="A83" s="434" t="str">
        <f t="shared" si="1"/>
        <v>RO380</v>
      </c>
      <c r="B83" s="434">
        <v>80</v>
      </c>
      <c r="C83" s="434">
        <v>7</v>
      </c>
      <c r="D83" s="434">
        <v>81</v>
      </c>
      <c r="E83" s="435" t="s">
        <v>2536</v>
      </c>
      <c r="F83" s="436" t="s">
        <v>5687</v>
      </c>
      <c r="G83" s="437">
        <v>2000</v>
      </c>
      <c r="H83" s="437"/>
      <c r="I83" s="438">
        <v>40</v>
      </c>
      <c r="J83" s="434">
        <v>80</v>
      </c>
      <c r="K83" s="434">
        <v>7</v>
      </c>
      <c r="L83" s="435" t="s">
        <v>5648</v>
      </c>
    </row>
    <row r="84" spans="1:12" ht="14" x14ac:dyDescent="0.3">
      <c r="A84" s="434" t="str">
        <f t="shared" si="1"/>
        <v>RO381</v>
      </c>
      <c r="B84" s="434">
        <v>81</v>
      </c>
      <c r="C84" s="434">
        <v>7</v>
      </c>
      <c r="D84" s="434">
        <v>82</v>
      </c>
      <c r="E84" s="435" t="s">
        <v>2536</v>
      </c>
      <c r="F84" s="436" t="s">
        <v>5688</v>
      </c>
      <c r="G84" s="437">
        <v>3000</v>
      </c>
      <c r="H84" s="437"/>
      <c r="I84" s="438">
        <v>40</v>
      </c>
      <c r="J84" s="434">
        <v>81</v>
      </c>
      <c r="K84" s="434">
        <v>7</v>
      </c>
      <c r="L84" s="435" t="s">
        <v>5648</v>
      </c>
    </row>
    <row r="85" spans="1:12" ht="14" x14ac:dyDescent="0.3">
      <c r="A85" s="434" t="str">
        <f t="shared" si="1"/>
        <v>RO382</v>
      </c>
      <c r="B85" s="434">
        <v>82</v>
      </c>
      <c r="C85" s="434">
        <v>7</v>
      </c>
      <c r="D85" s="434">
        <v>83</v>
      </c>
      <c r="E85" s="435" t="s">
        <v>2536</v>
      </c>
      <c r="F85" s="436" t="s">
        <v>5689</v>
      </c>
      <c r="G85" s="437">
        <v>3000</v>
      </c>
      <c r="H85" s="437"/>
      <c r="I85" s="438">
        <v>40</v>
      </c>
      <c r="J85" s="434">
        <v>82</v>
      </c>
      <c r="K85" s="434">
        <v>7</v>
      </c>
      <c r="L85" s="435" t="s">
        <v>5648</v>
      </c>
    </row>
    <row r="86" spans="1:12" ht="14" x14ac:dyDescent="0.3">
      <c r="A86" s="434" t="str">
        <f t="shared" si="1"/>
        <v>RO383</v>
      </c>
      <c r="B86" s="434">
        <v>83</v>
      </c>
      <c r="C86" s="434">
        <v>7</v>
      </c>
      <c r="D86" s="434">
        <v>84</v>
      </c>
      <c r="E86" s="435" t="s">
        <v>2536</v>
      </c>
      <c r="F86" s="436" t="s">
        <v>5690</v>
      </c>
      <c r="G86" s="437">
        <v>4000</v>
      </c>
      <c r="H86" s="437"/>
      <c r="I86" s="438">
        <v>40</v>
      </c>
      <c r="J86" s="434">
        <v>83</v>
      </c>
      <c r="K86" s="434">
        <v>7</v>
      </c>
      <c r="L86" s="435" t="s">
        <v>5648</v>
      </c>
    </row>
    <row r="87" spans="1:12" ht="14" x14ac:dyDescent="0.3">
      <c r="A87" s="434" t="str">
        <f t="shared" si="1"/>
        <v>RO389</v>
      </c>
      <c r="B87" s="434">
        <v>89</v>
      </c>
      <c r="C87" s="434">
        <v>7</v>
      </c>
      <c r="D87" s="434">
        <v>85</v>
      </c>
      <c r="E87" s="435" t="s">
        <v>2536</v>
      </c>
      <c r="F87" s="436" t="s">
        <v>5691</v>
      </c>
      <c r="G87" s="437">
        <v>6000</v>
      </c>
      <c r="H87" s="437"/>
      <c r="I87" s="438">
        <v>40</v>
      </c>
      <c r="J87" s="434">
        <v>89</v>
      </c>
      <c r="K87" s="434">
        <v>7</v>
      </c>
      <c r="L87" s="435" t="s">
        <v>5648</v>
      </c>
    </row>
    <row r="88" spans="1:12" ht="14" x14ac:dyDescent="0.3">
      <c r="A88" s="434" t="str">
        <f t="shared" si="1"/>
        <v>RO390</v>
      </c>
      <c r="B88" s="434">
        <v>90</v>
      </c>
      <c r="C88" s="434">
        <v>7</v>
      </c>
      <c r="D88" s="434">
        <v>86</v>
      </c>
      <c r="E88" s="435" t="s">
        <v>2536</v>
      </c>
      <c r="F88" s="436" t="s">
        <v>5692</v>
      </c>
      <c r="G88" s="437">
        <v>4000</v>
      </c>
      <c r="H88" s="437"/>
      <c r="I88" s="438">
        <v>40</v>
      </c>
      <c r="J88" s="434">
        <v>90</v>
      </c>
      <c r="K88" s="434">
        <v>7</v>
      </c>
      <c r="L88" s="435" t="s">
        <v>5648</v>
      </c>
    </row>
    <row r="89" spans="1:12" ht="14" x14ac:dyDescent="0.3">
      <c r="A89" s="434" t="str">
        <f t="shared" si="1"/>
        <v>RO393</v>
      </c>
      <c r="B89" s="434">
        <v>93</v>
      </c>
      <c r="C89" s="434">
        <v>7</v>
      </c>
      <c r="D89" s="434">
        <v>87</v>
      </c>
      <c r="E89" s="435" t="s">
        <v>2536</v>
      </c>
      <c r="F89" s="436" t="s">
        <v>5693</v>
      </c>
      <c r="G89" s="437">
        <v>2000</v>
      </c>
      <c r="H89" s="437"/>
      <c r="I89" s="438">
        <v>40</v>
      </c>
      <c r="J89" s="434">
        <v>93</v>
      </c>
      <c r="K89" s="434">
        <v>7</v>
      </c>
      <c r="L89" s="435" t="s">
        <v>5648</v>
      </c>
    </row>
    <row r="90" spans="1:12" ht="14" x14ac:dyDescent="0.3">
      <c r="A90" s="434" t="str">
        <f t="shared" si="1"/>
        <v>RO394</v>
      </c>
      <c r="B90" s="434">
        <v>94</v>
      </c>
      <c r="C90" s="434">
        <v>7</v>
      </c>
      <c r="D90" s="434">
        <v>88</v>
      </c>
      <c r="E90" s="435" t="s">
        <v>2536</v>
      </c>
      <c r="F90" s="436" t="s">
        <v>5694</v>
      </c>
      <c r="G90" s="437">
        <v>2000</v>
      </c>
      <c r="H90" s="437"/>
      <c r="I90" s="438">
        <v>40</v>
      </c>
      <c r="J90" s="434">
        <v>94</v>
      </c>
      <c r="K90" s="434">
        <v>7</v>
      </c>
      <c r="L90" s="435" t="s">
        <v>5648</v>
      </c>
    </row>
    <row r="91" spans="1:12" ht="14" x14ac:dyDescent="0.3">
      <c r="A91" s="434" t="str">
        <f t="shared" si="1"/>
        <v>RO395</v>
      </c>
      <c r="B91" s="434">
        <v>95</v>
      </c>
      <c r="C91" s="434">
        <v>7</v>
      </c>
      <c r="D91" s="434">
        <v>89</v>
      </c>
      <c r="E91" s="435" t="s">
        <v>2536</v>
      </c>
      <c r="F91" s="436" t="s">
        <v>5695</v>
      </c>
      <c r="G91" s="437">
        <v>2000</v>
      </c>
      <c r="H91" s="437"/>
      <c r="I91" s="438">
        <v>40</v>
      </c>
      <c r="J91" s="434">
        <v>95</v>
      </c>
      <c r="K91" s="434">
        <v>7</v>
      </c>
      <c r="L91" s="435" t="s">
        <v>5648</v>
      </c>
    </row>
    <row r="92" spans="1:12" ht="14" x14ac:dyDescent="0.3">
      <c r="A92" s="434" t="str">
        <f t="shared" si="1"/>
        <v>RO396</v>
      </c>
      <c r="B92" s="434">
        <v>96</v>
      </c>
      <c r="C92" s="434">
        <v>7</v>
      </c>
      <c r="D92" s="434">
        <v>90</v>
      </c>
      <c r="E92" s="435" t="s">
        <v>2536</v>
      </c>
      <c r="F92" s="436" t="s">
        <v>5696</v>
      </c>
      <c r="G92" s="437">
        <v>2000</v>
      </c>
      <c r="H92" s="437"/>
      <c r="I92" s="438">
        <v>40</v>
      </c>
      <c r="J92" s="434">
        <v>96</v>
      </c>
      <c r="K92" s="434">
        <v>7</v>
      </c>
      <c r="L92" s="435" t="s">
        <v>5648</v>
      </c>
    </row>
    <row r="93" spans="1:12" ht="14" x14ac:dyDescent="0.3">
      <c r="A93" s="434" t="str">
        <f t="shared" si="1"/>
        <v>RO398</v>
      </c>
      <c r="B93" s="434">
        <v>98</v>
      </c>
      <c r="C93" s="434">
        <v>7</v>
      </c>
      <c r="D93" s="434">
        <v>91</v>
      </c>
      <c r="E93" s="435" t="s">
        <v>2536</v>
      </c>
      <c r="F93" s="436" t="s">
        <v>5697</v>
      </c>
      <c r="G93" s="437">
        <v>2000</v>
      </c>
      <c r="H93" s="437"/>
      <c r="I93" s="438">
        <v>40</v>
      </c>
      <c r="J93" s="434">
        <v>98</v>
      </c>
      <c r="K93" s="434">
        <v>7</v>
      </c>
      <c r="L93" s="435" t="s">
        <v>5648</v>
      </c>
    </row>
    <row r="94" spans="1:12" ht="14" x14ac:dyDescent="0.3">
      <c r="A94" s="434" t="str">
        <f t="shared" si="1"/>
        <v>RO399</v>
      </c>
      <c r="B94" s="434">
        <v>99</v>
      </c>
      <c r="C94" s="434">
        <v>7</v>
      </c>
      <c r="D94" s="434">
        <v>92</v>
      </c>
      <c r="E94" s="435" t="s">
        <v>2536</v>
      </c>
      <c r="F94" s="436" t="s">
        <v>5698</v>
      </c>
      <c r="G94" s="437">
        <v>2000</v>
      </c>
      <c r="H94" s="437"/>
      <c r="I94" s="438">
        <v>40</v>
      </c>
      <c r="J94" s="434">
        <v>99</v>
      </c>
      <c r="K94" s="434">
        <v>7</v>
      </c>
      <c r="L94" s="435" t="s">
        <v>5648</v>
      </c>
    </row>
    <row r="95" spans="1:12" ht="14" x14ac:dyDescent="0.3">
      <c r="A95" s="439" t="str">
        <f t="shared" si="1"/>
        <v>RO410</v>
      </c>
      <c r="B95" s="439">
        <v>10</v>
      </c>
      <c r="C95" s="439">
        <v>7</v>
      </c>
      <c r="D95" s="439">
        <v>93</v>
      </c>
      <c r="E95" s="440" t="s">
        <v>2607</v>
      </c>
      <c r="F95" s="441" t="s">
        <v>5699</v>
      </c>
      <c r="G95" s="442">
        <v>3000</v>
      </c>
      <c r="H95" s="442"/>
      <c r="I95" s="443">
        <v>35</v>
      </c>
      <c r="J95" s="439">
        <v>10</v>
      </c>
      <c r="K95" s="439">
        <v>7</v>
      </c>
      <c r="L95" s="440" t="s">
        <v>5700</v>
      </c>
    </row>
    <row r="96" spans="1:12" ht="14" x14ac:dyDescent="0.3">
      <c r="A96" s="439" t="str">
        <f t="shared" si="1"/>
        <v>RO420</v>
      </c>
      <c r="B96" s="439">
        <v>20</v>
      </c>
      <c r="C96" s="439">
        <v>7</v>
      </c>
      <c r="D96" s="439">
        <v>94</v>
      </c>
      <c r="E96" s="440" t="s">
        <v>2607</v>
      </c>
      <c r="F96" s="441" t="s">
        <v>5701</v>
      </c>
      <c r="G96" s="442">
        <v>4000</v>
      </c>
      <c r="H96" s="442"/>
      <c r="I96" s="443">
        <v>35</v>
      </c>
      <c r="J96" s="439">
        <v>20</v>
      </c>
      <c r="K96" s="439">
        <v>7</v>
      </c>
      <c r="L96" s="440" t="s">
        <v>5700</v>
      </c>
    </row>
    <row r="97" spans="1:12" ht="14" x14ac:dyDescent="0.3">
      <c r="A97" s="439" t="str">
        <f t="shared" si="1"/>
        <v>RO431</v>
      </c>
      <c r="B97" s="439">
        <v>31</v>
      </c>
      <c r="C97" s="439">
        <v>7</v>
      </c>
      <c r="D97" s="439">
        <v>95</v>
      </c>
      <c r="E97" s="440" t="s">
        <v>2607</v>
      </c>
      <c r="F97" s="441" t="s">
        <v>5702</v>
      </c>
      <c r="G97" s="442">
        <v>4000</v>
      </c>
      <c r="H97" s="442"/>
      <c r="I97" s="443">
        <v>35</v>
      </c>
      <c r="J97" s="439">
        <v>31</v>
      </c>
      <c r="K97" s="439">
        <v>7</v>
      </c>
      <c r="L97" s="440" t="s">
        <v>5700</v>
      </c>
    </row>
    <row r="98" spans="1:12" ht="14" x14ac:dyDescent="0.3">
      <c r="A98" s="439" t="str">
        <f t="shared" si="1"/>
        <v>RO438</v>
      </c>
      <c r="B98" s="439">
        <v>38</v>
      </c>
      <c r="C98" s="439">
        <v>7</v>
      </c>
      <c r="D98" s="439">
        <v>96</v>
      </c>
      <c r="E98" s="440" t="s">
        <v>2607</v>
      </c>
      <c r="F98" s="441" t="s">
        <v>5703</v>
      </c>
      <c r="G98" s="442">
        <v>4000</v>
      </c>
      <c r="H98" s="442"/>
      <c r="I98" s="443">
        <v>35</v>
      </c>
      <c r="J98" s="439">
        <v>38</v>
      </c>
      <c r="K98" s="439">
        <v>7</v>
      </c>
      <c r="L98" s="440" t="s">
        <v>5700</v>
      </c>
    </row>
    <row r="99" spans="1:12" ht="14" x14ac:dyDescent="0.3">
      <c r="A99" s="439" t="str">
        <f t="shared" si="1"/>
        <v>RO480</v>
      </c>
      <c r="B99" s="680">
        <v>80</v>
      </c>
      <c r="C99" s="439">
        <v>7</v>
      </c>
      <c r="D99" s="439">
        <v>97</v>
      </c>
      <c r="E99" s="440" t="s">
        <v>2607</v>
      </c>
      <c r="F99" s="441" t="s">
        <v>5704</v>
      </c>
      <c r="G99" s="442">
        <v>4000</v>
      </c>
      <c r="H99" s="442"/>
      <c r="I99" s="443">
        <v>35</v>
      </c>
      <c r="J99" s="439">
        <v>39</v>
      </c>
      <c r="K99" s="439">
        <v>7</v>
      </c>
      <c r="L99" s="440" t="s">
        <v>5700</v>
      </c>
    </row>
    <row r="100" spans="1:12" ht="14" x14ac:dyDescent="0.3">
      <c r="A100" s="439" t="str">
        <f t="shared" si="1"/>
        <v>RO481</v>
      </c>
      <c r="B100" s="680">
        <v>81</v>
      </c>
      <c r="C100" s="439">
        <v>7</v>
      </c>
      <c r="D100" s="439">
        <v>98</v>
      </c>
      <c r="E100" s="440" t="s">
        <v>2607</v>
      </c>
      <c r="F100" s="441" t="s">
        <v>5705</v>
      </c>
      <c r="G100" s="442">
        <v>4000</v>
      </c>
      <c r="H100" s="442"/>
      <c r="I100" s="443">
        <v>35</v>
      </c>
      <c r="J100" s="439">
        <v>40</v>
      </c>
      <c r="K100" s="439">
        <v>7</v>
      </c>
      <c r="L100" s="440" t="s">
        <v>5700</v>
      </c>
    </row>
    <row r="101" spans="1:12" ht="14" x14ac:dyDescent="0.3">
      <c r="A101" s="439" t="str">
        <f t="shared" si="1"/>
        <v>RO482</v>
      </c>
      <c r="B101" s="680">
        <v>82</v>
      </c>
      <c r="C101" s="439">
        <v>7</v>
      </c>
      <c r="D101" s="439">
        <v>99</v>
      </c>
      <c r="E101" s="440" t="s">
        <v>2607</v>
      </c>
      <c r="F101" s="441" t="s">
        <v>5706</v>
      </c>
      <c r="G101" s="442">
        <v>4000</v>
      </c>
      <c r="H101" s="442"/>
      <c r="I101" s="443">
        <v>35</v>
      </c>
      <c r="J101" s="439">
        <v>41</v>
      </c>
      <c r="K101" s="439">
        <v>7</v>
      </c>
      <c r="L101" s="440" t="s">
        <v>5700</v>
      </c>
    </row>
    <row r="102" spans="1:12" ht="14" x14ac:dyDescent="0.3">
      <c r="A102" s="439" t="str">
        <f t="shared" si="1"/>
        <v>RO483</v>
      </c>
      <c r="B102" s="680">
        <v>83</v>
      </c>
      <c r="C102" s="439">
        <v>7</v>
      </c>
      <c r="D102" s="439">
        <v>100</v>
      </c>
      <c r="E102" s="440" t="s">
        <v>2607</v>
      </c>
      <c r="F102" s="441" t="s">
        <v>5707</v>
      </c>
      <c r="G102" s="442">
        <v>4000</v>
      </c>
      <c r="H102" s="442"/>
      <c r="I102" s="443">
        <v>35</v>
      </c>
      <c r="J102" s="439">
        <v>42</v>
      </c>
      <c r="K102" s="439">
        <v>7</v>
      </c>
      <c r="L102" s="440" t="s">
        <v>5700</v>
      </c>
    </row>
    <row r="103" spans="1:12" ht="14" x14ac:dyDescent="0.3">
      <c r="A103" s="439" t="str">
        <f t="shared" si="1"/>
        <v>RO484</v>
      </c>
      <c r="B103" s="680">
        <v>84</v>
      </c>
      <c r="C103" s="439">
        <v>7</v>
      </c>
      <c r="D103" s="439">
        <v>101</v>
      </c>
      <c r="E103" s="440" t="s">
        <v>2607</v>
      </c>
      <c r="F103" s="441" t="s">
        <v>5708</v>
      </c>
      <c r="G103" s="442">
        <v>4000</v>
      </c>
      <c r="H103" s="442"/>
      <c r="I103" s="443">
        <v>35</v>
      </c>
      <c r="J103" s="439">
        <v>43</v>
      </c>
      <c r="K103" s="439">
        <v>7</v>
      </c>
      <c r="L103" s="440" t="s">
        <v>5700</v>
      </c>
    </row>
    <row r="104" spans="1:12" ht="14" x14ac:dyDescent="0.3">
      <c r="A104" s="439" t="str">
        <f t="shared" si="1"/>
        <v>RO485</v>
      </c>
      <c r="B104" s="680">
        <v>85</v>
      </c>
      <c r="C104" s="439">
        <v>7</v>
      </c>
      <c r="D104" s="439">
        <v>102</v>
      </c>
      <c r="E104" s="440" t="s">
        <v>2607</v>
      </c>
      <c r="F104" s="441" t="s">
        <v>5709</v>
      </c>
      <c r="G104" s="442">
        <v>4000</v>
      </c>
      <c r="H104" s="442"/>
      <c r="I104" s="443">
        <v>35</v>
      </c>
      <c r="J104" s="439">
        <v>44</v>
      </c>
      <c r="K104" s="439">
        <v>7</v>
      </c>
      <c r="L104" s="440" t="s">
        <v>5700</v>
      </c>
    </row>
    <row r="105" spans="1:12" ht="14" x14ac:dyDescent="0.3">
      <c r="A105" s="439" t="str">
        <f t="shared" si="1"/>
        <v>RO486</v>
      </c>
      <c r="B105" s="680">
        <v>86</v>
      </c>
      <c r="C105" s="439">
        <v>7</v>
      </c>
      <c r="D105" s="439">
        <v>103</v>
      </c>
      <c r="E105" s="440" t="s">
        <v>2607</v>
      </c>
      <c r="F105" s="441" t="s">
        <v>5710</v>
      </c>
      <c r="G105" s="442">
        <v>4000</v>
      </c>
      <c r="H105" s="442"/>
      <c r="I105" s="443">
        <v>35</v>
      </c>
      <c r="J105" s="439">
        <v>45</v>
      </c>
      <c r="K105" s="439">
        <v>7</v>
      </c>
      <c r="L105" s="440" t="s">
        <v>5700</v>
      </c>
    </row>
    <row r="106" spans="1:12" ht="14" x14ac:dyDescent="0.3">
      <c r="A106" s="439" t="str">
        <f t="shared" si="1"/>
        <v>RO487</v>
      </c>
      <c r="B106" s="680">
        <v>87</v>
      </c>
      <c r="C106" s="439">
        <v>7</v>
      </c>
      <c r="D106" s="439">
        <v>104</v>
      </c>
      <c r="E106" s="440" t="s">
        <v>2607</v>
      </c>
      <c r="F106" s="441" t="s">
        <v>5711</v>
      </c>
      <c r="G106" s="442">
        <v>4000</v>
      </c>
      <c r="H106" s="442"/>
      <c r="I106" s="443">
        <v>35</v>
      </c>
      <c r="J106" s="439">
        <v>46</v>
      </c>
      <c r="K106" s="439">
        <v>7</v>
      </c>
      <c r="L106" s="440" t="s">
        <v>5700</v>
      </c>
    </row>
    <row r="107" spans="1:12" ht="14" x14ac:dyDescent="0.3">
      <c r="A107" s="439" t="str">
        <f t="shared" si="1"/>
        <v>RO488</v>
      </c>
      <c r="B107" s="680">
        <v>88</v>
      </c>
      <c r="C107" s="439">
        <v>7</v>
      </c>
      <c r="D107" s="439">
        <v>105</v>
      </c>
      <c r="E107" s="440" t="s">
        <v>2607</v>
      </c>
      <c r="F107" s="441" t="s">
        <v>5712</v>
      </c>
      <c r="G107" s="442">
        <v>4000</v>
      </c>
      <c r="H107" s="442"/>
      <c r="I107" s="443">
        <v>35</v>
      </c>
      <c r="J107" s="439">
        <v>47</v>
      </c>
      <c r="K107" s="439">
        <v>7</v>
      </c>
      <c r="L107" s="440" t="s">
        <v>5700</v>
      </c>
    </row>
    <row r="108" spans="1:12" ht="14" x14ac:dyDescent="0.3">
      <c r="A108" s="439" t="str">
        <f t="shared" si="1"/>
        <v>RO489</v>
      </c>
      <c r="B108" s="680">
        <v>89</v>
      </c>
      <c r="C108" s="439">
        <v>7</v>
      </c>
      <c r="D108" s="439">
        <v>106</v>
      </c>
      <c r="E108" s="440" t="s">
        <v>2607</v>
      </c>
      <c r="F108" s="441" t="s">
        <v>5713</v>
      </c>
      <c r="G108" s="442">
        <v>4000</v>
      </c>
      <c r="H108" s="442"/>
      <c r="I108" s="443">
        <v>35</v>
      </c>
      <c r="J108" s="439">
        <v>48</v>
      </c>
      <c r="K108" s="439">
        <v>7</v>
      </c>
      <c r="L108" s="440" t="s">
        <v>5700</v>
      </c>
    </row>
    <row r="109" spans="1:12" ht="14" x14ac:dyDescent="0.3">
      <c r="A109" s="439" t="str">
        <f t="shared" si="1"/>
        <v>RO490</v>
      </c>
      <c r="B109" s="680">
        <v>90</v>
      </c>
      <c r="C109" s="439">
        <v>7</v>
      </c>
      <c r="D109" s="439">
        <v>107</v>
      </c>
      <c r="E109" s="440" t="s">
        <v>2607</v>
      </c>
      <c r="F109" s="441" t="s">
        <v>5714</v>
      </c>
      <c r="G109" s="442">
        <v>4000</v>
      </c>
      <c r="H109" s="442"/>
      <c r="I109" s="443">
        <v>35</v>
      </c>
      <c r="J109" s="439">
        <v>49</v>
      </c>
      <c r="K109" s="439">
        <v>7</v>
      </c>
      <c r="L109" s="440" t="s">
        <v>5700</v>
      </c>
    </row>
    <row r="110" spans="1:12" ht="14" x14ac:dyDescent="0.3">
      <c r="A110" s="439" t="str">
        <f t="shared" si="1"/>
        <v>RO491</v>
      </c>
      <c r="B110" s="680">
        <v>91</v>
      </c>
      <c r="C110" s="439">
        <v>7</v>
      </c>
      <c r="D110" s="439">
        <v>108</v>
      </c>
      <c r="E110" s="440" t="s">
        <v>2607</v>
      </c>
      <c r="F110" s="441" t="s">
        <v>5715</v>
      </c>
      <c r="G110" s="442">
        <v>4000</v>
      </c>
      <c r="H110" s="442"/>
      <c r="I110" s="443">
        <v>35</v>
      </c>
      <c r="J110" s="439">
        <v>50</v>
      </c>
      <c r="K110" s="439">
        <v>7</v>
      </c>
      <c r="L110" s="440" t="s">
        <v>5700</v>
      </c>
    </row>
    <row r="111" spans="1:12" ht="14" x14ac:dyDescent="0.3">
      <c r="A111" s="439" t="str">
        <f t="shared" si="1"/>
        <v>RO451</v>
      </c>
      <c r="B111" s="439">
        <v>51</v>
      </c>
      <c r="C111" s="439">
        <v>7</v>
      </c>
      <c r="D111" s="439">
        <v>109</v>
      </c>
      <c r="E111" s="440" t="s">
        <v>2607</v>
      </c>
      <c r="F111" s="441" t="s">
        <v>5716</v>
      </c>
      <c r="G111" s="442">
        <v>3000</v>
      </c>
      <c r="H111" s="442"/>
      <c r="I111" s="443">
        <v>35</v>
      </c>
      <c r="J111" s="439">
        <v>51</v>
      </c>
      <c r="K111" s="439">
        <v>7</v>
      </c>
      <c r="L111" s="440" t="s">
        <v>5700</v>
      </c>
    </row>
    <row r="112" spans="1:12" ht="14" x14ac:dyDescent="0.3">
      <c r="A112" s="439" t="str">
        <f t="shared" si="1"/>
        <v>RO452</v>
      </c>
      <c r="B112" s="439">
        <v>52</v>
      </c>
      <c r="C112" s="439">
        <v>7</v>
      </c>
      <c r="D112" s="439">
        <v>110</v>
      </c>
      <c r="E112" s="440" t="s">
        <v>2607</v>
      </c>
      <c r="F112" s="441" t="s">
        <v>5717</v>
      </c>
      <c r="G112" s="442">
        <v>3000</v>
      </c>
      <c r="H112" s="442"/>
      <c r="I112" s="443">
        <v>35</v>
      </c>
      <c r="J112" s="439">
        <v>52</v>
      </c>
      <c r="K112" s="439">
        <v>7</v>
      </c>
      <c r="L112" s="440" t="s">
        <v>5700</v>
      </c>
    </row>
    <row r="113" spans="1:12" ht="14" x14ac:dyDescent="0.3">
      <c r="A113" s="439" t="str">
        <f t="shared" si="1"/>
        <v>RO453</v>
      </c>
      <c r="B113" s="439">
        <v>53</v>
      </c>
      <c r="C113" s="439">
        <v>7</v>
      </c>
      <c r="D113" s="439">
        <v>111</v>
      </c>
      <c r="E113" s="440" t="s">
        <v>2607</v>
      </c>
      <c r="F113" s="441" t="s">
        <v>5718</v>
      </c>
      <c r="G113" s="442">
        <v>3000</v>
      </c>
      <c r="H113" s="442"/>
      <c r="I113" s="443">
        <v>35</v>
      </c>
      <c r="J113" s="439">
        <v>53</v>
      </c>
      <c r="K113" s="439">
        <v>7</v>
      </c>
      <c r="L113" s="440" t="s">
        <v>5700</v>
      </c>
    </row>
    <row r="114" spans="1:12" ht="14" x14ac:dyDescent="0.3">
      <c r="A114" s="439" t="str">
        <f t="shared" si="1"/>
        <v>RO457</v>
      </c>
      <c r="B114" s="439">
        <v>57</v>
      </c>
      <c r="C114" s="439">
        <v>7</v>
      </c>
      <c r="D114" s="439">
        <v>112</v>
      </c>
      <c r="E114" s="440" t="s">
        <v>2607</v>
      </c>
      <c r="F114" s="441" t="s">
        <v>5719</v>
      </c>
      <c r="G114" s="442">
        <v>4000</v>
      </c>
      <c r="H114" s="442"/>
      <c r="I114" s="443">
        <v>35</v>
      </c>
      <c r="J114" s="439">
        <v>57</v>
      </c>
      <c r="K114" s="439">
        <v>7</v>
      </c>
      <c r="L114" s="440" t="s">
        <v>5700</v>
      </c>
    </row>
    <row r="115" spans="1:12" ht="14" x14ac:dyDescent="0.3">
      <c r="A115" s="439" t="str">
        <f t="shared" si="1"/>
        <v>RO460</v>
      </c>
      <c r="B115" s="439">
        <v>60</v>
      </c>
      <c r="C115" s="439">
        <v>7</v>
      </c>
      <c r="D115" s="439">
        <v>113</v>
      </c>
      <c r="E115" s="440" t="s">
        <v>2607</v>
      </c>
      <c r="F115" s="441" t="s">
        <v>5720</v>
      </c>
      <c r="G115" s="442">
        <v>3000</v>
      </c>
      <c r="H115" s="442"/>
      <c r="I115" s="443">
        <v>35</v>
      </c>
      <c r="J115" s="439">
        <v>60</v>
      </c>
      <c r="K115" s="439">
        <v>7</v>
      </c>
      <c r="L115" s="440" t="s">
        <v>5700</v>
      </c>
    </row>
    <row r="116" spans="1:12" ht="14" x14ac:dyDescent="0.3">
      <c r="A116" s="439" t="str">
        <f t="shared" si="1"/>
        <v>RO475</v>
      </c>
      <c r="B116" s="439">
        <v>75</v>
      </c>
      <c r="C116" s="439">
        <v>7</v>
      </c>
      <c r="D116" s="439">
        <v>114</v>
      </c>
      <c r="E116" s="440" t="s">
        <v>2607</v>
      </c>
      <c r="F116" s="441" t="s">
        <v>5721</v>
      </c>
      <c r="G116" s="442">
        <v>6000</v>
      </c>
      <c r="H116" s="442"/>
      <c r="I116" s="443">
        <v>35</v>
      </c>
      <c r="J116" s="439">
        <v>75</v>
      </c>
      <c r="K116" s="439">
        <v>7</v>
      </c>
      <c r="L116" s="440" t="s">
        <v>5700</v>
      </c>
    </row>
    <row r="117" spans="1:12" ht="14" x14ac:dyDescent="0.3">
      <c r="A117" s="439" t="str">
        <f t="shared" si="1"/>
        <v>RO478</v>
      </c>
      <c r="B117" s="439">
        <v>78</v>
      </c>
      <c r="C117" s="439">
        <v>7</v>
      </c>
      <c r="D117" s="439">
        <v>115</v>
      </c>
      <c r="E117" s="440" t="s">
        <v>2607</v>
      </c>
      <c r="F117" s="441" t="s">
        <v>5722</v>
      </c>
      <c r="G117" s="442">
        <v>3000</v>
      </c>
      <c r="H117" s="442"/>
      <c r="I117" s="443">
        <v>35</v>
      </c>
      <c r="J117" s="439">
        <v>78</v>
      </c>
      <c r="K117" s="439">
        <v>7</v>
      </c>
      <c r="L117" s="440" t="s">
        <v>5700</v>
      </c>
    </row>
    <row r="118" spans="1:12" ht="14" x14ac:dyDescent="0.3">
      <c r="A118" s="439" t="str">
        <f t="shared" si="1"/>
        <v>RO490</v>
      </c>
      <c r="B118" s="439">
        <v>90</v>
      </c>
      <c r="C118" s="439">
        <v>7</v>
      </c>
      <c r="D118" s="439">
        <v>116</v>
      </c>
      <c r="E118" s="440" t="s">
        <v>2607</v>
      </c>
      <c r="F118" s="441" t="s">
        <v>5723</v>
      </c>
      <c r="G118" s="442">
        <v>4000</v>
      </c>
      <c r="H118" s="442"/>
      <c r="I118" s="443">
        <v>35</v>
      </c>
      <c r="J118" s="439">
        <v>90</v>
      </c>
      <c r="K118" s="439">
        <v>7</v>
      </c>
      <c r="L118" s="440" t="s">
        <v>5700</v>
      </c>
    </row>
    <row r="119" spans="1:12" ht="14" x14ac:dyDescent="0.3">
      <c r="A119" s="439" t="str">
        <f t="shared" si="1"/>
        <v>RO4101</v>
      </c>
      <c r="B119" s="439">
        <v>101</v>
      </c>
      <c r="C119" s="439">
        <v>8</v>
      </c>
      <c r="D119" s="439">
        <v>117</v>
      </c>
      <c r="E119" s="440" t="s">
        <v>2607</v>
      </c>
      <c r="F119" s="441" t="s">
        <v>5724</v>
      </c>
      <c r="G119" s="442">
        <v>8000</v>
      </c>
      <c r="H119" s="442"/>
      <c r="I119" s="443">
        <v>55</v>
      </c>
      <c r="J119" s="439">
        <v>101</v>
      </c>
      <c r="K119" s="439">
        <v>8</v>
      </c>
      <c r="L119" s="440" t="s">
        <v>5700</v>
      </c>
    </row>
    <row r="120" spans="1:12" ht="14" x14ac:dyDescent="0.3">
      <c r="A120" s="439" t="str">
        <f t="shared" si="1"/>
        <v>RO4102</v>
      </c>
      <c r="B120" s="439">
        <v>102</v>
      </c>
      <c r="C120" s="439">
        <v>8</v>
      </c>
      <c r="D120" s="439">
        <v>118</v>
      </c>
      <c r="E120" s="440" t="s">
        <v>2607</v>
      </c>
      <c r="F120" s="441" t="s">
        <v>5725</v>
      </c>
      <c r="G120" s="442">
        <v>8000</v>
      </c>
      <c r="H120" s="442"/>
      <c r="I120" s="443">
        <v>55</v>
      </c>
      <c r="J120" s="439">
        <v>102</v>
      </c>
      <c r="K120" s="439">
        <v>8</v>
      </c>
      <c r="L120" s="440" t="s">
        <v>5700</v>
      </c>
    </row>
    <row r="121" spans="1:12" ht="14" x14ac:dyDescent="0.3">
      <c r="A121" s="439" t="str">
        <f t="shared" si="1"/>
        <v>RO4103</v>
      </c>
      <c r="B121" s="439">
        <v>103</v>
      </c>
      <c r="C121" s="439">
        <v>8</v>
      </c>
      <c r="D121" s="439">
        <v>119</v>
      </c>
      <c r="E121" s="440" t="s">
        <v>2607</v>
      </c>
      <c r="F121" s="441" t="s">
        <v>5726</v>
      </c>
      <c r="G121" s="442">
        <v>8000</v>
      </c>
      <c r="H121" s="442"/>
      <c r="I121" s="443">
        <v>55</v>
      </c>
      <c r="J121" s="439">
        <v>103</v>
      </c>
      <c r="K121" s="439">
        <v>8</v>
      </c>
      <c r="L121" s="440" t="s">
        <v>5700</v>
      </c>
    </row>
    <row r="122" spans="1:12" ht="14" x14ac:dyDescent="0.3">
      <c r="A122" s="439" t="str">
        <f t="shared" si="1"/>
        <v>RO4104</v>
      </c>
      <c r="B122" s="439">
        <v>104</v>
      </c>
      <c r="C122" s="439">
        <v>8</v>
      </c>
      <c r="D122" s="439">
        <v>120</v>
      </c>
      <c r="E122" s="440" t="s">
        <v>2607</v>
      </c>
      <c r="F122" s="441" t="s">
        <v>5727</v>
      </c>
      <c r="G122" s="442">
        <v>8000</v>
      </c>
      <c r="H122" s="442"/>
      <c r="I122" s="443">
        <v>55</v>
      </c>
      <c r="J122" s="439">
        <v>104</v>
      </c>
      <c r="K122" s="439">
        <v>8</v>
      </c>
      <c r="L122" s="440" t="s">
        <v>5700</v>
      </c>
    </row>
    <row r="123" spans="1:12" ht="14" x14ac:dyDescent="0.3">
      <c r="A123" s="439" t="str">
        <f t="shared" si="1"/>
        <v>RO4105</v>
      </c>
      <c r="B123" s="439">
        <v>105</v>
      </c>
      <c r="C123" s="439">
        <v>8</v>
      </c>
      <c r="D123" s="439">
        <v>121</v>
      </c>
      <c r="E123" s="440" t="s">
        <v>2607</v>
      </c>
      <c r="F123" s="441" t="s">
        <v>5728</v>
      </c>
      <c r="G123" s="442">
        <v>8000</v>
      </c>
      <c r="H123" s="442"/>
      <c r="I123" s="443">
        <v>55</v>
      </c>
      <c r="J123" s="439">
        <v>105</v>
      </c>
      <c r="K123" s="439">
        <v>8</v>
      </c>
      <c r="L123" s="440" t="s">
        <v>5700</v>
      </c>
    </row>
    <row r="124" spans="1:12" ht="14" x14ac:dyDescent="0.3">
      <c r="A124" s="439" t="str">
        <f t="shared" si="1"/>
        <v>RO4106</v>
      </c>
      <c r="B124" s="439">
        <v>106</v>
      </c>
      <c r="C124" s="439">
        <v>8</v>
      </c>
      <c r="D124" s="439">
        <v>122</v>
      </c>
      <c r="E124" s="440" t="s">
        <v>2607</v>
      </c>
      <c r="F124" s="441" t="s">
        <v>5729</v>
      </c>
      <c r="G124" s="442">
        <v>8000</v>
      </c>
      <c r="H124" s="442"/>
      <c r="I124" s="443">
        <v>55</v>
      </c>
      <c r="J124" s="439">
        <v>106</v>
      </c>
      <c r="K124" s="439">
        <v>8</v>
      </c>
      <c r="L124" s="440" t="s">
        <v>5700</v>
      </c>
    </row>
    <row r="125" spans="1:12" ht="14" x14ac:dyDescent="0.3">
      <c r="A125" s="439" t="str">
        <f t="shared" si="1"/>
        <v>RO4107</v>
      </c>
      <c r="B125" s="439">
        <v>107</v>
      </c>
      <c r="C125" s="439">
        <v>8</v>
      </c>
      <c r="D125" s="439">
        <v>123</v>
      </c>
      <c r="E125" s="440" t="s">
        <v>2607</v>
      </c>
      <c r="F125" s="441" t="s">
        <v>5730</v>
      </c>
      <c r="G125" s="442">
        <v>8000</v>
      </c>
      <c r="H125" s="442"/>
      <c r="I125" s="443">
        <v>55</v>
      </c>
      <c r="J125" s="439">
        <v>107</v>
      </c>
      <c r="K125" s="439">
        <v>8</v>
      </c>
      <c r="L125" s="440" t="s">
        <v>5700</v>
      </c>
    </row>
    <row r="126" spans="1:12" ht="14" x14ac:dyDescent="0.3">
      <c r="A126" s="439" t="str">
        <f t="shared" si="1"/>
        <v>RO4108</v>
      </c>
      <c r="B126" s="439">
        <v>108</v>
      </c>
      <c r="C126" s="439">
        <v>8</v>
      </c>
      <c r="D126" s="439">
        <v>124</v>
      </c>
      <c r="E126" s="440" t="s">
        <v>2607</v>
      </c>
      <c r="F126" s="441" t="s">
        <v>5731</v>
      </c>
      <c r="G126" s="442">
        <v>8000</v>
      </c>
      <c r="H126" s="442"/>
      <c r="I126" s="443">
        <v>55</v>
      </c>
      <c r="J126" s="439">
        <v>108</v>
      </c>
      <c r="K126" s="439">
        <v>8</v>
      </c>
      <c r="L126" s="440" t="s">
        <v>5700</v>
      </c>
    </row>
    <row r="127" spans="1:12" ht="14" x14ac:dyDescent="0.3">
      <c r="A127" s="439" t="str">
        <f t="shared" si="1"/>
        <v>RO4111</v>
      </c>
      <c r="B127" s="439">
        <v>111</v>
      </c>
      <c r="C127" s="439">
        <v>8</v>
      </c>
      <c r="D127" s="439">
        <v>125</v>
      </c>
      <c r="E127" s="440" t="s">
        <v>2607</v>
      </c>
      <c r="F127" s="441" t="s">
        <v>5732</v>
      </c>
      <c r="G127" s="442">
        <v>8000</v>
      </c>
      <c r="H127" s="442"/>
      <c r="I127" s="443">
        <v>55</v>
      </c>
      <c r="J127" s="439">
        <v>111</v>
      </c>
      <c r="K127" s="439">
        <v>8</v>
      </c>
      <c r="L127" s="440" t="s">
        <v>5700</v>
      </c>
    </row>
    <row r="128" spans="1:12" ht="14" x14ac:dyDescent="0.3">
      <c r="A128" s="439" t="str">
        <f t="shared" si="1"/>
        <v>RO4115</v>
      </c>
      <c r="B128" s="439">
        <v>115</v>
      </c>
      <c r="C128" s="439">
        <v>8</v>
      </c>
      <c r="D128" s="439">
        <v>126</v>
      </c>
      <c r="E128" s="440" t="s">
        <v>2607</v>
      </c>
      <c r="F128" s="441" t="s">
        <v>5733</v>
      </c>
      <c r="G128" s="442">
        <v>8000</v>
      </c>
      <c r="H128" s="442"/>
      <c r="I128" s="443">
        <v>55</v>
      </c>
      <c r="J128" s="439">
        <v>115</v>
      </c>
      <c r="K128" s="439">
        <v>8</v>
      </c>
      <c r="L128" s="440" t="s">
        <v>5700</v>
      </c>
    </row>
    <row r="129" spans="1:12" ht="14" x14ac:dyDescent="0.3">
      <c r="A129" s="439" t="str">
        <f t="shared" si="1"/>
        <v>RO4121</v>
      </c>
      <c r="B129" s="439">
        <v>121</v>
      </c>
      <c r="C129" s="439">
        <v>8</v>
      </c>
      <c r="D129" s="439">
        <v>127</v>
      </c>
      <c r="E129" s="440" t="s">
        <v>2607</v>
      </c>
      <c r="F129" s="441" t="s">
        <v>5734</v>
      </c>
      <c r="G129" s="442">
        <v>8000</v>
      </c>
      <c r="H129" s="442"/>
      <c r="I129" s="443">
        <v>55</v>
      </c>
      <c r="J129" s="439">
        <v>121</v>
      </c>
      <c r="K129" s="439">
        <v>8</v>
      </c>
      <c r="L129" s="440" t="s">
        <v>5700</v>
      </c>
    </row>
    <row r="130" spans="1:12" ht="14" x14ac:dyDescent="0.3">
      <c r="A130" s="439" t="str">
        <f t="shared" si="1"/>
        <v>RO4122</v>
      </c>
      <c r="B130" s="439">
        <v>122</v>
      </c>
      <c r="C130" s="439">
        <v>8</v>
      </c>
      <c r="D130" s="439">
        <v>128</v>
      </c>
      <c r="E130" s="440" t="s">
        <v>2607</v>
      </c>
      <c r="F130" s="441" t="s">
        <v>5735</v>
      </c>
      <c r="G130" s="442">
        <v>8000</v>
      </c>
      <c r="H130" s="442"/>
      <c r="I130" s="443">
        <v>55</v>
      </c>
      <c r="J130" s="439">
        <v>122</v>
      </c>
      <c r="K130" s="439">
        <v>8</v>
      </c>
      <c r="L130" s="440" t="s">
        <v>5700</v>
      </c>
    </row>
    <row r="131" spans="1:12" ht="14" x14ac:dyDescent="0.3">
      <c r="A131" s="439" t="str">
        <f t="shared" si="1"/>
        <v>RO4123</v>
      </c>
      <c r="B131" s="439">
        <v>123</v>
      </c>
      <c r="C131" s="439">
        <v>8</v>
      </c>
      <c r="D131" s="439">
        <v>129</v>
      </c>
      <c r="E131" s="440" t="s">
        <v>2607</v>
      </c>
      <c r="F131" s="441" t="s">
        <v>5736</v>
      </c>
      <c r="G131" s="442">
        <v>8000</v>
      </c>
      <c r="H131" s="442"/>
      <c r="I131" s="443">
        <v>55</v>
      </c>
      <c r="J131" s="439">
        <v>123</v>
      </c>
      <c r="K131" s="439">
        <v>8</v>
      </c>
      <c r="L131" s="440" t="s">
        <v>5700</v>
      </c>
    </row>
    <row r="132" spans="1:12" ht="14" x14ac:dyDescent="0.3">
      <c r="A132" s="439" t="str">
        <f t="shared" ref="A132:A196" si="2">E132&amp;B132</f>
        <v>RO4124</v>
      </c>
      <c r="B132" s="439">
        <v>124</v>
      </c>
      <c r="C132" s="439">
        <v>8</v>
      </c>
      <c r="D132" s="439">
        <v>130</v>
      </c>
      <c r="E132" s="440" t="s">
        <v>2607</v>
      </c>
      <c r="F132" s="441" t="s">
        <v>5737</v>
      </c>
      <c r="G132" s="442">
        <v>8000</v>
      </c>
      <c r="H132" s="442"/>
      <c r="I132" s="443">
        <v>55</v>
      </c>
      <c r="J132" s="439">
        <v>124</v>
      </c>
      <c r="K132" s="439">
        <v>8</v>
      </c>
      <c r="L132" s="440" t="s">
        <v>5700</v>
      </c>
    </row>
    <row r="133" spans="1:12" ht="14" x14ac:dyDescent="0.3">
      <c r="A133" s="439" t="str">
        <f t="shared" si="2"/>
        <v>RO4125</v>
      </c>
      <c r="B133" s="439">
        <v>125</v>
      </c>
      <c r="C133" s="439">
        <v>8</v>
      </c>
      <c r="D133" s="439">
        <v>131</v>
      </c>
      <c r="E133" s="440" t="s">
        <v>2607</v>
      </c>
      <c r="F133" s="441" t="s">
        <v>5738</v>
      </c>
      <c r="G133" s="442">
        <v>8000</v>
      </c>
      <c r="H133" s="442"/>
      <c r="I133" s="443">
        <v>55</v>
      </c>
      <c r="J133" s="439">
        <v>125</v>
      </c>
      <c r="K133" s="439">
        <v>8</v>
      </c>
      <c r="L133" s="440" t="s">
        <v>5700</v>
      </c>
    </row>
    <row r="134" spans="1:12" ht="14" x14ac:dyDescent="0.3">
      <c r="A134" s="439" t="str">
        <f t="shared" si="2"/>
        <v>RO4126</v>
      </c>
      <c r="B134" s="439">
        <v>126</v>
      </c>
      <c r="C134" s="439">
        <v>8</v>
      </c>
      <c r="D134" s="439">
        <v>132</v>
      </c>
      <c r="E134" s="440" t="s">
        <v>2607</v>
      </c>
      <c r="F134" s="441" t="s">
        <v>5739</v>
      </c>
      <c r="G134" s="442">
        <v>8000</v>
      </c>
      <c r="H134" s="442"/>
      <c r="I134" s="443">
        <v>55</v>
      </c>
      <c r="J134" s="439">
        <v>126</v>
      </c>
      <c r="K134" s="439">
        <v>8</v>
      </c>
      <c r="L134" s="440" t="s">
        <v>5700</v>
      </c>
    </row>
    <row r="135" spans="1:12" ht="14" x14ac:dyDescent="0.3">
      <c r="A135" s="439" t="str">
        <f t="shared" si="2"/>
        <v>RO4127</v>
      </c>
      <c r="B135" s="439">
        <v>127</v>
      </c>
      <c r="C135" s="439">
        <v>8</v>
      </c>
      <c r="D135" s="439">
        <v>133</v>
      </c>
      <c r="E135" s="440" t="s">
        <v>2607</v>
      </c>
      <c r="F135" s="441" t="s">
        <v>5740</v>
      </c>
      <c r="G135" s="442">
        <v>15000</v>
      </c>
      <c r="H135" s="442"/>
      <c r="I135" s="443">
        <v>65</v>
      </c>
      <c r="J135" s="439">
        <v>127</v>
      </c>
      <c r="K135" s="439">
        <v>8</v>
      </c>
      <c r="L135" s="440" t="s">
        <v>5700</v>
      </c>
    </row>
    <row r="136" spans="1:12" ht="14" x14ac:dyDescent="0.3">
      <c r="A136" s="439" t="str">
        <f t="shared" si="2"/>
        <v>RO4128</v>
      </c>
      <c r="B136" s="439">
        <v>128</v>
      </c>
      <c r="C136" s="439">
        <v>8</v>
      </c>
      <c r="D136" s="439">
        <v>134</v>
      </c>
      <c r="E136" s="440" t="s">
        <v>2607</v>
      </c>
      <c r="F136" s="441" t="s">
        <v>5741</v>
      </c>
      <c r="G136" s="442">
        <v>8000</v>
      </c>
      <c r="H136" s="442"/>
      <c r="I136" s="443">
        <v>55</v>
      </c>
      <c r="J136" s="439">
        <v>128</v>
      </c>
      <c r="K136" s="439">
        <v>8</v>
      </c>
      <c r="L136" s="440" t="s">
        <v>5700</v>
      </c>
    </row>
    <row r="137" spans="1:12" ht="14" x14ac:dyDescent="0.3">
      <c r="A137" s="439" t="str">
        <f t="shared" si="2"/>
        <v>RO4129</v>
      </c>
      <c r="B137" s="439">
        <v>129</v>
      </c>
      <c r="C137" s="439">
        <v>8</v>
      </c>
      <c r="D137" s="439">
        <v>135</v>
      </c>
      <c r="E137" s="440" t="s">
        <v>2607</v>
      </c>
      <c r="F137" s="441" t="s">
        <v>5742</v>
      </c>
      <c r="G137" s="442">
        <v>8000</v>
      </c>
      <c r="H137" s="442"/>
      <c r="I137" s="443">
        <v>55</v>
      </c>
      <c r="J137" s="439">
        <v>129</v>
      </c>
      <c r="K137" s="439">
        <v>8</v>
      </c>
      <c r="L137" s="440" t="s">
        <v>5700</v>
      </c>
    </row>
    <row r="138" spans="1:12" ht="14" x14ac:dyDescent="0.3">
      <c r="A138" s="439" t="str">
        <f t="shared" si="2"/>
        <v>RO4130</v>
      </c>
      <c r="B138" s="439">
        <v>130</v>
      </c>
      <c r="C138" s="439">
        <v>8</v>
      </c>
      <c r="D138" s="439">
        <v>136</v>
      </c>
      <c r="E138" s="440" t="s">
        <v>2607</v>
      </c>
      <c r="F138" s="441" t="s">
        <v>5743</v>
      </c>
      <c r="G138" s="442">
        <v>8000</v>
      </c>
      <c r="H138" s="442"/>
      <c r="I138" s="443">
        <v>55</v>
      </c>
      <c r="J138" s="439">
        <v>130</v>
      </c>
      <c r="K138" s="439">
        <v>8</v>
      </c>
      <c r="L138" s="440" t="s">
        <v>5700</v>
      </c>
    </row>
    <row r="139" spans="1:12" ht="14" x14ac:dyDescent="0.3">
      <c r="A139" s="439" t="str">
        <f t="shared" si="2"/>
        <v>RO4133</v>
      </c>
      <c r="B139" s="439">
        <v>133</v>
      </c>
      <c r="C139" s="439">
        <v>8</v>
      </c>
      <c r="D139" s="439">
        <v>137</v>
      </c>
      <c r="E139" s="440" t="s">
        <v>2607</v>
      </c>
      <c r="F139" s="441" t="s">
        <v>5744</v>
      </c>
      <c r="G139" s="442">
        <v>8000</v>
      </c>
      <c r="H139" s="442"/>
      <c r="I139" s="443">
        <v>55</v>
      </c>
      <c r="J139" s="439">
        <v>133</v>
      </c>
      <c r="K139" s="439">
        <v>8</v>
      </c>
      <c r="L139" s="440" t="s">
        <v>5700</v>
      </c>
    </row>
    <row r="140" spans="1:12" ht="14" x14ac:dyDescent="0.3">
      <c r="A140" s="439" t="str">
        <f t="shared" si="2"/>
        <v>RO4135</v>
      </c>
      <c r="B140" s="439">
        <v>135</v>
      </c>
      <c r="C140" s="439">
        <v>8</v>
      </c>
      <c r="D140" s="439">
        <v>138</v>
      </c>
      <c r="E140" s="440" t="s">
        <v>2607</v>
      </c>
      <c r="F140" s="441" t="s">
        <v>5745</v>
      </c>
      <c r="G140" s="442">
        <v>8000</v>
      </c>
      <c r="H140" s="442"/>
      <c r="I140" s="443">
        <v>40</v>
      </c>
      <c r="J140" s="439">
        <v>135</v>
      </c>
      <c r="K140" s="439">
        <v>8</v>
      </c>
      <c r="L140" s="440" t="s">
        <v>5700</v>
      </c>
    </row>
    <row r="141" spans="1:12" ht="14" x14ac:dyDescent="0.3">
      <c r="A141" s="439" t="str">
        <f t="shared" si="2"/>
        <v>RO4140</v>
      </c>
      <c r="B141" s="439">
        <v>140</v>
      </c>
      <c r="C141" s="439">
        <v>8</v>
      </c>
      <c r="D141" s="439">
        <v>139</v>
      </c>
      <c r="E141" s="440" t="s">
        <v>2607</v>
      </c>
      <c r="F141" s="441" t="s">
        <v>5746</v>
      </c>
      <c r="G141" s="442">
        <v>8000</v>
      </c>
      <c r="H141" s="442"/>
      <c r="I141" s="443">
        <v>40</v>
      </c>
      <c r="J141" s="439">
        <v>140</v>
      </c>
      <c r="K141" s="439">
        <v>8</v>
      </c>
      <c r="L141" s="440" t="s">
        <v>5700</v>
      </c>
    </row>
    <row r="142" spans="1:12" ht="14" x14ac:dyDescent="0.3">
      <c r="A142" s="439" t="str">
        <f t="shared" si="2"/>
        <v>RO4146</v>
      </c>
      <c r="B142" s="439">
        <v>146</v>
      </c>
      <c r="C142" s="439">
        <v>9</v>
      </c>
      <c r="D142" s="439">
        <v>140</v>
      </c>
      <c r="E142" s="440" t="s">
        <v>2607</v>
      </c>
      <c r="F142" s="441" t="s">
        <v>5747</v>
      </c>
      <c r="G142" s="442">
        <v>10000</v>
      </c>
      <c r="H142" s="442"/>
      <c r="I142" s="443">
        <v>55</v>
      </c>
      <c r="J142" s="439">
        <v>146</v>
      </c>
      <c r="K142" s="439">
        <v>9</v>
      </c>
      <c r="L142" s="440" t="s">
        <v>5700</v>
      </c>
    </row>
    <row r="143" spans="1:12" ht="14" x14ac:dyDescent="0.3">
      <c r="A143" s="439" t="str">
        <f t="shared" si="2"/>
        <v>RO4146</v>
      </c>
      <c r="B143" s="439">
        <v>146</v>
      </c>
      <c r="C143" s="439">
        <v>10</v>
      </c>
      <c r="D143" s="439">
        <v>141</v>
      </c>
      <c r="E143" s="440" t="s">
        <v>2607</v>
      </c>
      <c r="F143" s="441" t="s">
        <v>5748</v>
      </c>
      <c r="G143" s="442">
        <v>10000</v>
      </c>
      <c r="H143" s="442"/>
      <c r="I143" s="443">
        <v>55</v>
      </c>
      <c r="J143" s="439">
        <v>146</v>
      </c>
      <c r="K143" s="439">
        <v>10</v>
      </c>
      <c r="L143" s="440" t="s">
        <v>5700</v>
      </c>
    </row>
    <row r="144" spans="1:12" ht="14" x14ac:dyDescent="0.3">
      <c r="A144" s="434" t="str">
        <f t="shared" si="2"/>
        <v>RO5111</v>
      </c>
      <c r="B144" s="434">
        <v>111</v>
      </c>
      <c r="C144" s="434">
        <v>7</v>
      </c>
      <c r="D144" s="434">
        <v>142</v>
      </c>
      <c r="E144" s="435" t="s">
        <v>2655</v>
      </c>
      <c r="F144" s="436" t="s">
        <v>5749</v>
      </c>
      <c r="G144" s="437">
        <v>3000</v>
      </c>
      <c r="H144" s="437"/>
      <c r="I144" s="438">
        <v>30</v>
      </c>
      <c r="J144" s="434">
        <v>111</v>
      </c>
      <c r="K144" s="434">
        <v>7</v>
      </c>
      <c r="L144" s="435" t="s">
        <v>5750</v>
      </c>
    </row>
    <row r="145" spans="1:12" ht="14" x14ac:dyDescent="0.3">
      <c r="A145" s="434" t="str">
        <f t="shared" si="2"/>
        <v>RO5112</v>
      </c>
      <c r="B145" s="434">
        <v>112</v>
      </c>
      <c r="C145" s="434">
        <v>7</v>
      </c>
      <c r="D145" s="434">
        <v>143</v>
      </c>
      <c r="E145" s="435" t="s">
        <v>2655</v>
      </c>
      <c r="F145" s="436" t="s">
        <v>5751</v>
      </c>
      <c r="G145" s="437">
        <v>3000</v>
      </c>
      <c r="H145" s="437"/>
      <c r="I145" s="438">
        <v>30</v>
      </c>
      <c r="J145" s="434">
        <v>112</v>
      </c>
      <c r="K145" s="434">
        <v>7</v>
      </c>
      <c r="L145" s="435" t="s">
        <v>5750</v>
      </c>
    </row>
    <row r="146" spans="1:12" ht="14" x14ac:dyDescent="0.3">
      <c r="A146" s="434" t="str">
        <f t="shared" si="2"/>
        <v>RO5113</v>
      </c>
      <c r="B146" s="434">
        <v>113</v>
      </c>
      <c r="C146" s="434">
        <v>7</v>
      </c>
      <c r="D146" s="434">
        <v>144</v>
      </c>
      <c r="E146" s="435" t="s">
        <v>2655</v>
      </c>
      <c r="F146" s="436" t="s">
        <v>5752</v>
      </c>
      <c r="G146" s="437">
        <v>3000</v>
      </c>
      <c r="H146" s="437"/>
      <c r="I146" s="438">
        <v>30</v>
      </c>
      <c r="J146" s="434">
        <v>113</v>
      </c>
      <c r="K146" s="434">
        <v>7</v>
      </c>
      <c r="L146" s="435" t="s">
        <v>5750</v>
      </c>
    </row>
    <row r="147" spans="1:12" ht="14" x14ac:dyDescent="0.3">
      <c r="A147" s="434" t="str">
        <f t="shared" si="2"/>
        <v>RO5114</v>
      </c>
      <c r="B147" s="434">
        <v>114</v>
      </c>
      <c r="C147" s="434">
        <v>7</v>
      </c>
      <c r="D147" s="434">
        <v>145</v>
      </c>
      <c r="E147" s="435" t="s">
        <v>2655</v>
      </c>
      <c r="F147" s="436" t="s">
        <v>5753</v>
      </c>
      <c r="G147" s="437">
        <v>3000</v>
      </c>
      <c r="H147" s="437"/>
      <c r="I147" s="438">
        <v>30</v>
      </c>
      <c r="J147" s="434">
        <v>114</v>
      </c>
      <c r="K147" s="434">
        <v>7</v>
      </c>
      <c r="L147" s="435" t="s">
        <v>5750</v>
      </c>
    </row>
    <row r="148" spans="1:12" ht="14" x14ac:dyDescent="0.3">
      <c r="A148" s="434" t="str">
        <f t="shared" si="2"/>
        <v>RO5115</v>
      </c>
      <c r="B148" s="434">
        <v>115</v>
      </c>
      <c r="C148" s="434">
        <v>7</v>
      </c>
      <c r="D148" s="434">
        <v>146</v>
      </c>
      <c r="E148" s="435" t="s">
        <v>2655</v>
      </c>
      <c r="F148" s="436" t="s">
        <v>5754</v>
      </c>
      <c r="G148" s="437">
        <v>3000</v>
      </c>
      <c r="H148" s="437"/>
      <c r="I148" s="438">
        <v>30</v>
      </c>
      <c r="J148" s="434">
        <v>115</v>
      </c>
      <c r="K148" s="434">
        <v>7</v>
      </c>
      <c r="L148" s="435" t="s">
        <v>5750</v>
      </c>
    </row>
    <row r="149" spans="1:12" ht="14" x14ac:dyDescent="0.3">
      <c r="A149" s="434" t="str">
        <f t="shared" si="2"/>
        <v>RO5121</v>
      </c>
      <c r="B149" s="434">
        <v>121</v>
      </c>
      <c r="C149" s="434">
        <v>7</v>
      </c>
      <c r="D149" s="434">
        <v>147</v>
      </c>
      <c r="E149" s="435" t="s">
        <v>2655</v>
      </c>
      <c r="F149" s="436" t="s">
        <v>5755</v>
      </c>
      <c r="G149" s="437">
        <v>3000</v>
      </c>
      <c r="H149" s="437"/>
      <c r="I149" s="438">
        <v>30</v>
      </c>
      <c r="J149" s="434">
        <v>121</v>
      </c>
      <c r="K149" s="434">
        <v>7</v>
      </c>
      <c r="L149" s="435" t="s">
        <v>5750</v>
      </c>
    </row>
    <row r="150" spans="1:12" ht="14" x14ac:dyDescent="0.3">
      <c r="A150" s="434" t="str">
        <f t="shared" si="2"/>
        <v>RO5122</v>
      </c>
      <c r="B150" s="434">
        <v>122</v>
      </c>
      <c r="C150" s="434">
        <v>7</v>
      </c>
      <c r="D150" s="434">
        <v>148</v>
      </c>
      <c r="E150" s="435" t="s">
        <v>2655</v>
      </c>
      <c r="F150" s="436" t="s">
        <v>5756</v>
      </c>
      <c r="G150" s="437">
        <v>3000</v>
      </c>
      <c r="H150" s="437"/>
      <c r="I150" s="438">
        <v>30</v>
      </c>
      <c r="J150" s="434">
        <v>122</v>
      </c>
      <c r="K150" s="434">
        <v>7</v>
      </c>
      <c r="L150" s="435" t="s">
        <v>5750</v>
      </c>
    </row>
    <row r="151" spans="1:12" ht="14" x14ac:dyDescent="0.3">
      <c r="A151" s="434" t="str">
        <f t="shared" si="2"/>
        <v>RO5123</v>
      </c>
      <c r="B151" s="434">
        <v>123</v>
      </c>
      <c r="C151" s="434">
        <v>7</v>
      </c>
      <c r="D151" s="434">
        <v>149</v>
      </c>
      <c r="E151" s="435" t="s">
        <v>2655</v>
      </c>
      <c r="F151" s="436" t="s">
        <v>5757</v>
      </c>
      <c r="G151" s="437">
        <v>4000</v>
      </c>
      <c r="H151" s="437"/>
      <c r="I151" s="438">
        <v>35</v>
      </c>
      <c r="J151" s="434">
        <v>123</v>
      </c>
      <c r="K151" s="434">
        <v>7</v>
      </c>
      <c r="L151" s="435" t="s">
        <v>5750</v>
      </c>
    </row>
    <row r="152" spans="1:12" ht="14" x14ac:dyDescent="0.3">
      <c r="A152" s="434" t="str">
        <f t="shared" si="2"/>
        <v>RO5129</v>
      </c>
      <c r="B152" s="434">
        <v>129</v>
      </c>
      <c r="C152" s="434">
        <v>7</v>
      </c>
      <c r="D152" s="434">
        <v>150</v>
      </c>
      <c r="E152" s="435" t="s">
        <v>2655</v>
      </c>
      <c r="F152" s="436" t="s">
        <v>5758</v>
      </c>
      <c r="G152" s="437">
        <v>4000</v>
      </c>
      <c r="H152" s="437"/>
      <c r="I152" s="438">
        <v>35</v>
      </c>
      <c r="J152" s="434">
        <v>129</v>
      </c>
      <c r="K152" s="434">
        <v>7</v>
      </c>
      <c r="L152" s="435" t="s">
        <v>5750</v>
      </c>
    </row>
    <row r="153" spans="1:12" ht="14" x14ac:dyDescent="0.3">
      <c r="A153" s="434" t="str">
        <f t="shared" si="2"/>
        <v>RO5131</v>
      </c>
      <c r="B153" s="434">
        <v>131</v>
      </c>
      <c r="C153" s="434">
        <v>7</v>
      </c>
      <c r="D153" s="434">
        <v>151</v>
      </c>
      <c r="E153" s="435" t="s">
        <v>2655</v>
      </c>
      <c r="F153" s="436" t="s">
        <v>5759</v>
      </c>
      <c r="G153" s="437">
        <v>4000</v>
      </c>
      <c r="H153" s="437"/>
      <c r="I153" s="438">
        <v>35</v>
      </c>
      <c r="J153" s="434">
        <v>131</v>
      </c>
      <c r="K153" s="434">
        <v>7</v>
      </c>
      <c r="L153" s="435" t="s">
        <v>5750</v>
      </c>
    </row>
    <row r="154" spans="1:12" ht="14" x14ac:dyDescent="0.3">
      <c r="A154" s="434" t="s">
        <v>5760</v>
      </c>
      <c r="B154" s="434">
        <v>137</v>
      </c>
      <c r="C154" s="434">
        <v>7</v>
      </c>
      <c r="D154" s="434">
        <v>443</v>
      </c>
      <c r="E154" s="435" t="s">
        <v>2655</v>
      </c>
      <c r="F154" s="436" t="s">
        <v>5761</v>
      </c>
      <c r="G154" s="437">
        <v>4000</v>
      </c>
      <c r="H154" s="437"/>
      <c r="I154" s="438">
        <v>35</v>
      </c>
      <c r="J154" s="434">
        <v>137</v>
      </c>
      <c r="K154" s="434">
        <v>7</v>
      </c>
      <c r="L154" s="435" t="s">
        <v>5750</v>
      </c>
    </row>
    <row r="155" spans="1:12" ht="14" x14ac:dyDescent="0.3">
      <c r="A155" s="434" t="str">
        <f t="shared" si="2"/>
        <v>RO5140</v>
      </c>
      <c r="B155" s="434">
        <v>140</v>
      </c>
      <c r="C155" s="434">
        <v>7</v>
      </c>
      <c r="D155" s="434">
        <v>152</v>
      </c>
      <c r="E155" s="435" t="s">
        <v>2655</v>
      </c>
      <c r="F155" s="436" t="s">
        <v>5762</v>
      </c>
      <c r="G155" s="437">
        <v>3000</v>
      </c>
      <c r="H155" s="437"/>
      <c r="I155" s="438">
        <v>30</v>
      </c>
      <c r="J155" s="434">
        <v>140</v>
      </c>
      <c r="K155" s="434">
        <v>7</v>
      </c>
      <c r="L155" s="435" t="s">
        <v>5750</v>
      </c>
    </row>
    <row r="156" spans="1:12" ht="14" x14ac:dyDescent="0.3">
      <c r="A156" s="434" t="str">
        <f t="shared" si="2"/>
        <v>RO5150</v>
      </c>
      <c r="B156" s="434">
        <v>150</v>
      </c>
      <c r="C156" s="434">
        <v>7</v>
      </c>
      <c r="D156" s="434">
        <v>153</v>
      </c>
      <c r="E156" s="435" t="s">
        <v>2655</v>
      </c>
      <c r="F156" s="436" t="s">
        <v>5763</v>
      </c>
      <c r="G156" s="437">
        <v>3000</v>
      </c>
      <c r="H156" s="437"/>
      <c r="I156" s="438">
        <v>15</v>
      </c>
      <c r="J156" s="434">
        <v>150</v>
      </c>
      <c r="K156" s="434">
        <v>7</v>
      </c>
      <c r="L156" s="435" t="s">
        <v>5750</v>
      </c>
    </row>
    <row r="157" spans="1:12" ht="14" x14ac:dyDescent="0.3">
      <c r="A157" s="434" t="str">
        <f t="shared" si="2"/>
        <v>RO5190</v>
      </c>
      <c r="B157" s="434">
        <v>190</v>
      </c>
      <c r="C157" s="434">
        <v>7</v>
      </c>
      <c r="D157" s="434">
        <v>154</v>
      </c>
      <c r="E157" s="435" t="s">
        <v>2655</v>
      </c>
      <c r="F157" s="436" t="s">
        <v>5764</v>
      </c>
      <c r="G157" s="437">
        <v>4000</v>
      </c>
      <c r="H157" s="437"/>
      <c r="I157" s="438">
        <v>35</v>
      </c>
      <c r="J157" s="434">
        <v>190</v>
      </c>
      <c r="K157" s="434">
        <v>7</v>
      </c>
      <c r="L157" s="435" t="s">
        <v>5750</v>
      </c>
    </row>
    <row r="158" spans="1:12" ht="14" x14ac:dyDescent="0.3">
      <c r="A158" s="434" t="str">
        <f t="shared" si="2"/>
        <v>RO5210</v>
      </c>
      <c r="B158" s="434">
        <v>210</v>
      </c>
      <c r="C158" s="434">
        <v>7</v>
      </c>
      <c r="D158" s="434">
        <v>155</v>
      </c>
      <c r="E158" s="435" t="s">
        <v>2655</v>
      </c>
      <c r="F158" s="436" t="s">
        <v>5765</v>
      </c>
      <c r="G158" s="437">
        <v>2000</v>
      </c>
      <c r="H158" s="437"/>
      <c r="I158" s="438">
        <v>25</v>
      </c>
      <c r="J158" s="434">
        <v>210</v>
      </c>
      <c r="K158" s="434">
        <v>7</v>
      </c>
      <c r="L158" s="435" t="s">
        <v>5750</v>
      </c>
    </row>
    <row r="159" spans="1:12" ht="14" x14ac:dyDescent="0.3">
      <c r="A159" s="434" t="str">
        <f t="shared" si="2"/>
        <v>RO5219</v>
      </c>
      <c r="B159" s="434">
        <v>219</v>
      </c>
      <c r="C159" s="434">
        <v>7</v>
      </c>
      <c r="D159" s="434">
        <v>156</v>
      </c>
      <c r="E159" s="435" t="s">
        <v>2655</v>
      </c>
      <c r="F159" s="436" t="s">
        <v>5766</v>
      </c>
      <c r="G159" s="437">
        <v>2000</v>
      </c>
      <c r="H159" s="437"/>
      <c r="I159" s="438">
        <v>30</v>
      </c>
      <c r="J159" s="434">
        <v>219</v>
      </c>
      <c r="K159" s="434">
        <v>7</v>
      </c>
      <c r="L159" s="435" t="s">
        <v>5750</v>
      </c>
    </row>
    <row r="160" spans="1:12" ht="14" x14ac:dyDescent="0.3">
      <c r="A160" s="434" t="str">
        <f t="shared" si="2"/>
        <v>RO5220</v>
      </c>
      <c r="B160" s="434">
        <v>220</v>
      </c>
      <c r="C160" s="434">
        <v>7</v>
      </c>
      <c r="D160" s="434">
        <v>157</v>
      </c>
      <c r="E160" s="435" t="s">
        <v>2655</v>
      </c>
      <c r="F160" s="436" t="s">
        <v>5767</v>
      </c>
      <c r="G160" s="437">
        <v>2000</v>
      </c>
      <c r="H160" s="437"/>
      <c r="I160" s="438">
        <v>30</v>
      </c>
      <c r="J160" s="434">
        <v>220</v>
      </c>
      <c r="K160" s="434">
        <v>7</v>
      </c>
      <c r="L160" s="435" t="s">
        <v>5750</v>
      </c>
    </row>
    <row r="161" spans="1:12" ht="14" x14ac:dyDescent="0.3">
      <c r="A161" s="434" t="str">
        <f t="shared" si="2"/>
        <v>RO5221</v>
      </c>
      <c r="B161" s="434">
        <v>221</v>
      </c>
      <c r="C161" s="434">
        <v>7</v>
      </c>
      <c r="D161" s="434">
        <v>158</v>
      </c>
      <c r="E161" s="435" t="s">
        <v>2655</v>
      </c>
      <c r="F161" s="436" t="s">
        <v>5768</v>
      </c>
      <c r="G161" s="437">
        <v>2000</v>
      </c>
      <c r="H161" s="437"/>
      <c r="I161" s="438">
        <v>30</v>
      </c>
      <c r="J161" s="434">
        <v>221</v>
      </c>
      <c r="K161" s="434">
        <v>7</v>
      </c>
      <c r="L161" s="435" t="s">
        <v>5750</v>
      </c>
    </row>
    <row r="162" spans="1:12" ht="14" x14ac:dyDescent="0.3">
      <c r="A162" s="434" t="str">
        <f t="shared" si="2"/>
        <v>RO5222</v>
      </c>
      <c r="B162" s="434">
        <v>222</v>
      </c>
      <c r="C162" s="434">
        <v>7</v>
      </c>
      <c r="D162" s="434">
        <v>159</v>
      </c>
      <c r="E162" s="435" t="s">
        <v>2655</v>
      </c>
      <c r="F162" s="436" t="s">
        <v>5769</v>
      </c>
      <c r="G162" s="437">
        <v>2000</v>
      </c>
      <c r="H162" s="437"/>
      <c r="I162" s="438">
        <v>30</v>
      </c>
      <c r="J162" s="434">
        <v>222</v>
      </c>
      <c r="K162" s="434">
        <v>7</v>
      </c>
      <c r="L162" s="435" t="s">
        <v>5750</v>
      </c>
    </row>
    <row r="163" spans="1:12" ht="14" x14ac:dyDescent="0.3">
      <c r="A163" s="434" t="str">
        <f t="shared" si="2"/>
        <v>RO5223</v>
      </c>
      <c r="B163" s="434">
        <v>223</v>
      </c>
      <c r="C163" s="434">
        <v>7</v>
      </c>
      <c r="D163" s="434">
        <v>160</v>
      </c>
      <c r="E163" s="435" t="s">
        <v>2655</v>
      </c>
      <c r="F163" s="436" t="s">
        <v>5770</v>
      </c>
      <c r="G163" s="437">
        <v>2000</v>
      </c>
      <c r="H163" s="437"/>
      <c r="I163" s="438">
        <v>30</v>
      </c>
      <c r="J163" s="434">
        <v>223</v>
      </c>
      <c r="K163" s="434">
        <v>7</v>
      </c>
      <c r="L163" s="435" t="s">
        <v>5750</v>
      </c>
    </row>
    <row r="164" spans="1:12" ht="14" x14ac:dyDescent="0.3">
      <c r="A164" s="434" t="str">
        <f t="shared" si="2"/>
        <v>RO5224</v>
      </c>
      <c r="B164" s="434">
        <v>224</v>
      </c>
      <c r="C164" s="434">
        <v>7</v>
      </c>
      <c r="D164" s="434">
        <v>161</v>
      </c>
      <c r="E164" s="435" t="s">
        <v>2655</v>
      </c>
      <c r="F164" s="436" t="s">
        <v>5771</v>
      </c>
      <c r="G164" s="437">
        <v>2000</v>
      </c>
      <c r="H164" s="437"/>
      <c r="I164" s="438">
        <v>30</v>
      </c>
      <c r="J164" s="434">
        <v>224</v>
      </c>
      <c r="K164" s="434">
        <v>7</v>
      </c>
      <c r="L164" s="435" t="s">
        <v>5750</v>
      </c>
    </row>
    <row r="165" spans="1:12" ht="14" x14ac:dyDescent="0.3">
      <c r="A165" s="434" t="str">
        <f t="shared" si="2"/>
        <v>RO5225</v>
      </c>
      <c r="B165" s="434">
        <v>225</v>
      </c>
      <c r="C165" s="434">
        <v>7</v>
      </c>
      <c r="D165" s="434">
        <v>162</v>
      </c>
      <c r="E165" s="435" t="s">
        <v>2655</v>
      </c>
      <c r="F165" s="436" t="s">
        <v>5772</v>
      </c>
      <c r="G165" s="437">
        <v>2000</v>
      </c>
      <c r="H165" s="437"/>
      <c r="I165" s="438">
        <v>30</v>
      </c>
      <c r="J165" s="434">
        <v>225</v>
      </c>
      <c r="K165" s="434">
        <v>7</v>
      </c>
      <c r="L165" s="435" t="s">
        <v>5750</v>
      </c>
    </row>
    <row r="166" spans="1:12" ht="14" x14ac:dyDescent="0.3">
      <c r="A166" s="434" t="str">
        <f t="shared" si="2"/>
        <v>RO5226</v>
      </c>
      <c r="B166" s="434">
        <v>226</v>
      </c>
      <c r="C166" s="434">
        <v>7</v>
      </c>
      <c r="D166" s="434">
        <v>163</v>
      </c>
      <c r="E166" s="435" t="s">
        <v>2655</v>
      </c>
      <c r="F166" s="436" t="s">
        <v>5773</v>
      </c>
      <c r="G166" s="437">
        <v>2000</v>
      </c>
      <c r="H166" s="437"/>
      <c r="I166" s="438">
        <v>30</v>
      </c>
      <c r="J166" s="434">
        <v>226</v>
      </c>
      <c r="K166" s="434">
        <v>7</v>
      </c>
      <c r="L166" s="435" t="s">
        <v>5750</v>
      </c>
    </row>
    <row r="167" spans="1:12" ht="14" x14ac:dyDescent="0.3">
      <c r="A167" s="434" t="str">
        <f t="shared" si="2"/>
        <v>RO5227</v>
      </c>
      <c r="B167" s="434">
        <v>227</v>
      </c>
      <c r="C167" s="434">
        <v>7</v>
      </c>
      <c r="D167" s="434">
        <v>164</v>
      </c>
      <c r="E167" s="435" t="s">
        <v>2655</v>
      </c>
      <c r="F167" s="436" t="s">
        <v>5774</v>
      </c>
      <c r="G167" s="437">
        <v>2000</v>
      </c>
      <c r="H167" s="437"/>
      <c r="I167" s="438">
        <v>30</v>
      </c>
      <c r="J167" s="434">
        <v>227</v>
      </c>
      <c r="K167" s="434">
        <v>7</v>
      </c>
      <c r="L167" s="435" t="s">
        <v>5750</v>
      </c>
    </row>
    <row r="168" spans="1:12" ht="14" x14ac:dyDescent="0.3">
      <c r="A168" s="434" t="str">
        <f t="shared" si="2"/>
        <v>RO5228</v>
      </c>
      <c r="B168" s="434">
        <v>228</v>
      </c>
      <c r="C168" s="434">
        <v>7</v>
      </c>
      <c r="D168" s="434">
        <v>165</v>
      </c>
      <c r="E168" s="435" t="s">
        <v>2655</v>
      </c>
      <c r="F168" s="436" t="s">
        <v>5775</v>
      </c>
      <c r="G168" s="437">
        <v>2000</v>
      </c>
      <c r="H168" s="437"/>
      <c r="I168" s="438">
        <v>30</v>
      </c>
      <c r="J168" s="434">
        <v>228</v>
      </c>
      <c r="K168" s="434">
        <v>7</v>
      </c>
      <c r="L168" s="435" t="s">
        <v>5750</v>
      </c>
    </row>
    <row r="169" spans="1:12" ht="14" x14ac:dyDescent="0.3">
      <c r="A169" s="434" t="str">
        <f t="shared" si="2"/>
        <v>RO5229</v>
      </c>
      <c r="B169" s="434">
        <v>229</v>
      </c>
      <c r="C169" s="434">
        <v>7</v>
      </c>
      <c r="D169" s="434">
        <v>166</v>
      </c>
      <c r="E169" s="435" t="s">
        <v>2655</v>
      </c>
      <c r="F169" s="436" t="s">
        <v>5776</v>
      </c>
      <c r="G169" s="437">
        <v>2000</v>
      </c>
      <c r="H169" s="437"/>
      <c r="I169" s="438">
        <v>30</v>
      </c>
      <c r="J169" s="434">
        <v>229</v>
      </c>
      <c r="K169" s="434">
        <v>7</v>
      </c>
      <c r="L169" s="435" t="s">
        <v>5750</v>
      </c>
    </row>
    <row r="170" spans="1:12" ht="14" x14ac:dyDescent="0.3">
      <c r="A170" s="434" t="str">
        <f t="shared" si="2"/>
        <v>RO5230</v>
      </c>
      <c r="B170" s="434">
        <v>230</v>
      </c>
      <c r="C170" s="434">
        <v>7</v>
      </c>
      <c r="D170" s="434">
        <v>167</v>
      </c>
      <c r="E170" s="435" t="s">
        <v>2655</v>
      </c>
      <c r="F170" s="436" t="s">
        <v>5777</v>
      </c>
      <c r="G170" s="437">
        <v>2000</v>
      </c>
      <c r="H170" s="437"/>
      <c r="I170" s="438">
        <v>30</v>
      </c>
      <c r="J170" s="434">
        <v>230</v>
      </c>
      <c r="K170" s="434">
        <v>7</v>
      </c>
      <c r="L170" s="435" t="s">
        <v>5750</v>
      </c>
    </row>
    <row r="171" spans="1:12" ht="14" x14ac:dyDescent="0.3">
      <c r="A171" s="434" t="str">
        <f t="shared" si="2"/>
        <v>RO5231</v>
      </c>
      <c r="B171" s="434">
        <v>231</v>
      </c>
      <c r="C171" s="434">
        <v>7</v>
      </c>
      <c r="D171" s="434">
        <v>168</v>
      </c>
      <c r="E171" s="435" t="s">
        <v>2655</v>
      </c>
      <c r="F171" s="436" t="s">
        <v>5778</v>
      </c>
      <c r="G171" s="437">
        <v>3000</v>
      </c>
      <c r="H171" s="437"/>
      <c r="I171" s="438">
        <v>30</v>
      </c>
      <c r="J171" s="434">
        <v>231</v>
      </c>
      <c r="K171" s="434">
        <v>7</v>
      </c>
      <c r="L171" s="435" t="s">
        <v>5750</v>
      </c>
    </row>
    <row r="172" spans="1:12" ht="14" x14ac:dyDescent="0.3">
      <c r="A172" s="434" t="str">
        <f t="shared" si="2"/>
        <v>RO5232</v>
      </c>
      <c r="B172" s="434">
        <v>232</v>
      </c>
      <c r="C172" s="434">
        <v>7</v>
      </c>
      <c r="D172" s="434">
        <v>169</v>
      </c>
      <c r="E172" s="435" t="s">
        <v>2655</v>
      </c>
      <c r="F172" s="436" t="s">
        <v>5779</v>
      </c>
      <c r="G172" s="437">
        <v>3000</v>
      </c>
      <c r="H172" s="437"/>
      <c r="I172" s="438">
        <v>30</v>
      </c>
      <c r="J172" s="434">
        <v>232</v>
      </c>
      <c r="K172" s="434">
        <v>7</v>
      </c>
      <c r="L172" s="435" t="s">
        <v>5750</v>
      </c>
    </row>
    <row r="173" spans="1:12" ht="14" x14ac:dyDescent="0.3">
      <c r="A173" s="434" t="str">
        <f t="shared" si="2"/>
        <v>RO5233</v>
      </c>
      <c r="B173" s="434">
        <v>233</v>
      </c>
      <c r="C173" s="434">
        <v>7</v>
      </c>
      <c r="D173" s="434">
        <v>170</v>
      </c>
      <c r="E173" s="435" t="s">
        <v>2655</v>
      </c>
      <c r="F173" s="436" t="s">
        <v>5780</v>
      </c>
      <c r="G173" s="437">
        <v>3000</v>
      </c>
      <c r="H173" s="437"/>
      <c r="I173" s="438">
        <v>30</v>
      </c>
      <c r="J173" s="434">
        <v>233</v>
      </c>
      <c r="K173" s="434">
        <v>7</v>
      </c>
      <c r="L173" s="435" t="s">
        <v>5750</v>
      </c>
    </row>
    <row r="174" spans="1:12" ht="14" x14ac:dyDescent="0.3">
      <c r="A174" s="434" t="str">
        <f t="shared" si="2"/>
        <v>RO5241</v>
      </c>
      <c r="B174" s="434">
        <v>241</v>
      </c>
      <c r="C174" s="434">
        <v>7</v>
      </c>
      <c r="D174" s="434">
        <v>171</v>
      </c>
      <c r="E174" s="435" t="s">
        <v>2655</v>
      </c>
      <c r="F174" s="436" t="s">
        <v>5781</v>
      </c>
      <c r="G174" s="437">
        <v>2000</v>
      </c>
      <c r="H174" s="437"/>
      <c r="I174" s="438">
        <v>30</v>
      </c>
      <c r="J174" s="434">
        <v>241</v>
      </c>
      <c r="K174" s="434">
        <v>7</v>
      </c>
      <c r="L174" s="435" t="s">
        <v>5750</v>
      </c>
    </row>
    <row r="175" spans="1:12" ht="14" x14ac:dyDescent="0.3">
      <c r="A175" s="434" t="str">
        <f t="shared" si="2"/>
        <v>RO5243</v>
      </c>
      <c r="B175" s="434">
        <v>243</v>
      </c>
      <c r="C175" s="434">
        <v>7</v>
      </c>
      <c r="D175" s="434">
        <v>172</v>
      </c>
      <c r="E175" s="435" t="s">
        <v>2655</v>
      </c>
      <c r="F175" s="436" t="s">
        <v>5782</v>
      </c>
      <c r="G175" s="437">
        <v>2000</v>
      </c>
      <c r="H175" s="437"/>
      <c r="I175" s="438">
        <v>30</v>
      </c>
      <c r="J175" s="434">
        <v>243</v>
      </c>
      <c r="K175" s="434">
        <v>7</v>
      </c>
      <c r="L175" s="435" t="s">
        <v>5750</v>
      </c>
    </row>
    <row r="176" spans="1:12" ht="14" x14ac:dyDescent="0.3">
      <c r="A176" s="434" t="str">
        <f t="shared" si="2"/>
        <v>RO5244</v>
      </c>
      <c r="B176" s="434">
        <v>244</v>
      </c>
      <c r="C176" s="434">
        <v>7</v>
      </c>
      <c r="D176" s="434">
        <v>173</v>
      </c>
      <c r="E176" s="435" t="s">
        <v>2655</v>
      </c>
      <c r="F176" s="436" t="s">
        <v>5783</v>
      </c>
      <c r="G176" s="437">
        <v>2000</v>
      </c>
      <c r="H176" s="437"/>
      <c r="I176" s="438">
        <v>30</v>
      </c>
      <c r="J176" s="434">
        <v>244</v>
      </c>
      <c r="K176" s="434">
        <v>7</v>
      </c>
      <c r="L176" s="435" t="s">
        <v>5750</v>
      </c>
    </row>
    <row r="177" spans="1:12" ht="14" x14ac:dyDescent="0.3">
      <c r="A177" s="434" t="str">
        <f t="shared" si="2"/>
        <v>RO5247</v>
      </c>
      <c r="B177" s="434">
        <v>247</v>
      </c>
      <c r="C177" s="434">
        <v>7</v>
      </c>
      <c r="D177" s="434">
        <v>174</v>
      </c>
      <c r="E177" s="435" t="s">
        <v>2655</v>
      </c>
      <c r="F177" s="436" t="s">
        <v>5784</v>
      </c>
      <c r="G177" s="437">
        <v>2000</v>
      </c>
      <c r="H177" s="437"/>
      <c r="I177" s="438">
        <v>30</v>
      </c>
      <c r="J177" s="434">
        <v>247</v>
      </c>
      <c r="K177" s="434">
        <v>7</v>
      </c>
      <c r="L177" s="435" t="s">
        <v>5750</v>
      </c>
    </row>
    <row r="178" spans="1:12" ht="14" x14ac:dyDescent="0.3">
      <c r="A178" s="434" t="str">
        <f t="shared" si="2"/>
        <v>RO5250</v>
      </c>
      <c r="B178" s="434">
        <v>250</v>
      </c>
      <c r="C178" s="434">
        <v>7</v>
      </c>
      <c r="D178" s="434">
        <v>175</v>
      </c>
      <c r="E178" s="435" t="s">
        <v>2655</v>
      </c>
      <c r="F178" s="436" t="s">
        <v>5785</v>
      </c>
      <c r="G178" s="437">
        <v>2000</v>
      </c>
      <c r="H178" s="437"/>
      <c r="I178" s="438">
        <v>30</v>
      </c>
      <c r="J178" s="434">
        <v>250</v>
      </c>
      <c r="K178" s="434">
        <v>7</v>
      </c>
      <c r="L178" s="435" t="s">
        <v>5750</v>
      </c>
    </row>
    <row r="179" spans="1:12" ht="14" x14ac:dyDescent="0.3">
      <c r="A179" s="434" t="str">
        <f t="shared" si="2"/>
        <v>RO5270</v>
      </c>
      <c r="B179" s="434">
        <v>270</v>
      </c>
      <c r="C179" s="434">
        <v>7</v>
      </c>
      <c r="D179" s="434">
        <v>176</v>
      </c>
      <c r="E179" s="435" t="s">
        <v>2655</v>
      </c>
      <c r="F179" s="436" t="s">
        <v>5786</v>
      </c>
      <c r="G179" s="437">
        <v>4000</v>
      </c>
      <c r="H179" s="437"/>
      <c r="I179" s="438">
        <v>40</v>
      </c>
      <c r="J179" s="434">
        <v>270</v>
      </c>
      <c r="K179" s="434">
        <v>7</v>
      </c>
      <c r="L179" s="435" t="s">
        <v>5750</v>
      </c>
    </row>
    <row r="180" spans="1:12" ht="14" x14ac:dyDescent="0.3">
      <c r="A180" s="434" t="str">
        <f t="shared" si="2"/>
        <v>RO5281</v>
      </c>
      <c r="B180" s="434">
        <v>281</v>
      </c>
      <c r="C180" s="434">
        <v>7</v>
      </c>
      <c r="D180" s="434">
        <v>177</v>
      </c>
      <c r="E180" s="435" t="s">
        <v>2655</v>
      </c>
      <c r="F180" s="436" t="s">
        <v>5787</v>
      </c>
      <c r="G180" s="437">
        <v>4000</v>
      </c>
      <c r="H180" s="437"/>
      <c r="I180" s="438">
        <v>40</v>
      </c>
      <c r="J180" s="434">
        <v>281</v>
      </c>
      <c r="K180" s="434">
        <v>7</v>
      </c>
      <c r="L180" s="435" t="s">
        <v>5750</v>
      </c>
    </row>
    <row r="181" spans="1:12" ht="14" x14ac:dyDescent="0.3">
      <c r="A181" s="434" t="str">
        <f t="shared" si="2"/>
        <v>RO5282</v>
      </c>
      <c r="B181" s="434">
        <v>282</v>
      </c>
      <c r="C181" s="434">
        <v>7</v>
      </c>
      <c r="D181" s="434">
        <v>178</v>
      </c>
      <c r="E181" s="435" t="s">
        <v>2655</v>
      </c>
      <c r="F181" s="436" t="s">
        <v>5788</v>
      </c>
      <c r="G181" s="437">
        <v>4000</v>
      </c>
      <c r="H181" s="437"/>
      <c r="I181" s="438">
        <v>40</v>
      </c>
      <c r="J181" s="434">
        <v>282</v>
      </c>
      <c r="K181" s="434">
        <v>7</v>
      </c>
      <c r="L181" s="435" t="s">
        <v>5750</v>
      </c>
    </row>
    <row r="182" spans="1:12" ht="14" x14ac:dyDescent="0.3">
      <c r="A182" s="434" t="str">
        <f t="shared" si="2"/>
        <v>RO5283</v>
      </c>
      <c r="B182" s="434">
        <v>283</v>
      </c>
      <c r="C182" s="434">
        <v>7</v>
      </c>
      <c r="D182" s="434">
        <v>179</v>
      </c>
      <c r="E182" s="435" t="s">
        <v>2655</v>
      </c>
      <c r="F182" s="436" t="s">
        <v>5789</v>
      </c>
      <c r="G182" s="437">
        <v>4000</v>
      </c>
      <c r="H182" s="437"/>
      <c r="I182" s="438">
        <v>40</v>
      </c>
      <c r="J182" s="434">
        <v>283</v>
      </c>
      <c r="K182" s="434">
        <v>7</v>
      </c>
      <c r="L182" s="435" t="s">
        <v>5750</v>
      </c>
    </row>
    <row r="183" spans="1:12" ht="14" x14ac:dyDescent="0.3">
      <c r="A183" s="434" t="str">
        <f t="shared" si="2"/>
        <v>RO5284</v>
      </c>
      <c r="B183" s="434">
        <v>284</v>
      </c>
      <c r="C183" s="434">
        <v>7</v>
      </c>
      <c r="D183" s="434">
        <v>180</v>
      </c>
      <c r="E183" s="435" t="s">
        <v>2655</v>
      </c>
      <c r="F183" s="436" t="s">
        <v>5790</v>
      </c>
      <c r="G183" s="437">
        <v>4000</v>
      </c>
      <c r="H183" s="437"/>
      <c r="I183" s="438">
        <v>40</v>
      </c>
      <c r="J183" s="434">
        <v>284</v>
      </c>
      <c r="K183" s="434">
        <v>7</v>
      </c>
      <c r="L183" s="435" t="s">
        <v>5750</v>
      </c>
    </row>
    <row r="184" spans="1:12" ht="14" x14ac:dyDescent="0.3">
      <c r="A184" s="434" t="str">
        <f t="shared" si="2"/>
        <v>RO5285</v>
      </c>
      <c r="B184" s="434">
        <v>285</v>
      </c>
      <c r="C184" s="434">
        <v>7</v>
      </c>
      <c r="D184" s="434">
        <v>181</v>
      </c>
      <c r="E184" s="435" t="s">
        <v>2655</v>
      </c>
      <c r="F184" s="436" t="s">
        <v>5791</v>
      </c>
      <c r="G184" s="437">
        <v>4000</v>
      </c>
      <c r="H184" s="437"/>
      <c r="I184" s="438">
        <v>40</v>
      </c>
      <c r="J184" s="434">
        <v>285</v>
      </c>
      <c r="K184" s="434">
        <v>7</v>
      </c>
      <c r="L184" s="435" t="s">
        <v>5750</v>
      </c>
    </row>
    <row r="185" spans="1:12" ht="14" x14ac:dyDescent="0.3">
      <c r="A185" s="434" t="str">
        <f t="shared" si="2"/>
        <v>RO5286</v>
      </c>
      <c r="B185" s="434">
        <v>286</v>
      </c>
      <c r="C185" s="434">
        <v>7</v>
      </c>
      <c r="D185" s="434">
        <v>182</v>
      </c>
      <c r="E185" s="435" t="s">
        <v>2655</v>
      </c>
      <c r="F185" s="436" t="s">
        <v>5792</v>
      </c>
      <c r="G185" s="437">
        <v>4000</v>
      </c>
      <c r="H185" s="437"/>
      <c r="I185" s="438">
        <v>40</v>
      </c>
      <c r="J185" s="434">
        <v>286</v>
      </c>
      <c r="K185" s="434">
        <v>7</v>
      </c>
      <c r="L185" s="435" t="s">
        <v>5750</v>
      </c>
    </row>
    <row r="186" spans="1:12" ht="14" x14ac:dyDescent="0.3">
      <c r="A186" s="434" t="str">
        <f t="shared" si="2"/>
        <v>RO5290</v>
      </c>
      <c r="B186" s="434">
        <v>290</v>
      </c>
      <c r="C186" s="434">
        <v>7</v>
      </c>
      <c r="D186" s="434">
        <v>183</v>
      </c>
      <c r="E186" s="435" t="s">
        <v>2655</v>
      </c>
      <c r="F186" s="436" t="s">
        <v>5793</v>
      </c>
      <c r="G186" s="437">
        <v>4000</v>
      </c>
      <c r="H186" s="437"/>
      <c r="I186" s="438">
        <v>40</v>
      </c>
      <c r="J186" s="434">
        <v>290</v>
      </c>
      <c r="K186" s="434">
        <v>7</v>
      </c>
      <c r="L186" s="435" t="s">
        <v>5750</v>
      </c>
    </row>
    <row r="187" spans="1:12" ht="14" x14ac:dyDescent="0.3">
      <c r="A187" s="434" t="str">
        <f t="shared" si="2"/>
        <v>RO5310</v>
      </c>
      <c r="B187" s="434">
        <v>310</v>
      </c>
      <c r="C187" s="434">
        <v>7</v>
      </c>
      <c r="D187" s="434">
        <v>184</v>
      </c>
      <c r="E187" s="435" t="s">
        <v>2655</v>
      </c>
      <c r="F187" s="436" t="s">
        <v>5794</v>
      </c>
      <c r="G187" s="437">
        <v>2000</v>
      </c>
      <c r="H187" s="437"/>
      <c r="I187" s="438">
        <v>30</v>
      </c>
      <c r="J187" s="434">
        <v>310</v>
      </c>
      <c r="K187" s="434">
        <v>7</v>
      </c>
      <c r="L187" s="435" t="s">
        <v>5750</v>
      </c>
    </row>
    <row r="188" spans="1:12" ht="14" x14ac:dyDescent="0.3">
      <c r="A188" s="434" t="str">
        <f t="shared" si="2"/>
        <v>RO5320</v>
      </c>
      <c r="B188" s="434">
        <v>320</v>
      </c>
      <c r="C188" s="434">
        <v>7</v>
      </c>
      <c r="D188" s="434">
        <v>185</v>
      </c>
      <c r="E188" s="435" t="s">
        <v>2655</v>
      </c>
      <c r="F188" s="436" t="s">
        <v>5795</v>
      </c>
      <c r="G188" s="437">
        <v>2000</v>
      </c>
      <c r="H188" s="437"/>
      <c r="I188" s="438">
        <v>30</v>
      </c>
      <c r="J188" s="434">
        <v>320</v>
      </c>
      <c r="K188" s="434">
        <v>7</v>
      </c>
      <c r="L188" s="435" t="s">
        <v>5750</v>
      </c>
    </row>
    <row r="189" spans="1:12" ht="14" x14ac:dyDescent="0.3">
      <c r="A189" s="434" t="str">
        <f t="shared" si="2"/>
        <v>RO5335</v>
      </c>
      <c r="B189" s="434">
        <v>335</v>
      </c>
      <c r="C189" s="434">
        <v>7</v>
      </c>
      <c r="D189" s="434">
        <v>186</v>
      </c>
      <c r="E189" s="435" t="s">
        <v>2655</v>
      </c>
      <c r="F189" s="436" t="s">
        <v>5796</v>
      </c>
      <c r="G189" s="437">
        <v>4000</v>
      </c>
      <c r="H189" s="437"/>
      <c r="I189" s="438">
        <v>40</v>
      </c>
      <c r="J189" s="434">
        <v>335</v>
      </c>
      <c r="K189" s="434">
        <v>7</v>
      </c>
      <c r="L189" s="435" t="s">
        <v>5750</v>
      </c>
    </row>
    <row r="190" spans="1:12" ht="14" x14ac:dyDescent="0.3">
      <c r="A190" s="434" t="str">
        <f t="shared" si="2"/>
        <v>RO5338</v>
      </c>
      <c r="B190" s="434">
        <v>338</v>
      </c>
      <c r="C190" s="434">
        <v>7</v>
      </c>
      <c r="D190" s="434">
        <v>187</v>
      </c>
      <c r="E190" s="435" t="s">
        <v>2655</v>
      </c>
      <c r="F190" s="436" t="s">
        <v>5797</v>
      </c>
      <c r="G190" s="437">
        <v>4000</v>
      </c>
      <c r="H190" s="437"/>
      <c r="I190" s="438">
        <v>40</v>
      </c>
      <c r="J190" s="434">
        <v>338</v>
      </c>
      <c r="K190" s="434">
        <v>7</v>
      </c>
      <c r="L190" s="435" t="s">
        <v>5750</v>
      </c>
    </row>
    <row r="191" spans="1:12" ht="14" x14ac:dyDescent="0.3">
      <c r="A191" s="434" t="str">
        <f t="shared" si="2"/>
        <v>RO5340</v>
      </c>
      <c r="B191" s="434">
        <v>340</v>
      </c>
      <c r="C191" s="434">
        <v>7</v>
      </c>
      <c r="D191" s="434">
        <v>188</v>
      </c>
      <c r="E191" s="435" t="s">
        <v>2655</v>
      </c>
      <c r="F191" s="436" t="s">
        <v>5798</v>
      </c>
      <c r="G191" s="437">
        <v>4000</v>
      </c>
      <c r="H191" s="437"/>
      <c r="I191" s="438">
        <v>40</v>
      </c>
      <c r="J191" s="434">
        <v>340</v>
      </c>
      <c r="K191" s="434">
        <v>7</v>
      </c>
      <c r="L191" s="435" t="s">
        <v>5750</v>
      </c>
    </row>
    <row r="192" spans="1:12" ht="14" x14ac:dyDescent="0.3">
      <c r="A192" s="434" t="str">
        <f t="shared" si="2"/>
        <v>RO5350</v>
      </c>
      <c r="B192" s="434">
        <v>350</v>
      </c>
      <c r="C192" s="434">
        <v>7</v>
      </c>
      <c r="D192" s="434">
        <v>189</v>
      </c>
      <c r="E192" s="435" t="s">
        <v>2655</v>
      </c>
      <c r="F192" s="436" t="s">
        <v>5799</v>
      </c>
      <c r="G192" s="437">
        <v>12000</v>
      </c>
      <c r="H192" s="437"/>
      <c r="I192" s="438">
        <v>40</v>
      </c>
      <c r="J192" s="434">
        <v>350</v>
      </c>
      <c r="K192" s="434">
        <v>7</v>
      </c>
      <c r="L192" s="435" t="s">
        <v>5750</v>
      </c>
    </row>
    <row r="193" spans="1:12" ht="14" x14ac:dyDescent="0.3">
      <c r="A193" s="434" t="str">
        <f t="shared" si="2"/>
        <v>RO5351</v>
      </c>
      <c r="B193" s="434">
        <v>351</v>
      </c>
      <c r="C193" s="434">
        <v>7</v>
      </c>
      <c r="D193" s="434">
        <v>190</v>
      </c>
      <c r="E193" s="435" t="s">
        <v>2655</v>
      </c>
      <c r="F193" s="436" t="s">
        <v>5800</v>
      </c>
      <c r="G193" s="437">
        <v>4000</v>
      </c>
      <c r="H193" s="437"/>
      <c r="I193" s="438">
        <v>40</v>
      </c>
      <c r="J193" s="434">
        <v>351</v>
      </c>
      <c r="K193" s="434">
        <v>7</v>
      </c>
      <c r="L193" s="435" t="s">
        <v>5750</v>
      </c>
    </row>
    <row r="194" spans="1:12" ht="14" x14ac:dyDescent="0.3">
      <c r="A194" s="434" t="str">
        <f t="shared" si="2"/>
        <v>RO5352</v>
      </c>
      <c r="B194" s="434">
        <v>352</v>
      </c>
      <c r="C194" s="434">
        <v>7</v>
      </c>
      <c r="D194" s="434">
        <v>191</v>
      </c>
      <c r="E194" s="435" t="s">
        <v>2655</v>
      </c>
      <c r="F194" s="436" t="s">
        <v>5801</v>
      </c>
      <c r="G194" s="437">
        <v>4000</v>
      </c>
      <c r="H194" s="437"/>
      <c r="I194" s="438">
        <v>40</v>
      </c>
      <c r="J194" s="434">
        <v>352</v>
      </c>
      <c r="K194" s="434">
        <v>7</v>
      </c>
      <c r="L194" s="435" t="s">
        <v>5750</v>
      </c>
    </row>
    <row r="195" spans="1:12" ht="14" x14ac:dyDescent="0.3">
      <c r="A195" s="434" t="str">
        <f t="shared" si="2"/>
        <v>RO5360</v>
      </c>
      <c r="B195" s="434">
        <v>360</v>
      </c>
      <c r="C195" s="434">
        <v>7</v>
      </c>
      <c r="D195" s="434">
        <v>192</v>
      </c>
      <c r="E195" s="435" t="s">
        <v>2655</v>
      </c>
      <c r="F195" s="436" t="s">
        <v>5802</v>
      </c>
      <c r="G195" s="437">
        <v>4000</v>
      </c>
      <c r="H195" s="437"/>
      <c r="I195" s="438">
        <v>40</v>
      </c>
      <c r="J195" s="434">
        <v>360</v>
      </c>
      <c r="K195" s="434">
        <v>7</v>
      </c>
      <c r="L195" s="435" t="s">
        <v>5750</v>
      </c>
    </row>
    <row r="196" spans="1:12" ht="14" x14ac:dyDescent="0.3">
      <c r="A196" s="434" t="str">
        <f t="shared" si="2"/>
        <v>RO5390</v>
      </c>
      <c r="B196" s="434">
        <v>390</v>
      </c>
      <c r="C196" s="434">
        <v>7</v>
      </c>
      <c r="D196" s="434">
        <v>193</v>
      </c>
      <c r="E196" s="435" t="s">
        <v>2655</v>
      </c>
      <c r="F196" s="436" t="s">
        <v>5803</v>
      </c>
      <c r="G196" s="437">
        <v>4000</v>
      </c>
      <c r="H196" s="437"/>
      <c r="I196" s="438">
        <v>40</v>
      </c>
      <c r="J196" s="434">
        <v>390</v>
      </c>
      <c r="K196" s="434">
        <v>7</v>
      </c>
      <c r="L196" s="435" t="s">
        <v>5750</v>
      </c>
    </row>
    <row r="197" spans="1:12" ht="14" x14ac:dyDescent="0.3">
      <c r="A197" s="434" t="str">
        <f t="shared" ref="A197:A260" si="3">E197&amp;B197</f>
        <v>RO5400</v>
      </c>
      <c r="B197" s="434">
        <v>400</v>
      </c>
      <c r="C197" s="434">
        <v>7</v>
      </c>
      <c r="D197" s="434">
        <v>194</v>
      </c>
      <c r="E197" s="435" t="s">
        <v>2655</v>
      </c>
      <c r="F197" s="436" t="s">
        <v>5804</v>
      </c>
      <c r="G197" s="437">
        <v>12000</v>
      </c>
      <c r="H197" s="437"/>
      <c r="I197" s="438">
        <v>40</v>
      </c>
      <c r="J197" s="434">
        <v>400</v>
      </c>
      <c r="K197" s="434">
        <v>7</v>
      </c>
      <c r="L197" s="435" t="s">
        <v>5750</v>
      </c>
    </row>
    <row r="198" spans="1:12" ht="14" x14ac:dyDescent="0.3">
      <c r="A198" s="439" t="str">
        <f t="shared" si="3"/>
        <v>RO6100</v>
      </c>
      <c r="B198" s="439">
        <v>100</v>
      </c>
      <c r="C198" s="439">
        <v>7</v>
      </c>
      <c r="D198" s="439">
        <v>195</v>
      </c>
      <c r="E198" s="440" t="s">
        <v>2714</v>
      </c>
      <c r="F198" s="441" t="s">
        <v>5805</v>
      </c>
      <c r="G198" s="442">
        <v>4000</v>
      </c>
      <c r="H198" s="442"/>
      <c r="I198" s="443">
        <v>40</v>
      </c>
      <c r="J198" s="439">
        <v>100</v>
      </c>
      <c r="K198" s="439">
        <v>7</v>
      </c>
      <c r="L198" s="440" t="s">
        <v>5806</v>
      </c>
    </row>
    <row r="199" spans="1:12" ht="14" x14ac:dyDescent="0.3">
      <c r="A199" s="439" t="str">
        <f t="shared" si="3"/>
        <v>RO6210</v>
      </c>
      <c r="B199" s="439">
        <v>210</v>
      </c>
      <c r="C199" s="439">
        <v>7</v>
      </c>
      <c r="D199" s="439">
        <v>196</v>
      </c>
      <c r="E199" s="440" t="s">
        <v>2714</v>
      </c>
      <c r="F199" s="441" t="s">
        <v>5807</v>
      </c>
      <c r="G199" s="442">
        <v>4000</v>
      </c>
      <c r="H199" s="442"/>
      <c r="I199" s="443">
        <v>40</v>
      </c>
      <c r="J199" s="439">
        <v>210</v>
      </c>
      <c r="K199" s="439">
        <v>7</v>
      </c>
      <c r="L199" s="440" t="s">
        <v>5806</v>
      </c>
    </row>
    <row r="200" spans="1:12" ht="14" x14ac:dyDescent="0.3">
      <c r="A200" s="439" t="str">
        <f t="shared" si="3"/>
        <v>RO6220</v>
      </c>
      <c r="B200" s="439">
        <v>220</v>
      </c>
      <c r="C200" s="439">
        <v>7</v>
      </c>
      <c r="D200" s="439">
        <v>197</v>
      </c>
      <c r="E200" s="440" t="s">
        <v>2714</v>
      </c>
      <c r="F200" s="441" t="s">
        <v>5808</v>
      </c>
      <c r="G200" s="442">
        <v>4000</v>
      </c>
      <c r="H200" s="442"/>
      <c r="I200" s="443">
        <v>40</v>
      </c>
      <c r="J200" s="439">
        <v>220</v>
      </c>
      <c r="K200" s="439">
        <v>7</v>
      </c>
      <c r="L200" s="440" t="s">
        <v>5806</v>
      </c>
    </row>
    <row r="201" spans="1:12" ht="14" x14ac:dyDescent="0.3">
      <c r="A201" s="439" t="str">
        <f t="shared" si="3"/>
        <v>RO6230</v>
      </c>
      <c r="B201" s="439">
        <v>230</v>
      </c>
      <c r="C201" s="439">
        <v>7</v>
      </c>
      <c r="D201" s="439">
        <v>198</v>
      </c>
      <c r="E201" s="440" t="s">
        <v>2714</v>
      </c>
      <c r="F201" s="441" t="s">
        <v>5809</v>
      </c>
      <c r="G201" s="442">
        <v>4000</v>
      </c>
      <c r="H201" s="442"/>
      <c r="I201" s="443">
        <v>40</v>
      </c>
      <c r="J201" s="439">
        <v>230</v>
      </c>
      <c r="K201" s="439">
        <v>7</v>
      </c>
      <c r="L201" s="440" t="s">
        <v>5806</v>
      </c>
    </row>
    <row r="202" spans="1:12" ht="14" x14ac:dyDescent="0.3">
      <c r="A202" s="439" t="str">
        <f t="shared" si="3"/>
        <v>RO6290</v>
      </c>
      <c r="B202" s="439">
        <v>290</v>
      </c>
      <c r="C202" s="439">
        <v>7</v>
      </c>
      <c r="D202" s="439">
        <v>199</v>
      </c>
      <c r="E202" s="440" t="s">
        <v>2714</v>
      </c>
      <c r="F202" s="441" t="s">
        <v>5810</v>
      </c>
      <c r="G202" s="442">
        <v>4000</v>
      </c>
      <c r="H202" s="442"/>
      <c r="I202" s="443">
        <v>40</v>
      </c>
      <c r="J202" s="439">
        <v>290</v>
      </c>
      <c r="K202" s="439">
        <v>7</v>
      </c>
      <c r="L202" s="440" t="s">
        <v>5806</v>
      </c>
    </row>
    <row r="203" spans="1:12" ht="14" x14ac:dyDescent="0.3">
      <c r="A203" s="439" t="str">
        <f t="shared" si="3"/>
        <v>RO6410</v>
      </c>
      <c r="B203" s="439">
        <v>410</v>
      </c>
      <c r="C203" s="439">
        <v>7</v>
      </c>
      <c r="D203" s="439">
        <v>200</v>
      </c>
      <c r="E203" s="440" t="s">
        <v>2714</v>
      </c>
      <c r="F203" s="441" t="s">
        <v>5811</v>
      </c>
      <c r="G203" s="442">
        <v>6000</v>
      </c>
      <c r="H203" s="442"/>
      <c r="I203" s="443">
        <v>55</v>
      </c>
      <c r="J203" s="439">
        <v>410</v>
      </c>
      <c r="K203" s="439">
        <v>7</v>
      </c>
      <c r="L203" s="440" t="s">
        <v>5806</v>
      </c>
    </row>
    <row r="204" spans="1:12" ht="14" x14ac:dyDescent="0.3">
      <c r="A204" s="439" t="str">
        <f t="shared" si="3"/>
        <v>RO6421</v>
      </c>
      <c r="B204" s="439">
        <v>421</v>
      </c>
      <c r="C204" s="439">
        <v>7</v>
      </c>
      <c r="D204" s="439">
        <v>201</v>
      </c>
      <c r="E204" s="440" t="s">
        <v>2714</v>
      </c>
      <c r="F204" s="441" t="s">
        <v>5812</v>
      </c>
      <c r="G204" s="442">
        <v>4000</v>
      </c>
      <c r="H204" s="442"/>
      <c r="I204" s="443">
        <v>40</v>
      </c>
      <c r="J204" s="439">
        <v>421</v>
      </c>
      <c r="K204" s="439">
        <v>7</v>
      </c>
      <c r="L204" s="440" t="s">
        <v>5806</v>
      </c>
    </row>
    <row r="205" spans="1:12" ht="14" x14ac:dyDescent="0.3">
      <c r="A205" s="439" t="str">
        <f t="shared" si="3"/>
        <v>RO6422</v>
      </c>
      <c r="B205" s="439">
        <v>422</v>
      </c>
      <c r="C205" s="439">
        <v>7</v>
      </c>
      <c r="D205" s="439">
        <v>202</v>
      </c>
      <c r="E205" s="440" t="s">
        <v>2714</v>
      </c>
      <c r="F205" s="441" t="s">
        <v>5813</v>
      </c>
      <c r="G205" s="442">
        <v>4000</v>
      </c>
      <c r="H205" s="442"/>
      <c r="I205" s="443">
        <v>40</v>
      </c>
      <c r="J205" s="439">
        <v>422</v>
      </c>
      <c r="K205" s="439">
        <v>7</v>
      </c>
      <c r="L205" s="440" t="s">
        <v>5806</v>
      </c>
    </row>
    <row r="206" spans="1:12" ht="14" x14ac:dyDescent="0.3">
      <c r="A206" s="439" t="str">
        <f t="shared" si="3"/>
        <v>RO6423</v>
      </c>
      <c r="B206" s="439">
        <v>423</v>
      </c>
      <c r="C206" s="439">
        <v>7</v>
      </c>
      <c r="D206" s="439">
        <v>203</v>
      </c>
      <c r="E206" s="440" t="s">
        <v>2714</v>
      </c>
      <c r="F206" s="441" t="s">
        <v>5814</v>
      </c>
      <c r="G206" s="442">
        <v>4000</v>
      </c>
      <c r="H206" s="442"/>
      <c r="I206" s="443">
        <v>40</v>
      </c>
      <c r="J206" s="439">
        <v>423</v>
      </c>
      <c r="K206" s="439">
        <v>7</v>
      </c>
      <c r="L206" s="440" t="s">
        <v>5806</v>
      </c>
    </row>
    <row r="207" spans="1:12" ht="14" x14ac:dyDescent="0.3">
      <c r="A207" s="439" t="str">
        <f t="shared" si="3"/>
        <v>RO6425</v>
      </c>
      <c r="B207" s="439">
        <v>425</v>
      </c>
      <c r="C207" s="439">
        <v>7</v>
      </c>
      <c r="D207" s="439">
        <v>204</v>
      </c>
      <c r="E207" s="440" t="s">
        <v>2714</v>
      </c>
      <c r="F207" s="441" t="s">
        <v>5815</v>
      </c>
      <c r="G207" s="442">
        <v>4000</v>
      </c>
      <c r="H207" s="442"/>
      <c r="I207" s="443">
        <v>40</v>
      </c>
      <c r="J207" s="439">
        <v>425</v>
      </c>
      <c r="K207" s="439">
        <v>7</v>
      </c>
      <c r="L207" s="440" t="s">
        <v>5806</v>
      </c>
    </row>
    <row r="208" spans="1:12" ht="14" x14ac:dyDescent="0.3">
      <c r="A208" s="439" t="str">
        <f t="shared" si="3"/>
        <v>RO6426</v>
      </c>
      <c r="B208" s="439">
        <v>426</v>
      </c>
      <c r="C208" s="439">
        <v>7</v>
      </c>
      <c r="D208" s="439">
        <v>205</v>
      </c>
      <c r="E208" s="440" t="s">
        <v>2714</v>
      </c>
      <c r="F208" s="441" t="s">
        <v>5816</v>
      </c>
      <c r="G208" s="442">
        <v>4000</v>
      </c>
      <c r="H208" s="442"/>
      <c r="I208" s="443">
        <v>40</v>
      </c>
      <c r="J208" s="439">
        <v>426</v>
      </c>
      <c r="K208" s="439">
        <v>7</v>
      </c>
      <c r="L208" s="440" t="s">
        <v>5806</v>
      </c>
    </row>
    <row r="209" spans="1:12" ht="14" x14ac:dyDescent="0.3">
      <c r="A209" s="439" t="str">
        <f t="shared" si="3"/>
        <v>RO6428</v>
      </c>
      <c r="B209" s="439">
        <v>428</v>
      </c>
      <c r="C209" s="439">
        <v>7</v>
      </c>
      <c r="D209" s="439">
        <v>206</v>
      </c>
      <c r="E209" s="440" t="s">
        <v>2714</v>
      </c>
      <c r="F209" s="441" t="s">
        <v>5817</v>
      </c>
      <c r="G209" s="442">
        <v>4000</v>
      </c>
      <c r="H209" s="442"/>
      <c r="I209" s="443">
        <v>40</v>
      </c>
      <c r="J209" s="439">
        <v>428</v>
      </c>
      <c r="K209" s="439">
        <v>7</v>
      </c>
      <c r="L209" s="440" t="s">
        <v>5806</v>
      </c>
    </row>
    <row r="210" spans="1:12" ht="14" x14ac:dyDescent="0.3">
      <c r="A210" s="439" t="str">
        <f t="shared" si="3"/>
        <v>RO6430</v>
      </c>
      <c r="B210" s="439">
        <v>430</v>
      </c>
      <c r="C210" s="439">
        <v>7</v>
      </c>
      <c r="D210" s="439">
        <v>207</v>
      </c>
      <c r="E210" s="440" t="s">
        <v>2714</v>
      </c>
      <c r="F210" s="441" t="s">
        <v>5818</v>
      </c>
      <c r="G210" s="442">
        <v>4000</v>
      </c>
      <c r="H210" s="442"/>
      <c r="I210" s="443">
        <v>40</v>
      </c>
      <c r="J210" s="439">
        <v>430</v>
      </c>
      <c r="K210" s="439">
        <v>7</v>
      </c>
      <c r="L210" s="440" t="s">
        <v>5806</v>
      </c>
    </row>
    <row r="211" spans="1:12" ht="14" x14ac:dyDescent="0.3">
      <c r="A211" s="439" t="str">
        <f t="shared" si="3"/>
        <v>RO6441</v>
      </c>
      <c r="B211" s="439">
        <v>441</v>
      </c>
      <c r="C211" s="439">
        <v>7</v>
      </c>
      <c r="D211" s="439">
        <v>208</v>
      </c>
      <c r="E211" s="440" t="s">
        <v>2714</v>
      </c>
      <c r="F211" s="441" t="s">
        <v>5819</v>
      </c>
      <c r="G211" s="442">
        <v>4000</v>
      </c>
      <c r="H211" s="442"/>
      <c r="I211" s="443">
        <v>40</v>
      </c>
      <c r="J211" s="439">
        <v>441</v>
      </c>
      <c r="K211" s="439">
        <v>7</v>
      </c>
      <c r="L211" s="440" t="s">
        <v>5806</v>
      </c>
    </row>
    <row r="212" spans="1:12" ht="14" x14ac:dyDescent="0.3">
      <c r="A212" s="439" t="str">
        <f t="shared" si="3"/>
        <v>RO6442</v>
      </c>
      <c r="B212" s="439">
        <v>442</v>
      </c>
      <c r="C212" s="439">
        <v>7</v>
      </c>
      <c r="D212" s="439">
        <v>209</v>
      </c>
      <c r="E212" s="440" t="s">
        <v>2714</v>
      </c>
      <c r="F212" s="441" t="s">
        <v>5820</v>
      </c>
      <c r="G212" s="442">
        <v>4000</v>
      </c>
      <c r="H212" s="442"/>
      <c r="I212" s="443">
        <v>40</v>
      </c>
      <c r="J212" s="439">
        <v>442</v>
      </c>
      <c r="K212" s="439">
        <v>7</v>
      </c>
      <c r="L212" s="440" t="s">
        <v>5806</v>
      </c>
    </row>
    <row r="213" spans="1:12" ht="14" x14ac:dyDescent="0.3">
      <c r="A213" s="439" t="str">
        <f t="shared" si="3"/>
        <v>RO6450</v>
      </c>
      <c r="B213" s="439">
        <v>450</v>
      </c>
      <c r="C213" s="439">
        <v>7</v>
      </c>
      <c r="D213" s="439">
        <v>210</v>
      </c>
      <c r="E213" s="440" t="s">
        <v>2714</v>
      </c>
      <c r="F213" s="441" t="s">
        <v>5821</v>
      </c>
      <c r="G213" s="442">
        <v>4000</v>
      </c>
      <c r="H213" s="442"/>
      <c r="I213" s="443">
        <v>40</v>
      </c>
      <c r="J213" s="439">
        <v>450</v>
      </c>
      <c r="K213" s="439">
        <v>7</v>
      </c>
      <c r="L213" s="440" t="s">
        <v>5806</v>
      </c>
    </row>
    <row r="214" spans="1:12" ht="14" x14ac:dyDescent="0.3">
      <c r="A214" s="439" t="str">
        <f t="shared" si="3"/>
        <v>RO6460</v>
      </c>
      <c r="B214" s="439">
        <v>460</v>
      </c>
      <c r="C214" s="439">
        <v>7</v>
      </c>
      <c r="D214" s="439">
        <v>211</v>
      </c>
      <c r="E214" s="440" t="s">
        <v>2714</v>
      </c>
      <c r="F214" s="441" t="s">
        <v>5822</v>
      </c>
      <c r="G214" s="442">
        <v>4000</v>
      </c>
      <c r="H214" s="442"/>
      <c r="I214" s="443">
        <v>40</v>
      </c>
      <c r="J214" s="439">
        <v>460</v>
      </c>
      <c r="K214" s="439">
        <v>7</v>
      </c>
      <c r="L214" s="440" t="s">
        <v>5806</v>
      </c>
    </row>
    <row r="215" spans="1:12" ht="14" x14ac:dyDescent="0.3">
      <c r="A215" s="439" t="str">
        <f t="shared" si="3"/>
        <v>RO6465</v>
      </c>
      <c r="B215" s="439">
        <v>465</v>
      </c>
      <c r="C215" s="439">
        <v>7</v>
      </c>
      <c r="D215" s="439">
        <v>212</v>
      </c>
      <c r="E215" s="440" t="s">
        <v>2714</v>
      </c>
      <c r="F215" s="441" t="s">
        <v>5823</v>
      </c>
      <c r="G215" s="442">
        <v>4000</v>
      </c>
      <c r="H215" s="442"/>
      <c r="I215" s="443">
        <v>40</v>
      </c>
      <c r="J215" s="439">
        <v>465</v>
      </c>
      <c r="K215" s="439">
        <v>7</v>
      </c>
      <c r="L215" s="440" t="s">
        <v>5806</v>
      </c>
    </row>
    <row r="216" spans="1:12" ht="14" x14ac:dyDescent="0.3">
      <c r="A216" s="439" t="str">
        <f t="shared" si="3"/>
        <v>RO6470</v>
      </c>
      <c r="B216" s="439">
        <v>470</v>
      </c>
      <c r="C216" s="439">
        <v>7</v>
      </c>
      <c r="D216" s="439">
        <v>213</v>
      </c>
      <c r="E216" s="440" t="s">
        <v>2714</v>
      </c>
      <c r="F216" s="441" t="s">
        <v>5824</v>
      </c>
      <c r="G216" s="442">
        <v>4000</v>
      </c>
      <c r="H216" s="442"/>
      <c r="I216" s="443">
        <v>40</v>
      </c>
      <c r="J216" s="439">
        <v>470</v>
      </c>
      <c r="K216" s="439">
        <v>7</v>
      </c>
      <c r="L216" s="440" t="s">
        <v>5806</v>
      </c>
    </row>
    <row r="217" spans="1:12" ht="14" x14ac:dyDescent="0.3">
      <c r="A217" s="439" t="str">
        <f t="shared" si="3"/>
        <v>RO6475</v>
      </c>
      <c r="B217" s="439">
        <v>475</v>
      </c>
      <c r="C217" s="439">
        <v>7</v>
      </c>
      <c r="D217" s="439">
        <v>214</v>
      </c>
      <c r="E217" s="440" t="s">
        <v>2714</v>
      </c>
      <c r="F217" s="441" t="s">
        <v>5825</v>
      </c>
      <c r="G217" s="442">
        <v>4000</v>
      </c>
      <c r="H217" s="442"/>
      <c r="I217" s="443">
        <v>40</v>
      </c>
      <c r="J217" s="439">
        <v>475</v>
      </c>
      <c r="K217" s="439">
        <v>7</v>
      </c>
      <c r="L217" s="440" t="s">
        <v>5806</v>
      </c>
    </row>
    <row r="218" spans="1:12" ht="14" x14ac:dyDescent="0.3">
      <c r="A218" s="439" t="str">
        <f t="shared" si="3"/>
        <v>RO6476</v>
      </c>
      <c r="B218" s="439">
        <v>476</v>
      </c>
      <c r="C218" s="439">
        <v>7</v>
      </c>
      <c r="D218" s="439">
        <v>215</v>
      </c>
      <c r="E218" s="440" t="s">
        <v>2714</v>
      </c>
      <c r="F218" s="441" t="s">
        <v>5826</v>
      </c>
      <c r="G218" s="442">
        <v>4000</v>
      </c>
      <c r="H218" s="442"/>
      <c r="I218" s="443">
        <v>40</v>
      </c>
      <c r="J218" s="439">
        <v>476</v>
      </c>
      <c r="K218" s="439">
        <v>7</v>
      </c>
      <c r="L218" s="440" t="s">
        <v>5806</v>
      </c>
    </row>
    <row r="219" spans="1:12" ht="14" x14ac:dyDescent="0.3">
      <c r="A219" s="439" t="str">
        <f t="shared" si="3"/>
        <v>RO6481</v>
      </c>
      <c r="B219" s="439">
        <v>481</v>
      </c>
      <c r="C219" s="439">
        <v>7</v>
      </c>
      <c r="D219" s="439">
        <v>216</v>
      </c>
      <c r="E219" s="440" t="s">
        <v>2714</v>
      </c>
      <c r="F219" s="441" t="s">
        <v>5827</v>
      </c>
      <c r="G219" s="442">
        <v>20000</v>
      </c>
      <c r="H219" s="442"/>
      <c r="I219" s="443">
        <v>40</v>
      </c>
      <c r="J219" s="439">
        <v>481</v>
      </c>
      <c r="K219" s="439">
        <v>7</v>
      </c>
      <c r="L219" s="440" t="s">
        <v>5806</v>
      </c>
    </row>
    <row r="220" spans="1:12" ht="14" x14ac:dyDescent="0.3">
      <c r="A220" s="439" t="str">
        <f t="shared" si="3"/>
        <v>RO6482</v>
      </c>
      <c r="B220" s="439">
        <v>482</v>
      </c>
      <c r="C220" s="439">
        <v>7</v>
      </c>
      <c r="D220" s="439">
        <v>217</v>
      </c>
      <c r="E220" s="440" t="s">
        <v>2714</v>
      </c>
      <c r="F220" s="441" t="s">
        <v>5828</v>
      </c>
      <c r="G220" s="442">
        <v>4000</v>
      </c>
      <c r="H220" s="442"/>
      <c r="I220" s="443">
        <v>40</v>
      </c>
      <c r="J220" s="439">
        <v>482</v>
      </c>
      <c r="K220" s="439">
        <v>7</v>
      </c>
      <c r="L220" s="440" t="s">
        <v>5806</v>
      </c>
    </row>
    <row r="221" spans="1:12" ht="14" x14ac:dyDescent="0.3">
      <c r="A221" s="439" t="str">
        <f t="shared" si="3"/>
        <v>RO6484</v>
      </c>
      <c r="B221" s="439">
        <v>484</v>
      </c>
      <c r="C221" s="439">
        <v>7</v>
      </c>
      <c r="D221" s="439">
        <v>218</v>
      </c>
      <c r="E221" s="440" t="s">
        <v>2714</v>
      </c>
      <c r="F221" s="441" t="s">
        <v>5829</v>
      </c>
      <c r="G221" s="442">
        <v>10000</v>
      </c>
      <c r="H221" s="442"/>
      <c r="I221" s="443">
        <v>40</v>
      </c>
      <c r="J221" s="439">
        <v>484</v>
      </c>
      <c r="K221" s="439">
        <v>7</v>
      </c>
      <c r="L221" s="440" t="s">
        <v>5806</v>
      </c>
    </row>
    <row r="222" spans="1:12" ht="14" x14ac:dyDescent="0.3">
      <c r="A222" s="439" t="str">
        <f t="shared" si="3"/>
        <v>RO6489</v>
      </c>
      <c r="B222" s="439">
        <v>489</v>
      </c>
      <c r="C222" s="439">
        <v>7</v>
      </c>
      <c r="D222" s="439">
        <v>219</v>
      </c>
      <c r="E222" s="440" t="s">
        <v>2714</v>
      </c>
      <c r="F222" s="441" t="s">
        <v>5830</v>
      </c>
      <c r="G222" s="442">
        <v>10000</v>
      </c>
      <c r="H222" s="442"/>
      <c r="I222" s="443">
        <v>45</v>
      </c>
      <c r="J222" s="439">
        <v>489</v>
      </c>
      <c r="K222" s="439">
        <v>7</v>
      </c>
      <c r="L222" s="440" t="s">
        <v>5806</v>
      </c>
    </row>
    <row r="223" spans="1:12" ht="14" x14ac:dyDescent="0.3">
      <c r="A223" s="439" t="str">
        <f t="shared" si="3"/>
        <v>RO6490</v>
      </c>
      <c r="B223" s="439">
        <v>490</v>
      </c>
      <c r="C223" s="439">
        <v>7</v>
      </c>
      <c r="D223" s="439">
        <v>220</v>
      </c>
      <c r="E223" s="440" t="s">
        <v>2714</v>
      </c>
      <c r="F223" s="441" t="s">
        <v>5831</v>
      </c>
      <c r="G223" s="442">
        <v>10000</v>
      </c>
      <c r="H223" s="442"/>
      <c r="I223" s="443">
        <v>45</v>
      </c>
      <c r="J223" s="439">
        <v>490</v>
      </c>
      <c r="K223" s="439">
        <v>7</v>
      </c>
      <c r="L223" s="440" t="s">
        <v>5806</v>
      </c>
    </row>
    <row r="224" spans="1:12" ht="14" x14ac:dyDescent="0.3">
      <c r="A224" s="439" t="str">
        <f t="shared" si="3"/>
        <v>RO6491</v>
      </c>
      <c r="B224" s="439">
        <v>491</v>
      </c>
      <c r="C224" s="439">
        <v>5</v>
      </c>
      <c r="D224" s="439">
        <v>221</v>
      </c>
      <c r="E224" s="440" t="s">
        <v>2714</v>
      </c>
      <c r="F224" s="441" t="s">
        <v>5832</v>
      </c>
      <c r="G224" s="442">
        <v>10000</v>
      </c>
      <c r="H224" s="442"/>
      <c r="I224" s="443">
        <v>45</v>
      </c>
      <c r="J224" s="439">
        <v>491</v>
      </c>
      <c r="K224" s="439">
        <v>5</v>
      </c>
      <c r="L224" s="440" t="s">
        <v>5806</v>
      </c>
    </row>
    <row r="225" spans="1:12" ht="14" x14ac:dyDescent="0.3">
      <c r="A225" s="439" t="str">
        <f t="shared" si="3"/>
        <v>RO6492</v>
      </c>
      <c r="B225" s="439">
        <v>492</v>
      </c>
      <c r="C225" s="439">
        <v>5</v>
      </c>
      <c r="D225" s="439">
        <v>222</v>
      </c>
      <c r="E225" s="440" t="s">
        <v>2714</v>
      </c>
      <c r="F225" s="441" t="s">
        <v>5833</v>
      </c>
      <c r="G225" s="442">
        <v>10000</v>
      </c>
      <c r="H225" s="442"/>
      <c r="I225" s="443">
        <v>45</v>
      </c>
      <c r="J225" s="439">
        <v>492</v>
      </c>
      <c r="K225" s="439">
        <v>5</v>
      </c>
      <c r="L225" s="440" t="s">
        <v>5806</v>
      </c>
    </row>
    <row r="226" spans="1:12" ht="14" x14ac:dyDescent="0.3">
      <c r="A226" s="439" t="str">
        <f t="shared" si="3"/>
        <v>RO6493</v>
      </c>
      <c r="B226" s="439">
        <v>493</v>
      </c>
      <c r="C226" s="439">
        <v>5</v>
      </c>
      <c r="D226" s="439">
        <v>223</v>
      </c>
      <c r="E226" s="440" t="s">
        <v>2714</v>
      </c>
      <c r="F226" s="441" t="s">
        <v>5834</v>
      </c>
      <c r="G226" s="442">
        <v>10000</v>
      </c>
      <c r="H226" s="442"/>
      <c r="I226" s="443">
        <v>45</v>
      </c>
      <c r="J226" s="439">
        <v>493</v>
      </c>
      <c r="K226" s="439">
        <v>5</v>
      </c>
      <c r="L226" s="440" t="s">
        <v>5806</v>
      </c>
    </row>
    <row r="227" spans="1:12" ht="14" x14ac:dyDescent="0.3">
      <c r="A227" s="439" t="str">
        <f t="shared" si="3"/>
        <v>RO6494</v>
      </c>
      <c r="B227" s="439">
        <v>494</v>
      </c>
      <c r="C227" s="439">
        <v>5</v>
      </c>
      <c r="D227" s="439">
        <v>224</v>
      </c>
      <c r="E227" s="440" t="s">
        <v>2714</v>
      </c>
      <c r="F227" s="441" t="s">
        <v>5835</v>
      </c>
      <c r="G227" s="442">
        <v>10000</v>
      </c>
      <c r="H227" s="442"/>
      <c r="I227" s="443">
        <v>45</v>
      </c>
      <c r="J227" s="439">
        <v>494</v>
      </c>
      <c r="K227" s="439">
        <v>5</v>
      </c>
      <c r="L227" s="440" t="s">
        <v>5806</v>
      </c>
    </row>
    <row r="228" spans="1:12" ht="14" x14ac:dyDescent="0.3">
      <c r="A228" s="439" t="str">
        <f t="shared" si="3"/>
        <v>RO6495</v>
      </c>
      <c r="B228" s="439">
        <v>495</v>
      </c>
      <c r="C228" s="439">
        <v>5</v>
      </c>
      <c r="D228" s="439">
        <v>225</v>
      </c>
      <c r="E228" s="440" t="s">
        <v>2714</v>
      </c>
      <c r="F228" s="441" t="s">
        <v>5836</v>
      </c>
      <c r="G228" s="442">
        <v>10000</v>
      </c>
      <c r="H228" s="442"/>
      <c r="I228" s="443">
        <v>45</v>
      </c>
      <c r="J228" s="439">
        <v>495</v>
      </c>
      <c r="K228" s="439">
        <v>5</v>
      </c>
      <c r="L228" s="440" t="s">
        <v>5806</v>
      </c>
    </row>
    <row r="229" spans="1:12" ht="14" x14ac:dyDescent="0.3">
      <c r="A229" s="439" t="str">
        <f t="shared" si="3"/>
        <v>RO6500</v>
      </c>
      <c r="B229" s="439">
        <v>500</v>
      </c>
      <c r="C229" s="439">
        <v>7</v>
      </c>
      <c r="D229" s="439">
        <v>226</v>
      </c>
      <c r="E229" s="440" t="s">
        <v>2714</v>
      </c>
      <c r="F229" s="441" t="s">
        <v>5837</v>
      </c>
      <c r="G229" s="442">
        <v>10000</v>
      </c>
      <c r="H229" s="442"/>
      <c r="I229" s="443">
        <v>45</v>
      </c>
      <c r="J229" s="439">
        <v>500</v>
      </c>
      <c r="K229" s="439">
        <v>7</v>
      </c>
      <c r="L229" s="440" t="s">
        <v>5806</v>
      </c>
    </row>
    <row r="230" spans="1:12" ht="14" x14ac:dyDescent="0.3">
      <c r="A230" s="444" t="str">
        <f t="shared" si="3"/>
        <v>RSX190</v>
      </c>
      <c r="B230" s="444">
        <v>190</v>
      </c>
      <c r="C230" s="444">
        <v>7</v>
      </c>
      <c r="D230" s="444">
        <v>227</v>
      </c>
      <c r="E230" s="445" t="s">
        <v>2352</v>
      </c>
      <c r="F230" s="446" t="s">
        <v>5838</v>
      </c>
      <c r="G230" s="447">
        <v>2000</v>
      </c>
      <c r="H230" s="447"/>
      <c r="I230" s="448">
        <v>12</v>
      </c>
      <c r="J230" s="444">
        <v>190</v>
      </c>
      <c r="K230" s="444">
        <v>7</v>
      </c>
      <c r="L230" s="445" t="s">
        <v>5839</v>
      </c>
    </row>
    <row r="231" spans="1:12" ht="14" x14ac:dyDescent="0.3">
      <c r="A231" s="444" t="str">
        <f t="shared" si="3"/>
        <v>RSX290</v>
      </c>
      <c r="B231" s="444">
        <v>290</v>
      </c>
      <c r="C231" s="444">
        <v>7</v>
      </c>
      <c r="D231" s="444">
        <v>228</v>
      </c>
      <c r="E231" s="445" t="s">
        <v>2352</v>
      </c>
      <c r="F231" s="446" t="s">
        <v>5840</v>
      </c>
      <c r="G231" s="447">
        <v>2000</v>
      </c>
      <c r="H231" s="447"/>
      <c r="I231" s="448">
        <v>25</v>
      </c>
      <c r="J231" s="444">
        <v>290</v>
      </c>
      <c r="K231" s="444">
        <v>7</v>
      </c>
      <c r="L231" s="445" t="s">
        <v>5839</v>
      </c>
    </row>
    <row r="232" spans="1:12" ht="14" x14ac:dyDescent="0.3">
      <c r="A232" s="444" t="str">
        <f t="shared" si="3"/>
        <v>RSX330</v>
      </c>
      <c r="B232" s="444">
        <v>330</v>
      </c>
      <c r="C232" s="444">
        <v>7</v>
      </c>
      <c r="D232" s="444">
        <v>229</v>
      </c>
      <c r="E232" s="445" t="s">
        <v>2352</v>
      </c>
      <c r="F232" s="446" t="s">
        <v>5841</v>
      </c>
      <c r="G232" s="447">
        <v>2000</v>
      </c>
      <c r="H232" s="447"/>
      <c r="I232" s="448">
        <v>25</v>
      </c>
      <c r="J232" s="444">
        <v>330</v>
      </c>
      <c r="K232" s="444">
        <v>7</v>
      </c>
      <c r="L232" s="445" t="s">
        <v>5839</v>
      </c>
    </row>
    <row r="233" spans="1:12" ht="14" x14ac:dyDescent="0.3">
      <c r="A233" s="444" t="str">
        <f t="shared" si="3"/>
        <v>RSX360</v>
      </c>
      <c r="B233" s="444">
        <v>360</v>
      </c>
      <c r="C233" s="444">
        <v>7</v>
      </c>
      <c r="D233" s="444">
        <v>230</v>
      </c>
      <c r="E233" s="445" t="s">
        <v>2352</v>
      </c>
      <c r="F233" s="446" t="s">
        <v>5842</v>
      </c>
      <c r="G233" s="447">
        <v>2000</v>
      </c>
      <c r="H233" s="447"/>
      <c r="I233" s="448">
        <v>25</v>
      </c>
      <c r="J233" s="444">
        <v>360</v>
      </c>
      <c r="K233" s="444">
        <v>7</v>
      </c>
      <c r="L233" s="445" t="s">
        <v>5839</v>
      </c>
    </row>
    <row r="234" spans="1:12" ht="14" x14ac:dyDescent="0.3">
      <c r="A234" s="444" t="str">
        <f t="shared" si="3"/>
        <v>RSX390</v>
      </c>
      <c r="B234" s="444">
        <v>390</v>
      </c>
      <c r="C234" s="444">
        <v>7</v>
      </c>
      <c r="D234" s="444">
        <v>231</v>
      </c>
      <c r="E234" s="445" t="s">
        <v>2352</v>
      </c>
      <c r="F234" s="446" t="s">
        <v>5843</v>
      </c>
      <c r="G234" s="447">
        <v>2000</v>
      </c>
      <c r="H234" s="447"/>
      <c r="I234" s="448">
        <v>25</v>
      </c>
      <c r="J234" s="444">
        <v>390</v>
      </c>
      <c r="K234" s="444">
        <v>7</v>
      </c>
      <c r="L234" s="445" t="s">
        <v>5839</v>
      </c>
    </row>
    <row r="235" spans="1:12" ht="14" x14ac:dyDescent="0.3">
      <c r="A235" s="444" t="str">
        <f t="shared" si="3"/>
        <v>RSX490</v>
      </c>
      <c r="B235" s="444">
        <v>490</v>
      </c>
      <c r="C235" s="444">
        <v>7</v>
      </c>
      <c r="D235" s="444">
        <v>232</v>
      </c>
      <c r="E235" s="445" t="s">
        <v>2352</v>
      </c>
      <c r="F235" s="446" t="s">
        <v>5844</v>
      </c>
      <c r="G235" s="447">
        <v>2000</v>
      </c>
      <c r="H235" s="447"/>
      <c r="I235" s="448">
        <v>25</v>
      </c>
      <c r="J235" s="444">
        <v>490</v>
      </c>
      <c r="K235" s="444">
        <v>7</v>
      </c>
      <c r="L235" s="445" t="s">
        <v>5839</v>
      </c>
    </row>
    <row r="236" spans="1:12" ht="14" x14ac:dyDescent="0.3">
      <c r="A236" s="444" t="str">
        <f t="shared" si="3"/>
        <v>RSX509</v>
      </c>
      <c r="B236" s="444">
        <v>509</v>
      </c>
      <c r="C236" s="444">
        <v>7</v>
      </c>
      <c r="D236" s="444">
        <v>233</v>
      </c>
      <c r="E236" s="445" t="s">
        <v>2352</v>
      </c>
      <c r="F236" s="446" t="s">
        <v>5845</v>
      </c>
      <c r="G236" s="447">
        <v>2000</v>
      </c>
      <c r="H236" s="447"/>
      <c r="I236" s="448">
        <v>25</v>
      </c>
      <c r="J236" s="444">
        <v>509</v>
      </c>
      <c r="K236" s="444">
        <v>7</v>
      </c>
      <c r="L236" s="445" t="s">
        <v>5839</v>
      </c>
    </row>
    <row r="237" spans="1:12" ht="14" x14ac:dyDescent="0.3">
      <c r="A237" s="444" t="str">
        <f t="shared" si="3"/>
        <v>RSX590</v>
      </c>
      <c r="B237" s="444">
        <v>590</v>
      </c>
      <c r="C237" s="444">
        <v>7</v>
      </c>
      <c r="D237" s="444">
        <v>234</v>
      </c>
      <c r="E237" s="445" t="s">
        <v>2352</v>
      </c>
      <c r="F237" s="446" t="s">
        <v>5846</v>
      </c>
      <c r="G237" s="447">
        <v>2000</v>
      </c>
      <c r="H237" s="447"/>
      <c r="I237" s="448">
        <v>25</v>
      </c>
      <c r="J237" s="444">
        <v>590</v>
      </c>
      <c r="K237" s="444">
        <v>7</v>
      </c>
      <c r="L237" s="445" t="s">
        <v>5839</v>
      </c>
    </row>
    <row r="238" spans="1:12" ht="14" x14ac:dyDescent="0.3">
      <c r="A238" s="444" t="str">
        <f t="shared" si="3"/>
        <v>RSX599</v>
      </c>
      <c r="B238" s="444">
        <v>599</v>
      </c>
      <c r="C238" s="444">
        <v>7</v>
      </c>
      <c r="D238" s="444">
        <v>235</v>
      </c>
      <c r="E238" s="445" t="s">
        <v>2352</v>
      </c>
      <c r="F238" s="446" t="s">
        <v>5847</v>
      </c>
      <c r="G238" s="447">
        <v>3000</v>
      </c>
      <c r="H238" s="447"/>
      <c r="I238" s="448">
        <v>25</v>
      </c>
      <c r="J238" s="444">
        <v>599</v>
      </c>
      <c r="K238" s="444">
        <v>7</v>
      </c>
      <c r="L238" s="445" t="s">
        <v>5839</v>
      </c>
    </row>
    <row r="239" spans="1:12" ht="14" x14ac:dyDescent="0.3">
      <c r="A239" s="444" t="str">
        <f t="shared" si="3"/>
        <v>RSX601</v>
      </c>
      <c r="B239" s="444">
        <v>601</v>
      </c>
      <c r="C239" s="444">
        <v>7</v>
      </c>
      <c r="D239" s="444">
        <v>236</v>
      </c>
      <c r="E239" s="445" t="s">
        <v>2352</v>
      </c>
      <c r="F239" s="446" t="s">
        <v>5848</v>
      </c>
      <c r="G239" s="447">
        <v>2000</v>
      </c>
      <c r="H239" s="447"/>
      <c r="I239" s="448">
        <v>25</v>
      </c>
      <c r="J239" s="444">
        <v>601</v>
      </c>
      <c r="K239" s="444">
        <v>7</v>
      </c>
      <c r="L239" s="445" t="s">
        <v>5839</v>
      </c>
    </row>
    <row r="240" spans="1:12" ht="14" x14ac:dyDescent="0.3">
      <c r="A240" s="444" t="str">
        <f t="shared" si="3"/>
        <v>RSX602</v>
      </c>
      <c r="B240" s="444">
        <v>602</v>
      </c>
      <c r="C240" s="444">
        <v>7</v>
      </c>
      <c r="D240" s="444">
        <v>237</v>
      </c>
      <c r="E240" s="445" t="s">
        <v>2352</v>
      </c>
      <c r="F240" s="446" t="s">
        <v>5849</v>
      </c>
      <c r="G240" s="447">
        <v>2000</v>
      </c>
      <c r="H240" s="447"/>
      <c r="I240" s="448">
        <v>25</v>
      </c>
      <c r="J240" s="444">
        <v>602</v>
      </c>
      <c r="K240" s="444">
        <v>7</v>
      </c>
      <c r="L240" s="445" t="s">
        <v>5839</v>
      </c>
    </row>
    <row r="241" spans="1:12" ht="14" x14ac:dyDescent="0.3">
      <c r="A241" s="444" t="str">
        <f t="shared" si="3"/>
        <v>RSX690</v>
      </c>
      <c r="B241" s="444">
        <v>690</v>
      </c>
      <c r="C241" s="444">
        <v>7</v>
      </c>
      <c r="D241" s="444">
        <v>238</v>
      </c>
      <c r="E241" s="445" t="s">
        <v>2352</v>
      </c>
      <c r="F241" s="446" t="s">
        <v>5850</v>
      </c>
      <c r="G241" s="447">
        <v>3000</v>
      </c>
      <c r="H241" s="447"/>
      <c r="I241" s="448">
        <v>30</v>
      </c>
      <c r="J241" s="444">
        <v>690</v>
      </c>
      <c r="K241" s="444">
        <v>7</v>
      </c>
      <c r="L241" s="445" t="s">
        <v>5839</v>
      </c>
    </row>
    <row r="242" spans="1:12" ht="14" x14ac:dyDescent="0.3">
      <c r="A242" s="444" t="str">
        <f t="shared" si="3"/>
        <v>RSX698</v>
      </c>
      <c r="B242" s="444">
        <v>698</v>
      </c>
      <c r="C242" s="444">
        <v>7</v>
      </c>
      <c r="D242" s="444">
        <v>239</v>
      </c>
      <c r="E242" s="445" t="s">
        <v>2352</v>
      </c>
      <c r="F242" s="446" t="s">
        <v>5851</v>
      </c>
      <c r="G242" s="447">
        <v>5000</v>
      </c>
      <c r="H242" s="447"/>
      <c r="I242" s="448">
        <v>30</v>
      </c>
      <c r="J242" s="444">
        <v>698</v>
      </c>
      <c r="K242" s="444">
        <v>7</v>
      </c>
      <c r="L242" s="445" t="s">
        <v>5839</v>
      </c>
    </row>
    <row r="243" spans="1:12" ht="14" x14ac:dyDescent="0.3">
      <c r="A243" s="444" t="str">
        <f t="shared" si="3"/>
        <v>RSX699</v>
      </c>
      <c r="B243" s="444">
        <v>699</v>
      </c>
      <c r="C243" s="444">
        <v>7</v>
      </c>
      <c r="D243" s="444">
        <v>240</v>
      </c>
      <c r="E243" s="445" t="s">
        <v>2352</v>
      </c>
      <c r="F243" s="446" t="s">
        <v>5852</v>
      </c>
      <c r="G243" s="447">
        <v>10000</v>
      </c>
      <c r="H243" s="447"/>
      <c r="I243" s="448">
        <v>40</v>
      </c>
      <c r="J243" s="444">
        <v>699</v>
      </c>
      <c r="K243" s="444">
        <v>7</v>
      </c>
      <c r="L243" s="445" t="s">
        <v>5839</v>
      </c>
    </row>
    <row r="244" spans="1:12" ht="14" x14ac:dyDescent="0.3">
      <c r="A244" s="434" t="str">
        <f t="shared" si="3"/>
        <v>RS190</v>
      </c>
      <c r="B244" s="434">
        <v>190</v>
      </c>
      <c r="C244" s="434">
        <v>1</v>
      </c>
      <c r="D244" s="434">
        <v>241</v>
      </c>
      <c r="E244" s="435" t="s">
        <v>2232</v>
      </c>
      <c r="F244" s="436" t="s">
        <v>5838</v>
      </c>
      <c r="G244" s="437">
        <v>2000</v>
      </c>
      <c r="H244" s="437"/>
      <c r="I244" s="438">
        <v>12</v>
      </c>
      <c r="J244" s="434">
        <v>190</v>
      </c>
      <c r="K244" s="434">
        <v>1</v>
      </c>
      <c r="L244" s="435" t="s">
        <v>5853</v>
      </c>
    </row>
    <row r="245" spans="1:12" ht="14" x14ac:dyDescent="0.3">
      <c r="A245" s="434" t="str">
        <f t="shared" si="3"/>
        <v>RS290</v>
      </c>
      <c r="B245" s="434">
        <v>290</v>
      </c>
      <c r="C245" s="434">
        <v>1</v>
      </c>
      <c r="D245" s="434">
        <v>242</v>
      </c>
      <c r="E245" s="435" t="s">
        <v>2232</v>
      </c>
      <c r="F245" s="436" t="s">
        <v>5840</v>
      </c>
      <c r="G245" s="437">
        <v>2000</v>
      </c>
      <c r="H245" s="437"/>
      <c r="I245" s="438">
        <v>25</v>
      </c>
      <c r="J245" s="434">
        <v>290</v>
      </c>
      <c r="K245" s="434">
        <v>1</v>
      </c>
      <c r="L245" s="435" t="s">
        <v>5853</v>
      </c>
    </row>
    <row r="246" spans="1:12" ht="14" x14ac:dyDescent="0.3">
      <c r="A246" s="434" t="str">
        <f t="shared" si="3"/>
        <v>RS330</v>
      </c>
      <c r="B246" s="434">
        <v>330</v>
      </c>
      <c r="C246" s="434">
        <v>1</v>
      </c>
      <c r="D246" s="434">
        <v>243</v>
      </c>
      <c r="E246" s="435" t="s">
        <v>2232</v>
      </c>
      <c r="F246" s="436" t="s">
        <v>5841</v>
      </c>
      <c r="G246" s="437">
        <v>2000</v>
      </c>
      <c r="H246" s="437"/>
      <c r="I246" s="438">
        <v>25</v>
      </c>
      <c r="J246" s="434">
        <v>330</v>
      </c>
      <c r="K246" s="434">
        <v>1</v>
      </c>
      <c r="L246" s="435" t="s">
        <v>5853</v>
      </c>
    </row>
    <row r="247" spans="1:12" ht="14" x14ac:dyDescent="0.3">
      <c r="A247" s="434" t="str">
        <f t="shared" si="3"/>
        <v>RS360</v>
      </c>
      <c r="B247" s="434">
        <v>360</v>
      </c>
      <c r="C247" s="434">
        <v>1</v>
      </c>
      <c r="D247" s="434">
        <v>244</v>
      </c>
      <c r="E247" s="435" t="s">
        <v>2232</v>
      </c>
      <c r="F247" s="436" t="s">
        <v>5842</v>
      </c>
      <c r="G247" s="437">
        <v>2000</v>
      </c>
      <c r="H247" s="437"/>
      <c r="I247" s="438">
        <v>25</v>
      </c>
      <c r="J247" s="434">
        <v>360</v>
      </c>
      <c r="K247" s="434">
        <v>1</v>
      </c>
      <c r="L247" s="435" t="s">
        <v>5853</v>
      </c>
    </row>
    <row r="248" spans="1:12" ht="14" x14ac:dyDescent="0.3">
      <c r="A248" s="434" t="str">
        <f t="shared" si="3"/>
        <v>RS390</v>
      </c>
      <c r="B248" s="434">
        <v>390</v>
      </c>
      <c r="C248" s="434">
        <v>1</v>
      </c>
      <c r="D248" s="434">
        <v>245</v>
      </c>
      <c r="E248" s="435" t="s">
        <v>2232</v>
      </c>
      <c r="F248" s="436" t="s">
        <v>5843</v>
      </c>
      <c r="G248" s="437">
        <v>2000</v>
      </c>
      <c r="H248" s="437"/>
      <c r="I248" s="438">
        <v>25</v>
      </c>
      <c r="J248" s="434">
        <v>390</v>
      </c>
      <c r="K248" s="434">
        <v>1</v>
      </c>
      <c r="L248" s="435" t="s">
        <v>5853</v>
      </c>
    </row>
    <row r="249" spans="1:12" ht="14" x14ac:dyDescent="0.3">
      <c r="A249" s="434" t="str">
        <f t="shared" si="3"/>
        <v>RS490</v>
      </c>
      <c r="B249" s="434">
        <v>490</v>
      </c>
      <c r="C249" s="434">
        <v>1</v>
      </c>
      <c r="D249" s="434">
        <v>246</v>
      </c>
      <c r="E249" s="435" t="s">
        <v>2232</v>
      </c>
      <c r="F249" s="436" t="s">
        <v>5844</v>
      </c>
      <c r="G249" s="437">
        <v>2000</v>
      </c>
      <c r="H249" s="437"/>
      <c r="I249" s="438">
        <v>25</v>
      </c>
      <c r="J249" s="434">
        <v>490</v>
      </c>
      <c r="K249" s="434">
        <v>1</v>
      </c>
      <c r="L249" s="435" t="s">
        <v>5853</v>
      </c>
    </row>
    <row r="250" spans="1:12" ht="14" x14ac:dyDescent="0.3">
      <c r="A250" s="434" t="str">
        <f t="shared" si="3"/>
        <v>RS509</v>
      </c>
      <c r="B250" s="434">
        <v>509</v>
      </c>
      <c r="C250" s="434">
        <v>1</v>
      </c>
      <c r="D250" s="434">
        <v>247</v>
      </c>
      <c r="E250" s="435" t="s">
        <v>2232</v>
      </c>
      <c r="F250" s="436" t="s">
        <v>5845</v>
      </c>
      <c r="G250" s="437">
        <v>2000</v>
      </c>
      <c r="H250" s="437"/>
      <c r="I250" s="438">
        <v>25</v>
      </c>
      <c r="J250" s="434">
        <v>509</v>
      </c>
      <c r="K250" s="434">
        <v>1</v>
      </c>
      <c r="L250" s="435" t="s">
        <v>5853</v>
      </c>
    </row>
    <row r="251" spans="1:12" ht="14" x14ac:dyDescent="0.3">
      <c r="A251" s="434" t="str">
        <f t="shared" si="3"/>
        <v>RS590</v>
      </c>
      <c r="B251" s="434">
        <v>590</v>
      </c>
      <c r="C251" s="434">
        <v>1</v>
      </c>
      <c r="D251" s="434">
        <v>248</v>
      </c>
      <c r="E251" s="435" t="s">
        <v>2232</v>
      </c>
      <c r="F251" s="436" t="s">
        <v>5846</v>
      </c>
      <c r="G251" s="437">
        <v>2000</v>
      </c>
      <c r="H251" s="437"/>
      <c r="I251" s="438">
        <v>25</v>
      </c>
      <c r="J251" s="434">
        <v>590</v>
      </c>
      <c r="K251" s="434">
        <v>1</v>
      </c>
      <c r="L251" s="435" t="s">
        <v>5853</v>
      </c>
    </row>
    <row r="252" spans="1:12" ht="14" x14ac:dyDescent="0.3">
      <c r="A252" s="434" t="str">
        <f t="shared" si="3"/>
        <v>RS599</v>
      </c>
      <c r="B252" s="434">
        <v>599</v>
      </c>
      <c r="C252" s="434">
        <v>1</v>
      </c>
      <c r="D252" s="434">
        <v>249</v>
      </c>
      <c r="E252" s="435" t="s">
        <v>2232</v>
      </c>
      <c r="F252" s="436" t="s">
        <v>5847</v>
      </c>
      <c r="G252" s="437">
        <v>3000</v>
      </c>
      <c r="H252" s="437"/>
      <c r="I252" s="438">
        <v>25</v>
      </c>
      <c r="J252" s="434">
        <v>599</v>
      </c>
      <c r="K252" s="434">
        <v>1</v>
      </c>
      <c r="L252" s="435" t="s">
        <v>5853</v>
      </c>
    </row>
    <row r="253" spans="1:12" ht="14" x14ac:dyDescent="0.3">
      <c r="A253" s="434" t="str">
        <f t="shared" si="3"/>
        <v>RS601</v>
      </c>
      <c r="B253" s="434">
        <v>601</v>
      </c>
      <c r="C253" s="434">
        <v>1</v>
      </c>
      <c r="D253" s="434">
        <v>250</v>
      </c>
      <c r="E253" s="435" t="s">
        <v>2232</v>
      </c>
      <c r="F253" s="436" t="s">
        <v>5848</v>
      </c>
      <c r="G253" s="437">
        <v>2000</v>
      </c>
      <c r="H253" s="437"/>
      <c r="I253" s="438">
        <v>25</v>
      </c>
      <c r="J253" s="434">
        <v>601</v>
      </c>
      <c r="K253" s="434">
        <v>1</v>
      </c>
      <c r="L253" s="435" t="s">
        <v>5853</v>
      </c>
    </row>
    <row r="254" spans="1:12" ht="14" x14ac:dyDescent="0.3">
      <c r="A254" s="434" t="str">
        <f t="shared" si="3"/>
        <v>RS602</v>
      </c>
      <c r="B254" s="434">
        <v>602</v>
      </c>
      <c r="C254" s="434">
        <v>1</v>
      </c>
      <c r="D254" s="434">
        <v>251</v>
      </c>
      <c r="E254" s="435" t="s">
        <v>2232</v>
      </c>
      <c r="F254" s="436" t="s">
        <v>5849</v>
      </c>
      <c r="G254" s="437">
        <v>2000</v>
      </c>
      <c r="H254" s="437"/>
      <c r="I254" s="438">
        <v>25</v>
      </c>
      <c r="J254" s="434">
        <v>602</v>
      </c>
      <c r="K254" s="434">
        <v>1</v>
      </c>
      <c r="L254" s="435" t="s">
        <v>5853</v>
      </c>
    </row>
    <row r="255" spans="1:12" ht="14" x14ac:dyDescent="0.3">
      <c r="A255" s="434" t="str">
        <f t="shared" si="3"/>
        <v>RS690</v>
      </c>
      <c r="B255" s="434">
        <v>690</v>
      </c>
      <c r="C255" s="434">
        <v>1</v>
      </c>
      <c r="D255" s="434">
        <v>252</v>
      </c>
      <c r="E255" s="435" t="s">
        <v>2232</v>
      </c>
      <c r="F255" s="436" t="s">
        <v>5850</v>
      </c>
      <c r="G255" s="437">
        <v>3000</v>
      </c>
      <c r="H255" s="437"/>
      <c r="I255" s="438">
        <v>30</v>
      </c>
      <c r="J255" s="434">
        <v>690</v>
      </c>
      <c r="K255" s="434">
        <v>1</v>
      </c>
      <c r="L255" s="435" t="s">
        <v>5853</v>
      </c>
    </row>
    <row r="256" spans="1:12" ht="14" x14ac:dyDescent="0.3">
      <c r="A256" s="434" t="str">
        <f t="shared" si="3"/>
        <v>RS698</v>
      </c>
      <c r="B256" s="434">
        <v>698</v>
      </c>
      <c r="C256" s="434">
        <v>1</v>
      </c>
      <c r="D256" s="434">
        <v>253</v>
      </c>
      <c r="E256" s="435" t="s">
        <v>2232</v>
      </c>
      <c r="F256" s="436" t="s">
        <v>5851</v>
      </c>
      <c r="G256" s="437">
        <v>5000</v>
      </c>
      <c r="H256" s="437"/>
      <c r="I256" s="438">
        <v>30</v>
      </c>
      <c r="J256" s="434">
        <v>698</v>
      </c>
      <c r="K256" s="434">
        <v>1</v>
      </c>
      <c r="L256" s="435" t="s">
        <v>5853</v>
      </c>
    </row>
    <row r="257" spans="1:12" ht="14" x14ac:dyDescent="0.3">
      <c r="A257" s="434" t="str">
        <f t="shared" si="3"/>
        <v>RS699</v>
      </c>
      <c r="B257" s="434">
        <v>699</v>
      </c>
      <c r="C257" s="434">
        <v>1</v>
      </c>
      <c r="D257" s="434">
        <v>254</v>
      </c>
      <c r="E257" s="435" t="s">
        <v>2232</v>
      </c>
      <c r="F257" s="436" t="s">
        <v>5854</v>
      </c>
      <c r="G257" s="437">
        <v>10000</v>
      </c>
      <c r="H257" s="437"/>
      <c r="I257" s="438">
        <v>40</v>
      </c>
      <c r="J257" s="434">
        <v>699</v>
      </c>
      <c r="K257" s="434">
        <v>1</v>
      </c>
      <c r="L257" s="435" t="s">
        <v>5853</v>
      </c>
    </row>
    <row r="258" spans="1:12" ht="14" x14ac:dyDescent="0.3">
      <c r="A258" s="434" t="str">
        <f t="shared" si="3"/>
        <v>RS711</v>
      </c>
      <c r="B258" s="434">
        <v>711</v>
      </c>
      <c r="C258" s="434">
        <v>1</v>
      </c>
      <c r="D258" s="434">
        <v>255</v>
      </c>
      <c r="E258" s="435" t="s">
        <v>2232</v>
      </c>
      <c r="F258" s="436" t="s">
        <v>5855</v>
      </c>
      <c r="G258" s="437">
        <v>4000</v>
      </c>
      <c r="H258" s="437"/>
      <c r="I258" s="438">
        <v>40</v>
      </c>
      <c r="J258" s="434">
        <v>711</v>
      </c>
      <c r="K258" s="434">
        <v>1</v>
      </c>
      <c r="L258" s="435" t="s">
        <v>5853</v>
      </c>
    </row>
    <row r="259" spans="1:12" ht="14" x14ac:dyDescent="0.3">
      <c r="A259" s="434" t="str">
        <f t="shared" si="3"/>
        <v>RS712</v>
      </c>
      <c r="B259" s="434">
        <v>712</v>
      </c>
      <c r="C259" s="434">
        <v>1</v>
      </c>
      <c r="D259" s="434">
        <v>256</v>
      </c>
      <c r="E259" s="435" t="s">
        <v>2232</v>
      </c>
      <c r="F259" s="436" t="s">
        <v>5856</v>
      </c>
      <c r="G259" s="437">
        <v>8000</v>
      </c>
      <c r="H259" s="437"/>
      <c r="I259" s="438">
        <v>40</v>
      </c>
      <c r="J259" s="434">
        <v>712</v>
      </c>
      <c r="K259" s="434">
        <v>1</v>
      </c>
      <c r="L259" s="435" t="s">
        <v>5853</v>
      </c>
    </row>
    <row r="260" spans="1:12" ht="14" x14ac:dyDescent="0.3">
      <c r="A260" s="434" t="str">
        <f t="shared" si="3"/>
        <v>RS713</v>
      </c>
      <c r="B260" s="434">
        <v>713</v>
      </c>
      <c r="C260" s="434">
        <v>1</v>
      </c>
      <c r="D260" s="434">
        <v>257</v>
      </c>
      <c r="E260" s="435" t="s">
        <v>2232</v>
      </c>
      <c r="F260" s="436" t="s">
        <v>5857</v>
      </c>
      <c r="G260" s="437">
        <v>4000</v>
      </c>
      <c r="H260" s="437"/>
      <c r="I260" s="438">
        <v>40</v>
      </c>
      <c r="J260" s="434">
        <v>713</v>
      </c>
      <c r="K260" s="434">
        <v>1</v>
      </c>
      <c r="L260" s="435" t="s">
        <v>5853</v>
      </c>
    </row>
    <row r="261" spans="1:12" ht="14" x14ac:dyDescent="0.3">
      <c r="A261" s="434" t="str">
        <f t="shared" ref="A261:A327" si="4">E261&amp;B261</f>
        <v>RS714</v>
      </c>
      <c r="B261" s="434">
        <v>714</v>
      </c>
      <c r="C261" s="434">
        <v>1</v>
      </c>
      <c r="D261" s="434">
        <v>258</v>
      </c>
      <c r="E261" s="435" t="s">
        <v>2232</v>
      </c>
      <c r="F261" s="436" t="s">
        <v>5858</v>
      </c>
      <c r="G261" s="437">
        <v>4000</v>
      </c>
      <c r="H261" s="437"/>
      <c r="I261" s="438">
        <v>40</v>
      </c>
      <c r="J261" s="434">
        <v>714</v>
      </c>
      <c r="K261" s="434">
        <v>1</v>
      </c>
      <c r="L261" s="435" t="s">
        <v>5853</v>
      </c>
    </row>
    <row r="262" spans="1:12" ht="14" x14ac:dyDescent="0.3">
      <c r="A262" s="434" t="str">
        <f t="shared" si="4"/>
        <v>RS718</v>
      </c>
      <c r="B262" s="434">
        <v>718</v>
      </c>
      <c r="C262" s="434">
        <v>1</v>
      </c>
      <c r="D262" s="434">
        <v>259</v>
      </c>
      <c r="E262" s="435" t="s">
        <v>2232</v>
      </c>
      <c r="F262" s="436" t="s">
        <v>5859</v>
      </c>
      <c r="G262" s="437">
        <v>4000</v>
      </c>
      <c r="H262" s="437"/>
      <c r="I262" s="438">
        <v>40</v>
      </c>
      <c r="J262" s="434">
        <v>718</v>
      </c>
      <c r="K262" s="434">
        <v>1</v>
      </c>
      <c r="L262" s="435" t="s">
        <v>5853</v>
      </c>
    </row>
    <row r="263" spans="1:12" ht="14" x14ac:dyDescent="0.3">
      <c r="A263" s="434" t="str">
        <f t="shared" si="4"/>
        <v>RS721</v>
      </c>
      <c r="B263" s="434">
        <v>721</v>
      </c>
      <c r="C263" s="434">
        <v>1</v>
      </c>
      <c r="D263" s="434">
        <v>260</v>
      </c>
      <c r="E263" s="435" t="s">
        <v>2232</v>
      </c>
      <c r="F263" s="436" t="s">
        <v>5860</v>
      </c>
      <c r="G263" s="437">
        <v>4000</v>
      </c>
      <c r="H263" s="437"/>
      <c r="I263" s="438">
        <v>40</v>
      </c>
      <c r="J263" s="434">
        <v>721</v>
      </c>
      <c r="K263" s="434">
        <v>1</v>
      </c>
      <c r="L263" s="435" t="s">
        <v>5853</v>
      </c>
    </row>
    <row r="264" spans="1:12" ht="14" x14ac:dyDescent="0.3">
      <c r="A264" s="434" t="str">
        <f t="shared" si="4"/>
        <v>RS722</v>
      </c>
      <c r="B264" s="434">
        <v>722</v>
      </c>
      <c r="C264" s="434">
        <v>1</v>
      </c>
      <c r="D264" s="434">
        <v>261</v>
      </c>
      <c r="E264" s="435" t="s">
        <v>2232</v>
      </c>
      <c r="F264" s="436" t="s">
        <v>5861</v>
      </c>
      <c r="G264" s="437">
        <v>12000</v>
      </c>
      <c r="H264" s="437"/>
      <c r="I264" s="438">
        <v>40</v>
      </c>
      <c r="J264" s="434">
        <v>722</v>
      </c>
      <c r="K264" s="434">
        <v>1</v>
      </c>
      <c r="L264" s="435" t="s">
        <v>5853</v>
      </c>
    </row>
    <row r="265" spans="1:12" ht="14" x14ac:dyDescent="0.3">
      <c r="A265" s="434" t="str">
        <f t="shared" si="4"/>
        <v>RS724</v>
      </c>
      <c r="B265" s="434">
        <v>724</v>
      </c>
      <c r="C265" s="434">
        <v>1</v>
      </c>
      <c r="D265" s="434">
        <v>262</v>
      </c>
      <c r="E265" s="435" t="s">
        <v>2232</v>
      </c>
      <c r="F265" s="436" t="s">
        <v>5862</v>
      </c>
      <c r="G265" s="437">
        <v>12000</v>
      </c>
      <c r="H265" s="437"/>
      <c r="I265" s="438">
        <v>50</v>
      </c>
      <c r="J265" s="434">
        <v>724</v>
      </c>
      <c r="K265" s="434">
        <v>1</v>
      </c>
      <c r="L265" s="435" t="s">
        <v>5853</v>
      </c>
    </row>
    <row r="266" spans="1:12" ht="14" x14ac:dyDescent="0.3">
      <c r="A266" s="434" t="str">
        <f t="shared" si="4"/>
        <v>RS727</v>
      </c>
      <c r="B266" s="434">
        <v>727</v>
      </c>
      <c r="C266" s="434">
        <v>1</v>
      </c>
      <c r="D266" s="434">
        <v>263</v>
      </c>
      <c r="E266" s="435" t="s">
        <v>2232</v>
      </c>
      <c r="F266" s="436" t="s">
        <v>5863</v>
      </c>
      <c r="G266" s="437">
        <v>4000</v>
      </c>
      <c r="H266" s="437"/>
      <c r="I266" s="438">
        <v>40</v>
      </c>
      <c r="J266" s="434">
        <v>727</v>
      </c>
      <c r="K266" s="434">
        <v>1</v>
      </c>
      <c r="L266" s="435" t="s">
        <v>5853</v>
      </c>
    </row>
    <row r="267" spans="1:12" ht="14" x14ac:dyDescent="0.3">
      <c r="A267" s="434" t="str">
        <f t="shared" si="4"/>
        <v>RS728</v>
      </c>
      <c r="B267" s="434">
        <v>728</v>
      </c>
      <c r="C267" s="434">
        <v>1</v>
      </c>
      <c r="D267" s="434">
        <v>264</v>
      </c>
      <c r="E267" s="435" t="s">
        <v>2232</v>
      </c>
      <c r="F267" s="436" t="s">
        <v>5864</v>
      </c>
      <c r="G267" s="437">
        <v>8000</v>
      </c>
      <c r="H267" s="437"/>
      <c r="I267" s="438">
        <v>40</v>
      </c>
      <c r="J267" s="434">
        <v>728</v>
      </c>
      <c r="K267" s="434">
        <v>1</v>
      </c>
      <c r="L267" s="435" t="s">
        <v>5853</v>
      </c>
    </row>
    <row r="268" spans="1:12" ht="14" x14ac:dyDescent="0.3">
      <c r="A268" s="434" t="str">
        <f t="shared" si="4"/>
        <v>RS731</v>
      </c>
      <c r="B268" s="434">
        <v>731</v>
      </c>
      <c r="C268" s="434">
        <v>1</v>
      </c>
      <c r="D268" s="434">
        <v>265</v>
      </c>
      <c r="E268" s="435" t="s">
        <v>2232</v>
      </c>
      <c r="F268" s="436" t="s">
        <v>5865</v>
      </c>
      <c r="G268" s="437">
        <v>10000</v>
      </c>
      <c r="H268" s="437"/>
      <c r="I268" s="438">
        <v>40</v>
      </c>
      <c r="J268" s="434">
        <v>731</v>
      </c>
      <c r="K268" s="434">
        <v>1</v>
      </c>
      <c r="L268" s="435" t="s">
        <v>5853</v>
      </c>
    </row>
    <row r="269" spans="1:12" ht="14" x14ac:dyDescent="0.3">
      <c r="A269" s="434" t="str">
        <f t="shared" si="4"/>
        <v>RS732</v>
      </c>
      <c r="B269" s="434">
        <v>732</v>
      </c>
      <c r="C269" s="434">
        <v>1</v>
      </c>
      <c r="D269" s="434">
        <v>266</v>
      </c>
      <c r="E269" s="435" t="s">
        <v>2232</v>
      </c>
      <c r="F269" s="436" t="s">
        <v>5866</v>
      </c>
      <c r="G269" s="437">
        <v>4000</v>
      </c>
      <c r="H269" s="437"/>
      <c r="I269" s="438">
        <v>50</v>
      </c>
      <c r="J269" s="434">
        <v>732</v>
      </c>
      <c r="K269" s="434">
        <v>1</v>
      </c>
      <c r="L269" s="435" t="s">
        <v>5853</v>
      </c>
    </row>
    <row r="270" spans="1:12" ht="14" x14ac:dyDescent="0.3">
      <c r="A270" s="434" t="str">
        <f t="shared" si="4"/>
        <v>RS741</v>
      </c>
      <c r="B270" s="434">
        <v>741</v>
      </c>
      <c r="C270" s="434">
        <v>1</v>
      </c>
      <c r="D270" s="434">
        <v>267</v>
      </c>
      <c r="E270" s="435" t="s">
        <v>2232</v>
      </c>
      <c r="F270" s="436" t="s">
        <v>5867</v>
      </c>
      <c r="G270" s="437">
        <v>4000</v>
      </c>
      <c r="H270" s="437"/>
      <c r="I270" s="438">
        <v>40</v>
      </c>
      <c r="J270" s="434">
        <v>741</v>
      </c>
      <c r="K270" s="434">
        <v>1</v>
      </c>
      <c r="L270" s="435" t="s">
        <v>5853</v>
      </c>
    </row>
    <row r="271" spans="1:12" ht="14" x14ac:dyDescent="0.3">
      <c r="A271" s="434" t="str">
        <f t="shared" si="4"/>
        <v>RS742</v>
      </c>
      <c r="B271" s="434">
        <v>742</v>
      </c>
      <c r="C271" s="434">
        <v>1</v>
      </c>
      <c r="D271" s="434">
        <v>268</v>
      </c>
      <c r="E271" s="435" t="s">
        <v>2232</v>
      </c>
      <c r="F271" s="436" t="s">
        <v>5868</v>
      </c>
      <c r="G271" s="437">
        <v>12000</v>
      </c>
      <c r="H271" s="437"/>
      <c r="I271" s="438">
        <v>40</v>
      </c>
      <c r="J271" s="434">
        <v>742</v>
      </c>
      <c r="K271" s="434">
        <v>1</v>
      </c>
      <c r="L271" s="435" t="s">
        <v>5853</v>
      </c>
    </row>
    <row r="272" spans="1:12" ht="14" x14ac:dyDescent="0.3">
      <c r="A272" s="434" t="str">
        <f t="shared" si="4"/>
        <v>RS747</v>
      </c>
      <c r="B272" s="434">
        <v>747</v>
      </c>
      <c r="C272" s="434">
        <v>1</v>
      </c>
      <c r="D272" s="434">
        <v>269</v>
      </c>
      <c r="E272" s="435" t="s">
        <v>2232</v>
      </c>
      <c r="F272" s="436" t="s">
        <v>5869</v>
      </c>
      <c r="G272" s="437">
        <v>10000</v>
      </c>
      <c r="H272" s="437"/>
      <c r="I272" s="438">
        <v>40</v>
      </c>
      <c r="J272" s="434">
        <v>747</v>
      </c>
      <c r="K272" s="434">
        <v>1</v>
      </c>
      <c r="L272" s="435" t="s">
        <v>5853</v>
      </c>
    </row>
    <row r="273" spans="1:12" ht="14" x14ac:dyDescent="0.3">
      <c r="A273" s="434" t="str">
        <f t="shared" si="4"/>
        <v>RS748</v>
      </c>
      <c r="B273" s="434">
        <v>748</v>
      </c>
      <c r="C273" s="434">
        <v>1</v>
      </c>
      <c r="D273" s="434">
        <v>270</v>
      </c>
      <c r="E273" s="435" t="s">
        <v>2232</v>
      </c>
      <c r="F273" s="436" t="s">
        <v>5870</v>
      </c>
      <c r="G273" s="437">
        <v>4000</v>
      </c>
      <c r="H273" s="437"/>
      <c r="I273" s="438">
        <v>40</v>
      </c>
      <c r="J273" s="434">
        <v>748</v>
      </c>
      <c r="K273" s="434">
        <v>1</v>
      </c>
      <c r="L273" s="435" t="s">
        <v>5853</v>
      </c>
    </row>
    <row r="274" spans="1:12" ht="14" x14ac:dyDescent="0.3">
      <c r="A274" s="434" t="str">
        <f t="shared" si="4"/>
        <v>RS749</v>
      </c>
      <c r="B274" s="434">
        <v>749</v>
      </c>
      <c r="C274" s="434">
        <v>1</v>
      </c>
      <c r="D274" s="434">
        <v>271</v>
      </c>
      <c r="E274" s="435" t="s">
        <v>2232</v>
      </c>
      <c r="F274" s="436" t="s">
        <v>5871</v>
      </c>
      <c r="G274" s="437">
        <v>2000</v>
      </c>
      <c r="H274" s="437"/>
      <c r="I274" s="438">
        <v>15</v>
      </c>
      <c r="J274" s="434">
        <v>749</v>
      </c>
      <c r="K274" s="434">
        <v>1</v>
      </c>
      <c r="L274" s="435" t="s">
        <v>5853</v>
      </c>
    </row>
    <row r="275" spans="1:12" ht="14" x14ac:dyDescent="0.3">
      <c r="A275" s="434" t="str">
        <f t="shared" si="4"/>
        <v>RS759</v>
      </c>
      <c r="B275" s="434">
        <v>759</v>
      </c>
      <c r="C275" s="434">
        <v>1</v>
      </c>
      <c r="D275" s="434">
        <v>272</v>
      </c>
      <c r="E275" s="435" t="s">
        <v>2232</v>
      </c>
      <c r="F275" s="436" t="s">
        <v>5872</v>
      </c>
      <c r="G275" s="437">
        <v>4000</v>
      </c>
      <c r="H275" s="437"/>
      <c r="I275" s="438">
        <v>40</v>
      </c>
      <c r="J275" s="434">
        <v>759</v>
      </c>
      <c r="K275" s="434">
        <v>1</v>
      </c>
      <c r="L275" s="435" t="s">
        <v>5853</v>
      </c>
    </row>
    <row r="276" spans="1:12" ht="14" x14ac:dyDescent="0.3">
      <c r="A276" s="434" t="str">
        <f t="shared" si="4"/>
        <v>RS765</v>
      </c>
      <c r="B276" s="434">
        <v>765</v>
      </c>
      <c r="C276" s="434">
        <v>1</v>
      </c>
      <c r="D276" s="434">
        <v>273</v>
      </c>
      <c r="E276" s="435" t="s">
        <v>2232</v>
      </c>
      <c r="F276" s="436" t="s">
        <v>5873</v>
      </c>
      <c r="G276" s="437">
        <v>4000</v>
      </c>
      <c r="H276" s="437"/>
      <c r="I276" s="438">
        <v>40</v>
      </c>
      <c r="J276" s="434">
        <v>765</v>
      </c>
      <c r="K276" s="434">
        <v>1</v>
      </c>
      <c r="L276" s="435" t="s">
        <v>5853</v>
      </c>
    </row>
    <row r="277" spans="1:12" ht="14" x14ac:dyDescent="0.3">
      <c r="A277" s="434" t="str">
        <f t="shared" si="4"/>
        <v>RS766</v>
      </c>
      <c r="B277" s="434">
        <v>766</v>
      </c>
      <c r="C277" s="434">
        <v>1</v>
      </c>
      <c r="D277" s="434">
        <v>274</v>
      </c>
      <c r="E277" s="435" t="s">
        <v>2232</v>
      </c>
      <c r="F277" s="436" t="s">
        <v>5874</v>
      </c>
      <c r="G277" s="437">
        <v>4000</v>
      </c>
      <c r="H277" s="437"/>
      <c r="I277" s="438">
        <v>40</v>
      </c>
      <c r="J277" s="434">
        <v>766</v>
      </c>
      <c r="K277" s="434">
        <v>1</v>
      </c>
      <c r="L277" s="435" t="s">
        <v>5853</v>
      </c>
    </row>
    <row r="278" spans="1:12" ht="14" x14ac:dyDescent="0.3">
      <c r="A278" s="434" t="str">
        <f t="shared" si="4"/>
        <v>RS771</v>
      </c>
      <c r="B278" s="434">
        <v>771</v>
      </c>
      <c r="C278" s="434">
        <v>1</v>
      </c>
      <c r="D278" s="434">
        <v>275</v>
      </c>
      <c r="E278" s="435" t="s">
        <v>2232</v>
      </c>
      <c r="F278" s="436" t="s">
        <v>5875</v>
      </c>
      <c r="G278" s="437">
        <v>8000</v>
      </c>
      <c r="H278" s="437"/>
      <c r="I278" s="438">
        <v>40</v>
      </c>
      <c r="J278" s="434">
        <v>771</v>
      </c>
      <c r="K278" s="434">
        <v>1</v>
      </c>
      <c r="L278" s="435" t="s">
        <v>5853</v>
      </c>
    </row>
    <row r="279" spans="1:12" ht="14" x14ac:dyDescent="0.3">
      <c r="A279" s="434" t="str">
        <f t="shared" si="4"/>
        <v>RS773</v>
      </c>
      <c r="B279" s="434">
        <v>773</v>
      </c>
      <c r="C279" s="434">
        <v>1</v>
      </c>
      <c r="D279" s="434">
        <v>276</v>
      </c>
      <c r="E279" s="435" t="s">
        <v>2232</v>
      </c>
      <c r="F279" s="436" t="s">
        <v>5876</v>
      </c>
      <c r="G279" s="437">
        <v>10000</v>
      </c>
      <c r="H279" s="437"/>
      <c r="I279" s="438">
        <v>40</v>
      </c>
      <c r="J279" s="434">
        <v>773</v>
      </c>
      <c r="K279" s="434">
        <v>1</v>
      </c>
      <c r="L279" s="435" t="s">
        <v>5853</v>
      </c>
    </row>
    <row r="280" spans="1:12" ht="14" x14ac:dyDescent="0.3">
      <c r="A280" s="434" t="str">
        <f t="shared" si="4"/>
        <v>RS776</v>
      </c>
      <c r="B280" s="434">
        <v>776</v>
      </c>
      <c r="C280" s="434">
        <v>1</v>
      </c>
      <c r="D280" s="434">
        <v>277</v>
      </c>
      <c r="E280" s="435" t="s">
        <v>2232</v>
      </c>
      <c r="F280" s="436" t="s">
        <v>5877</v>
      </c>
      <c r="G280" s="437">
        <v>4000</v>
      </c>
      <c r="H280" s="437"/>
      <c r="I280" s="438">
        <v>40</v>
      </c>
      <c r="J280" s="434">
        <v>776</v>
      </c>
      <c r="K280" s="434">
        <v>1</v>
      </c>
      <c r="L280" s="435" t="s">
        <v>5853</v>
      </c>
    </row>
    <row r="281" spans="1:12" ht="14" x14ac:dyDescent="0.3">
      <c r="A281" s="434" t="str">
        <f t="shared" si="4"/>
        <v>RS781</v>
      </c>
      <c r="B281" s="434">
        <v>781</v>
      </c>
      <c r="C281" s="434">
        <v>1</v>
      </c>
      <c r="D281" s="434">
        <v>278</v>
      </c>
      <c r="E281" s="435" t="s">
        <v>2232</v>
      </c>
      <c r="F281" s="436" t="s">
        <v>5878</v>
      </c>
      <c r="G281" s="437">
        <v>4000</v>
      </c>
      <c r="H281" s="437"/>
      <c r="I281" s="438">
        <v>40</v>
      </c>
      <c r="J281" s="434">
        <v>781</v>
      </c>
      <c r="K281" s="434">
        <v>1</v>
      </c>
      <c r="L281" s="435" t="s">
        <v>5853</v>
      </c>
    </row>
    <row r="282" spans="1:12" ht="14" x14ac:dyDescent="0.3">
      <c r="A282" s="434" t="str">
        <f t="shared" si="4"/>
        <v>RS783</v>
      </c>
      <c r="B282" s="434">
        <v>783</v>
      </c>
      <c r="C282" s="434">
        <v>1</v>
      </c>
      <c r="D282" s="434">
        <v>279</v>
      </c>
      <c r="E282" s="435" t="s">
        <v>2232</v>
      </c>
      <c r="F282" s="436" t="s">
        <v>5879</v>
      </c>
      <c r="G282" s="437">
        <v>8000</v>
      </c>
      <c r="H282" s="437"/>
      <c r="I282" s="438">
        <v>40</v>
      </c>
      <c r="J282" s="434">
        <v>783</v>
      </c>
      <c r="K282" s="434">
        <v>1</v>
      </c>
      <c r="L282" s="435" t="s">
        <v>5853</v>
      </c>
    </row>
    <row r="283" spans="1:12" ht="14" x14ac:dyDescent="0.3">
      <c r="A283" s="434" t="str">
        <f t="shared" si="4"/>
        <v>RS785</v>
      </c>
      <c r="B283" s="434">
        <v>785</v>
      </c>
      <c r="C283" s="434">
        <v>1</v>
      </c>
      <c r="D283" s="434">
        <v>280</v>
      </c>
      <c r="E283" s="435" t="s">
        <v>2232</v>
      </c>
      <c r="F283" s="436" t="s">
        <v>5880</v>
      </c>
      <c r="G283" s="437">
        <v>2000</v>
      </c>
      <c r="H283" s="437"/>
      <c r="I283" s="438">
        <v>25</v>
      </c>
      <c r="J283" s="434">
        <v>785</v>
      </c>
      <c r="K283" s="434">
        <v>1</v>
      </c>
      <c r="L283" s="435" t="s">
        <v>5853</v>
      </c>
    </row>
    <row r="284" spans="1:12" ht="14" x14ac:dyDescent="0.3">
      <c r="A284" s="434" t="str">
        <f t="shared" si="4"/>
        <v>RS786</v>
      </c>
      <c r="B284" s="434">
        <v>786</v>
      </c>
      <c r="C284" s="434">
        <v>1</v>
      </c>
      <c r="D284" s="434">
        <v>281</v>
      </c>
      <c r="E284" s="435" t="s">
        <v>2232</v>
      </c>
      <c r="F284" s="436" t="s">
        <v>5881</v>
      </c>
      <c r="G284" s="437">
        <v>12000</v>
      </c>
      <c r="H284" s="437"/>
      <c r="I284" s="438">
        <v>40</v>
      </c>
      <c r="J284" s="434">
        <v>786</v>
      </c>
      <c r="K284" s="434">
        <v>1</v>
      </c>
      <c r="L284" s="435" t="s">
        <v>5853</v>
      </c>
    </row>
    <row r="285" spans="1:12" ht="14" x14ac:dyDescent="0.3">
      <c r="A285" s="434" t="str">
        <f t="shared" si="4"/>
        <v>RS788</v>
      </c>
      <c r="B285" s="434">
        <v>788</v>
      </c>
      <c r="C285" s="434">
        <v>1</v>
      </c>
      <c r="D285" s="434">
        <v>282</v>
      </c>
      <c r="E285" s="435" t="s">
        <v>2232</v>
      </c>
      <c r="F285" s="436" t="s">
        <v>5882</v>
      </c>
      <c r="G285" s="437">
        <v>4000</v>
      </c>
      <c r="H285" s="437"/>
      <c r="I285" s="438">
        <v>40</v>
      </c>
      <c r="J285" s="434">
        <v>788</v>
      </c>
      <c r="K285" s="434">
        <v>1</v>
      </c>
      <c r="L285" s="435" t="s">
        <v>5853</v>
      </c>
    </row>
    <row r="286" spans="1:12" ht="14" x14ac:dyDescent="0.3">
      <c r="A286" s="434" t="str">
        <f t="shared" si="4"/>
        <v>RS789</v>
      </c>
      <c r="B286" s="434">
        <v>789</v>
      </c>
      <c r="C286" s="434">
        <v>1</v>
      </c>
      <c r="D286" s="434">
        <v>283</v>
      </c>
      <c r="E286" s="435" t="s">
        <v>2232</v>
      </c>
      <c r="F286" s="436" t="s">
        <v>5883</v>
      </c>
      <c r="G286" s="437">
        <v>10000</v>
      </c>
      <c r="H286" s="437"/>
      <c r="I286" s="438">
        <v>50</v>
      </c>
      <c r="J286" s="434">
        <v>789</v>
      </c>
      <c r="K286" s="434">
        <v>1</v>
      </c>
      <c r="L286" s="435" t="s">
        <v>5853</v>
      </c>
    </row>
    <row r="287" spans="1:12" ht="14" x14ac:dyDescent="0.3">
      <c r="A287" s="434" t="str">
        <f t="shared" si="4"/>
        <v>RS790</v>
      </c>
      <c r="B287" s="434">
        <v>790</v>
      </c>
      <c r="C287" s="434">
        <v>1</v>
      </c>
      <c r="D287" s="434">
        <v>284</v>
      </c>
      <c r="E287" s="435" t="s">
        <v>2232</v>
      </c>
      <c r="F287" s="436" t="s">
        <v>5884</v>
      </c>
      <c r="G287" s="437">
        <v>4000</v>
      </c>
      <c r="H287" s="437"/>
      <c r="I287" s="438">
        <v>40</v>
      </c>
      <c r="J287" s="434">
        <v>790</v>
      </c>
      <c r="K287" s="434">
        <v>1</v>
      </c>
      <c r="L287" s="435" t="s">
        <v>5853</v>
      </c>
    </row>
    <row r="288" spans="1:12" ht="14" x14ac:dyDescent="0.3">
      <c r="A288" s="434" t="str">
        <f t="shared" si="4"/>
        <v>RS791</v>
      </c>
      <c r="B288" s="434">
        <v>791</v>
      </c>
      <c r="C288" s="434">
        <v>1</v>
      </c>
      <c r="D288" s="434">
        <v>285</v>
      </c>
      <c r="E288" s="435" t="s">
        <v>2232</v>
      </c>
      <c r="F288" s="436" t="s">
        <v>5885</v>
      </c>
      <c r="G288" s="437">
        <v>4000</v>
      </c>
      <c r="H288" s="437"/>
      <c r="I288" s="438">
        <v>40</v>
      </c>
      <c r="J288" s="434">
        <v>791</v>
      </c>
      <c r="K288" s="434">
        <v>1</v>
      </c>
      <c r="L288" s="435" t="s">
        <v>5853</v>
      </c>
    </row>
    <row r="289" spans="1:12" ht="14" x14ac:dyDescent="0.3">
      <c r="A289" s="434" t="str">
        <f t="shared" si="4"/>
        <v>RS793</v>
      </c>
      <c r="B289" s="434">
        <v>793</v>
      </c>
      <c r="C289" s="434">
        <v>1</v>
      </c>
      <c r="D289" s="434">
        <v>286</v>
      </c>
      <c r="E289" s="435" t="s">
        <v>2232</v>
      </c>
      <c r="F289" s="436" t="s">
        <v>5886</v>
      </c>
      <c r="G289" s="437">
        <v>4000</v>
      </c>
      <c r="H289" s="437"/>
      <c r="I289" s="438">
        <v>40</v>
      </c>
      <c r="J289" s="434">
        <v>793</v>
      </c>
      <c r="K289" s="434">
        <v>1</v>
      </c>
      <c r="L289" s="435" t="s">
        <v>5853</v>
      </c>
    </row>
    <row r="290" spans="1:12" ht="14" x14ac:dyDescent="0.3">
      <c r="A290" s="434" t="str">
        <f t="shared" si="4"/>
        <v>RS794</v>
      </c>
      <c r="B290" s="434">
        <v>794</v>
      </c>
      <c r="C290" s="434">
        <v>1</v>
      </c>
      <c r="D290" s="434">
        <v>287</v>
      </c>
      <c r="E290" s="435" t="s">
        <v>2232</v>
      </c>
      <c r="F290" s="436" t="s">
        <v>5887</v>
      </c>
      <c r="G290" s="437">
        <v>20000</v>
      </c>
      <c r="H290" s="437"/>
      <c r="I290" s="438">
        <v>40</v>
      </c>
      <c r="J290" s="434">
        <v>794</v>
      </c>
      <c r="K290" s="434">
        <v>1</v>
      </c>
      <c r="L290" s="435" t="s">
        <v>5853</v>
      </c>
    </row>
    <row r="291" spans="1:12" ht="14" x14ac:dyDescent="0.3">
      <c r="A291" s="434" t="str">
        <f t="shared" si="4"/>
        <v>RS795</v>
      </c>
      <c r="B291" s="434">
        <v>795</v>
      </c>
      <c r="C291" s="434">
        <v>1</v>
      </c>
      <c r="D291" s="434">
        <v>288</v>
      </c>
      <c r="E291" s="435" t="s">
        <v>2232</v>
      </c>
      <c r="F291" s="436" t="s">
        <v>5888</v>
      </c>
      <c r="G291" s="437">
        <v>4000</v>
      </c>
      <c r="H291" s="437"/>
      <c r="I291" s="438">
        <v>40</v>
      </c>
      <c r="J291" s="434">
        <v>795</v>
      </c>
      <c r="K291" s="434">
        <v>1</v>
      </c>
      <c r="L291" s="435" t="s">
        <v>5853</v>
      </c>
    </row>
    <row r="292" spans="1:12" ht="14" x14ac:dyDescent="0.3">
      <c r="A292" s="434" t="str">
        <f t="shared" si="4"/>
        <v>RS796</v>
      </c>
      <c r="B292" s="434">
        <v>796</v>
      </c>
      <c r="C292" s="434">
        <v>1</v>
      </c>
      <c r="D292" s="434">
        <v>289</v>
      </c>
      <c r="E292" s="435" t="s">
        <v>2232</v>
      </c>
      <c r="F292" s="436" t="s">
        <v>5889</v>
      </c>
      <c r="G292" s="437">
        <v>4000</v>
      </c>
      <c r="H292" s="437"/>
      <c r="I292" s="438">
        <v>40</v>
      </c>
      <c r="J292" s="434">
        <v>796</v>
      </c>
      <c r="K292" s="434">
        <v>1</v>
      </c>
      <c r="L292" s="435" t="s">
        <v>5853</v>
      </c>
    </row>
    <row r="293" spans="1:12" ht="14" x14ac:dyDescent="0.3">
      <c r="A293" s="434" t="str">
        <f t="shared" si="4"/>
        <v>RS800</v>
      </c>
      <c r="B293" s="434">
        <v>800</v>
      </c>
      <c r="C293" s="434">
        <v>1</v>
      </c>
      <c r="D293" s="434">
        <v>290</v>
      </c>
      <c r="E293" s="435" t="s">
        <v>2232</v>
      </c>
      <c r="F293" s="436" t="s">
        <v>5890</v>
      </c>
      <c r="G293" s="437">
        <v>2000</v>
      </c>
      <c r="H293" s="437"/>
      <c r="I293" s="438">
        <v>15</v>
      </c>
      <c r="J293" s="434">
        <v>800</v>
      </c>
      <c r="K293" s="434">
        <v>1</v>
      </c>
      <c r="L293" s="435" t="s">
        <v>5853</v>
      </c>
    </row>
    <row r="294" spans="1:12" ht="14" x14ac:dyDescent="0.3">
      <c r="A294" s="434" t="str">
        <f t="shared" si="4"/>
        <v>RS803</v>
      </c>
      <c r="B294" s="434">
        <v>803</v>
      </c>
      <c r="C294" s="434">
        <v>1</v>
      </c>
      <c r="D294" s="434">
        <v>291</v>
      </c>
      <c r="E294" s="435" t="s">
        <v>2232</v>
      </c>
      <c r="F294" s="436" t="s">
        <v>5891</v>
      </c>
      <c r="G294" s="437">
        <v>4000</v>
      </c>
      <c r="H294" s="437"/>
      <c r="I294" s="438">
        <v>40</v>
      </c>
      <c r="J294" s="434">
        <v>803</v>
      </c>
      <c r="K294" s="434">
        <v>1</v>
      </c>
      <c r="L294" s="435" t="s">
        <v>5853</v>
      </c>
    </row>
    <row r="295" spans="1:12" ht="14" x14ac:dyDescent="0.3">
      <c r="A295" s="434" t="str">
        <f t="shared" si="4"/>
        <v>RS804</v>
      </c>
      <c r="B295" s="434">
        <v>804</v>
      </c>
      <c r="C295" s="434">
        <v>1</v>
      </c>
      <c r="D295" s="434">
        <v>292</v>
      </c>
      <c r="E295" s="435" t="s">
        <v>2232</v>
      </c>
      <c r="F295" s="436" t="s">
        <v>5892</v>
      </c>
      <c r="G295" s="437">
        <v>4000</v>
      </c>
      <c r="H295" s="437"/>
      <c r="I295" s="438">
        <v>40</v>
      </c>
      <c r="J295" s="434">
        <v>804</v>
      </c>
      <c r="K295" s="434">
        <v>1</v>
      </c>
      <c r="L295" s="435" t="s">
        <v>5853</v>
      </c>
    </row>
    <row r="296" spans="1:12" ht="14" x14ac:dyDescent="0.3">
      <c r="A296" s="434" t="str">
        <f t="shared" si="4"/>
        <v>RS805</v>
      </c>
      <c r="B296" s="434">
        <v>805</v>
      </c>
      <c r="C296" s="434">
        <v>1</v>
      </c>
      <c r="D296" s="434">
        <v>293</v>
      </c>
      <c r="E296" s="435" t="s">
        <v>2232</v>
      </c>
      <c r="F296" s="436" t="s">
        <v>5893</v>
      </c>
      <c r="G296" s="437">
        <v>2000</v>
      </c>
      <c r="H296" s="437"/>
      <c r="I296" s="438">
        <v>25</v>
      </c>
      <c r="J296" s="434">
        <v>805</v>
      </c>
      <c r="K296" s="434">
        <v>1</v>
      </c>
      <c r="L296" s="435" t="s">
        <v>5853</v>
      </c>
    </row>
    <row r="297" spans="1:12" ht="14" x14ac:dyDescent="0.3">
      <c r="A297" s="434" t="str">
        <f t="shared" si="4"/>
        <v>RS806</v>
      </c>
      <c r="B297" s="434">
        <v>806</v>
      </c>
      <c r="C297" s="434">
        <v>1</v>
      </c>
      <c r="D297" s="434">
        <v>294</v>
      </c>
      <c r="E297" s="435" t="s">
        <v>2232</v>
      </c>
      <c r="F297" s="436" t="s">
        <v>5894</v>
      </c>
      <c r="G297" s="437">
        <v>4000</v>
      </c>
      <c r="H297" s="437"/>
      <c r="I297" s="438">
        <v>40</v>
      </c>
      <c r="J297" s="434">
        <v>806</v>
      </c>
      <c r="K297" s="434">
        <v>1</v>
      </c>
      <c r="L297" s="435" t="s">
        <v>5853</v>
      </c>
    </row>
    <row r="298" spans="1:12" ht="14" x14ac:dyDescent="0.3">
      <c r="A298" s="434" t="str">
        <f t="shared" si="4"/>
        <v>RS811</v>
      </c>
      <c r="B298" s="434">
        <v>811</v>
      </c>
      <c r="C298" s="434">
        <v>1</v>
      </c>
      <c r="D298" s="434">
        <v>295</v>
      </c>
      <c r="E298" s="435" t="s">
        <v>2232</v>
      </c>
      <c r="F298" s="436" t="s">
        <v>5895</v>
      </c>
      <c r="G298" s="437">
        <v>10000</v>
      </c>
      <c r="H298" s="437"/>
      <c r="I298" s="438">
        <v>45</v>
      </c>
      <c r="J298" s="434">
        <v>811</v>
      </c>
      <c r="K298" s="434">
        <v>1</v>
      </c>
      <c r="L298" s="435" t="s">
        <v>5853</v>
      </c>
    </row>
    <row r="299" spans="1:12" ht="14" x14ac:dyDescent="0.3">
      <c r="A299" s="434" t="s">
        <v>5896</v>
      </c>
      <c r="B299" s="434">
        <v>813</v>
      </c>
      <c r="C299" s="434">
        <v>1</v>
      </c>
      <c r="D299" s="434">
        <v>443</v>
      </c>
      <c r="E299" s="435" t="s">
        <v>2232</v>
      </c>
      <c r="F299" s="436" t="s">
        <v>5897</v>
      </c>
      <c r="G299" s="437">
        <v>20000</v>
      </c>
      <c r="H299" s="437"/>
      <c r="I299" s="438">
        <v>55</v>
      </c>
      <c r="J299" s="434">
        <v>813</v>
      </c>
      <c r="K299" s="434">
        <v>1</v>
      </c>
      <c r="L299" s="435" t="s">
        <v>5853</v>
      </c>
    </row>
    <row r="300" spans="1:12" ht="14" x14ac:dyDescent="0.3">
      <c r="A300" s="434" t="str">
        <f t="shared" si="4"/>
        <v>RS814</v>
      </c>
      <c r="B300" s="434">
        <v>814</v>
      </c>
      <c r="C300" s="434">
        <v>1</v>
      </c>
      <c r="D300" s="434">
        <v>296</v>
      </c>
      <c r="E300" s="435" t="s">
        <v>2232</v>
      </c>
      <c r="F300" s="436" t="s">
        <v>5898</v>
      </c>
      <c r="G300" s="437">
        <v>10000</v>
      </c>
      <c r="H300" s="437"/>
      <c r="I300" s="438">
        <v>45</v>
      </c>
      <c r="J300" s="434">
        <v>814</v>
      </c>
      <c r="K300" s="434">
        <v>1</v>
      </c>
      <c r="L300" s="435" t="s">
        <v>5853</v>
      </c>
    </row>
    <row r="301" spans="1:12" ht="14" x14ac:dyDescent="0.3">
      <c r="A301" s="434" t="str">
        <f t="shared" si="4"/>
        <v>RS815</v>
      </c>
      <c r="B301" s="434">
        <v>815</v>
      </c>
      <c r="C301" s="434">
        <v>1</v>
      </c>
      <c r="D301" s="434">
        <v>297</v>
      </c>
      <c r="E301" s="435" t="s">
        <v>2232</v>
      </c>
      <c r="F301" s="436" t="s">
        <v>5899</v>
      </c>
      <c r="G301" s="437">
        <v>20000</v>
      </c>
      <c r="H301" s="437"/>
      <c r="I301" s="438">
        <v>55</v>
      </c>
      <c r="J301" s="434">
        <v>815</v>
      </c>
      <c r="K301" s="434">
        <v>1</v>
      </c>
      <c r="L301" s="435" t="s">
        <v>5853</v>
      </c>
    </row>
    <row r="302" spans="1:12" ht="14" x14ac:dyDescent="0.3">
      <c r="A302" s="434" t="str">
        <f t="shared" si="4"/>
        <v>RS816</v>
      </c>
      <c r="B302" s="434">
        <v>816</v>
      </c>
      <c r="C302" s="434">
        <v>1</v>
      </c>
      <c r="D302" s="434">
        <v>298</v>
      </c>
      <c r="E302" s="435" t="s">
        <v>2232</v>
      </c>
      <c r="F302" s="436" t="s">
        <v>5900</v>
      </c>
      <c r="G302" s="437">
        <v>20000</v>
      </c>
      <c r="H302" s="437"/>
      <c r="I302" s="438">
        <v>55</v>
      </c>
      <c r="J302" s="434">
        <v>816</v>
      </c>
      <c r="K302" s="434">
        <v>1</v>
      </c>
      <c r="L302" s="435" t="s">
        <v>5853</v>
      </c>
    </row>
    <row r="303" spans="1:12" ht="14" x14ac:dyDescent="0.3">
      <c r="A303" s="434" t="str">
        <f t="shared" si="4"/>
        <v>RS851</v>
      </c>
      <c r="B303" s="434">
        <v>851</v>
      </c>
      <c r="C303" s="434">
        <v>1</v>
      </c>
      <c r="D303" s="434">
        <v>299</v>
      </c>
      <c r="E303" s="435" t="s">
        <v>2232</v>
      </c>
      <c r="F303" s="436" t="s">
        <v>5901</v>
      </c>
      <c r="G303" s="437">
        <v>4000</v>
      </c>
      <c r="H303" s="437"/>
      <c r="I303" s="438">
        <v>40</v>
      </c>
      <c r="J303" s="434">
        <v>851</v>
      </c>
      <c r="K303" s="434">
        <v>1</v>
      </c>
      <c r="L303" s="435" t="s">
        <v>5853</v>
      </c>
    </row>
    <row r="304" spans="1:12" ht="14" x14ac:dyDescent="0.3">
      <c r="A304" s="434" t="str">
        <f t="shared" si="4"/>
        <v>RS856</v>
      </c>
      <c r="B304" s="434">
        <v>856</v>
      </c>
      <c r="C304" s="434">
        <v>1</v>
      </c>
      <c r="D304" s="434">
        <v>300</v>
      </c>
      <c r="E304" s="435" t="s">
        <v>2232</v>
      </c>
      <c r="F304" s="436" t="s">
        <v>5902</v>
      </c>
      <c r="G304" s="437">
        <v>4000</v>
      </c>
      <c r="H304" s="437"/>
      <c r="I304" s="438">
        <v>40</v>
      </c>
      <c r="J304" s="434">
        <v>856</v>
      </c>
      <c r="K304" s="434">
        <v>1</v>
      </c>
      <c r="L304" s="435" t="s">
        <v>5853</v>
      </c>
    </row>
    <row r="305" spans="1:12" ht="14" x14ac:dyDescent="0.3">
      <c r="A305" s="434" t="str">
        <f t="shared" si="4"/>
        <v>RS870</v>
      </c>
      <c r="B305" s="434">
        <v>870</v>
      </c>
      <c r="C305" s="434">
        <v>1</v>
      </c>
      <c r="D305" s="434">
        <v>301</v>
      </c>
      <c r="E305" s="435" t="s">
        <v>2232</v>
      </c>
      <c r="F305" s="436" t="s">
        <v>5903</v>
      </c>
      <c r="G305" s="437">
        <v>4000</v>
      </c>
      <c r="H305" s="437"/>
      <c r="I305" s="438">
        <v>40</v>
      </c>
      <c r="J305" s="434">
        <v>870</v>
      </c>
      <c r="K305" s="434">
        <v>1</v>
      </c>
      <c r="L305" s="435" t="s">
        <v>5853</v>
      </c>
    </row>
    <row r="306" spans="1:12" ht="14" x14ac:dyDescent="0.3">
      <c r="A306" s="434" t="str">
        <f t="shared" si="4"/>
        <v>RS885</v>
      </c>
      <c r="B306" s="434">
        <v>885</v>
      </c>
      <c r="C306" s="434">
        <v>1</v>
      </c>
      <c r="D306" s="434">
        <v>302</v>
      </c>
      <c r="E306" s="435" t="s">
        <v>2232</v>
      </c>
      <c r="F306" s="436" t="s">
        <v>5904</v>
      </c>
      <c r="G306" s="437">
        <v>4000</v>
      </c>
      <c r="H306" s="437"/>
      <c r="I306" s="438">
        <v>40</v>
      </c>
      <c r="J306" s="434">
        <v>880</v>
      </c>
      <c r="K306" s="434">
        <v>1</v>
      </c>
      <c r="L306" s="435" t="s">
        <v>5853</v>
      </c>
    </row>
    <row r="307" spans="1:12" ht="14" x14ac:dyDescent="0.3">
      <c r="A307" s="434" t="str">
        <f t="shared" si="4"/>
        <v>RS890</v>
      </c>
      <c r="B307" s="434">
        <v>890</v>
      </c>
      <c r="C307" s="434">
        <v>1</v>
      </c>
      <c r="D307" s="434">
        <v>303</v>
      </c>
      <c r="E307" s="435" t="s">
        <v>2232</v>
      </c>
      <c r="F307" s="436" t="s">
        <v>5905</v>
      </c>
      <c r="G307" s="437">
        <v>4000</v>
      </c>
      <c r="H307" s="437"/>
      <c r="I307" s="438">
        <v>40</v>
      </c>
      <c r="J307" s="434">
        <v>890</v>
      </c>
      <c r="K307" s="434">
        <v>1</v>
      </c>
      <c r="L307" s="435" t="s">
        <v>5853</v>
      </c>
    </row>
    <row r="308" spans="1:12" ht="14" x14ac:dyDescent="0.3">
      <c r="A308" s="434" t="str">
        <f t="shared" si="4"/>
        <v>RS911</v>
      </c>
      <c r="B308" s="434">
        <v>911</v>
      </c>
      <c r="C308" s="434">
        <v>2</v>
      </c>
      <c r="D308" s="434">
        <v>304</v>
      </c>
      <c r="E308" s="435" t="s">
        <v>2232</v>
      </c>
      <c r="F308" s="436" t="s">
        <v>5906</v>
      </c>
      <c r="G308" s="437">
        <v>10000</v>
      </c>
      <c r="H308" s="437"/>
      <c r="I308" s="438">
        <v>45</v>
      </c>
      <c r="J308" s="434">
        <v>911</v>
      </c>
      <c r="K308" s="434">
        <v>2</v>
      </c>
      <c r="L308" s="435" t="s">
        <v>5853</v>
      </c>
    </row>
    <row r="309" spans="1:12" ht="14" x14ac:dyDescent="0.3">
      <c r="A309" s="434" t="str">
        <f t="shared" si="4"/>
        <v>RS913</v>
      </c>
      <c r="B309" s="434">
        <v>913</v>
      </c>
      <c r="C309" s="434">
        <v>2</v>
      </c>
      <c r="D309" s="434">
        <v>444</v>
      </c>
      <c r="E309" s="435" t="s">
        <v>2232</v>
      </c>
      <c r="F309" s="436" t="s">
        <v>5907</v>
      </c>
      <c r="G309" s="437">
        <v>10000</v>
      </c>
      <c r="H309" s="437"/>
      <c r="I309" s="438">
        <v>45</v>
      </c>
      <c r="J309" s="434">
        <v>913</v>
      </c>
      <c r="K309" s="434">
        <v>2</v>
      </c>
      <c r="L309" s="435" t="s">
        <v>5853</v>
      </c>
    </row>
    <row r="310" spans="1:12" ht="14" x14ac:dyDescent="0.3">
      <c r="A310" s="434" t="str">
        <f t="shared" si="4"/>
        <v>RS914</v>
      </c>
      <c r="B310" s="434">
        <v>914</v>
      </c>
      <c r="C310" s="434">
        <v>2</v>
      </c>
      <c r="D310" s="434">
        <v>305</v>
      </c>
      <c r="E310" s="435" t="s">
        <v>2232</v>
      </c>
      <c r="F310" s="436" t="s">
        <v>5908</v>
      </c>
      <c r="G310" s="437">
        <v>10000</v>
      </c>
      <c r="H310" s="437"/>
      <c r="I310" s="438">
        <v>45</v>
      </c>
      <c r="J310" s="434">
        <v>914</v>
      </c>
      <c r="K310" s="434">
        <v>2</v>
      </c>
      <c r="L310" s="435" t="s">
        <v>5853</v>
      </c>
    </row>
    <row r="311" spans="1:12" ht="14" x14ac:dyDescent="0.3">
      <c r="A311" s="434" t="str">
        <f t="shared" si="4"/>
        <v>RS915</v>
      </c>
      <c r="B311" s="434">
        <v>915</v>
      </c>
      <c r="C311" s="434">
        <v>2</v>
      </c>
      <c r="D311" s="434">
        <v>306</v>
      </c>
      <c r="E311" s="435" t="s">
        <v>2232</v>
      </c>
      <c r="F311" s="436" t="s">
        <v>5909</v>
      </c>
      <c r="G311" s="437">
        <v>20000</v>
      </c>
      <c r="H311" s="437"/>
      <c r="I311" s="438">
        <v>55</v>
      </c>
      <c r="J311" s="434">
        <v>915</v>
      </c>
      <c r="K311" s="434">
        <v>2</v>
      </c>
      <c r="L311" s="435" t="s">
        <v>5853</v>
      </c>
    </row>
    <row r="312" spans="1:12" ht="14" x14ac:dyDescent="0.3">
      <c r="A312" s="434" t="str">
        <f t="shared" si="4"/>
        <v>RS916</v>
      </c>
      <c r="B312" s="434">
        <v>916</v>
      </c>
      <c r="C312" s="434">
        <v>2</v>
      </c>
      <c r="D312" s="434">
        <v>307</v>
      </c>
      <c r="E312" s="435" t="s">
        <v>2232</v>
      </c>
      <c r="F312" s="436" t="s">
        <v>5910</v>
      </c>
      <c r="G312" s="437">
        <v>20000</v>
      </c>
      <c r="H312" s="437"/>
      <c r="I312" s="438">
        <v>55</v>
      </c>
      <c r="J312" s="434">
        <v>916</v>
      </c>
      <c r="K312" s="434">
        <v>2</v>
      </c>
      <c r="L312" s="435" t="s">
        <v>5853</v>
      </c>
    </row>
    <row r="313" spans="1:12" ht="14" x14ac:dyDescent="0.3">
      <c r="A313" s="434" t="str">
        <f t="shared" si="4"/>
        <v>RS920</v>
      </c>
      <c r="B313" s="434">
        <v>920</v>
      </c>
      <c r="C313" s="434">
        <v>2</v>
      </c>
      <c r="D313" s="434">
        <v>308</v>
      </c>
      <c r="E313" s="435" t="s">
        <v>2232</v>
      </c>
      <c r="F313" s="436" t="s">
        <v>5911</v>
      </c>
      <c r="G313" s="437">
        <v>4000</v>
      </c>
      <c r="H313" s="437"/>
      <c r="I313" s="438">
        <v>40</v>
      </c>
      <c r="J313" s="434">
        <v>920</v>
      </c>
      <c r="K313" s="434">
        <v>2</v>
      </c>
      <c r="L313" s="435" t="s">
        <v>5853</v>
      </c>
    </row>
    <row r="314" spans="1:12" ht="14" x14ac:dyDescent="0.3">
      <c r="A314" s="434" t="str">
        <f t="shared" si="4"/>
        <v>RS911</v>
      </c>
      <c r="B314" s="434">
        <v>911</v>
      </c>
      <c r="C314" s="434">
        <v>3</v>
      </c>
      <c r="D314" s="434">
        <v>309</v>
      </c>
      <c r="E314" s="435" t="s">
        <v>2232</v>
      </c>
      <c r="F314" s="436" t="s">
        <v>5912</v>
      </c>
      <c r="G314" s="437">
        <v>10000</v>
      </c>
      <c r="H314" s="437"/>
      <c r="I314" s="438">
        <v>45</v>
      </c>
      <c r="J314" s="434">
        <v>911</v>
      </c>
      <c r="K314" s="434">
        <v>3</v>
      </c>
      <c r="L314" s="435" t="s">
        <v>5853</v>
      </c>
    </row>
    <row r="315" spans="1:12" ht="14" x14ac:dyDescent="0.3">
      <c r="A315" s="434" t="str">
        <f t="shared" si="4"/>
        <v>RS913</v>
      </c>
      <c r="B315" s="434">
        <v>913</v>
      </c>
      <c r="C315" s="434">
        <v>3</v>
      </c>
      <c r="D315" s="434">
        <v>446</v>
      </c>
      <c r="E315" s="435" t="s">
        <v>2232</v>
      </c>
      <c r="F315" s="436" t="s">
        <v>5913</v>
      </c>
      <c r="G315" s="437">
        <v>10000</v>
      </c>
      <c r="H315" s="437"/>
      <c r="I315" s="438">
        <v>45</v>
      </c>
      <c r="J315" s="434">
        <v>913</v>
      </c>
      <c r="K315" s="434">
        <v>3</v>
      </c>
      <c r="L315" s="435" t="s">
        <v>5853</v>
      </c>
    </row>
    <row r="316" spans="1:12" ht="14" x14ac:dyDescent="0.3">
      <c r="A316" s="434" t="str">
        <f t="shared" si="4"/>
        <v>RS914</v>
      </c>
      <c r="B316" s="434">
        <v>914</v>
      </c>
      <c r="C316" s="434">
        <v>3</v>
      </c>
      <c r="D316" s="434">
        <v>310</v>
      </c>
      <c r="E316" s="435" t="s">
        <v>2232</v>
      </c>
      <c r="F316" s="436" t="s">
        <v>5914</v>
      </c>
      <c r="G316" s="437">
        <v>10000</v>
      </c>
      <c r="H316" s="437"/>
      <c r="I316" s="438">
        <v>45</v>
      </c>
      <c r="J316" s="434">
        <v>914</v>
      </c>
      <c r="K316" s="434">
        <v>3</v>
      </c>
      <c r="L316" s="435" t="s">
        <v>5853</v>
      </c>
    </row>
    <row r="317" spans="1:12" ht="14" x14ac:dyDescent="0.3">
      <c r="A317" s="434" t="str">
        <f t="shared" si="4"/>
        <v>RS915</v>
      </c>
      <c r="B317" s="434">
        <v>915</v>
      </c>
      <c r="C317" s="434">
        <v>3</v>
      </c>
      <c r="D317" s="434">
        <v>311</v>
      </c>
      <c r="E317" s="435" t="s">
        <v>2232</v>
      </c>
      <c r="F317" s="436" t="s">
        <v>5915</v>
      </c>
      <c r="G317" s="437">
        <v>20000</v>
      </c>
      <c r="H317" s="437"/>
      <c r="I317" s="438">
        <v>55</v>
      </c>
      <c r="J317" s="434">
        <v>915</v>
      </c>
      <c r="K317" s="434">
        <v>3</v>
      </c>
      <c r="L317" s="435" t="s">
        <v>5853</v>
      </c>
    </row>
    <row r="318" spans="1:12" ht="14" x14ac:dyDescent="0.3">
      <c r="A318" s="434" t="str">
        <f t="shared" si="4"/>
        <v>RS916</v>
      </c>
      <c r="B318" s="434">
        <v>916</v>
      </c>
      <c r="C318" s="434">
        <v>3</v>
      </c>
      <c r="D318" s="434">
        <v>312</v>
      </c>
      <c r="E318" s="435" t="s">
        <v>2232</v>
      </c>
      <c r="F318" s="436" t="s">
        <v>5916</v>
      </c>
      <c r="G318" s="437">
        <v>20000</v>
      </c>
      <c r="H318" s="437"/>
      <c r="I318" s="438">
        <v>55</v>
      </c>
      <c r="J318" s="434">
        <v>916</v>
      </c>
      <c r="K318" s="434">
        <v>3</v>
      </c>
      <c r="L318" s="435" t="s">
        <v>5853</v>
      </c>
    </row>
    <row r="319" spans="1:12" ht="14" x14ac:dyDescent="0.3">
      <c r="A319" s="434" t="str">
        <f t="shared" si="4"/>
        <v>RS931</v>
      </c>
      <c r="B319" s="434">
        <v>931</v>
      </c>
      <c r="C319" s="434">
        <v>1</v>
      </c>
      <c r="D319" s="434">
        <v>313</v>
      </c>
      <c r="E319" s="435" t="s">
        <v>2232</v>
      </c>
      <c r="F319" s="436" t="s">
        <v>5917</v>
      </c>
      <c r="G319" s="437">
        <v>15000</v>
      </c>
      <c r="H319" s="437"/>
      <c r="I319" s="438">
        <v>65</v>
      </c>
      <c r="J319" s="434">
        <v>931</v>
      </c>
      <c r="K319" s="434">
        <v>1</v>
      </c>
      <c r="L319" s="435" t="s">
        <v>5853</v>
      </c>
    </row>
    <row r="320" spans="1:12" ht="14" x14ac:dyDescent="0.3">
      <c r="A320" s="434" t="str">
        <f t="shared" si="4"/>
        <v>RS933</v>
      </c>
      <c r="B320" s="434">
        <v>933</v>
      </c>
      <c r="C320" s="434">
        <v>1</v>
      </c>
      <c r="D320" s="434">
        <v>314</v>
      </c>
      <c r="E320" s="435" t="s">
        <v>2232</v>
      </c>
      <c r="F320" s="436" t="s">
        <v>5918</v>
      </c>
      <c r="G320" s="437">
        <v>15000</v>
      </c>
      <c r="H320" s="437"/>
      <c r="I320" s="438">
        <v>65</v>
      </c>
      <c r="J320" s="434">
        <v>933</v>
      </c>
      <c r="K320" s="434">
        <v>1</v>
      </c>
      <c r="L320" s="435" t="s">
        <v>5853</v>
      </c>
    </row>
    <row r="321" spans="1:12" ht="14" x14ac:dyDescent="0.3">
      <c r="A321" s="434" t="str">
        <f t="shared" si="4"/>
        <v>RS934</v>
      </c>
      <c r="B321" s="434">
        <v>934</v>
      </c>
      <c r="C321" s="434">
        <v>1</v>
      </c>
      <c r="D321" s="434">
        <v>315</v>
      </c>
      <c r="E321" s="435" t="s">
        <v>2232</v>
      </c>
      <c r="F321" s="436" t="s">
        <v>5919</v>
      </c>
      <c r="G321" s="437">
        <v>30000</v>
      </c>
      <c r="H321" s="437"/>
      <c r="I321" s="438">
        <v>65</v>
      </c>
      <c r="J321" s="434">
        <v>934</v>
      </c>
      <c r="K321" s="434">
        <v>1</v>
      </c>
      <c r="L321" s="435" t="s">
        <v>5853</v>
      </c>
    </row>
    <row r="322" spans="1:12" ht="14" x14ac:dyDescent="0.3">
      <c r="A322" s="434" t="str">
        <f t="shared" si="4"/>
        <v>RS935</v>
      </c>
      <c r="B322" s="434">
        <v>935</v>
      </c>
      <c r="C322" s="434">
        <v>1</v>
      </c>
      <c r="D322" s="434">
        <v>316</v>
      </c>
      <c r="E322" s="435" t="s">
        <v>2232</v>
      </c>
      <c r="F322" s="436" t="s">
        <v>5920</v>
      </c>
      <c r="G322" s="437">
        <v>10000</v>
      </c>
      <c r="H322" s="437"/>
      <c r="I322" s="438">
        <v>65</v>
      </c>
      <c r="J322" s="434">
        <v>935</v>
      </c>
      <c r="K322" s="434">
        <v>1</v>
      </c>
      <c r="L322" s="435" t="s">
        <v>5853</v>
      </c>
    </row>
    <row r="323" spans="1:12" ht="14" x14ac:dyDescent="0.3">
      <c r="A323" s="434" t="str">
        <f t="shared" si="4"/>
        <v>RS936</v>
      </c>
      <c r="B323" s="434">
        <v>936</v>
      </c>
      <c r="C323" s="434">
        <v>1</v>
      </c>
      <c r="D323" s="434">
        <v>317</v>
      </c>
      <c r="E323" s="435" t="s">
        <v>2232</v>
      </c>
      <c r="F323" s="436" t="s">
        <v>5921</v>
      </c>
      <c r="G323" s="437">
        <v>10000</v>
      </c>
      <c r="H323" s="437"/>
      <c r="I323" s="438">
        <v>65</v>
      </c>
      <c r="J323" s="434">
        <v>936</v>
      </c>
      <c r="K323" s="434">
        <v>1</v>
      </c>
      <c r="L323" s="435" t="s">
        <v>5853</v>
      </c>
    </row>
    <row r="324" spans="1:12" ht="14" x14ac:dyDescent="0.3">
      <c r="A324" s="434" t="str">
        <f t="shared" si="4"/>
        <v>RS939</v>
      </c>
      <c r="B324" s="434">
        <v>939</v>
      </c>
      <c r="C324" s="434">
        <v>1</v>
      </c>
      <c r="D324" s="434">
        <v>318</v>
      </c>
      <c r="E324" s="435" t="s">
        <v>2232</v>
      </c>
      <c r="F324" s="436" t="s">
        <v>5922</v>
      </c>
      <c r="G324" s="437">
        <v>5000</v>
      </c>
      <c r="H324" s="437"/>
      <c r="I324" s="438">
        <v>50</v>
      </c>
      <c r="J324" s="434">
        <v>939</v>
      </c>
      <c r="K324" s="434">
        <v>1</v>
      </c>
      <c r="L324" s="435" t="s">
        <v>5853</v>
      </c>
    </row>
    <row r="325" spans="1:12" ht="14" x14ac:dyDescent="0.3">
      <c r="A325" s="434" t="str">
        <f t="shared" si="4"/>
        <v>RS941</v>
      </c>
      <c r="B325" s="434">
        <v>941</v>
      </c>
      <c r="C325" s="434">
        <v>1</v>
      </c>
      <c r="D325" s="434">
        <v>319</v>
      </c>
      <c r="E325" s="435" t="s">
        <v>2232</v>
      </c>
      <c r="F325" s="436" t="s">
        <v>5923</v>
      </c>
      <c r="G325" s="437">
        <v>20000</v>
      </c>
      <c r="H325" s="437"/>
      <c r="I325" s="438">
        <v>65</v>
      </c>
      <c r="J325" s="434">
        <v>941</v>
      </c>
      <c r="K325" s="434">
        <v>1</v>
      </c>
      <c r="L325" s="435" t="s">
        <v>5853</v>
      </c>
    </row>
    <row r="326" spans="1:12" ht="14" x14ac:dyDescent="0.3">
      <c r="A326" s="434" t="str">
        <f t="shared" si="4"/>
        <v>RS942</v>
      </c>
      <c r="B326" s="434">
        <v>942</v>
      </c>
      <c r="C326" s="434">
        <v>1</v>
      </c>
      <c r="D326" s="434">
        <v>320</v>
      </c>
      <c r="E326" s="435" t="s">
        <v>2232</v>
      </c>
      <c r="F326" s="436" t="s">
        <v>5924</v>
      </c>
      <c r="G326" s="437">
        <v>20000</v>
      </c>
      <c r="H326" s="437"/>
      <c r="I326" s="438">
        <v>65</v>
      </c>
      <c r="J326" s="434">
        <v>942</v>
      </c>
      <c r="K326" s="434">
        <v>1</v>
      </c>
      <c r="L326" s="435" t="s">
        <v>5853</v>
      </c>
    </row>
    <row r="327" spans="1:12" ht="14" x14ac:dyDescent="0.3">
      <c r="A327" s="434" t="str">
        <f t="shared" si="4"/>
        <v>RS951</v>
      </c>
      <c r="B327" s="434">
        <v>951</v>
      </c>
      <c r="C327" s="434">
        <v>1</v>
      </c>
      <c r="D327" s="434">
        <v>321</v>
      </c>
      <c r="E327" s="435" t="s">
        <v>2232</v>
      </c>
      <c r="F327" s="436" t="s">
        <v>5878</v>
      </c>
      <c r="G327" s="437">
        <v>10000</v>
      </c>
      <c r="H327" s="437"/>
      <c r="I327" s="438">
        <v>50</v>
      </c>
      <c r="J327" s="434">
        <v>951</v>
      </c>
      <c r="K327" s="434">
        <v>1</v>
      </c>
      <c r="L327" s="435" t="s">
        <v>5853</v>
      </c>
    </row>
    <row r="328" spans="1:12" ht="14" x14ac:dyDescent="0.3">
      <c r="A328" s="434" t="str">
        <f t="shared" ref="A328:A391" si="5">E328&amp;B328</f>
        <v>RS952</v>
      </c>
      <c r="B328" s="434">
        <v>952</v>
      </c>
      <c r="C328" s="434">
        <v>1</v>
      </c>
      <c r="D328" s="434">
        <v>322</v>
      </c>
      <c r="E328" s="435" t="s">
        <v>2232</v>
      </c>
      <c r="F328" s="436" t="s">
        <v>5881</v>
      </c>
      <c r="G328" s="437">
        <v>10000</v>
      </c>
      <c r="H328" s="437"/>
      <c r="I328" s="438">
        <v>50</v>
      </c>
      <c r="J328" s="434">
        <v>952</v>
      </c>
      <c r="K328" s="434">
        <v>1</v>
      </c>
      <c r="L328" s="435" t="s">
        <v>5853</v>
      </c>
    </row>
    <row r="329" spans="1:12" ht="14" x14ac:dyDescent="0.3">
      <c r="A329" s="434" t="str">
        <f t="shared" si="5"/>
        <v>RS979</v>
      </c>
      <c r="B329" s="434">
        <v>979</v>
      </c>
      <c r="C329" s="434">
        <v>1</v>
      </c>
      <c r="D329" s="434">
        <v>323</v>
      </c>
      <c r="E329" s="435" t="s">
        <v>2232</v>
      </c>
      <c r="F329" s="436" t="s">
        <v>5925</v>
      </c>
      <c r="G329" s="437">
        <v>10000</v>
      </c>
      <c r="H329" s="437"/>
      <c r="I329" s="438">
        <v>50</v>
      </c>
      <c r="J329" s="434">
        <v>979</v>
      </c>
      <c r="K329" s="434">
        <v>1</v>
      </c>
      <c r="L329" s="435" t="s">
        <v>5853</v>
      </c>
    </row>
    <row r="330" spans="1:12" ht="14" x14ac:dyDescent="0.3">
      <c r="A330" s="434" t="str">
        <f t="shared" si="5"/>
        <v>RS980</v>
      </c>
      <c r="B330" s="434">
        <v>980</v>
      </c>
      <c r="C330" s="434">
        <v>5</v>
      </c>
      <c r="D330" s="434">
        <v>324</v>
      </c>
      <c r="E330" s="435" t="s">
        <v>2232</v>
      </c>
      <c r="F330" s="436" t="s">
        <v>5926</v>
      </c>
      <c r="G330" s="437">
        <v>8000</v>
      </c>
      <c r="H330" s="437"/>
      <c r="I330" s="438">
        <v>55</v>
      </c>
      <c r="J330" s="434">
        <v>980</v>
      </c>
      <c r="K330" s="434">
        <v>5</v>
      </c>
      <c r="L330" s="435" t="s">
        <v>5853</v>
      </c>
    </row>
    <row r="331" spans="1:12" ht="14" x14ac:dyDescent="0.3">
      <c r="A331" s="434" t="str">
        <f t="shared" si="5"/>
        <v>RS981</v>
      </c>
      <c r="B331" s="434">
        <v>981</v>
      </c>
      <c r="C331" s="434">
        <v>5</v>
      </c>
      <c r="D331" s="434">
        <v>325</v>
      </c>
      <c r="E331" s="435" t="s">
        <v>2232</v>
      </c>
      <c r="F331" s="436" t="s">
        <v>5927</v>
      </c>
      <c r="G331" s="437">
        <v>8000</v>
      </c>
      <c r="H331" s="437"/>
      <c r="I331" s="438">
        <v>55</v>
      </c>
      <c r="J331" s="434">
        <v>981</v>
      </c>
      <c r="K331" s="434">
        <v>5</v>
      </c>
      <c r="L331" s="435" t="s">
        <v>5853</v>
      </c>
    </row>
    <row r="332" spans="1:12" ht="14" x14ac:dyDescent="0.3">
      <c r="A332" s="434" t="str">
        <f t="shared" si="5"/>
        <v>RS982</v>
      </c>
      <c r="B332" s="434">
        <v>982</v>
      </c>
      <c r="C332" s="434">
        <v>5</v>
      </c>
      <c r="D332" s="434">
        <v>326</v>
      </c>
      <c r="E332" s="435" t="s">
        <v>2232</v>
      </c>
      <c r="F332" s="436" t="s">
        <v>5928</v>
      </c>
      <c r="G332" s="437">
        <v>8000</v>
      </c>
      <c r="H332" s="437"/>
      <c r="I332" s="438">
        <v>40</v>
      </c>
      <c r="J332" s="434">
        <v>982</v>
      </c>
      <c r="K332" s="434">
        <v>5</v>
      </c>
      <c r="L332" s="435" t="s">
        <v>5853</v>
      </c>
    </row>
    <row r="333" spans="1:12" ht="14" x14ac:dyDescent="0.3">
      <c r="A333" s="434" t="str">
        <f t="shared" si="5"/>
        <v>RS983</v>
      </c>
      <c r="B333" s="434">
        <v>983</v>
      </c>
      <c r="C333" s="434">
        <v>6</v>
      </c>
      <c r="D333" s="434">
        <v>327</v>
      </c>
      <c r="E333" s="435" t="s">
        <v>2232</v>
      </c>
      <c r="F333" s="436" t="s">
        <v>5929</v>
      </c>
      <c r="G333" s="437">
        <v>10000</v>
      </c>
      <c r="H333" s="437"/>
      <c r="I333" s="438">
        <v>45</v>
      </c>
      <c r="J333" s="434">
        <v>983</v>
      </c>
      <c r="K333" s="434">
        <v>6</v>
      </c>
      <c r="L333" s="435" t="s">
        <v>5853</v>
      </c>
    </row>
    <row r="334" spans="1:12" ht="14" x14ac:dyDescent="0.3">
      <c r="A334" s="434" t="str">
        <f t="shared" si="5"/>
        <v>RS983</v>
      </c>
      <c r="B334" s="434">
        <v>983</v>
      </c>
      <c r="C334" s="434">
        <v>7</v>
      </c>
      <c r="D334" s="434">
        <v>328</v>
      </c>
      <c r="E334" s="435" t="s">
        <v>2232</v>
      </c>
      <c r="F334" s="436" t="s">
        <v>5930</v>
      </c>
      <c r="G334" s="437">
        <v>20000</v>
      </c>
      <c r="H334" s="437"/>
      <c r="I334" s="438">
        <v>45</v>
      </c>
      <c r="J334" s="434">
        <v>983</v>
      </c>
      <c r="K334" s="434">
        <v>7</v>
      </c>
      <c r="L334" s="435" t="s">
        <v>5853</v>
      </c>
    </row>
    <row r="335" spans="1:12" ht="14" x14ac:dyDescent="0.3">
      <c r="A335" s="434" t="str">
        <f t="shared" si="5"/>
        <v>RS994</v>
      </c>
      <c r="B335" s="434">
        <v>994</v>
      </c>
      <c r="C335" s="434">
        <v>8</v>
      </c>
      <c r="D335" s="434">
        <v>329</v>
      </c>
      <c r="E335" s="435" t="s">
        <v>2232</v>
      </c>
      <c r="F335" s="436" t="s">
        <v>5931</v>
      </c>
      <c r="G335" s="437">
        <v>500</v>
      </c>
      <c r="H335" s="437"/>
      <c r="I335" s="438">
        <v>35</v>
      </c>
      <c r="J335" s="434">
        <v>994</v>
      </c>
      <c r="K335" s="434">
        <v>8</v>
      </c>
      <c r="L335" s="435" t="s">
        <v>5853</v>
      </c>
    </row>
    <row r="336" spans="1:12" ht="14" x14ac:dyDescent="0.3">
      <c r="A336" s="434" t="str">
        <f t="shared" si="5"/>
        <v>RS995</v>
      </c>
      <c r="B336" s="434">
        <v>995</v>
      </c>
      <c r="C336" s="434">
        <v>8</v>
      </c>
      <c r="D336" s="434">
        <v>330</v>
      </c>
      <c r="E336" s="435" t="s">
        <v>2232</v>
      </c>
      <c r="F336" s="436" t="s">
        <v>5932</v>
      </c>
      <c r="G336" s="437">
        <v>500</v>
      </c>
      <c r="H336" s="437"/>
      <c r="I336" s="438">
        <v>35</v>
      </c>
      <c r="J336" s="434">
        <v>995</v>
      </c>
      <c r="K336" s="434">
        <v>8</v>
      </c>
      <c r="L336" s="435" t="s">
        <v>5853</v>
      </c>
    </row>
    <row r="337" spans="1:12" ht="14" x14ac:dyDescent="0.3">
      <c r="A337" s="434" t="str">
        <f t="shared" si="5"/>
        <v>RS996</v>
      </c>
      <c r="B337" s="434">
        <v>996</v>
      </c>
      <c r="C337" s="434">
        <v>8</v>
      </c>
      <c r="D337" s="434">
        <v>331</v>
      </c>
      <c r="E337" s="435" t="s">
        <v>2232</v>
      </c>
      <c r="F337" s="436" t="s">
        <v>5933</v>
      </c>
      <c r="G337" s="437">
        <v>500</v>
      </c>
      <c r="H337" s="437"/>
      <c r="I337" s="438">
        <v>35</v>
      </c>
      <c r="J337" s="434">
        <v>996</v>
      </c>
      <c r="K337" s="434">
        <v>8</v>
      </c>
      <c r="L337" s="435" t="s">
        <v>5853</v>
      </c>
    </row>
    <row r="338" spans="1:12" ht="14" x14ac:dyDescent="0.3">
      <c r="A338" s="434" t="str">
        <f t="shared" si="5"/>
        <v>RS997</v>
      </c>
      <c r="B338" s="434">
        <v>997</v>
      </c>
      <c r="C338" s="434">
        <v>8</v>
      </c>
      <c r="D338" s="434">
        <v>332</v>
      </c>
      <c r="E338" s="435" t="s">
        <v>2232</v>
      </c>
      <c r="F338" s="436" t="s">
        <v>5934</v>
      </c>
      <c r="G338" s="437">
        <v>4000</v>
      </c>
      <c r="H338" s="437"/>
      <c r="I338" s="438">
        <v>45</v>
      </c>
      <c r="J338" s="434">
        <v>997</v>
      </c>
      <c r="K338" s="434">
        <v>8</v>
      </c>
      <c r="L338" s="435" t="s">
        <v>5853</v>
      </c>
    </row>
    <row r="339" spans="1:12" ht="14" x14ac:dyDescent="0.3">
      <c r="A339" s="439" t="str">
        <f t="shared" si="5"/>
        <v>TSR260</v>
      </c>
      <c r="B339" s="439">
        <v>260</v>
      </c>
      <c r="C339" s="439">
        <v>1</v>
      </c>
      <c r="D339" s="439">
        <v>333</v>
      </c>
      <c r="E339" s="440" t="s">
        <v>2772</v>
      </c>
      <c r="F339" s="441" t="s">
        <v>5935</v>
      </c>
      <c r="G339" s="442">
        <v>10000</v>
      </c>
      <c r="H339" s="442"/>
      <c r="I339" s="443">
        <v>40</v>
      </c>
      <c r="J339" s="439">
        <v>260</v>
      </c>
      <c r="K339" s="439">
        <v>1</v>
      </c>
      <c r="L339" s="440" t="s">
        <v>5936</v>
      </c>
    </row>
    <row r="340" spans="1:12" ht="14" x14ac:dyDescent="0.3">
      <c r="A340" s="439" t="str">
        <f t="shared" si="5"/>
        <v>TSR281</v>
      </c>
      <c r="B340" s="439">
        <v>281</v>
      </c>
      <c r="C340" s="439">
        <v>1</v>
      </c>
      <c r="D340" s="439">
        <v>334</v>
      </c>
      <c r="E340" s="440" t="s">
        <v>2772</v>
      </c>
      <c r="F340" s="441" t="s">
        <v>5937</v>
      </c>
      <c r="G340" s="442">
        <v>10000</v>
      </c>
      <c r="H340" s="442"/>
      <c r="I340" s="443">
        <v>40</v>
      </c>
      <c r="J340" s="439">
        <v>281</v>
      </c>
      <c r="K340" s="439">
        <v>1</v>
      </c>
      <c r="L340" s="440" t="s">
        <v>5936</v>
      </c>
    </row>
    <row r="341" spans="1:12" ht="14" x14ac:dyDescent="0.3">
      <c r="A341" s="439" t="str">
        <f t="shared" si="5"/>
        <v>TSR282</v>
      </c>
      <c r="B341" s="439">
        <v>282</v>
      </c>
      <c r="C341" s="439">
        <v>1</v>
      </c>
      <c r="D341" s="439">
        <v>335</v>
      </c>
      <c r="E341" s="440" t="s">
        <v>2772</v>
      </c>
      <c r="F341" s="441" t="s">
        <v>5938</v>
      </c>
      <c r="G341" s="442">
        <v>10000</v>
      </c>
      <c r="H341" s="442"/>
      <c r="I341" s="443">
        <v>40</v>
      </c>
      <c r="J341" s="439">
        <v>282</v>
      </c>
      <c r="K341" s="439">
        <v>1</v>
      </c>
      <c r="L341" s="440" t="s">
        <v>5936</v>
      </c>
    </row>
    <row r="342" spans="1:12" ht="14" x14ac:dyDescent="0.3">
      <c r="A342" s="439" t="str">
        <f t="shared" si="5"/>
        <v>TSR283</v>
      </c>
      <c r="B342" s="439">
        <v>283</v>
      </c>
      <c r="C342" s="439">
        <v>1</v>
      </c>
      <c r="D342" s="439">
        <v>336</v>
      </c>
      <c r="E342" s="440" t="s">
        <v>2772</v>
      </c>
      <c r="F342" s="441" t="s">
        <v>5939</v>
      </c>
      <c r="G342" s="442">
        <v>10000</v>
      </c>
      <c r="H342" s="442"/>
      <c r="I342" s="443">
        <v>40</v>
      </c>
      <c r="J342" s="439">
        <v>283</v>
      </c>
      <c r="K342" s="439">
        <v>1</v>
      </c>
      <c r="L342" s="440" t="s">
        <v>5936</v>
      </c>
    </row>
    <row r="343" spans="1:12" ht="14" x14ac:dyDescent="0.3">
      <c r="A343" s="439" t="str">
        <f t="shared" si="5"/>
        <v>TSR284</v>
      </c>
      <c r="B343" s="439">
        <v>284</v>
      </c>
      <c r="C343" s="439">
        <v>1</v>
      </c>
      <c r="D343" s="439">
        <v>337</v>
      </c>
      <c r="E343" s="440" t="s">
        <v>2772</v>
      </c>
      <c r="F343" s="441" t="s">
        <v>5940</v>
      </c>
      <c r="G343" s="442">
        <v>10000</v>
      </c>
      <c r="H343" s="442"/>
      <c r="I343" s="443">
        <v>40</v>
      </c>
      <c r="J343" s="439">
        <v>284</v>
      </c>
      <c r="K343" s="439">
        <v>1</v>
      </c>
      <c r="L343" s="440" t="s">
        <v>5936</v>
      </c>
    </row>
    <row r="344" spans="1:12" ht="14" x14ac:dyDescent="0.3">
      <c r="A344" s="439" t="str">
        <f t="shared" si="5"/>
        <v>TSR514</v>
      </c>
      <c r="B344" s="439">
        <v>514</v>
      </c>
      <c r="C344" s="439">
        <v>1</v>
      </c>
      <c r="D344" s="439">
        <v>338</v>
      </c>
      <c r="E344" s="440" t="s">
        <v>2772</v>
      </c>
      <c r="F344" s="441" t="s">
        <v>5941</v>
      </c>
      <c r="G344" s="442">
        <v>10000</v>
      </c>
      <c r="H344" s="442"/>
      <c r="I344" s="443">
        <v>40</v>
      </c>
      <c r="J344" s="439">
        <v>514</v>
      </c>
      <c r="K344" s="439">
        <v>1</v>
      </c>
      <c r="L344" s="440" t="s">
        <v>5936</v>
      </c>
    </row>
    <row r="345" spans="1:12" ht="14" x14ac:dyDescent="0.3">
      <c r="A345" s="439" t="str">
        <f t="shared" si="5"/>
        <v>TSR515</v>
      </c>
      <c r="B345" s="439">
        <v>515</v>
      </c>
      <c r="C345" s="439">
        <v>1</v>
      </c>
      <c r="D345" s="439">
        <v>339</v>
      </c>
      <c r="E345" s="440" t="s">
        <v>2772</v>
      </c>
      <c r="F345" s="441" t="s">
        <v>5942</v>
      </c>
      <c r="G345" s="442">
        <v>10000</v>
      </c>
      <c r="H345" s="442"/>
      <c r="I345" s="443">
        <v>40</v>
      </c>
      <c r="J345" s="439">
        <v>515</v>
      </c>
      <c r="K345" s="439">
        <v>1</v>
      </c>
      <c r="L345" s="440" t="s">
        <v>5936</v>
      </c>
    </row>
    <row r="346" spans="1:12" ht="14" x14ac:dyDescent="0.3">
      <c r="A346" s="439" t="str">
        <f t="shared" si="5"/>
        <v>TSR521</v>
      </c>
      <c r="B346" s="439">
        <v>521</v>
      </c>
      <c r="C346" s="439">
        <v>1</v>
      </c>
      <c r="D346" s="439">
        <v>340</v>
      </c>
      <c r="E346" s="440" t="s">
        <v>2772</v>
      </c>
      <c r="F346" s="441" t="s">
        <v>5943</v>
      </c>
      <c r="G346" s="442">
        <v>10000</v>
      </c>
      <c r="H346" s="442"/>
      <c r="I346" s="443">
        <v>40</v>
      </c>
      <c r="J346" s="439">
        <v>521</v>
      </c>
      <c r="K346" s="439">
        <v>1</v>
      </c>
      <c r="L346" s="440" t="s">
        <v>5936</v>
      </c>
    </row>
    <row r="347" spans="1:12" ht="14" x14ac:dyDescent="0.3">
      <c r="A347" s="439" t="str">
        <f t="shared" si="5"/>
        <v>TSR525</v>
      </c>
      <c r="B347" s="439">
        <v>525</v>
      </c>
      <c r="C347" s="439">
        <v>1</v>
      </c>
      <c r="D347" s="439">
        <v>341</v>
      </c>
      <c r="E347" s="440" t="s">
        <v>2772</v>
      </c>
      <c r="F347" s="441" t="s">
        <v>5944</v>
      </c>
      <c r="G347" s="442">
        <v>10000</v>
      </c>
      <c r="H347" s="442"/>
      <c r="I347" s="443">
        <v>40</v>
      </c>
      <c r="J347" s="439">
        <v>525</v>
      </c>
      <c r="K347" s="439">
        <v>1</v>
      </c>
      <c r="L347" s="440" t="s">
        <v>5936</v>
      </c>
    </row>
    <row r="348" spans="1:12" ht="14" x14ac:dyDescent="0.3">
      <c r="A348" s="439" t="str">
        <f t="shared" si="5"/>
        <v>TSR528</v>
      </c>
      <c r="B348" s="439">
        <v>528</v>
      </c>
      <c r="C348" s="439">
        <v>1</v>
      </c>
      <c r="D348" s="439">
        <v>342</v>
      </c>
      <c r="E348" s="440" t="s">
        <v>2772</v>
      </c>
      <c r="F348" s="441" t="s">
        <v>5945</v>
      </c>
      <c r="G348" s="442">
        <v>10000</v>
      </c>
      <c r="H348" s="442"/>
      <c r="I348" s="443">
        <v>40</v>
      </c>
      <c r="J348" s="439">
        <v>528</v>
      </c>
      <c r="K348" s="439">
        <v>1</v>
      </c>
      <c r="L348" s="440" t="s">
        <v>5936</v>
      </c>
    </row>
    <row r="349" spans="1:12" ht="14" x14ac:dyDescent="0.3">
      <c r="A349" s="439" t="str">
        <f t="shared" si="5"/>
        <v>TSR535</v>
      </c>
      <c r="B349" s="439">
        <v>535</v>
      </c>
      <c r="C349" s="439">
        <v>1</v>
      </c>
      <c r="D349" s="439">
        <v>343</v>
      </c>
      <c r="E349" s="440" t="s">
        <v>2772</v>
      </c>
      <c r="F349" s="441" t="s">
        <v>5946</v>
      </c>
      <c r="G349" s="442">
        <v>10000</v>
      </c>
      <c r="H349" s="442"/>
      <c r="I349" s="443">
        <v>40</v>
      </c>
      <c r="J349" s="439">
        <v>535</v>
      </c>
      <c r="K349" s="439">
        <v>1</v>
      </c>
      <c r="L349" s="440" t="s">
        <v>5936</v>
      </c>
    </row>
    <row r="350" spans="1:12" ht="14" x14ac:dyDescent="0.3">
      <c r="A350" s="439" t="str">
        <f t="shared" si="5"/>
        <v>TSR550</v>
      </c>
      <c r="B350" s="439">
        <v>550</v>
      </c>
      <c r="C350" s="439">
        <v>1</v>
      </c>
      <c r="D350" s="439">
        <v>344</v>
      </c>
      <c r="E350" s="440" t="s">
        <v>2772</v>
      </c>
      <c r="F350" s="441" t="s">
        <v>5947</v>
      </c>
      <c r="G350" s="442">
        <v>10000</v>
      </c>
      <c r="H350" s="442"/>
      <c r="I350" s="443">
        <v>40</v>
      </c>
      <c r="J350" s="439">
        <v>550</v>
      </c>
      <c r="K350" s="439">
        <v>1</v>
      </c>
      <c r="L350" s="440" t="s">
        <v>5936</v>
      </c>
    </row>
    <row r="351" spans="1:12" ht="14" x14ac:dyDescent="0.3">
      <c r="A351" s="439" t="str">
        <f t="shared" si="5"/>
        <v>TSR580</v>
      </c>
      <c r="B351" s="439">
        <v>580</v>
      </c>
      <c r="C351" s="439">
        <v>1</v>
      </c>
      <c r="D351" s="439">
        <v>345</v>
      </c>
      <c r="E351" s="440" t="s">
        <v>2772</v>
      </c>
      <c r="F351" s="441" t="s">
        <v>5948</v>
      </c>
      <c r="G351" s="442">
        <v>10000</v>
      </c>
      <c r="H351" s="442"/>
      <c r="I351" s="443">
        <v>40</v>
      </c>
      <c r="J351" s="439">
        <v>580</v>
      </c>
      <c r="K351" s="439">
        <v>1</v>
      </c>
      <c r="L351" s="440" t="s">
        <v>5936</v>
      </c>
    </row>
    <row r="352" spans="1:12" ht="14" x14ac:dyDescent="0.3">
      <c r="A352" s="439" t="str">
        <f t="shared" si="5"/>
        <v>TSR591</v>
      </c>
      <c r="B352" s="439">
        <v>591</v>
      </c>
      <c r="C352" s="439">
        <v>1</v>
      </c>
      <c r="D352" s="439">
        <v>346</v>
      </c>
      <c r="E352" s="440" t="s">
        <v>2772</v>
      </c>
      <c r="F352" s="441" t="s">
        <v>5949</v>
      </c>
      <c r="G352" s="442">
        <v>10000</v>
      </c>
      <c r="H352" s="442"/>
      <c r="I352" s="443">
        <v>40</v>
      </c>
      <c r="J352" s="439">
        <v>591</v>
      </c>
      <c r="K352" s="439">
        <v>1</v>
      </c>
      <c r="L352" s="440" t="s">
        <v>5936</v>
      </c>
    </row>
    <row r="353" spans="1:12" ht="14" x14ac:dyDescent="0.3">
      <c r="A353" s="439" t="str">
        <f t="shared" si="5"/>
        <v>TSR594</v>
      </c>
      <c r="B353" s="439">
        <v>594</v>
      </c>
      <c r="C353" s="439">
        <v>1</v>
      </c>
      <c r="D353" s="439">
        <v>347</v>
      </c>
      <c r="E353" s="440" t="s">
        <v>2772</v>
      </c>
      <c r="F353" s="441" t="s">
        <v>5950</v>
      </c>
      <c r="G353" s="442">
        <v>10000</v>
      </c>
      <c r="H353" s="442"/>
      <c r="I353" s="443">
        <v>40</v>
      </c>
      <c r="J353" s="439">
        <v>594</v>
      </c>
      <c r="K353" s="439">
        <v>1</v>
      </c>
      <c r="L353" s="440" t="s">
        <v>5936</v>
      </c>
    </row>
    <row r="354" spans="1:12" ht="14" x14ac:dyDescent="0.3">
      <c r="A354" s="439" t="str">
        <f t="shared" si="5"/>
        <v>TSR595</v>
      </c>
      <c r="B354" s="439">
        <v>595</v>
      </c>
      <c r="C354" s="439">
        <v>1</v>
      </c>
      <c r="D354" s="439">
        <v>348</v>
      </c>
      <c r="E354" s="440" t="s">
        <v>2772</v>
      </c>
      <c r="F354" s="441" t="s">
        <v>5951</v>
      </c>
      <c r="G354" s="442">
        <v>10000</v>
      </c>
      <c r="H354" s="442"/>
      <c r="I354" s="443">
        <v>40</v>
      </c>
      <c r="J354" s="439">
        <v>595</v>
      </c>
      <c r="K354" s="439">
        <v>1</v>
      </c>
      <c r="L354" s="440" t="s">
        <v>5936</v>
      </c>
    </row>
    <row r="355" spans="1:12" ht="14" x14ac:dyDescent="0.3">
      <c r="A355" s="439" t="str">
        <f t="shared" si="5"/>
        <v>TSR596</v>
      </c>
      <c r="B355" s="439">
        <v>596</v>
      </c>
      <c r="C355" s="439">
        <v>1</v>
      </c>
      <c r="D355" s="439">
        <v>349</v>
      </c>
      <c r="E355" s="440" t="s">
        <v>2772</v>
      </c>
      <c r="F355" s="441" t="s">
        <v>5952</v>
      </c>
      <c r="G355" s="442">
        <v>10000</v>
      </c>
      <c r="H355" s="442"/>
      <c r="I355" s="443">
        <v>40</v>
      </c>
      <c r="J355" s="439">
        <v>596</v>
      </c>
      <c r="K355" s="439">
        <v>1</v>
      </c>
      <c r="L355" s="440" t="s">
        <v>5936</v>
      </c>
    </row>
    <row r="356" spans="1:12" ht="14" x14ac:dyDescent="0.3">
      <c r="A356" s="439" t="str">
        <f t="shared" si="5"/>
        <v>TSR597</v>
      </c>
      <c r="B356" s="439">
        <v>597</v>
      </c>
      <c r="C356" s="439">
        <v>1</v>
      </c>
      <c r="D356" s="439">
        <v>350</v>
      </c>
      <c r="E356" s="440" t="s">
        <v>2772</v>
      </c>
      <c r="F356" s="441" t="s">
        <v>5953</v>
      </c>
      <c r="G356" s="442">
        <v>10000</v>
      </c>
      <c r="H356" s="442"/>
      <c r="I356" s="443">
        <v>40</v>
      </c>
      <c r="J356" s="439">
        <v>597</v>
      </c>
      <c r="K356" s="439">
        <v>1</v>
      </c>
      <c r="L356" s="440" t="s">
        <v>5936</v>
      </c>
    </row>
    <row r="357" spans="1:12" ht="14" x14ac:dyDescent="0.3">
      <c r="A357" s="439" t="str">
        <f t="shared" si="5"/>
        <v>TSR696</v>
      </c>
      <c r="B357" s="439">
        <v>696</v>
      </c>
      <c r="C357" s="439">
        <v>1</v>
      </c>
      <c r="D357" s="439">
        <v>351</v>
      </c>
      <c r="E357" s="440" t="s">
        <v>2772</v>
      </c>
      <c r="F357" s="441" t="s">
        <v>5954</v>
      </c>
      <c r="G357" s="442">
        <v>10000</v>
      </c>
      <c r="H357" s="442"/>
      <c r="I357" s="443">
        <v>40</v>
      </c>
      <c r="J357" s="439">
        <v>696</v>
      </c>
      <c r="K357" s="439">
        <v>1</v>
      </c>
      <c r="L357" s="440" t="s">
        <v>5936</v>
      </c>
    </row>
    <row r="358" spans="1:12" ht="14" x14ac:dyDescent="0.3">
      <c r="A358" s="439" t="str">
        <f t="shared" si="5"/>
        <v>TSR697</v>
      </c>
      <c r="B358" s="439">
        <v>697</v>
      </c>
      <c r="C358" s="439">
        <v>1</v>
      </c>
      <c r="D358" s="439">
        <v>352</v>
      </c>
      <c r="E358" s="440" t="s">
        <v>2772</v>
      </c>
      <c r="F358" s="441" t="s">
        <v>5955</v>
      </c>
      <c r="G358" s="442">
        <v>10000</v>
      </c>
      <c r="H358" s="442"/>
      <c r="I358" s="443">
        <v>40</v>
      </c>
      <c r="J358" s="439">
        <v>697</v>
      </c>
      <c r="K358" s="439">
        <v>1</v>
      </c>
      <c r="L358" s="440" t="s">
        <v>5936</v>
      </c>
    </row>
    <row r="359" spans="1:12" ht="14" x14ac:dyDescent="0.3">
      <c r="A359" s="439" t="str">
        <f t="shared" si="5"/>
        <v>TSR698</v>
      </c>
      <c r="B359" s="439">
        <v>698</v>
      </c>
      <c r="C359" s="439">
        <v>1</v>
      </c>
      <c r="D359" s="439">
        <v>353</v>
      </c>
      <c r="E359" s="440" t="s">
        <v>2772</v>
      </c>
      <c r="F359" s="441" t="s">
        <v>5956</v>
      </c>
      <c r="G359" s="442">
        <v>10000</v>
      </c>
      <c r="H359" s="442"/>
      <c r="I359" s="443">
        <v>50</v>
      </c>
      <c r="J359" s="439">
        <v>698</v>
      </c>
      <c r="K359" s="439">
        <v>1</v>
      </c>
      <c r="L359" s="440" t="s">
        <v>5936</v>
      </c>
    </row>
    <row r="360" spans="1:12" ht="14" x14ac:dyDescent="0.3">
      <c r="A360" s="439" t="str">
        <f t="shared" si="5"/>
        <v>TSR716</v>
      </c>
      <c r="B360" s="439">
        <v>716</v>
      </c>
      <c r="C360" s="439">
        <v>1</v>
      </c>
      <c r="D360" s="439">
        <v>354</v>
      </c>
      <c r="E360" s="440" t="s">
        <v>2772</v>
      </c>
      <c r="F360" s="441" t="s">
        <v>5957</v>
      </c>
      <c r="G360" s="442">
        <v>10000</v>
      </c>
      <c r="H360" s="442"/>
      <c r="I360" s="443">
        <v>40</v>
      </c>
      <c r="J360" s="439">
        <v>716</v>
      </c>
      <c r="K360" s="439">
        <v>1</v>
      </c>
      <c r="L360" s="440" t="s">
        <v>5936</v>
      </c>
    </row>
    <row r="361" spans="1:12" ht="14" x14ac:dyDescent="0.3">
      <c r="A361" s="439" t="str">
        <f t="shared" si="5"/>
        <v>TSR717</v>
      </c>
      <c r="B361" s="439">
        <v>717</v>
      </c>
      <c r="C361" s="439">
        <v>1</v>
      </c>
      <c r="D361" s="439">
        <v>355</v>
      </c>
      <c r="E361" s="440" t="s">
        <v>2772</v>
      </c>
      <c r="F361" s="441" t="s">
        <v>5958</v>
      </c>
      <c r="G361" s="442">
        <v>10000</v>
      </c>
      <c r="H361" s="442"/>
      <c r="I361" s="443">
        <v>40</v>
      </c>
      <c r="J361" s="439">
        <v>717</v>
      </c>
      <c r="K361" s="439">
        <v>1</v>
      </c>
      <c r="L361" s="440" t="s">
        <v>5936</v>
      </c>
    </row>
    <row r="362" spans="1:12" ht="14" x14ac:dyDescent="0.3">
      <c r="A362" s="439" t="str">
        <f t="shared" si="5"/>
        <v>TSR723</v>
      </c>
      <c r="B362" s="439">
        <v>723</v>
      </c>
      <c r="C362" s="439">
        <v>1</v>
      </c>
      <c r="D362" s="439">
        <v>356</v>
      </c>
      <c r="E362" s="440" t="s">
        <v>2772</v>
      </c>
      <c r="F362" s="441" t="s">
        <v>5959</v>
      </c>
      <c r="G362" s="442">
        <v>10000</v>
      </c>
      <c r="H362" s="442"/>
      <c r="I362" s="443">
        <v>40</v>
      </c>
      <c r="J362" s="439">
        <v>723</v>
      </c>
      <c r="K362" s="439">
        <v>1</v>
      </c>
      <c r="L362" s="440" t="s">
        <v>5936</v>
      </c>
    </row>
    <row r="363" spans="1:12" ht="14" x14ac:dyDescent="0.3">
      <c r="A363" s="439" t="str">
        <f t="shared" si="5"/>
        <v>TSR726</v>
      </c>
      <c r="B363" s="439">
        <v>726</v>
      </c>
      <c r="C363" s="439">
        <v>1</v>
      </c>
      <c r="D363" s="439">
        <v>357</v>
      </c>
      <c r="E363" s="440" t="s">
        <v>2772</v>
      </c>
      <c r="F363" s="441" t="s">
        <v>5960</v>
      </c>
      <c r="G363" s="442">
        <v>10000</v>
      </c>
      <c r="H363" s="442"/>
      <c r="I363" s="443">
        <v>40</v>
      </c>
      <c r="J363" s="439">
        <v>726</v>
      </c>
      <c r="K363" s="439">
        <v>1</v>
      </c>
      <c r="L363" s="440" t="s">
        <v>5936</v>
      </c>
    </row>
    <row r="364" spans="1:12" ht="14" x14ac:dyDescent="0.3">
      <c r="A364" s="439" t="str">
        <f t="shared" si="5"/>
        <v>TSR733</v>
      </c>
      <c r="B364" s="439">
        <v>733</v>
      </c>
      <c r="C364" s="439">
        <v>1</v>
      </c>
      <c r="D364" s="439">
        <v>358</v>
      </c>
      <c r="E364" s="440" t="s">
        <v>2772</v>
      </c>
      <c r="F364" s="441" t="s">
        <v>5961</v>
      </c>
      <c r="G364" s="442">
        <v>10000</v>
      </c>
      <c r="H364" s="442"/>
      <c r="I364" s="443">
        <v>40</v>
      </c>
      <c r="J364" s="439">
        <v>733</v>
      </c>
      <c r="K364" s="439">
        <v>1</v>
      </c>
      <c r="L364" s="440" t="s">
        <v>5936</v>
      </c>
    </row>
    <row r="365" spans="1:12" ht="14" x14ac:dyDescent="0.3">
      <c r="A365" s="439" t="str">
        <f t="shared" si="5"/>
        <v>TSR734</v>
      </c>
      <c r="B365" s="439">
        <v>734</v>
      </c>
      <c r="C365" s="439">
        <v>1</v>
      </c>
      <c r="D365" s="439">
        <v>359</v>
      </c>
      <c r="E365" s="440" t="s">
        <v>2772</v>
      </c>
      <c r="F365" s="441" t="s">
        <v>5962</v>
      </c>
      <c r="G365" s="442">
        <v>10000</v>
      </c>
      <c r="H365" s="442"/>
      <c r="I365" s="443">
        <v>40</v>
      </c>
      <c r="J365" s="439">
        <v>734</v>
      </c>
      <c r="K365" s="439">
        <v>1</v>
      </c>
      <c r="L365" s="440" t="s">
        <v>5936</v>
      </c>
    </row>
    <row r="366" spans="1:12" ht="14" x14ac:dyDescent="0.3">
      <c r="A366" s="439" t="str">
        <f t="shared" si="5"/>
        <v>TSR741</v>
      </c>
      <c r="B366" s="439">
        <v>741</v>
      </c>
      <c r="C366" s="439">
        <v>1</v>
      </c>
      <c r="D366" s="439">
        <v>360</v>
      </c>
      <c r="E366" s="440" t="s">
        <v>2772</v>
      </c>
      <c r="F366" s="441" t="s">
        <v>5963</v>
      </c>
      <c r="G366" s="442">
        <v>10000</v>
      </c>
      <c r="H366" s="442"/>
      <c r="I366" s="443">
        <v>40</v>
      </c>
      <c r="J366" s="439">
        <v>741</v>
      </c>
      <c r="K366" s="439">
        <v>1</v>
      </c>
      <c r="L366" s="440" t="s">
        <v>5936</v>
      </c>
    </row>
    <row r="367" spans="1:12" ht="14" x14ac:dyDescent="0.3">
      <c r="A367" s="439" t="str">
        <f t="shared" si="5"/>
        <v>TSR752</v>
      </c>
      <c r="B367" s="439">
        <v>752</v>
      </c>
      <c r="C367" s="439">
        <v>1</v>
      </c>
      <c r="D367" s="439">
        <v>361</v>
      </c>
      <c r="E367" s="440" t="s">
        <v>2772</v>
      </c>
      <c r="F367" s="441" t="s">
        <v>5964</v>
      </c>
      <c r="G367" s="442">
        <v>10000</v>
      </c>
      <c r="H367" s="442"/>
      <c r="I367" s="443">
        <v>40</v>
      </c>
      <c r="J367" s="439">
        <v>752</v>
      </c>
      <c r="K367" s="439">
        <v>1</v>
      </c>
      <c r="L367" s="440" t="s">
        <v>5936</v>
      </c>
    </row>
    <row r="368" spans="1:12" ht="14" x14ac:dyDescent="0.3">
      <c r="A368" s="439" t="str">
        <f t="shared" si="5"/>
        <v>TSR757</v>
      </c>
      <c r="B368" s="439">
        <v>757</v>
      </c>
      <c r="C368" s="439">
        <v>1</v>
      </c>
      <c r="D368" s="439">
        <v>362</v>
      </c>
      <c r="E368" s="440" t="s">
        <v>2772</v>
      </c>
      <c r="F368" s="441" t="s">
        <v>5965</v>
      </c>
      <c r="G368" s="442">
        <v>10000</v>
      </c>
      <c r="H368" s="442"/>
      <c r="I368" s="443">
        <v>40</v>
      </c>
      <c r="J368" s="439">
        <v>757</v>
      </c>
      <c r="K368" s="439">
        <v>1</v>
      </c>
      <c r="L368" s="440" t="s">
        <v>5936</v>
      </c>
    </row>
    <row r="369" spans="1:12" ht="14" x14ac:dyDescent="0.3">
      <c r="A369" s="439" t="str">
        <f t="shared" si="5"/>
        <v>TSR810</v>
      </c>
      <c r="B369" s="439">
        <v>810</v>
      </c>
      <c r="C369" s="439">
        <v>1</v>
      </c>
      <c r="D369" s="439">
        <v>363</v>
      </c>
      <c r="E369" s="440" t="s">
        <v>2772</v>
      </c>
      <c r="F369" s="441" t="s">
        <v>5966</v>
      </c>
      <c r="G369" s="442">
        <v>10000</v>
      </c>
      <c r="H369" s="442"/>
      <c r="I369" s="443">
        <v>40</v>
      </c>
      <c r="J369" s="439">
        <v>810</v>
      </c>
      <c r="K369" s="439">
        <v>1</v>
      </c>
      <c r="L369" s="440" t="s">
        <v>5936</v>
      </c>
    </row>
    <row r="370" spans="1:12" ht="14" x14ac:dyDescent="0.3">
      <c r="A370" s="439" t="str">
        <f t="shared" si="5"/>
        <v>TSR821</v>
      </c>
      <c r="B370" s="439">
        <v>821</v>
      </c>
      <c r="C370" s="439">
        <v>1</v>
      </c>
      <c r="D370" s="439">
        <v>364</v>
      </c>
      <c r="E370" s="440" t="s">
        <v>2772</v>
      </c>
      <c r="F370" s="441" t="s">
        <v>5967</v>
      </c>
      <c r="G370" s="442">
        <v>10000</v>
      </c>
      <c r="H370" s="442"/>
      <c r="I370" s="443">
        <v>40</v>
      </c>
      <c r="J370" s="439">
        <v>821</v>
      </c>
      <c r="K370" s="439">
        <v>1</v>
      </c>
      <c r="L370" s="440" t="s">
        <v>5936</v>
      </c>
    </row>
    <row r="371" spans="1:12" ht="14" x14ac:dyDescent="0.3">
      <c r="A371" s="439" t="str">
        <f t="shared" si="5"/>
        <v>TSR825</v>
      </c>
      <c r="B371" s="439">
        <v>825</v>
      </c>
      <c r="C371" s="439">
        <v>1</v>
      </c>
      <c r="D371" s="439">
        <v>365</v>
      </c>
      <c r="E371" s="440" t="s">
        <v>2772</v>
      </c>
      <c r="F371" s="441" t="s">
        <v>5968</v>
      </c>
      <c r="G371" s="442">
        <v>10000</v>
      </c>
      <c r="H371" s="442"/>
      <c r="I371" s="443">
        <v>40</v>
      </c>
      <c r="J371" s="439">
        <v>825</v>
      </c>
      <c r="K371" s="439">
        <v>1</v>
      </c>
      <c r="L371" s="440" t="s">
        <v>5936</v>
      </c>
    </row>
    <row r="372" spans="1:12" ht="14" x14ac:dyDescent="0.3">
      <c r="A372" s="439" t="str">
        <f t="shared" si="5"/>
        <v>TSR830</v>
      </c>
      <c r="B372" s="439">
        <v>830</v>
      </c>
      <c r="C372" s="439">
        <v>1</v>
      </c>
      <c r="D372" s="439">
        <v>366</v>
      </c>
      <c r="E372" s="440" t="s">
        <v>2772</v>
      </c>
      <c r="F372" s="441" t="s">
        <v>5969</v>
      </c>
      <c r="G372" s="442">
        <v>10000</v>
      </c>
      <c r="H372" s="442"/>
      <c r="I372" s="443">
        <v>40</v>
      </c>
      <c r="J372" s="439">
        <v>830</v>
      </c>
      <c r="K372" s="439">
        <v>1</v>
      </c>
      <c r="L372" s="440" t="s">
        <v>5936</v>
      </c>
    </row>
    <row r="373" spans="1:12" ht="14" x14ac:dyDescent="0.3">
      <c r="A373" s="439" t="str">
        <f t="shared" si="5"/>
        <v>TSR841</v>
      </c>
      <c r="B373" s="439">
        <v>841</v>
      </c>
      <c r="C373" s="439">
        <v>1</v>
      </c>
      <c r="D373" s="439">
        <v>367</v>
      </c>
      <c r="E373" s="440" t="s">
        <v>2772</v>
      </c>
      <c r="F373" s="441" t="s">
        <v>5970</v>
      </c>
      <c r="G373" s="442">
        <v>10000</v>
      </c>
      <c r="H373" s="442"/>
      <c r="I373" s="443">
        <v>40</v>
      </c>
      <c r="J373" s="439">
        <v>841</v>
      </c>
      <c r="K373" s="439">
        <v>1</v>
      </c>
      <c r="L373" s="440" t="s">
        <v>5936</v>
      </c>
    </row>
    <row r="374" spans="1:12" ht="14" x14ac:dyDescent="0.3">
      <c r="A374" s="439" t="str">
        <f t="shared" si="5"/>
        <v>TSR845</v>
      </c>
      <c r="B374" s="439">
        <v>845</v>
      </c>
      <c r="C374" s="439">
        <v>1</v>
      </c>
      <c r="D374" s="439">
        <v>368</v>
      </c>
      <c r="E374" s="440" t="s">
        <v>2772</v>
      </c>
      <c r="F374" s="441" t="s">
        <v>5971</v>
      </c>
      <c r="G374" s="442">
        <v>10000</v>
      </c>
      <c r="H374" s="442"/>
      <c r="I374" s="443">
        <v>40</v>
      </c>
      <c r="J374" s="439">
        <v>845</v>
      </c>
      <c r="K374" s="439">
        <v>1</v>
      </c>
      <c r="L374" s="440" t="s">
        <v>5936</v>
      </c>
    </row>
    <row r="375" spans="1:12" ht="14" x14ac:dyDescent="0.3">
      <c r="A375" s="439" t="str">
        <f t="shared" si="5"/>
        <v>TSR850</v>
      </c>
      <c r="B375" s="439">
        <v>850</v>
      </c>
      <c r="C375" s="439">
        <v>1</v>
      </c>
      <c r="D375" s="439">
        <v>369</v>
      </c>
      <c r="E375" s="440" t="s">
        <v>2772</v>
      </c>
      <c r="F375" s="441" t="s">
        <v>5972</v>
      </c>
      <c r="G375" s="442">
        <v>10000</v>
      </c>
      <c r="H375" s="442"/>
      <c r="I375" s="443">
        <v>40</v>
      </c>
      <c r="J375" s="439">
        <v>850</v>
      </c>
      <c r="K375" s="439">
        <v>1</v>
      </c>
      <c r="L375" s="440" t="s">
        <v>5936</v>
      </c>
    </row>
    <row r="376" spans="1:12" ht="14" x14ac:dyDescent="0.3">
      <c r="A376" s="439" t="str">
        <f t="shared" si="5"/>
        <v>TSR860</v>
      </c>
      <c r="B376" s="439">
        <v>860</v>
      </c>
      <c r="C376" s="439">
        <v>1</v>
      </c>
      <c r="D376" s="439">
        <v>370</v>
      </c>
      <c r="E376" s="440" t="s">
        <v>2772</v>
      </c>
      <c r="F376" s="441" t="s">
        <v>5973</v>
      </c>
      <c r="G376" s="442">
        <v>10000</v>
      </c>
      <c r="H376" s="442"/>
      <c r="I376" s="443">
        <v>40</v>
      </c>
      <c r="J376" s="439">
        <v>860</v>
      </c>
      <c r="K376" s="439">
        <v>1</v>
      </c>
      <c r="L376" s="440" t="s">
        <v>5936</v>
      </c>
    </row>
    <row r="377" spans="1:12" ht="14" x14ac:dyDescent="0.3">
      <c r="A377" s="439" t="str">
        <f t="shared" si="5"/>
        <v>TSR871</v>
      </c>
      <c r="B377" s="439">
        <v>871</v>
      </c>
      <c r="C377" s="439">
        <v>1</v>
      </c>
      <c r="D377" s="439">
        <v>371</v>
      </c>
      <c r="E377" s="440" t="s">
        <v>2772</v>
      </c>
      <c r="F377" s="441" t="s">
        <v>5974</v>
      </c>
      <c r="G377" s="442">
        <v>10000</v>
      </c>
      <c r="H377" s="442"/>
      <c r="I377" s="443">
        <v>40</v>
      </c>
      <c r="J377" s="439">
        <v>871</v>
      </c>
      <c r="K377" s="439">
        <v>1</v>
      </c>
      <c r="L377" s="440" t="s">
        <v>5936</v>
      </c>
    </row>
    <row r="378" spans="1:12" ht="14" x14ac:dyDescent="0.3">
      <c r="A378" s="439" t="str">
        <f t="shared" si="5"/>
        <v>TSR872</v>
      </c>
      <c r="B378" s="439">
        <v>872</v>
      </c>
      <c r="C378" s="439">
        <v>1</v>
      </c>
      <c r="D378" s="439">
        <v>372</v>
      </c>
      <c r="E378" s="440" t="s">
        <v>2772</v>
      </c>
      <c r="F378" s="441" t="s">
        <v>5975</v>
      </c>
      <c r="G378" s="442">
        <v>10000</v>
      </c>
      <c r="H378" s="442"/>
      <c r="I378" s="443">
        <v>40</v>
      </c>
      <c r="J378" s="439">
        <v>872</v>
      </c>
      <c r="K378" s="439">
        <v>1</v>
      </c>
      <c r="L378" s="440" t="s">
        <v>5936</v>
      </c>
    </row>
    <row r="379" spans="1:12" ht="14" x14ac:dyDescent="0.3">
      <c r="A379" s="439" t="str">
        <f t="shared" si="5"/>
        <v>TSR873</v>
      </c>
      <c r="B379" s="439">
        <v>873</v>
      </c>
      <c r="C379" s="439">
        <v>1</v>
      </c>
      <c r="D379" s="439">
        <v>373</v>
      </c>
      <c r="E379" s="440" t="s">
        <v>2772</v>
      </c>
      <c r="F379" s="441" t="s">
        <v>5976</v>
      </c>
      <c r="G379" s="442">
        <v>10000</v>
      </c>
      <c r="H379" s="442"/>
      <c r="I379" s="443">
        <v>40</v>
      </c>
      <c r="J379" s="439">
        <v>873</v>
      </c>
      <c r="K379" s="439">
        <v>1</v>
      </c>
      <c r="L379" s="440" t="s">
        <v>5936</v>
      </c>
    </row>
    <row r="380" spans="1:12" ht="14" x14ac:dyDescent="0.3">
      <c r="A380" s="439" t="str">
        <f t="shared" si="5"/>
        <v>TSR874</v>
      </c>
      <c r="B380" s="439">
        <v>874</v>
      </c>
      <c r="C380" s="439">
        <v>1</v>
      </c>
      <c r="D380" s="439">
        <v>374</v>
      </c>
      <c r="E380" s="440" t="s">
        <v>2772</v>
      </c>
      <c r="F380" s="441" t="s">
        <v>5977</v>
      </c>
      <c r="G380" s="442">
        <v>10000</v>
      </c>
      <c r="H380" s="442"/>
      <c r="I380" s="443">
        <v>40</v>
      </c>
      <c r="J380" s="439">
        <v>874</v>
      </c>
      <c r="K380" s="439">
        <v>1</v>
      </c>
      <c r="L380" s="440" t="s">
        <v>5936</v>
      </c>
    </row>
    <row r="381" spans="1:12" ht="14" x14ac:dyDescent="0.3">
      <c r="A381" s="439" t="str">
        <f t="shared" si="5"/>
        <v>TSR875</v>
      </c>
      <c r="B381" s="439">
        <v>875</v>
      </c>
      <c r="C381" s="439">
        <v>1</v>
      </c>
      <c r="D381" s="439">
        <v>375</v>
      </c>
      <c r="E381" s="440" t="s">
        <v>2772</v>
      </c>
      <c r="F381" s="441" t="s">
        <v>5978</v>
      </c>
      <c r="G381" s="442">
        <v>10000</v>
      </c>
      <c r="H381" s="442"/>
      <c r="I381" s="443">
        <v>40</v>
      </c>
      <c r="J381" s="439">
        <v>875</v>
      </c>
      <c r="K381" s="439">
        <v>1</v>
      </c>
      <c r="L381" s="440" t="s">
        <v>5936</v>
      </c>
    </row>
    <row r="382" spans="1:12" ht="14" x14ac:dyDescent="0.3">
      <c r="A382" s="439" t="str">
        <f t="shared" si="5"/>
        <v>TSR896</v>
      </c>
      <c r="B382" s="439">
        <v>896</v>
      </c>
      <c r="C382" s="439">
        <v>1</v>
      </c>
      <c r="D382" s="439">
        <v>376</v>
      </c>
      <c r="E382" s="440" t="s">
        <v>2772</v>
      </c>
      <c r="F382" s="441" t="s">
        <v>5979</v>
      </c>
      <c r="G382" s="442">
        <v>10000</v>
      </c>
      <c r="H382" s="442"/>
      <c r="I382" s="443">
        <v>40</v>
      </c>
      <c r="J382" s="439">
        <v>896</v>
      </c>
      <c r="K382" s="439">
        <v>1</v>
      </c>
      <c r="L382" s="440" t="s">
        <v>5936</v>
      </c>
    </row>
    <row r="383" spans="1:12" ht="14" x14ac:dyDescent="0.3">
      <c r="A383" s="439" t="str">
        <f t="shared" si="5"/>
        <v>TSR897</v>
      </c>
      <c r="B383" s="439">
        <v>897</v>
      </c>
      <c r="C383" s="439">
        <v>1</v>
      </c>
      <c r="D383" s="439">
        <v>377</v>
      </c>
      <c r="E383" s="440" t="s">
        <v>2772</v>
      </c>
      <c r="F383" s="441" t="s">
        <v>5980</v>
      </c>
      <c r="G383" s="442">
        <v>10000</v>
      </c>
      <c r="H383" s="442"/>
      <c r="I383" s="443">
        <v>40</v>
      </c>
      <c r="J383" s="439">
        <v>897</v>
      </c>
      <c r="K383" s="439">
        <v>1</v>
      </c>
      <c r="L383" s="440" t="s">
        <v>5936</v>
      </c>
    </row>
    <row r="384" spans="1:12" ht="14" x14ac:dyDescent="0.3">
      <c r="A384" s="439" t="str">
        <f t="shared" si="5"/>
        <v>TSR898</v>
      </c>
      <c r="B384" s="439">
        <v>898</v>
      </c>
      <c r="C384" s="439">
        <v>1</v>
      </c>
      <c r="D384" s="439">
        <v>378</v>
      </c>
      <c r="E384" s="440" t="s">
        <v>2772</v>
      </c>
      <c r="F384" s="441" t="s">
        <v>5981</v>
      </c>
      <c r="G384" s="442">
        <v>10000</v>
      </c>
      <c r="H384" s="442"/>
      <c r="I384" s="443">
        <v>40</v>
      </c>
      <c r="J384" s="439">
        <v>898</v>
      </c>
      <c r="K384" s="439">
        <v>1</v>
      </c>
      <c r="L384" s="440" t="s">
        <v>5936</v>
      </c>
    </row>
    <row r="385" spans="1:12" ht="14" x14ac:dyDescent="0.3">
      <c r="A385" s="439" t="str">
        <f t="shared" si="5"/>
        <v>TSR931</v>
      </c>
      <c r="B385" s="439">
        <v>931</v>
      </c>
      <c r="C385" s="439">
        <v>2</v>
      </c>
      <c r="D385" s="439">
        <v>379</v>
      </c>
      <c r="E385" s="440" t="s">
        <v>2772</v>
      </c>
      <c r="F385" s="441" t="s">
        <v>5982</v>
      </c>
      <c r="G385" s="442">
        <v>10000</v>
      </c>
      <c r="H385" s="442"/>
      <c r="I385" s="443">
        <v>40</v>
      </c>
      <c r="J385" s="439">
        <v>931</v>
      </c>
      <c r="K385" s="439">
        <v>2</v>
      </c>
      <c r="L385" s="440" t="s">
        <v>5936</v>
      </c>
    </row>
    <row r="386" spans="1:12" ht="14" x14ac:dyDescent="0.3">
      <c r="A386" s="439" t="str">
        <f t="shared" si="5"/>
        <v>TSR933</v>
      </c>
      <c r="B386" s="439">
        <v>933</v>
      </c>
      <c r="C386" s="439">
        <v>2</v>
      </c>
      <c r="D386" s="439">
        <v>380</v>
      </c>
      <c r="E386" s="440" t="s">
        <v>2772</v>
      </c>
      <c r="F386" s="441" t="s">
        <v>5983</v>
      </c>
      <c r="G386" s="442">
        <v>10000</v>
      </c>
      <c r="H386" s="442"/>
      <c r="I386" s="443">
        <v>40</v>
      </c>
      <c r="J386" s="439">
        <v>933</v>
      </c>
      <c r="K386" s="439">
        <v>2</v>
      </c>
      <c r="L386" s="440" t="s">
        <v>5936</v>
      </c>
    </row>
    <row r="387" spans="1:12" ht="14" x14ac:dyDescent="0.3">
      <c r="A387" s="439" t="str">
        <f t="shared" si="5"/>
        <v>TSR934</v>
      </c>
      <c r="B387" s="439">
        <v>934</v>
      </c>
      <c r="C387" s="439">
        <v>2</v>
      </c>
      <c r="D387" s="439">
        <v>381</v>
      </c>
      <c r="E387" s="440" t="s">
        <v>2772</v>
      </c>
      <c r="F387" s="441" t="s">
        <v>5984</v>
      </c>
      <c r="G387" s="442">
        <v>10000</v>
      </c>
      <c r="H387" s="442"/>
      <c r="I387" s="443">
        <v>40</v>
      </c>
      <c r="J387" s="439">
        <v>934</v>
      </c>
      <c r="K387" s="439">
        <v>2</v>
      </c>
      <c r="L387" s="440" t="s">
        <v>5936</v>
      </c>
    </row>
    <row r="388" spans="1:12" ht="14" x14ac:dyDescent="0.3">
      <c r="A388" s="439" t="str">
        <f t="shared" si="5"/>
        <v>TSR935</v>
      </c>
      <c r="B388" s="439">
        <v>935</v>
      </c>
      <c r="C388" s="439">
        <v>2</v>
      </c>
      <c r="D388" s="439">
        <v>382</v>
      </c>
      <c r="E388" s="440" t="s">
        <v>2772</v>
      </c>
      <c r="F388" s="441" t="s">
        <v>5985</v>
      </c>
      <c r="G388" s="442">
        <v>10000</v>
      </c>
      <c r="H388" s="442"/>
      <c r="I388" s="443">
        <v>40</v>
      </c>
      <c r="J388" s="439">
        <v>935</v>
      </c>
      <c r="K388" s="439">
        <v>2</v>
      </c>
      <c r="L388" s="440" t="s">
        <v>5936</v>
      </c>
    </row>
    <row r="389" spans="1:12" ht="14" x14ac:dyDescent="0.3">
      <c r="A389" s="439" t="str">
        <f t="shared" si="5"/>
        <v>TSR936</v>
      </c>
      <c r="B389" s="439">
        <v>936</v>
      </c>
      <c r="C389" s="439">
        <v>2</v>
      </c>
      <c r="D389" s="439">
        <v>383</v>
      </c>
      <c r="E389" s="440" t="s">
        <v>2772</v>
      </c>
      <c r="F389" s="441" t="s">
        <v>5986</v>
      </c>
      <c r="G389" s="442">
        <v>10000</v>
      </c>
      <c r="H389" s="442"/>
      <c r="I389" s="443">
        <v>40</v>
      </c>
      <c r="J389" s="439">
        <v>936</v>
      </c>
      <c r="K389" s="439">
        <v>2</v>
      </c>
      <c r="L389" s="440" t="s">
        <v>5936</v>
      </c>
    </row>
    <row r="390" spans="1:12" ht="14" x14ac:dyDescent="0.3">
      <c r="A390" s="439" t="str">
        <f t="shared" si="5"/>
        <v>TSR939</v>
      </c>
      <c r="B390" s="439">
        <v>939</v>
      </c>
      <c r="C390" s="439">
        <v>2</v>
      </c>
      <c r="D390" s="439">
        <v>384</v>
      </c>
      <c r="E390" s="440" t="s">
        <v>2772</v>
      </c>
      <c r="F390" s="441" t="s">
        <v>5987</v>
      </c>
      <c r="G390" s="442">
        <v>10000</v>
      </c>
      <c r="H390" s="442"/>
      <c r="I390" s="443">
        <v>40</v>
      </c>
      <c r="J390" s="439">
        <v>939</v>
      </c>
      <c r="K390" s="439">
        <v>2</v>
      </c>
      <c r="L390" s="440" t="s">
        <v>5936</v>
      </c>
    </row>
    <row r="391" spans="1:12" ht="14" x14ac:dyDescent="0.3">
      <c r="A391" s="439" t="str">
        <f t="shared" si="5"/>
        <v>TSR931</v>
      </c>
      <c r="B391" s="439">
        <v>931</v>
      </c>
      <c r="C391" s="439">
        <v>3</v>
      </c>
      <c r="D391" s="439">
        <v>385</v>
      </c>
      <c r="E391" s="440" t="s">
        <v>2772</v>
      </c>
      <c r="F391" s="441" t="s">
        <v>5988</v>
      </c>
      <c r="G391" s="442">
        <v>10000</v>
      </c>
      <c r="H391" s="442"/>
      <c r="I391" s="443">
        <v>40</v>
      </c>
      <c r="J391" s="439">
        <v>931</v>
      </c>
      <c r="K391" s="439">
        <v>3</v>
      </c>
      <c r="L391" s="440" t="s">
        <v>5936</v>
      </c>
    </row>
    <row r="392" spans="1:12" ht="14" x14ac:dyDescent="0.3">
      <c r="A392" s="439" t="str">
        <f t="shared" ref="A392:A422" si="6">E392&amp;B392</f>
        <v>TSR933</v>
      </c>
      <c r="B392" s="439">
        <v>933</v>
      </c>
      <c r="C392" s="439">
        <v>3</v>
      </c>
      <c r="D392" s="439">
        <v>386</v>
      </c>
      <c r="E392" s="440" t="s">
        <v>2772</v>
      </c>
      <c r="F392" s="441" t="s">
        <v>5989</v>
      </c>
      <c r="G392" s="442">
        <v>10000</v>
      </c>
      <c r="H392" s="442"/>
      <c r="I392" s="443">
        <v>40</v>
      </c>
      <c r="J392" s="439">
        <v>933</v>
      </c>
      <c r="K392" s="439">
        <v>3</v>
      </c>
      <c r="L392" s="440" t="s">
        <v>5936</v>
      </c>
    </row>
    <row r="393" spans="1:12" ht="14" x14ac:dyDescent="0.3">
      <c r="A393" s="439" t="str">
        <f t="shared" si="6"/>
        <v>TSR934</v>
      </c>
      <c r="B393" s="439">
        <v>934</v>
      </c>
      <c r="C393" s="439">
        <v>3</v>
      </c>
      <c r="D393" s="439">
        <v>387</v>
      </c>
      <c r="E393" s="440" t="s">
        <v>2772</v>
      </c>
      <c r="F393" s="441" t="s">
        <v>5990</v>
      </c>
      <c r="G393" s="442">
        <v>10000</v>
      </c>
      <c r="H393" s="442"/>
      <c r="I393" s="443">
        <v>40</v>
      </c>
      <c r="J393" s="439">
        <v>934</v>
      </c>
      <c r="K393" s="439">
        <v>3</v>
      </c>
      <c r="L393" s="440" t="s">
        <v>5936</v>
      </c>
    </row>
    <row r="394" spans="1:12" ht="14" x14ac:dyDescent="0.3">
      <c r="A394" s="439" t="str">
        <f t="shared" si="6"/>
        <v>TSR935</v>
      </c>
      <c r="B394" s="439">
        <v>935</v>
      </c>
      <c r="C394" s="439">
        <v>3</v>
      </c>
      <c r="D394" s="439">
        <v>388</v>
      </c>
      <c r="E394" s="440" t="s">
        <v>2772</v>
      </c>
      <c r="F394" s="441" t="s">
        <v>5991</v>
      </c>
      <c r="G394" s="442">
        <v>10000</v>
      </c>
      <c r="H394" s="442"/>
      <c r="I394" s="443">
        <v>40</v>
      </c>
      <c r="J394" s="439">
        <v>935</v>
      </c>
      <c r="K394" s="439">
        <v>3</v>
      </c>
      <c r="L394" s="440" t="s">
        <v>5936</v>
      </c>
    </row>
    <row r="395" spans="1:12" ht="14" x14ac:dyDescent="0.3">
      <c r="A395" s="439" t="str">
        <f t="shared" si="6"/>
        <v>TSR936</v>
      </c>
      <c r="B395" s="439">
        <v>936</v>
      </c>
      <c r="C395" s="439">
        <v>3</v>
      </c>
      <c r="D395" s="439">
        <v>389</v>
      </c>
      <c r="E395" s="440" t="s">
        <v>2772</v>
      </c>
      <c r="F395" s="441" t="s">
        <v>5992</v>
      </c>
      <c r="G395" s="442">
        <v>10000</v>
      </c>
      <c r="H395" s="442"/>
      <c r="I395" s="443">
        <v>40</v>
      </c>
      <c r="J395" s="439">
        <v>936</v>
      </c>
      <c r="K395" s="439">
        <v>3</v>
      </c>
      <c r="L395" s="440" t="s">
        <v>5936</v>
      </c>
    </row>
    <row r="396" spans="1:12" ht="14" x14ac:dyDescent="0.3">
      <c r="A396" s="439" t="str">
        <f t="shared" si="6"/>
        <v>TSR939</v>
      </c>
      <c r="B396" s="439">
        <v>939</v>
      </c>
      <c r="C396" s="439">
        <v>3</v>
      </c>
      <c r="D396" s="439">
        <v>390</v>
      </c>
      <c r="E396" s="440" t="s">
        <v>2772</v>
      </c>
      <c r="F396" s="441" t="s">
        <v>5993</v>
      </c>
      <c r="G396" s="442">
        <v>10000</v>
      </c>
      <c r="H396" s="442"/>
      <c r="I396" s="443">
        <v>40</v>
      </c>
      <c r="J396" s="439">
        <v>939</v>
      </c>
      <c r="K396" s="439">
        <v>3</v>
      </c>
      <c r="L396" s="440" t="s">
        <v>5936</v>
      </c>
    </row>
    <row r="398" spans="1:12" ht="14" x14ac:dyDescent="0.3">
      <c r="A398" s="434" t="str">
        <f t="shared" si="6"/>
        <v>RG313</v>
      </c>
      <c r="B398" s="449">
        <v>313</v>
      </c>
      <c r="C398" s="449">
        <v>1</v>
      </c>
      <c r="D398" s="449">
        <v>418</v>
      </c>
      <c r="E398" s="450" t="s">
        <v>2367</v>
      </c>
      <c r="F398" s="451" t="s">
        <v>5994</v>
      </c>
      <c r="G398" s="452"/>
      <c r="H398" s="452"/>
      <c r="I398" s="452"/>
      <c r="J398" s="449">
        <v>1</v>
      </c>
      <c r="K398" s="449">
        <v>1</v>
      </c>
      <c r="L398" s="450" t="s">
        <v>1702</v>
      </c>
    </row>
    <row r="399" spans="1:12" ht="14" x14ac:dyDescent="0.3">
      <c r="A399" s="434" t="str">
        <f t="shared" si="6"/>
        <v>RS721</v>
      </c>
      <c r="B399" s="453">
        <v>721</v>
      </c>
      <c r="C399" s="453">
        <v>1</v>
      </c>
      <c r="D399" s="453">
        <v>419</v>
      </c>
      <c r="E399" s="454" t="s">
        <v>2232</v>
      </c>
      <c r="F399" s="455" t="s">
        <v>5995</v>
      </c>
      <c r="G399" s="456">
        <v>1</v>
      </c>
      <c r="H399" s="456"/>
      <c r="I399" s="456"/>
      <c r="J399" s="453">
        <v>1</v>
      </c>
      <c r="K399" s="453">
        <v>1</v>
      </c>
      <c r="L399" s="454" t="s">
        <v>5996</v>
      </c>
    </row>
    <row r="400" spans="1:12" ht="14" x14ac:dyDescent="0.3">
      <c r="A400" s="434" t="str">
        <f t="shared" si="6"/>
        <v>RS890</v>
      </c>
      <c r="B400" s="453">
        <v>890</v>
      </c>
      <c r="C400" s="453">
        <v>1</v>
      </c>
      <c r="D400" s="453">
        <v>420</v>
      </c>
      <c r="E400" s="454" t="s">
        <v>2232</v>
      </c>
      <c r="F400" s="455" t="s">
        <v>5997</v>
      </c>
      <c r="G400" s="456">
        <v>1</v>
      </c>
      <c r="H400" s="456"/>
      <c r="I400" s="456"/>
      <c r="J400" s="453">
        <v>1</v>
      </c>
      <c r="K400" s="453">
        <v>1</v>
      </c>
      <c r="L400" s="454" t="s">
        <v>5998</v>
      </c>
    </row>
    <row r="401" spans="1:12" ht="14" x14ac:dyDescent="0.3">
      <c r="A401" s="434" t="str">
        <f t="shared" si="6"/>
        <v>RS870</v>
      </c>
      <c r="B401" s="453">
        <v>870</v>
      </c>
      <c r="C401" s="453">
        <v>1</v>
      </c>
      <c r="D401" s="453">
        <v>421</v>
      </c>
      <c r="E401" s="454" t="s">
        <v>2232</v>
      </c>
      <c r="F401" s="455" t="s">
        <v>5999</v>
      </c>
      <c r="G401" s="456">
        <v>1</v>
      </c>
      <c r="H401" s="456"/>
      <c r="I401" s="456">
        <v>10</v>
      </c>
      <c r="J401" s="453">
        <v>1</v>
      </c>
      <c r="K401" s="453">
        <v>1</v>
      </c>
      <c r="L401" s="454" t="s">
        <v>6000</v>
      </c>
    </row>
    <row r="402" spans="1:12" ht="14" x14ac:dyDescent="0.3">
      <c r="A402" s="434" t="str">
        <f t="shared" si="6"/>
        <v>RS979</v>
      </c>
      <c r="B402" s="457">
        <v>979</v>
      </c>
      <c r="C402" s="457">
        <v>1</v>
      </c>
      <c r="D402" s="457">
        <v>422</v>
      </c>
      <c r="E402" s="458" t="s">
        <v>2232</v>
      </c>
      <c r="F402" s="459" t="s">
        <v>6001</v>
      </c>
      <c r="G402" s="460"/>
      <c r="H402" s="460"/>
      <c r="I402" s="460">
        <v>25</v>
      </c>
      <c r="J402" s="457">
        <v>699</v>
      </c>
      <c r="K402" s="457">
        <v>1</v>
      </c>
      <c r="L402" s="458" t="s">
        <v>2232</v>
      </c>
    </row>
    <row r="403" spans="1:12" ht="14" x14ac:dyDescent="0.3">
      <c r="A403" s="434" t="str">
        <f t="shared" si="6"/>
        <v>RS851</v>
      </c>
      <c r="B403" s="457">
        <v>851</v>
      </c>
      <c r="C403" s="457">
        <v>1</v>
      </c>
      <c r="D403" s="457">
        <v>423</v>
      </c>
      <c r="E403" s="458" t="s">
        <v>2232</v>
      </c>
      <c r="F403" s="459" t="s">
        <v>6002</v>
      </c>
      <c r="G403" s="460">
        <v>2</v>
      </c>
      <c r="H403" s="460"/>
      <c r="I403" s="460"/>
      <c r="J403" s="457">
        <v>1</v>
      </c>
      <c r="K403" s="457">
        <v>1</v>
      </c>
      <c r="L403" s="460" t="s">
        <v>6003</v>
      </c>
    </row>
    <row r="404" spans="1:12" ht="14" x14ac:dyDescent="0.3">
      <c r="A404" s="434" t="str">
        <f t="shared" si="6"/>
        <v>RS856</v>
      </c>
      <c r="B404" s="457">
        <v>856</v>
      </c>
      <c r="C404" s="457">
        <v>1</v>
      </c>
      <c r="D404" s="457">
        <v>424</v>
      </c>
      <c r="E404" s="458" t="s">
        <v>2232</v>
      </c>
      <c r="F404" s="459" t="s">
        <v>6004</v>
      </c>
      <c r="G404" s="460">
        <v>2</v>
      </c>
      <c r="H404" s="460"/>
      <c r="I404" s="460"/>
      <c r="J404" s="457">
        <v>1</v>
      </c>
      <c r="K404" s="457">
        <v>1</v>
      </c>
      <c r="L404" s="460" t="s">
        <v>6005</v>
      </c>
    </row>
    <row r="405" spans="1:12" ht="14" x14ac:dyDescent="0.3">
      <c r="A405" s="434" t="str">
        <f t="shared" si="6"/>
        <v>RS911</v>
      </c>
      <c r="B405" s="457">
        <v>911</v>
      </c>
      <c r="C405" s="457">
        <v>2</v>
      </c>
      <c r="D405" s="457">
        <v>425</v>
      </c>
      <c r="E405" s="458" t="s">
        <v>2232</v>
      </c>
      <c r="F405" s="458" t="s">
        <v>6006</v>
      </c>
      <c r="G405" s="457"/>
      <c r="H405" s="460"/>
      <c r="I405" s="457"/>
      <c r="J405" s="457">
        <v>1</v>
      </c>
      <c r="K405" s="457">
        <v>1</v>
      </c>
      <c r="L405" s="458" t="s">
        <v>6007</v>
      </c>
    </row>
    <row r="406" spans="1:12" ht="14" x14ac:dyDescent="0.3">
      <c r="A406" s="434" t="str">
        <f t="shared" si="6"/>
        <v>RS914</v>
      </c>
      <c r="B406" s="457">
        <v>914</v>
      </c>
      <c r="C406" s="457">
        <v>2</v>
      </c>
      <c r="D406" s="457">
        <v>426</v>
      </c>
      <c r="E406" s="458" t="s">
        <v>2232</v>
      </c>
      <c r="F406" s="458" t="s">
        <v>6008</v>
      </c>
      <c r="G406" s="457"/>
      <c r="H406" s="460"/>
      <c r="I406" s="457"/>
      <c r="J406" s="457">
        <v>1</v>
      </c>
      <c r="K406" s="457">
        <v>1</v>
      </c>
      <c r="L406" s="458" t="s">
        <v>6007</v>
      </c>
    </row>
    <row r="407" spans="1:12" ht="14" x14ac:dyDescent="0.3">
      <c r="A407" s="434" t="str">
        <f t="shared" si="6"/>
        <v>RS915</v>
      </c>
      <c r="B407" s="457">
        <v>915</v>
      </c>
      <c r="C407" s="457">
        <v>2</v>
      </c>
      <c r="D407" s="457">
        <v>427</v>
      </c>
      <c r="E407" s="458" t="s">
        <v>2232</v>
      </c>
      <c r="F407" s="458" t="s">
        <v>6009</v>
      </c>
      <c r="G407" s="457"/>
      <c r="H407" s="460"/>
      <c r="I407" s="457"/>
      <c r="J407" s="457">
        <v>1</v>
      </c>
      <c r="K407" s="457">
        <v>1</v>
      </c>
      <c r="L407" s="458" t="s">
        <v>6007</v>
      </c>
    </row>
    <row r="408" spans="1:12" ht="14" x14ac:dyDescent="0.3">
      <c r="A408" s="434" t="str">
        <f t="shared" si="6"/>
        <v>RS916</v>
      </c>
      <c r="B408" s="457">
        <v>916</v>
      </c>
      <c r="C408" s="457">
        <v>2</v>
      </c>
      <c r="D408" s="457">
        <v>428</v>
      </c>
      <c r="E408" s="458" t="s">
        <v>2232</v>
      </c>
      <c r="F408" s="458" t="s">
        <v>6010</v>
      </c>
      <c r="G408" s="457"/>
      <c r="H408" s="460"/>
      <c r="I408" s="457"/>
      <c r="J408" s="457">
        <v>1</v>
      </c>
      <c r="K408" s="457">
        <v>1</v>
      </c>
      <c r="L408" s="458" t="s">
        <v>6007</v>
      </c>
    </row>
    <row r="409" spans="1:12" ht="14" x14ac:dyDescent="0.3">
      <c r="A409" s="434" t="str">
        <f t="shared" si="6"/>
        <v>RS911</v>
      </c>
      <c r="B409" s="457">
        <v>911</v>
      </c>
      <c r="C409" s="457">
        <v>3</v>
      </c>
      <c r="D409" s="457">
        <v>429</v>
      </c>
      <c r="E409" s="458" t="s">
        <v>2232</v>
      </c>
      <c r="F409" s="458" t="s">
        <v>6011</v>
      </c>
      <c r="G409" s="457"/>
      <c r="H409" s="460"/>
      <c r="I409" s="457"/>
      <c r="J409" s="457">
        <v>1</v>
      </c>
      <c r="K409" s="457">
        <v>1</v>
      </c>
      <c r="L409" s="458" t="s">
        <v>6007</v>
      </c>
    </row>
    <row r="410" spans="1:12" ht="14" x14ac:dyDescent="0.3">
      <c r="A410" s="434" t="str">
        <f t="shared" si="6"/>
        <v>RS914</v>
      </c>
      <c r="B410" s="457">
        <v>914</v>
      </c>
      <c r="C410" s="457">
        <v>3</v>
      </c>
      <c r="D410" s="457">
        <v>430</v>
      </c>
      <c r="E410" s="458" t="s">
        <v>2232</v>
      </c>
      <c r="F410" s="458" t="s">
        <v>6012</v>
      </c>
      <c r="G410" s="457"/>
      <c r="H410" s="460"/>
      <c r="I410" s="457"/>
      <c r="J410" s="457">
        <v>1</v>
      </c>
      <c r="K410" s="457">
        <v>1</v>
      </c>
      <c r="L410" s="458" t="s">
        <v>6007</v>
      </c>
    </row>
    <row r="411" spans="1:12" ht="14" x14ac:dyDescent="0.3">
      <c r="A411" s="434" t="str">
        <f t="shared" si="6"/>
        <v>RS915</v>
      </c>
      <c r="B411" s="457">
        <v>915</v>
      </c>
      <c r="C411" s="457">
        <v>3</v>
      </c>
      <c r="D411" s="457">
        <v>431</v>
      </c>
      <c r="E411" s="458" t="s">
        <v>2232</v>
      </c>
      <c r="F411" s="458" t="s">
        <v>6013</v>
      </c>
      <c r="G411" s="457"/>
      <c r="H411" s="460"/>
      <c r="I411" s="457"/>
      <c r="J411" s="457">
        <v>1</v>
      </c>
      <c r="K411" s="457">
        <v>1</v>
      </c>
      <c r="L411" s="458" t="s">
        <v>6007</v>
      </c>
    </row>
    <row r="412" spans="1:12" ht="14" x14ac:dyDescent="0.3">
      <c r="A412" s="434" t="str">
        <f t="shared" si="6"/>
        <v>RS916</v>
      </c>
      <c r="B412" s="457">
        <v>916</v>
      </c>
      <c r="C412" s="457">
        <v>3</v>
      </c>
      <c r="D412" s="457">
        <v>432</v>
      </c>
      <c r="E412" s="458" t="s">
        <v>2232</v>
      </c>
      <c r="F412" s="458" t="s">
        <v>6014</v>
      </c>
      <c r="G412" s="457"/>
      <c r="H412" s="460"/>
      <c r="I412" s="457"/>
      <c r="J412" s="457">
        <v>1</v>
      </c>
      <c r="K412" s="457">
        <v>1</v>
      </c>
      <c r="L412" s="458" t="s">
        <v>6007</v>
      </c>
    </row>
    <row r="413" spans="1:12" ht="14" x14ac:dyDescent="0.3">
      <c r="A413" s="434" t="str">
        <f t="shared" si="6"/>
        <v>RS793</v>
      </c>
      <c r="B413" s="457">
        <v>793</v>
      </c>
      <c r="C413" s="457">
        <v>1</v>
      </c>
      <c r="D413" s="457">
        <v>433</v>
      </c>
      <c r="E413" s="458" t="s">
        <v>2232</v>
      </c>
      <c r="F413" s="459" t="s">
        <v>6015</v>
      </c>
      <c r="G413" s="460"/>
      <c r="H413" s="460"/>
      <c r="I413" s="460"/>
      <c r="J413" s="460">
        <v>1</v>
      </c>
      <c r="K413" s="460">
        <v>1</v>
      </c>
      <c r="L413" s="460" t="s">
        <v>6007</v>
      </c>
    </row>
    <row r="414" spans="1:12" ht="14" x14ac:dyDescent="0.3">
      <c r="A414" s="434" t="str">
        <f t="shared" si="6"/>
        <v>RS960</v>
      </c>
      <c r="B414" s="457">
        <v>960</v>
      </c>
      <c r="C414" s="457">
        <v>4</v>
      </c>
      <c r="D414" s="457">
        <v>434</v>
      </c>
      <c r="E414" s="458" t="s">
        <v>2232</v>
      </c>
      <c r="F414" s="459" t="s">
        <v>6016</v>
      </c>
      <c r="G414" s="460"/>
      <c r="H414" s="460"/>
      <c r="I414" s="460"/>
      <c r="J414" s="460">
        <v>1</v>
      </c>
      <c r="K414" s="460">
        <v>1</v>
      </c>
      <c r="L414" s="460" t="s">
        <v>6007</v>
      </c>
    </row>
    <row r="415" spans="1:12" ht="14" x14ac:dyDescent="0.3">
      <c r="A415" s="434" t="str">
        <f t="shared" si="6"/>
        <v>RS721</v>
      </c>
      <c r="B415" s="457">
        <v>721</v>
      </c>
      <c r="C415" s="457">
        <v>1</v>
      </c>
      <c r="D415" s="457">
        <v>435</v>
      </c>
      <c r="E415" s="458" t="s">
        <v>2232</v>
      </c>
      <c r="F415" s="459" t="s">
        <v>6017</v>
      </c>
      <c r="G415" s="460"/>
      <c r="H415" s="460"/>
      <c r="I415" s="460"/>
      <c r="J415" s="457">
        <v>1</v>
      </c>
      <c r="K415" s="457">
        <v>1</v>
      </c>
      <c r="L415" s="460" t="s">
        <v>6007</v>
      </c>
    </row>
    <row r="416" spans="1:12" ht="14" x14ac:dyDescent="0.3">
      <c r="A416" s="434" t="str">
        <f t="shared" si="6"/>
        <v>RS851</v>
      </c>
      <c r="B416" s="457">
        <v>851</v>
      </c>
      <c r="C416" s="457">
        <v>1</v>
      </c>
      <c r="D416" s="457">
        <v>436</v>
      </c>
      <c r="E416" s="458" t="s">
        <v>2232</v>
      </c>
      <c r="F416" s="459" t="s">
        <v>6018</v>
      </c>
      <c r="G416" s="460"/>
      <c r="H416" s="460"/>
      <c r="I416" s="460"/>
      <c r="J416" s="457">
        <v>1</v>
      </c>
      <c r="K416" s="457">
        <v>1</v>
      </c>
      <c r="L416" s="460" t="s">
        <v>6007</v>
      </c>
    </row>
    <row r="417" spans="1:12" ht="14" x14ac:dyDescent="0.3">
      <c r="A417" s="434" t="str">
        <f t="shared" si="6"/>
        <v>RS890</v>
      </c>
      <c r="B417" s="457">
        <v>890</v>
      </c>
      <c r="C417" s="457">
        <v>1</v>
      </c>
      <c r="D417" s="457">
        <v>437</v>
      </c>
      <c r="E417" s="458" t="s">
        <v>2232</v>
      </c>
      <c r="F417" s="459" t="s">
        <v>6019</v>
      </c>
      <c r="G417" s="460"/>
      <c r="H417" s="460"/>
      <c r="I417" s="460"/>
      <c r="J417" s="457">
        <v>1</v>
      </c>
      <c r="K417" s="457">
        <v>1</v>
      </c>
      <c r="L417" s="460" t="s">
        <v>6007</v>
      </c>
    </row>
    <row r="418" spans="1:12" ht="14" x14ac:dyDescent="0.3">
      <c r="A418" s="434" t="str">
        <f t="shared" si="6"/>
        <v>RS851</v>
      </c>
      <c r="B418" s="457">
        <v>851</v>
      </c>
      <c r="C418" s="458">
        <v>1</v>
      </c>
      <c r="D418" s="458">
        <v>438</v>
      </c>
      <c r="E418" s="458" t="s">
        <v>2232</v>
      </c>
      <c r="F418" s="459" t="s">
        <v>6020</v>
      </c>
      <c r="G418" s="460"/>
      <c r="H418" s="460"/>
      <c r="I418" s="460"/>
      <c r="J418" s="457">
        <v>1</v>
      </c>
      <c r="K418" s="457">
        <v>1</v>
      </c>
      <c r="L418" s="460" t="s">
        <v>6007</v>
      </c>
    </row>
    <row r="419" spans="1:12" ht="14" x14ac:dyDescent="0.3">
      <c r="A419" s="434" t="str">
        <f t="shared" si="6"/>
        <v>RS856</v>
      </c>
      <c r="B419" s="457">
        <v>856</v>
      </c>
      <c r="C419" s="458">
        <v>1</v>
      </c>
      <c r="D419" s="458">
        <v>439</v>
      </c>
      <c r="E419" s="458" t="s">
        <v>2232</v>
      </c>
      <c r="F419" s="459" t="s">
        <v>6021</v>
      </c>
      <c r="G419" s="460"/>
      <c r="H419" s="460"/>
      <c r="I419" s="460"/>
      <c r="J419" s="457">
        <v>1</v>
      </c>
      <c r="K419" s="457">
        <v>1</v>
      </c>
      <c r="L419" s="460" t="s">
        <v>6007</v>
      </c>
    </row>
    <row r="420" spans="1:12" ht="14" x14ac:dyDescent="0.3">
      <c r="A420" s="434" t="str">
        <f t="shared" si="6"/>
        <v>RS870</v>
      </c>
      <c r="B420" s="457">
        <v>870</v>
      </c>
      <c r="C420" s="458">
        <v>1</v>
      </c>
      <c r="D420" s="458">
        <v>440</v>
      </c>
      <c r="E420" s="458" t="s">
        <v>2232</v>
      </c>
      <c r="F420" s="459" t="s">
        <v>6022</v>
      </c>
      <c r="G420" s="460"/>
      <c r="H420" s="460"/>
      <c r="I420" s="460"/>
      <c r="J420" s="457">
        <v>1</v>
      </c>
      <c r="K420" s="457">
        <v>1</v>
      </c>
      <c r="L420" s="460" t="s">
        <v>6007</v>
      </c>
    </row>
    <row r="421" spans="1:12" ht="14" x14ac:dyDescent="0.3">
      <c r="A421" s="434" t="str">
        <f t="shared" si="6"/>
        <v>RS765</v>
      </c>
      <c r="B421" s="457">
        <v>765</v>
      </c>
      <c r="C421" s="458">
        <v>1</v>
      </c>
      <c r="D421" s="458">
        <v>441</v>
      </c>
      <c r="E421" s="458" t="s">
        <v>2232</v>
      </c>
      <c r="F421" s="460" t="s">
        <v>6023</v>
      </c>
      <c r="G421" s="460"/>
      <c r="H421" s="460"/>
      <c r="I421" s="460"/>
      <c r="J421" s="457">
        <v>1</v>
      </c>
      <c r="K421" s="457">
        <v>1</v>
      </c>
      <c r="L421" s="460" t="s">
        <v>6007</v>
      </c>
    </row>
    <row r="422" spans="1:12" ht="14" x14ac:dyDescent="0.3">
      <c r="A422" s="434" t="str">
        <f t="shared" si="6"/>
        <v>RS766</v>
      </c>
      <c r="B422" s="457">
        <v>766</v>
      </c>
      <c r="C422" s="458">
        <v>1</v>
      </c>
      <c r="D422" s="458">
        <v>442</v>
      </c>
      <c r="E422" s="458" t="s">
        <v>2232</v>
      </c>
      <c r="F422" s="460" t="s">
        <v>6024</v>
      </c>
      <c r="G422" s="460"/>
      <c r="H422" s="460"/>
      <c r="I422" s="460"/>
      <c r="J422" s="457">
        <v>1</v>
      </c>
      <c r="K422" s="457">
        <v>1</v>
      </c>
      <c r="L422" s="460" t="s">
        <v>6007</v>
      </c>
    </row>
  </sheetData>
  <sheetProtection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617D10-0D0A-44D6-A5A7-50D098ABE563}">
  <sheetPr codeName="Sheet1">
    <tabColor theme="8" tint="0.59999389629810485"/>
  </sheetPr>
  <dimension ref="A1:BZ871"/>
  <sheetViews>
    <sheetView showGridLines="0" zoomScale="80" zoomScaleNormal="80" workbookViewId="0">
      <pane ySplit="1" topLeftCell="A2" activePane="bottomLeft" state="frozen"/>
      <selection pane="bottomLeft" sqref="A1:N1"/>
    </sheetView>
  </sheetViews>
  <sheetFormatPr defaultColWidth="0" defaultRowHeight="12.65" customHeight="1" zeroHeight="1" x14ac:dyDescent="0.25"/>
  <cols>
    <col min="1" max="1" width="8.7265625" style="17" customWidth="1"/>
    <col min="2" max="2" width="57.453125" customWidth="1"/>
    <col min="3" max="3" width="6.7265625" customWidth="1"/>
    <col min="4" max="6" width="16.7265625" customWidth="1"/>
    <col min="7" max="7" width="13.26953125" customWidth="1"/>
    <col min="8" max="8" width="18.26953125" customWidth="1"/>
    <col min="9" max="9" width="23.26953125" customWidth="1"/>
    <col min="10" max="10" width="16.7265625" customWidth="1"/>
    <col min="11" max="11" width="2.7265625" customWidth="1"/>
    <col min="12" max="13" width="16.7265625" customWidth="1"/>
    <col min="14" max="14" width="2.7265625" customWidth="1"/>
    <col min="15" max="15" width="12.54296875" customWidth="1"/>
    <col min="16" max="16" width="16.26953125" hidden="1" customWidth="1"/>
    <col min="17" max="17" width="62.26953125" hidden="1" customWidth="1"/>
    <col min="18" max="19" width="12.54296875" hidden="1" customWidth="1"/>
    <col min="20" max="20" width="22.26953125" hidden="1" customWidth="1"/>
    <col min="21" max="21" width="15.7265625" hidden="1" customWidth="1"/>
    <col min="22" max="22" width="10.7265625" hidden="1" customWidth="1"/>
    <col min="23" max="25" width="12.54296875" hidden="1" customWidth="1"/>
    <col min="26" max="26" width="7.7265625" hidden="1" customWidth="1"/>
    <col min="27" max="27" width="37" style="146" hidden="1" customWidth="1"/>
    <col min="28" max="29" width="12.7265625" hidden="1" customWidth="1"/>
    <col min="30" max="30" width="12.54296875" hidden="1" customWidth="1"/>
    <col min="31" max="31" width="11.26953125" hidden="1" customWidth="1"/>
    <col min="32" max="32" width="12.54296875" hidden="1" customWidth="1"/>
    <col min="33" max="33" width="13.7265625" hidden="1" customWidth="1"/>
    <col min="34" max="34" width="12.54296875" hidden="1" customWidth="1"/>
    <col min="35" max="35" width="9.26953125" hidden="1" customWidth="1"/>
    <col min="36" max="36" width="11.7265625" hidden="1" customWidth="1"/>
    <col min="37" max="37" width="11.26953125" hidden="1" customWidth="1"/>
    <col min="38" max="38" width="12.54296875" hidden="1" customWidth="1"/>
    <col min="39" max="39" width="6.7265625" hidden="1" customWidth="1"/>
    <col min="40" max="40" width="8.26953125" hidden="1" customWidth="1"/>
    <col min="41" max="41" width="31.26953125" hidden="1" customWidth="1"/>
    <col min="42" max="42" width="5.7265625" hidden="1" customWidth="1"/>
    <col min="43" max="43" width="11" hidden="1" customWidth="1"/>
    <col min="44" max="44" width="11.26953125" hidden="1" customWidth="1"/>
    <col min="45" max="45" width="10.26953125" hidden="1" customWidth="1"/>
    <col min="46" max="46" width="15.26953125" hidden="1" customWidth="1"/>
    <col min="47" max="47" width="12.7265625" hidden="1" customWidth="1"/>
    <col min="48" max="48" width="12.26953125" hidden="1" customWidth="1"/>
    <col min="49" max="50" width="14.26953125" hidden="1" customWidth="1"/>
    <col min="51" max="51" width="5.54296875" hidden="1" customWidth="1"/>
    <col min="52" max="52" width="14.26953125" hidden="1" customWidth="1"/>
    <col min="53" max="53" width="23.54296875" hidden="1" customWidth="1"/>
    <col min="54" max="61" width="12.54296875" hidden="1" customWidth="1"/>
    <col min="62" max="62" width="17.54296875" hidden="1" customWidth="1"/>
    <col min="63" max="69" width="12.54296875" hidden="1" customWidth="1"/>
    <col min="70" max="71" width="17.54296875" hidden="1" customWidth="1"/>
    <col min="72" max="74" width="12.54296875" hidden="1" customWidth="1"/>
    <col min="75" max="75" width="12.7265625" hidden="1" customWidth="1"/>
    <col min="76" max="76" width="12.26953125" hidden="1" customWidth="1"/>
    <col min="77" max="16384" width="12.54296875" hidden="1"/>
  </cols>
  <sheetData>
    <row r="1" spans="1:27" ht="60" customHeight="1" x14ac:dyDescent="0.25">
      <c r="A1" s="1206" t="str">
        <f>ContactDetails!A36</f>
        <v>IMPORTANT: Please DO NOT alter this spreadsheet by inserting/deleting, merging any cells, or even using cut &amp; paste, as the data from this spreadsheet are directly transferred into the DLUHC database by a macro and these could break the references in the form.</v>
      </c>
      <c r="B1" s="1206"/>
      <c r="C1" s="1206"/>
      <c r="D1" s="1207"/>
      <c r="E1" s="1207"/>
      <c r="F1" s="1207"/>
      <c r="G1" s="1207"/>
      <c r="H1" s="1207"/>
      <c r="I1" s="1207"/>
      <c r="J1" s="1207"/>
      <c r="K1" s="1207"/>
      <c r="L1" s="1207"/>
      <c r="M1" s="1207"/>
      <c r="N1" s="1207"/>
    </row>
    <row r="2" spans="1:27" ht="12.75" customHeight="1" x14ac:dyDescent="0.35">
      <c r="A2" s="178"/>
      <c r="B2" s="179"/>
      <c r="C2" s="179"/>
      <c r="D2" s="180"/>
      <c r="E2" s="4"/>
      <c r="F2" s="54"/>
      <c r="G2" s="181"/>
      <c r="H2" s="112"/>
      <c r="I2" s="112"/>
      <c r="J2" s="112"/>
      <c r="K2" s="112"/>
      <c r="L2" s="112"/>
      <c r="M2" s="112"/>
      <c r="N2" s="112"/>
    </row>
    <row r="3" spans="1:27" ht="27.75" customHeight="1" x14ac:dyDescent="0.6">
      <c r="A3" s="178"/>
      <c r="B3" s="179"/>
      <c r="C3" s="179"/>
      <c r="D3" s="180"/>
      <c r="E3" s="4"/>
      <c r="F3" s="4"/>
      <c r="G3" s="112"/>
      <c r="H3" s="112"/>
      <c r="I3" s="112"/>
      <c r="J3" s="112"/>
      <c r="K3" s="112"/>
      <c r="M3" s="182" t="str">
        <f>"RSm "&amp;fyear</f>
        <v>RSm 2022-23</v>
      </c>
      <c r="N3" s="112"/>
    </row>
    <row r="4" spans="1:27" ht="12.75" customHeight="1" x14ac:dyDescent="0.35">
      <c r="A4" s="178"/>
      <c r="B4" s="179"/>
      <c r="C4" s="179"/>
      <c r="D4" s="180"/>
      <c r="E4" s="4"/>
      <c r="F4" s="4"/>
      <c r="G4" s="112"/>
      <c r="H4" s="112"/>
      <c r="I4" s="112"/>
      <c r="J4" s="112"/>
      <c r="K4" s="112"/>
      <c r="L4" s="112"/>
      <c r="M4" s="112"/>
      <c r="N4" s="112"/>
    </row>
    <row r="5" spans="1:27" ht="12.75" customHeight="1" x14ac:dyDescent="0.35">
      <c r="A5" s="178"/>
      <c r="B5" s="179"/>
      <c r="C5" s="179"/>
      <c r="D5" s="180"/>
      <c r="E5" s="4"/>
      <c r="F5" s="4"/>
      <c r="G5" s="112"/>
      <c r="H5" s="112"/>
      <c r="I5" s="112"/>
      <c r="J5" s="112"/>
      <c r="K5" s="112"/>
      <c r="L5" s="112"/>
      <c r="M5" s="112"/>
      <c r="N5" s="112"/>
    </row>
    <row r="6" spans="1:27" ht="12.75" customHeight="1" x14ac:dyDescent="0.35">
      <c r="A6" s="178"/>
      <c r="B6" s="179"/>
      <c r="C6" s="179"/>
      <c r="D6" s="180"/>
      <c r="E6" s="4"/>
      <c r="F6" s="4"/>
      <c r="G6" s="112"/>
      <c r="H6" s="112"/>
      <c r="I6" s="112"/>
      <c r="J6" s="112"/>
      <c r="K6" s="112"/>
      <c r="L6" s="112"/>
      <c r="M6" s="112"/>
      <c r="N6" s="112"/>
    </row>
    <row r="7" spans="1:27" ht="12.75" customHeight="1" x14ac:dyDescent="0.35">
      <c r="A7" s="178"/>
      <c r="B7" s="179"/>
      <c r="C7" s="179"/>
      <c r="D7" s="180"/>
      <c r="E7" s="4"/>
      <c r="F7" s="4"/>
      <c r="G7" s="112"/>
      <c r="H7" s="112"/>
      <c r="I7" s="112"/>
      <c r="J7" s="112"/>
      <c r="K7" s="112"/>
      <c r="L7" s="112"/>
      <c r="M7" s="112"/>
      <c r="N7" s="112"/>
    </row>
    <row r="8" spans="1:27" ht="12.75" customHeight="1" x14ac:dyDescent="0.35">
      <c r="A8" s="178"/>
      <c r="B8" s="179"/>
      <c r="C8" s="179"/>
      <c r="D8" s="180"/>
      <c r="E8" s="4"/>
      <c r="F8" s="4"/>
      <c r="G8" s="112"/>
      <c r="H8" s="112"/>
      <c r="I8" s="112"/>
      <c r="J8" s="112"/>
      <c r="K8" s="112"/>
      <c r="L8" s="112"/>
      <c r="M8" s="112"/>
      <c r="N8" s="112"/>
    </row>
    <row r="9" spans="1:27" s="132" customFormat="1" ht="33" customHeight="1" x14ac:dyDescent="0.25">
      <c r="A9" s="1195" t="s">
        <v>1372</v>
      </c>
      <c r="B9" s="1195"/>
      <c r="C9" s="1195"/>
      <c r="D9" s="1195"/>
      <c r="E9" s="1195"/>
      <c r="F9" s="1195"/>
      <c r="G9" s="1195"/>
      <c r="H9" s="1195"/>
      <c r="I9" s="1195"/>
      <c r="J9" s="1195"/>
      <c r="K9" s="1195"/>
      <c r="L9" s="1195"/>
      <c r="M9" s="1196"/>
      <c r="N9" s="183"/>
      <c r="AA9" s="147"/>
    </row>
    <row r="10" spans="1:27" s="132" customFormat="1" ht="33" customHeight="1" x14ac:dyDescent="0.25">
      <c r="A10" s="1208" t="str">
        <f>"RSm - REVENUE OUTTURN SUMMARY MEMORANDUM SECTION "&amp;fyear</f>
        <v>RSm - REVENUE OUTTURN SUMMARY MEMORANDUM SECTION 2022-23</v>
      </c>
      <c r="B10" s="1195"/>
      <c r="C10" s="1195"/>
      <c r="D10" s="1195"/>
      <c r="E10" s="1195"/>
      <c r="F10" s="1195"/>
      <c r="G10" s="1195"/>
      <c r="H10" s="1195"/>
      <c r="I10" s="1195"/>
      <c r="J10" s="1195"/>
      <c r="K10" s="1195"/>
      <c r="L10" s="1195"/>
      <c r="M10" s="1196"/>
      <c r="N10" s="183"/>
      <c r="AA10" s="147"/>
    </row>
    <row r="11" spans="1:27" ht="14.15" customHeight="1" x14ac:dyDescent="0.6">
      <c r="A11" s="184"/>
      <c r="B11" s="185"/>
      <c r="C11" s="185"/>
      <c r="D11" s="185"/>
      <c r="E11" s="185"/>
      <c r="F11" s="185"/>
      <c r="G11" s="185"/>
      <c r="H11" s="185"/>
      <c r="I11" s="112"/>
      <c r="J11" s="112"/>
      <c r="K11" s="112"/>
      <c r="L11" s="112"/>
      <c r="M11" s="112"/>
      <c r="N11" s="112"/>
    </row>
    <row r="12" spans="1:27" ht="18.75" customHeight="1" x14ac:dyDescent="0.4">
      <c r="A12" s="1197" t="s">
        <v>1373</v>
      </c>
      <c r="B12" s="1197"/>
      <c r="C12" s="1197"/>
      <c r="D12" s="1197"/>
      <c r="E12" s="1197"/>
      <c r="F12" s="1197"/>
      <c r="G12" s="1197"/>
      <c r="H12" s="1197"/>
      <c r="I12" s="1197"/>
      <c r="J12" s="1197"/>
      <c r="K12" s="1197"/>
      <c r="L12" s="1197"/>
      <c r="M12" s="1198"/>
      <c r="N12" s="112"/>
    </row>
    <row r="13" spans="1:27" ht="12" customHeight="1" x14ac:dyDescent="0.3">
      <c r="A13" s="54"/>
      <c r="B13" s="54"/>
      <c r="C13" s="54"/>
      <c r="D13" s="54"/>
      <c r="E13" s="54"/>
      <c r="F13" s="54"/>
      <c r="G13" s="54"/>
      <c r="H13" s="54"/>
      <c r="I13" s="54"/>
      <c r="J13" s="119"/>
      <c r="K13" s="54"/>
      <c r="L13" s="54"/>
      <c r="M13" s="54"/>
      <c r="N13" s="54"/>
      <c r="O13" s="29"/>
    </row>
    <row r="14" spans="1:27" ht="21" customHeight="1" x14ac:dyDescent="0.25">
      <c r="A14" s="1199"/>
      <c r="B14" s="1199"/>
      <c r="C14" s="1199"/>
      <c r="D14" s="1199"/>
      <c r="E14" s="1199"/>
      <c r="F14" s="1199"/>
      <c r="G14" s="1199"/>
      <c r="H14" s="1199"/>
      <c r="I14" s="1199"/>
      <c r="J14" s="1199"/>
      <c r="K14" s="1199"/>
      <c r="L14" s="1199"/>
      <c r="M14" s="1196"/>
      <c r="N14" s="127"/>
      <c r="O14" s="504"/>
    </row>
    <row r="15" spans="1:27" ht="21" customHeight="1" x14ac:dyDescent="0.25">
      <c r="A15" s="1200" t="s">
        <v>1375</v>
      </c>
      <c r="B15" s="1200"/>
      <c r="C15" s="1200"/>
      <c r="D15" s="1200"/>
      <c r="E15" s="1200"/>
      <c r="F15" s="1200"/>
      <c r="G15" s="1200"/>
      <c r="H15" s="1200"/>
      <c r="I15" s="1200"/>
      <c r="J15" s="1200"/>
      <c r="K15" s="1200"/>
      <c r="L15" s="1200"/>
      <c r="M15" s="1196"/>
      <c r="N15" s="54"/>
      <c r="O15" s="29"/>
    </row>
    <row r="16" spans="1:27" ht="20" x14ac:dyDescent="0.35">
      <c r="A16" s="186"/>
      <c r="B16" s="187"/>
      <c r="C16" s="187"/>
      <c r="D16" s="54"/>
      <c r="E16" s="188"/>
      <c r="F16" s="54"/>
      <c r="G16" s="54"/>
      <c r="H16" s="505"/>
      <c r="I16" s="254"/>
      <c r="J16" s="119"/>
      <c r="K16" s="54"/>
      <c r="L16" s="54"/>
      <c r="M16" s="54"/>
      <c r="N16" s="54"/>
      <c r="O16" s="29"/>
    </row>
    <row r="17" spans="1:48" ht="32.15" customHeight="1" x14ac:dyDescent="0.35">
      <c r="A17" s="921"/>
      <c r="B17" s="499"/>
      <c r="C17" s="499"/>
      <c r="D17" s="499"/>
      <c r="E17" s="499"/>
      <c r="F17" s="499"/>
      <c r="G17" s="499"/>
      <c r="H17" s="499"/>
      <c r="I17" s="499"/>
      <c r="J17" s="499"/>
      <c r="K17" s="54"/>
      <c r="L17" s="54"/>
      <c r="M17" s="54"/>
      <c r="N17" s="54"/>
      <c r="O17" s="29"/>
      <c r="Z17" s="582" t="s">
        <v>1371</v>
      </c>
    </row>
    <row r="18" spans="1:48" ht="19.5" customHeight="1" x14ac:dyDescent="0.35">
      <c r="A18" s="191" t="str">
        <f>"Please note, your authority is only required to complete and return the following forms: "&amp;VLOOKUP(LA_name,LA_list,9,0)</f>
        <v>Please note, your authority is only required to complete and return the following forms: Forms to be completed will appear here !</v>
      </c>
      <c r="B18" s="192"/>
      <c r="C18" s="192"/>
      <c r="D18" s="190"/>
      <c r="E18" s="190"/>
      <c r="F18" s="190"/>
      <c r="G18" s="190"/>
      <c r="H18" s="190"/>
      <c r="I18" s="190"/>
      <c r="J18" s="119"/>
      <c r="K18" s="54"/>
      <c r="L18" s="54"/>
      <c r="M18" s="54"/>
      <c r="N18" s="54"/>
      <c r="O18" s="29"/>
      <c r="AA18"/>
    </row>
    <row r="19" spans="1:48" ht="12" customHeight="1" x14ac:dyDescent="0.35">
      <c r="A19" s="590"/>
      <c r="B19" s="192"/>
      <c r="C19" s="192"/>
      <c r="D19" s="190"/>
      <c r="E19" s="190"/>
      <c r="F19" s="190"/>
      <c r="G19" s="190"/>
      <c r="H19" s="190"/>
      <c r="I19" s="190"/>
      <c r="J19" s="119"/>
      <c r="K19" s="54"/>
      <c r="L19" s="54"/>
      <c r="M19" s="54"/>
      <c r="N19" s="54"/>
      <c r="O19" s="29"/>
      <c r="AA19"/>
    </row>
    <row r="20" spans="1:48" ht="26.25" customHeight="1" x14ac:dyDescent="0.5">
      <c r="A20" s="138" t="str">
        <f>VLOOKUP(ContactDetails!$C$21,LA_list,2,FALSE)</f>
        <v>Please select your authority name on Title page</v>
      </c>
      <c r="B20" s="708"/>
      <c r="C20" s="708"/>
      <c r="D20" s="708"/>
      <c r="E20" s="4"/>
      <c r="F20" s="202"/>
      <c r="G20" s="127"/>
      <c r="H20" s="112"/>
      <c r="I20" s="112"/>
      <c r="J20" s="112"/>
      <c r="K20" s="112"/>
      <c r="L20" s="112"/>
      <c r="M20" s="112"/>
      <c r="N20" s="112"/>
    </row>
    <row r="21" spans="1:48" ht="18" customHeight="1" x14ac:dyDescent="0.4">
      <c r="A21" s="140" t="str">
        <f>ContactDetails!C25</f>
        <v>E-code</v>
      </c>
      <c r="B21" s="708"/>
      <c r="C21" s="708"/>
      <c r="D21" s="708"/>
      <c r="E21" s="835"/>
      <c r="F21" s="1190"/>
      <c r="G21" s="1190"/>
      <c r="H21" s="86"/>
      <c r="I21" s="112"/>
      <c r="J21" s="112"/>
      <c r="K21" s="112"/>
      <c r="L21" s="112"/>
      <c r="M21" s="112"/>
      <c r="N21" s="112"/>
      <c r="AV21" t="s">
        <v>1575</v>
      </c>
    </row>
    <row r="22" spans="1:48" ht="18" customHeight="1" x14ac:dyDescent="0.35">
      <c r="A22" s="258"/>
      <c r="B22" s="506"/>
      <c r="C22" s="506"/>
      <c r="D22" s="61"/>
      <c r="E22" s="835"/>
      <c r="F22" s="1190"/>
      <c r="G22" s="1190"/>
      <c r="H22" s="86"/>
      <c r="I22" s="112"/>
      <c r="J22" s="112"/>
      <c r="K22" s="112"/>
      <c r="L22" s="112"/>
      <c r="M22" s="112"/>
      <c r="N22" s="112"/>
      <c r="AV22" t="s">
        <v>1576</v>
      </c>
    </row>
    <row r="23" spans="1:48" ht="16" thickBot="1" x14ac:dyDescent="0.4">
      <c r="A23" s="258"/>
      <c r="B23" s="644" t="s">
        <v>1577</v>
      </c>
      <c r="C23" s="4"/>
      <c r="D23" s="55"/>
      <c r="E23" s="835"/>
      <c r="F23" s="1190"/>
      <c r="G23" s="1190"/>
      <c r="H23" s="86"/>
      <c r="I23" s="112"/>
      <c r="J23" s="112"/>
      <c r="K23" s="112"/>
      <c r="L23" s="112"/>
      <c r="M23" s="112"/>
      <c r="N23" s="112"/>
      <c r="AV23" t="s">
        <v>1578</v>
      </c>
    </row>
    <row r="24" spans="1:48" ht="16" thickBot="1" x14ac:dyDescent="0.4">
      <c r="A24" s="193"/>
      <c r="B24" s="1203" t="s">
        <v>1575</v>
      </c>
      <c r="C24" s="1204"/>
      <c r="D24" s="1204"/>
      <c r="E24" s="1204"/>
      <c r="F24" s="1205"/>
      <c r="G24" s="502"/>
      <c r="H24" s="86"/>
      <c r="I24" s="112"/>
      <c r="J24" s="112"/>
      <c r="K24" s="112"/>
      <c r="L24" s="112"/>
      <c r="M24" s="112"/>
      <c r="N24" s="112"/>
      <c r="AV24" t="s">
        <v>1579</v>
      </c>
    </row>
    <row r="25" spans="1:48" s="3" customFormat="1" ht="15.5" x14ac:dyDescent="0.35">
      <c r="A25" s="108"/>
      <c r="B25" s="425"/>
      <c r="C25" s="11"/>
      <c r="D25" s="11"/>
      <c r="E25" s="66"/>
      <c r="F25" s="433"/>
      <c r="G25" s="210"/>
      <c r="H25" s="208"/>
      <c r="I25" s="4"/>
      <c r="J25" s="4"/>
      <c r="K25" s="4"/>
      <c r="L25" s="4"/>
      <c r="M25" s="4"/>
      <c r="N25" s="4"/>
      <c r="AA25" s="153"/>
    </row>
    <row r="26" spans="1:48" ht="15.5" x14ac:dyDescent="0.35">
      <c r="A26" s="232"/>
      <c r="B26" s="11"/>
      <c r="C26" s="11"/>
      <c r="D26" s="11"/>
      <c r="F26" s="98"/>
      <c r="G26" s="11"/>
      <c r="H26" s="112"/>
      <c r="I26" s="112"/>
      <c r="J26" s="112"/>
      <c r="K26" s="112"/>
      <c r="L26" s="112"/>
      <c r="M26" s="112"/>
      <c r="N26" s="112"/>
    </row>
    <row r="27" spans="1:48" ht="15.5" x14ac:dyDescent="0.35">
      <c r="A27" s="258"/>
      <c r="B27" s="112"/>
      <c r="C27" s="112"/>
      <c r="D27" s="690" t="s">
        <v>1580</v>
      </c>
      <c r="F27" s="112"/>
      <c r="G27" s="112"/>
      <c r="H27" s="112"/>
      <c r="I27" s="923" t="s">
        <v>1378</v>
      </c>
      <c r="J27" s="112"/>
      <c r="K27" s="112"/>
      <c r="L27" s="112"/>
      <c r="M27" s="112"/>
      <c r="N27" s="112"/>
    </row>
    <row r="28" spans="1:48" ht="15.5" x14ac:dyDescent="0.35">
      <c r="A28" s="827" t="s">
        <v>1581</v>
      </c>
      <c r="B28" s="730"/>
      <c r="C28" s="730"/>
      <c r="D28" s="690" t="s">
        <v>1582</v>
      </c>
      <c r="F28" s="425"/>
      <c r="G28" s="425"/>
      <c r="I28" s="922" t="s">
        <v>0</v>
      </c>
      <c r="K28" s="1201"/>
      <c r="L28" s="1201"/>
      <c r="M28" s="425"/>
      <c r="N28" s="1202"/>
      <c r="O28" s="1202"/>
      <c r="P28" s="425"/>
      <c r="Q28" s="425"/>
      <c r="R28" s="425"/>
    </row>
    <row r="29" spans="1:48" ht="39.5" x14ac:dyDescent="0.35">
      <c r="A29" s="731"/>
      <c r="B29" s="780"/>
      <c r="C29" s="781"/>
      <c r="D29" s="782" t="s">
        <v>1583</v>
      </c>
      <c r="E29" s="782" t="s">
        <v>1584</v>
      </c>
      <c r="F29" s="782" t="s">
        <v>1585</v>
      </c>
      <c r="G29" s="782" t="s">
        <v>1586</v>
      </c>
      <c r="H29" s="782" t="s">
        <v>1587</v>
      </c>
      <c r="I29" s="782" t="s">
        <v>1588</v>
      </c>
      <c r="J29" s="735"/>
      <c r="K29" s="1201"/>
      <c r="L29" s="1201"/>
      <c r="M29" s="425"/>
      <c r="N29" s="1202"/>
      <c r="O29" s="1202"/>
      <c r="P29" s="425"/>
      <c r="Q29" s="425"/>
      <c r="R29" s="425"/>
    </row>
    <row r="30" spans="1:48" ht="15.5" x14ac:dyDescent="0.35">
      <c r="A30" s="731"/>
      <c r="B30" s="925" t="s">
        <v>1589</v>
      </c>
      <c r="C30" s="781"/>
      <c r="D30" s="786"/>
      <c r="E30" s="786"/>
      <c r="F30" s="786"/>
      <c r="G30" s="786"/>
      <c r="H30" s="991">
        <f>SUM(E30:G30)</f>
        <v>0</v>
      </c>
      <c r="I30" s="992">
        <f>D30+H30</f>
        <v>0</v>
      </c>
      <c r="J30" s="735"/>
      <c r="M30" s="425"/>
      <c r="N30" s="1202"/>
      <c r="O30" s="1202"/>
      <c r="P30" s="425"/>
      <c r="Q30" s="425"/>
      <c r="R30" s="425"/>
    </row>
    <row r="31" spans="1:48" ht="15.5" x14ac:dyDescent="0.35">
      <c r="A31" s="731"/>
      <c r="B31" s="925" t="s">
        <v>1590</v>
      </c>
      <c r="C31" s="781"/>
      <c r="D31" s="786"/>
      <c r="E31" s="786"/>
      <c r="F31" s="786"/>
      <c r="G31" s="786"/>
      <c r="H31" s="991">
        <f>SUM(E31:G31)</f>
        <v>0</v>
      </c>
      <c r="I31" s="992">
        <f>D31+H31</f>
        <v>0</v>
      </c>
      <c r="J31" s="735"/>
      <c r="K31" s="1201"/>
      <c r="L31" s="1201"/>
      <c r="M31" s="425"/>
      <c r="N31" s="1202"/>
      <c r="O31" s="1202"/>
      <c r="P31" s="425"/>
      <c r="Q31" s="425"/>
      <c r="R31" s="425"/>
    </row>
    <row r="32" spans="1:48" ht="15.5" x14ac:dyDescent="0.35">
      <c r="A32" s="731"/>
      <c r="B32" s="925" t="s">
        <v>1591</v>
      </c>
      <c r="C32" s="781"/>
      <c r="D32" s="786"/>
      <c r="E32" s="786"/>
      <c r="F32" s="786"/>
      <c r="G32" s="786"/>
      <c r="H32" s="991">
        <f>SUM(E32:G32)</f>
        <v>0</v>
      </c>
      <c r="I32" s="993">
        <f>D32+H32</f>
        <v>0</v>
      </c>
      <c r="J32" s="735"/>
      <c r="K32" s="1201"/>
      <c r="L32" s="1201"/>
      <c r="M32" s="425"/>
      <c r="N32" s="1202"/>
      <c r="O32" s="1202"/>
      <c r="P32" s="425"/>
      <c r="Q32" s="425"/>
      <c r="R32" s="425"/>
    </row>
    <row r="33" spans="1:27" ht="15.5" x14ac:dyDescent="0.35">
      <c r="A33" s="731"/>
      <c r="B33" s="924" t="s">
        <v>1592</v>
      </c>
      <c r="C33" s="781"/>
      <c r="D33" s="991">
        <f>SUM(D30:D32)</f>
        <v>0</v>
      </c>
      <c r="E33" s="991">
        <f>SUM(E30:E32)</f>
        <v>0</v>
      </c>
      <c r="F33" s="991">
        <f>SUM(F30:F32)</f>
        <v>0</v>
      </c>
      <c r="G33" s="991">
        <f>SUM(G30:G32)</f>
        <v>0</v>
      </c>
      <c r="H33" s="994">
        <f>SUM(H30:H32)</f>
        <v>0</v>
      </c>
      <c r="I33" s="993">
        <f>D33+H33</f>
        <v>0</v>
      </c>
      <c r="J33" s="735"/>
      <c r="K33" s="1201"/>
      <c r="L33" s="1201"/>
      <c r="M33" s="425"/>
      <c r="N33" s="1202"/>
      <c r="O33" s="1202"/>
      <c r="P33" s="425"/>
      <c r="Q33" s="425"/>
      <c r="R33" s="425"/>
    </row>
    <row r="34" spans="1:27" ht="48" customHeight="1" x14ac:dyDescent="0.35">
      <c r="A34" s="731"/>
      <c r="B34" s="926" t="s">
        <v>1593</v>
      </c>
      <c r="C34" s="730"/>
      <c r="D34" s="826" t="str">
        <f>IF(MAX(D30:I33)&gt;10000,"CHECK UNITS - Have you completed any cells in £ rather than thousands of pounds?","")</f>
        <v/>
      </c>
      <c r="E34" s="730"/>
      <c r="F34" s="823"/>
      <c r="G34" s="824"/>
      <c r="H34" s="825"/>
      <c r="I34" s="727"/>
      <c r="J34" s="125"/>
      <c r="K34" s="1201"/>
      <c r="L34" s="1201"/>
      <c r="M34" s="425"/>
      <c r="N34" s="1202"/>
      <c r="O34" s="1202"/>
      <c r="P34" s="425"/>
      <c r="Q34" s="425"/>
      <c r="R34" s="425"/>
    </row>
    <row r="35" spans="1:27" ht="15.5" x14ac:dyDescent="0.35">
      <c r="A35" s="731"/>
      <c r="B35" s="644" t="s">
        <v>1594</v>
      </c>
      <c r="C35" s="927"/>
      <c r="D35" s="425"/>
      <c r="E35" s="425"/>
      <c r="F35" s="732"/>
      <c r="G35" s="733"/>
      <c r="H35" s="734"/>
      <c r="I35" s="125"/>
      <c r="J35" s="125"/>
      <c r="K35" s="1201"/>
      <c r="L35" s="1201"/>
      <c r="M35" s="425"/>
      <c r="N35" s="1202"/>
      <c r="O35" s="1202"/>
      <c r="P35" s="425"/>
      <c r="Q35" s="425"/>
      <c r="R35" s="425"/>
    </row>
    <row r="36" spans="1:27" ht="51.65" customHeight="1" x14ac:dyDescent="0.35">
      <c r="A36" s="731"/>
      <c r="B36" s="1210"/>
      <c r="C36" s="1210"/>
      <c r="D36" s="1210"/>
      <c r="E36" s="1210"/>
      <c r="F36" s="1210"/>
      <c r="G36" s="1210"/>
      <c r="H36" s="1210"/>
      <c r="I36" s="1210"/>
      <c r="J36" s="1210"/>
      <c r="K36" s="1201"/>
      <c r="L36" s="1201"/>
      <c r="M36" s="425"/>
      <c r="N36" s="1202"/>
      <c r="O36" s="1202"/>
      <c r="P36" s="425"/>
      <c r="Q36" s="425"/>
      <c r="R36" s="425"/>
    </row>
    <row r="37" spans="1:27" ht="30" customHeight="1" x14ac:dyDescent="0.25">
      <c r="A37"/>
      <c r="B37" s="425"/>
      <c r="C37" s="425"/>
      <c r="D37" s="425"/>
      <c r="E37" s="425"/>
      <c r="F37" s="425"/>
      <c r="G37" s="425"/>
      <c r="H37" s="425"/>
      <c r="I37" s="425"/>
      <c r="J37" s="425"/>
      <c r="AA37"/>
    </row>
    <row r="38" spans="1:27" ht="15.5" x14ac:dyDescent="0.35">
      <c r="A38" s="731"/>
      <c r="B38" s="714" t="s">
        <v>1595</v>
      </c>
      <c r="C38" s="927"/>
      <c r="D38" s="1209"/>
      <c r="E38" s="1209"/>
      <c r="F38" s="425"/>
      <c r="G38" s="733"/>
      <c r="H38" s="734"/>
      <c r="I38" s="125"/>
      <c r="J38" s="125"/>
      <c r="K38" s="1201"/>
      <c r="L38" s="1201"/>
      <c r="M38" s="425"/>
      <c r="N38" s="1202"/>
      <c r="O38" s="1202"/>
      <c r="P38" s="425"/>
      <c r="Q38" s="425"/>
      <c r="R38" s="425"/>
    </row>
    <row r="39" spans="1:27" ht="15.5" x14ac:dyDescent="0.35">
      <c r="A39" s="731"/>
      <c r="B39" s="644" t="s">
        <v>1596</v>
      </c>
      <c r="C39" s="927"/>
      <c r="D39" s="425"/>
      <c r="E39" s="425"/>
      <c r="F39" s="927"/>
      <c r="G39" s="733"/>
      <c r="H39" s="734"/>
      <c r="I39" s="125"/>
      <c r="J39" s="125"/>
      <c r="K39" s="1201"/>
      <c r="L39" s="1201"/>
      <c r="M39" s="425"/>
      <c r="N39" s="1202"/>
      <c r="O39" s="1202"/>
      <c r="P39" s="425"/>
      <c r="Q39" s="425"/>
      <c r="R39" s="425"/>
    </row>
    <row r="40" spans="1:27" ht="53.9" customHeight="1" x14ac:dyDescent="0.35">
      <c r="A40" s="731"/>
      <c r="B40" s="1212"/>
      <c r="C40" s="1212"/>
      <c r="D40" s="1212"/>
      <c r="E40" s="1212"/>
      <c r="F40" s="1212"/>
      <c r="G40" s="1212"/>
      <c r="H40" s="1212"/>
      <c r="I40" s="1212"/>
      <c r="J40" s="1212"/>
      <c r="K40" s="1201"/>
      <c r="L40" s="1201"/>
      <c r="M40" s="425"/>
      <c r="N40" s="1202"/>
      <c r="O40" s="1202"/>
      <c r="P40" s="425"/>
      <c r="Q40" s="425"/>
      <c r="R40" s="425"/>
    </row>
    <row r="41" spans="1:27" ht="12.5" x14ac:dyDescent="0.25">
      <c r="A41" s="655"/>
    </row>
    <row r="42" spans="1:27" ht="12.5" x14ac:dyDescent="0.25">
      <c r="A42" s="655"/>
    </row>
    <row r="43" spans="1:27" ht="12.5" x14ac:dyDescent="0.25">
      <c r="A43" s="655"/>
    </row>
    <row r="44" spans="1:27" ht="12.5" x14ac:dyDescent="0.25">
      <c r="A44" s="655"/>
      <c r="B44" s="1211"/>
      <c r="C44" s="1211"/>
      <c r="D44" s="1211"/>
      <c r="E44" s="1211"/>
    </row>
    <row r="45" spans="1:27" ht="12.5" x14ac:dyDescent="0.25">
      <c r="A45" s="655"/>
    </row>
    <row r="46" spans="1:27" ht="12.5" x14ac:dyDescent="0.25">
      <c r="A46" s="655"/>
      <c r="B46" s="1211"/>
      <c r="C46" s="1211"/>
      <c r="D46" s="1211"/>
      <c r="E46" s="1211"/>
      <c r="F46" s="1211"/>
      <c r="G46" s="1211"/>
    </row>
    <row r="47" spans="1:27" ht="12.5" x14ac:dyDescent="0.25">
      <c r="A47" s="655"/>
    </row>
    <row r="48" spans="1:27" ht="12.5" x14ac:dyDescent="0.25">
      <c r="A48" s="655"/>
    </row>
    <row r="49" spans="1:1" ht="12.5" x14ac:dyDescent="0.25">
      <c r="A49" s="655"/>
    </row>
    <row r="50" spans="1:1" ht="12.5" x14ac:dyDescent="0.25">
      <c r="A50" s="655"/>
    </row>
    <row r="51" spans="1:1" ht="12.5" x14ac:dyDescent="0.25">
      <c r="A51" s="655"/>
    </row>
    <row r="52" spans="1:1" ht="12.5" x14ac:dyDescent="0.25">
      <c r="A52" s="655"/>
    </row>
    <row r="53" spans="1:1" ht="12.5" x14ac:dyDescent="0.25">
      <c r="A53" s="655"/>
    </row>
    <row r="54" spans="1:1" ht="12.5" x14ac:dyDescent="0.25">
      <c r="A54" s="655"/>
    </row>
    <row r="55" spans="1:1" ht="12.5" x14ac:dyDescent="0.25">
      <c r="A55" s="655"/>
    </row>
    <row r="56" spans="1:1" ht="12.5" x14ac:dyDescent="0.25">
      <c r="A56" s="655"/>
    </row>
    <row r="57" spans="1:1" ht="12.5" x14ac:dyDescent="0.25">
      <c r="A57" s="655"/>
    </row>
    <row r="58" spans="1:1" ht="12.5" x14ac:dyDescent="0.25">
      <c r="A58" s="655"/>
    </row>
    <row r="59" spans="1:1" ht="12.5" x14ac:dyDescent="0.25">
      <c r="A59" s="655"/>
    </row>
    <row r="60" spans="1:1" ht="12.5" x14ac:dyDescent="0.25">
      <c r="A60" s="655"/>
    </row>
    <row r="61" spans="1:1" ht="12.5" hidden="1" x14ac:dyDescent="0.25">
      <c r="A61" s="655"/>
    </row>
    <row r="62" spans="1:1" ht="12.5" hidden="1" x14ac:dyDescent="0.25">
      <c r="A62" s="655"/>
    </row>
    <row r="63" spans="1:1" ht="12.5" hidden="1" x14ac:dyDescent="0.25">
      <c r="A63" s="655"/>
    </row>
    <row r="64" spans="1:1" ht="12.5" hidden="1" x14ac:dyDescent="0.25">
      <c r="A64" s="655"/>
    </row>
    <row r="65" spans="1:1" ht="12.5" hidden="1" x14ac:dyDescent="0.25">
      <c r="A65" s="655"/>
    </row>
    <row r="66" spans="1:1" ht="12.5" hidden="1" x14ac:dyDescent="0.25">
      <c r="A66" s="655"/>
    </row>
    <row r="67" spans="1:1" ht="12.5" hidden="1" x14ac:dyDescent="0.25">
      <c r="A67" s="655"/>
    </row>
    <row r="68" spans="1:1" ht="12.5" hidden="1" x14ac:dyDescent="0.25">
      <c r="A68" s="655"/>
    </row>
    <row r="69" spans="1:1" ht="12.5" hidden="1" x14ac:dyDescent="0.25">
      <c r="A69" s="655"/>
    </row>
    <row r="70" spans="1:1" ht="12.5" hidden="1" x14ac:dyDescent="0.25">
      <c r="A70" s="655"/>
    </row>
    <row r="71" spans="1:1" ht="12.5" hidden="1" x14ac:dyDescent="0.25">
      <c r="A71" s="655"/>
    </row>
    <row r="72" spans="1:1" ht="12.5" hidden="1" x14ac:dyDescent="0.25">
      <c r="A72" s="655"/>
    </row>
    <row r="73" spans="1:1" ht="12.5" hidden="1" x14ac:dyDescent="0.25">
      <c r="A73" s="655"/>
    </row>
    <row r="74" spans="1:1" ht="12.5" hidden="1" x14ac:dyDescent="0.25">
      <c r="A74" s="655"/>
    </row>
    <row r="75" spans="1:1" ht="12.5" hidden="1" x14ac:dyDescent="0.25">
      <c r="A75" s="655"/>
    </row>
    <row r="76" spans="1:1" ht="12.5" hidden="1" x14ac:dyDescent="0.25">
      <c r="A76" s="655"/>
    </row>
    <row r="77" spans="1:1" ht="12.5" hidden="1" x14ac:dyDescent="0.25">
      <c r="A77" s="655"/>
    </row>
    <row r="78" spans="1:1" ht="12.5" hidden="1" x14ac:dyDescent="0.25">
      <c r="A78" s="655"/>
    </row>
    <row r="79" spans="1:1" ht="12.5" hidden="1" x14ac:dyDescent="0.25">
      <c r="A79" s="655"/>
    </row>
    <row r="80" spans="1:1" ht="12.5" hidden="1" x14ac:dyDescent="0.25">
      <c r="A80" s="655"/>
    </row>
    <row r="81" spans="1:1" ht="12.5" hidden="1" x14ac:dyDescent="0.25">
      <c r="A81" s="655"/>
    </row>
    <row r="82" spans="1:1" ht="12.5" hidden="1" x14ac:dyDescent="0.25">
      <c r="A82" s="655"/>
    </row>
    <row r="83" spans="1:1" ht="12.5" hidden="1" x14ac:dyDescent="0.25">
      <c r="A83" s="655"/>
    </row>
    <row r="84" spans="1:1" ht="12.5" hidden="1" x14ac:dyDescent="0.25">
      <c r="A84" s="655"/>
    </row>
    <row r="85" spans="1:1" ht="12.5" hidden="1" x14ac:dyDescent="0.25">
      <c r="A85" s="655"/>
    </row>
    <row r="86" spans="1:1" ht="12.5" hidden="1" x14ac:dyDescent="0.25">
      <c r="A86" s="655"/>
    </row>
    <row r="87" spans="1:1" ht="12.5" hidden="1" x14ac:dyDescent="0.25">
      <c r="A87" s="655"/>
    </row>
    <row r="88" spans="1:1" ht="12.65" hidden="1" customHeight="1" x14ac:dyDescent="0.25">
      <c r="A88" s="655"/>
    </row>
    <row r="89" spans="1:1" ht="12.65" hidden="1" customHeight="1" x14ac:dyDescent="0.25">
      <c r="A89" s="655"/>
    </row>
    <row r="90" spans="1:1" ht="12.65" hidden="1" customHeight="1" x14ac:dyDescent="0.25">
      <c r="A90" s="655"/>
    </row>
    <row r="91" spans="1:1" ht="12.65" hidden="1" customHeight="1" x14ac:dyDescent="0.25">
      <c r="A91" s="655"/>
    </row>
    <row r="92" spans="1:1" ht="12.5" hidden="1" x14ac:dyDescent="0.25">
      <c r="A92" s="655"/>
    </row>
    <row r="93" spans="1:1" ht="12.5" hidden="1" x14ac:dyDescent="0.25">
      <c r="A93" s="655"/>
    </row>
    <row r="94" spans="1:1" ht="12.65" hidden="1" customHeight="1" x14ac:dyDescent="0.25">
      <c r="A94" s="655"/>
    </row>
    <row r="95" spans="1:1" ht="12.65" hidden="1" customHeight="1" x14ac:dyDescent="0.25">
      <c r="A95" s="655"/>
    </row>
    <row r="96" spans="1:1" ht="12.65" hidden="1" customHeight="1" x14ac:dyDescent="0.25">
      <c r="A96" s="655"/>
    </row>
    <row r="97" spans="1:1" ht="12.65" hidden="1" customHeight="1" x14ac:dyDescent="0.25">
      <c r="A97" s="655"/>
    </row>
    <row r="98" spans="1:1" ht="12.65" hidden="1" customHeight="1" x14ac:dyDescent="0.25">
      <c r="A98" s="655"/>
    </row>
    <row r="99" spans="1:1" ht="12.65" hidden="1" customHeight="1" x14ac:dyDescent="0.25">
      <c r="A99" s="655"/>
    </row>
    <row r="100" spans="1:1" ht="12.65" hidden="1" customHeight="1" x14ac:dyDescent="0.25">
      <c r="A100" s="655"/>
    </row>
    <row r="101" spans="1:1" ht="12.65" hidden="1" customHeight="1" x14ac:dyDescent="0.25">
      <c r="A101" s="655"/>
    </row>
    <row r="102" spans="1:1" ht="12.5" hidden="1" x14ac:dyDescent="0.25">
      <c r="A102" s="655"/>
    </row>
    <row r="103" spans="1:1" ht="12.5" hidden="1" x14ac:dyDescent="0.25">
      <c r="A103" s="655"/>
    </row>
    <row r="104" spans="1:1" ht="12.5" hidden="1" x14ac:dyDescent="0.25">
      <c r="A104" s="655"/>
    </row>
    <row r="105" spans="1:1" ht="12.5" hidden="1" x14ac:dyDescent="0.25">
      <c r="A105" s="655"/>
    </row>
    <row r="106" spans="1:1" ht="12.5" hidden="1" x14ac:dyDescent="0.25">
      <c r="A106" s="655"/>
    </row>
    <row r="107" spans="1:1" ht="12.5" hidden="1" x14ac:dyDescent="0.25">
      <c r="A107" s="655"/>
    </row>
    <row r="108" spans="1:1" ht="12.5" hidden="1" x14ac:dyDescent="0.25">
      <c r="A108" s="655"/>
    </row>
    <row r="109" spans="1:1" ht="12.5" hidden="1" x14ac:dyDescent="0.25">
      <c r="A109" s="655"/>
    </row>
    <row r="110" spans="1:1" ht="12.5" hidden="1" x14ac:dyDescent="0.25">
      <c r="A110" s="655"/>
    </row>
    <row r="111" spans="1:1" ht="12.5" hidden="1" x14ac:dyDescent="0.25">
      <c r="A111" s="655"/>
    </row>
    <row r="112" spans="1:1" ht="12.5" hidden="1" x14ac:dyDescent="0.25">
      <c r="A112" s="655"/>
    </row>
    <row r="113" spans="1:1" ht="12.5" hidden="1" x14ac:dyDescent="0.25">
      <c r="A113" s="655"/>
    </row>
    <row r="114" spans="1:1" ht="12.5" hidden="1" x14ac:dyDescent="0.25">
      <c r="A114" s="655"/>
    </row>
    <row r="115" spans="1:1" ht="12.5" hidden="1" x14ac:dyDescent="0.25">
      <c r="A115" s="655"/>
    </row>
    <row r="116" spans="1:1" ht="12.5" hidden="1" x14ac:dyDescent="0.25">
      <c r="A116" s="655"/>
    </row>
    <row r="117" spans="1:1" ht="12.5" hidden="1" x14ac:dyDescent="0.25">
      <c r="A117" s="655"/>
    </row>
    <row r="118" spans="1:1" ht="12.5" hidden="1" x14ac:dyDescent="0.25">
      <c r="A118" s="655"/>
    </row>
    <row r="119" spans="1:1" ht="12.5" hidden="1" x14ac:dyDescent="0.25">
      <c r="A119" s="655"/>
    </row>
    <row r="120" spans="1:1" ht="12.5" hidden="1" x14ac:dyDescent="0.25">
      <c r="A120" s="655"/>
    </row>
    <row r="121" spans="1:1" ht="12.5" hidden="1" x14ac:dyDescent="0.25">
      <c r="A121" s="655"/>
    </row>
    <row r="122" spans="1:1" ht="12.5" hidden="1" x14ac:dyDescent="0.25">
      <c r="A122" s="655"/>
    </row>
    <row r="123" spans="1:1" ht="12.5" hidden="1" x14ac:dyDescent="0.25">
      <c r="A123" s="655"/>
    </row>
    <row r="124" spans="1:1" ht="12.5" hidden="1" x14ac:dyDescent="0.25">
      <c r="A124" s="655"/>
    </row>
    <row r="125" spans="1:1" ht="12.5" hidden="1" x14ac:dyDescent="0.25">
      <c r="A125" s="655"/>
    </row>
    <row r="126" spans="1:1" ht="12.5" hidden="1" x14ac:dyDescent="0.25">
      <c r="A126" s="655"/>
    </row>
    <row r="127" spans="1:1" ht="12.5" hidden="1" x14ac:dyDescent="0.25">
      <c r="A127" s="655"/>
    </row>
    <row r="128" spans="1:1" ht="12.5" hidden="1" x14ac:dyDescent="0.25">
      <c r="A128" s="655"/>
    </row>
    <row r="129" spans="1:1" ht="12.5" hidden="1" x14ac:dyDescent="0.25">
      <c r="A129" s="655"/>
    </row>
    <row r="130" spans="1:1" ht="12.5" hidden="1" x14ac:dyDescent="0.25">
      <c r="A130" s="655"/>
    </row>
    <row r="131" spans="1:1" ht="12.5" hidden="1" x14ac:dyDescent="0.25">
      <c r="A131" s="655"/>
    </row>
    <row r="132" spans="1:1" ht="12.5" hidden="1" x14ac:dyDescent="0.25">
      <c r="A132" s="655"/>
    </row>
    <row r="133" spans="1:1" ht="12.5" hidden="1" x14ac:dyDescent="0.25">
      <c r="A133" s="655"/>
    </row>
    <row r="134" spans="1:1" ht="12.5" hidden="1" x14ac:dyDescent="0.25">
      <c r="A134" s="655"/>
    </row>
    <row r="135" spans="1:1" ht="12.5" hidden="1" x14ac:dyDescent="0.25">
      <c r="A135" s="655"/>
    </row>
    <row r="136" spans="1:1" ht="12.5" hidden="1" x14ac:dyDescent="0.25">
      <c r="A136" s="655"/>
    </row>
    <row r="137" spans="1:1" ht="12.5" hidden="1" x14ac:dyDescent="0.25">
      <c r="A137" s="655"/>
    </row>
    <row r="138" spans="1:1" ht="12.5" hidden="1" x14ac:dyDescent="0.25">
      <c r="A138" s="655"/>
    </row>
    <row r="139" spans="1:1" ht="12.5" hidden="1" x14ac:dyDescent="0.25">
      <c r="A139" s="655"/>
    </row>
    <row r="140" spans="1:1" ht="12.5" hidden="1" x14ac:dyDescent="0.25">
      <c r="A140" s="655"/>
    </row>
    <row r="141" spans="1:1" ht="12.5" hidden="1" x14ac:dyDescent="0.25">
      <c r="A141" s="655"/>
    </row>
    <row r="142" spans="1:1" ht="12.5" hidden="1" x14ac:dyDescent="0.25">
      <c r="A142" s="655"/>
    </row>
    <row r="143" spans="1:1" ht="12.5" hidden="1" x14ac:dyDescent="0.25">
      <c r="A143" s="655"/>
    </row>
    <row r="144" spans="1:1" ht="12.5" hidden="1" x14ac:dyDescent="0.25">
      <c r="A144" s="655"/>
    </row>
    <row r="145" spans="1:1" ht="12.5" hidden="1" x14ac:dyDescent="0.25">
      <c r="A145" s="655"/>
    </row>
    <row r="146" spans="1:1" ht="12.5" hidden="1" x14ac:dyDescent="0.25">
      <c r="A146" s="655"/>
    </row>
    <row r="147" spans="1:1" ht="12.5" hidden="1" x14ac:dyDescent="0.25">
      <c r="A147" s="655"/>
    </row>
    <row r="148" spans="1:1" ht="12.5" hidden="1" x14ac:dyDescent="0.25">
      <c r="A148" s="655"/>
    </row>
    <row r="149" spans="1:1" ht="12.5" hidden="1" x14ac:dyDescent="0.25">
      <c r="A149" s="655"/>
    </row>
    <row r="150" spans="1:1" ht="12.5" hidden="1" x14ac:dyDescent="0.25">
      <c r="A150" s="655"/>
    </row>
    <row r="151" spans="1:1" ht="12.5" hidden="1" x14ac:dyDescent="0.25">
      <c r="A151" s="655"/>
    </row>
    <row r="152" spans="1:1" ht="12.5" hidden="1" x14ac:dyDescent="0.25">
      <c r="A152" s="655"/>
    </row>
    <row r="153" spans="1:1" ht="12.5" hidden="1" x14ac:dyDescent="0.25">
      <c r="A153" s="655"/>
    </row>
    <row r="154" spans="1:1" ht="12.5" hidden="1" x14ac:dyDescent="0.25">
      <c r="A154" s="655"/>
    </row>
    <row r="155" spans="1:1" ht="12.5" hidden="1" x14ac:dyDescent="0.25">
      <c r="A155" s="655"/>
    </row>
    <row r="156" spans="1:1" ht="12.5" hidden="1" x14ac:dyDescent="0.25">
      <c r="A156" s="655"/>
    </row>
    <row r="157" spans="1:1" ht="12.5" hidden="1" x14ac:dyDescent="0.25">
      <c r="A157" s="655"/>
    </row>
    <row r="158" spans="1:1" ht="12.5" hidden="1" x14ac:dyDescent="0.25">
      <c r="A158" s="655"/>
    </row>
    <row r="159" spans="1:1" ht="12.5" hidden="1" x14ac:dyDescent="0.25">
      <c r="A159" s="655"/>
    </row>
    <row r="160" spans="1:1" ht="12.5" hidden="1" x14ac:dyDescent="0.25">
      <c r="A160" s="655"/>
    </row>
    <row r="161" spans="1:27" ht="12.5" hidden="1" x14ac:dyDescent="0.25">
      <c r="A161" s="655"/>
    </row>
    <row r="162" spans="1:27" ht="12.5" hidden="1" x14ac:dyDescent="0.25">
      <c r="A162" s="655"/>
    </row>
    <row r="163" spans="1:27" ht="12.5" hidden="1" x14ac:dyDescent="0.25">
      <c r="A163" s="655"/>
    </row>
    <row r="164" spans="1:27" ht="12.5" hidden="1" x14ac:dyDescent="0.25">
      <c r="A164" s="655"/>
    </row>
    <row r="165" spans="1:27" ht="12.5" hidden="1" x14ac:dyDescent="0.25">
      <c r="A165" s="655"/>
    </row>
    <row r="166" spans="1:27" ht="12.5" hidden="1" x14ac:dyDescent="0.25">
      <c r="A166" s="655"/>
    </row>
    <row r="167" spans="1:27" ht="12.5" hidden="1" x14ac:dyDescent="0.25">
      <c r="A167"/>
      <c r="AA167"/>
    </row>
    <row r="168" spans="1:27" ht="12.5" hidden="1" x14ac:dyDescent="0.25">
      <c r="A168"/>
      <c r="AA168"/>
    </row>
    <row r="169" spans="1:27" ht="12.5" hidden="1" x14ac:dyDescent="0.25">
      <c r="A169"/>
      <c r="AA169"/>
    </row>
    <row r="170" spans="1:27" ht="12.5" hidden="1" x14ac:dyDescent="0.25">
      <c r="A170"/>
      <c r="AA170"/>
    </row>
    <row r="171" spans="1:27" ht="12.5" hidden="1" x14ac:dyDescent="0.25">
      <c r="A171"/>
      <c r="AA171"/>
    </row>
    <row r="172" spans="1:27" ht="12.5" hidden="1" x14ac:dyDescent="0.25">
      <c r="A172"/>
      <c r="AA172"/>
    </row>
    <row r="173" spans="1:27" ht="12.5" hidden="1" x14ac:dyDescent="0.25">
      <c r="A173"/>
      <c r="AA173"/>
    </row>
    <row r="174" spans="1:27" ht="12.5" hidden="1" x14ac:dyDescent="0.25">
      <c r="A174"/>
      <c r="AA174"/>
    </row>
    <row r="175" spans="1:27" ht="12.5" hidden="1" x14ac:dyDescent="0.25">
      <c r="A175"/>
      <c r="AA175"/>
    </row>
    <row r="176" spans="1:27" ht="12.5" hidden="1" x14ac:dyDescent="0.25">
      <c r="A176"/>
      <c r="AA176"/>
    </row>
    <row r="177" spans="1:27" ht="12.5" hidden="1" x14ac:dyDescent="0.25">
      <c r="A177"/>
      <c r="AA177"/>
    </row>
    <row r="178" spans="1:27" ht="12.5" hidden="1" x14ac:dyDescent="0.25">
      <c r="A178"/>
      <c r="AA178"/>
    </row>
    <row r="179" spans="1:27" ht="12.5" hidden="1" x14ac:dyDescent="0.25">
      <c r="A179"/>
      <c r="AA179"/>
    </row>
    <row r="180" spans="1:27" ht="12.5" hidden="1" x14ac:dyDescent="0.25">
      <c r="A180"/>
      <c r="AA180"/>
    </row>
    <row r="181" spans="1:27" ht="12.5" hidden="1" x14ac:dyDescent="0.25">
      <c r="A181"/>
      <c r="AA181"/>
    </row>
    <row r="182" spans="1:27" ht="12.5" hidden="1" x14ac:dyDescent="0.25">
      <c r="A182"/>
      <c r="AA182"/>
    </row>
    <row r="183" spans="1:27" ht="12.5" hidden="1" x14ac:dyDescent="0.25">
      <c r="A183"/>
      <c r="AA183"/>
    </row>
    <row r="184" spans="1:27" ht="12.5" hidden="1" x14ac:dyDescent="0.25">
      <c r="A184"/>
      <c r="AA184"/>
    </row>
    <row r="185" spans="1:27" ht="12.5" hidden="1" x14ac:dyDescent="0.25">
      <c r="A185"/>
      <c r="AA185"/>
    </row>
    <row r="186" spans="1:27" ht="12.5" hidden="1" x14ac:dyDescent="0.25">
      <c r="A186"/>
      <c r="AA186"/>
    </row>
    <row r="187" spans="1:27" ht="12.5" hidden="1" x14ac:dyDescent="0.25">
      <c r="A187"/>
      <c r="AA187"/>
    </row>
    <row r="188" spans="1:27" ht="12.5" hidden="1" x14ac:dyDescent="0.25">
      <c r="A188"/>
      <c r="AA188"/>
    </row>
    <row r="189" spans="1:27" ht="12.5" hidden="1" x14ac:dyDescent="0.25">
      <c r="A189"/>
      <c r="AA189"/>
    </row>
    <row r="190" spans="1:27" ht="12.5" hidden="1" x14ac:dyDescent="0.25">
      <c r="A190"/>
      <c r="AA190"/>
    </row>
    <row r="191" spans="1:27" ht="12.5" hidden="1" x14ac:dyDescent="0.25">
      <c r="A191"/>
      <c r="AA191"/>
    </row>
    <row r="192" spans="1:27" ht="12.5" hidden="1" x14ac:dyDescent="0.25">
      <c r="A192"/>
      <c r="AA192"/>
    </row>
    <row r="193" spans="1:27" ht="12.5" hidden="1" x14ac:dyDescent="0.25">
      <c r="A193"/>
      <c r="AA193"/>
    </row>
    <row r="194" spans="1:27" ht="12.5" hidden="1" x14ac:dyDescent="0.25">
      <c r="A194"/>
      <c r="AA194"/>
    </row>
    <row r="195" spans="1:27" ht="12.5" hidden="1" x14ac:dyDescent="0.25">
      <c r="A195"/>
      <c r="AA195"/>
    </row>
    <row r="196" spans="1:27" ht="12.5" hidden="1" x14ac:dyDescent="0.25">
      <c r="A196"/>
      <c r="AA196"/>
    </row>
    <row r="197" spans="1:27" ht="12.5" hidden="1" x14ac:dyDescent="0.25">
      <c r="A197"/>
      <c r="AA197"/>
    </row>
    <row r="198" spans="1:27" ht="12.5" hidden="1" x14ac:dyDescent="0.25">
      <c r="A198"/>
      <c r="AA198"/>
    </row>
    <row r="199" spans="1:27" ht="12.5" hidden="1" x14ac:dyDescent="0.25">
      <c r="A199"/>
      <c r="AA199"/>
    </row>
    <row r="200" spans="1:27" ht="12.5" hidden="1" x14ac:dyDescent="0.25">
      <c r="A200"/>
      <c r="AA200"/>
    </row>
    <row r="201" spans="1:27" ht="12.5" hidden="1" x14ac:dyDescent="0.25">
      <c r="A201"/>
      <c r="AA201"/>
    </row>
    <row r="202" spans="1:27" ht="12.5" hidden="1" x14ac:dyDescent="0.25">
      <c r="A202"/>
      <c r="AA202"/>
    </row>
    <row r="203" spans="1:27" ht="12.5" hidden="1" x14ac:dyDescent="0.25">
      <c r="A203"/>
      <c r="AA203"/>
    </row>
    <row r="204" spans="1:27" ht="12.5" hidden="1" x14ac:dyDescent="0.25">
      <c r="A204"/>
      <c r="AA204"/>
    </row>
    <row r="205" spans="1:27" ht="12.5" hidden="1" x14ac:dyDescent="0.25">
      <c r="A205"/>
      <c r="AA205"/>
    </row>
    <row r="206" spans="1:27" ht="12.5" hidden="1" x14ac:dyDescent="0.25">
      <c r="A206"/>
      <c r="AA206"/>
    </row>
    <row r="207" spans="1:27" ht="12.5" hidden="1" x14ac:dyDescent="0.25">
      <c r="A207"/>
      <c r="AA207"/>
    </row>
    <row r="208" spans="1:27" ht="12.5" hidden="1" x14ac:dyDescent="0.25">
      <c r="A208"/>
      <c r="AA208"/>
    </row>
    <row r="209" spans="1:27" ht="12.5" hidden="1" x14ac:dyDescent="0.25">
      <c r="A209"/>
      <c r="AA209"/>
    </row>
    <row r="210" spans="1:27" ht="12.5" hidden="1" x14ac:dyDescent="0.25">
      <c r="A210"/>
      <c r="AA210"/>
    </row>
    <row r="211" spans="1:27" ht="12.5" hidden="1" x14ac:dyDescent="0.25">
      <c r="A211"/>
      <c r="AA211"/>
    </row>
    <row r="212" spans="1:27" ht="12.5" hidden="1" x14ac:dyDescent="0.25">
      <c r="A212"/>
      <c r="AA212"/>
    </row>
    <row r="213" spans="1:27" ht="12.5" hidden="1" x14ac:dyDescent="0.25">
      <c r="A213"/>
      <c r="AA213"/>
    </row>
    <row r="214" spans="1:27" ht="12.5" hidden="1" x14ac:dyDescent="0.25">
      <c r="A214"/>
      <c r="AA214"/>
    </row>
    <row r="215" spans="1:27" ht="12.5" hidden="1" x14ac:dyDescent="0.25">
      <c r="A215"/>
      <c r="AA215"/>
    </row>
    <row r="216" spans="1:27" ht="12.5" hidden="1" x14ac:dyDescent="0.25">
      <c r="A216"/>
      <c r="AA216"/>
    </row>
    <row r="217" spans="1:27" ht="12.5" hidden="1" x14ac:dyDescent="0.25">
      <c r="A217"/>
      <c r="AA217"/>
    </row>
    <row r="218" spans="1:27" ht="12.5" hidden="1" x14ac:dyDescent="0.25">
      <c r="A218"/>
      <c r="AA218"/>
    </row>
    <row r="219" spans="1:27" ht="12.5" hidden="1" x14ac:dyDescent="0.25">
      <c r="A219"/>
      <c r="AA219"/>
    </row>
    <row r="220" spans="1:27" ht="12.5" hidden="1" x14ac:dyDescent="0.25">
      <c r="A220"/>
      <c r="AA220"/>
    </row>
    <row r="221" spans="1:27" ht="12.5" hidden="1" x14ac:dyDescent="0.25">
      <c r="A221"/>
      <c r="AA221"/>
    </row>
    <row r="222" spans="1:27" ht="12.5" hidden="1" x14ac:dyDescent="0.25">
      <c r="A222"/>
      <c r="AA222"/>
    </row>
    <row r="223" spans="1:27" ht="12.5" hidden="1" x14ac:dyDescent="0.25">
      <c r="A223"/>
      <c r="AA223"/>
    </row>
    <row r="224" spans="1:27" ht="12.5" hidden="1" x14ac:dyDescent="0.25">
      <c r="A224"/>
      <c r="AA224"/>
    </row>
    <row r="225" spans="1:27" ht="12.5" hidden="1" x14ac:dyDescent="0.25">
      <c r="A225"/>
      <c r="AA225"/>
    </row>
    <row r="226" spans="1:27" ht="12.5" hidden="1" x14ac:dyDescent="0.25">
      <c r="A226"/>
      <c r="AA226"/>
    </row>
    <row r="227" spans="1:27" ht="12.5" hidden="1" x14ac:dyDescent="0.25">
      <c r="A227"/>
      <c r="AA227"/>
    </row>
    <row r="228" spans="1:27" ht="12.5" hidden="1" x14ac:dyDescent="0.25">
      <c r="A228"/>
      <c r="AA228"/>
    </row>
    <row r="229" spans="1:27" ht="12.5" hidden="1" x14ac:dyDescent="0.25">
      <c r="A229"/>
      <c r="AA229"/>
    </row>
    <row r="230" spans="1:27" ht="12.5" hidden="1" x14ac:dyDescent="0.25">
      <c r="A230"/>
      <c r="AA230"/>
    </row>
    <row r="231" spans="1:27" ht="12.5" hidden="1" x14ac:dyDescent="0.25">
      <c r="A231"/>
      <c r="AA231"/>
    </row>
    <row r="232" spans="1:27" ht="12.5" hidden="1" x14ac:dyDescent="0.25">
      <c r="A232"/>
      <c r="AA232"/>
    </row>
    <row r="233" spans="1:27" ht="12.5" hidden="1" x14ac:dyDescent="0.25">
      <c r="A233"/>
      <c r="AA233"/>
    </row>
    <row r="234" spans="1:27" ht="12.5" hidden="1" x14ac:dyDescent="0.25">
      <c r="A234"/>
      <c r="AA234"/>
    </row>
    <row r="235" spans="1:27" ht="12.5" hidden="1" x14ac:dyDescent="0.25">
      <c r="A235"/>
      <c r="AA235"/>
    </row>
    <row r="236" spans="1:27" ht="12.5" hidden="1" x14ac:dyDescent="0.25">
      <c r="A236"/>
      <c r="AA236"/>
    </row>
    <row r="237" spans="1:27" ht="12.5" hidden="1" x14ac:dyDescent="0.25">
      <c r="A237"/>
      <c r="AA237"/>
    </row>
    <row r="238" spans="1:27" ht="12.5" hidden="1" x14ac:dyDescent="0.25">
      <c r="A238"/>
      <c r="AA238"/>
    </row>
    <row r="239" spans="1:27" ht="12.5" hidden="1" x14ac:dyDescent="0.25">
      <c r="A239"/>
      <c r="AA239"/>
    </row>
    <row r="240" spans="1:27" ht="12.5" hidden="1" x14ac:dyDescent="0.25">
      <c r="A240"/>
      <c r="AA240"/>
    </row>
    <row r="241" spans="1:27" ht="12.5" hidden="1" x14ac:dyDescent="0.25">
      <c r="A241"/>
      <c r="AA241"/>
    </row>
    <row r="242" spans="1:27" ht="12.5" hidden="1" x14ac:dyDescent="0.25">
      <c r="A242"/>
      <c r="AA242"/>
    </row>
    <row r="243" spans="1:27" ht="12.5" hidden="1" x14ac:dyDescent="0.25">
      <c r="A243"/>
      <c r="AA243"/>
    </row>
    <row r="244" spans="1:27" ht="12.5" hidden="1" x14ac:dyDescent="0.25">
      <c r="A244"/>
      <c r="AA244"/>
    </row>
    <row r="245" spans="1:27" ht="12.5" hidden="1" x14ac:dyDescent="0.25">
      <c r="A245"/>
      <c r="AA245"/>
    </row>
    <row r="246" spans="1:27" ht="12.5" hidden="1" x14ac:dyDescent="0.25">
      <c r="A246"/>
      <c r="AA246"/>
    </row>
    <row r="247" spans="1:27" ht="12.5" hidden="1" x14ac:dyDescent="0.25">
      <c r="A247"/>
      <c r="AA247"/>
    </row>
    <row r="248" spans="1:27" ht="12.5" hidden="1" x14ac:dyDescent="0.25">
      <c r="A248"/>
      <c r="AA248"/>
    </row>
    <row r="249" spans="1:27" ht="12.5" hidden="1" x14ac:dyDescent="0.25">
      <c r="A249"/>
      <c r="AA249"/>
    </row>
    <row r="250" spans="1:27" ht="12.5" hidden="1" x14ac:dyDescent="0.25">
      <c r="A250"/>
      <c r="AA250"/>
    </row>
    <row r="251" spans="1:27" ht="12.5" hidden="1" x14ac:dyDescent="0.25">
      <c r="A251"/>
      <c r="AA251"/>
    </row>
    <row r="252" spans="1:27" ht="12.5" hidden="1" x14ac:dyDescent="0.25">
      <c r="A252"/>
      <c r="AA252"/>
    </row>
    <row r="253" spans="1:27" ht="12.5" hidden="1" x14ac:dyDescent="0.25">
      <c r="A253"/>
      <c r="AA253"/>
    </row>
    <row r="254" spans="1:27" ht="12.5" hidden="1" x14ac:dyDescent="0.25">
      <c r="A254"/>
      <c r="AA254"/>
    </row>
    <row r="255" spans="1:27" ht="12.5" hidden="1" x14ac:dyDescent="0.25">
      <c r="A255"/>
      <c r="AA255"/>
    </row>
    <row r="256" spans="1:27" ht="12.5" hidden="1" x14ac:dyDescent="0.25">
      <c r="A256"/>
      <c r="AA256"/>
    </row>
    <row r="257" spans="1:27" ht="12.5" hidden="1" x14ac:dyDescent="0.25">
      <c r="A257"/>
      <c r="AA257"/>
    </row>
    <row r="258" spans="1:27" ht="12.5" hidden="1" x14ac:dyDescent="0.25">
      <c r="A258"/>
      <c r="AA258"/>
    </row>
    <row r="259" spans="1:27" ht="12.5" hidden="1" x14ac:dyDescent="0.25">
      <c r="A259"/>
      <c r="AA259"/>
    </row>
    <row r="260" spans="1:27" ht="12.5" hidden="1" x14ac:dyDescent="0.25">
      <c r="A260"/>
      <c r="AA260"/>
    </row>
    <row r="261" spans="1:27" ht="12.5" hidden="1" x14ac:dyDescent="0.25">
      <c r="A261"/>
      <c r="AA261"/>
    </row>
    <row r="262" spans="1:27" ht="12.5" hidden="1" x14ac:dyDescent="0.25">
      <c r="A262"/>
      <c r="AA262"/>
    </row>
    <row r="263" spans="1:27" ht="12.5" hidden="1" x14ac:dyDescent="0.25">
      <c r="A263"/>
      <c r="AA263"/>
    </row>
    <row r="264" spans="1:27" ht="12.5" hidden="1" x14ac:dyDescent="0.25">
      <c r="A264"/>
      <c r="AA264"/>
    </row>
    <row r="265" spans="1:27" ht="12.5" hidden="1" x14ac:dyDescent="0.25">
      <c r="A265"/>
      <c r="AA265"/>
    </row>
    <row r="266" spans="1:27" ht="12.5" hidden="1" x14ac:dyDescent="0.25">
      <c r="A266"/>
      <c r="AA266"/>
    </row>
    <row r="267" spans="1:27" ht="12.5" hidden="1" x14ac:dyDescent="0.25">
      <c r="A267"/>
      <c r="AA267"/>
    </row>
    <row r="268" spans="1:27" ht="12.5" hidden="1" x14ac:dyDescent="0.25">
      <c r="A268"/>
      <c r="AA268"/>
    </row>
    <row r="269" spans="1:27" ht="12.5" hidden="1" x14ac:dyDescent="0.25">
      <c r="A269"/>
      <c r="AA269"/>
    </row>
    <row r="270" spans="1:27" ht="12.5" hidden="1" x14ac:dyDescent="0.25">
      <c r="A270"/>
      <c r="AA270"/>
    </row>
    <row r="271" spans="1:27" ht="12.5" hidden="1" x14ac:dyDescent="0.25">
      <c r="A271"/>
      <c r="AA271"/>
    </row>
    <row r="272" spans="1:27" ht="12.5" hidden="1" x14ac:dyDescent="0.25">
      <c r="A272"/>
      <c r="AA272"/>
    </row>
    <row r="273" spans="1:27" ht="12.5" hidden="1" x14ac:dyDescent="0.25">
      <c r="A273"/>
      <c r="AA273"/>
    </row>
    <row r="274" spans="1:27" ht="12.5" hidden="1" x14ac:dyDescent="0.25">
      <c r="A274"/>
      <c r="AA274"/>
    </row>
    <row r="275" spans="1:27" ht="12.5" hidden="1" x14ac:dyDescent="0.25">
      <c r="A275"/>
      <c r="AA275"/>
    </row>
    <row r="276" spans="1:27" ht="12.5" hidden="1" x14ac:dyDescent="0.25">
      <c r="A276"/>
      <c r="AA276"/>
    </row>
    <row r="277" spans="1:27" ht="12.5" hidden="1" x14ac:dyDescent="0.25">
      <c r="A277"/>
      <c r="AA277"/>
    </row>
    <row r="278" spans="1:27" ht="12.5" hidden="1" x14ac:dyDescent="0.25">
      <c r="A278"/>
      <c r="AA278"/>
    </row>
    <row r="279" spans="1:27" ht="12.5" hidden="1" x14ac:dyDescent="0.25">
      <c r="A279"/>
      <c r="AA279"/>
    </row>
    <row r="280" spans="1:27" ht="12.5" hidden="1" x14ac:dyDescent="0.25">
      <c r="A280"/>
      <c r="AA280"/>
    </row>
    <row r="281" spans="1:27" ht="12.5" hidden="1" x14ac:dyDescent="0.25">
      <c r="A281"/>
      <c r="AA281"/>
    </row>
    <row r="282" spans="1:27" ht="12.5" hidden="1" x14ac:dyDescent="0.25">
      <c r="A282"/>
      <c r="AA282"/>
    </row>
    <row r="283" spans="1:27" ht="12.5" hidden="1" x14ac:dyDescent="0.25">
      <c r="A283"/>
      <c r="AA283"/>
    </row>
    <row r="284" spans="1:27" ht="12.5" hidden="1" x14ac:dyDescent="0.25">
      <c r="A284"/>
      <c r="AA284"/>
    </row>
    <row r="285" spans="1:27" ht="12.5" hidden="1" x14ac:dyDescent="0.25">
      <c r="A285"/>
      <c r="AA285"/>
    </row>
    <row r="286" spans="1:27" ht="12.5" hidden="1" x14ac:dyDescent="0.25">
      <c r="A286"/>
      <c r="AA286"/>
    </row>
    <row r="287" spans="1:27" ht="12.5" hidden="1" x14ac:dyDescent="0.25">
      <c r="A287"/>
      <c r="AA287"/>
    </row>
    <row r="288" spans="1:27" ht="12.5" hidden="1" x14ac:dyDescent="0.25">
      <c r="A288"/>
      <c r="AA288"/>
    </row>
    <row r="289" spans="1:27" ht="12.5" hidden="1" x14ac:dyDescent="0.25">
      <c r="A289"/>
      <c r="AA289"/>
    </row>
    <row r="290" spans="1:27" ht="12.5" hidden="1" x14ac:dyDescent="0.25">
      <c r="A290"/>
      <c r="AA290"/>
    </row>
    <row r="291" spans="1:27" ht="12.5" hidden="1" x14ac:dyDescent="0.25">
      <c r="A291"/>
      <c r="AA291"/>
    </row>
    <row r="292" spans="1:27" ht="12.5" hidden="1" x14ac:dyDescent="0.25">
      <c r="A292"/>
      <c r="AA292"/>
    </row>
    <row r="293" spans="1:27" ht="12.5" hidden="1" x14ac:dyDescent="0.25">
      <c r="A293"/>
      <c r="AA293"/>
    </row>
    <row r="294" spans="1:27" ht="12.5" hidden="1" x14ac:dyDescent="0.25">
      <c r="A294"/>
      <c r="AA294"/>
    </row>
    <row r="295" spans="1:27" ht="12.5" hidden="1" x14ac:dyDescent="0.25">
      <c r="A295"/>
      <c r="AA295"/>
    </row>
    <row r="296" spans="1:27" ht="12.5" hidden="1" x14ac:dyDescent="0.25">
      <c r="A296"/>
      <c r="AA296"/>
    </row>
    <row r="297" spans="1:27" ht="12.5" hidden="1" x14ac:dyDescent="0.25">
      <c r="A297"/>
      <c r="AA297"/>
    </row>
    <row r="298" spans="1:27" ht="12.5" hidden="1" x14ac:dyDescent="0.25">
      <c r="A298"/>
      <c r="AA298"/>
    </row>
    <row r="299" spans="1:27" ht="12.5" hidden="1" x14ac:dyDescent="0.25">
      <c r="A299"/>
      <c r="AA299"/>
    </row>
    <row r="300" spans="1:27" ht="12.5" hidden="1" x14ac:dyDescent="0.25">
      <c r="A300"/>
      <c r="AA300"/>
    </row>
    <row r="301" spans="1:27" ht="12.5" hidden="1" x14ac:dyDescent="0.25">
      <c r="A301"/>
      <c r="AA301"/>
    </row>
    <row r="302" spans="1:27" ht="12.5" hidden="1" x14ac:dyDescent="0.25">
      <c r="A302"/>
      <c r="AA302"/>
    </row>
    <row r="303" spans="1:27" ht="12.5" hidden="1" x14ac:dyDescent="0.25">
      <c r="A303"/>
      <c r="AA303"/>
    </row>
    <row r="304" spans="1:27" ht="12.5" hidden="1" x14ac:dyDescent="0.25">
      <c r="A304"/>
      <c r="AA304"/>
    </row>
    <row r="305" spans="1:27" ht="12.5" hidden="1" x14ac:dyDescent="0.25">
      <c r="A305"/>
      <c r="AA305"/>
    </row>
    <row r="306" spans="1:27" ht="12.5" hidden="1" x14ac:dyDescent="0.25">
      <c r="A306"/>
      <c r="AA306"/>
    </row>
    <row r="307" spans="1:27" ht="12.5" hidden="1" x14ac:dyDescent="0.25">
      <c r="A307"/>
      <c r="AA307"/>
    </row>
    <row r="308" spans="1:27" ht="12.5" hidden="1" x14ac:dyDescent="0.25">
      <c r="A308"/>
      <c r="AA308"/>
    </row>
    <row r="309" spans="1:27" ht="12.5" hidden="1" x14ac:dyDescent="0.25">
      <c r="A309"/>
      <c r="AA309"/>
    </row>
    <row r="310" spans="1:27" ht="12.5" hidden="1" x14ac:dyDescent="0.25">
      <c r="A310"/>
      <c r="AA310"/>
    </row>
    <row r="311" spans="1:27" ht="12.5" hidden="1" x14ac:dyDescent="0.25">
      <c r="A311"/>
      <c r="AA311"/>
    </row>
    <row r="312" spans="1:27" ht="12.5" hidden="1" x14ac:dyDescent="0.25">
      <c r="A312"/>
      <c r="AA312"/>
    </row>
    <row r="313" spans="1:27" ht="12.5" hidden="1" x14ac:dyDescent="0.25">
      <c r="A313"/>
      <c r="AA313"/>
    </row>
    <row r="314" spans="1:27" ht="12.5" hidden="1" x14ac:dyDescent="0.25">
      <c r="A314"/>
      <c r="AA314"/>
    </row>
    <row r="315" spans="1:27" ht="12.5" hidden="1" x14ac:dyDescent="0.25">
      <c r="A315"/>
      <c r="AA315"/>
    </row>
    <row r="316" spans="1:27" ht="12.5" hidden="1" x14ac:dyDescent="0.25">
      <c r="A316"/>
      <c r="AA316"/>
    </row>
    <row r="317" spans="1:27" ht="12.5" hidden="1" x14ac:dyDescent="0.25">
      <c r="A317"/>
      <c r="AA317"/>
    </row>
    <row r="318" spans="1:27" ht="12.5" hidden="1" x14ac:dyDescent="0.25">
      <c r="A318"/>
      <c r="AA318"/>
    </row>
    <row r="319" spans="1:27" ht="12.5" hidden="1" x14ac:dyDescent="0.25">
      <c r="A319"/>
      <c r="AA319"/>
    </row>
    <row r="320" spans="1:27" ht="12.5" hidden="1" x14ac:dyDescent="0.25">
      <c r="A320"/>
      <c r="AA320"/>
    </row>
    <row r="321" spans="1:27" ht="12.5" hidden="1" x14ac:dyDescent="0.25">
      <c r="A321"/>
      <c r="AA321"/>
    </row>
    <row r="322" spans="1:27" ht="12.5" hidden="1" x14ac:dyDescent="0.25">
      <c r="A322"/>
      <c r="AA322"/>
    </row>
    <row r="323" spans="1:27" ht="12.5" hidden="1" x14ac:dyDescent="0.25">
      <c r="A323"/>
      <c r="AA323"/>
    </row>
    <row r="324" spans="1:27" ht="12.5" hidden="1" x14ac:dyDescent="0.25">
      <c r="A324"/>
      <c r="AA324"/>
    </row>
    <row r="325" spans="1:27" ht="12.5" hidden="1" x14ac:dyDescent="0.25">
      <c r="A325"/>
      <c r="AA325"/>
    </row>
    <row r="326" spans="1:27" ht="12.5" hidden="1" x14ac:dyDescent="0.25">
      <c r="A326"/>
      <c r="AA326"/>
    </row>
    <row r="327" spans="1:27" ht="12.5" hidden="1" x14ac:dyDescent="0.25">
      <c r="A327"/>
      <c r="AA327"/>
    </row>
    <row r="328" spans="1:27" ht="12.5" hidden="1" x14ac:dyDescent="0.25">
      <c r="A328"/>
      <c r="AA328"/>
    </row>
    <row r="329" spans="1:27" ht="12.5" hidden="1" x14ac:dyDescent="0.25">
      <c r="A329"/>
      <c r="AA329"/>
    </row>
    <row r="330" spans="1:27" ht="12.5" hidden="1" x14ac:dyDescent="0.25">
      <c r="A330"/>
      <c r="AA330"/>
    </row>
    <row r="331" spans="1:27" ht="12.5" hidden="1" x14ac:dyDescent="0.25">
      <c r="A331"/>
      <c r="AA331"/>
    </row>
    <row r="332" spans="1:27" ht="12.5" hidden="1" x14ac:dyDescent="0.25">
      <c r="A332"/>
      <c r="AA332"/>
    </row>
    <row r="333" spans="1:27" ht="12.5" hidden="1" x14ac:dyDescent="0.25">
      <c r="A333"/>
      <c r="AA333"/>
    </row>
    <row r="334" spans="1:27" ht="12.5" hidden="1" x14ac:dyDescent="0.25">
      <c r="A334"/>
      <c r="AA334"/>
    </row>
    <row r="335" spans="1:27" ht="12.5" hidden="1" x14ac:dyDescent="0.25">
      <c r="A335"/>
      <c r="AA335"/>
    </row>
    <row r="336" spans="1:27" ht="12.5" hidden="1" x14ac:dyDescent="0.25">
      <c r="A336"/>
      <c r="AA336"/>
    </row>
    <row r="337" spans="1:27" ht="12.5" hidden="1" x14ac:dyDescent="0.25">
      <c r="A337"/>
      <c r="AA337"/>
    </row>
    <row r="338" spans="1:27" ht="12.5" hidden="1" x14ac:dyDescent="0.25">
      <c r="A338"/>
      <c r="AA338"/>
    </row>
    <row r="339" spans="1:27" ht="12.5" hidden="1" x14ac:dyDescent="0.25">
      <c r="A339"/>
      <c r="AA339"/>
    </row>
    <row r="340" spans="1:27" ht="12.5" hidden="1" x14ac:dyDescent="0.25">
      <c r="A340"/>
      <c r="AA340"/>
    </row>
    <row r="341" spans="1:27" ht="12.5" hidden="1" x14ac:dyDescent="0.25">
      <c r="A341"/>
      <c r="AA341"/>
    </row>
    <row r="342" spans="1:27" ht="12.5" hidden="1" x14ac:dyDescent="0.25">
      <c r="A342"/>
      <c r="AA342"/>
    </row>
    <row r="343" spans="1:27" ht="12.5" hidden="1" x14ac:dyDescent="0.25">
      <c r="A343"/>
      <c r="AA343"/>
    </row>
    <row r="344" spans="1:27" ht="12.5" hidden="1" x14ac:dyDescent="0.25">
      <c r="A344"/>
      <c r="AA344"/>
    </row>
    <row r="345" spans="1:27" ht="12.5" hidden="1" x14ac:dyDescent="0.25">
      <c r="A345"/>
      <c r="AA345"/>
    </row>
    <row r="346" spans="1:27" ht="12.5" hidden="1" x14ac:dyDescent="0.25">
      <c r="A346"/>
      <c r="AA346"/>
    </row>
    <row r="347" spans="1:27" ht="12.5" hidden="1" x14ac:dyDescent="0.25">
      <c r="A347"/>
      <c r="AA347"/>
    </row>
    <row r="348" spans="1:27" ht="12.5" hidden="1" x14ac:dyDescent="0.25">
      <c r="A348"/>
      <c r="AA348"/>
    </row>
    <row r="349" spans="1:27" ht="12.5" hidden="1" x14ac:dyDescent="0.25">
      <c r="A349"/>
      <c r="AA349"/>
    </row>
    <row r="350" spans="1:27" ht="12.5" hidden="1" x14ac:dyDescent="0.25">
      <c r="A350"/>
      <c r="AA350"/>
    </row>
    <row r="351" spans="1:27" ht="12.5" hidden="1" x14ac:dyDescent="0.25">
      <c r="A351"/>
      <c r="AA351"/>
    </row>
    <row r="352" spans="1:27" ht="12.5" hidden="1" x14ac:dyDescent="0.25">
      <c r="A352"/>
      <c r="AA352"/>
    </row>
    <row r="353" spans="1:55" ht="12.5" hidden="1" x14ac:dyDescent="0.25">
      <c r="A353"/>
      <c r="AA353"/>
    </row>
    <row r="354" spans="1:55" ht="15.5" hidden="1" x14ac:dyDescent="0.35">
      <c r="A354"/>
      <c r="AA354"/>
      <c r="BA354" s="16"/>
      <c r="BC354" s="16"/>
    </row>
    <row r="355" spans="1:55" ht="12.5" hidden="1" x14ac:dyDescent="0.25">
      <c r="A355"/>
      <c r="AA355"/>
    </row>
    <row r="356" spans="1:55" ht="12.5" hidden="1" x14ac:dyDescent="0.25">
      <c r="A356"/>
      <c r="AA356"/>
    </row>
    <row r="357" spans="1:55" ht="12.5" hidden="1" x14ac:dyDescent="0.25">
      <c r="A357"/>
      <c r="AA357"/>
    </row>
    <row r="358" spans="1:55" ht="12.5" hidden="1" x14ac:dyDescent="0.25">
      <c r="A358"/>
      <c r="AA358"/>
    </row>
    <row r="359" spans="1:55" ht="12.5" hidden="1" x14ac:dyDescent="0.25">
      <c r="A359"/>
      <c r="AA359"/>
    </row>
    <row r="360" spans="1:55" ht="12.5" hidden="1" x14ac:dyDescent="0.25">
      <c r="A360"/>
      <c r="AA360"/>
    </row>
    <row r="361" spans="1:55" ht="12.5" hidden="1" x14ac:dyDescent="0.25">
      <c r="A361"/>
      <c r="AA361"/>
    </row>
    <row r="362" spans="1:55" ht="12.5" hidden="1" x14ac:dyDescent="0.25">
      <c r="A362"/>
      <c r="AA362"/>
    </row>
    <row r="363" spans="1:55" ht="12.5" hidden="1" x14ac:dyDescent="0.25">
      <c r="A363"/>
      <c r="AA363"/>
    </row>
    <row r="364" spans="1:55" ht="12.5" hidden="1" x14ac:dyDescent="0.25">
      <c r="A364"/>
      <c r="AA364"/>
    </row>
    <row r="365" spans="1:55" ht="12.5" hidden="1" x14ac:dyDescent="0.25">
      <c r="A365"/>
      <c r="AA365"/>
    </row>
    <row r="366" spans="1:55" ht="12.5" hidden="1" x14ac:dyDescent="0.25">
      <c r="A366"/>
      <c r="AA366"/>
    </row>
    <row r="367" spans="1:55" ht="12.5" hidden="1" x14ac:dyDescent="0.25">
      <c r="A367"/>
      <c r="AA367"/>
    </row>
    <row r="368" spans="1:55" ht="12.5" hidden="1" x14ac:dyDescent="0.25">
      <c r="A368"/>
      <c r="AA368"/>
    </row>
    <row r="369" spans="1:49" ht="12.5" hidden="1" x14ac:dyDescent="0.25">
      <c r="A369"/>
      <c r="AA369"/>
    </row>
    <row r="370" spans="1:49" ht="12.5" hidden="1" x14ac:dyDescent="0.25">
      <c r="A370"/>
      <c r="AA370"/>
    </row>
    <row r="371" spans="1:49" ht="12.5" hidden="1" x14ac:dyDescent="0.25">
      <c r="A371"/>
      <c r="AA371"/>
    </row>
    <row r="372" spans="1:49" ht="12.5" hidden="1" x14ac:dyDescent="0.25">
      <c r="A372"/>
      <c r="AA372"/>
    </row>
    <row r="373" spans="1:49" ht="12.5" hidden="1" x14ac:dyDescent="0.25">
      <c r="A373"/>
      <c r="AA373"/>
    </row>
    <row r="374" spans="1:49" ht="12.5" hidden="1" x14ac:dyDescent="0.25">
      <c r="A374"/>
      <c r="AA374"/>
    </row>
    <row r="375" spans="1:49" ht="12.5" hidden="1" x14ac:dyDescent="0.25">
      <c r="A375"/>
      <c r="AA375"/>
    </row>
    <row r="376" spans="1:49" ht="12.5" hidden="1" x14ac:dyDescent="0.25">
      <c r="A376"/>
      <c r="AA376"/>
    </row>
    <row r="377" spans="1:49" ht="12.5" hidden="1" x14ac:dyDescent="0.25">
      <c r="A377"/>
      <c r="AA377"/>
    </row>
    <row r="378" spans="1:49" ht="12.5" hidden="1" x14ac:dyDescent="0.25">
      <c r="A378"/>
      <c r="AA378"/>
    </row>
    <row r="379" spans="1:49" ht="12.5" hidden="1" x14ac:dyDescent="0.25">
      <c r="A379"/>
      <c r="AA379"/>
    </row>
    <row r="380" spans="1:49" ht="12.5" hidden="1" x14ac:dyDescent="0.25">
      <c r="A380"/>
      <c r="AA380"/>
    </row>
    <row r="381" spans="1:49" ht="12.5" hidden="1" x14ac:dyDescent="0.25">
      <c r="A381"/>
      <c r="AA381"/>
    </row>
    <row r="382" spans="1:49" ht="12.5" hidden="1" x14ac:dyDescent="0.25">
      <c r="A382"/>
      <c r="AA382"/>
    </row>
    <row r="383" spans="1:49" ht="12.5" hidden="1" x14ac:dyDescent="0.25">
      <c r="A383"/>
      <c r="AA383"/>
    </row>
    <row r="384" spans="1:49" ht="12.5" hidden="1" x14ac:dyDescent="0.25">
      <c r="A384"/>
      <c r="AA384"/>
      <c r="AW384" t="s">
        <v>33</v>
      </c>
    </row>
    <row r="385" spans="1:78" ht="12.5" hidden="1" x14ac:dyDescent="0.25">
      <c r="A385"/>
      <c r="AA385"/>
      <c r="AM385" s="64"/>
    </row>
    <row r="386" spans="1:78" ht="18" hidden="1" x14ac:dyDescent="0.4">
      <c r="A386"/>
      <c r="Z386" s="4"/>
      <c r="AA386" s="13"/>
      <c r="AB386" s="4"/>
      <c r="AC386" s="4"/>
      <c r="AD386" s="4"/>
      <c r="AE386" s="4"/>
      <c r="AF386" s="4"/>
      <c r="AG386" s="4"/>
      <c r="AH386" s="4"/>
      <c r="AI386" s="4"/>
      <c r="AJ386" s="4"/>
      <c r="AK386" s="4"/>
      <c r="AL386" s="4"/>
      <c r="BA386" s="23" t="s">
        <v>1570</v>
      </c>
    </row>
    <row r="387" spans="1:78" ht="13" hidden="1" thickBot="1" x14ac:dyDescent="0.3">
      <c r="A387"/>
      <c r="Z387" s="4"/>
      <c r="AA387" s="13"/>
      <c r="AB387" s="4"/>
      <c r="AC387" s="4"/>
      <c r="AD387" s="4"/>
      <c r="AE387" s="4"/>
      <c r="AF387" s="4"/>
      <c r="AG387" s="4"/>
      <c r="AH387" s="4"/>
      <c r="AI387" s="4"/>
      <c r="AJ387" s="4"/>
      <c r="AK387" s="4"/>
      <c r="AL387" s="4"/>
    </row>
    <row r="388" spans="1:78" ht="13.5" hidden="1" thickBot="1" x14ac:dyDescent="0.35">
      <c r="A388"/>
      <c r="Z388" s="4"/>
      <c r="AA388" s="12"/>
      <c r="AB388" s="4"/>
      <c r="AC388" s="4"/>
      <c r="AD388" s="4"/>
      <c r="AE388" s="4"/>
      <c r="AF388" s="4"/>
      <c r="AG388" s="4"/>
      <c r="AH388" s="4"/>
      <c r="AI388" s="4"/>
      <c r="AJ388" s="4"/>
      <c r="AK388" s="4"/>
      <c r="AL388" s="4"/>
      <c r="AZ388" s="514">
        <v>1</v>
      </c>
      <c r="BA388" s="515">
        <v>2</v>
      </c>
      <c r="BB388" s="516">
        <v>3</v>
      </c>
      <c r="BC388" s="515">
        <v>4</v>
      </c>
      <c r="BD388" s="516">
        <v>5</v>
      </c>
      <c r="BE388" s="515">
        <v>6</v>
      </c>
      <c r="BF388" s="516">
        <v>7</v>
      </c>
      <c r="BG388" s="516">
        <v>8</v>
      </c>
      <c r="BH388" s="515">
        <v>9</v>
      </c>
      <c r="BI388" s="516">
        <v>10</v>
      </c>
      <c r="BJ388" s="517">
        <v>11</v>
      </c>
      <c r="BK388" s="518">
        <v>12</v>
      </c>
      <c r="BL388" s="519">
        <v>13</v>
      </c>
      <c r="BM388" s="515">
        <v>14</v>
      </c>
      <c r="BN388" s="517">
        <v>15</v>
      </c>
      <c r="BO388" s="518">
        <v>16</v>
      </c>
      <c r="BP388" s="519">
        <v>17</v>
      </c>
      <c r="BQ388" s="515">
        <v>18</v>
      </c>
      <c r="BR388" s="516">
        <v>19</v>
      </c>
      <c r="BS388" s="516">
        <v>20</v>
      </c>
      <c r="BT388" s="520">
        <v>21</v>
      </c>
      <c r="BU388" s="520">
        <v>22</v>
      </c>
      <c r="BV388" s="521">
        <v>23</v>
      </c>
      <c r="BW388" s="520">
        <v>24</v>
      </c>
      <c r="BX388" s="522">
        <v>25</v>
      </c>
      <c r="BY388" s="523">
        <v>26</v>
      </c>
    </row>
    <row r="389" spans="1:78" ht="124.5" hidden="1" thickBot="1" x14ac:dyDescent="0.4">
      <c r="A389"/>
      <c r="Z389" s="4"/>
      <c r="AA389" s="12"/>
      <c r="AB389" s="4"/>
      <c r="AC389" s="4"/>
      <c r="AD389" s="4"/>
      <c r="AE389" s="4"/>
      <c r="AF389" s="4"/>
      <c r="AG389" s="4"/>
      <c r="AH389" s="4"/>
      <c r="AI389" s="4"/>
      <c r="AJ389" s="4"/>
      <c r="AK389" s="4"/>
      <c r="AL389" s="4"/>
      <c r="AZ389" s="15" t="s">
        <v>44</v>
      </c>
      <c r="BA389" s="524" t="e">
        <f>#REF!</f>
        <v>#REF!</v>
      </c>
      <c r="BB389" s="524" t="e">
        <f>#REF!</f>
        <v>#REF!</v>
      </c>
      <c r="BC389" s="524" t="e">
        <f>#REF!</f>
        <v>#REF!</v>
      </c>
      <c r="BD389" s="524" t="e">
        <f>#REF!</f>
        <v>#REF!</v>
      </c>
      <c r="BE389" s="524" t="e">
        <f>#REF!</f>
        <v>#REF!</v>
      </c>
      <c r="BF389" s="524" t="e">
        <f>#REF!</f>
        <v>#REF!</v>
      </c>
      <c r="BG389" s="525" t="s">
        <v>1571</v>
      </c>
      <c r="BH389" s="524" t="e">
        <f>#REF!</f>
        <v>#REF!</v>
      </c>
      <c r="BI389" s="524" t="e">
        <f>#REF!</f>
        <v>#REF!</v>
      </c>
      <c r="BJ389" s="524" t="e">
        <f>#REF!</f>
        <v>#REF!</v>
      </c>
      <c r="BK389" s="24" t="s">
        <v>84</v>
      </c>
      <c r="BL389" s="526" t="e">
        <f>#REF!</f>
        <v>#REF!</v>
      </c>
      <c r="BM389" s="526" t="e">
        <f>#REF!</f>
        <v>#REF!</v>
      </c>
      <c r="BN389" s="526" t="e">
        <f>#REF!</f>
        <v>#REF!</v>
      </c>
      <c r="BO389" s="24" t="s">
        <v>84</v>
      </c>
      <c r="BP389" s="526" t="e">
        <f>#REF!</f>
        <v>#REF!</v>
      </c>
      <c r="BQ389" s="526" t="e">
        <f>#REF!</f>
        <v>#REF!</v>
      </c>
      <c r="BR389" s="526" t="e">
        <f>#REF!</f>
        <v>#REF!</v>
      </c>
      <c r="BS389" s="527" t="s">
        <v>1572</v>
      </c>
      <c r="BT389" s="528" t="s">
        <v>1573</v>
      </c>
      <c r="BU389" s="529" t="s">
        <v>1574</v>
      </c>
      <c r="BV389" s="530" t="e">
        <f>#REF!</f>
        <v>#REF!</v>
      </c>
      <c r="BW389" s="528" t="e">
        <f>#REF!</f>
        <v>#REF!</v>
      </c>
      <c r="BX389" s="528" t="e">
        <f>#REF!</f>
        <v>#REF!</v>
      </c>
      <c r="BY389" s="528" t="e">
        <f>#REF!</f>
        <v>#REF!</v>
      </c>
    </row>
    <row r="390" spans="1:78" ht="18.5" hidden="1" thickBot="1" x14ac:dyDescent="0.45">
      <c r="A390"/>
      <c r="Z390" s="4"/>
      <c r="AZ390" s="649" t="e">
        <f>VLOOKUP($A$20,LA_list,5,FALSE)</f>
        <v>#N/A</v>
      </c>
      <c r="BA390" s="14" t="e">
        <f>VLOOKUP(VLOOKUP($A$20,LA_list,5,FALSE),CLASS_CHECK,2,FALSE)</f>
        <v>#N/A</v>
      </c>
      <c r="BB390" s="14" t="e">
        <f>VLOOKUP(VLOOKUP($A$20,LA_list,5,FALSE),CLASS_CHECK,3,FALSE)</f>
        <v>#N/A</v>
      </c>
      <c r="BC390" s="14" t="e">
        <f>VLOOKUP(VLOOKUP($A$20,LA_list,5,FALSE),CLASS_CHECK,4,FALSE)</f>
        <v>#N/A</v>
      </c>
      <c r="BD390" s="14" t="e">
        <f>VLOOKUP(VLOOKUP($A$20,LA_list,5,FALSE),CLASS_CHECK,5,FALSE)</f>
        <v>#N/A</v>
      </c>
      <c r="BE390" s="14" t="e">
        <f>VLOOKUP(VLOOKUP($A$20,LA_list,5,FALSE),CLASS_CHECK,6,FALSE)</f>
        <v>#N/A</v>
      </c>
      <c r="BF390" s="14" t="e">
        <f>VLOOKUP(VLOOKUP($A$20,LA_list,5,FALSE),CLASS_CHECK,7,FALSE)</f>
        <v>#N/A</v>
      </c>
      <c r="BG390" s="14" t="e">
        <f>VLOOKUP(VLOOKUP($A$20,LA_list,5,FALSE),CLASS_CHECK,8,FALSE)</f>
        <v>#N/A</v>
      </c>
      <c r="BH390" s="14" t="e">
        <f>VLOOKUP(VLOOKUP($A$20,LA_list,5,FALSE),CLASS_CHECK,9,FALSE)</f>
        <v>#N/A</v>
      </c>
      <c r="BI390" s="14" t="e">
        <f>VLOOKUP(VLOOKUP($A$20,LA_list,5,FALSE),CLASS_CHECK,10,FALSE)</f>
        <v>#N/A</v>
      </c>
      <c r="BJ390" s="14" t="e">
        <f>VLOOKUP(VLOOKUP($A$20,LA_list,5,FALSE),CLASS_CHECK,11,FALSE)</f>
        <v>#N/A</v>
      </c>
      <c r="BK390" s="25" t="s">
        <v>84</v>
      </c>
      <c r="BL390" s="14" t="e">
        <f>VLOOKUP(VLOOKUP($A$20,LA_list,5,FALSE),CLASS_CHECK,13,FALSE)</f>
        <v>#N/A</v>
      </c>
      <c r="BM390" s="14" t="e">
        <f>VLOOKUP(VLOOKUP($A$20,LA_list,5,FALSE),CLASS_CHECK,14,FALSE)</f>
        <v>#N/A</v>
      </c>
      <c r="BN390" s="14" t="e">
        <f>VLOOKUP(VLOOKUP($A$20,LA_list,5,FALSE),CLASS_CHECK,15,FALSE)</f>
        <v>#N/A</v>
      </c>
      <c r="BO390" s="25" t="s">
        <v>84</v>
      </c>
      <c r="BP390" s="14" t="e">
        <f>VLOOKUP(VLOOKUP($A$20,LA_list,5,FALSE),CLASS_CHECK,17,FALSE)</f>
        <v>#N/A</v>
      </c>
      <c r="BQ390" s="14" t="e">
        <f>VLOOKUP(VLOOKUP($A$20,LA_list,5,FALSE),CLASS_CHECK,18,FALSE)</f>
        <v>#N/A</v>
      </c>
      <c r="BR390" s="14" t="e">
        <f>VLOOKUP(VLOOKUP($A$20,LA_list,5,FALSE),CLASS_CHECK,19,FALSE)</f>
        <v>#N/A</v>
      </c>
      <c r="BS390" s="14" t="e">
        <f>VLOOKUP(VLOOKUP($A$20,LA_list,5,FALSE),CLASS_CHECK,20,FALSE)</f>
        <v>#N/A</v>
      </c>
      <c r="BT390" s="360" t="e">
        <f>VLOOKUP(VLOOKUP($A$20,LA_list,5,FALSE),CLASS_CHECK,21,FALSE)</f>
        <v>#N/A</v>
      </c>
      <c r="BU390" s="360" t="e">
        <f>VLOOKUP(VLOOKUP($A$20,LA_list,5,FALSE),CLASS_CHECK,22,FALSE)</f>
        <v>#N/A</v>
      </c>
      <c r="BV390" s="364" t="e">
        <f>VLOOKUP(VLOOKUP($A$20,LA_list,5,FALSE),CLASS_CHECK,23,FALSE)</f>
        <v>#N/A</v>
      </c>
      <c r="BW390" s="360" t="e">
        <f>VLOOKUP(VLOOKUP($A$20,LA_list,5,FALSE),CLASS_CHECK,24,FALSE)</f>
        <v>#N/A</v>
      </c>
      <c r="BX390" s="360" t="e">
        <f>VLOOKUP(VLOOKUP($A$20,LA_list,5,FALSE),CLASS_CHECK,25,FALSE)</f>
        <v>#N/A</v>
      </c>
      <c r="BY390" s="360" t="e">
        <f>VLOOKUP(VLOOKUP($A$20,LA_list,5,FALSE),CLASS_CHECK,26,FALSE)</f>
        <v>#N/A</v>
      </c>
      <c r="BZ390" s="8" t="s">
        <v>84</v>
      </c>
    </row>
    <row r="391" spans="1:78" ht="16" hidden="1" thickBot="1" x14ac:dyDescent="0.4">
      <c r="A391"/>
      <c r="AZ391" s="73"/>
      <c r="BA391" s="531" t="e">
        <f>"RS LINE " &amp;#REF!</f>
        <v>#REF!</v>
      </c>
      <c r="BB391" s="532" t="e">
        <f>"RS LINE " &amp;#REF!</f>
        <v>#REF!</v>
      </c>
      <c r="BC391" s="532" t="e">
        <f>"RS LINE " &amp;#REF!</f>
        <v>#REF!</v>
      </c>
      <c r="BD391" s="532" t="e">
        <f>"RS LINE " &amp;#REF!</f>
        <v>#REF!</v>
      </c>
      <c r="BE391" s="532" t="e">
        <f>"RS LINE " &amp;#REF!</f>
        <v>#REF!</v>
      </c>
      <c r="BF391" s="532" t="e">
        <f>"RS LINE " &amp;#REF!</f>
        <v>#REF!</v>
      </c>
      <c r="BG391" s="532" t="e">
        <f>"RS LINE " &amp;#REF!</f>
        <v>#REF!</v>
      </c>
      <c r="BH391" s="532" t="e">
        <f>"RS LINE " &amp;#REF!</f>
        <v>#REF!</v>
      </c>
      <c r="BI391" s="532" t="e">
        <f>"RS LINE " &amp;#REF!</f>
        <v>#REF!</v>
      </c>
      <c r="BJ391" s="532" t="e">
        <f>"RS LINE " &amp;#REF!</f>
        <v>#REF!</v>
      </c>
      <c r="BK391" s="56" t="s">
        <v>84</v>
      </c>
      <c r="BL391" s="533" t="e">
        <f>"RS LINE " &amp;#REF!</f>
        <v>#REF!</v>
      </c>
      <c r="BM391" s="532" t="e">
        <f>"RS LINE " &amp;#REF!</f>
        <v>#REF!</v>
      </c>
      <c r="BN391" s="534" t="e">
        <f>"RS LINE " &amp;#REF!</f>
        <v>#REF!</v>
      </c>
      <c r="BO391" s="56" t="s">
        <v>84</v>
      </c>
      <c r="BP391" s="533" t="e">
        <f>"RS LINE " &amp;#REF!</f>
        <v>#REF!</v>
      </c>
      <c r="BQ391" s="532" t="e">
        <f>"RS LINE " &amp;#REF!</f>
        <v>#REF!</v>
      </c>
      <c r="BR391" s="532" t="e">
        <f>"RS LINE " &amp;#REF!</f>
        <v>#REF!</v>
      </c>
      <c r="BS391" s="532" t="e">
        <f>"RS LINE " &amp;#REF!</f>
        <v>#REF!</v>
      </c>
      <c r="BT391" s="535" t="str">
        <f>"RG LINE " &amp;RG!A44</f>
        <v>RG LINE 543</v>
      </c>
      <c r="BU391" s="535" t="e">
        <f>"RS LINE " &amp;#REF!</f>
        <v>#REF!</v>
      </c>
      <c r="BV391" s="536" t="e">
        <f>"RS LINE " &amp;#REF!</f>
        <v>#REF!</v>
      </c>
      <c r="BW391" s="535" t="e">
        <f>"RS LINE " &amp;#REF!</f>
        <v>#REF!</v>
      </c>
      <c r="BX391" s="535" t="e">
        <f>"RS LINE " &amp;#REF!</f>
        <v>#REF!</v>
      </c>
      <c r="BY391" s="537" t="e">
        <f>"RS LINE " &amp;#REF!</f>
        <v>#REF!</v>
      </c>
    </row>
    <row r="392" spans="1:78" ht="15.5" hidden="1" x14ac:dyDescent="0.35">
      <c r="A392"/>
      <c r="AZ392" s="74" t="s">
        <v>57</v>
      </c>
      <c r="BA392" s="75" t="e">
        <f>IF(#REF!&lt;&gt;0,"","Entry expected for your class")</f>
        <v>#REF!</v>
      </c>
      <c r="BB392" s="76" t="e">
        <f>IF(#REF!&lt;&gt;0,"","Entry expected for your class")</f>
        <v>#REF!</v>
      </c>
      <c r="BC392" s="76" t="e">
        <f>IF(#REF!&lt;&gt;0,"","Entry expected for your class")</f>
        <v>#REF!</v>
      </c>
      <c r="BD392" s="77" t="s">
        <v>84</v>
      </c>
      <c r="BE392" s="76" t="e">
        <f>IF(#REF!&lt;&gt;0,"","Entry expected for your class")</f>
        <v>#REF!</v>
      </c>
      <c r="BF392" s="78" t="e">
        <f>IF(#REF!&lt;&gt;0,"","Entry expected for your class")</f>
        <v>#REF!</v>
      </c>
      <c r="BG392" s="79" t="e">
        <f>IF(#REF!&lt;&gt;0,"","Entry expected for your class")</f>
        <v>#REF!</v>
      </c>
      <c r="BH392" s="80" t="s">
        <v>84</v>
      </c>
      <c r="BI392" s="77" t="s">
        <v>84</v>
      </c>
      <c r="BJ392" s="76" t="e">
        <f>IF(#REF!&lt;&gt;0,"","Entry expected for your class")</f>
        <v>#REF!</v>
      </c>
      <c r="BK392" s="77" t="s">
        <v>84</v>
      </c>
      <c r="BL392" s="81" t="e">
        <f>IF(#REF!=0,"","Zero entry expected for your class")</f>
        <v>#REF!</v>
      </c>
      <c r="BM392" s="81" t="e">
        <f>IF(#REF!=0,"","Zero entry expected for your class")</f>
        <v>#REF!</v>
      </c>
      <c r="BN392" s="81" t="e">
        <f>IF(#REF!=0,"","Zero entry expected for your class")</f>
        <v>#REF!</v>
      </c>
      <c r="BO392" s="77" t="s">
        <v>84</v>
      </c>
      <c r="BP392" s="81" t="e">
        <f>IF(#REF!=0,"","WARNING: Col 1 - Zero entry expected for your class")</f>
        <v>#REF!</v>
      </c>
      <c r="BQ392" s="81" t="e">
        <f>IF(#REF!=0,"","Zero entry expected for your class")</f>
        <v>#REF!</v>
      </c>
      <c r="BR392" s="82" t="e">
        <f>IF(#REF!=0,"","Zero entry expected for your class")</f>
        <v>#REF!</v>
      </c>
      <c r="BS392" s="79" t="e">
        <f>IF(#REF!=0,"","Zero entry expected for your class")</f>
        <v>#REF!</v>
      </c>
      <c r="BT392" s="361" t="str">
        <f>IF(RG!G44=0,"","WARNING: Col 1 - Zero entry expected for your class")</f>
        <v/>
      </c>
      <c r="BU392" s="1066" t="e">
        <f>IF(#REF!=0,"","WARNING: Col 1 - Zero entry expected for your class")</f>
        <v>#REF!</v>
      </c>
      <c r="BV392" s="365" t="e">
        <f>IF(#REF!&gt;0,"","Greater than zero expected for your class")</f>
        <v>#REF!</v>
      </c>
      <c r="BW392" s="362" t="e">
        <f>IF(#REF!&gt;0,"","WARNING: Col 1 - Greater than zero expected for your class")</f>
        <v>#REF!</v>
      </c>
      <c r="BX392" s="362" t="e">
        <f>IF(#REF!&gt;0,"","WARNING: Col 1 - Greater than zero expected for your class")</f>
        <v>#REF!</v>
      </c>
      <c r="BY392" s="363" t="e">
        <f>IF(#REF!&gt;0,"","WARNING: Col 1 - Greater than zero expected for your class")</f>
        <v>#REF!</v>
      </c>
      <c r="BZ392" s="538"/>
    </row>
    <row r="393" spans="1:78" ht="15.5" hidden="1" x14ac:dyDescent="0.35">
      <c r="A393"/>
      <c r="AA393"/>
      <c r="AO393" s="53"/>
      <c r="AP393" s="18"/>
      <c r="AQ393" s="18"/>
      <c r="AR393" s="18"/>
      <c r="AS393" s="18"/>
      <c r="AT393" s="18"/>
      <c r="AU393" s="18"/>
      <c r="AV393" s="18"/>
      <c r="AW393" s="18"/>
      <c r="AX393" s="18"/>
      <c r="AZ393" s="1067" t="s">
        <v>63</v>
      </c>
      <c r="BA393" s="1068" t="e">
        <f>IF(#REF!=0,"","Zero entry expected for your class")</f>
        <v>#REF!</v>
      </c>
      <c r="BB393" s="1069" t="e">
        <f>IF(#REF!=0,"","Zero entry expected for your class")</f>
        <v>#REF!</v>
      </c>
      <c r="BC393" s="1069" t="e">
        <f>IF(#REF!=0,"","Zero entry expected for your class")</f>
        <v>#REF!</v>
      </c>
      <c r="BD393" s="1069" t="e">
        <f>IF(#REF!=0,"","Zero entry expected for your class")</f>
        <v>#REF!</v>
      </c>
      <c r="BE393" s="1069" t="e">
        <f>IF(#REF!=0,"","Zero entry expected for your class")</f>
        <v>#REF!</v>
      </c>
      <c r="BF393" s="1070" t="s">
        <v>84</v>
      </c>
      <c r="BG393" s="659" t="e">
        <f>IF(#REF!=0,"","Zero entry expected for your class")</f>
        <v>#REF!</v>
      </c>
      <c r="BH393" s="1071" t="e">
        <f>IF(#REF!=0,"","Zero entry expected for your class")</f>
        <v>#REF!</v>
      </c>
      <c r="BI393" s="1072" t="e">
        <f>IF(#REF!&lt;&gt;0,"","Entry expected for your class")</f>
        <v>#REF!</v>
      </c>
      <c r="BJ393" s="1069" t="e">
        <f>IF(#REF!=0,"","Zero entry expected for your class")</f>
        <v>#REF!</v>
      </c>
      <c r="BK393" s="1073" t="s">
        <v>84</v>
      </c>
      <c r="BL393" s="1069" t="e">
        <f>IF(#REF!=0,"","Zero entry expected for your class")</f>
        <v>#REF!</v>
      </c>
      <c r="BM393" s="1069" t="e">
        <f>IF(#REF!=0,"","Zero entry expected for your class")</f>
        <v>#REF!</v>
      </c>
      <c r="BN393" s="1069" t="e">
        <f>IF(#REF!=0,"","Zero entry expected for your class")</f>
        <v>#REF!</v>
      </c>
      <c r="BO393" s="1073" t="s">
        <v>84</v>
      </c>
      <c r="BP393" s="1069" t="e">
        <f>IF(#REF!=0,"","WARNING: Col 1 - Zero entry expected for your class")</f>
        <v>#REF!</v>
      </c>
      <c r="BQ393" s="1069" t="e">
        <f>IF(#REF!=0,"","Zero entry expected for your class")</f>
        <v>#REF!</v>
      </c>
      <c r="BR393" s="1074" t="e">
        <f>IF(#REF!=0,"","Zero entry expected for your class")</f>
        <v>#REF!</v>
      </c>
      <c r="BS393" s="660" t="e">
        <f>IF(#REF!=0,"","Zero entry expected for your class")</f>
        <v>#REF!</v>
      </c>
      <c r="BT393" s="1075" t="str">
        <f>IF(RG!G44=0,"","WARNING: Col 1 - Zero entry expected for your class")</f>
        <v/>
      </c>
      <c r="BU393" s="1066" t="e">
        <f>IF(#REF!=0,"","WARNING: Col 1 - Zero entry expected for your class")</f>
        <v>#REF!</v>
      </c>
      <c r="BV393" s="1076" t="e">
        <f>IF(#REF!=0,"","Zero entry expected for your class")</f>
        <v>#REF!</v>
      </c>
      <c r="BW393" s="1066" t="e">
        <f>IF(#REF!=0,"","WARNING: Col 1 - Zero entry expected for your class")</f>
        <v>#REF!</v>
      </c>
      <c r="BX393" s="1077" t="e">
        <f>IF(#REF!&gt;=0,"","WARNING: Col 1 - Greater than or equal to zero expected for your class")</f>
        <v>#REF!</v>
      </c>
      <c r="BY393" s="1078" t="e">
        <f>IF(#REF!&gt;=0,"","WARNING: Col 1 - Greater than or equal to zero expected for your class")</f>
        <v>#REF!</v>
      </c>
      <c r="BZ393" s="538"/>
    </row>
    <row r="394" spans="1:78" ht="15.5" hidden="1" x14ac:dyDescent="0.35">
      <c r="A394"/>
      <c r="AA394"/>
      <c r="AZ394" s="1067" t="s">
        <v>67</v>
      </c>
      <c r="BA394" s="1079" t="e">
        <f>IF(#REF!&lt;&gt;0,"","Entry expected for your class")</f>
        <v>#REF!</v>
      </c>
      <c r="BB394" s="1072" t="e">
        <f>IF(#REF!&lt;&gt;0,"","Entry expected for your class")</f>
        <v>#REF!</v>
      </c>
      <c r="BC394" s="1072" t="e">
        <f>IF(#REF!&lt;&gt;0,"","Entry expected for your class")</f>
        <v>#REF!</v>
      </c>
      <c r="BD394" s="1073" t="s">
        <v>84</v>
      </c>
      <c r="BE394" s="1072" t="e">
        <f>IF(#REF!&lt;&gt;0,"","Entry expected for your class")</f>
        <v>#REF!</v>
      </c>
      <c r="BF394" s="1070" t="s">
        <v>84</v>
      </c>
      <c r="BG394" s="660" t="e">
        <f>IF(#REF!&lt;&gt;0,"","Entry expected for your class")</f>
        <v>#REF!</v>
      </c>
      <c r="BH394" s="1080" t="e">
        <f>IF(#REF!&lt;&gt;0,"","Entry expected for your class")</f>
        <v>#REF!</v>
      </c>
      <c r="BI394" s="1069" t="e">
        <f>IF(#REF!=0,"","Zero entry expected for your class")</f>
        <v>#REF!</v>
      </c>
      <c r="BJ394" s="1072" t="e">
        <f>IF(#REF!&lt;&gt;0,"","Entry expected for your class")</f>
        <v>#REF!</v>
      </c>
      <c r="BK394" s="1073" t="s">
        <v>84</v>
      </c>
      <c r="BL394" s="1069" t="e">
        <f>IF(#REF!=0,"","Zero entry expected for your class")</f>
        <v>#REF!</v>
      </c>
      <c r="BM394" s="1069" t="e">
        <f>IF(#REF!=0,"","Zero entry expected for your class")</f>
        <v>#REF!</v>
      </c>
      <c r="BN394" s="1072" t="e">
        <f>IF(#REF!&gt;0,"","Greater than zero expected for your class")</f>
        <v>#REF!</v>
      </c>
      <c r="BO394" s="1073" t="s">
        <v>84</v>
      </c>
      <c r="BP394" s="1073" t="s">
        <v>84</v>
      </c>
      <c r="BQ394" s="1072" t="e">
        <f>IF(#REF!&gt;0,"","Greater than zero expected for your class")</f>
        <v>#REF!</v>
      </c>
      <c r="BR394" s="1070" t="s">
        <v>84</v>
      </c>
      <c r="BS394" s="1072" t="e">
        <f>IF(#REF!&gt;0,"","Greater than zero expected for your class")</f>
        <v>#REF!</v>
      </c>
      <c r="BT394" s="1081" t="str">
        <f>IF(RG!G44&gt;0,"","WARNING: Col 1 - Greater than zero expected for your class")</f>
        <v>WARNING: Col 1 - Greater than zero expected for your class</v>
      </c>
      <c r="BU394" s="1082" t="s">
        <v>84</v>
      </c>
      <c r="BV394" s="1083" t="e">
        <f>IF(#REF!&gt;0,"","Greater than zero expected for your class")</f>
        <v>#REF!</v>
      </c>
      <c r="BW394" s="1084" t="e">
        <f>IF(#REF!&gt;0,"","WARNING: Col 1 - Greater than zero expected for your class")</f>
        <v>#REF!</v>
      </c>
      <c r="BX394" s="1084" t="e">
        <f>IF(#REF!&gt;0,"","WARNING: Col 1 - Greater than zero expected for your class")</f>
        <v>#REF!</v>
      </c>
      <c r="BY394" s="1085" t="e">
        <f>IF(#REF!&gt;0,"","WARNING: Col 1 - Greater than zero expected for your class")</f>
        <v>#REF!</v>
      </c>
      <c r="BZ394" s="538"/>
    </row>
    <row r="395" spans="1:78" ht="15.5" hidden="1" x14ac:dyDescent="0.35">
      <c r="A395"/>
      <c r="AA395"/>
      <c r="AM395" s="3"/>
      <c r="AY395" s="3"/>
      <c r="AZ395" s="1086" t="s">
        <v>71</v>
      </c>
      <c r="BA395" s="1068" t="e">
        <f>IF(#REF!=0,"","Zero entry expected for your class")</f>
        <v>#REF!</v>
      </c>
      <c r="BB395" s="1069" t="e">
        <f>IF(#REF!=0,"","Zero entry expected for your class")</f>
        <v>#REF!</v>
      </c>
      <c r="BC395" s="1069" t="e">
        <f>IF(#REF!=0,"","Zero entry expected for your class")</f>
        <v>#REF!</v>
      </c>
      <c r="BD395" s="1069" t="e">
        <f>IF(#REF!=0,"","Zero entry expected for your class")</f>
        <v>#REF!</v>
      </c>
      <c r="BE395" s="1069" t="e">
        <f>IF(#REF!=0,"","Zero entry expected for your class")</f>
        <v>#REF!</v>
      </c>
      <c r="BF395" s="1070" t="s">
        <v>84</v>
      </c>
      <c r="BG395" s="661" t="e">
        <f>IF(#REF!=0,"","Zero entry expected for your class")</f>
        <v>#REF!</v>
      </c>
      <c r="BH395" s="1080" t="e">
        <f>IF(#REF!&lt;&gt;0,"","Entry expected for your class")</f>
        <v>#REF!</v>
      </c>
      <c r="BI395" s="1069" t="e">
        <f>IF(#REF!=0,"","Zero entry expected for your class")</f>
        <v>#REF!</v>
      </c>
      <c r="BJ395" s="1069" t="e">
        <f>IF(#REF!=0,"","Zero entry expected for your class")</f>
        <v>#REF!</v>
      </c>
      <c r="BK395" s="1073" t="s">
        <v>84</v>
      </c>
      <c r="BL395" s="1069" t="e">
        <f>IF(#REF!=0,"","Zero entry expected for your class")</f>
        <v>#REF!</v>
      </c>
      <c r="BM395" s="1069" t="e">
        <f>IF(#REF!=0,"","Zero entry expected for your class")</f>
        <v>#REF!</v>
      </c>
      <c r="BN395" s="1069" t="e">
        <f>IF(#REF!=0,"","Zero entry expected for your class")</f>
        <v>#REF!</v>
      </c>
      <c r="BO395" s="1073" t="s">
        <v>84</v>
      </c>
      <c r="BP395" s="1069" t="e">
        <f>IF(#REF!=0,"","WARNING: Col 1 - Zero entry expected for your class")</f>
        <v>#REF!</v>
      </c>
      <c r="BQ395" s="1069" t="e">
        <f>IF(#REF!=0,"","Zero entry expected for your class")</f>
        <v>#REF!</v>
      </c>
      <c r="BR395" s="1074" t="e">
        <f>IF(#REF!=0,"","Zero entry expected for your class")</f>
        <v>#REF!</v>
      </c>
      <c r="BS395" s="660" t="e">
        <f>IF(#REF!=0,"","Zero entry expected for your class")</f>
        <v>#REF!</v>
      </c>
      <c r="BT395" s="1075" t="str">
        <f>IF(RG!G44=0,"","WARNING: Col 1 - Zero entry expected for your class")</f>
        <v/>
      </c>
      <c r="BU395" s="1066" t="e">
        <f>IF(#REF!=0,"","WARNING: Col 1 - Zero entry expected for your class")</f>
        <v>#REF!</v>
      </c>
      <c r="BV395" s="1076" t="e">
        <f>IF(#REF!=0,"","Zero entry expected for your class")</f>
        <v>#REF!</v>
      </c>
      <c r="BW395" s="1066" t="e">
        <f>IF(#REF!=0,"","WARNING: Col 1 - Zero entry expected for your class")</f>
        <v>#REF!</v>
      </c>
      <c r="BX395" s="1077" t="e">
        <f>IF(#REF!&gt;=0,"","WARNING: Col 1 - Greater than or equal to zero expected for your class")</f>
        <v>#REF!</v>
      </c>
      <c r="BY395" s="1078" t="e">
        <f>IF(#REF!&gt;=0,"","WARNING: Col 1 - Greater than or equal to zero expected for your class")</f>
        <v>#REF!</v>
      </c>
      <c r="BZ395" s="538"/>
    </row>
    <row r="396" spans="1:78" ht="15.75" hidden="1" customHeight="1" x14ac:dyDescent="0.35">
      <c r="A396"/>
      <c r="AA396"/>
      <c r="AM396" s="3"/>
      <c r="AY396" s="3"/>
      <c r="AZ396" s="1067" t="s">
        <v>75</v>
      </c>
      <c r="BA396" s="1068" t="e">
        <f>IF(#REF!=0,"","Zero entry expected for your class")</f>
        <v>#REF!</v>
      </c>
      <c r="BB396" s="1069" t="e">
        <f>IF(#REF!=0,"","Zero entry expected for your class")</f>
        <v>#REF!</v>
      </c>
      <c r="BC396" s="1069" t="e">
        <f>IF(#REF!=0,"","Zero entry expected for your class")</f>
        <v>#REF!</v>
      </c>
      <c r="BD396" s="1069" t="e">
        <f>IF(#REF!=0,"","Zero entry expected for your class")</f>
        <v>#REF!</v>
      </c>
      <c r="BE396" s="1069" t="e">
        <f>IF(#REF!=0,"","Zero entry expected for your class")</f>
        <v>#REF!</v>
      </c>
      <c r="BF396" s="1070" t="s">
        <v>84</v>
      </c>
      <c r="BG396" s="659" t="e">
        <f>IF(#REF!=0,"","Zero entry expected for your class")</f>
        <v>#REF!</v>
      </c>
      <c r="BH396" s="1071" t="e">
        <f>IF(#REF!=0,"","Zero entry expected for your class")</f>
        <v>#REF!</v>
      </c>
      <c r="BI396" s="1072" t="e">
        <f>IF(#REF!&lt;&gt;0,"","Entry expected for your class")</f>
        <v>#REF!</v>
      </c>
      <c r="BJ396" s="1069" t="e">
        <f>IF(#REF!=0,"","Zero entry expected for your class")</f>
        <v>#REF!</v>
      </c>
      <c r="BK396" s="1073" t="s">
        <v>84</v>
      </c>
      <c r="BL396" s="1069" t="e">
        <f>IF(#REF!=0,"","Zero entry expected for your class")</f>
        <v>#REF!</v>
      </c>
      <c r="BM396" s="1069" t="e">
        <f>IF(#REF!=0,"","Zero entry expected for your class")</f>
        <v>#REF!</v>
      </c>
      <c r="BN396" s="1069" t="e">
        <f>IF(#REF!=0,"","Zero entry expected for your class")</f>
        <v>#REF!</v>
      </c>
      <c r="BO396" s="1073" t="s">
        <v>84</v>
      </c>
      <c r="BP396" s="1069" t="e">
        <f>IF(#REF!=0,"","WARNING: Col 1 - Zero entry expected for your class")</f>
        <v>#REF!</v>
      </c>
      <c r="BQ396" s="1069" t="e">
        <f>IF(#REF!=0,"","Zero entry expected for your class")</f>
        <v>#REF!</v>
      </c>
      <c r="BR396" s="1074" t="e">
        <f>IF(#REF!=0,"","Zero entry expected for your class")</f>
        <v>#REF!</v>
      </c>
      <c r="BS396" s="660" t="e">
        <f>IF(#REF!=0,"","Zero entry expected for your class")</f>
        <v>#REF!</v>
      </c>
      <c r="BT396" s="1075" t="str">
        <f>IF(RG!G44=0,"","WARNING: Col 1 - Zero entry expected for your class")</f>
        <v/>
      </c>
      <c r="BU396" s="1066" t="e">
        <f>IF(#REF!=0,"","WARNING: Col 1 - Zero entry expected for your class")</f>
        <v>#REF!</v>
      </c>
      <c r="BV396" s="1076" t="e">
        <f>IF(#REF!=0,"","Zero entry expected for your class")</f>
        <v>#REF!</v>
      </c>
      <c r="BW396" s="1066" t="e">
        <f>IF(#REF!=0,"","WARNING: Col 1 - Zero entry expected for your class")</f>
        <v>#REF!</v>
      </c>
      <c r="BX396" s="1077" t="e">
        <f>IF(#REF!&gt;=0,"","WARNING: Col 1 - Greater than or equal to zero expected for your class")</f>
        <v>#REF!</v>
      </c>
      <c r="BY396" s="1078" t="e">
        <f>IF(#REF!&gt;=0,"","WARNING: Col 1 - Greater than or equal to zero expected for your class")</f>
        <v>#REF!</v>
      </c>
      <c r="BZ396" s="538"/>
    </row>
    <row r="397" spans="1:78" ht="15.75" hidden="1" customHeight="1" x14ac:dyDescent="0.35">
      <c r="A397"/>
      <c r="AA397"/>
      <c r="AZ397" s="1067" t="s">
        <v>79</v>
      </c>
      <c r="BA397" s="1068" t="e">
        <f>IF(#REF!=0,"","Zero entry expected for your class")</f>
        <v>#REF!</v>
      </c>
      <c r="BB397" s="1072" t="e">
        <f>IF(#REF!&lt;&gt;0,"","Entry expected for your class")</f>
        <v>#REF!</v>
      </c>
      <c r="BC397" s="1069" t="e">
        <f>IF(#REF!=0,"","Zero entry expected for your class")</f>
        <v>#REF!</v>
      </c>
      <c r="BD397" s="1069" t="e">
        <f>IF(#REF!=0,"","Zero entry expected for your class")</f>
        <v>#REF!</v>
      </c>
      <c r="BE397" s="1072" t="e">
        <f>IF(#REF!&lt;&gt;0,"","Entry expected for your class")</f>
        <v>#REF!</v>
      </c>
      <c r="BF397" s="1087" t="e">
        <f>IF(#REF!&lt;&gt;0,"","Entry expected for your class")</f>
        <v>#REF!</v>
      </c>
      <c r="BG397" s="660" t="e">
        <f>IF(#REF!&lt;&gt;0,"","Entry expected for your class")</f>
        <v>#REF!</v>
      </c>
      <c r="BH397" s="1080" t="e">
        <f>IF(#REF!&lt;&gt;0,"","Entry expected for your class")</f>
        <v>#REF!</v>
      </c>
      <c r="BI397" s="1072" t="e">
        <f>IF(#REF!&lt;&gt;0,"","Entry expected for your class")</f>
        <v>#REF!</v>
      </c>
      <c r="BJ397" s="1069" t="e">
        <f>IF(#REF!=0,"","Zero entry expected for your class")</f>
        <v>#REF!</v>
      </c>
      <c r="BK397" s="1073" t="s">
        <v>84</v>
      </c>
      <c r="BL397" s="1069" t="e">
        <f>IF(#REF!=0,"","Zero entry expected for your class")</f>
        <v>#REF!</v>
      </c>
      <c r="BM397" s="1069" t="e">
        <f>IF(#REF!=0,"","Zero entry expected for your class")</f>
        <v>#REF!</v>
      </c>
      <c r="BN397" s="1069" t="e">
        <f>IF(#REF!=0,"","Zero entry expected for your class")</f>
        <v>#REF!</v>
      </c>
      <c r="BO397" s="1073" t="s">
        <v>84</v>
      </c>
      <c r="BP397" s="1069" t="e">
        <f>IF(#REF!=0,"","WARNING: Col 1 - Zero entry expected for your class")</f>
        <v>#REF!</v>
      </c>
      <c r="BQ397" s="1069" t="e">
        <f>IF(#REF!=0,"","Zero entry expected for your class")</f>
        <v>#REF!</v>
      </c>
      <c r="BR397" s="1074" t="e">
        <f>IF(#REF!=0,"","Zero entry expected for your class")</f>
        <v>#REF!</v>
      </c>
      <c r="BS397" s="660" t="e">
        <f>IF(#REF!=0,"","Zero entry expected for your class")</f>
        <v>#REF!</v>
      </c>
      <c r="BT397" s="1075" t="str">
        <f>IF(RG!G44=0,"","WARNING: Col 1 - Zero entry expected for your class")</f>
        <v/>
      </c>
      <c r="BU397" s="1066" t="e">
        <f>IF(#REF!=0,"","WARNING: Col 1 - Zero entry expected for your class")</f>
        <v>#REF!</v>
      </c>
      <c r="BV397" s="1076" t="e">
        <f>IF(#REF!=0,"","Zero entry expected for your class")</f>
        <v>#REF!</v>
      </c>
      <c r="BW397" s="1066" t="e">
        <f>IF(#REF!=0,"","WARNING: Col 1 - Zero entry expected for your class")</f>
        <v>#REF!</v>
      </c>
      <c r="BX397" s="1084" t="e">
        <f>IF(#REF!&gt;0,"","WARNING: Col 1 - Greater than zero expected for your class")</f>
        <v>#REF!</v>
      </c>
      <c r="BY397" s="1085" t="e">
        <f>IF(#REF!&gt;0,"","WARNING: Col 1 - Greater than zero expected for your class")</f>
        <v>#REF!</v>
      </c>
      <c r="BZ397" s="538"/>
    </row>
    <row r="398" spans="1:78" ht="15.75" hidden="1" customHeight="1" x14ac:dyDescent="0.35">
      <c r="A398"/>
      <c r="AA398"/>
      <c r="AZ398" s="1088" t="s">
        <v>84</v>
      </c>
      <c r="BA398" s="1088" t="s">
        <v>84</v>
      </c>
      <c r="BB398" s="1073" t="s">
        <v>84</v>
      </c>
      <c r="BC398" s="1073" t="s">
        <v>84</v>
      </c>
      <c r="BD398" s="1073" t="s">
        <v>84</v>
      </c>
      <c r="BE398" s="1073" t="s">
        <v>84</v>
      </c>
      <c r="BF398" s="1070" t="s">
        <v>84</v>
      </c>
      <c r="BG398" s="1070" t="s">
        <v>84</v>
      </c>
      <c r="BH398" s="1089" t="s">
        <v>84</v>
      </c>
      <c r="BI398" s="1073" t="s">
        <v>84</v>
      </c>
      <c r="BJ398" s="1073" t="s">
        <v>84</v>
      </c>
      <c r="BK398" s="1073" t="s">
        <v>84</v>
      </c>
      <c r="BL398" s="1073" t="s">
        <v>84</v>
      </c>
      <c r="BM398" s="1073" t="s">
        <v>84</v>
      </c>
      <c r="BN398" s="1073" t="s">
        <v>84</v>
      </c>
      <c r="BO398" s="1073" t="s">
        <v>84</v>
      </c>
      <c r="BP398" s="1073" t="s">
        <v>84</v>
      </c>
      <c r="BQ398" s="1073" t="s">
        <v>84</v>
      </c>
      <c r="BR398" s="1070" t="s">
        <v>84</v>
      </c>
      <c r="BS398" s="662" t="s">
        <v>84</v>
      </c>
      <c r="BT398" s="1090" t="s">
        <v>84</v>
      </c>
      <c r="BU398" s="1090"/>
      <c r="BV398" s="1091" t="s">
        <v>84</v>
      </c>
      <c r="BW398" s="1092" t="s">
        <v>84</v>
      </c>
      <c r="BX398" s="1092" t="s">
        <v>84</v>
      </c>
      <c r="BY398" s="1093" t="s">
        <v>84</v>
      </c>
      <c r="BZ398" s="538"/>
    </row>
    <row r="399" spans="1:78" ht="15.75" hidden="1" customHeight="1" x14ac:dyDescent="0.35">
      <c r="A399"/>
      <c r="AA399"/>
      <c r="AZ399" s="1067" t="s">
        <v>89</v>
      </c>
      <c r="BA399" s="1079" t="e">
        <f>IF(#REF!&lt;&gt;0,"","Entry expected for your class")</f>
        <v>#REF!</v>
      </c>
      <c r="BB399" s="1072" t="e">
        <f>IF(#REF!&lt;&gt;0,"","Entry expected for your class")</f>
        <v>#REF!</v>
      </c>
      <c r="BC399" s="1072" t="e">
        <f>IF(#REF!&lt;&gt;0,"","Entry expected for your class")</f>
        <v>#REF!</v>
      </c>
      <c r="BD399" s="1072" t="e">
        <f>IF(#REF!&lt;&gt;0,"","Entry expected for your class")</f>
        <v>#REF!</v>
      </c>
      <c r="BE399" s="1072" t="e">
        <f>IF(#REF!&lt;&gt;0,"","Entry expected for your class")</f>
        <v>#REF!</v>
      </c>
      <c r="BF399" s="1087" t="e">
        <f>IF(#REF!&lt;&gt;0,"","Entry expected for your class")</f>
        <v>#REF!</v>
      </c>
      <c r="BG399" s="660" t="e">
        <f>IF(#REF!&lt;&gt;0,"","Entry expected for your class")</f>
        <v>#REF!</v>
      </c>
      <c r="BH399" s="1071" t="e">
        <f>IF(#REF!=0,"","Zero entry expected for your class")</f>
        <v>#REF!</v>
      </c>
      <c r="BI399" s="1069" t="e">
        <f>IF(#REF!=0,"","Zero entry expected for your class")</f>
        <v>#REF!</v>
      </c>
      <c r="BJ399" s="1072" t="e">
        <f>IF(#REF!&lt;&gt;0,"","Entry expected for your class")</f>
        <v>#REF!</v>
      </c>
      <c r="BK399" s="1073" t="s">
        <v>84</v>
      </c>
      <c r="BL399" s="1069" t="e">
        <f>IF(#REF!=0,"","Zero entry expected for your class")</f>
        <v>#REF!</v>
      </c>
      <c r="BM399" s="1073" t="s">
        <v>84</v>
      </c>
      <c r="BN399" s="1072" t="e">
        <f>IF(#REF!&gt;0,"","Greater than zero expected for your class")</f>
        <v>#REF!</v>
      </c>
      <c r="BO399" s="1073" t="s">
        <v>84</v>
      </c>
      <c r="BP399" s="1073" t="s">
        <v>84</v>
      </c>
      <c r="BQ399" s="1072" t="e">
        <f>IF(#REF!&gt;0,"","Greater than zero expected for your class")</f>
        <v>#REF!</v>
      </c>
      <c r="BR399" s="1087" t="e">
        <f>IF(#REF!&gt;0,"","Greater than zero expected for your class")</f>
        <v>#REF!</v>
      </c>
      <c r="BS399" s="1072" t="e">
        <f>IF(#REF!&gt;0,"","Greater than zero expected for your class")</f>
        <v>#REF!</v>
      </c>
      <c r="BT399" s="1081" t="str">
        <f>IF(RG!G44&gt;0,"","WARNING: Col 1 - Greater than zero expected for your class")</f>
        <v>WARNING: Col 1 - Greater than zero expected for your class</v>
      </c>
      <c r="BU399" s="1082" t="s">
        <v>84</v>
      </c>
      <c r="BV399" s="1083" t="e">
        <f>IF(#REF!&gt;0,"","Greater than zero expected for your class")</f>
        <v>#REF!</v>
      </c>
      <c r="BW399" s="1084" t="e">
        <f>IF(#REF!&gt;0,"","WARNING: Col 1 - Greater than zero expected for your class")</f>
        <v>#REF!</v>
      </c>
      <c r="BX399" s="1084" t="e">
        <f>IF(#REF!&gt;0,"","WARNING: Col 1 - Greater than zero expected for your class")</f>
        <v>#REF!</v>
      </c>
      <c r="BY399" s="1085" t="e">
        <f>IF(#REF!&gt;0,"","WARNING: Col 1 - Greater than zero expected for your class")</f>
        <v>#REF!</v>
      </c>
      <c r="BZ399" s="538"/>
    </row>
    <row r="400" spans="1:78" ht="15.75" hidden="1" customHeight="1" x14ac:dyDescent="0.35">
      <c r="A400"/>
      <c r="AA400"/>
      <c r="AZ400" s="1088" t="s">
        <v>84</v>
      </c>
      <c r="BA400" s="1088" t="s">
        <v>84</v>
      </c>
      <c r="BB400" s="1073" t="s">
        <v>84</v>
      </c>
      <c r="BC400" s="1073" t="s">
        <v>84</v>
      </c>
      <c r="BD400" s="1073" t="s">
        <v>84</v>
      </c>
      <c r="BE400" s="1073" t="s">
        <v>84</v>
      </c>
      <c r="BF400" s="1070" t="s">
        <v>84</v>
      </c>
      <c r="BG400" s="1070" t="s">
        <v>84</v>
      </c>
      <c r="BH400" s="1089" t="s">
        <v>84</v>
      </c>
      <c r="BI400" s="1073" t="s">
        <v>84</v>
      </c>
      <c r="BJ400" s="1073" t="s">
        <v>84</v>
      </c>
      <c r="BK400" s="1073" t="s">
        <v>84</v>
      </c>
      <c r="BL400" s="1073" t="s">
        <v>84</v>
      </c>
      <c r="BM400" s="1073" t="s">
        <v>84</v>
      </c>
      <c r="BN400" s="1073" t="s">
        <v>84</v>
      </c>
      <c r="BO400" s="1073" t="s">
        <v>84</v>
      </c>
      <c r="BP400" s="1073" t="s">
        <v>84</v>
      </c>
      <c r="BQ400" s="1073" t="s">
        <v>84</v>
      </c>
      <c r="BR400" s="1070" t="s">
        <v>84</v>
      </c>
      <c r="BS400" s="662" t="s">
        <v>84</v>
      </c>
      <c r="BT400" s="1090" t="s">
        <v>84</v>
      </c>
      <c r="BU400" s="1090"/>
      <c r="BV400" s="1091" t="s">
        <v>84</v>
      </c>
      <c r="BW400" s="1092" t="s">
        <v>84</v>
      </c>
      <c r="BX400" s="1092" t="s">
        <v>84</v>
      </c>
      <c r="BY400" s="1093" t="s">
        <v>84</v>
      </c>
      <c r="BZ400" s="538"/>
    </row>
    <row r="401" spans="1:78" ht="15.75" hidden="1" customHeight="1" x14ac:dyDescent="0.35">
      <c r="A401"/>
      <c r="AA401"/>
      <c r="AZ401" s="1067" t="s">
        <v>97</v>
      </c>
      <c r="BA401" s="1079" t="e">
        <f>IF(#REF!&lt;&gt;0,"","Entry expected for your class")</f>
        <v>#REF!</v>
      </c>
      <c r="BB401" s="1072" t="e">
        <f>IF(#REF!&lt;&gt;0,"","Entry expected for your class")</f>
        <v>#REF!</v>
      </c>
      <c r="BC401" s="1072" t="e">
        <f>IF(#REF!&lt;&gt;0,"","Entry expected for your class")</f>
        <v>#REF!</v>
      </c>
      <c r="BD401" s="1072" t="e">
        <f>IF(#REF!&lt;&gt;0,"","Entry expected for your class")</f>
        <v>#REF!</v>
      </c>
      <c r="BE401" s="1072" t="e">
        <f>IF(#REF!&lt;&gt;0,"","Entry expected for your class")</f>
        <v>#REF!</v>
      </c>
      <c r="BF401" s="1087" t="e">
        <f>IF(#REF!&lt;&gt;0,"","Entry expected for your class")</f>
        <v>#REF!</v>
      </c>
      <c r="BG401" s="660" t="e">
        <f>IF(#REF!&lt;&gt;0,"","Entry expected for your class")</f>
        <v>#REF!</v>
      </c>
      <c r="BH401" s="1071" t="e">
        <f>IF(#REF!=0,"","Zero entry expected for your class")</f>
        <v>#REF!</v>
      </c>
      <c r="BI401" s="1069" t="e">
        <f>IF(#REF!=0,"","Zero entry expected for your class")</f>
        <v>#REF!</v>
      </c>
      <c r="BJ401" s="1072" t="e">
        <f>IF(#REF!&lt;&gt;0,"","Entry expected for your class")</f>
        <v>#REF!</v>
      </c>
      <c r="BK401" s="1073" t="s">
        <v>84</v>
      </c>
      <c r="BL401" s="1072" t="e">
        <f>IF(#REF!&gt;0,"","Greater than zero expected for your class")</f>
        <v>#REF!</v>
      </c>
      <c r="BM401" s="1073" t="s">
        <v>84</v>
      </c>
      <c r="BN401" s="1069" t="e">
        <f>IF(#REF!=0,"","Zero entry expected for your class")</f>
        <v>#REF!</v>
      </c>
      <c r="BO401" s="1073" t="s">
        <v>84</v>
      </c>
      <c r="BP401" s="1073" t="s">
        <v>84</v>
      </c>
      <c r="BQ401" s="1072" t="e">
        <f>IF(#REF!&gt;0,"","Greater than zero expected for your class")</f>
        <v>#REF!</v>
      </c>
      <c r="BR401" s="1094" t="e">
        <f>IF(#REF!&gt;=0,"","Greater than or equal to zero expected for your class")</f>
        <v>#REF!</v>
      </c>
      <c r="BS401" s="662" t="s">
        <v>84</v>
      </c>
      <c r="BT401" s="1081" t="str">
        <f>IF(RG!G44&gt;0,"","WARNING: Col 1 - Greater than zero expected for your class")</f>
        <v>WARNING: Col 1 - Greater than zero expected for your class</v>
      </c>
      <c r="BU401" s="1082" t="s">
        <v>84</v>
      </c>
      <c r="BV401" s="1083" t="e">
        <f>IF(#REF!&gt;0,"","Greater than zero expected for your class")</f>
        <v>#REF!</v>
      </c>
      <c r="BW401" s="1084" t="e">
        <f>IF(#REF!&gt;0,"","WARNING: Col 1 - Greater than zero expected for your class")</f>
        <v>#REF!</v>
      </c>
      <c r="BX401" s="1084" t="e">
        <f>IF(#REF!&gt;0,"","WARNING: Col 1 - Greater than zero expected for your class")</f>
        <v>#REF!</v>
      </c>
      <c r="BY401" s="1085" t="e">
        <f>IF(#REF!&gt;0,"","WARNING: Col 1 - Greater than zero expected for your class")</f>
        <v>#REF!</v>
      </c>
      <c r="BZ401" s="538"/>
    </row>
    <row r="402" spans="1:78" ht="15.75" hidden="1" customHeight="1" x14ac:dyDescent="0.35">
      <c r="A402"/>
      <c r="AA402"/>
      <c r="AZ402" s="1088" t="s">
        <v>84</v>
      </c>
      <c r="BA402" s="1088" t="s">
        <v>84</v>
      </c>
      <c r="BB402" s="1073" t="s">
        <v>84</v>
      </c>
      <c r="BC402" s="1073" t="s">
        <v>84</v>
      </c>
      <c r="BD402" s="1073" t="s">
        <v>84</v>
      </c>
      <c r="BE402" s="1073" t="s">
        <v>84</v>
      </c>
      <c r="BF402" s="1070" t="s">
        <v>84</v>
      </c>
      <c r="BG402" s="1070" t="s">
        <v>84</v>
      </c>
      <c r="BH402" s="1089" t="s">
        <v>84</v>
      </c>
      <c r="BI402" s="1073" t="s">
        <v>84</v>
      </c>
      <c r="BJ402" s="1073" t="s">
        <v>84</v>
      </c>
      <c r="BK402" s="1073" t="s">
        <v>84</v>
      </c>
      <c r="BL402" s="1073" t="s">
        <v>84</v>
      </c>
      <c r="BM402" s="1073" t="s">
        <v>84</v>
      </c>
      <c r="BN402" s="1073" t="s">
        <v>84</v>
      </c>
      <c r="BO402" s="1073" t="s">
        <v>84</v>
      </c>
      <c r="BP402" s="1073" t="s">
        <v>84</v>
      </c>
      <c r="BQ402" s="1073" t="s">
        <v>84</v>
      </c>
      <c r="BR402" s="1070" t="s">
        <v>84</v>
      </c>
      <c r="BS402" s="662" t="s">
        <v>84</v>
      </c>
      <c r="BT402" s="1090" t="s">
        <v>84</v>
      </c>
      <c r="BU402" s="1090"/>
      <c r="BV402" s="1091" t="s">
        <v>84</v>
      </c>
      <c r="BW402" s="1092" t="s">
        <v>84</v>
      </c>
      <c r="BX402" s="1092" t="s">
        <v>84</v>
      </c>
      <c r="BY402" s="1093" t="s">
        <v>84</v>
      </c>
      <c r="BZ402" s="538"/>
    </row>
    <row r="403" spans="1:78" ht="15.75" hidden="1" customHeight="1" x14ac:dyDescent="0.35">
      <c r="A403"/>
      <c r="AA403"/>
      <c r="AZ403" s="1067" t="s">
        <v>101</v>
      </c>
      <c r="BA403" s="1079" t="e">
        <f>IF(#REF!&lt;&gt;0,"","Entry expected for your class")</f>
        <v>#REF!</v>
      </c>
      <c r="BB403" s="1072" t="e">
        <f>IF(#REF!&lt;&gt;0,"","Entry expected for your class")</f>
        <v>#REF!</v>
      </c>
      <c r="BC403" s="1072" t="e">
        <f>IF(#REF!&lt;&gt;0,"","Entry expected for your class")</f>
        <v>#REF!</v>
      </c>
      <c r="BD403" s="1072" t="e">
        <f>IF(#REF!&lt;&gt;0,"","Entry expected for your class")</f>
        <v>#REF!</v>
      </c>
      <c r="BE403" s="1072" t="e">
        <f>IF(#REF!&lt;&gt;0,"","Entry expected for your class")</f>
        <v>#REF!</v>
      </c>
      <c r="BF403" s="1087" t="e">
        <f>IF(#REF!&lt;&gt;0,"","Entry expected for your class")</f>
        <v>#REF!</v>
      </c>
      <c r="BG403" s="660" t="e">
        <f>IF(#REF!&lt;&gt;0,"","Entry expected for your class")</f>
        <v>#REF!</v>
      </c>
      <c r="BH403" s="1071" t="e">
        <f>IF(#REF!=0,"","Zero entry expected for your class")</f>
        <v>#REF!</v>
      </c>
      <c r="BI403" s="1069" t="e">
        <f>IF(#REF!=0,"","Zero entry expected for your class")</f>
        <v>#REF!</v>
      </c>
      <c r="BJ403" s="1072" t="e">
        <f>IF(#REF!&lt;&gt;0,"","Entry expected for your class")</f>
        <v>#REF!</v>
      </c>
      <c r="BK403" s="1073" t="s">
        <v>84</v>
      </c>
      <c r="BL403" s="1069" t="e">
        <f>IF(#REF!=0,"","Zero entry expected for your class")</f>
        <v>#REF!</v>
      </c>
      <c r="BM403" s="1073" t="s">
        <v>84</v>
      </c>
      <c r="BN403" s="1072" t="e">
        <f>IF(#REF!&gt;0,"","Greater than zero expected for your class")</f>
        <v>#REF!</v>
      </c>
      <c r="BO403" s="1073" t="s">
        <v>84</v>
      </c>
      <c r="BP403" s="1073" t="s">
        <v>84</v>
      </c>
      <c r="BQ403" s="1072" t="e">
        <f>IF(#REF!&gt;0,"","Greater than zero expected for your class")</f>
        <v>#REF!</v>
      </c>
      <c r="BR403" s="1087" t="e">
        <f>IF(#REF!&gt;0,"","Greater than zero expected for your class")</f>
        <v>#REF!</v>
      </c>
      <c r="BS403" s="662" t="s">
        <v>84</v>
      </c>
      <c r="BT403" s="1081" t="str">
        <f>IF(RG!G44&gt;0,"","WARNING: Col 1 - Greater than zero expected for your class")</f>
        <v>WARNING: Col 1 - Greater than zero expected for your class</v>
      </c>
      <c r="BU403" s="1082" t="s">
        <v>84</v>
      </c>
      <c r="BV403" s="1083" t="e">
        <f>IF(#REF!&gt;0,"","Greater than zero expected for your class")</f>
        <v>#REF!</v>
      </c>
      <c r="BW403" s="1084" t="e">
        <f>IF(#REF!&gt;0,"","WARNING: Col 1 - Greater than zero expected for your class")</f>
        <v>#REF!</v>
      </c>
      <c r="BX403" s="1084" t="e">
        <f>IF(#REF!&gt;0,"","WARNING: Col 1 - Greater than zero expected for your class")</f>
        <v>#REF!</v>
      </c>
      <c r="BY403" s="1085" t="e">
        <f>IF(#REF!&gt;0,"","WARNING: Col 1 - Greater than zero expected for your class")</f>
        <v>#REF!</v>
      </c>
      <c r="BZ403" s="538"/>
    </row>
    <row r="404" spans="1:78" ht="15.75" hidden="1" customHeight="1" x14ac:dyDescent="0.35">
      <c r="A404"/>
      <c r="AA404"/>
      <c r="AZ404" s="1067" t="s">
        <v>110</v>
      </c>
      <c r="BA404" s="1068" t="e">
        <f>IF(#REF!=0,"","Zero entry expected for your class")</f>
        <v>#REF!</v>
      </c>
      <c r="BB404" s="1073" t="s">
        <v>84</v>
      </c>
      <c r="BC404" s="1069" t="e">
        <f>IF(#REF!=0,"","Zero entry expected for your class")</f>
        <v>#REF!</v>
      </c>
      <c r="BD404" s="1069" t="e">
        <f>IF(#REF!=0,"","Zero entry expected for your class")</f>
        <v>#REF!</v>
      </c>
      <c r="BE404" s="1072" t="e">
        <f>IF(#REF!&lt;&gt;0,"","Entry expected for your class")</f>
        <v>#REF!</v>
      </c>
      <c r="BF404" s="1070" t="s">
        <v>84</v>
      </c>
      <c r="BG404" s="660" t="e">
        <f>IF(#REF!&lt;&gt;0,"","Entry expected for your class")</f>
        <v>#REF!</v>
      </c>
      <c r="BH404" s="1071" t="e">
        <f>IF(#REF!=0,"","Zero entry expected for your class")</f>
        <v>#REF!</v>
      </c>
      <c r="BI404" s="1069" t="e">
        <f>IF(#REF!=0,"","Zero entry expected for your class")</f>
        <v>#REF!</v>
      </c>
      <c r="BJ404" s="1069" t="e">
        <f>IF(#REF!=0,"","Zero entry expected for your class")</f>
        <v>#REF!</v>
      </c>
      <c r="BK404" s="1073" t="s">
        <v>84</v>
      </c>
      <c r="BL404" s="1069" t="e">
        <f>IF(#REF!=0,"","Zero entry expected for your class")</f>
        <v>#REF!</v>
      </c>
      <c r="BM404" s="1069" t="e">
        <f>IF(#REF!=0,"","Zero entry expected for your class")</f>
        <v>#REF!</v>
      </c>
      <c r="BN404" s="1069" t="e">
        <f>IF(#REF!=0,"","Zero entry expected for your class")</f>
        <v>#REF!</v>
      </c>
      <c r="BO404" s="1073" t="s">
        <v>84</v>
      </c>
      <c r="BP404" s="1069" t="e">
        <f>IF(#REF!=0,"","WARNING: Col 1 - Zero entry expected for your class")</f>
        <v>#REF!</v>
      </c>
      <c r="BQ404" s="1069" t="e">
        <f>IF(#REF!=0,"","Zero entry expected for your class")</f>
        <v>#REF!</v>
      </c>
      <c r="BR404" s="1074" t="e">
        <f>IF(#REF!=0,"","Zero entry expected for your class")</f>
        <v>#REF!</v>
      </c>
      <c r="BS404" s="660" t="e">
        <f>IF(#REF!=0,"","Zero entry expected for your class")</f>
        <v>#REF!</v>
      </c>
      <c r="BT404" s="1075" t="str">
        <f>IF(RG!G44=0,"","WARNING: Col 1 - Zero entry expected for your class")</f>
        <v/>
      </c>
      <c r="BU404" s="1066" t="e">
        <f>IF(#REF!=0,"","WARNING: Col 1 - Zero entry expected for your class")</f>
        <v>#REF!</v>
      </c>
      <c r="BV404" s="1076" t="e">
        <f>IF(#REF!=0,"","Zero entry expected for your class")</f>
        <v>#REF!</v>
      </c>
      <c r="BW404" s="1066" t="e">
        <f>IF(#REF!=0,"","WARNING: Col 1 - Zero entry expected for your class")</f>
        <v>#REF!</v>
      </c>
      <c r="BX404" s="1077" t="e">
        <f>IF(#REF!&gt;=0,"","WARNING: Col 1 - Greater than or equal to zero expected for your class")</f>
        <v>#REF!</v>
      </c>
      <c r="BY404" s="1078" t="e">
        <f>IF(#REF!&gt;=0,"","WARNING: Col 1 - Greater than or equal to zero expected for your class")</f>
        <v>#REF!</v>
      </c>
      <c r="BZ404" s="538"/>
    </row>
    <row r="405" spans="1:78" ht="15.75" hidden="1" customHeight="1" x14ac:dyDescent="0.35">
      <c r="A405"/>
      <c r="AA405"/>
      <c r="AZ405" s="1067" t="s">
        <v>114</v>
      </c>
      <c r="BA405" s="1068" t="e">
        <f>IF(#REF!=0,"","Zero entry expected for your class")</f>
        <v>#REF!</v>
      </c>
      <c r="BB405" s="1072" t="e">
        <f>IF(#REF!&lt;&gt;0,"","Entry expected for your class")</f>
        <v>#REF!</v>
      </c>
      <c r="BC405" s="1069" t="e">
        <f>IF(#REF!=0,"","Zero entry expected for your class")</f>
        <v>#REF!</v>
      </c>
      <c r="BD405" s="1069" t="e">
        <f>IF(#REF!=0,"","Zero entry expected for your class")</f>
        <v>#REF!</v>
      </c>
      <c r="BE405" s="1069" t="e">
        <f>IF(#REF!=0,"","Zero entry expected for your class")</f>
        <v>#REF!</v>
      </c>
      <c r="BF405" s="1074" t="e">
        <f>IF(#REF!=0,"","Zero entry expected for your class")</f>
        <v>#REF!</v>
      </c>
      <c r="BG405" s="1073" t="s">
        <v>84</v>
      </c>
      <c r="BH405" s="1071" t="e">
        <f>IF(#REF!=0,"","Zero entry expected for your class")</f>
        <v>#REF!</v>
      </c>
      <c r="BI405" s="1069" t="e">
        <f>IF(#REF!=0,"","Zero entry expected for your class")</f>
        <v>#REF!</v>
      </c>
      <c r="BJ405" s="1069" t="e">
        <f>IF(#REF!=0,"","Zero entry expected for your class")</f>
        <v>#REF!</v>
      </c>
      <c r="BK405" s="1073" t="s">
        <v>84</v>
      </c>
      <c r="BL405" s="1095" t="e">
        <f>IF(#REF!&lt;0,"","Negative entry expected for your class - also give levy breakdown in the Levy tab")</f>
        <v>#REF!</v>
      </c>
      <c r="BM405" s="1069"/>
      <c r="BN405" s="1069" t="e">
        <f>IF(#REF!=0,"","Zero entry expected for your class")</f>
        <v>#REF!</v>
      </c>
      <c r="BO405" s="1073" t="s">
        <v>84</v>
      </c>
      <c r="BP405" s="1069" t="e">
        <f>IF(#REF!=0,"","WARNING: Col 1 - Zero entry expected for your class")</f>
        <v>#REF!</v>
      </c>
      <c r="BQ405" s="1069" t="e">
        <f>IF(#REF!=0,"","Zero entry expected for your class")</f>
        <v>#REF!</v>
      </c>
      <c r="BR405" s="1074" t="e">
        <f>IF(#REF!=0,"","Zero entry expected for your class")</f>
        <v>#REF!</v>
      </c>
      <c r="BS405" s="662" t="s">
        <v>84</v>
      </c>
      <c r="BT405" s="1075" t="str">
        <f>IF(RG!G44=0,"","WARNING: Col 1 - Zero entry expected for your class")</f>
        <v/>
      </c>
      <c r="BU405" s="1066" t="e">
        <f>IF(#REF!=0,"","WARNING: Col 1 - Zero entry expected for your class")</f>
        <v>#REF!</v>
      </c>
      <c r="BV405" s="1076" t="e">
        <f>IF(#REF!=0,"","Zero entry expected for your class")</f>
        <v>#REF!</v>
      </c>
      <c r="BW405" s="1066" t="e">
        <f>IF(#REF!=0,"","WARNING: Col 1 - Zero entry expected for your class")</f>
        <v>#REF!</v>
      </c>
      <c r="BX405" s="1077" t="e">
        <f>IF(#REF!&gt;=0,"","WARNING: Col 1 - Greater than or equal to zero expected for your class")</f>
        <v>#REF!</v>
      </c>
      <c r="BY405" s="1078" t="e">
        <f>IF(#REF!&gt;=0,"","WARNING: Col 1 - Greater than or equal to zero expected for your class")</f>
        <v>#REF!</v>
      </c>
      <c r="BZ405" s="538"/>
    </row>
    <row r="406" spans="1:78" ht="15.75" hidden="1" customHeight="1" x14ac:dyDescent="0.35">
      <c r="A406"/>
      <c r="AA406"/>
      <c r="AZ406" s="1067" t="s">
        <v>118</v>
      </c>
      <c r="BA406" s="1079" t="e">
        <f>IF(#REF!&lt;&gt;0,"","Entry expected for your class")</f>
        <v>#REF!</v>
      </c>
      <c r="BB406" s="1072" t="e">
        <f>IF(#REF!&lt;&gt;0,"","Entry expected for your class")</f>
        <v>#REF!</v>
      </c>
      <c r="BC406" s="1072" t="e">
        <f>IF(#REF!&lt;&gt;0,"","Entry expected for your class")</f>
        <v>#REF!</v>
      </c>
      <c r="BD406" s="1073" t="s">
        <v>84</v>
      </c>
      <c r="BE406" s="1072" t="e">
        <f>IF(#REF!&lt;&gt;0,"","Entry expected for your class")</f>
        <v>#REF!</v>
      </c>
      <c r="BF406" s="1087" t="e">
        <f>IF(#REF!&lt;&gt;0,"","Entry expected for your class")</f>
        <v>#REF!</v>
      </c>
      <c r="BG406" s="660" t="e">
        <f>IF(#REF!&lt;&gt;0,"","Entry expected for your class")</f>
        <v>#REF!</v>
      </c>
      <c r="BH406" s="1071" t="e">
        <f>IF(#REF!=0,"","Zero entry expected for your class")</f>
        <v>#REF!</v>
      </c>
      <c r="BI406" s="1072" t="e">
        <f>IF(#REF!&lt;&gt;0,"","Entry expected for your class")</f>
        <v>#REF!</v>
      </c>
      <c r="BJ406" s="1072" t="e">
        <f>IF(#REF!&lt;&gt;0,"","Entry expected for your class")</f>
        <v>#REF!</v>
      </c>
      <c r="BK406" s="1073" t="s">
        <v>84</v>
      </c>
      <c r="BL406" s="1069" t="e">
        <f>IF(#REF!=0,"","Zero entry expected for your class")</f>
        <v>#REF!</v>
      </c>
      <c r="BM406" s="1069" t="e">
        <f>IF(#REF!=0,"","Zero entry expected for your class")</f>
        <v>#REF!</v>
      </c>
      <c r="BN406" s="1069" t="e">
        <f>IF(#REF!=0,"","Zero entry expected for your class")</f>
        <v>#REF!</v>
      </c>
      <c r="BO406" s="1073" t="s">
        <v>84</v>
      </c>
      <c r="BP406" s="1073" t="s">
        <v>84</v>
      </c>
      <c r="BQ406" s="1072" t="e">
        <f>IF(#REF!&gt;0,"","Greater than zero expected for your class")</f>
        <v>#REF!</v>
      </c>
      <c r="BR406" s="1087" t="e">
        <f>IF(#REF!&gt;0,"","Greater than zero expected for your class")</f>
        <v>#REF!</v>
      </c>
      <c r="BS406" s="660" t="e">
        <f>IF(#REF!=0,"","Zero entry expected for your class")</f>
        <v>#REF!</v>
      </c>
      <c r="BT406" s="1081" t="str">
        <f>IF(RG!G44&gt;0,"","WARNING: Col 1 - Greater than zero expected for your class")</f>
        <v>WARNING: Col 1 - Greater than zero expected for your class</v>
      </c>
      <c r="BU406" s="1082" t="s">
        <v>84</v>
      </c>
      <c r="BV406" s="1076" t="e">
        <f>IF(#REF!=0,"","Zero entry expected for your class")</f>
        <v>#REF!</v>
      </c>
      <c r="BW406" s="1084" t="e">
        <f>IF(#REF!&gt;0,"","WARNING: Col 1 - Greater than zero expected for your class")</f>
        <v>#REF!</v>
      </c>
      <c r="BX406" s="1084" t="e">
        <f>IF(#REF!&gt;0,"","WARNING: Col 1 - Greater than zero expected for your class")</f>
        <v>#REF!</v>
      </c>
      <c r="BY406" s="1085" t="e">
        <f>IF(#REF!&gt;0,"","WARNING: Col 1 - Greater than zero expected for your class")</f>
        <v>#REF!</v>
      </c>
      <c r="BZ406" s="538"/>
    </row>
    <row r="407" spans="1:78" ht="15.75" hidden="1" customHeight="1" x14ac:dyDescent="0.35">
      <c r="A407"/>
      <c r="AA407"/>
      <c r="AZ407" s="1067" t="s">
        <v>61</v>
      </c>
      <c r="BA407" s="1068" t="e">
        <f>IF(#REF!=0,"","Zero entry expected for your class")</f>
        <v>#REF!</v>
      </c>
      <c r="BB407" s="1073" t="s">
        <v>84</v>
      </c>
      <c r="BC407" s="1073" t="s">
        <v>84</v>
      </c>
      <c r="BD407" s="1072" t="e">
        <f>IF(#REF!&lt;&gt;0,"","Entry expected for your class")</f>
        <v>#REF!</v>
      </c>
      <c r="BE407" s="1072" t="e">
        <f>IF(#REF!&lt;&gt;0,"","Entry expected for your class")</f>
        <v>#REF!</v>
      </c>
      <c r="BF407" s="1087" t="e">
        <f>IF(#REF!&lt;&gt;0,"","Entry expected for your class")</f>
        <v>#REF!</v>
      </c>
      <c r="BG407" s="660" t="e">
        <f>IF(#REF!&lt;&gt;0,"","Entry expected for your class")</f>
        <v>#REF!</v>
      </c>
      <c r="BH407" s="1071" t="e">
        <f>IF(#REF!=0,"","Zero entry expected for your class")</f>
        <v>#REF!</v>
      </c>
      <c r="BI407" s="1069" t="e">
        <f>IF(#REF!=0,"","Zero entry expected for your class")</f>
        <v>#REF!</v>
      </c>
      <c r="BJ407" s="1073" t="s">
        <v>84</v>
      </c>
      <c r="BK407" s="1073" t="s">
        <v>84</v>
      </c>
      <c r="BL407" s="1069" t="e">
        <f>IF(#REF!=0,"","Zero entry expected for your class")</f>
        <v>#REF!</v>
      </c>
      <c r="BM407" s="1069" t="e">
        <f>IF(#REF!=0,"","Zero entry expected for your class")</f>
        <v>#REF!</v>
      </c>
      <c r="BN407" s="1069" t="e">
        <f>IF(#REF!=0,"","Zero entry expected for your class")</f>
        <v>#REF!</v>
      </c>
      <c r="BO407" s="1073" t="s">
        <v>84</v>
      </c>
      <c r="BP407" s="1073" t="s">
        <v>84</v>
      </c>
      <c r="BQ407" s="1072" t="e">
        <f>IF(#REF!&gt;0,"","Greater than zero expected for your class")</f>
        <v>#REF!</v>
      </c>
      <c r="BR407" s="1094" t="e">
        <f>IF(#REF!&gt;=0,"","Greater than or equal to zero expected for your class")</f>
        <v>#REF!</v>
      </c>
      <c r="BS407" s="662" t="s">
        <v>84</v>
      </c>
      <c r="BT407" s="1081" t="str">
        <f>IF(RG!G44&gt;0,"","WARNING: Col 1 - Greater than zero expected for your class")</f>
        <v>WARNING: Col 1 - Greater than zero expected for your class</v>
      </c>
      <c r="BU407" s="1082" t="s">
        <v>84</v>
      </c>
      <c r="BV407" s="1076" t="e">
        <f>IF(#REF!=0,"","Zero entry expected for your class")</f>
        <v>#REF!</v>
      </c>
      <c r="BW407" s="1066" t="e">
        <f>IF(#REF!=0,"","WARNING: Col 1 - Zero entry expected for your class")</f>
        <v>#REF!</v>
      </c>
      <c r="BX407" s="1084" t="e">
        <f>IF(#REF!&gt;0,"","WARNING: Col 1 - Greater than zero expected for your class")</f>
        <v>#REF!</v>
      </c>
      <c r="BY407" s="1085" t="e">
        <f>IF(#REF!&gt;0,"","WARNING: Col 1 - Greater than zero expected for your class")</f>
        <v>#REF!</v>
      </c>
      <c r="BZ407" s="538"/>
    </row>
    <row r="408" spans="1:78" ht="15.75" hidden="1" customHeight="1" x14ac:dyDescent="0.35">
      <c r="A408"/>
      <c r="AA408"/>
      <c r="AZ408" s="1067" t="s">
        <v>125</v>
      </c>
      <c r="BA408" s="1079" t="e">
        <f>IF(#REF!&lt;&gt;0,"","Entry expected for your class")</f>
        <v>#REF!</v>
      </c>
      <c r="BB408" s="1072" t="e">
        <f>IF(#REF!&lt;&gt;0,"","Entry expected for your class")</f>
        <v>#REF!</v>
      </c>
      <c r="BC408" s="1072" t="e">
        <f>IF(#REF!&lt;&gt;0,"","Entry expected for your class")</f>
        <v>#REF!</v>
      </c>
      <c r="BD408" s="1072" t="e">
        <f>IF(#REF!&lt;&gt;0,"","Entry expected for your class")</f>
        <v>#REF!</v>
      </c>
      <c r="BE408" s="1072" t="e">
        <f>IF(#REF!&lt;&gt;0,"","Entry expected for your class")</f>
        <v>#REF!</v>
      </c>
      <c r="BF408" s="1087" t="e">
        <f>IF(#REF!&lt;&gt;0,"","Entry expected for your class")</f>
        <v>#REF!</v>
      </c>
      <c r="BG408" s="660" t="e">
        <f>IF(#REF!&lt;&gt;0,"","Entry expected for your class")</f>
        <v>#REF!</v>
      </c>
      <c r="BH408" s="1071" t="e">
        <f>IF(#REF!=0,"","Zero entry expected for your class")</f>
        <v>#REF!</v>
      </c>
      <c r="BI408" s="1073" t="s">
        <v>84</v>
      </c>
      <c r="BJ408" s="1072" t="e">
        <f>IF(#REF!&lt;&gt;0,"","Entry expected for your class")</f>
        <v>#REF!</v>
      </c>
      <c r="BK408" s="1073" t="s">
        <v>84</v>
      </c>
      <c r="BL408" s="1069" t="e">
        <f>IF(#REF!=0,"","Zero entry expected for your class")</f>
        <v>#REF!</v>
      </c>
      <c r="BM408" s="1069" t="e">
        <f>IF(#REF!=0,"","Zero entry expected for your class")</f>
        <v>#REF!</v>
      </c>
      <c r="BN408" s="1069" t="e">
        <f>IF(#REF!=0,"","Zero entry expected for your class")</f>
        <v>#REF!</v>
      </c>
      <c r="BO408" s="1073" t="s">
        <v>84</v>
      </c>
      <c r="BP408" s="1073" t="s">
        <v>84</v>
      </c>
      <c r="BQ408" s="1072" t="e">
        <f>IF(#REF!&gt;0,"","Greater than zero expected for your class")</f>
        <v>#REF!</v>
      </c>
      <c r="BR408" s="1094" t="e">
        <f>IF(#REF!&gt;=0,"","Greater than or equal to zero expected for your class")</f>
        <v>#REF!</v>
      </c>
      <c r="BS408" s="662" t="s">
        <v>84</v>
      </c>
      <c r="BT408" s="1081" t="str">
        <f>IF(RG!G44&gt;0,"","WARNING: Col 1 - Greater than zero expected for your class")</f>
        <v>WARNING: Col 1 - Greater than zero expected for your class</v>
      </c>
      <c r="BU408" s="1082" t="s">
        <v>84</v>
      </c>
      <c r="BV408" s="1083" t="e">
        <f>IF(#REF!&gt;0,"","Greater than zero expected for your class")</f>
        <v>#REF!</v>
      </c>
      <c r="BW408" s="1084" t="e">
        <f>IF(#REF!&gt;0,"","WARNING: Col 1 - Greater than zero expected for your class")</f>
        <v>#REF!</v>
      </c>
      <c r="BX408" s="1084" t="e">
        <f>IF(#REF!&gt;0,"","WARNING: Col 1 - Greater than zero expected for your class")</f>
        <v>#REF!</v>
      </c>
      <c r="BY408" s="1085" t="e">
        <f>IF(#REF!&gt;0,"","WARNING: Col 1 - Greater than zero expected for your class")</f>
        <v>#REF!</v>
      </c>
      <c r="BZ408" s="538"/>
    </row>
    <row r="409" spans="1:78" ht="15.75" hidden="1" customHeight="1" thickBot="1" x14ac:dyDescent="0.4">
      <c r="A409"/>
      <c r="AA409"/>
      <c r="AZ409" s="1096" t="s">
        <v>129</v>
      </c>
      <c r="BA409" s="1097" t="e">
        <f>IF(#REF!=0,"","Zero entry expected for your class")</f>
        <v>#REF!</v>
      </c>
      <c r="BB409" s="1098" t="e">
        <f>IF(#REF!=0,"","Zero entry expected for your class")</f>
        <v>#REF!</v>
      </c>
      <c r="BC409" s="1098" t="e">
        <f>IF(#REF!=0,"","Zero entry expected for your class")</f>
        <v>#REF!</v>
      </c>
      <c r="BD409" s="1098" t="e">
        <f>IF(#REF!=0,"","Zero entry expected for your class")</f>
        <v>#REF!</v>
      </c>
      <c r="BE409" s="1098" t="e">
        <f>IF(#REF!=0,"","Zero entry expected for your class")</f>
        <v>#REF!</v>
      </c>
      <c r="BF409" s="1099" t="e">
        <f>IF(#REF!&lt;&gt;0,"","Entry expected for your class")</f>
        <v>#REF!</v>
      </c>
      <c r="BG409" s="84" t="e">
        <f>IF(#REF!=0,"","Zero entry expected for your class")</f>
        <v>#REF!</v>
      </c>
      <c r="BH409" s="1100" t="e">
        <f>IF(#REF!=0,"","Zero entry expected for your class")</f>
        <v>#REF!</v>
      </c>
      <c r="BI409" s="1098" t="e">
        <f>IF(#REF!=0,"","Zero entry expected for your class")</f>
        <v>#REF!</v>
      </c>
      <c r="BJ409" s="1098" t="e">
        <f>IF(#REF!=0,"","Zero entry expected for your class")</f>
        <v>#REF!</v>
      </c>
      <c r="BK409" s="1101" t="s">
        <v>84</v>
      </c>
      <c r="BL409" s="1098" t="e">
        <f>IF(#REF!=0,"","Zero entry expected for your class")</f>
        <v>#REF!</v>
      </c>
      <c r="BM409" s="1102" t="e">
        <f>IF(#REF!&lt;0,"","Negative entry expected for your class - also give a levy breakdown in the Levy tab")</f>
        <v>#REF!</v>
      </c>
      <c r="BN409" s="1098" t="e">
        <f>IF(#REF!=0,"","Zero entry expected for your class")</f>
        <v>#REF!</v>
      </c>
      <c r="BO409" s="1101" t="s">
        <v>84</v>
      </c>
      <c r="BP409" s="1098" t="e">
        <f>IF(#REF!=0,"","WARNING: Col 1 - Zero entry expected for your class")</f>
        <v>#REF!</v>
      </c>
      <c r="BQ409" s="1098" t="e">
        <f>IF(#REF!=0,"","Zero entry expected for your class")</f>
        <v>#REF!</v>
      </c>
      <c r="BR409" s="1103" t="e">
        <f>IF(#REF!=0,"","Zero entry expected for your class")</f>
        <v>#REF!</v>
      </c>
      <c r="BS409" s="83" t="e">
        <f>IF(#REF!=0,"","Zero entry expected for your class")</f>
        <v>#REF!</v>
      </c>
      <c r="BT409" s="1104" t="str">
        <f>IF(RG!G44=0,"","WARNING: Col 1 - Zero entry expected for your class")</f>
        <v/>
      </c>
      <c r="BU409" s="1105" t="e">
        <f>IF(#REF!=0,"","WARNING: Col 1 - Zero entry expected for your class")</f>
        <v>#REF!</v>
      </c>
      <c r="BV409" s="1106" t="e">
        <f>IF(#REF!=0,"","Zero entry expected for your class")</f>
        <v>#REF!</v>
      </c>
      <c r="BW409" s="1105" t="e">
        <f>IF(#REF!=0,"","WARNING: Col 1 - Zero entry expected for your class")</f>
        <v>#REF!</v>
      </c>
      <c r="BX409" s="1107" t="e">
        <f>IF(#REF!&gt;=0,"","WARNING: Col 1 - Greater than or equal to zero expected for your class")</f>
        <v>#REF!</v>
      </c>
      <c r="BY409" s="1108" t="e">
        <f>IF(#REF!&gt;=0,"","WARNING: Col 1 - Greater than or equal to zero expected for your class")</f>
        <v>#REF!</v>
      </c>
      <c r="BZ409" s="538"/>
    </row>
    <row r="410" spans="1:78" ht="12.5" hidden="1" x14ac:dyDescent="0.25">
      <c r="A410" s="655"/>
    </row>
    <row r="411" spans="1:78" ht="12.5" hidden="1" x14ac:dyDescent="0.25">
      <c r="A411" s="655"/>
    </row>
    <row r="412" spans="1:78" ht="12.5" hidden="1" x14ac:dyDescent="0.25">
      <c r="A412" s="655"/>
    </row>
    <row r="413" spans="1:78" ht="12.5" hidden="1" x14ac:dyDescent="0.25">
      <c r="A413" s="655"/>
    </row>
    <row r="414" spans="1:78" ht="12.5" hidden="1" x14ac:dyDescent="0.25">
      <c r="A414" s="655"/>
    </row>
    <row r="415" spans="1:78" ht="12.5" hidden="1" x14ac:dyDescent="0.25">
      <c r="A415" s="655"/>
    </row>
    <row r="416" spans="1:78" ht="12.5" hidden="1" x14ac:dyDescent="0.25">
      <c r="A416" s="655"/>
    </row>
    <row r="417" spans="1:1" ht="12.5" hidden="1" x14ac:dyDescent="0.25">
      <c r="A417" s="655"/>
    </row>
    <row r="418" spans="1:1" ht="12.5" hidden="1" x14ac:dyDescent="0.25">
      <c r="A418" s="655"/>
    </row>
    <row r="419" spans="1:1" ht="12.5" hidden="1" x14ac:dyDescent="0.25">
      <c r="A419" s="655"/>
    </row>
    <row r="420" spans="1:1" ht="12.5" hidden="1" x14ac:dyDescent="0.25">
      <c r="A420" s="655"/>
    </row>
    <row r="421" spans="1:1" ht="12.5" hidden="1" x14ac:dyDescent="0.25">
      <c r="A421" s="655"/>
    </row>
    <row r="422" spans="1:1" ht="12.5" hidden="1" x14ac:dyDescent="0.25">
      <c r="A422" s="655"/>
    </row>
    <row r="423" spans="1:1" ht="12.5" hidden="1" x14ac:dyDescent="0.25">
      <c r="A423" s="655"/>
    </row>
    <row r="424" spans="1:1" ht="12.5" hidden="1" x14ac:dyDescent="0.25">
      <c r="A424" s="655"/>
    </row>
    <row r="425" spans="1:1" ht="12.5" hidden="1" x14ac:dyDescent="0.25">
      <c r="A425" s="655"/>
    </row>
    <row r="426" spans="1:1" ht="12.5" hidden="1" x14ac:dyDescent="0.25">
      <c r="A426" s="655"/>
    </row>
    <row r="427" spans="1:1" ht="12.5" hidden="1" x14ac:dyDescent="0.25">
      <c r="A427" s="655"/>
    </row>
    <row r="428" spans="1:1" ht="12.5" hidden="1" x14ac:dyDescent="0.25">
      <c r="A428" s="655"/>
    </row>
    <row r="429" spans="1:1" ht="12.5" hidden="1" x14ac:dyDescent="0.25">
      <c r="A429" s="655"/>
    </row>
    <row r="430" spans="1:1" ht="12.5" hidden="1" x14ac:dyDescent="0.25">
      <c r="A430" s="655"/>
    </row>
    <row r="431" spans="1:1" ht="12.5" hidden="1" x14ac:dyDescent="0.25">
      <c r="A431" s="655"/>
    </row>
    <row r="432" spans="1:1" ht="12.5" hidden="1" x14ac:dyDescent="0.25">
      <c r="A432" s="655"/>
    </row>
    <row r="433" spans="1:1" ht="12.5" hidden="1" x14ac:dyDescent="0.25">
      <c r="A433" s="655"/>
    </row>
    <row r="434" spans="1:1" ht="12.5" hidden="1" x14ac:dyDescent="0.25">
      <c r="A434" s="655"/>
    </row>
    <row r="435" spans="1:1" ht="12.5" hidden="1" x14ac:dyDescent="0.25">
      <c r="A435" s="655"/>
    </row>
    <row r="436" spans="1:1" ht="12.5" hidden="1" x14ac:dyDescent="0.25">
      <c r="A436" s="655"/>
    </row>
    <row r="437" spans="1:1" ht="12.5" hidden="1" x14ac:dyDescent="0.25">
      <c r="A437" s="655"/>
    </row>
    <row r="438" spans="1:1" ht="12.5" hidden="1" x14ac:dyDescent="0.25">
      <c r="A438" s="655"/>
    </row>
    <row r="439" spans="1:1" ht="12.5" hidden="1" x14ac:dyDescent="0.25">
      <c r="A439" s="655"/>
    </row>
    <row r="440" spans="1:1" ht="12.5" hidden="1" x14ac:dyDescent="0.25">
      <c r="A440" s="655"/>
    </row>
    <row r="441" spans="1:1" ht="12.5" hidden="1" x14ac:dyDescent="0.25">
      <c r="A441" s="655"/>
    </row>
    <row r="442" spans="1:1" ht="12.5" hidden="1" x14ac:dyDescent="0.25">
      <c r="A442" s="655"/>
    </row>
    <row r="443" spans="1:1" ht="12.5" hidden="1" x14ac:dyDescent="0.25">
      <c r="A443" s="655"/>
    </row>
    <row r="444" spans="1:1" ht="12.5" hidden="1" x14ac:dyDescent="0.25">
      <c r="A444" s="655"/>
    </row>
    <row r="445" spans="1:1" ht="12.5" hidden="1" x14ac:dyDescent="0.25">
      <c r="A445" s="655"/>
    </row>
    <row r="446" spans="1:1" ht="12.5" hidden="1" x14ac:dyDescent="0.25">
      <c r="A446" s="655"/>
    </row>
    <row r="447" spans="1:1" ht="12.5" hidden="1" x14ac:dyDescent="0.25">
      <c r="A447" s="655"/>
    </row>
    <row r="448" spans="1:1" ht="12.5" hidden="1" x14ac:dyDescent="0.25">
      <c r="A448" s="655"/>
    </row>
    <row r="449" spans="1:1" ht="12.5" hidden="1" x14ac:dyDescent="0.25">
      <c r="A449" s="655"/>
    </row>
    <row r="450" spans="1:1" ht="12.5" hidden="1" x14ac:dyDescent="0.25">
      <c r="A450" s="655"/>
    </row>
    <row r="451" spans="1:1" ht="12.5" hidden="1" x14ac:dyDescent="0.25">
      <c r="A451" s="655"/>
    </row>
    <row r="452" spans="1:1" ht="12.5" hidden="1" x14ac:dyDescent="0.25">
      <c r="A452" s="655"/>
    </row>
    <row r="453" spans="1:1" ht="12.5" hidden="1" x14ac:dyDescent="0.25">
      <c r="A453" s="655"/>
    </row>
    <row r="454" spans="1:1" ht="12.5" hidden="1" x14ac:dyDescent="0.25">
      <c r="A454" s="655"/>
    </row>
    <row r="455" spans="1:1" ht="12.5" hidden="1" x14ac:dyDescent="0.25">
      <c r="A455" s="655"/>
    </row>
    <row r="456" spans="1:1" ht="12.5" hidden="1" x14ac:dyDescent="0.25">
      <c r="A456" s="655"/>
    </row>
    <row r="457" spans="1:1" ht="12.5" hidden="1" x14ac:dyDescent="0.25">
      <c r="A457" s="655"/>
    </row>
    <row r="458" spans="1:1" ht="12.5" hidden="1" x14ac:dyDescent="0.25">
      <c r="A458" s="655"/>
    </row>
    <row r="459" spans="1:1" ht="12.5" hidden="1" x14ac:dyDescent="0.25">
      <c r="A459" s="655"/>
    </row>
    <row r="460" spans="1:1" ht="12.5" hidden="1" x14ac:dyDescent="0.25">
      <c r="A460" s="655"/>
    </row>
    <row r="461" spans="1:1" ht="12.5" hidden="1" x14ac:dyDescent="0.25">
      <c r="A461" s="655"/>
    </row>
    <row r="462" spans="1:1" ht="12.5" hidden="1" x14ac:dyDescent="0.25">
      <c r="A462" s="655"/>
    </row>
    <row r="463" spans="1:1" ht="12.5" hidden="1" x14ac:dyDescent="0.25">
      <c r="A463" s="655"/>
    </row>
    <row r="464" spans="1:1" ht="12.5" hidden="1" x14ac:dyDescent="0.25">
      <c r="A464" s="655"/>
    </row>
    <row r="465" spans="1:1" ht="12.5" hidden="1" x14ac:dyDescent="0.25">
      <c r="A465" s="655"/>
    </row>
    <row r="466" spans="1:1" ht="12.5" hidden="1" x14ac:dyDescent="0.25">
      <c r="A466" s="655"/>
    </row>
    <row r="467" spans="1:1" ht="12.5" hidden="1" x14ac:dyDescent="0.25">
      <c r="A467" s="655"/>
    </row>
    <row r="468" spans="1:1" ht="12.5" hidden="1" x14ac:dyDescent="0.25">
      <c r="A468" s="655"/>
    </row>
    <row r="469" spans="1:1" ht="12.5" hidden="1" x14ac:dyDescent="0.25">
      <c r="A469" s="655"/>
    </row>
    <row r="470" spans="1:1" ht="12.5" hidden="1" x14ac:dyDescent="0.25">
      <c r="A470" s="655"/>
    </row>
    <row r="471" spans="1:1" ht="12.5" hidden="1" x14ac:dyDescent="0.25">
      <c r="A471" s="655"/>
    </row>
    <row r="472" spans="1:1" ht="12.65" hidden="1" customHeight="1" x14ac:dyDescent="0.25">
      <c r="A472" s="655"/>
    </row>
    <row r="473" spans="1:1" ht="12.65" hidden="1" customHeight="1" x14ac:dyDescent="0.25">
      <c r="A473" s="655"/>
    </row>
    <row r="474" spans="1:1" ht="12.65" hidden="1" customHeight="1" x14ac:dyDescent="0.25">
      <c r="A474" s="655"/>
    </row>
    <row r="475" spans="1:1" ht="12.65" hidden="1" customHeight="1" x14ac:dyDescent="0.25">
      <c r="A475" s="655"/>
    </row>
    <row r="476" spans="1:1" ht="12.5" hidden="1" x14ac:dyDescent="0.25">
      <c r="A476" s="655"/>
    </row>
    <row r="477" spans="1:1" ht="12.5" hidden="1" x14ac:dyDescent="0.25">
      <c r="A477" s="655"/>
    </row>
    <row r="478" spans="1:1" ht="12.65" hidden="1" customHeight="1" x14ac:dyDescent="0.25">
      <c r="A478" s="655"/>
    </row>
    <row r="479" spans="1:1" ht="12.65" hidden="1" customHeight="1" x14ac:dyDescent="0.25">
      <c r="A479" s="655"/>
    </row>
    <row r="480" spans="1:1" ht="12.65" hidden="1" customHeight="1" x14ac:dyDescent="0.25">
      <c r="A480" s="655"/>
    </row>
    <row r="790" spans="1:1" ht="12.5" hidden="1" x14ac:dyDescent="0.25">
      <c r="A790" s="655"/>
    </row>
    <row r="791" spans="1:1" ht="12.5" hidden="1" x14ac:dyDescent="0.25">
      <c r="A791" s="655"/>
    </row>
    <row r="792" spans="1:1" ht="12.5" hidden="1" x14ac:dyDescent="0.25">
      <c r="A792" s="655"/>
    </row>
    <row r="793" spans="1:1" ht="12.5" hidden="1" x14ac:dyDescent="0.25">
      <c r="A793" s="655"/>
    </row>
    <row r="794" spans="1:1" ht="12.5" hidden="1" x14ac:dyDescent="0.25">
      <c r="A794" s="655"/>
    </row>
    <row r="795" spans="1:1" ht="12.5" hidden="1" x14ac:dyDescent="0.25">
      <c r="A795" s="655"/>
    </row>
    <row r="796" spans="1:1" ht="12.5" hidden="1" x14ac:dyDescent="0.25">
      <c r="A796" s="655"/>
    </row>
    <row r="797" spans="1:1" ht="12.5" hidden="1" x14ac:dyDescent="0.25">
      <c r="A797" s="655"/>
    </row>
    <row r="798" spans="1:1" ht="12.5" hidden="1" x14ac:dyDescent="0.25">
      <c r="A798" s="655"/>
    </row>
    <row r="799" spans="1:1" ht="12.5" hidden="1" x14ac:dyDescent="0.25">
      <c r="A799" s="655"/>
    </row>
    <row r="800" spans="1:1" ht="12.5" hidden="1" x14ac:dyDescent="0.25">
      <c r="A800" s="655"/>
    </row>
    <row r="801" spans="1:1" ht="12.5" hidden="1" x14ac:dyDescent="0.25">
      <c r="A801" s="655"/>
    </row>
    <row r="802" spans="1:1" ht="12.5" hidden="1" x14ac:dyDescent="0.25">
      <c r="A802" s="655"/>
    </row>
    <row r="803" spans="1:1" ht="12.5" hidden="1" x14ac:dyDescent="0.25">
      <c r="A803" s="655"/>
    </row>
    <row r="804" spans="1:1" ht="12.5" hidden="1" x14ac:dyDescent="0.25">
      <c r="A804" s="655"/>
    </row>
    <row r="805" spans="1:1" ht="12.5" hidden="1" x14ac:dyDescent="0.25">
      <c r="A805" s="655"/>
    </row>
    <row r="806" spans="1:1" ht="12.5" hidden="1" x14ac:dyDescent="0.25">
      <c r="A806" s="655"/>
    </row>
    <row r="807" spans="1:1" ht="12.5" hidden="1" x14ac:dyDescent="0.25">
      <c r="A807" s="655"/>
    </row>
    <row r="808" spans="1:1" ht="12.5" hidden="1" x14ac:dyDescent="0.25">
      <c r="A808" s="655"/>
    </row>
    <row r="809" spans="1:1" ht="12.5" hidden="1" x14ac:dyDescent="0.25">
      <c r="A809" s="655"/>
    </row>
    <row r="810" spans="1:1" ht="12.5" hidden="1" x14ac:dyDescent="0.25">
      <c r="A810" s="655"/>
    </row>
    <row r="811" spans="1:1" ht="12.5" hidden="1" x14ac:dyDescent="0.25">
      <c r="A811" s="655"/>
    </row>
    <row r="812" spans="1:1" ht="12.5" hidden="1" x14ac:dyDescent="0.25">
      <c r="A812" s="655"/>
    </row>
    <row r="813" spans="1:1" ht="12.5" hidden="1" x14ac:dyDescent="0.25">
      <c r="A813" s="655"/>
    </row>
    <row r="814" spans="1:1" ht="12.5" hidden="1" x14ac:dyDescent="0.25">
      <c r="A814" s="655"/>
    </row>
    <row r="815" spans="1:1" ht="12.5" hidden="1" x14ac:dyDescent="0.25">
      <c r="A815" s="655"/>
    </row>
    <row r="816" spans="1:1" ht="12.5" hidden="1" x14ac:dyDescent="0.25">
      <c r="A816" s="655"/>
    </row>
    <row r="817" spans="1:1" ht="12.5" hidden="1" x14ac:dyDescent="0.25">
      <c r="A817" s="655"/>
    </row>
    <row r="818" spans="1:1" ht="12.5" hidden="1" x14ac:dyDescent="0.25">
      <c r="A818" s="655"/>
    </row>
    <row r="819" spans="1:1" ht="12.5" hidden="1" x14ac:dyDescent="0.25">
      <c r="A819" s="655"/>
    </row>
    <row r="820" spans="1:1" ht="12.5" hidden="1" x14ac:dyDescent="0.25">
      <c r="A820" s="655"/>
    </row>
    <row r="821" spans="1:1" ht="12.5" hidden="1" x14ac:dyDescent="0.25">
      <c r="A821" s="655"/>
    </row>
    <row r="822" spans="1:1" ht="12.5" hidden="1" x14ac:dyDescent="0.25">
      <c r="A822" s="655"/>
    </row>
    <row r="823" spans="1:1" ht="12.5" hidden="1" x14ac:dyDescent="0.25">
      <c r="A823" s="655"/>
    </row>
    <row r="824" spans="1:1" ht="12.5" hidden="1" x14ac:dyDescent="0.25">
      <c r="A824" s="655"/>
    </row>
    <row r="825" spans="1:1" ht="12.5" hidden="1" x14ac:dyDescent="0.25">
      <c r="A825" s="655"/>
    </row>
    <row r="826" spans="1:1" ht="12.5" hidden="1" x14ac:dyDescent="0.25">
      <c r="A826" s="655"/>
    </row>
    <row r="827" spans="1:1" ht="12.5" hidden="1" x14ac:dyDescent="0.25">
      <c r="A827" s="655"/>
    </row>
    <row r="828" spans="1:1" ht="12.5" hidden="1" x14ac:dyDescent="0.25">
      <c r="A828" s="655"/>
    </row>
    <row r="829" spans="1:1" ht="12.5" hidden="1" x14ac:dyDescent="0.25">
      <c r="A829" s="655"/>
    </row>
    <row r="830" spans="1:1" ht="12.5" hidden="1" x14ac:dyDescent="0.25">
      <c r="A830" s="655"/>
    </row>
    <row r="831" spans="1:1" ht="12.5" hidden="1" x14ac:dyDescent="0.25">
      <c r="A831" s="655"/>
    </row>
    <row r="832" spans="1:1" ht="12.5" hidden="1" x14ac:dyDescent="0.25">
      <c r="A832" s="655"/>
    </row>
    <row r="833" spans="1:50" ht="12.5" hidden="1" x14ac:dyDescent="0.25">
      <c r="A833" s="655"/>
    </row>
    <row r="834" spans="1:50" ht="12.5" hidden="1" x14ac:dyDescent="0.25">
      <c r="A834" s="655"/>
    </row>
    <row r="835" spans="1:50" ht="12.5" hidden="1" x14ac:dyDescent="0.25">
      <c r="A835" s="655"/>
    </row>
    <row r="836" spans="1:50" ht="12.5" hidden="1" x14ac:dyDescent="0.25">
      <c r="A836" s="655"/>
    </row>
    <row r="837" spans="1:50" ht="12.5" hidden="1" x14ac:dyDescent="0.25">
      <c r="A837" s="655"/>
    </row>
    <row r="838" spans="1:50" ht="12.5" hidden="1" x14ac:dyDescent="0.25">
      <c r="A838" s="655"/>
    </row>
    <row r="839" spans="1:50" ht="12.5" hidden="1" x14ac:dyDescent="0.25">
      <c r="A839" s="655"/>
    </row>
    <row r="840" spans="1:50" ht="12.5" hidden="1" x14ac:dyDescent="0.25">
      <c r="A840" s="655"/>
    </row>
    <row r="841" spans="1:50" ht="12.5" hidden="1" x14ac:dyDescent="0.25">
      <c r="A841" s="655"/>
    </row>
    <row r="842" spans="1:50" ht="12.5" hidden="1" x14ac:dyDescent="0.25">
      <c r="A842" s="655"/>
    </row>
    <row r="843" spans="1:50" ht="12.5" hidden="1" x14ac:dyDescent="0.25">
      <c r="A843"/>
      <c r="AA843"/>
      <c r="AN843" s="91"/>
      <c r="AO843" s="92"/>
      <c r="AP843" s="93"/>
      <c r="AQ843" s="93"/>
      <c r="AR843" s="93"/>
      <c r="AS843" s="93"/>
      <c r="AT843" s="93"/>
      <c r="AU843" s="93"/>
      <c r="AV843" s="93"/>
      <c r="AW843" s="93"/>
      <c r="AX843" s="93"/>
    </row>
    <row r="844" spans="1:50" ht="12.5" hidden="1" x14ac:dyDescent="0.25">
      <c r="A844"/>
      <c r="AA844"/>
      <c r="AN844" s="504"/>
      <c r="AO844" s="504"/>
      <c r="AP844" s="504"/>
      <c r="AQ844" s="504"/>
      <c r="AR844" s="504"/>
      <c r="AS844" s="504"/>
      <c r="AT844" s="504"/>
      <c r="AU844" s="504"/>
      <c r="AV844" s="504"/>
      <c r="AW844" s="504"/>
      <c r="AX844" s="504"/>
    </row>
    <row r="845" spans="1:50" ht="12.5" hidden="1" x14ac:dyDescent="0.25">
      <c r="A845" s="655"/>
    </row>
    <row r="846" spans="1:50" ht="12.5" hidden="1" x14ac:dyDescent="0.25">
      <c r="A846" s="655"/>
    </row>
    <row r="847" spans="1:50" ht="12.5" hidden="1" x14ac:dyDescent="0.25">
      <c r="A847" s="655"/>
    </row>
    <row r="848" spans="1:50" ht="12.5" hidden="1" x14ac:dyDescent="0.25">
      <c r="A848" s="655"/>
    </row>
    <row r="849" spans="1:1" ht="12.5" hidden="1" x14ac:dyDescent="0.25">
      <c r="A849" s="655"/>
    </row>
    <row r="850" spans="1:1" ht="12.5" hidden="1" x14ac:dyDescent="0.25">
      <c r="A850" s="655"/>
    </row>
    <row r="851" spans="1:1" ht="12.5" hidden="1" x14ac:dyDescent="0.25">
      <c r="A851" s="655"/>
    </row>
    <row r="852" spans="1:1" ht="12.5" hidden="1" x14ac:dyDescent="0.25">
      <c r="A852" s="655"/>
    </row>
    <row r="853" spans="1:1" ht="12.5" hidden="1" x14ac:dyDescent="0.25">
      <c r="A853" s="655"/>
    </row>
    <row r="854" spans="1:1" ht="12.5" hidden="1" x14ac:dyDescent="0.25">
      <c r="A854" s="655"/>
    </row>
    <row r="855" spans="1:1" ht="12.5" hidden="1" x14ac:dyDescent="0.25">
      <c r="A855" s="655"/>
    </row>
    <row r="856" spans="1:1" ht="12.5" hidden="1" x14ac:dyDescent="0.25">
      <c r="A856" s="655"/>
    </row>
    <row r="857" spans="1:1" ht="12.5" hidden="1" x14ac:dyDescent="0.25">
      <c r="A857" s="655"/>
    </row>
    <row r="858" spans="1:1" ht="12.5" hidden="1" x14ac:dyDescent="0.25">
      <c r="A858" s="655"/>
    </row>
    <row r="859" spans="1:1" ht="12.5" hidden="1" x14ac:dyDescent="0.25">
      <c r="A859" s="655"/>
    </row>
    <row r="860" spans="1:1" ht="12.5" hidden="1" x14ac:dyDescent="0.25">
      <c r="A860" s="655"/>
    </row>
    <row r="861" spans="1:1" ht="12.5" hidden="1" x14ac:dyDescent="0.25">
      <c r="A861" s="655"/>
    </row>
    <row r="862" spans="1:1" ht="12.5" hidden="1" x14ac:dyDescent="0.25">
      <c r="A862" s="655"/>
    </row>
    <row r="863" spans="1:1" ht="12.5" hidden="1" x14ac:dyDescent="0.25">
      <c r="A863" s="655"/>
    </row>
    <row r="864" spans="1:1" ht="12.5" hidden="1" x14ac:dyDescent="0.25">
      <c r="A864" s="655"/>
    </row>
    <row r="865" ht="12.5" hidden="1" x14ac:dyDescent="0.25"/>
    <row r="866" ht="12.5" hidden="1" x14ac:dyDescent="0.25"/>
    <row r="867" ht="12.5" hidden="1" x14ac:dyDescent="0.25"/>
    <row r="868" ht="12.5" hidden="1" x14ac:dyDescent="0.25"/>
    <row r="869" ht="12.5" hidden="1" x14ac:dyDescent="0.25"/>
    <row r="870" ht="12.5" hidden="1" x14ac:dyDescent="0.25"/>
    <row r="871" ht="12.5" hidden="1" x14ac:dyDescent="0.25"/>
  </sheetData>
  <sheetProtection sheet="1" objects="1" scenarios="1"/>
  <mergeCells count="37">
    <mergeCell ref="B44:E44"/>
    <mergeCell ref="B40:J40"/>
    <mergeCell ref="K40:L40"/>
    <mergeCell ref="N40:O40"/>
    <mergeCell ref="B46:G46"/>
    <mergeCell ref="K34:L34"/>
    <mergeCell ref="N34:O34"/>
    <mergeCell ref="K35:L35"/>
    <mergeCell ref="N35:O35"/>
    <mergeCell ref="B36:J36"/>
    <mergeCell ref="K36:L36"/>
    <mergeCell ref="N36:O36"/>
    <mergeCell ref="D38:E38"/>
    <mergeCell ref="K38:L38"/>
    <mergeCell ref="N38:O38"/>
    <mergeCell ref="K39:L39"/>
    <mergeCell ref="N39:O39"/>
    <mergeCell ref="B24:F24"/>
    <mergeCell ref="F21:F23"/>
    <mergeCell ref="G21:G23"/>
    <mergeCell ref="A1:N1"/>
    <mergeCell ref="A9:M9"/>
    <mergeCell ref="A10:M10"/>
    <mergeCell ref="A12:M12"/>
    <mergeCell ref="A14:M14"/>
    <mergeCell ref="A15:M15"/>
    <mergeCell ref="K28:L28"/>
    <mergeCell ref="N28:O28"/>
    <mergeCell ref="K29:L29"/>
    <mergeCell ref="N29:O29"/>
    <mergeCell ref="K33:L33"/>
    <mergeCell ref="N33:O33"/>
    <mergeCell ref="N30:O30"/>
    <mergeCell ref="K31:L31"/>
    <mergeCell ref="N31:O31"/>
    <mergeCell ref="K32:L32"/>
    <mergeCell ref="N32:O32"/>
  </mergeCells>
  <conditionalFormatting sqref="A17">
    <cfRule type="containsText" dxfId="172" priority="38" operator="containsText" text="resolve">
      <formula>NOT(ISERROR(SEARCH("resolve",A17)))</formula>
    </cfRule>
  </conditionalFormatting>
  <conditionalFormatting sqref="B17">
    <cfRule type="expression" dxfId="171" priority="37">
      <formula>ISNUMBER(SEARCH(Z17,A17))</formula>
    </cfRule>
  </conditionalFormatting>
  <conditionalFormatting sqref="C17">
    <cfRule type="expression" dxfId="170" priority="36">
      <formula>ISNUMBER(SEARCH(Z17,A17))</formula>
    </cfRule>
  </conditionalFormatting>
  <conditionalFormatting sqref="D17">
    <cfRule type="expression" dxfId="169" priority="35">
      <formula>ISNUMBER(SEARCH(Z17,A17))</formula>
    </cfRule>
  </conditionalFormatting>
  <conditionalFormatting sqref="E17">
    <cfRule type="expression" dxfId="168" priority="34">
      <formula>ISNUMBER(SEARCH(Z17,A17))</formula>
    </cfRule>
  </conditionalFormatting>
  <conditionalFormatting sqref="F17">
    <cfRule type="expression" dxfId="167" priority="33">
      <formula>ISNUMBER(SEARCH(Z17,A17))</formula>
    </cfRule>
  </conditionalFormatting>
  <conditionalFormatting sqref="G17">
    <cfRule type="expression" dxfId="166" priority="32">
      <formula>ISNUMBER(SEARCH(Z17,A17))</formula>
    </cfRule>
  </conditionalFormatting>
  <conditionalFormatting sqref="H17">
    <cfRule type="expression" dxfId="165" priority="31">
      <formula>ISNUMBER(SEARCH(Z17,A17))</formula>
    </cfRule>
  </conditionalFormatting>
  <conditionalFormatting sqref="I17">
    <cfRule type="expression" dxfId="164" priority="30">
      <formula>ISNUMBER(SEARCH(Z17,A17))</formula>
    </cfRule>
  </conditionalFormatting>
  <conditionalFormatting sqref="J17">
    <cfRule type="expression" dxfId="163" priority="29">
      <formula>ISNUMBER(SEARCH(Z17,A17))</formula>
    </cfRule>
  </conditionalFormatting>
  <dataValidations count="2">
    <dataValidation type="list" allowBlank="1" showInputMessage="1" showErrorMessage="1" sqref="B46:G46" xr:uid="{7FEAD17B-9263-4D08-954B-416D1771A533}">
      <formula1>$B$24:$B$72</formula1>
    </dataValidation>
    <dataValidation type="list" allowBlank="1" showInputMessage="1" showErrorMessage="1" sqref="B24:F24" xr:uid="{10188509-FF37-4AF8-A467-FA18058148EA}">
      <formula1>$AV$21:$AV$24</formula1>
    </dataValidation>
  </dataValidations>
  <printOptions horizontalCentered="1"/>
  <pageMargins left="0.39370078740157483" right="0.39370078740157483" top="0.39370078740157483" bottom="0.39370078740157483" header="0.19685039370078741" footer="0.19685039370078741"/>
  <pageSetup paperSize="9" scale="55" fitToHeight="2"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theme="8" tint="0.59999389629810485"/>
  </sheetPr>
  <dimension ref="A1:BG50"/>
  <sheetViews>
    <sheetView showGridLines="0" zoomScale="80" zoomScaleNormal="80" workbookViewId="0">
      <pane ySplit="1" topLeftCell="A2" activePane="bottomLeft" state="frozen"/>
      <selection pane="bottomLeft" sqref="A1:N1"/>
    </sheetView>
  </sheetViews>
  <sheetFormatPr defaultColWidth="0" defaultRowHeight="12.5" zeroHeight="1" x14ac:dyDescent="0.25"/>
  <cols>
    <col min="1" max="1" width="6.54296875" customWidth="1"/>
    <col min="2" max="2" width="85.7265625" customWidth="1"/>
    <col min="3" max="3" width="6.7265625" customWidth="1"/>
    <col min="4" max="10" width="16.7265625" customWidth="1"/>
    <col min="11" max="11" width="2.7265625" customWidth="1"/>
    <col min="12" max="13" width="16.7265625" customWidth="1"/>
    <col min="14" max="14" width="2.7265625" customWidth="1"/>
    <col min="15" max="15" width="60.7265625" customWidth="1"/>
    <col min="16" max="16" width="8.7265625" customWidth="1"/>
    <col min="17" max="25" width="8.7265625" hidden="1" customWidth="1"/>
    <col min="26" max="26" width="26.7265625" hidden="1" customWidth="1"/>
    <col min="27" max="28" width="8.7265625" hidden="1" customWidth="1"/>
    <col min="29" max="29" width="8.54296875" hidden="1" customWidth="1"/>
    <col min="30" max="30" width="8.7265625" hidden="1" customWidth="1"/>
    <col min="31" max="32" width="12.7265625" hidden="1" customWidth="1"/>
    <col min="33" max="33" width="5" hidden="1" customWidth="1"/>
    <col min="34" max="34" width="12.7265625" hidden="1" customWidth="1"/>
    <col min="35" max="35" width="2.7265625" hidden="1" customWidth="1"/>
    <col min="36" max="36" width="12.7265625" hidden="1" customWidth="1"/>
    <col min="37" max="37" width="2.7265625" hidden="1" customWidth="1"/>
    <col min="38" max="38" width="12.7265625" hidden="1" customWidth="1"/>
    <col min="39" max="39" width="2.7265625" hidden="1" customWidth="1"/>
    <col min="40" max="40" width="12.7265625" hidden="1" customWidth="1"/>
    <col min="41" max="41" width="2.7265625" hidden="1" customWidth="1"/>
    <col min="42" max="42" width="12.7265625" hidden="1" customWidth="1"/>
    <col min="43" max="43" width="2.7265625" hidden="1" customWidth="1"/>
    <col min="44" max="44" width="12.7265625" hidden="1" customWidth="1"/>
    <col min="45" max="45" width="2.7265625" hidden="1" customWidth="1"/>
    <col min="46" max="46" width="12.7265625" hidden="1" customWidth="1"/>
    <col min="47" max="47" width="2.7265625" hidden="1" customWidth="1"/>
    <col min="48" max="48" width="12.7265625" hidden="1" customWidth="1"/>
    <col min="49" max="49" width="2.7265625" hidden="1" customWidth="1"/>
    <col min="50" max="51" width="8.7265625" hidden="1" customWidth="1"/>
    <col min="52" max="52" width="9.26953125" hidden="1" customWidth="1"/>
    <col min="53" max="53" width="39.26953125" hidden="1" customWidth="1"/>
    <col min="54" max="55" width="9.26953125" hidden="1" customWidth="1"/>
    <col min="56" max="56" width="18" hidden="1" customWidth="1"/>
    <col min="57" max="58" width="14.26953125" hidden="1" customWidth="1"/>
    <col min="59" max="59" width="9.26953125" hidden="1" customWidth="1"/>
    <col min="60" max="16384" width="8.7265625" hidden="1"/>
  </cols>
  <sheetData>
    <row r="1" spans="1:15" ht="60" customHeight="1" x14ac:dyDescent="0.25">
      <c r="A1" s="1206" t="str">
        <f>ContactDetails!A36</f>
        <v>IMPORTANT: Please DO NOT alter this spreadsheet by inserting/deleting, merging any cells, or even using cut &amp; paste, as the data from this spreadsheet are directly transferred into the DLUHC database by a macro and these could break the references in the form.</v>
      </c>
      <c r="B1" s="1206"/>
      <c r="C1" s="1206"/>
      <c r="D1" s="1207"/>
      <c r="E1" s="1207"/>
      <c r="F1" s="1207"/>
      <c r="G1" s="1207"/>
      <c r="H1" s="1207"/>
      <c r="I1" s="1207"/>
      <c r="J1" s="1207"/>
      <c r="K1" s="1207"/>
      <c r="L1" s="1207"/>
      <c r="M1" s="1207"/>
      <c r="N1" s="1207"/>
      <c r="O1" s="29"/>
    </row>
    <row r="2" spans="1:15" ht="12.75" customHeight="1" x14ac:dyDescent="0.3">
      <c r="A2" s="119"/>
      <c r="B2" s="54"/>
      <c r="C2" s="54"/>
      <c r="D2" s="54"/>
      <c r="E2" s="54"/>
      <c r="F2" s="54"/>
      <c r="G2" s="54"/>
      <c r="H2" s="54"/>
      <c r="I2" s="54"/>
      <c r="J2" s="181"/>
      <c r="K2" s="54"/>
      <c r="L2" s="54"/>
      <c r="M2" s="54"/>
      <c r="N2" s="54"/>
      <c r="O2" s="29"/>
    </row>
    <row r="3" spans="1:15" ht="28" x14ac:dyDescent="0.6">
      <c r="A3" s="54"/>
      <c r="B3" s="54"/>
      <c r="C3" s="54"/>
      <c r="D3" s="54"/>
      <c r="E3" s="54"/>
      <c r="F3" s="54"/>
      <c r="G3" s="54"/>
      <c r="H3" s="54"/>
      <c r="I3" s="54"/>
      <c r="J3" s="54"/>
      <c r="K3" s="54"/>
      <c r="L3" s="54"/>
      <c r="M3" s="165" t="str">
        <f>"RSX "&amp;fyear</f>
        <v>RSX 2022-23</v>
      </c>
      <c r="N3" s="54"/>
      <c r="O3" s="29"/>
    </row>
    <row r="4" spans="1:15" ht="12.75" customHeight="1" x14ac:dyDescent="0.25">
      <c r="A4" s="54"/>
      <c r="B4" s="54"/>
      <c r="C4" s="54"/>
      <c r="D4" s="54"/>
      <c r="E4" s="54"/>
      <c r="F4" s="54"/>
      <c r="G4" s="54"/>
      <c r="H4" s="54"/>
      <c r="I4" s="54"/>
      <c r="J4" s="54"/>
      <c r="K4" s="54"/>
      <c r="L4" s="54"/>
      <c r="M4" s="54"/>
      <c r="N4" s="54"/>
      <c r="O4" s="29"/>
    </row>
    <row r="5" spans="1:15" ht="12.75" customHeight="1" x14ac:dyDescent="0.25">
      <c r="A5" s="54"/>
      <c r="B5" s="54"/>
      <c r="C5" s="54"/>
      <c r="D5" s="54"/>
      <c r="E5" s="54"/>
      <c r="F5" s="54"/>
      <c r="G5" s="54"/>
      <c r="H5" s="54"/>
      <c r="I5" s="54"/>
      <c r="J5" s="54"/>
      <c r="K5" s="54"/>
      <c r="L5" s="54"/>
      <c r="M5" s="54"/>
      <c r="N5" s="54"/>
      <c r="O5" s="29"/>
    </row>
    <row r="6" spans="1:15" ht="12.75" customHeight="1" x14ac:dyDescent="0.25">
      <c r="A6" s="54"/>
      <c r="B6" s="54"/>
      <c r="C6" s="54"/>
      <c r="D6" s="54"/>
      <c r="E6" s="54"/>
      <c r="F6" s="54"/>
      <c r="G6" s="54"/>
      <c r="H6" s="54"/>
      <c r="I6" s="54"/>
      <c r="J6" s="54"/>
      <c r="K6" s="54"/>
      <c r="L6" s="54"/>
      <c r="M6" s="54"/>
      <c r="N6" s="54"/>
      <c r="O6" s="29"/>
    </row>
    <row r="7" spans="1:15" ht="12.75" customHeight="1" x14ac:dyDescent="0.25">
      <c r="A7" s="54"/>
      <c r="B7" s="54"/>
      <c r="C7" s="54"/>
      <c r="D7" s="54"/>
      <c r="E7" s="54"/>
      <c r="F7" s="54"/>
      <c r="G7" s="54"/>
      <c r="H7" s="54"/>
      <c r="I7" s="54"/>
      <c r="J7" s="54"/>
      <c r="K7" s="54"/>
      <c r="L7" s="54"/>
      <c r="M7" s="54"/>
      <c r="N7" s="54"/>
      <c r="O7" s="29"/>
    </row>
    <row r="8" spans="1:15" ht="12.75" customHeight="1" x14ac:dyDescent="0.25">
      <c r="A8" s="54"/>
      <c r="B8" s="54"/>
      <c r="C8" s="54"/>
      <c r="D8" s="54"/>
      <c r="E8" s="54"/>
      <c r="F8" s="54"/>
      <c r="G8" s="54"/>
      <c r="H8" s="54"/>
      <c r="I8" s="54"/>
      <c r="J8" s="54"/>
      <c r="K8" s="54"/>
      <c r="L8" s="54"/>
      <c r="M8" s="54"/>
      <c r="N8" s="54"/>
      <c r="O8" s="29"/>
    </row>
    <row r="9" spans="1:15" ht="33" customHeight="1" x14ac:dyDescent="0.25">
      <c r="A9" s="1195" t="str">
        <f>RS!$A$10</f>
        <v>General Fund Revenue Account Outturn</v>
      </c>
      <c r="B9" s="1195"/>
      <c r="C9" s="1195"/>
      <c r="D9" s="1195"/>
      <c r="E9" s="1195"/>
      <c r="F9" s="1195"/>
      <c r="G9" s="1195"/>
      <c r="H9" s="1195"/>
      <c r="I9" s="1195"/>
      <c r="J9" s="1195"/>
      <c r="K9" s="1195"/>
      <c r="L9" s="1195"/>
      <c r="M9" s="1195"/>
      <c r="N9" s="234"/>
      <c r="O9" s="135"/>
    </row>
    <row r="10" spans="1:15" ht="33" customHeight="1" x14ac:dyDescent="0.25">
      <c r="A10" s="1214" t="str">
        <f>"RSX – SERVICE EXPENDITURE SUMMARY "&amp;fyear</f>
        <v>RSX – SERVICE EXPENDITURE SUMMARY 2022-23</v>
      </c>
      <c r="B10" s="1214"/>
      <c r="C10" s="1214"/>
      <c r="D10" s="1214"/>
      <c r="E10" s="1214"/>
      <c r="F10" s="1214"/>
      <c r="G10" s="1214"/>
      <c r="H10" s="1214"/>
      <c r="I10" s="1214"/>
      <c r="J10" s="1214"/>
      <c r="K10" s="1214"/>
      <c r="L10" s="1214"/>
      <c r="M10" s="1214"/>
      <c r="N10" s="234"/>
      <c r="O10" s="135"/>
    </row>
    <row r="11" spans="1:15" ht="14.15" customHeight="1" x14ac:dyDescent="0.25">
      <c r="A11" s="54"/>
      <c r="B11" s="54"/>
      <c r="C11" s="54"/>
      <c r="D11" s="54"/>
      <c r="E11" s="54"/>
      <c r="F11" s="54"/>
      <c r="G11" s="54"/>
      <c r="H11" s="54"/>
      <c r="I11" s="54"/>
      <c r="J11" s="54"/>
      <c r="K11" s="54"/>
      <c r="L11" s="54"/>
      <c r="M11" s="54"/>
      <c r="N11" s="54"/>
      <c r="O11" s="29"/>
    </row>
    <row r="12" spans="1:15" ht="18.75" customHeight="1" x14ac:dyDescent="0.4">
      <c r="A12" s="1165" t="s">
        <v>1373</v>
      </c>
      <c r="B12" s="1165"/>
      <c r="C12" s="1165"/>
      <c r="D12" s="1165"/>
      <c r="E12" s="1165"/>
      <c r="F12" s="1165"/>
      <c r="G12" s="1165"/>
      <c r="H12" s="1165"/>
      <c r="I12" s="1165"/>
      <c r="J12" s="1165"/>
      <c r="K12" s="1165"/>
      <c r="L12" s="1165"/>
      <c r="M12" s="1165"/>
      <c r="N12" s="54"/>
      <c r="O12" s="29"/>
    </row>
    <row r="13" spans="1:15" ht="12" customHeight="1" x14ac:dyDescent="0.3">
      <c r="A13" s="54"/>
      <c r="B13" s="54"/>
      <c r="C13" s="54"/>
      <c r="D13" s="54"/>
      <c r="E13" s="54"/>
      <c r="F13" s="54"/>
      <c r="G13" s="54"/>
      <c r="H13" s="54"/>
      <c r="I13" s="54"/>
      <c r="J13" s="119"/>
      <c r="K13" s="54"/>
      <c r="L13" s="54"/>
      <c r="M13" s="54"/>
      <c r="N13" s="54"/>
      <c r="O13" s="29"/>
    </row>
    <row r="14" spans="1:15" ht="21" customHeight="1" x14ac:dyDescent="0.25">
      <c r="A14" s="1215" t="s">
        <v>1597</v>
      </c>
      <c r="B14" s="1215"/>
      <c r="C14" s="1215"/>
      <c r="D14" s="1215"/>
      <c r="E14" s="1215"/>
      <c r="F14" s="1215"/>
      <c r="G14" s="1215"/>
      <c r="H14" s="1215"/>
      <c r="I14" s="1215"/>
      <c r="J14" s="1215"/>
      <c r="K14" s="1215"/>
      <c r="L14" s="1215"/>
      <c r="M14" s="1215"/>
      <c r="N14" s="127"/>
      <c r="O14" s="504"/>
    </row>
    <row r="15" spans="1:15" ht="21" customHeight="1" x14ac:dyDescent="0.25">
      <c r="A15" s="1213" t="s">
        <v>1375</v>
      </c>
      <c r="B15" s="1213"/>
      <c r="C15" s="1213"/>
      <c r="D15" s="1213"/>
      <c r="E15" s="1213"/>
      <c r="F15" s="1213"/>
      <c r="G15" s="1213"/>
      <c r="H15" s="1213"/>
      <c r="I15" s="1213"/>
      <c r="J15" s="1213"/>
      <c r="K15" s="1213"/>
      <c r="L15" s="1213"/>
      <c r="M15" s="1213"/>
      <c r="N15" s="54"/>
      <c r="O15" s="29"/>
    </row>
    <row r="16" spans="1:15" ht="20" x14ac:dyDescent="0.35">
      <c r="A16" s="186" t="str">
        <f>TRIM(LEFT(A$10,3))&amp;" error summary:"</f>
        <v>RSX error summary:</v>
      </c>
      <c r="B16" s="187"/>
      <c r="C16" s="187"/>
      <c r="D16" s="54"/>
      <c r="E16" s="188"/>
      <c r="F16" s="54"/>
      <c r="G16" s="54"/>
      <c r="H16" s="505"/>
      <c r="I16" s="254"/>
      <c r="J16" s="119"/>
      <c r="K16" s="54"/>
      <c r="L16" s="54"/>
      <c r="M16" s="54"/>
      <c r="N16" s="54"/>
      <c r="O16" s="29"/>
    </row>
    <row r="17" spans="1:30" ht="32.15" customHeight="1" x14ac:dyDescent="0.35">
      <c r="A17" s="498" t="str">
        <f>IF(AND(COUNTIF($M$31:$M$44,"Error")=0,COUNTIF($M$31:$M$44,"Warning")=0),("There are no outstanding errors or warnings with the "&amp;TRIM(LEFT(A$10,3))&amp;" section of the form. Thank you."),("There are "&amp;COUNTIF($M$31:$M$44,"Error")&amp;" outstanding error(s) and "&amp;COUNTIF($M$31:$M$44,"Warning")&amp;" outstanding warning(s) with the "&amp;TRIM(LEFT(A$10,3))&amp;" section of the form. Please resolve and/or explain these before submitting."))</f>
        <v>There are no outstanding errors or warnings with the RSX section of the form. Thank you.</v>
      </c>
      <c r="B17" s="499"/>
      <c r="C17" s="499"/>
      <c r="D17" s="499"/>
      <c r="E17" s="499"/>
      <c r="F17" s="499"/>
      <c r="G17" s="499"/>
      <c r="H17" s="499"/>
      <c r="I17" s="499"/>
      <c r="J17" s="499"/>
      <c r="K17" s="54"/>
      <c r="L17" s="54"/>
      <c r="M17" s="54"/>
      <c r="N17" s="54"/>
      <c r="O17" s="29"/>
      <c r="Z17" s="468" t="s">
        <v>1371</v>
      </c>
    </row>
    <row r="18" spans="1:30" ht="19.5" customHeight="1" x14ac:dyDescent="0.35">
      <c r="A18" s="191" t="str">
        <f>"Please note, your authority is only required to complete and return the following forms: "&amp;VLOOKUP(LA_name,LA_list,9,0)</f>
        <v>Please note, your authority is only required to complete and return the following forms: Forms to be completed will appear here !</v>
      </c>
      <c r="B18" s="192"/>
      <c r="C18" s="192"/>
      <c r="D18" s="190"/>
      <c r="E18" s="190"/>
      <c r="F18" s="190"/>
      <c r="G18" s="190"/>
      <c r="H18" s="190"/>
      <c r="I18" s="190"/>
      <c r="J18" s="119"/>
      <c r="K18" s="54"/>
      <c r="L18" s="54"/>
      <c r="M18" s="54"/>
      <c r="N18" s="54"/>
      <c r="O18" s="29"/>
    </row>
    <row r="19" spans="1:30" ht="12" customHeight="1" x14ac:dyDescent="0.35">
      <c r="A19" s="192"/>
      <c r="B19" s="192"/>
      <c r="C19" s="192"/>
      <c r="D19" s="190"/>
      <c r="E19" s="190"/>
      <c r="F19" s="190"/>
      <c r="G19" s="190"/>
      <c r="H19" s="190"/>
      <c r="I19" s="190"/>
      <c r="J19" s="119"/>
      <c r="K19" s="54"/>
      <c r="L19" s="54"/>
      <c r="M19" s="54"/>
      <c r="N19" s="54"/>
      <c r="O19" s="29"/>
    </row>
    <row r="20" spans="1:30" ht="25" x14ac:dyDescent="0.5">
      <c r="A20" s="137" t="str">
        <f>RS!$A$20</f>
        <v>Please select your authority name on Title page</v>
      </c>
      <c r="B20" s="59"/>
      <c r="C20" s="59"/>
      <c r="D20" s="235"/>
      <c r="E20" s="235"/>
      <c r="F20" s="235"/>
      <c r="G20" s="235"/>
      <c r="H20" s="235"/>
      <c r="I20" s="235"/>
      <c r="J20" s="119"/>
      <c r="K20" s="54"/>
      <c r="L20" s="54"/>
      <c r="M20" s="54"/>
      <c r="N20" s="54"/>
      <c r="O20" s="29"/>
    </row>
    <row r="21" spans="1:30" ht="18" x14ac:dyDescent="0.4">
      <c r="A21" s="139" t="str">
        <f>ContactDetails!C25</f>
        <v>E-code</v>
      </c>
      <c r="B21" s="60"/>
      <c r="C21" s="60"/>
      <c r="D21" s="235"/>
      <c r="E21" s="235"/>
      <c r="F21" s="235"/>
      <c r="G21" s="235"/>
      <c r="H21" s="235"/>
      <c r="I21" s="235"/>
      <c r="J21" s="119"/>
      <c r="K21" s="54"/>
      <c r="L21" s="54"/>
      <c r="M21" s="54"/>
      <c r="N21" s="54"/>
      <c r="O21" s="29"/>
    </row>
    <row r="22" spans="1:30" ht="18" customHeight="1" x14ac:dyDescent="0.3">
      <c r="A22" s="54"/>
      <c r="B22" s="54"/>
      <c r="C22" s="54"/>
      <c r="D22" s="235"/>
      <c r="E22" s="235"/>
      <c r="F22" s="235"/>
      <c r="G22" s="235"/>
      <c r="H22" s="235"/>
      <c r="I22" s="235"/>
      <c r="J22" s="119"/>
      <c r="K22" s="54"/>
      <c r="L22" s="54"/>
      <c r="M22" s="54"/>
      <c r="N22" s="54"/>
      <c r="O22" s="29"/>
    </row>
    <row r="23" spans="1:30" ht="15.5" x14ac:dyDescent="0.35">
      <c r="A23" s="193"/>
      <c r="B23" s="193"/>
      <c r="C23" s="193"/>
      <c r="D23" s="194"/>
      <c r="E23" s="194"/>
      <c r="F23" s="89"/>
      <c r="G23" s="235"/>
      <c r="H23" s="235"/>
      <c r="I23" s="235"/>
      <c r="J23" s="119"/>
      <c r="K23" s="54"/>
      <c r="L23" s="54"/>
      <c r="M23" s="54"/>
      <c r="N23" s="54"/>
      <c r="O23" s="29"/>
    </row>
    <row r="24" spans="1:30" ht="15.5" x14ac:dyDescent="0.35">
      <c r="A24" s="54"/>
      <c r="B24" s="54"/>
      <c r="C24" s="54"/>
      <c r="D24" s="539"/>
      <c r="E24" s="236" t="s">
        <v>1598</v>
      </c>
      <c r="F24" s="236" t="s">
        <v>1599</v>
      </c>
      <c r="G24" s="236" t="s">
        <v>1600</v>
      </c>
      <c r="H24" s="236" t="s">
        <v>1370</v>
      </c>
      <c r="I24" s="236" t="s">
        <v>1599</v>
      </c>
      <c r="J24" s="236" t="s">
        <v>1601</v>
      </c>
      <c r="K24" s="54"/>
      <c r="L24" s="54"/>
      <c r="M24" s="54"/>
      <c r="N24" s="54"/>
      <c r="O24" s="29"/>
    </row>
    <row r="25" spans="1:30" ht="15.5" x14ac:dyDescent="0.35">
      <c r="A25" s="540" t="s">
        <v>84</v>
      </c>
      <c r="B25" s="540"/>
      <c r="C25" s="540"/>
      <c r="D25" s="236" t="s">
        <v>1602</v>
      </c>
      <c r="E25" s="236" t="s">
        <v>1603</v>
      </c>
      <c r="F25" s="236" t="s">
        <v>1604</v>
      </c>
      <c r="G25" s="236" t="s">
        <v>1605</v>
      </c>
      <c r="H25" s="236" t="s">
        <v>1606</v>
      </c>
      <c r="I25" s="236" t="s">
        <v>1606</v>
      </c>
      <c r="J25" s="236" t="s">
        <v>1604</v>
      </c>
      <c r="K25" s="54"/>
      <c r="L25" s="54"/>
      <c r="M25" s="54"/>
      <c r="N25" s="54"/>
      <c r="O25" s="29"/>
    </row>
    <row r="26" spans="1:30" ht="15.5" x14ac:dyDescent="0.35">
      <c r="A26" s="54"/>
      <c r="B26" s="54"/>
      <c r="C26" s="54"/>
      <c r="D26" s="335" t="s">
        <v>1378</v>
      </c>
      <c r="E26" s="335" t="s">
        <v>1378</v>
      </c>
      <c r="F26" s="335" t="s">
        <v>1378</v>
      </c>
      <c r="G26" s="335" t="s">
        <v>1378</v>
      </c>
      <c r="H26" s="335" t="s">
        <v>1378</v>
      </c>
      <c r="I26" s="335" t="s">
        <v>1378</v>
      </c>
      <c r="J26" s="335" t="s">
        <v>1378</v>
      </c>
      <c r="K26" s="54"/>
      <c r="L26" s="54"/>
      <c r="M26" s="54"/>
      <c r="N26" s="54"/>
      <c r="O26" s="29"/>
    </row>
    <row r="27" spans="1:30" ht="15.5" x14ac:dyDescent="0.35">
      <c r="A27" s="54"/>
      <c r="B27" s="54"/>
      <c r="C27" s="54"/>
      <c r="D27" s="335"/>
      <c r="E27" s="335"/>
      <c r="F27" s="335"/>
      <c r="G27" s="335"/>
      <c r="H27" s="335"/>
      <c r="I27" s="335"/>
      <c r="J27" s="335"/>
      <c r="K27" s="54"/>
      <c r="L27" s="54"/>
      <c r="M27" s="54"/>
      <c r="N27" s="54"/>
      <c r="O27" s="29"/>
    </row>
    <row r="28" spans="1:30" ht="13" x14ac:dyDescent="0.3">
      <c r="A28" s="54"/>
      <c r="B28" s="237"/>
      <c r="C28" s="237"/>
      <c r="D28" s="238" t="s">
        <v>1379</v>
      </c>
      <c r="E28" s="238" t="s">
        <v>1607</v>
      </c>
      <c r="F28" s="238" t="s">
        <v>1608</v>
      </c>
      <c r="G28" s="238" t="s">
        <v>1609</v>
      </c>
      <c r="H28" s="238" t="s">
        <v>1610</v>
      </c>
      <c r="I28" s="238" t="s">
        <v>1611</v>
      </c>
      <c r="J28" s="238" t="s">
        <v>1612</v>
      </c>
      <c r="K28" s="54"/>
      <c r="L28" s="54"/>
      <c r="M28" s="54"/>
      <c r="N28" s="54"/>
      <c r="O28" s="28"/>
    </row>
    <row r="29" spans="1:30" ht="13" x14ac:dyDescent="0.3">
      <c r="A29" s="239"/>
      <c r="B29" s="239"/>
      <c r="C29" s="239"/>
      <c r="D29" s="54"/>
      <c r="E29" s="54"/>
      <c r="F29" s="240"/>
      <c r="G29" s="240"/>
      <c r="H29" s="240"/>
      <c r="I29" s="240"/>
      <c r="J29" s="240"/>
      <c r="K29" s="54"/>
      <c r="L29" s="54"/>
      <c r="M29" s="54"/>
      <c r="N29" s="54"/>
      <c r="O29" s="9"/>
      <c r="AB29" s="461"/>
    </row>
    <row r="30" spans="1:30" ht="13" x14ac:dyDescent="0.3">
      <c r="A30" s="540"/>
      <c r="B30" s="540"/>
      <c r="C30" s="540"/>
      <c r="D30" s="240"/>
      <c r="E30" s="240"/>
      <c r="F30" s="240"/>
      <c r="G30" s="240"/>
      <c r="H30" s="240"/>
      <c r="I30" s="240"/>
      <c r="J30" s="240"/>
      <c r="K30" s="54"/>
      <c r="L30" s="54"/>
      <c r="M30" s="54"/>
      <c r="N30" s="54"/>
      <c r="O30" s="29"/>
      <c r="AB30" s="461"/>
      <c r="AC30" s="461"/>
      <c r="AD30" s="461"/>
    </row>
    <row r="31" spans="1:30" ht="17.5" x14ac:dyDescent="0.35">
      <c r="A31" s="241">
        <v>190</v>
      </c>
      <c r="B31" s="242" t="s">
        <v>1391</v>
      </c>
      <c r="C31" s="237"/>
      <c r="D31" s="663">
        <f>'RO1'!D40</f>
        <v>0</v>
      </c>
      <c r="E31" s="663">
        <f>'RO1'!E40</f>
        <v>0</v>
      </c>
      <c r="F31" s="663">
        <f>'RO1'!F40</f>
        <v>0</v>
      </c>
      <c r="G31" s="663">
        <f>'RO1'!G40</f>
        <v>0</v>
      </c>
      <c r="H31" s="663">
        <f>'RO1'!H40</f>
        <v>0</v>
      </c>
      <c r="I31" s="663">
        <f>'RO1'!I40</f>
        <v>0</v>
      </c>
      <c r="J31" s="663">
        <f>'RO1'!J40</f>
        <v>0</v>
      </c>
      <c r="K31" s="54"/>
      <c r="L31" s="54"/>
      <c r="M31" s="243" t="str">
        <f>IF($J31&lt;&gt;'RO1'!$J$40,"Error","")</f>
        <v/>
      </c>
      <c r="N31" s="244"/>
      <c r="O31" s="136" t="str">
        <f>IF($J31&lt;&gt;'RO1'!$J$40,"RSX figure does not match the total given in RO"&amp;LEFT(A31,1)&amp;". Please resolve this.","")</f>
        <v/>
      </c>
    </row>
    <row r="32" spans="1:30" ht="17.5" x14ac:dyDescent="0.35">
      <c r="A32" s="241">
        <v>290</v>
      </c>
      <c r="B32" s="242" t="s">
        <v>1393</v>
      </c>
      <c r="C32" s="237"/>
      <c r="D32" s="663">
        <f>'RO2'!D64</f>
        <v>0</v>
      </c>
      <c r="E32" s="663">
        <f>'RO2'!E64</f>
        <v>0</v>
      </c>
      <c r="F32" s="663">
        <f>'RO2'!F64</f>
        <v>0</v>
      </c>
      <c r="G32" s="663">
        <f>'RO2'!G64</f>
        <v>0</v>
      </c>
      <c r="H32" s="663">
        <f>'RO2'!H64</f>
        <v>0</v>
      </c>
      <c r="I32" s="663">
        <f>'RO2'!I64</f>
        <v>0</v>
      </c>
      <c r="J32" s="663">
        <f>'RO2'!J64</f>
        <v>0</v>
      </c>
      <c r="K32" s="54"/>
      <c r="L32" s="54"/>
      <c r="M32" s="243" t="str">
        <f>IF($J32&lt;&gt;'RO2'!$J$64,"Error","")</f>
        <v/>
      </c>
      <c r="N32" s="244"/>
      <c r="O32" s="136" t="str">
        <f>IF($J32&lt;&gt;'RO2'!$J$64,"RSX figure does not match the total given in RO"&amp;LEFT(A32,1)&amp;". Please resolve this.","")</f>
        <v/>
      </c>
    </row>
    <row r="33" spans="1:15" ht="17.5" x14ac:dyDescent="0.35">
      <c r="A33" s="241">
        <v>330</v>
      </c>
      <c r="B33" s="242" t="s">
        <v>1395</v>
      </c>
      <c r="C33" s="237"/>
      <c r="D33" s="663">
        <f>'RO3'!D44</f>
        <v>0</v>
      </c>
      <c r="E33" s="663">
        <f>'RO3'!E44</f>
        <v>0</v>
      </c>
      <c r="F33" s="663">
        <f>'RO3'!F44</f>
        <v>0</v>
      </c>
      <c r="G33" s="663">
        <f>'RO3'!G44</f>
        <v>0</v>
      </c>
      <c r="H33" s="663">
        <f>'RO3'!H44</f>
        <v>0</v>
      </c>
      <c r="I33" s="663">
        <f>'RO3'!I44</f>
        <v>0</v>
      </c>
      <c r="J33" s="663">
        <f>'RO3'!J44</f>
        <v>0</v>
      </c>
      <c r="K33" s="4"/>
      <c r="L33" s="4"/>
      <c r="M33" s="243" t="str">
        <f>IF($J33&lt;&gt;'RO3'!$J$44,"Error","")</f>
        <v/>
      </c>
      <c r="N33" s="244"/>
      <c r="O33" s="136" t="str">
        <f>IF($J33&lt;&gt;'RO3'!$J$44,"RSX figure does not match the total given in RO"&amp;LEFT(A33,1)&amp;". Please resolve this.","")</f>
        <v/>
      </c>
    </row>
    <row r="34" spans="1:15" ht="17.5" x14ac:dyDescent="0.35">
      <c r="A34" s="241">
        <v>360</v>
      </c>
      <c r="B34" s="242" t="s">
        <v>1397</v>
      </c>
      <c r="C34" s="237"/>
      <c r="D34" s="663">
        <f>'RO3'!D83</f>
        <v>0</v>
      </c>
      <c r="E34" s="663">
        <f>'RO3'!E83</f>
        <v>0</v>
      </c>
      <c r="F34" s="663">
        <f>'RO3'!F83</f>
        <v>0</v>
      </c>
      <c r="G34" s="663">
        <f>'RO3'!G83</f>
        <v>0</v>
      </c>
      <c r="H34" s="663">
        <f>'RO3'!H83</f>
        <v>0</v>
      </c>
      <c r="I34" s="663">
        <f>'RO3'!I83</f>
        <v>0</v>
      </c>
      <c r="J34" s="663">
        <f>'RO3'!J83</f>
        <v>0</v>
      </c>
      <c r="K34" s="4"/>
      <c r="L34" s="4"/>
      <c r="M34" s="243" t="str">
        <f>IF($J34&lt;&gt;'RO3'!$J$83,"Error","")</f>
        <v/>
      </c>
      <c r="N34" s="244"/>
      <c r="O34" s="136" t="str">
        <f>IF($J34&lt;&gt;'RO3'!$J$83,"RSX figure does not match the total given in RO"&amp;LEFT(A34,1)&amp;". Please resolve this.","")</f>
        <v/>
      </c>
    </row>
    <row r="35" spans="1:15" ht="17.5" x14ac:dyDescent="0.35">
      <c r="A35" s="241">
        <v>390</v>
      </c>
      <c r="B35" s="242" t="s">
        <v>1399</v>
      </c>
      <c r="C35" s="237"/>
      <c r="D35" s="663">
        <f>'RO3'!D117</f>
        <v>0</v>
      </c>
      <c r="E35" s="663">
        <f>'RO3'!E117</f>
        <v>0</v>
      </c>
      <c r="F35" s="663">
        <f>'RO3'!F117</f>
        <v>0</v>
      </c>
      <c r="G35" s="663">
        <f>'RO3'!G117</f>
        <v>0</v>
      </c>
      <c r="H35" s="663">
        <f>'RO3'!H117</f>
        <v>0</v>
      </c>
      <c r="I35" s="663">
        <f>'RO3'!I117</f>
        <v>0</v>
      </c>
      <c r="J35" s="663">
        <f>'RO3'!J117</f>
        <v>0</v>
      </c>
      <c r="K35" s="4"/>
      <c r="L35" s="4"/>
      <c r="M35" s="243" t="str">
        <f>IF($J35&lt;&gt;'RO3'!$J$117,"Error","")</f>
        <v/>
      </c>
      <c r="N35" s="244"/>
      <c r="O35" s="136" t="str">
        <f>IF($J35&lt;&gt;'RO3'!$J$117,"RSX figure does not match the total given in RO"&amp;LEFT(A35,1)&amp;". Please resolve this.","")</f>
        <v/>
      </c>
    </row>
    <row r="36" spans="1:15" ht="17.5" x14ac:dyDescent="0.35">
      <c r="A36" s="241">
        <v>490</v>
      </c>
      <c r="B36" s="242" t="s">
        <v>1401</v>
      </c>
      <c r="C36" s="237"/>
      <c r="D36" s="663">
        <f>'RO4'!D64</f>
        <v>0</v>
      </c>
      <c r="E36" s="663">
        <f>'RO4'!E64</f>
        <v>0</v>
      </c>
      <c r="F36" s="663">
        <f>'RO4'!F64</f>
        <v>0</v>
      </c>
      <c r="G36" s="663">
        <f>'RO4'!G64</f>
        <v>0</v>
      </c>
      <c r="H36" s="663">
        <f>'RO4'!H64</f>
        <v>0</v>
      </c>
      <c r="I36" s="663">
        <f>'RO4'!I64</f>
        <v>0</v>
      </c>
      <c r="J36" s="663">
        <f>'RO4'!J64</f>
        <v>0</v>
      </c>
      <c r="K36" s="54"/>
      <c r="L36" s="54"/>
      <c r="M36" s="243" t="str">
        <f>IF($J36&lt;&gt;'RO4'!$J$64,"Error","")</f>
        <v/>
      </c>
      <c r="N36" s="244"/>
      <c r="O36" s="136" t="str">
        <f>IF($J36&lt;&gt;'RO4'!$J$64,"RSX figure does not match the total given in RO"&amp;LEFT(A36,1)&amp;". Please resolve this.","")</f>
        <v/>
      </c>
    </row>
    <row r="37" spans="1:15" ht="17.5" x14ac:dyDescent="0.35">
      <c r="A37" s="241">
        <v>509</v>
      </c>
      <c r="B37" s="242" t="s">
        <v>1403</v>
      </c>
      <c r="C37" s="237"/>
      <c r="D37" s="663">
        <f>'RO5'!D52</f>
        <v>0</v>
      </c>
      <c r="E37" s="663">
        <f>'RO5'!E52</f>
        <v>0</v>
      </c>
      <c r="F37" s="663">
        <f>'RO5'!F52</f>
        <v>0</v>
      </c>
      <c r="G37" s="663">
        <f>'RO5'!G52</f>
        <v>0</v>
      </c>
      <c r="H37" s="663">
        <f>'RO5'!H52</f>
        <v>0</v>
      </c>
      <c r="I37" s="663">
        <f>'RO5'!I52</f>
        <v>0</v>
      </c>
      <c r="J37" s="663">
        <f>'RO5'!J52</f>
        <v>0</v>
      </c>
      <c r="K37" s="54"/>
      <c r="L37" s="54"/>
      <c r="M37" s="243" t="str">
        <f>IF($J37&lt;&gt;'RO5'!$J$52,"Error","")</f>
        <v/>
      </c>
      <c r="N37" s="244"/>
      <c r="O37" s="136" t="str">
        <f>IF($J37&lt;&gt;'RO5'!$J$52,"RSX figure does not match the total given in RO"&amp;LEFT(A37,1)&amp;". Please resolve this.","")</f>
        <v/>
      </c>
    </row>
    <row r="38" spans="1:15" ht="17.5" x14ac:dyDescent="0.35">
      <c r="A38" s="245">
        <v>590</v>
      </c>
      <c r="B38" s="242" t="s">
        <v>1405</v>
      </c>
      <c r="C38" s="237"/>
      <c r="D38" s="663">
        <f>'RO5'!D100</f>
        <v>0</v>
      </c>
      <c r="E38" s="663">
        <f>'RO5'!E100</f>
        <v>0</v>
      </c>
      <c r="F38" s="663">
        <f>'RO5'!F100</f>
        <v>0</v>
      </c>
      <c r="G38" s="663">
        <f>'RO5'!G100</f>
        <v>0</v>
      </c>
      <c r="H38" s="663">
        <f>'RO5'!H100</f>
        <v>0</v>
      </c>
      <c r="I38" s="663">
        <f>'RO5'!I100</f>
        <v>0</v>
      </c>
      <c r="J38" s="663">
        <f>'RO5'!J100</f>
        <v>0</v>
      </c>
      <c r="K38" s="54"/>
      <c r="L38" s="54"/>
      <c r="M38" s="243" t="str">
        <f>IF($J38&lt;&gt;'RO5'!$J$100,"Error","")</f>
        <v/>
      </c>
      <c r="N38" s="244"/>
      <c r="O38" s="136" t="str">
        <f>IF($J38&lt;&gt;'RO5'!$J$100,"RSX figure does not match the total given in RO"&amp;LEFT(A38,1)&amp;". Please resolve this.","")</f>
        <v/>
      </c>
    </row>
    <row r="39" spans="1:15" ht="17.5" x14ac:dyDescent="0.35">
      <c r="A39" s="241">
        <v>599</v>
      </c>
      <c r="B39" s="242" t="s">
        <v>1407</v>
      </c>
      <c r="C39" s="237"/>
      <c r="D39" s="663">
        <f>'RO5'!D124</f>
        <v>0</v>
      </c>
      <c r="E39" s="663">
        <f>'RO5'!E124</f>
        <v>0</v>
      </c>
      <c r="F39" s="663">
        <f>'RO5'!F124</f>
        <v>0</v>
      </c>
      <c r="G39" s="663">
        <f>'RO5'!G124</f>
        <v>0</v>
      </c>
      <c r="H39" s="663">
        <f>'RO5'!H124</f>
        <v>0</v>
      </c>
      <c r="I39" s="663">
        <f>'RO5'!I124</f>
        <v>0</v>
      </c>
      <c r="J39" s="663">
        <f>'RO5'!J124</f>
        <v>0</v>
      </c>
      <c r="K39" s="54"/>
      <c r="L39" s="54"/>
      <c r="M39" s="243" t="str">
        <f>IF($J39&lt;&gt;'RO5'!$J$124,"Error","")</f>
        <v/>
      </c>
      <c r="N39" s="244"/>
      <c r="O39" s="136" t="str">
        <f>IF($J39&lt;&gt;'RO5'!$J$124,"RSX figure does not match the total given in RO"&amp;LEFT(A39,1)&amp;". Please resolve this.","")</f>
        <v/>
      </c>
    </row>
    <row r="40" spans="1:15" ht="17.5" x14ac:dyDescent="0.35">
      <c r="A40" s="241">
        <v>601</v>
      </c>
      <c r="B40" s="242" t="s">
        <v>1409</v>
      </c>
      <c r="C40" s="237"/>
      <c r="D40" s="663">
        <f>'RO6'!D32</f>
        <v>0</v>
      </c>
      <c r="E40" s="663">
        <f>'RO6'!E32</f>
        <v>0</v>
      </c>
      <c r="F40" s="663">
        <f>'RO6'!F32</f>
        <v>0</v>
      </c>
      <c r="G40" s="663">
        <f>'RO6'!G32</f>
        <v>0</v>
      </c>
      <c r="H40" s="663">
        <f>'RO6'!H32</f>
        <v>0</v>
      </c>
      <c r="I40" s="663">
        <f>'RO6'!I32</f>
        <v>0</v>
      </c>
      <c r="J40" s="663">
        <f>'RO6'!J32</f>
        <v>0</v>
      </c>
      <c r="K40" s="54"/>
      <c r="L40" s="54"/>
      <c r="M40" s="243" t="str">
        <f>IF($J40&lt;&gt;'RO6'!$J$32,"Error","")</f>
        <v/>
      </c>
      <c r="N40" s="244"/>
      <c r="O40" s="136" t="str">
        <f>IF($J40&lt;&gt;'RO6'!$J$32,"RSX figure does not match the total given in RO"&amp;LEFT(A40,1)&amp;". Please resolve this.","")</f>
        <v/>
      </c>
    </row>
    <row r="41" spans="1:15" ht="17.5" x14ac:dyDescent="0.35">
      <c r="A41" s="241">
        <v>602</v>
      </c>
      <c r="B41" s="242" t="s">
        <v>1411</v>
      </c>
      <c r="C41" s="237"/>
      <c r="D41" s="663">
        <f>'RO6'!D42</f>
        <v>0</v>
      </c>
      <c r="E41" s="663">
        <f>'RO6'!E42</f>
        <v>0</v>
      </c>
      <c r="F41" s="663">
        <f>'RO6'!F42</f>
        <v>0</v>
      </c>
      <c r="G41" s="663">
        <f>'RO6'!G42</f>
        <v>0</v>
      </c>
      <c r="H41" s="663">
        <f>'RO6'!H42</f>
        <v>0</v>
      </c>
      <c r="I41" s="663">
        <f>'RO6'!I42</f>
        <v>0</v>
      </c>
      <c r="J41" s="663">
        <f>'RO6'!J42</f>
        <v>0</v>
      </c>
      <c r="K41" s="54"/>
      <c r="L41" s="54"/>
      <c r="M41" s="243" t="str">
        <f>IF($J41&lt;&gt;'RO6'!$J$42,"Error","")</f>
        <v/>
      </c>
      <c r="N41" s="244"/>
      <c r="O41" s="136" t="str">
        <f>IF($J41&lt;&gt;'RO6'!$J$42,"RSX figure does not match the total given in RO"&amp;LEFT(A41,1)&amp;". Please resolve this.","")</f>
        <v/>
      </c>
    </row>
    <row r="42" spans="1:15" ht="17.5" x14ac:dyDescent="0.35">
      <c r="A42" s="241">
        <v>690</v>
      </c>
      <c r="B42" s="242" t="s">
        <v>1413</v>
      </c>
      <c r="C42" s="237"/>
      <c r="D42" s="663">
        <f>'RO6'!D86</f>
        <v>0</v>
      </c>
      <c r="E42" s="663">
        <f>'RO6'!E86</f>
        <v>0</v>
      </c>
      <c r="F42" s="663">
        <f>'RO6'!F86</f>
        <v>0</v>
      </c>
      <c r="G42" s="663">
        <f>'RO6'!G86</f>
        <v>0</v>
      </c>
      <c r="H42" s="663">
        <f>'RO6'!H86</f>
        <v>0</v>
      </c>
      <c r="I42" s="663">
        <f>'RO6'!I86</f>
        <v>0</v>
      </c>
      <c r="J42" s="663">
        <f>'RO6'!J86</f>
        <v>0</v>
      </c>
      <c r="K42" s="54"/>
      <c r="L42" s="54"/>
      <c r="M42" s="243" t="str">
        <f>IF($J42&lt;&gt;'RO6'!$J$86,"Error","")</f>
        <v/>
      </c>
      <c r="N42" s="244"/>
      <c r="O42" s="136" t="str">
        <f>IF($J42&lt;&gt;'RO6'!$J$86,"RSX figure does not match the total given in RO"&amp;LEFT(A42,1)&amp;". Please resolve this.","")</f>
        <v/>
      </c>
    </row>
    <row r="43" spans="1:15" ht="17.5" x14ac:dyDescent="0.35">
      <c r="A43" s="241">
        <v>698</v>
      </c>
      <c r="B43" s="242" t="s">
        <v>1415</v>
      </c>
      <c r="C43" s="237"/>
      <c r="D43" s="663">
        <f>'RO6'!D100</f>
        <v>0</v>
      </c>
      <c r="E43" s="663">
        <f>'RO6'!E100</f>
        <v>0</v>
      </c>
      <c r="F43" s="663">
        <f>'RO6'!F100</f>
        <v>0</v>
      </c>
      <c r="G43" s="663">
        <f>'RO6'!G100</f>
        <v>0</v>
      </c>
      <c r="H43" s="663">
        <f>'RO6'!H100</f>
        <v>0</v>
      </c>
      <c r="I43" s="663">
        <f>'RO6'!I100</f>
        <v>0</v>
      </c>
      <c r="J43" s="663">
        <f>'RO6'!J100</f>
        <v>0</v>
      </c>
      <c r="K43" s="54"/>
      <c r="L43" s="54"/>
      <c r="M43" s="243" t="str">
        <f>IF($J43&lt;&gt;'RO6'!$J$100,"Error","")</f>
        <v/>
      </c>
      <c r="N43" s="244"/>
      <c r="O43" s="136" t="str">
        <f>IF($J43&lt;&gt;'RO6'!$J$100,"RSX figure does not match the total given in RO"&amp;LEFT(A43,1)&amp;". Please resolve this.","")</f>
        <v/>
      </c>
    </row>
    <row r="44" spans="1:15" ht="18" x14ac:dyDescent="0.4">
      <c r="A44" s="246">
        <v>699</v>
      </c>
      <c r="B44" s="247" t="s">
        <v>1613</v>
      </c>
      <c r="C44" s="237"/>
      <c r="D44" s="664">
        <f>SUM(D31:D43)</f>
        <v>0</v>
      </c>
      <c r="E44" s="664">
        <f t="shared" ref="E44:J44" si="0">SUM(E31:E43)</f>
        <v>0</v>
      </c>
      <c r="F44" s="664">
        <f t="shared" si="0"/>
        <v>0</v>
      </c>
      <c r="G44" s="664">
        <f t="shared" si="0"/>
        <v>0</v>
      </c>
      <c r="H44" s="664">
        <f t="shared" si="0"/>
        <v>0</v>
      </c>
      <c r="I44" s="664">
        <f t="shared" si="0"/>
        <v>0</v>
      </c>
      <c r="J44" s="664">
        <f t="shared" si="0"/>
        <v>0</v>
      </c>
      <c r="K44" s="54"/>
      <c r="L44" s="54"/>
      <c r="M44" s="243" t="str">
        <f>IF($J44&lt;&gt;RS!$E$42,"Error","")</f>
        <v/>
      </c>
      <c r="N44" s="244"/>
      <c r="O44" s="136" t="str">
        <f>IF($J44&lt;&gt;RS!$E$42,"RSX figure does not match the total given in RS. Please resolve this.","")</f>
        <v/>
      </c>
    </row>
    <row r="45" spans="1:15" ht="13" x14ac:dyDescent="0.3">
      <c r="A45" s="54"/>
      <c r="B45" s="221" t="s">
        <v>1614</v>
      </c>
      <c r="C45" s="237"/>
      <c r="D45" s="54"/>
      <c r="E45" s="54"/>
      <c r="F45" s="54"/>
      <c r="G45" s="54"/>
      <c r="H45" s="54"/>
      <c r="I45" s="54"/>
      <c r="J45" s="54"/>
      <c r="K45" s="54"/>
      <c r="L45" s="54"/>
      <c r="M45" s="54"/>
      <c r="N45" s="54"/>
      <c r="O45" s="29"/>
    </row>
    <row r="46" spans="1:15" ht="13" x14ac:dyDescent="0.3">
      <c r="A46" s="54"/>
      <c r="B46" s="221"/>
      <c r="C46" s="237"/>
      <c r="D46" s="54"/>
      <c r="E46" s="54"/>
      <c r="F46" s="54"/>
      <c r="G46" s="54"/>
      <c r="H46" s="54"/>
      <c r="I46" s="54"/>
      <c r="J46" s="54"/>
      <c r="K46" s="54"/>
      <c r="L46" s="54"/>
      <c r="M46" s="54"/>
      <c r="N46" s="54"/>
      <c r="O46" s="29"/>
    </row>
    <row r="47" spans="1:15" x14ac:dyDescent="0.25">
      <c r="A47" s="112"/>
      <c r="B47" s="112"/>
      <c r="C47" s="112"/>
      <c r="D47" s="112"/>
      <c r="E47" s="112"/>
      <c r="F47" s="112"/>
      <c r="G47" s="112"/>
      <c r="H47" s="112"/>
      <c r="I47" s="112"/>
      <c r="J47" s="112"/>
      <c r="K47" s="112"/>
      <c r="L47" s="112"/>
      <c r="M47" s="112"/>
      <c r="N47" s="112"/>
    </row>
    <row r="48" spans="1:15" x14ac:dyDescent="0.25">
      <c r="A48" s="112"/>
      <c r="B48" s="112"/>
      <c r="C48" s="112"/>
      <c r="D48" s="112"/>
      <c r="E48" s="112"/>
      <c r="F48" s="112"/>
      <c r="G48" s="112"/>
      <c r="H48" s="112"/>
      <c r="I48" s="112"/>
      <c r="J48" s="112"/>
      <c r="K48" s="112"/>
      <c r="L48" s="112"/>
      <c r="M48" s="112"/>
      <c r="N48" s="112"/>
    </row>
    <row r="49" x14ac:dyDescent="0.25"/>
    <row r="50" x14ac:dyDescent="0.25"/>
  </sheetData>
  <sheetProtection sheet="1" objects="1" scenarios="1"/>
  <mergeCells count="6">
    <mergeCell ref="A15:M15"/>
    <mergeCell ref="A1:N1"/>
    <mergeCell ref="A10:M10"/>
    <mergeCell ref="A9:M9"/>
    <mergeCell ref="A12:M12"/>
    <mergeCell ref="A14:M14"/>
  </mergeCells>
  <phoneticPr fontId="0" type="noConversion"/>
  <conditionalFormatting sqref="A17">
    <cfRule type="containsText" dxfId="162" priority="19" operator="containsText" text="resolve">
      <formula>NOT(ISERROR(SEARCH("resolve",A17)))</formula>
    </cfRule>
  </conditionalFormatting>
  <conditionalFormatting sqref="B17">
    <cfRule type="expression" dxfId="161" priority="9">
      <formula>ISNUMBER(SEARCH(Z17,A17))</formula>
    </cfRule>
  </conditionalFormatting>
  <conditionalFormatting sqref="C17">
    <cfRule type="expression" dxfId="160" priority="8">
      <formula>ISNUMBER(SEARCH(Z17,A17))</formula>
    </cfRule>
  </conditionalFormatting>
  <conditionalFormatting sqref="D17">
    <cfRule type="expression" dxfId="159" priority="7">
      <formula>ISNUMBER(SEARCH(Z17,A17))</formula>
    </cfRule>
  </conditionalFormatting>
  <conditionalFormatting sqref="E17">
    <cfRule type="expression" dxfId="158" priority="6">
      <formula>ISNUMBER(SEARCH(Z17,A17))</formula>
    </cfRule>
  </conditionalFormatting>
  <conditionalFormatting sqref="F17">
    <cfRule type="expression" dxfId="157" priority="5">
      <formula>ISNUMBER(SEARCH(Z17,A17))</formula>
    </cfRule>
  </conditionalFormatting>
  <conditionalFormatting sqref="G17">
    <cfRule type="expression" dxfId="156" priority="4">
      <formula>ISNUMBER(SEARCH(Z17,A17))</formula>
    </cfRule>
  </conditionalFormatting>
  <conditionalFormatting sqref="H17">
    <cfRule type="expression" dxfId="155" priority="3">
      <formula>ISNUMBER(SEARCH(Z17,A17))</formula>
    </cfRule>
  </conditionalFormatting>
  <conditionalFormatting sqref="I17">
    <cfRule type="expression" dxfId="154" priority="2">
      <formula>ISNUMBER(SEARCH(Z17,A17))</formula>
    </cfRule>
  </conditionalFormatting>
  <conditionalFormatting sqref="J17">
    <cfRule type="expression" dxfId="153" priority="1">
      <formula>ISNUMBER(SEARCH(Z17,A17))</formula>
    </cfRule>
  </conditionalFormatting>
  <conditionalFormatting sqref="M31:M44">
    <cfRule type="containsText" dxfId="152" priority="21" operator="containsText" text="Warning">
      <formula>NOT(ISERROR(SEARCH("Warning",M31)))</formula>
    </cfRule>
    <cfRule type="containsText" dxfId="151" priority="22" operator="containsText" text="Error">
      <formula>NOT(ISERROR(SEARCH("Error",M31)))</formula>
    </cfRule>
    <cfRule type="colorScale" priority="23">
      <colorScale>
        <cfvo type="min"/>
        <cfvo type="max"/>
        <color rgb="FFFF7128"/>
        <color rgb="FFFFEF9C"/>
      </colorScale>
    </cfRule>
  </conditionalFormatting>
  <printOptions horizontalCentered="1"/>
  <pageMargins left="0.39370078740157483" right="0.39370078740157483" top="0.39370078740157483" bottom="0.39370078740157483" header="0.19685039370078741" footer="0.19685039370078741"/>
  <pageSetup paperSize="9" scale="55" orientation="landscape" r:id="rId1"/>
  <headerFooter alignWithMargins="0"/>
  <ignoredErrors>
    <ignoredError sqref="D28:J28 D26:J26"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theme="8" tint="0.59999389629810485"/>
  </sheetPr>
  <dimension ref="A1:Z203"/>
  <sheetViews>
    <sheetView showGridLines="0" zoomScale="80" zoomScaleNormal="80" workbookViewId="0">
      <pane ySplit="1" topLeftCell="A2" activePane="bottomLeft" state="frozen"/>
      <selection pane="bottomLeft" sqref="A1:N1"/>
    </sheetView>
  </sheetViews>
  <sheetFormatPr defaultColWidth="0" defaultRowHeight="12.5" zeroHeight="1" x14ac:dyDescent="0.25"/>
  <cols>
    <col min="1" max="1" width="8.7265625" customWidth="1"/>
    <col min="2" max="2" width="85.7265625" customWidth="1"/>
    <col min="3" max="3" width="6.7265625" customWidth="1"/>
    <col min="4" max="10" width="16.7265625" customWidth="1"/>
    <col min="11" max="11" width="2.7265625" customWidth="1"/>
    <col min="12" max="13" width="16.7265625" customWidth="1"/>
    <col min="14" max="14" width="2.7265625" customWidth="1"/>
    <col min="15" max="15" width="12.54296875" customWidth="1"/>
    <col min="16" max="16" width="46.453125" customWidth="1"/>
    <col min="17" max="17" width="12.54296875" customWidth="1"/>
    <col min="18" max="16384" width="12.54296875" hidden="1"/>
  </cols>
  <sheetData>
    <row r="1" spans="1:17" ht="60" customHeight="1" x14ac:dyDescent="0.25">
      <c r="A1" s="1206" t="str">
        <f>ContactDetails!A36</f>
        <v>IMPORTANT: Please DO NOT alter this spreadsheet by inserting/deleting, merging any cells, or even using cut &amp; paste, as the data from this spreadsheet are directly transferred into the DLUHC database by a macro and these could break the references in the form.</v>
      </c>
      <c r="B1" s="1206"/>
      <c r="C1" s="1206"/>
      <c r="D1" s="1207"/>
      <c r="E1" s="1207"/>
      <c r="F1" s="1207"/>
      <c r="G1" s="1207"/>
      <c r="H1" s="1207"/>
      <c r="I1" s="1207"/>
      <c r="J1" s="1207"/>
      <c r="K1" s="1207"/>
      <c r="L1" s="1207"/>
      <c r="M1" s="1207"/>
      <c r="N1" s="1207"/>
      <c r="O1" s="3"/>
      <c r="P1" s="3"/>
      <c r="Q1" s="3"/>
    </row>
    <row r="2" spans="1:17" ht="12.75" customHeight="1" x14ac:dyDescent="0.35">
      <c r="A2" s="248"/>
      <c r="B2" s="249"/>
      <c r="C2" s="250"/>
      <c r="D2" s="232"/>
      <c r="E2" s="127"/>
      <c r="F2" s="54"/>
      <c r="G2" s="181"/>
      <c r="H2" s="112"/>
      <c r="I2" s="112"/>
      <c r="J2" s="112"/>
      <c r="K2" s="112"/>
      <c r="L2" s="112"/>
      <c r="M2" s="112"/>
      <c r="N2" s="112"/>
    </row>
    <row r="3" spans="1:17" ht="27.75" customHeight="1" x14ac:dyDescent="0.6">
      <c r="A3" s="248"/>
      <c r="B3" s="249"/>
      <c r="C3" s="250"/>
      <c r="D3" s="232"/>
      <c r="E3" s="127"/>
      <c r="F3" s="251"/>
      <c r="G3" s="112"/>
      <c r="H3" s="112"/>
      <c r="I3" s="112"/>
      <c r="J3" s="112"/>
      <c r="K3" s="112"/>
      <c r="L3" s="112"/>
      <c r="M3" s="182" t="str">
        <f>"RG "&amp;fyear</f>
        <v>RG 2022-23</v>
      </c>
      <c r="N3" s="112"/>
    </row>
    <row r="4" spans="1:17" ht="12.75" customHeight="1" x14ac:dyDescent="0.35">
      <c r="A4" s="248"/>
      <c r="B4" s="249"/>
      <c r="C4" s="250"/>
      <c r="D4" s="232"/>
      <c r="E4" s="127"/>
      <c r="F4" s="251"/>
      <c r="G4" s="127"/>
      <c r="H4" s="112"/>
      <c r="I4" s="112"/>
      <c r="J4" s="112"/>
      <c r="K4" s="112"/>
      <c r="L4" s="112"/>
      <c r="M4" s="112"/>
      <c r="N4" s="112"/>
    </row>
    <row r="5" spans="1:17" ht="12.75" customHeight="1" x14ac:dyDescent="0.35">
      <c r="A5" s="248"/>
      <c r="B5" s="249"/>
      <c r="C5" s="250"/>
      <c r="D5" s="232"/>
      <c r="E5" s="127"/>
      <c r="F5" s="251"/>
      <c r="G5" s="127"/>
      <c r="H5" s="112"/>
      <c r="I5" s="112"/>
      <c r="J5" s="112"/>
      <c r="K5" s="112"/>
      <c r="L5" s="112"/>
      <c r="M5" s="112"/>
      <c r="N5" s="112"/>
    </row>
    <row r="6" spans="1:17" ht="12.75" customHeight="1" x14ac:dyDescent="0.35">
      <c r="A6" s="248"/>
      <c r="B6" s="249"/>
      <c r="C6" s="250"/>
      <c r="D6" s="232"/>
      <c r="E6" s="127"/>
      <c r="F6" s="251"/>
      <c r="G6" s="127"/>
      <c r="H6" s="112"/>
      <c r="I6" s="112"/>
      <c r="J6" s="112"/>
      <c r="K6" s="112"/>
      <c r="L6" s="112"/>
      <c r="M6" s="112"/>
      <c r="N6" s="112"/>
    </row>
    <row r="7" spans="1:17" ht="12.75" customHeight="1" x14ac:dyDescent="0.35">
      <c r="A7" s="248"/>
      <c r="B7" s="249"/>
      <c r="C7" s="250"/>
      <c r="D7" s="232"/>
      <c r="E7" s="127"/>
      <c r="F7" s="251"/>
      <c r="G7" s="127"/>
      <c r="H7" s="112"/>
      <c r="I7" s="112"/>
      <c r="J7" s="112"/>
      <c r="K7" s="112"/>
      <c r="L7" s="112"/>
      <c r="M7" s="112"/>
      <c r="N7" s="112"/>
    </row>
    <row r="8" spans="1:17" ht="12.75" customHeight="1" x14ac:dyDescent="0.35">
      <c r="A8" s="248"/>
      <c r="B8" s="249"/>
      <c r="C8" s="250"/>
      <c r="D8" s="232"/>
      <c r="E8" s="127"/>
      <c r="F8" s="251"/>
      <c r="G8" s="127"/>
      <c r="H8" s="112"/>
      <c r="I8" s="112"/>
      <c r="J8" s="112"/>
      <c r="K8" s="112"/>
      <c r="L8" s="112"/>
      <c r="M8" s="112"/>
      <c r="N8" s="112"/>
    </row>
    <row r="9" spans="1:17" ht="33" customHeight="1" x14ac:dyDescent="0.25">
      <c r="A9" s="1195" t="str">
        <f>RS!$A$10</f>
        <v>General Fund Revenue Account Outturn</v>
      </c>
      <c r="B9" s="1195"/>
      <c r="C9" s="1195"/>
      <c r="D9" s="1195"/>
      <c r="E9" s="1195"/>
      <c r="F9" s="1195"/>
      <c r="G9" s="1195"/>
      <c r="H9" s="1195"/>
      <c r="I9" s="1195"/>
      <c r="J9" s="1195"/>
      <c r="K9" s="1195"/>
      <c r="L9" s="1195"/>
      <c r="M9" s="1195"/>
      <c r="N9" s="183"/>
      <c r="O9" s="132"/>
      <c r="P9" s="132"/>
      <c r="Q9" s="132"/>
    </row>
    <row r="10" spans="1:17" ht="33" customHeight="1" x14ac:dyDescent="0.25">
      <c r="A10" s="1195" t="str">
        <f>"RG – SPECIFIC AND SPECIAL REVENUE GRANTS "&amp;fyear</f>
        <v>RG – SPECIFIC AND SPECIAL REVENUE GRANTS 2022-23</v>
      </c>
      <c r="B10" s="1195"/>
      <c r="C10" s="1195"/>
      <c r="D10" s="1195"/>
      <c r="E10" s="1195"/>
      <c r="F10" s="1195"/>
      <c r="G10" s="1195"/>
      <c r="H10" s="1195"/>
      <c r="I10" s="1195"/>
      <c r="J10" s="1195"/>
      <c r="K10" s="1195"/>
      <c r="L10" s="1195"/>
      <c r="M10" s="1195"/>
      <c r="N10" s="183"/>
      <c r="O10" s="132"/>
      <c r="P10" s="132"/>
      <c r="Q10" s="132"/>
    </row>
    <row r="11" spans="1:17" ht="14.15" customHeight="1" x14ac:dyDescent="0.6">
      <c r="A11" s="184"/>
      <c r="B11" s="185"/>
      <c r="C11" s="185"/>
      <c r="D11" s="185"/>
      <c r="E11" s="185"/>
      <c r="F11" s="185"/>
      <c r="G11" s="185"/>
      <c r="H11" s="112"/>
      <c r="I11" s="112"/>
      <c r="J11" s="112"/>
      <c r="K11" s="112"/>
      <c r="L11" s="112"/>
      <c r="M11" s="112"/>
      <c r="N11" s="112"/>
    </row>
    <row r="12" spans="1:17" ht="18.75" customHeight="1" x14ac:dyDescent="0.4">
      <c r="A12" s="1165" t="s">
        <v>1373</v>
      </c>
      <c r="B12" s="1165"/>
      <c r="C12" s="1165"/>
      <c r="D12" s="1165"/>
      <c r="E12" s="1165"/>
      <c r="F12" s="1165"/>
      <c r="G12" s="1165"/>
      <c r="H12" s="1165"/>
      <c r="I12" s="1165"/>
      <c r="J12" s="1165"/>
      <c r="K12" s="1165"/>
      <c r="L12" s="1165"/>
      <c r="M12" s="1165"/>
      <c r="N12" s="112"/>
    </row>
    <row r="13" spans="1:17" ht="12" customHeight="1" x14ac:dyDescent="0.3">
      <c r="A13" s="54"/>
      <c r="B13" s="54"/>
      <c r="C13" s="54"/>
      <c r="D13" s="54"/>
      <c r="E13" s="54"/>
      <c r="F13" s="54"/>
      <c r="G13" s="54"/>
      <c r="H13" s="54"/>
      <c r="I13" s="54"/>
      <c r="J13" s="119"/>
      <c r="K13" s="54"/>
      <c r="L13" s="54"/>
      <c r="M13" s="54"/>
      <c r="N13" s="54"/>
      <c r="O13" s="29"/>
    </row>
    <row r="14" spans="1:17" ht="21" customHeight="1" x14ac:dyDescent="0.25">
      <c r="A14" s="1215"/>
      <c r="B14" s="1215"/>
      <c r="C14" s="1215"/>
      <c r="D14" s="1215"/>
      <c r="E14" s="1215"/>
      <c r="F14" s="1215"/>
      <c r="G14" s="1215"/>
      <c r="H14" s="1215"/>
      <c r="I14" s="1215"/>
      <c r="J14" s="1215"/>
      <c r="K14" s="1215"/>
      <c r="L14" s="1215"/>
      <c r="M14" s="1215"/>
      <c r="N14" s="127"/>
      <c r="O14" s="504"/>
    </row>
    <row r="15" spans="1:17" ht="21" customHeight="1" x14ac:dyDescent="0.25">
      <c r="A15" s="1213" t="s">
        <v>1375</v>
      </c>
      <c r="B15" s="1213"/>
      <c r="C15" s="1213"/>
      <c r="D15" s="1213"/>
      <c r="E15" s="1213"/>
      <c r="F15" s="1213"/>
      <c r="G15" s="1213"/>
      <c r="H15" s="1213"/>
      <c r="I15" s="1213"/>
      <c r="J15" s="1213"/>
      <c r="K15" s="1213"/>
      <c r="L15" s="1213"/>
      <c r="M15" s="1213"/>
      <c r="N15" s="54"/>
      <c r="O15" s="29"/>
    </row>
    <row r="16" spans="1:17" ht="20" x14ac:dyDescent="0.35">
      <c r="A16" s="186" t="str">
        <f>TRIM(LEFT(A$10,3))&amp;" error summary:"</f>
        <v>RG error summary:</v>
      </c>
      <c r="B16" s="187"/>
      <c r="C16" s="187"/>
      <c r="D16" s="54"/>
      <c r="E16" s="188"/>
      <c r="F16" s="54"/>
      <c r="G16" s="54"/>
      <c r="H16" s="505"/>
      <c r="I16" s="254"/>
      <c r="J16" s="119"/>
      <c r="K16" s="54"/>
      <c r="L16" s="54"/>
      <c r="M16" s="54"/>
      <c r="N16" s="54"/>
      <c r="O16" s="29"/>
    </row>
    <row r="17" spans="1:26" ht="32.15" customHeight="1" x14ac:dyDescent="0.35">
      <c r="A17" s="498" t="str">
        <f>IF(AND(COUNTIF($I$28:$I$78,"Error")=0,COUNTIF($I$28:$I$78,"Warning")=0),("There are no outstanding errors or warnings with the "&amp;TRIM(LEFT(A$10,3))&amp;" section of the form. Thank you."),("There are "&amp;COUNTIF($I$28:$I$78,"Error")&amp;" outstanding error(s) and "&amp;COUNTIF($I$28:$I$78,"Warning")&amp;" outstanding warning(s) with the "&amp;TRIM(LEFT(A$10,3))&amp;" section of the form. Please resolve and/or explain these before submitting."))</f>
        <v>There are no outstanding errors or warnings with the RG section of the form. Thank you.</v>
      </c>
      <c r="B17" s="499"/>
      <c r="C17" s="499"/>
      <c r="D17" s="499"/>
      <c r="E17" s="499"/>
      <c r="F17" s="499"/>
      <c r="G17" s="499"/>
      <c r="H17" s="499"/>
      <c r="I17" s="499"/>
      <c r="J17" s="499"/>
      <c r="K17" s="54"/>
      <c r="L17" s="54"/>
      <c r="M17" s="54"/>
      <c r="N17" s="54"/>
      <c r="O17" s="29"/>
      <c r="Z17" s="468" t="s">
        <v>1371</v>
      </c>
    </row>
    <row r="18" spans="1:26" ht="19.5" customHeight="1" x14ac:dyDescent="0.35">
      <c r="A18" s="191" t="str">
        <f>"Please note, your authority is only required to complete and return the following forms: "&amp;VLOOKUP(LA_name,LA_list,9,0)</f>
        <v>Please note, your authority is only required to complete and return the following forms: Forms to be completed will appear here !</v>
      </c>
      <c r="B18" s="192"/>
      <c r="C18" s="192"/>
      <c r="D18" s="190"/>
      <c r="E18" s="190"/>
      <c r="F18" s="190"/>
      <c r="G18" s="190"/>
      <c r="H18" s="190"/>
      <c r="I18" s="190"/>
      <c r="J18" s="119"/>
      <c r="K18" s="54"/>
      <c r="L18" s="54"/>
      <c r="M18" s="54"/>
      <c r="N18" s="54"/>
      <c r="O18" s="29"/>
    </row>
    <row r="19" spans="1:26" ht="12" customHeight="1" x14ac:dyDescent="0.35">
      <c r="A19" s="192"/>
      <c r="B19" s="192"/>
      <c r="C19" s="192"/>
      <c r="D19" s="190"/>
      <c r="E19" s="190"/>
      <c r="F19" s="190"/>
      <c r="G19" s="190"/>
      <c r="H19" s="190"/>
      <c r="I19" s="190"/>
      <c r="J19" s="119"/>
      <c r="K19" s="54"/>
      <c r="L19" s="54"/>
      <c r="M19" s="54"/>
      <c r="N19" s="54"/>
      <c r="O19" s="29"/>
    </row>
    <row r="20" spans="1:26" ht="25" x14ac:dyDescent="0.5">
      <c r="A20" s="137" t="str">
        <f>RS!$A$20</f>
        <v>Please select your authority name on Title page</v>
      </c>
      <c r="B20" s="69"/>
      <c r="C20" s="541"/>
      <c r="D20" s="541"/>
      <c r="E20" s="541"/>
      <c r="F20" s="251"/>
      <c r="G20" s="10"/>
      <c r="H20" s="253"/>
      <c r="I20" s="253"/>
      <c r="J20" s="254"/>
      <c r="K20" s="254"/>
      <c r="L20" s="254"/>
      <c r="M20" s="112"/>
      <c r="N20" s="112"/>
    </row>
    <row r="21" spans="1:26" ht="18" x14ac:dyDescent="0.4">
      <c r="A21" s="139" t="str">
        <f>ContactDetails!C25</f>
        <v>E-code</v>
      </c>
      <c r="B21" s="4"/>
      <c r="C21" s="4"/>
      <c r="D21" s="4"/>
      <c r="E21" s="541"/>
      <c r="F21" s="251"/>
      <c r="G21" s="542"/>
      <c r="H21" s="255"/>
      <c r="I21" s="255"/>
      <c r="J21" s="255"/>
      <c r="K21" s="255"/>
      <c r="L21" s="255"/>
      <c r="M21" s="112"/>
      <c r="N21" s="112"/>
    </row>
    <row r="22" spans="1:26" ht="18" customHeight="1" x14ac:dyDescent="0.35">
      <c r="B22" s="4"/>
      <c r="C22" s="4"/>
      <c r="D22" s="4"/>
      <c r="E22" s="541"/>
      <c r="F22" s="251"/>
      <c r="G22" s="10"/>
      <c r="H22" s="255"/>
      <c r="I22" s="255"/>
      <c r="J22" s="255"/>
      <c r="K22" s="253"/>
      <c r="L22" s="253"/>
      <c r="M22" s="112"/>
      <c r="N22" s="112"/>
    </row>
    <row r="23" spans="1:26" ht="16.399999999999999" customHeight="1" x14ac:dyDescent="0.35">
      <c r="A23" s="497" t="s">
        <v>1615</v>
      </c>
      <c r="C23" s="4"/>
      <c r="D23" s="4"/>
      <c r="E23" s="541"/>
      <c r="F23" s="251"/>
      <c r="G23" s="98" t="s">
        <v>1616</v>
      </c>
      <c r="H23" s="253"/>
      <c r="I23" s="255"/>
      <c r="J23" s="256"/>
      <c r="K23" s="253"/>
      <c r="L23" s="253"/>
      <c r="M23" s="112"/>
      <c r="N23" s="112"/>
    </row>
    <row r="24" spans="1:26" ht="16.399999999999999" customHeight="1" x14ac:dyDescent="0.35">
      <c r="A24" s="496" t="s">
        <v>1617</v>
      </c>
      <c r="C24" s="103"/>
      <c r="D24" s="541"/>
      <c r="E24" s="4"/>
      <c r="F24" s="541"/>
      <c r="G24" s="112"/>
      <c r="H24" s="254"/>
      <c r="I24" s="255"/>
      <c r="J24" s="103"/>
      <c r="K24" s="254"/>
      <c r="L24" s="254"/>
      <c r="M24" s="112"/>
      <c r="N24" s="112"/>
    </row>
    <row r="25" spans="1:26" ht="15.5" x14ac:dyDescent="0.35">
      <c r="A25" s="248"/>
      <c r="B25" s="257"/>
      <c r="C25" s="258"/>
      <c r="D25" s="541"/>
      <c r="E25" s="112"/>
      <c r="F25" s="107" t="s">
        <v>1618</v>
      </c>
      <c r="G25" s="398" t="s">
        <v>1378</v>
      </c>
      <c r="H25" s="255"/>
      <c r="I25" s="255"/>
      <c r="J25" s="255"/>
      <c r="K25" s="255"/>
      <c r="L25" s="255"/>
      <c r="M25" s="112"/>
      <c r="N25" s="112"/>
    </row>
    <row r="26" spans="1:26" ht="15.5" x14ac:dyDescent="0.35">
      <c r="A26" s="259"/>
      <c r="B26" s="69"/>
      <c r="C26" s="4"/>
      <c r="D26" s="541"/>
      <c r="E26" s="112"/>
      <c r="F26" s="251"/>
      <c r="G26" s="112"/>
      <c r="H26" s="255"/>
      <c r="I26" s="255"/>
      <c r="J26" s="255"/>
      <c r="K26" s="255"/>
      <c r="L26" s="255"/>
      <c r="M26" s="112"/>
      <c r="N26" s="112"/>
    </row>
    <row r="27" spans="1:26" ht="18" customHeight="1" x14ac:dyDescent="0.35">
      <c r="A27" s="282" t="s">
        <v>1619</v>
      </c>
      <c r="B27" s="290"/>
      <c r="C27" s="183"/>
      <c r="D27" s="291"/>
      <c r="E27" s="291"/>
      <c r="F27" s="292"/>
      <c r="G27" s="293"/>
      <c r="H27" s="261"/>
      <c r="I27" s="260"/>
      <c r="J27" s="260"/>
      <c r="K27" s="10"/>
      <c r="L27" s="10"/>
      <c r="M27" s="112"/>
      <c r="N27" s="112"/>
    </row>
    <row r="28" spans="1:26" ht="18" customHeight="1" x14ac:dyDescent="0.35">
      <c r="A28" s="273">
        <v>102</v>
      </c>
      <c r="B28" s="115" t="s">
        <v>1620</v>
      </c>
      <c r="C28" s="543"/>
      <c r="D28" s="280"/>
      <c r="E28" s="279"/>
      <c r="F28" s="273" t="s">
        <v>1621</v>
      </c>
      <c r="G28" s="665">
        <f>IF(ISERROR(VLOOKUP(LA_code,LA_Data,10,0)),0,ROUND(VLOOKUP(LA_code,LA_Data,10,0),0))</f>
        <v>0</v>
      </c>
      <c r="H28" s="127"/>
      <c r="I28" s="501" t="e">
        <f>IF(ABS(G28-VLOOKUP(LA_code,LA_Data,10,FALSE))&lt;2,"","Warning")</f>
        <v>#N/A</v>
      </c>
      <c r="J28" s="698" t="e">
        <f>IF(ABS(G28-VLOOKUP(LA_code,LA_Data,10,FALSE))&lt;2,"","Allocation data shows "&amp;TEXT(VLOOKUP(LA_code,LA_Data,10,FALSE),"#,##0")&amp;" on this line. Please add an explanation to the memo sheet")</f>
        <v>#N/A</v>
      </c>
      <c r="K28" s="86"/>
      <c r="L28" s="86"/>
      <c r="M28" s="4"/>
      <c r="N28" s="4"/>
      <c r="O28" s="3"/>
      <c r="P28" s="3"/>
      <c r="Q28" s="3"/>
    </row>
    <row r="29" spans="1:26" ht="18" customHeight="1" x14ac:dyDescent="0.35">
      <c r="A29" s="273">
        <v>103</v>
      </c>
      <c r="B29" s="115" t="s">
        <v>1622</v>
      </c>
      <c r="C29" s="543"/>
      <c r="D29" s="278"/>
      <c r="E29" s="279"/>
      <c r="F29" s="273" t="s">
        <v>1621</v>
      </c>
      <c r="G29" s="983"/>
      <c r="H29" s="127"/>
      <c r="I29" s="501"/>
      <c r="J29" s="698"/>
      <c r="K29" s="86"/>
      <c r="L29" s="86"/>
      <c r="M29" s="4"/>
      <c r="N29" s="4"/>
      <c r="O29" s="3"/>
      <c r="P29" s="3"/>
      <c r="Q29" s="3"/>
    </row>
    <row r="30" spans="1:26" ht="18" customHeight="1" x14ac:dyDescent="0.35">
      <c r="A30" s="544">
        <v>107</v>
      </c>
      <c r="B30" s="544" t="s">
        <v>1623</v>
      </c>
      <c r="C30" s="543"/>
      <c r="D30" s="278"/>
      <c r="E30" s="279"/>
      <c r="F30" s="273" t="s">
        <v>1621</v>
      </c>
      <c r="G30" s="666"/>
      <c r="H30" s="127"/>
      <c r="I30" s="501"/>
      <c r="J30" s="698"/>
      <c r="K30" s="86"/>
      <c r="L30" s="86"/>
      <c r="M30" s="4"/>
      <c r="N30" s="4"/>
      <c r="O30" s="3"/>
      <c r="P30" s="3"/>
      <c r="Q30" s="3"/>
    </row>
    <row r="31" spans="1:26" ht="18" customHeight="1" x14ac:dyDescent="0.35">
      <c r="A31" s="544"/>
      <c r="B31" s="815" t="s">
        <v>1624</v>
      </c>
      <c r="C31" s="543"/>
      <c r="D31" s="278"/>
      <c r="E31" s="279"/>
      <c r="F31" s="273"/>
      <c r="G31" s="666"/>
      <c r="H31" s="4"/>
      <c r="I31" s="501"/>
      <c r="J31" s="698"/>
      <c r="K31" s="86"/>
      <c r="L31" s="86"/>
      <c r="M31" s="4"/>
      <c r="N31" s="4"/>
      <c r="O31" s="3"/>
      <c r="P31" s="3"/>
      <c r="Q31" s="3"/>
    </row>
    <row r="32" spans="1:26" ht="18" customHeight="1" x14ac:dyDescent="0.35">
      <c r="A32" s="544">
        <v>313</v>
      </c>
      <c r="B32" s="545" t="s">
        <v>1625</v>
      </c>
      <c r="C32" s="543"/>
      <c r="D32" s="278"/>
      <c r="E32" s="279"/>
      <c r="F32" s="273" t="s">
        <v>1626</v>
      </c>
      <c r="G32" s="665">
        <f>IF(ISERROR(VLOOKUP(LA_code,LA_Data,12,0)),0,ROUND(VLOOKUP(LA_code,LA_Data,12,0),0))</f>
        <v>0</v>
      </c>
      <c r="H32" s="32"/>
      <c r="I32" s="501" t="e">
        <f>IF(ABS(G32-VLOOKUP(LA_code,LA_Data,12,FALSE))&lt;2,"","Error")</f>
        <v>#N/A</v>
      </c>
      <c r="J32" s="698" t="e">
        <f>IF(ABS(G32-VLOOKUP(LA_code,LA_Data,12,FALSE))&lt;2,"",TEXT(VLOOKUP(LA_code,LA_Data,12,FALSE),"#,##0")&amp;" expected on this line please refer to the RG notes or add an explanation to the memo sheet")</f>
        <v>#N/A</v>
      </c>
      <c r="K32" s="86"/>
      <c r="L32" s="86"/>
      <c r="M32" s="4"/>
      <c r="N32" s="4"/>
      <c r="O32" s="3"/>
      <c r="P32" s="3"/>
      <c r="Q32" s="3"/>
    </row>
    <row r="33" spans="1:17" ht="18" customHeight="1" x14ac:dyDescent="0.35">
      <c r="A33" s="546">
        <v>315</v>
      </c>
      <c r="B33" s="500" t="s">
        <v>1627</v>
      </c>
      <c r="C33" s="543"/>
      <c r="D33" s="278"/>
      <c r="E33" s="279"/>
      <c r="F33" s="273" t="s">
        <v>1628</v>
      </c>
      <c r="G33" s="665">
        <f>IF(ISERROR(VLOOKUP(LA_code,LA_Data,16,0)),0,ROUND(VLOOKUP(LA_code,LA_Data,16,0),0))</f>
        <v>0</v>
      </c>
      <c r="H33" s="32"/>
      <c r="I33" s="501" t="e">
        <f>IF(ABS(G33-VLOOKUP(LA_code,LA_Data,16,FALSE))&lt;2,"","Error")</f>
        <v>#N/A</v>
      </c>
      <c r="J33" s="698" t="e">
        <f>IF(ABS(G33-VLOOKUP(LA_code,LA_Data,16,FALSE))&lt;2,"",TEXT(VLOOKUP(LA_code,LA_Data,16,FALSE),"#,##0")&amp;" expected on this line please refer to the RG notes or add an explanation to the memo sheet")</f>
        <v>#N/A</v>
      </c>
      <c r="K33" s="86"/>
      <c r="L33" s="86"/>
      <c r="M33" s="4"/>
      <c r="N33" s="4"/>
      <c r="O33" s="3"/>
      <c r="P33" s="3"/>
      <c r="Q33" s="3"/>
    </row>
    <row r="34" spans="1:17" ht="18" customHeight="1" x14ac:dyDescent="0.35">
      <c r="A34" s="546">
        <v>317</v>
      </c>
      <c r="B34" s="500" t="s">
        <v>1629</v>
      </c>
      <c r="C34" s="543"/>
      <c r="D34" s="278"/>
      <c r="E34" s="279"/>
      <c r="F34" s="273" t="s">
        <v>1628</v>
      </c>
      <c r="G34" s="665">
        <f>IF(ISERROR(VLOOKUP(LA_code,LA_Data,14,0)),0,ROUND(VLOOKUP(LA_code,LA_Data,14,0),0))</f>
        <v>0</v>
      </c>
      <c r="H34" s="32"/>
      <c r="I34" s="501" t="e">
        <f>IF(ABS(G34-VLOOKUP(LA_code,LA_Data,14,FALSE))&lt;2,"","Error")</f>
        <v>#N/A</v>
      </c>
      <c r="J34" s="698" t="e">
        <f>IF(ABS(G34-VLOOKUP(LA_code,LA_Data,14,FALSE))&lt;2,"",TEXT(VLOOKUP(LA_code,LA_Data,14,FALSE),"#,##0")&amp;" expected on this line please refer to the RG notes or add an explanation to the memo sheet")</f>
        <v>#N/A</v>
      </c>
      <c r="K34" s="86"/>
      <c r="L34" s="86"/>
      <c r="M34" s="4"/>
      <c r="N34" s="4"/>
      <c r="O34" s="3"/>
      <c r="P34" s="3"/>
      <c r="Q34" s="3"/>
    </row>
    <row r="35" spans="1:17" ht="18" customHeight="1" x14ac:dyDescent="0.35">
      <c r="A35" s="546">
        <v>323</v>
      </c>
      <c r="B35" s="500" t="s">
        <v>1630</v>
      </c>
      <c r="C35" s="543"/>
      <c r="D35" s="278"/>
      <c r="E35" s="279"/>
      <c r="F35" s="273" t="s">
        <v>1628</v>
      </c>
      <c r="G35" s="665">
        <f>IF(ISERROR(VLOOKUP(LA_code,LA_Data,18,0)),0,ROUND(VLOOKUP(LA_code,LA_Data,18,0),0))</f>
        <v>0</v>
      </c>
      <c r="H35" s="32"/>
      <c r="I35" s="501" t="e">
        <f>IF(ABS(G35-VLOOKUP(LA_code,LA_Data,18,FALSE))&lt;2,"","Error")</f>
        <v>#N/A</v>
      </c>
      <c r="J35" s="698" t="e">
        <f>IF(ABS(G35-VLOOKUP(LA_code,LA_Data,18,FALSE))&lt;2,"",TEXT(VLOOKUP(LA_code,LA_Data,18,FALSE),"#,##0")&amp;" expected on this line please refer to the RG notes or add an explanation to the memo sheet")</f>
        <v>#N/A</v>
      </c>
      <c r="K35" s="86"/>
      <c r="L35" s="86"/>
      <c r="M35" s="4"/>
      <c r="N35" s="4"/>
      <c r="O35" s="3"/>
      <c r="P35" s="3"/>
      <c r="Q35" s="3"/>
    </row>
    <row r="36" spans="1:17" s="125" customFormat="1" ht="18" customHeight="1" x14ac:dyDescent="0.35">
      <c r="A36" s="546">
        <v>329</v>
      </c>
      <c r="B36" s="500" t="s">
        <v>1631</v>
      </c>
      <c r="C36" s="410"/>
      <c r="D36" s="411"/>
      <c r="E36" s="553"/>
      <c r="F36" s="544" t="s">
        <v>1628</v>
      </c>
      <c r="G36" s="665">
        <f>IF(ISERROR(VLOOKUP(LA_code,LA_Data,42,0)),0,ROUND(VLOOKUP(LA_code,LA_Data,42,0),0))</f>
        <v>0</v>
      </c>
      <c r="H36" s="736"/>
      <c r="I36" s="501" t="e">
        <f>IF(ABS(G36-VLOOKUP(LA_code,LA_Data,42,FALSE))&lt;2,"","Error")</f>
        <v>#N/A</v>
      </c>
      <c r="J36" s="698" t="e">
        <f>IF(ABS(G36-VLOOKUP(LA_code,LA_Data,42,FALSE))&lt;2,"",TEXT(VLOOKUP(LA_code,LA_Data,42,FALSE),"#,##0")&amp;" expected on this line please refer to the RG notes or add an explanation to the memo sheet")</f>
        <v>#N/A</v>
      </c>
      <c r="K36" s="100"/>
      <c r="L36" s="100"/>
      <c r="M36" s="103"/>
      <c r="N36" s="103"/>
      <c r="O36" s="737"/>
      <c r="P36" s="737"/>
      <c r="Q36" s="737"/>
    </row>
    <row r="37" spans="1:17" ht="18" customHeight="1" x14ac:dyDescent="0.35">
      <c r="A37" s="546">
        <v>330</v>
      </c>
      <c r="B37" s="500" t="s">
        <v>1632</v>
      </c>
      <c r="C37" s="410"/>
      <c r="D37" s="411"/>
      <c r="E37" s="553"/>
      <c r="F37" s="544" t="s">
        <v>1628</v>
      </c>
      <c r="G37" s="665">
        <f>IF(ISERROR(VLOOKUP(LA_code,LA_Data,20,0)),0,ROUND(VLOOKUP(LA_code,LA_Data,20,0),0))</f>
        <v>0</v>
      </c>
      <c r="H37" s="32"/>
      <c r="I37" s="501" t="e">
        <f>IF(ABS(G37-VLOOKUP(LA_code,LA_Data,20,FALSE))&lt;2,"","Error")</f>
        <v>#N/A</v>
      </c>
      <c r="J37" s="698" t="e">
        <f>IF(ABS(G37-VLOOKUP(LA_code,LA_Data,20,FALSE))&lt;2,"",TEXT(VLOOKUP(LA_code,LA_Data,20,FALSE),"#,##0")&amp;" expected on this line please refer to the RG notes or add an explanation to the memo sheet")</f>
        <v>#N/A</v>
      </c>
      <c r="K37" s="86"/>
      <c r="L37" s="86"/>
      <c r="M37" s="4"/>
      <c r="N37" s="4"/>
      <c r="O37" s="3"/>
      <c r="P37" s="3"/>
      <c r="Q37" s="3"/>
    </row>
    <row r="38" spans="1:17" ht="18" customHeight="1" x14ac:dyDescent="0.35">
      <c r="A38" s="865">
        <v>331</v>
      </c>
      <c r="B38" s="866" t="s">
        <v>1633</v>
      </c>
      <c r="C38" s="410"/>
      <c r="D38" s="411"/>
      <c r="E38" s="553"/>
      <c r="F38" s="544" t="s">
        <v>1626</v>
      </c>
      <c r="G38" s="665">
        <f>IF(ISERROR(VLOOKUP(LA_code,LA_Data,23,0)),0,ROUND(VLOOKUP(LA_code,LA_Data,23,0),0))</f>
        <v>0</v>
      </c>
      <c r="H38" s="32"/>
      <c r="I38" s="501" t="e">
        <f>IF(ABS(G38-VLOOKUP(LA_code,LA_Data,23,FALSE))&lt;2,"","Error")</f>
        <v>#N/A</v>
      </c>
      <c r="J38" s="698" t="e">
        <f>IF(ABS(G38-VLOOKUP(LA_code,LA_Data,23,FALSE))&lt;2,"",TEXT(VLOOKUP(LA_code,LA_Data,23,FALSE),"#,##0")&amp;" expected on this line please refer to the RG notes or add an explanation to the memo sheet")</f>
        <v>#N/A</v>
      </c>
      <c r="K38" s="86"/>
      <c r="L38" s="86"/>
      <c r="M38" s="4"/>
      <c r="N38" s="4"/>
      <c r="O38" s="3"/>
      <c r="P38" s="3"/>
      <c r="Q38" s="3"/>
    </row>
    <row r="39" spans="1:17" ht="18" customHeight="1" x14ac:dyDescent="0.35">
      <c r="A39" s="865">
        <v>338</v>
      </c>
      <c r="B39" s="866" t="s">
        <v>1634</v>
      </c>
      <c r="C39" s="410"/>
      <c r="D39" s="411"/>
      <c r="E39" s="553"/>
      <c r="F39" s="544" t="s">
        <v>1628</v>
      </c>
      <c r="G39" s="665">
        <f>IF(ISERROR(VLOOKUP(LA_code,LA_Data,24,0)),0,ROUND(VLOOKUP(LA_code,LA_Data,24,0),0))</f>
        <v>0</v>
      </c>
      <c r="H39" s="32"/>
      <c r="I39" s="501" t="e">
        <f>IF(ABS(G39-VLOOKUP(LA_code,LA_Data,24,FALSE))&lt;2,"","Error")</f>
        <v>#N/A</v>
      </c>
      <c r="J39" s="698" t="e">
        <f>IF(ABS(G39-VLOOKUP(LA_code,LA_Data,24,FALSE))&lt;2,"",TEXT(VLOOKUP(LA_code,LA_Data,24,FALSE),"#,##0")&amp;" expected on this line please refer to the RG notes or add an explanation to the memo sheet")</f>
        <v>#N/A</v>
      </c>
      <c r="K39" s="86"/>
      <c r="L39" s="86"/>
      <c r="M39" s="4"/>
      <c r="N39" s="4"/>
      <c r="O39" s="3"/>
      <c r="P39" s="3"/>
      <c r="Q39" s="3"/>
    </row>
    <row r="40" spans="1:17" ht="18" customHeight="1" x14ac:dyDescent="0.35">
      <c r="A40" s="546">
        <v>401</v>
      </c>
      <c r="B40" s="500" t="s">
        <v>1635</v>
      </c>
      <c r="C40" s="410"/>
      <c r="D40" s="411"/>
      <c r="E40" s="553"/>
      <c r="F40" s="544" t="s">
        <v>1628</v>
      </c>
      <c r="G40" s="665">
        <f>IF(ISERROR(VLOOKUP(LA_code,LA_Data,22,0)),0,ROUND(VLOOKUP(LA_code,LA_Data,22,0),0))</f>
        <v>0</v>
      </c>
      <c r="H40" s="32"/>
      <c r="I40" s="501" t="e">
        <f>IF(ABS(G40-VLOOKUP(LA_code,LA_Data,22,FALSE))&lt;2,"","Error")</f>
        <v>#N/A</v>
      </c>
      <c r="J40" s="698" t="e">
        <f>IF(ABS(G40-VLOOKUP(LA_code,LA_Data,22,FALSE))&lt;2,"",TEXT(VLOOKUP(LA_code,LA_Data,22,FALSE),"#,##0")&amp;" expected on this line please refer to the RG notes or add an explanation to the memo sheet")</f>
        <v>#N/A</v>
      </c>
      <c r="K40" s="86"/>
      <c r="L40" s="86"/>
      <c r="M40" s="4"/>
      <c r="N40" s="4"/>
      <c r="O40" s="3"/>
      <c r="P40" s="3"/>
      <c r="Q40" s="3"/>
    </row>
    <row r="41" spans="1:17" ht="18" customHeight="1" x14ac:dyDescent="0.35">
      <c r="A41" s="544"/>
      <c r="B41" s="815" t="s">
        <v>1624</v>
      </c>
      <c r="C41" s="410"/>
      <c r="D41" s="554"/>
      <c r="E41" s="553"/>
      <c r="F41" s="544"/>
      <c r="G41" s="740"/>
      <c r="H41" s="127"/>
      <c r="I41" s="501"/>
      <c r="J41" s="698"/>
      <c r="K41" s="86"/>
      <c r="L41" s="86"/>
      <c r="M41" s="4"/>
      <c r="N41" s="4"/>
      <c r="O41" s="3"/>
      <c r="P41" s="3"/>
      <c r="Q41" s="3"/>
    </row>
    <row r="42" spans="1:17" ht="18" customHeight="1" x14ac:dyDescent="0.35">
      <c r="A42" s="546">
        <v>406</v>
      </c>
      <c r="B42" s="500" t="s">
        <v>1636</v>
      </c>
      <c r="C42" s="410"/>
      <c r="D42" s="554"/>
      <c r="E42" s="553"/>
      <c r="F42" s="544" t="s">
        <v>1637</v>
      </c>
      <c r="G42" s="954">
        <f>IF(ISERROR(VLOOKUP(LA_code,LA_Data,45,0)),0,ROUND(VLOOKUP(LA_code,LA_Data,45,0),0))</f>
        <v>0</v>
      </c>
      <c r="H42" s="127"/>
      <c r="I42" s="501" t="e">
        <f>IF(ABS(G42-VLOOKUP(LA_code,LA_Data,45,FALSE))&lt;2,"","Error")</f>
        <v>#N/A</v>
      </c>
      <c r="J42" s="698" t="e">
        <f>IF(ABS(G42-VLOOKUP(LA_code,LA_Data,45,FALSE))&lt;2,"",TEXT(VLOOKUP(LA_code,LA_Data,45,FALSE),"#,##0")&amp;" expected on this line please refer to the RG notes or add an explanation to the memo sheet")</f>
        <v>#N/A</v>
      </c>
      <c r="K42" s="86"/>
      <c r="L42" s="86"/>
      <c r="M42" s="4"/>
      <c r="N42" s="4"/>
      <c r="O42" s="3"/>
      <c r="P42" s="3"/>
      <c r="Q42" s="3"/>
    </row>
    <row r="43" spans="1:17" ht="18" customHeight="1" x14ac:dyDescent="0.35">
      <c r="A43" s="546">
        <v>540</v>
      </c>
      <c r="B43" s="500" t="s">
        <v>1638</v>
      </c>
      <c r="C43" s="410"/>
      <c r="D43" s="554"/>
      <c r="E43" s="553"/>
      <c r="F43" s="544" t="s">
        <v>1628</v>
      </c>
      <c r="G43" s="665">
        <f>IF(ISERROR(VLOOKUP(LA_code,LA_Data,26,0)),0,ROUND(VLOOKUP(LA_code,LA_Data,26,0),0))</f>
        <v>0</v>
      </c>
      <c r="H43" s="127"/>
      <c r="I43" s="501" t="e">
        <f>IF(ABS(G43-VLOOKUP(LA_code,LA_Data,26,FALSE))&lt;2,"","Error")</f>
        <v>#N/A</v>
      </c>
      <c r="J43" s="698" t="e">
        <f>IF(ABS(G43-VLOOKUP(LA_code,LA_Data,26,FALSE))&lt;2,"",TEXT(VLOOKUP(LA_code,LA_Data,26,FALSE),"#,##0")&amp;" expected on this line please refer to the RG notes or add an explanation to the memo sheet")</f>
        <v>#N/A</v>
      </c>
      <c r="K43" s="86"/>
      <c r="L43" s="86"/>
      <c r="M43" s="127"/>
      <c r="N43" s="127"/>
      <c r="O43" s="504"/>
      <c r="P43" s="504"/>
      <c r="Q43" s="504"/>
    </row>
    <row r="44" spans="1:17" ht="18" customHeight="1" x14ac:dyDescent="0.35">
      <c r="A44" s="544">
        <v>543</v>
      </c>
      <c r="B44" s="545" t="s">
        <v>1639</v>
      </c>
      <c r="C44" s="410"/>
      <c r="D44" s="554"/>
      <c r="E44" s="553"/>
      <c r="F44" s="544" t="s">
        <v>1628</v>
      </c>
      <c r="G44" s="665">
        <f>IF(ISERROR(VLOOKUP(LA_code,LA_Data,28,0)),0,ROUND(VLOOKUP(LA_code,LA_Data,28,0),0))</f>
        <v>0</v>
      </c>
      <c r="H44" s="127"/>
      <c r="I44" s="501" t="e">
        <f>IF(ABS(G44-VLOOKUP(LA_code,LA_Data,28,FALSE))&lt;2,"","Error")</f>
        <v>#N/A</v>
      </c>
      <c r="J44" s="698" t="e">
        <f>IF(ABS(G44-VLOOKUP(LA_code,LA_Data,28,FALSE))&lt;2,"",TEXT(VLOOKUP(LA_code,LA_Data,28,FALSE),"#,##0")&amp;" expected on this line please refer to the RG notes or add an explanation to the memo sheet")</f>
        <v>#N/A</v>
      </c>
      <c r="K44" s="86"/>
      <c r="L44" s="86"/>
      <c r="M44" s="127"/>
      <c r="N44" s="127"/>
      <c r="O44" s="504"/>
      <c r="P44" s="504"/>
      <c r="Q44" s="504"/>
    </row>
    <row r="45" spans="1:17" ht="18" customHeight="1" x14ac:dyDescent="0.35">
      <c r="A45" s="546">
        <v>545</v>
      </c>
      <c r="B45" s="546" t="s">
        <v>1640</v>
      </c>
      <c r="C45" s="410"/>
      <c r="D45" s="554"/>
      <c r="E45" s="553"/>
      <c r="F45" s="544" t="s">
        <v>1628</v>
      </c>
      <c r="G45" s="666"/>
      <c r="H45" s="127"/>
      <c r="I45" s="158"/>
      <c r="J45" s="159"/>
      <c r="K45" s="86"/>
      <c r="L45" s="86"/>
      <c r="M45" s="127"/>
      <c r="N45" s="127"/>
      <c r="O45" s="504"/>
      <c r="P45" s="504"/>
      <c r="Q45" s="504"/>
    </row>
    <row r="46" spans="1:17" ht="18" customHeight="1" x14ac:dyDescent="0.35">
      <c r="A46" s="865">
        <v>656</v>
      </c>
      <c r="B46" s="865" t="s">
        <v>1641</v>
      </c>
      <c r="C46" s="410"/>
      <c r="D46" s="554"/>
      <c r="E46" s="553"/>
      <c r="F46" s="544" t="s">
        <v>1642</v>
      </c>
      <c r="G46" s="666"/>
      <c r="H46" s="127"/>
      <c r="I46" s="158"/>
      <c r="J46" s="159"/>
      <c r="K46" s="86"/>
      <c r="L46" s="86"/>
      <c r="M46" s="127"/>
      <c r="N46" s="127"/>
      <c r="O46" s="504"/>
      <c r="P46" s="504"/>
      <c r="Q46" s="504"/>
    </row>
    <row r="47" spans="1:17" ht="18" customHeight="1" x14ac:dyDescent="0.35">
      <c r="A47" s="544"/>
      <c r="B47" s="815" t="s">
        <v>1624</v>
      </c>
      <c r="C47" s="410"/>
      <c r="D47" s="554"/>
      <c r="E47" s="553"/>
      <c r="F47" s="544"/>
      <c r="G47" s="995"/>
      <c r="H47" s="127"/>
      <c r="I47" s="501"/>
      <c r="J47" s="698"/>
      <c r="K47" s="86"/>
      <c r="L47" s="86"/>
      <c r="M47" s="127"/>
      <c r="N47" s="127"/>
      <c r="O47" s="504"/>
      <c r="P47" s="504"/>
      <c r="Q47" s="504"/>
    </row>
    <row r="48" spans="1:17" ht="18" customHeight="1" x14ac:dyDescent="0.35">
      <c r="A48" s="544"/>
      <c r="B48" s="815" t="s">
        <v>1624</v>
      </c>
      <c r="C48" s="410"/>
      <c r="D48" s="554"/>
      <c r="E48" s="553"/>
      <c r="F48" s="544"/>
      <c r="G48" s="1109"/>
      <c r="H48" s="127"/>
      <c r="I48" s="501"/>
      <c r="J48" s="698"/>
      <c r="K48" s="86"/>
      <c r="L48" s="86"/>
      <c r="M48" s="127"/>
      <c r="N48" s="127"/>
      <c r="O48" s="504"/>
      <c r="P48" s="504"/>
      <c r="Q48" s="504"/>
    </row>
    <row r="49" spans="1:17" ht="18" customHeight="1" x14ac:dyDescent="0.35">
      <c r="A49" s="544"/>
      <c r="B49" s="815" t="s">
        <v>1624</v>
      </c>
      <c r="C49" s="410"/>
      <c r="D49" s="554"/>
      <c r="E49" s="553"/>
      <c r="F49" s="544"/>
      <c r="G49" s="1109"/>
      <c r="H49" s="127"/>
      <c r="I49" s="501"/>
      <c r="J49" s="698"/>
      <c r="K49" s="86"/>
      <c r="L49" s="86"/>
      <c r="M49" s="127"/>
      <c r="N49" s="127"/>
      <c r="O49" s="504"/>
      <c r="P49" s="504"/>
      <c r="Q49" s="504"/>
    </row>
    <row r="50" spans="1:17" ht="18" customHeight="1" x14ac:dyDescent="0.35">
      <c r="A50" s="544"/>
      <c r="B50" s="815" t="s">
        <v>1624</v>
      </c>
      <c r="C50" s="410"/>
      <c r="D50" s="554"/>
      <c r="E50" s="553"/>
      <c r="F50" s="544"/>
      <c r="G50" s="1109"/>
      <c r="H50" s="127"/>
      <c r="I50" s="501"/>
      <c r="J50" s="698"/>
      <c r="K50" s="86"/>
      <c r="L50" s="86"/>
      <c r="M50" s="127"/>
      <c r="N50" s="127"/>
      <c r="O50" s="504"/>
      <c r="P50" s="504"/>
      <c r="Q50" s="504"/>
    </row>
    <row r="51" spans="1:17" ht="18" customHeight="1" x14ac:dyDescent="0.35">
      <c r="A51" s="544"/>
      <c r="B51" s="815" t="s">
        <v>1624</v>
      </c>
      <c r="C51" s="410"/>
      <c r="D51" s="554"/>
      <c r="E51" s="553"/>
      <c r="F51" s="544"/>
      <c r="G51" s="1109"/>
      <c r="H51" s="127"/>
      <c r="I51" s="501"/>
      <c r="J51" s="698"/>
      <c r="K51" s="86"/>
      <c r="L51" s="86"/>
      <c r="M51" s="127"/>
      <c r="N51" s="127"/>
      <c r="O51" s="504"/>
      <c r="P51" s="504"/>
      <c r="Q51" s="504"/>
    </row>
    <row r="52" spans="1:17" ht="18" customHeight="1" x14ac:dyDescent="0.35">
      <c r="A52" s="544"/>
      <c r="B52" s="815" t="s">
        <v>1624</v>
      </c>
      <c r="C52" s="410"/>
      <c r="D52" s="554"/>
      <c r="E52" s="553"/>
      <c r="F52" s="544"/>
      <c r="G52" s="1109"/>
      <c r="H52" s="127"/>
      <c r="I52" s="501"/>
      <c r="J52" s="698"/>
      <c r="K52" s="86"/>
      <c r="L52" s="86"/>
      <c r="M52" s="127"/>
      <c r="N52" s="127"/>
      <c r="O52" s="504"/>
      <c r="P52" s="504"/>
      <c r="Q52" s="504"/>
    </row>
    <row r="53" spans="1:17" ht="18" customHeight="1" x14ac:dyDescent="0.35">
      <c r="A53" s="544"/>
      <c r="B53" s="815" t="s">
        <v>1624</v>
      </c>
      <c r="C53" s="410"/>
      <c r="D53" s="554"/>
      <c r="E53" s="553"/>
      <c r="F53" s="544"/>
      <c r="G53" s="1109"/>
      <c r="H53" s="127"/>
      <c r="I53" s="501"/>
      <c r="J53" s="698"/>
      <c r="K53" s="86"/>
      <c r="L53" s="86"/>
      <c r="M53" s="127"/>
      <c r="N53" s="127"/>
      <c r="O53" s="504"/>
      <c r="P53" s="504"/>
      <c r="Q53" s="504"/>
    </row>
    <row r="54" spans="1:17" ht="18" customHeight="1" x14ac:dyDescent="0.35">
      <c r="A54" s="544"/>
      <c r="B54" s="815" t="s">
        <v>1624</v>
      </c>
      <c r="C54" s="410"/>
      <c r="D54" s="554"/>
      <c r="E54" s="553"/>
      <c r="F54" s="544"/>
      <c r="G54" s="1109"/>
      <c r="H54" s="127"/>
      <c r="I54" s="501"/>
      <c r="J54" s="698"/>
      <c r="K54" s="86"/>
      <c r="L54" s="86"/>
      <c r="M54" s="127"/>
      <c r="N54" s="127"/>
      <c r="O54" s="504"/>
      <c r="P54" s="504"/>
      <c r="Q54" s="504"/>
    </row>
    <row r="55" spans="1:17" ht="18" customHeight="1" x14ac:dyDescent="0.35">
      <c r="A55" s="544"/>
      <c r="B55" s="815" t="s">
        <v>1624</v>
      </c>
      <c r="C55" s="410"/>
      <c r="D55" s="554"/>
      <c r="E55" s="553"/>
      <c r="F55" s="544"/>
      <c r="G55" s="1109"/>
      <c r="H55" s="127"/>
      <c r="I55" s="501"/>
      <c r="J55" s="698"/>
      <c r="K55" s="86"/>
      <c r="L55" s="86"/>
      <c r="M55" s="127"/>
      <c r="N55" s="127"/>
      <c r="O55" s="504"/>
      <c r="P55" s="504"/>
      <c r="Q55" s="504"/>
    </row>
    <row r="56" spans="1:17" ht="18" customHeight="1" x14ac:dyDescent="0.35">
      <c r="A56" s="544"/>
      <c r="B56" s="815" t="s">
        <v>1624</v>
      </c>
      <c r="C56" s="410"/>
      <c r="D56" s="554"/>
      <c r="E56" s="553"/>
      <c r="F56" s="544"/>
      <c r="G56" s="1109"/>
      <c r="H56" s="127"/>
      <c r="I56" s="501"/>
      <c r="J56" s="698"/>
      <c r="K56" s="86"/>
      <c r="L56" s="86"/>
      <c r="M56" s="127"/>
      <c r="N56" s="127"/>
      <c r="O56" s="504"/>
      <c r="P56" s="504"/>
      <c r="Q56" s="504"/>
    </row>
    <row r="57" spans="1:17" ht="18" customHeight="1" x14ac:dyDescent="0.35">
      <c r="A57" s="544"/>
      <c r="B57" s="815" t="s">
        <v>1624</v>
      </c>
      <c r="C57" s="410"/>
      <c r="D57" s="554"/>
      <c r="E57" s="553"/>
      <c r="F57" s="544"/>
      <c r="G57" s="1109"/>
      <c r="H57" s="127"/>
      <c r="I57" s="501"/>
      <c r="J57" s="698"/>
      <c r="K57" s="86"/>
      <c r="L57" s="86"/>
      <c r="M57" s="127"/>
      <c r="N57" s="127"/>
      <c r="O57" s="504"/>
      <c r="P57" s="504"/>
      <c r="Q57" s="504"/>
    </row>
    <row r="58" spans="1:17" ht="18" customHeight="1" x14ac:dyDescent="0.35">
      <c r="A58" s="544"/>
      <c r="B58" s="815" t="s">
        <v>1624</v>
      </c>
      <c r="C58" s="410"/>
      <c r="D58" s="554"/>
      <c r="E58" s="553"/>
      <c r="F58" s="544"/>
      <c r="G58" s="1109"/>
      <c r="H58" s="127"/>
      <c r="I58" s="501"/>
      <c r="J58" s="698"/>
      <c r="K58" s="86"/>
      <c r="L58" s="86"/>
      <c r="M58" s="127"/>
      <c r="N58" s="127"/>
      <c r="O58" s="504"/>
      <c r="P58" s="504"/>
      <c r="Q58" s="504"/>
    </row>
    <row r="59" spans="1:17" ht="18" customHeight="1" x14ac:dyDescent="0.35">
      <c r="A59" s="544"/>
      <c r="B59" s="815" t="s">
        <v>1624</v>
      </c>
      <c r="C59" s="410"/>
      <c r="D59" s="554"/>
      <c r="E59" s="553"/>
      <c r="F59" s="544"/>
      <c r="G59" s="1109"/>
      <c r="H59" s="127"/>
      <c r="I59" s="501"/>
      <c r="J59" s="698"/>
      <c r="K59" s="86"/>
      <c r="L59" s="86"/>
      <c r="M59" s="127"/>
      <c r="N59" s="127"/>
      <c r="O59" s="504"/>
      <c r="P59" s="504"/>
      <c r="Q59" s="504"/>
    </row>
    <row r="60" spans="1:17" ht="18" customHeight="1" x14ac:dyDescent="0.35">
      <c r="A60" s="544"/>
      <c r="B60" s="815" t="s">
        <v>1624</v>
      </c>
      <c r="C60" s="410"/>
      <c r="D60" s="554"/>
      <c r="E60" s="553"/>
      <c r="F60" s="544"/>
      <c r="G60" s="1109"/>
      <c r="H60" s="127"/>
      <c r="I60" s="501"/>
      <c r="J60" s="698"/>
      <c r="K60" s="86"/>
      <c r="L60" s="86"/>
      <c r="M60" s="127"/>
      <c r="N60" s="127"/>
      <c r="O60" s="504"/>
      <c r="P60" s="504"/>
      <c r="Q60" s="504"/>
    </row>
    <row r="61" spans="1:17" ht="18" customHeight="1" x14ac:dyDescent="0.35">
      <c r="A61" s="544"/>
      <c r="B61" s="815" t="s">
        <v>1624</v>
      </c>
      <c r="C61" s="410"/>
      <c r="D61" s="554"/>
      <c r="E61" s="553"/>
      <c r="F61" s="544"/>
      <c r="G61" s="1109"/>
      <c r="H61" s="127"/>
      <c r="I61" s="501"/>
      <c r="J61" s="698"/>
      <c r="K61" s="86"/>
      <c r="L61" s="86"/>
      <c r="M61" s="127"/>
      <c r="N61" s="127"/>
      <c r="O61" s="504"/>
      <c r="P61" s="504"/>
      <c r="Q61" s="504"/>
    </row>
    <row r="62" spans="1:17" ht="18" customHeight="1" x14ac:dyDescent="0.35">
      <c r="A62" s="544"/>
      <c r="B62" s="815" t="s">
        <v>1624</v>
      </c>
      <c r="C62" s="410"/>
      <c r="D62" s="554"/>
      <c r="E62" s="553"/>
      <c r="F62" s="544"/>
      <c r="G62" s="1109"/>
      <c r="H62" s="127"/>
      <c r="I62" s="501"/>
      <c r="J62" s="698"/>
      <c r="K62" s="86"/>
      <c r="L62" s="86"/>
      <c r="M62" s="127"/>
      <c r="N62" s="127"/>
      <c r="O62" s="504"/>
      <c r="P62" s="504"/>
      <c r="Q62" s="504"/>
    </row>
    <row r="63" spans="1:17" ht="18" customHeight="1" x14ac:dyDescent="0.35">
      <c r="A63" s="544"/>
      <c r="B63" s="815" t="s">
        <v>1624</v>
      </c>
      <c r="C63" s="410"/>
      <c r="D63" s="554"/>
      <c r="E63" s="553"/>
      <c r="F63" s="544"/>
      <c r="G63" s="1109"/>
      <c r="H63" s="127"/>
      <c r="I63" s="501"/>
      <c r="J63" s="698"/>
      <c r="K63" s="86"/>
      <c r="L63" s="86"/>
      <c r="M63" s="127"/>
      <c r="N63" s="127"/>
      <c r="O63" s="504"/>
      <c r="P63" s="504"/>
      <c r="Q63" s="504"/>
    </row>
    <row r="64" spans="1:17" ht="18" customHeight="1" x14ac:dyDescent="0.35">
      <c r="A64" s="544"/>
      <c r="B64" s="815" t="s">
        <v>1624</v>
      </c>
      <c r="C64" s="410"/>
      <c r="D64" s="554"/>
      <c r="E64" s="553"/>
      <c r="F64" s="544"/>
      <c r="G64" s="1109"/>
      <c r="H64" s="127"/>
      <c r="I64" s="501"/>
      <c r="J64" s="698"/>
      <c r="K64" s="86"/>
      <c r="L64" s="86"/>
      <c r="M64" s="127"/>
      <c r="N64" s="127"/>
      <c r="O64" s="504"/>
      <c r="P64" s="504"/>
      <c r="Q64" s="504"/>
    </row>
    <row r="65" spans="1:17" ht="18" customHeight="1" x14ac:dyDescent="0.35">
      <c r="A65" s="544"/>
      <c r="B65" s="815" t="s">
        <v>1624</v>
      </c>
      <c r="C65" s="410"/>
      <c r="D65" s="554"/>
      <c r="E65" s="553"/>
      <c r="F65" s="544"/>
      <c r="G65" s="1109"/>
      <c r="H65" s="127"/>
      <c r="I65" s="501"/>
      <c r="J65" s="698"/>
      <c r="K65" s="86"/>
      <c r="L65" s="86"/>
      <c r="M65" s="127"/>
      <c r="N65" s="127"/>
      <c r="O65" s="504"/>
      <c r="P65" s="504"/>
      <c r="Q65" s="504"/>
    </row>
    <row r="66" spans="1:17" ht="18" customHeight="1" x14ac:dyDescent="0.35">
      <c r="A66" s="500">
        <v>698</v>
      </c>
      <c r="B66" s="816" t="s">
        <v>1643</v>
      </c>
      <c r="C66" s="410"/>
      <c r="D66" s="554"/>
      <c r="E66" s="553"/>
      <c r="F66" s="544"/>
      <c r="G66" s="1110">
        <f>G153</f>
        <v>0</v>
      </c>
      <c r="H66" s="127"/>
      <c r="I66" s="158"/>
      <c r="J66" s="159"/>
      <c r="K66" s="86"/>
      <c r="L66" s="86"/>
      <c r="M66" s="4"/>
      <c r="N66" s="4"/>
      <c r="O66" s="3"/>
      <c r="P66" s="3"/>
      <c r="Q66" s="3"/>
    </row>
    <row r="67" spans="1:17" ht="18" customHeight="1" x14ac:dyDescent="0.35">
      <c r="A67" s="491">
        <v>699</v>
      </c>
      <c r="B67" s="492" t="s">
        <v>1644</v>
      </c>
      <c r="C67" s="274"/>
      <c r="D67" s="274"/>
      <c r="E67" s="294"/>
      <c r="F67" s="547"/>
      <c r="G67" s="1111">
        <f>SUM(G28:G66)</f>
        <v>0</v>
      </c>
      <c r="H67" s="127"/>
      <c r="I67" s="158"/>
      <c r="J67" s="159"/>
      <c r="K67" s="86"/>
      <c r="L67" s="86"/>
      <c r="M67" s="4"/>
      <c r="N67" s="4"/>
      <c r="O67" s="3"/>
      <c r="P67" s="3"/>
      <c r="Q67" s="3"/>
    </row>
    <row r="68" spans="1:17" ht="18" customHeight="1" x14ac:dyDescent="0.35">
      <c r="A68" s="598" t="s">
        <v>1645</v>
      </c>
      <c r="B68" s="493"/>
      <c r="C68" s="11"/>
      <c r="D68" s="11"/>
      <c r="E68" s="104"/>
      <c r="F68" s="548"/>
      <c r="G68" s="85"/>
      <c r="H68" s="11"/>
      <c r="I68" s="158"/>
      <c r="J68" s="159"/>
      <c r="K68" s="86"/>
      <c r="L68" s="86"/>
      <c r="M68" s="4"/>
      <c r="N68" s="4"/>
      <c r="O68" s="3"/>
      <c r="P68" s="3"/>
      <c r="Q68" s="3"/>
    </row>
    <row r="69" spans="1:17" ht="18" customHeight="1" x14ac:dyDescent="0.35">
      <c r="A69" s="494"/>
      <c r="B69" s="495"/>
      <c r="C69" s="11"/>
      <c r="D69" s="11"/>
      <c r="E69" s="11"/>
      <c r="F69" s="548"/>
      <c r="G69" s="127"/>
      <c r="H69" s="86"/>
      <c r="I69" s="158"/>
      <c r="J69" s="159"/>
      <c r="K69" s="86"/>
      <c r="L69" s="86"/>
      <c r="M69" s="4"/>
      <c r="N69" s="4"/>
      <c r="O69" s="3"/>
      <c r="P69" s="3"/>
      <c r="Q69" s="3"/>
    </row>
    <row r="70" spans="1:17" ht="18" customHeight="1" x14ac:dyDescent="0.35">
      <c r="A70" s="282" t="s">
        <v>1646</v>
      </c>
      <c r="B70" s="283"/>
      <c r="C70" s="543"/>
      <c r="D70" s="274"/>
      <c r="E70" s="274"/>
      <c r="F70" s="547"/>
      <c r="G70" s="284"/>
      <c r="H70" s="86"/>
      <c r="I70" s="158"/>
      <c r="J70" s="159"/>
      <c r="K70" s="86"/>
      <c r="L70" s="86"/>
      <c r="M70" s="4"/>
      <c r="N70" s="4"/>
      <c r="O70" s="3"/>
      <c r="P70" s="3"/>
      <c r="Q70" s="3"/>
    </row>
    <row r="71" spans="1:17" ht="18" customHeight="1" x14ac:dyDescent="0.25">
      <c r="A71" s="273">
        <v>715</v>
      </c>
      <c r="B71" s="115" t="s">
        <v>1647</v>
      </c>
      <c r="C71" s="543"/>
      <c r="D71" s="543"/>
      <c r="E71" s="274"/>
      <c r="F71" s="273" t="s">
        <v>1648</v>
      </c>
      <c r="G71" s="666"/>
      <c r="H71" s="127"/>
      <c r="I71" s="158"/>
      <c r="J71" s="159"/>
      <c r="K71" s="127"/>
      <c r="L71" s="127"/>
      <c r="M71" s="4"/>
      <c r="N71" s="4"/>
      <c r="O71" s="3"/>
      <c r="P71" s="3"/>
      <c r="Q71" s="3"/>
    </row>
    <row r="72" spans="1:17" ht="18" customHeight="1" x14ac:dyDescent="0.35">
      <c r="A72" s="273">
        <v>716</v>
      </c>
      <c r="B72" s="115" t="s">
        <v>1649</v>
      </c>
      <c r="C72" s="543"/>
      <c r="D72" s="543"/>
      <c r="E72" s="274"/>
      <c r="F72" s="273" t="s">
        <v>1621</v>
      </c>
      <c r="G72" s="666"/>
      <c r="H72" s="61"/>
      <c r="I72" s="158"/>
      <c r="J72" s="159"/>
      <c r="K72" s="262"/>
      <c r="L72" s="262"/>
      <c r="M72" s="4"/>
      <c r="N72" s="4"/>
      <c r="O72" s="3"/>
      <c r="P72" s="3"/>
      <c r="Q72" s="3"/>
    </row>
    <row r="73" spans="1:17" ht="18" customHeight="1" x14ac:dyDescent="0.3">
      <c r="A73" s="273">
        <v>745</v>
      </c>
      <c r="B73" s="115" t="s">
        <v>1650</v>
      </c>
      <c r="C73" s="543"/>
      <c r="D73" s="543"/>
      <c r="E73" s="274"/>
      <c r="F73" s="273" t="s">
        <v>1637</v>
      </c>
      <c r="G73" s="666"/>
      <c r="H73" s="128"/>
      <c r="I73" s="501" t="str">
        <f>IF(OR(AND(RS!E44&lt;&gt;0,G73=0),AND(RS!E44=0,G73&lt;&gt;0)),"Error",IF(AND(RS!E44=0,G73=0),"",IF(SUM(ABS(G73-RS!E44)/RS!E44)&gt;0.1,"Error","")))</f>
        <v/>
      </c>
      <c r="J73" s="159" t="str">
        <f>IF(OR(AND(RS!E44&lt;&gt;0,G73=0),AND(RS!E44=0,G73&lt;&gt;0)),"Large difference between RG line "&amp;A73&amp;" vs RS line "&amp;RS!A44&amp;" - please correct entries or give reasons in the Memo",IF(AND(RS!E44=0,G73=0),"",IF(SUM(ABS(G73-RS!E44)/RS!E44)&gt;0.1,"Large difference between RG line "&amp;A73&amp;" vs RS line "&amp;RS!A44&amp;" - please correct entries or give reasons in the Memo","")))</f>
        <v/>
      </c>
      <c r="K73" s="127"/>
      <c r="L73" s="127"/>
      <c r="M73" s="4"/>
      <c r="N73" s="4"/>
      <c r="O73" s="3"/>
      <c r="P73" s="3"/>
      <c r="Q73" s="3"/>
    </row>
    <row r="74" spans="1:17" ht="18" customHeight="1" x14ac:dyDescent="0.3">
      <c r="A74" s="273">
        <v>746</v>
      </c>
      <c r="B74" s="115" t="s">
        <v>1651</v>
      </c>
      <c r="C74" s="543"/>
      <c r="D74" s="543"/>
      <c r="E74" s="274"/>
      <c r="F74" s="273" t="s">
        <v>1637</v>
      </c>
      <c r="G74" s="666"/>
      <c r="H74" s="128"/>
      <c r="I74" s="501" t="str">
        <f>IF(OR(AND(RS!E45&lt;&gt;0,G74=0),AND(RS!E45=0,G74&lt;&gt;0)),"Error",IF(AND(RS!E45=0,G74=0),"",IF(SUM(ABS(G74-RS!E45)/RS!E45)&gt;0.1,"Error","")))</f>
        <v/>
      </c>
      <c r="J74" s="159" t="str">
        <f>IF(OR(AND(RS!E45&lt;&gt;0,G74=0),AND(RS!E45=0,G74&lt;&gt;0)),"Large difference between RG line "&amp;A74&amp;" vs RS line "&amp;RS!A45&amp;" - please correct entries or give reasons in the Memo",IF(AND(RS!E45=0,G74=0),"",IF(SUM(ABS(G74-RS!E45)/RS!E45)&gt;0.1,"Large difference between RG line "&amp;A74&amp;" vs RS line "&amp;RS!A45&amp;" - please correct entries or give reasons in the Memo","")))</f>
        <v/>
      </c>
      <c r="K74" s="127"/>
      <c r="L74" s="127"/>
      <c r="M74" s="4"/>
      <c r="N74" s="4"/>
      <c r="O74" s="3"/>
      <c r="P74" s="3"/>
      <c r="Q74" s="3"/>
    </row>
    <row r="75" spans="1:17" ht="18" customHeight="1" x14ac:dyDescent="0.3">
      <c r="A75" s="273">
        <v>747</v>
      </c>
      <c r="B75" s="115" t="s">
        <v>1652</v>
      </c>
      <c r="C75" s="543"/>
      <c r="D75" s="543"/>
      <c r="E75" s="274"/>
      <c r="F75" s="273" t="s">
        <v>1637</v>
      </c>
      <c r="G75" s="666"/>
      <c r="H75" s="128"/>
      <c r="I75" s="501" t="str">
        <f>IF(OR(AND(RS!E46&lt;&gt;0,G75=0),AND(RS!E46=0,G75&lt;&gt;0)),"Error",IF(AND(RS!E46=0,G75=0),"",IF(SUM(ABS(G75-RS!E46)/RS!E46)&gt;0.1,"Error","")))</f>
        <v/>
      </c>
      <c r="J75" s="159" t="str">
        <f>IF(OR(AND(RS!E46&lt;&gt;0,G75=0),AND(RS!E46=0,G75&lt;&gt;0)),"Large difference between RG line "&amp;A75&amp;" vs RS line "&amp;RS!A46&amp;" - please correct entries or give reasons in the Memo",IF(AND(RS!E46=0,G75=0),"",IF(SUM(ABS(G75-RS!E46)/RS!E46)&gt;0.1,"Large difference between RG line "&amp;A75&amp;" vs RS line "&amp;RS!A46&amp;" - please correct entries or give reasons in the Memo","")))</f>
        <v/>
      </c>
      <c r="K75" s="127"/>
      <c r="L75" s="127"/>
      <c r="M75" s="4"/>
      <c r="N75" s="4"/>
      <c r="O75" s="3"/>
      <c r="P75" s="3"/>
      <c r="Q75" s="3"/>
    </row>
    <row r="76" spans="1:17" ht="18" customHeight="1" x14ac:dyDescent="0.35">
      <c r="A76" s="115">
        <v>798</v>
      </c>
      <c r="B76" s="115" t="s">
        <v>1653</v>
      </c>
      <c r="C76" s="543"/>
      <c r="D76" s="274"/>
      <c r="E76" s="274"/>
      <c r="F76" s="274"/>
      <c r="G76" s="1110">
        <f>G185</f>
        <v>0</v>
      </c>
      <c r="H76" s="86"/>
      <c r="I76" s="158"/>
      <c r="J76" s="159"/>
      <c r="K76" s="127"/>
      <c r="L76" s="127"/>
      <c r="M76" s="4"/>
      <c r="N76" s="4"/>
      <c r="O76" s="3"/>
      <c r="P76" s="3"/>
      <c r="Q76" s="3"/>
    </row>
    <row r="77" spans="1:17" ht="15.5" x14ac:dyDescent="0.35">
      <c r="A77" s="285">
        <v>799</v>
      </c>
      <c r="B77" s="285" t="s">
        <v>1654</v>
      </c>
      <c r="C77" s="543"/>
      <c r="D77" s="274"/>
      <c r="E77" s="274"/>
      <c r="F77" s="274"/>
      <c r="G77" s="1111">
        <f>SUM(G71:G76)</f>
        <v>0</v>
      </c>
      <c r="H77" s="129"/>
      <c r="I77" s="158"/>
      <c r="J77" s="159"/>
      <c r="K77" s="127"/>
      <c r="L77" s="127"/>
      <c r="M77" s="4"/>
      <c r="N77" s="4"/>
      <c r="O77" s="3"/>
      <c r="P77" s="3"/>
      <c r="Q77" s="3"/>
    </row>
    <row r="78" spans="1:17" ht="15.5" x14ac:dyDescent="0.35">
      <c r="A78" s="285">
        <v>800</v>
      </c>
      <c r="B78" s="286" t="s">
        <v>1655</v>
      </c>
      <c r="C78" s="543"/>
      <c r="D78" s="274"/>
      <c r="E78" s="286"/>
      <c r="F78" s="274"/>
      <c r="G78" s="467">
        <f>SUM(G67,G77)</f>
        <v>0</v>
      </c>
      <c r="H78" s="129"/>
      <c r="I78" s="158"/>
      <c r="J78" s="159"/>
      <c r="K78" s="127"/>
      <c r="L78" s="127"/>
      <c r="M78" s="4"/>
      <c r="N78" s="4"/>
      <c r="O78" s="3"/>
      <c r="P78" s="3"/>
      <c r="Q78" s="3"/>
    </row>
    <row r="79" spans="1:17" ht="15.5" x14ac:dyDescent="0.35">
      <c r="A79" s="287"/>
      <c r="B79" s="288"/>
      <c r="C79" s="234"/>
      <c r="D79" s="289"/>
      <c r="E79" s="286"/>
      <c r="F79" s="549"/>
      <c r="G79" s="141" t="s">
        <v>1656</v>
      </c>
      <c r="H79" s="263"/>
      <c r="I79" s="263"/>
      <c r="J79" s="263"/>
      <c r="K79" s="254"/>
      <c r="L79" s="254"/>
      <c r="M79" s="112"/>
      <c r="N79" s="112"/>
    </row>
    <row r="80" spans="1:17" ht="15.5" x14ac:dyDescent="0.35">
      <c r="A80" s="264"/>
      <c r="B80" s="265"/>
      <c r="C80" s="11"/>
      <c r="D80" s="11"/>
      <c r="E80" s="11"/>
      <c r="F80" s="251"/>
      <c r="G80" s="263"/>
      <c r="H80" s="263"/>
      <c r="I80" s="263"/>
      <c r="J80" s="263"/>
      <c r="K80" s="254"/>
      <c r="L80" s="254"/>
      <c r="M80" s="112"/>
      <c r="N80" s="112"/>
    </row>
    <row r="81" spans="1:17" ht="15.5" x14ac:dyDescent="0.35">
      <c r="A81" s="264"/>
      <c r="B81" s="265"/>
      <c r="C81" s="11"/>
      <c r="D81" s="11"/>
      <c r="E81" s="502"/>
      <c r="F81" s="251"/>
      <c r="G81" s="263"/>
      <c r="H81" s="263"/>
      <c r="I81" s="263"/>
      <c r="J81" s="263"/>
      <c r="K81" s="254"/>
      <c r="L81" s="254"/>
      <c r="M81" s="112"/>
      <c r="N81" s="112"/>
    </row>
    <row r="82" spans="1:17" ht="20" x14ac:dyDescent="0.4">
      <c r="A82" s="266" t="s">
        <v>1657</v>
      </c>
      <c r="B82" s="194"/>
      <c r="C82" s="112"/>
      <c r="D82" s="11"/>
      <c r="E82" s="502"/>
      <c r="F82" s="251"/>
      <c r="G82" s="263"/>
      <c r="H82" s="263"/>
      <c r="I82" s="263"/>
      <c r="J82" s="263"/>
      <c r="K82" s="254"/>
      <c r="L82" s="254"/>
      <c r="M82" s="112"/>
      <c r="N82" s="112"/>
    </row>
    <row r="83" spans="1:17" ht="15.5" x14ac:dyDescent="0.35">
      <c r="A83" s="264"/>
      <c r="B83" s="194"/>
      <c r="C83" s="502"/>
      <c r="D83" s="11"/>
      <c r="E83" s="502"/>
      <c r="F83" s="251"/>
      <c r="G83" s="112"/>
      <c r="H83" s="263"/>
      <c r="I83" s="263"/>
      <c r="J83" s="263"/>
      <c r="K83" s="254"/>
      <c r="L83" s="254"/>
      <c r="M83" s="112"/>
      <c r="N83" s="112"/>
    </row>
    <row r="84" spans="1:17" ht="17.5" x14ac:dyDescent="0.25">
      <c r="A84" s="267" t="s">
        <v>1658</v>
      </c>
      <c r="B84" s="276"/>
      <c r="C84" s="550"/>
      <c r="D84" s="551"/>
      <c r="E84" s="277"/>
      <c r="F84" s="278" t="s">
        <v>1618</v>
      </c>
      <c r="G84" s="552" t="s">
        <v>1378</v>
      </c>
      <c r="H84" s="268"/>
      <c r="I84" s="268"/>
      <c r="J84" s="268"/>
      <c r="K84" s="254"/>
      <c r="L84" s="254"/>
      <c r="M84" s="112"/>
      <c r="N84" s="112"/>
    </row>
    <row r="85" spans="1:17" ht="18" customHeight="1" x14ac:dyDescent="0.35">
      <c r="A85" s="273">
        <v>801</v>
      </c>
      <c r="B85" s="273" t="s">
        <v>1659</v>
      </c>
      <c r="C85" s="543"/>
      <c r="D85" s="278"/>
      <c r="E85" s="279"/>
      <c r="F85" s="273" t="s">
        <v>1621</v>
      </c>
      <c r="G85" s="666"/>
      <c r="H85" s="127"/>
      <c r="I85" s="127"/>
      <c r="J85" s="127"/>
      <c r="K85" s="86"/>
      <c r="L85" s="86"/>
      <c r="M85" s="4"/>
      <c r="N85" s="4"/>
      <c r="O85" s="3"/>
      <c r="P85" s="3"/>
      <c r="Q85" s="3"/>
    </row>
    <row r="86" spans="1:17" ht="18" customHeight="1" x14ac:dyDescent="0.35">
      <c r="A86" s="273">
        <v>802</v>
      </c>
      <c r="B86" s="273" t="s">
        <v>1660</v>
      </c>
      <c r="C86" s="543"/>
      <c r="D86" s="280"/>
      <c r="E86" s="279"/>
      <c r="F86" s="273" t="s">
        <v>1621</v>
      </c>
      <c r="G86" s="666"/>
      <c r="H86" s="127"/>
      <c r="I86" s="129"/>
      <c r="J86" s="127"/>
      <c r="K86" s="86"/>
      <c r="L86" s="86"/>
      <c r="M86" s="4"/>
      <c r="N86" s="4"/>
      <c r="O86" s="3"/>
      <c r="P86" s="3"/>
      <c r="Q86" s="3"/>
    </row>
    <row r="87" spans="1:17" ht="18" customHeight="1" x14ac:dyDescent="0.35">
      <c r="A87" s="273">
        <v>803</v>
      </c>
      <c r="B87" s="273" t="s">
        <v>1661</v>
      </c>
      <c r="C87" s="543"/>
      <c r="D87" s="280"/>
      <c r="E87" s="279"/>
      <c r="F87" s="273" t="s">
        <v>1621</v>
      </c>
      <c r="G87" s="666"/>
      <c r="H87" s="127"/>
      <c r="I87" s="129"/>
      <c r="J87" s="127"/>
      <c r="K87" s="86"/>
      <c r="L87" s="86"/>
      <c r="M87" s="127"/>
      <c r="N87" s="127"/>
      <c r="O87" s="504"/>
      <c r="P87" s="504"/>
      <c r="Q87" s="504"/>
    </row>
    <row r="88" spans="1:17" ht="18" customHeight="1" x14ac:dyDescent="0.35">
      <c r="A88" s="273">
        <v>804</v>
      </c>
      <c r="B88" s="273" t="s">
        <v>1662</v>
      </c>
      <c r="C88" s="543"/>
      <c r="D88" s="280"/>
      <c r="E88" s="279"/>
      <c r="F88" s="273" t="s">
        <v>1621</v>
      </c>
      <c r="G88" s="666"/>
      <c r="H88" s="127"/>
      <c r="I88" s="129"/>
      <c r="J88" s="127"/>
      <c r="K88" s="86"/>
      <c r="L88" s="86"/>
      <c r="M88" s="127"/>
      <c r="N88" s="127"/>
      <c r="O88" s="504"/>
      <c r="P88" s="504"/>
      <c r="Q88" s="504"/>
    </row>
    <row r="89" spans="1:17" ht="18" customHeight="1" x14ac:dyDescent="0.35">
      <c r="A89" s="273">
        <v>805</v>
      </c>
      <c r="B89" s="281" t="s">
        <v>1663</v>
      </c>
      <c r="C89" s="543"/>
      <c r="D89" s="280"/>
      <c r="E89" s="279"/>
      <c r="F89" s="273" t="s">
        <v>1621</v>
      </c>
      <c r="G89" s="666"/>
      <c r="H89" s="127"/>
      <c r="I89" s="129"/>
      <c r="J89" s="127"/>
      <c r="K89" s="86"/>
      <c r="L89" s="86"/>
      <c r="M89" s="4"/>
      <c r="N89" s="4"/>
      <c r="O89" s="3"/>
      <c r="P89" s="3"/>
      <c r="Q89" s="3"/>
    </row>
    <row r="90" spans="1:17" ht="18" customHeight="1" x14ac:dyDescent="0.35">
      <c r="A90" s="273">
        <v>806</v>
      </c>
      <c r="B90" s="274" t="s">
        <v>1664</v>
      </c>
      <c r="C90" s="274"/>
      <c r="D90" s="274"/>
      <c r="E90" s="274"/>
      <c r="F90" s="273" t="s">
        <v>1621</v>
      </c>
      <c r="G90" s="666"/>
      <c r="H90" s="263"/>
      <c r="I90" s="263"/>
      <c r="J90" s="263"/>
      <c r="K90" s="254"/>
      <c r="L90" s="254"/>
      <c r="M90" s="112"/>
      <c r="N90" s="112"/>
    </row>
    <row r="91" spans="1:17" ht="18" customHeight="1" x14ac:dyDescent="0.35">
      <c r="A91" s="273">
        <v>807</v>
      </c>
      <c r="B91" s="274" t="s">
        <v>1665</v>
      </c>
      <c r="C91" s="274"/>
      <c r="D91" s="274"/>
      <c r="E91" s="274"/>
      <c r="F91" s="273" t="s">
        <v>1666</v>
      </c>
      <c r="G91" s="666"/>
      <c r="H91" s="263"/>
      <c r="I91" s="263"/>
      <c r="J91" s="263"/>
      <c r="K91" s="254"/>
      <c r="L91" s="254"/>
      <c r="M91" s="112"/>
      <c r="N91" s="112"/>
    </row>
    <row r="92" spans="1:17" ht="18" customHeight="1" x14ac:dyDescent="0.35">
      <c r="A92" s="273">
        <v>808</v>
      </c>
      <c r="B92" s="274" t="s">
        <v>1667</v>
      </c>
      <c r="C92" s="274"/>
      <c r="D92" s="274"/>
      <c r="E92" s="274"/>
      <c r="F92" s="273" t="s">
        <v>1666</v>
      </c>
      <c r="G92" s="666"/>
      <c r="H92" s="263"/>
      <c r="I92" s="263"/>
      <c r="J92" s="263"/>
      <c r="K92" s="254"/>
      <c r="L92" s="254"/>
      <c r="M92" s="112"/>
      <c r="N92" s="112"/>
    </row>
    <row r="93" spans="1:17" ht="18" customHeight="1" x14ac:dyDescent="0.35">
      <c r="A93" s="544">
        <v>809</v>
      </c>
      <c r="B93" s="544" t="s">
        <v>1668</v>
      </c>
      <c r="C93" s="410"/>
      <c r="D93" s="411"/>
      <c r="E93" s="553"/>
      <c r="F93" s="544" t="s">
        <v>1666</v>
      </c>
      <c r="G93" s="666"/>
      <c r="H93" s="127"/>
      <c r="I93" s="127"/>
      <c r="J93" s="127"/>
      <c r="K93" s="86"/>
      <c r="L93" s="86"/>
      <c r="M93" s="4"/>
      <c r="N93" s="4"/>
      <c r="O93" s="3"/>
      <c r="P93" s="3"/>
      <c r="Q93" s="3"/>
    </row>
    <row r="94" spans="1:17" ht="18" customHeight="1" x14ac:dyDescent="0.35">
      <c r="A94" s="544">
        <v>810</v>
      </c>
      <c r="B94" s="544" t="s">
        <v>1669</v>
      </c>
      <c r="C94" s="410"/>
      <c r="D94" s="411"/>
      <c r="E94" s="553"/>
      <c r="F94" s="544" t="s">
        <v>1666</v>
      </c>
      <c r="G94" s="666"/>
      <c r="H94" s="127"/>
      <c r="I94" s="127"/>
      <c r="J94" s="127"/>
      <c r="K94" s="86"/>
      <c r="L94" s="86"/>
      <c r="M94" s="4"/>
      <c r="N94" s="4"/>
      <c r="O94" s="3"/>
      <c r="P94" s="3"/>
      <c r="Q94" s="3"/>
    </row>
    <row r="95" spans="1:17" ht="18" customHeight="1" x14ac:dyDescent="0.35">
      <c r="A95" s="544">
        <v>811</v>
      </c>
      <c r="B95" s="544" t="s">
        <v>1670</v>
      </c>
      <c r="C95" s="410"/>
      <c r="D95" s="411"/>
      <c r="E95" s="553"/>
      <c r="F95" s="544" t="s">
        <v>1666</v>
      </c>
      <c r="G95" s="666"/>
      <c r="H95" s="127"/>
      <c r="I95" s="127"/>
      <c r="J95" s="127"/>
      <c r="K95" s="86"/>
      <c r="L95" s="86"/>
      <c r="M95" s="4"/>
      <c r="N95" s="4"/>
      <c r="O95" s="3"/>
      <c r="P95" s="3"/>
      <c r="Q95" s="3"/>
    </row>
    <row r="96" spans="1:17" ht="18" customHeight="1" x14ac:dyDescent="0.35">
      <c r="A96" s="544">
        <v>812</v>
      </c>
      <c r="B96" s="545" t="s">
        <v>1671</v>
      </c>
      <c r="C96" s="410"/>
      <c r="D96" s="411"/>
      <c r="E96" s="553"/>
      <c r="F96" s="544" t="s">
        <v>1672</v>
      </c>
      <c r="G96" s="666"/>
      <c r="H96" s="127"/>
      <c r="I96" s="129"/>
      <c r="J96" s="127"/>
      <c r="K96" s="86"/>
      <c r="L96" s="86"/>
      <c r="M96" s="4"/>
      <c r="N96" s="4"/>
      <c r="O96" s="3"/>
      <c r="P96" s="3"/>
      <c r="Q96" s="3"/>
    </row>
    <row r="97" spans="1:17" ht="18" customHeight="1" x14ac:dyDescent="0.35">
      <c r="A97" s="544">
        <v>813</v>
      </c>
      <c r="B97" s="545" t="s">
        <v>1673</v>
      </c>
      <c r="C97" s="410"/>
      <c r="D97" s="554"/>
      <c r="E97" s="553"/>
      <c r="F97" s="544" t="s">
        <v>1637</v>
      </c>
      <c r="G97" s="666"/>
      <c r="H97" s="127"/>
      <c r="I97" s="129"/>
      <c r="J97" s="127"/>
      <c r="K97" s="86"/>
      <c r="L97" s="86"/>
      <c r="M97" s="4"/>
      <c r="N97" s="4"/>
      <c r="O97" s="3"/>
      <c r="P97" s="3"/>
      <c r="Q97" s="3"/>
    </row>
    <row r="98" spans="1:17" ht="18" customHeight="1" x14ac:dyDescent="0.35">
      <c r="A98" s="544">
        <v>814</v>
      </c>
      <c r="B98" s="544" t="s">
        <v>1674</v>
      </c>
      <c r="C98" s="410"/>
      <c r="D98" s="554"/>
      <c r="E98" s="553"/>
      <c r="F98" s="544" t="s">
        <v>1637</v>
      </c>
      <c r="G98" s="666"/>
      <c r="H98" s="127"/>
      <c r="I98" s="129"/>
      <c r="J98" s="127"/>
      <c r="K98" s="86"/>
      <c r="L98" s="86"/>
      <c r="M98" s="4"/>
      <c r="N98" s="4"/>
      <c r="O98" s="3"/>
      <c r="P98" s="3"/>
      <c r="Q98" s="3"/>
    </row>
    <row r="99" spans="1:17" ht="18" customHeight="1" x14ac:dyDescent="0.35">
      <c r="A99" s="544">
        <v>815</v>
      </c>
      <c r="B99" s="544" t="s">
        <v>1675</v>
      </c>
      <c r="C99" s="410"/>
      <c r="D99" s="554"/>
      <c r="E99" s="553"/>
      <c r="F99" s="544" t="s">
        <v>1637</v>
      </c>
      <c r="G99" s="666"/>
      <c r="H99" s="127"/>
      <c r="I99" s="129"/>
      <c r="J99" s="127"/>
      <c r="K99" s="86"/>
      <c r="L99" s="86"/>
      <c r="M99" s="4"/>
      <c r="N99" s="4"/>
      <c r="O99" s="3"/>
      <c r="P99" s="3"/>
      <c r="Q99" s="3"/>
    </row>
    <row r="100" spans="1:17" ht="18" customHeight="1" x14ac:dyDescent="0.35">
      <c r="A100" s="544">
        <v>816</v>
      </c>
      <c r="B100" s="555" t="s">
        <v>1676</v>
      </c>
      <c r="C100" s="410"/>
      <c r="D100" s="554"/>
      <c r="E100" s="553"/>
      <c r="F100" s="544" t="s">
        <v>1628</v>
      </c>
      <c r="G100" s="666"/>
      <c r="H100" s="127"/>
      <c r="I100" s="127"/>
      <c r="J100" s="127"/>
      <c r="K100" s="86"/>
      <c r="L100" s="86"/>
      <c r="M100" s="4"/>
      <c r="N100" s="4"/>
      <c r="O100" s="3"/>
      <c r="P100" s="3"/>
      <c r="Q100" s="3"/>
    </row>
    <row r="101" spans="1:17" ht="18" customHeight="1" x14ac:dyDescent="0.35">
      <c r="A101" s="544">
        <v>817</v>
      </c>
      <c r="B101" s="555" t="s">
        <v>1677</v>
      </c>
      <c r="C101" s="410"/>
      <c r="D101" s="554"/>
      <c r="E101" s="553"/>
      <c r="F101" s="544" t="s">
        <v>1628</v>
      </c>
      <c r="G101" s="666"/>
      <c r="H101" s="127"/>
      <c r="I101" s="127"/>
      <c r="J101" s="127"/>
      <c r="K101" s="86"/>
      <c r="L101" s="86"/>
      <c r="M101" s="4"/>
      <c r="N101" s="4"/>
      <c r="O101" s="3"/>
      <c r="P101" s="3"/>
      <c r="Q101" s="3"/>
    </row>
    <row r="102" spans="1:17" ht="18" customHeight="1" x14ac:dyDescent="0.35">
      <c r="A102" s="544">
        <v>818</v>
      </c>
      <c r="B102" s="555" t="s">
        <v>1678</v>
      </c>
      <c r="C102" s="410"/>
      <c r="D102" s="554"/>
      <c r="E102" s="553"/>
      <c r="F102" s="544" t="s">
        <v>1628</v>
      </c>
      <c r="G102" s="666"/>
      <c r="H102" s="127"/>
      <c r="I102" s="127"/>
      <c r="J102" s="127"/>
      <c r="K102" s="86"/>
      <c r="L102" s="86"/>
      <c r="M102" s="4"/>
      <c r="N102" s="4"/>
      <c r="O102" s="3"/>
      <c r="P102" s="3"/>
      <c r="Q102" s="3"/>
    </row>
    <row r="103" spans="1:17" ht="18" customHeight="1" x14ac:dyDescent="0.35">
      <c r="A103" s="544">
        <v>819</v>
      </c>
      <c r="B103" s="555" t="s">
        <v>1679</v>
      </c>
      <c r="C103" s="410"/>
      <c r="D103" s="554"/>
      <c r="E103" s="553"/>
      <c r="F103" s="544" t="s">
        <v>1628</v>
      </c>
      <c r="G103" s="666"/>
      <c r="H103" s="127"/>
      <c r="I103" s="129"/>
      <c r="J103" s="129"/>
      <c r="K103" s="86"/>
      <c r="L103" s="86"/>
      <c r="M103" s="4"/>
      <c r="N103" s="4"/>
      <c r="O103" s="3"/>
      <c r="P103" s="3"/>
      <c r="Q103" s="3"/>
    </row>
    <row r="104" spans="1:17" ht="18" customHeight="1" x14ac:dyDescent="0.35">
      <c r="A104" s="544">
        <v>820</v>
      </c>
      <c r="B104" s="555" t="s">
        <v>1680</v>
      </c>
      <c r="C104" s="410"/>
      <c r="D104" s="554"/>
      <c r="E104" s="553"/>
      <c r="F104" s="544" t="s">
        <v>1628</v>
      </c>
      <c r="G104" s="666"/>
      <c r="H104" s="127"/>
      <c r="I104" s="129"/>
      <c r="J104" s="127"/>
      <c r="K104" s="86"/>
      <c r="L104" s="86"/>
      <c r="M104" s="4"/>
      <c r="N104" s="4"/>
      <c r="O104" s="3"/>
      <c r="P104" s="3"/>
      <c r="Q104" s="3"/>
    </row>
    <row r="105" spans="1:17" ht="18" customHeight="1" x14ac:dyDescent="0.35">
      <c r="A105" s="544">
        <v>821</v>
      </c>
      <c r="B105" s="555" t="s">
        <v>1681</v>
      </c>
      <c r="C105" s="410"/>
      <c r="D105" s="554"/>
      <c r="E105" s="553"/>
      <c r="F105" s="544" t="s">
        <v>1628</v>
      </c>
      <c r="G105" s="666"/>
      <c r="H105" s="127"/>
      <c r="I105" s="129"/>
      <c r="J105" s="127"/>
      <c r="K105" s="86"/>
      <c r="L105" s="86"/>
      <c r="M105" s="4"/>
      <c r="N105" s="4"/>
      <c r="O105" s="3"/>
      <c r="P105" s="3"/>
      <c r="Q105" s="3"/>
    </row>
    <row r="106" spans="1:17" ht="18" customHeight="1" x14ac:dyDescent="0.35">
      <c r="A106" s="544">
        <v>823</v>
      </c>
      <c r="B106" s="555" t="s">
        <v>1682</v>
      </c>
      <c r="C106" s="410"/>
      <c r="D106" s="554"/>
      <c r="E106" s="553"/>
      <c r="F106" s="544" t="s">
        <v>1628</v>
      </c>
      <c r="G106" s="666"/>
      <c r="H106" s="258"/>
      <c r="I106" s="129"/>
      <c r="J106" s="127"/>
      <c r="K106" s="86"/>
      <c r="L106" s="86"/>
      <c r="M106" s="4"/>
      <c r="N106" s="4"/>
      <c r="O106" s="3"/>
      <c r="P106" s="3"/>
      <c r="Q106" s="3"/>
    </row>
    <row r="107" spans="1:17" ht="18" customHeight="1" x14ac:dyDescent="0.35">
      <c r="A107" s="544">
        <v>824</v>
      </c>
      <c r="B107" s="545" t="s">
        <v>1683</v>
      </c>
      <c r="C107" s="410"/>
      <c r="D107" s="554"/>
      <c r="E107" s="553"/>
      <c r="F107" s="544" t="s">
        <v>1628</v>
      </c>
      <c r="G107" s="666"/>
      <c r="H107" s="258"/>
      <c r="I107" s="129"/>
      <c r="J107" s="127"/>
      <c r="K107" s="86"/>
      <c r="L107" s="86"/>
      <c r="M107" s="4"/>
      <c r="N107" s="4"/>
      <c r="O107" s="3"/>
      <c r="P107" s="3"/>
      <c r="Q107" s="3"/>
    </row>
    <row r="108" spans="1:17" ht="18" customHeight="1" x14ac:dyDescent="0.35">
      <c r="A108" s="544">
        <v>825</v>
      </c>
      <c r="B108" s="544" t="s">
        <v>1684</v>
      </c>
      <c r="C108" s="410"/>
      <c r="D108" s="554"/>
      <c r="E108" s="553"/>
      <c r="F108" s="544" t="s">
        <v>1628</v>
      </c>
      <c r="G108" s="666"/>
      <c r="H108" s="127"/>
      <c r="I108" s="127"/>
      <c r="J108" s="127"/>
      <c r="K108" s="86"/>
      <c r="L108" s="86"/>
      <c r="M108" s="4"/>
      <c r="N108" s="4"/>
      <c r="O108" s="3"/>
      <c r="P108" s="3"/>
      <c r="Q108" s="3"/>
    </row>
    <row r="109" spans="1:17" ht="18" customHeight="1" x14ac:dyDescent="0.35">
      <c r="A109" s="544">
        <v>826</v>
      </c>
      <c r="B109" s="544" t="s">
        <v>1685</v>
      </c>
      <c r="C109" s="410"/>
      <c r="D109" s="554"/>
      <c r="E109" s="553"/>
      <c r="F109" s="544" t="s">
        <v>1628</v>
      </c>
      <c r="G109" s="666"/>
      <c r="H109" s="127"/>
      <c r="I109" s="129"/>
      <c r="J109" s="127"/>
      <c r="K109" s="86"/>
      <c r="L109" s="86"/>
      <c r="M109" s="127"/>
      <c r="N109" s="127"/>
      <c r="O109" s="504"/>
      <c r="P109" s="504"/>
      <c r="Q109" s="504"/>
    </row>
    <row r="110" spans="1:17" ht="18" customHeight="1" x14ac:dyDescent="0.35">
      <c r="A110" s="544">
        <v>827</v>
      </c>
      <c r="B110" s="545" t="s">
        <v>1686</v>
      </c>
      <c r="C110" s="410"/>
      <c r="D110" s="554"/>
      <c r="E110" s="553"/>
      <c r="F110" s="544" t="s">
        <v>1628</v>
      </c>
      <c r="G110" s="666"/>
      <c r="H110" s="127"/>
      <c r="I110" s="129"/>
      <c r="J110" s="127"/>
      <c r="K110" s="86"/>
      <c r="L110" s="86"/>
      <c r="M110" s="127"/>
      <c r="N110" s="127"/>
      <c r="O110" s="504"/>
      <c r="P110" s="504"/>
      <c r="Q110" s="504"/>
    </row>
    <row r="111" spans="1:17" ht="18" customHeight="1" x14ac:dyDescent="0.35">
      <c r="A111" s="544">
        <v>829</v>
      </c>
      <c r="B111" s="544" t="s">
        <v>1687</v>
      </c>
      <c r="C111" s="410"/>
      <c r="D111" s="554"/>
      <c r="E111" s="553"/>
      <c r="F111" s="544" t="s">
        <v>1628</v>
      </c>
      <c r="G111" s="666"/>
      <c r="H111" s="127"/>
      <c r="I111" s="129"/>
      <c r="J111" s="127"/>
      <c r="K111" s="86"/>
      <c r="L111" s="86"/>
      <c r="M111" s="127"/>
      <c r="N111" s="127"/>
      <c r="O111" s="504"/>
      <c r="P111" s="504"/>
      <c r="Q111" s="504"/>
    </row>
    <row r="112" spans="1:17" ht="18" customHeight="1" x14ac:dyDescent="0.35">
      <c r="A112" s="544">
        <v>830</v>
      </c>
      <c r="B112" s="555" t="s">
        <v>1688</v>
      </c>
      <c r="C112" s="555"/>
      <c r="D112" s="555"/>
      <c r="E112" s="555"/>
      <c r="F112" s="544" t="s">
        <v>1628</v>
      </c>
      <c r="G112" s="666"/>
      <c r="H112" s="263"/>
      <c r="I112" s="263"/>
      <c r="J112" s="263"/>
      <c r="K112" s="254"/>
      <c r="L112" s="254"/>
      <c r="M112" s="112"/>
      <c r="N112" s="112"/>
    </row>
    <row r="113" spans="1:17" ht="18" customHeight="1" x14ac:dyDescent="0.35">
      <c r="A113" s="544">
        <v>831</v>
      </c>
      <c r="B113" s="555" t="s">
        <v>1689</v>
      </c>
      <c r="C113" s="555"/>
      <c r="D113" s="555"/>
      <c r="E113" s="555"/>
      <c r="F113" s="544" t="s">
        <v>1628</v>
      </c>
      <c r="G113" s="666"/>
      <c r="H113" s="263"/>
      <c r="I113" s="263"/>
      <c r="J113" s="263"/>
      <c r="K113" s="254"/>
      <c r="L113" s="254"/>
      <c r="M113" s="112"/>
      <c r="N113" s="112"/>
    </row>
    <row r="114" spans="1:17" ht="18" customHeight="1" x14ac:dyDescent="0.35">
      <c r="A114" s="544">
        <v>832</v>
      </c>
      <c r="B114" s="555" t="s">
        <v>1690</v>
      </c>
      <c r="C114" s="555"/>
      <c r="D114" s="555"/>
      <c r="E114" s="555"/>
      <c r="F114" s="544" t="s">
        <v>1628</v>
      </c>
      <c r="G114" s="666"/>
      <c r="H114" s="263"/>
      <c r="I114" s="263"/>
      <c r="J114" s="263"/>
      <c r="K114" s="254"/>
      <c r="L114" s="254"/>
      <c r="M114" s="112"/>
      <c r="N114" s="112"/>
    </row>
    <row r="115" spans="1:17" ht="18" customHeight="1" x14ac:dyDescent="0.35">
      <c r="A115" s="544">
        <v>833</v>
      </c>
      <c r="B115" s="555" t="s">
        <v>1691</v>
      </c>
      <c r="C115" s="555"/>
      <c r="D115" s="555"/>
      <c r="E115" s="555"/>
      <c r="F115" s="544" t="s">
        <v>1628</v>
      </c>
      <c r="G115" s="666"/>
      <c r="H115" s="263"/>
      <c r="I115" s="263"/>
      <c r="J115" s="263"/>
      <c r="K115" s="254"/>
      <c r="L115" s="254"/>
      <c r="M115" s="112"/>
      <c r="N115" s="112"/>
    </row>
    <row r="116" spans="1:17" ht="18" customHeight="1" x14ac:dyDescent="0.35">
      <c r="A116" s="544">
        <v>834</v>
      </c>
      <c r="B116" s="555" t="s">
        <v>1692</v>
      </c>
      <c r="C116" s="555"/>
      <c r="D116" s="555"/>
      <c r="E116" s="555"/>
      <c r="F116" s="544" t="s">
        <v>1628</v>
      </c>
      <c r="G116" s="666"/>
      <c r="H116" s="263"/>
      <c r="I116" s="263"/>
      <c r="J116" s="263"/>
      <c r="K116" s="254"/>
      <c r="L116" s="254"/>
      <c r="M116" s="112"/>
      <c r="N116" s="112"/>
    </row>
    <row r="117" spans="1:17" ht="18" customHeight="1" x14ac:dyDescent="0.35">
      <c r="A117" s="544">
        <v>835</v>
      </c>
      <c r="B117" s="555" t="s">
        <v>1693</v>
      </c>
      <c r="C117" s="555"/>
      <c r="D117" s="555"/>
      <c r="E117" s="555"/>
      <c r="F117" s="544" t="s">
        <v>1694</v>
      </c>
      <c r="G117" s="666"/>
      <c r="H117" s="263"/>
      <c r="I117" s="263"/>
      <c r="J117" s="263"/>
      <c r="K117" s="254"/>
      <c r="L117" s="254"/>
      <c r="M117" s="112"/>
      <c r="N117" s="112"/>
    </row>
    <row r="118" spans="1:17" ht="18" customHeight="1" x14ac:dyDescent="0.35">
      <c r="A118" s="544">
        <v>836</v>
      </c>
      <c r="B118" s="555" t="s">
        <v>1695</v>
      </c>
      <c r="C118" s="410"/>
      <c r="D118" s="554"/>
      <c r="E118" s="553"/>
      <c r="F118" s="544" t="s">
        <v>1694</v>
      </c>
      <c r="G118" s="666"/>
      <c r="H118" s="127"/>
      <c r="I118" s="129"/>
      <c r="J118" s="127"/>
      <c r="K118" s="86"/>
      <c r="L118" s="86"/>
      <c r="M118" s="127"/>
      <c r="N118" s="127"/>
      <c r="O118" s="504"/>
      <c r="P118" s="504"/>
      <c r="Q118" s="504"/>
    </row>
    <row r="119" spans="1:17" ht="18" customHeight="1" x14ac:dyDescent="0.35">
      <c r="A119" s="544">
        <v>837</v>
      </c>
      <c r="B119" s="545" t="s">
        <v>1696</v>
      </c>
      <c r="C119" s="410"/>
      <c r="D119" s="554"/>
      <c r="E119" s="553"/>
      <c r="F119" s="544" t="s">
        <v>1694</v>
      </c>
      <c r="G119" s="666"/>
      <c r="H119" s="127"/>
      <c r="I119" s="129"/>
      <c r="J119" s="127"/>
      <c r="K119" s="86"/>
      <c r="L119" s="86"/>
      <c r="M119" s="127"/>
      <c r="N119" s="127"/>
      <c r="O119" s="504"/>
      <c r="P119" s="504"/>
      <c r="Q119" s="504"/>
    </row>
    <row r="120" spans="1:17" ht="18" customHeight="1" x14ac:dyDescent="0.35">
      <c r="A120" s="544">
        <v>838</v>
      </c>
      <c r="B120" s="555" t="s">
        <v>1697</v>
      </c>
      <c r="C120" s="555"/>
      <c r="D120" s="555"/>
      <c r="E120" s="555"/>
      <c r="F120" s="544" t="s">
        <v>1694</v>
      </c>
      <c r="G120" s="666"/>
      <c r="H120" s="263"/>
      <c r="I120" s="263"/>
      <c r="J120" s="263"/>
      <c r="K120" s="254"/>
      <c r="L120" s="254"/>
      <c r="M120" s="112"/>
      <c r="N120" s="112"/>
    </row>
    <row r="121" spans="1:17" ht="18" customHeight="1" x14ac:dyDescent="0.35">
      <c r="A121" s="544">
        <v>839</v>
      </c>
      <c r="B121" s="555" t="s">
        <v>1698</v>
      </c>
      <c r="C121" s="555"/>
      <c r="D121" s="555"/>
      <c r="E121" s="555"/>
      <c r="F121" s="544" t="s">
        <v>1642</v>
      </c>
      <c r="G121" s="666"/>
      <c r="H121" s="263"/>
      <c r="I121" s="263"/>
      <c r="J121" s="263"/>
      <c r="K121" s="254"/>
      <c r="L121" s="254"/>
      <c r="M121" s="112"/>
      <c r="N121" s="112"/>
    </row>
    <row r="122" spans="1:17" ht="18" customHeight="1" x14ac:dyDescent="0.35">
      <c r="A122" s="544">
        <v>840</v>
      </c>
      <c r="B122" s="556" t="s">
        <v>1699</v>
      </c>
      <c r="C122" s="490"/>
      <c r="D122" s="557"/>
      <c r="E122" s="558"/>
      <c r="F122" s="559" t="s">
        <v>1642</v>
      </c>
      <c r="G122" s="666"/>
      <c r="H122" s="127"/>
      <c r="I122" s="129"/>
      <c r="J122" s="127"/>
      <c r="K122" s="86"/>
      <c r="L122" s="86"/>
      <c r="M122" s="127"/>
      <c r="N122" s="127"/>
      <c r="O122" s="504"/>
      <c r="P122" s="504"/>
      <c r="Q122" s="504"/>
    </row>
    <row r="123" spans="1:17" ht="18" customHeight="1" x14ac:dyDescent="0.35">
      <c r="A123" s="544">
        <v>841</v>
      </c>
      <c r="B123" s="559" t="s">
        <v>1700</v>
      </c>
      <c r="C123" s="490"/>
      <c r="D123" s="557"/>
      <c r="E123" s="558"/>
      <c r="F123" s="559" t="s">
        <v>1642</v>
      </c>
      <c r="G123" s="666"/>
      <c r="H123" s="127"/>
      <c r="I123" s="129"/>
      <c r="J123" s="127"/>
      <c r="K123" s="86"/>
      <c r="L123" s="86"/>
      <c r="M123" s="127"/>
      <c r="N123" s="127"/>
      <c r="O123" s="504"/>
      <c r="P123" s="504"/>
      <c r="Q123" s="504"/>
    </row>
    <row r="124" spans="1:17" ht="18" customHeight="1" x14ac:dyDescent="0.35">
      <c r="A124" s="544">
        <v>842</v>
      </c>
      <c r="B124" s="559" t="s">
        <v>1701</v>
      </c>
      <c r="C124" s="490"/>
      <c r="D124" s="557"/>
      <c r="E124" s="558"/>
      <c r="F124" s="559" t="s">
        <v>1702</v>
      </c>
      <c r="G124" s="666"/>
      <c r="H124" s="127"/>
      <c r="I124" s="129"/>
      <c r="J124" s="127"/>
      <c r="K124" s="86"/>
      <c r="L124" s="86"/>
      <c r="M124" s="127"/>
      <c r="N124" s="127"/>
      <c r="O124" s="504"/>
      <c r="P124" s="504"/>
      <c r="Q124" s="504"/>
    </row>
    <row r="125" spans="1:17" ht="18" customHeight="1" x14ac:dyDescent="0.35">
      <c r="A125" s="273">
        <v>843</v>
      </c>
      <c r="B125" s="783" t="s">
        <v>1703</v>
      </c>
      <c r="C125" s="412"/>
      <c r="D125" s="413"/>
      <c r="E125" s="414"/>
      <c r="F125" s="784" t="s">
        <v>1704</v>
      </c>
      <c r="G125" s="666"/>
      <c r="H125" s="127"/>
      <c r="I125" s="129"/>
      <c r="J125" s="127"/>
      <c r="K125" s="86"/>
      <c r="L125" s="86"/>
      <c r="M125" s="127"/>
      <c r="N125" s="127"/>
      <c r="O125" s="504"/>
      <c r="P125" s="504"/>
      <c r="Q125" s="504"/>
    </row>
    <row r="126" spans="1:17" ht="18" customHeight="1" x14ac:dyDescent="0.35">
      <c r="A126" s="273">
        <v>844</v>
      </c>
      <c r="B126" s="412"/>
      <c r="C126" s="412"/>
      <c r="D126" s="412"/>
      <c r="E126" s="412"/>
      <c r="F126" s="415"/>
      <c r="G126" s="666"/>
      <c r="H126" s="263"/>
      <c r="I126" s="263"/>
      <c r="J126" s="263"/>
      <c r="K126" s="254"/>
      <c r="L126" s="254"/>
      <c r="M126" s="112"/>
      <c r="N126" s="112"/>
    </row>
    <row r="127" spans="1:17" ht="18" customHeight="1" x14ac:dyDescent="0.35">
      <c r="A127" s="273">
        <v>845</v>
      </c>
      <c r="B127" s="412"/>
      <c r="C127" s="412"/>
      <c r="D127" s="412"/>
      <c r="E127" s="412"/>
      <c r="F127" s="415"/>
      <c r="G127" s="666"/>
      <c r="H127" s="263"/>
      <c r="I127" s="263"/>
      <c r="J127" s="263"/>
      <c r="K127" s="254"/>
      <c r="L127" s="254"/>
      <c r="M127" s="112"/>
      <c r="N127" s="112"/>
    </row>
    <row r="128" spans="1:17" ht="18" customHeight="1" x14ac:dyDescent="0.35">
      <c r="A128" s="273">
        <v>846</v>
      </c>
      <c r="B128" s="412"/>
      <c r="C128" s="412"/>
      <c r="D128" s="412"/>
      <c r="E128" s="412"/>
      <c r="F128" s="415"/>
      <c r="G128" s="666"/>
      <c r="H128" s="263"/>
      <c r="I128" s="263"/>
      <c r="J128" s="263"/>
      <c r="K128" s="254"/>
      <c r="L128" s="254"/>
      <c r="M128" s="112"/>
      <c r="N128" s="112"/>
    </row>
    <row r="129" spans="1:14" ht="18" customHeight="1" x14ac:dyDescent="0.35">
      <c r="A129" s="273">
        <v>847</v>
      </c>
      <c r="B129" s="412"/>
      <c r="C129" s="412"/>
      <c r="D129" s="412"/>
      <c r="E129" s="412"/>
      <c r="F129" s="415"/>
      <c r="G129" s="666"/>
      <c r="H129" s="263"/>
      <c r="I129" s="263"/>
      <c r="J129" s="263"/>
      <c r="K129" s="254"/>
      <c r="L129" s="254"/>
      <c r="M129" s="112"/>
      <c r="N129" s="112"/>
    </row>
    <row r="130" spans="1:14" ht="18" customHeight="1" x14ac:dyDescent="0.35">
      <c r="A130" s="273">
        <v>848</v>
      </c>
      <c r="B130" s="412"/>
      <c r="C130" s="412"/>
      <c r="D130" s="412"/>
      <c r="E130" s="412"/>
      <c r="F130" s="415"/>
      <c r="G130" s="666"/>
      <c r="H130" s="263"/>
      <c r="I130" s="263"/>
      <c r="J130" s="263"/>
      <c r="K130" s="254"/>
      <c r="L130" s="254"/>
      <c r="M130" s="112"/>
      <c r="N130" s="112"/>
    </row>
    <row r="131" spans="1:14" ht="18" customHeight="1" x14ac:dyDescent="0.35">
      <c r="A131" s="273">
        <v>849</v>
      </c>
      <c r="B131" s="412"/>
      <c r="C131" s="412"/>
      <c r="D131" s="412"/>
      <c r="E131" s="412"/>
      <c r="F131" s="415"/>
      <c r="G131" s="666"/>
      <c r="H131" s="263"/>
      <c r="I131" s="263"/>
      <c r="J131" s="263"/>
      <c r="K131" s="254"/>
      <c r="L131" s="254"/>
      <c r="M131" s="112"/>
      <c r="N131" s="112"/>
    </row>
    <row r="132" spans="1:14" ht="18" customHeight="1" x14ac:dyDescent="0.35">
      <c r="A132" s="273">
        <v>850</v>
      </c>
      <c r="B132" s="412"/>
      <c r="C132" s="412"/>
      <c r="D132" s="412"/>
      <c r="E132" s="412"/>
      <c r="F132" s="415"/>
      <c r="G132" s="666"/>
      <c r="H132" s="263"/>
      <c r="I132" s="263"/>
      <c r="J132" s="263"/>
      <c r="K132" s="254"/>
      <c r="L132" s="254"/>
      <c r="M132" s="112"/>
      <c r="N132" s="112"/>
    </row>
    <row r="133" spans="1:14" ht="18" customHeight="1" x14ac:dyDescent="0.35">
      <c r="A133" s="273">
        <v>851</v>
      </c>
      <c r="B133" s="412"/>
      <c r="C133" s="412"/>
      <c r="D133" s="412"/>
      <c r="E133" s="412"/>
      <c r="F133" s="415"/>
      <c r="G133" s="666"/>
      <c r="H133" s="263"/>
      <c r="I133" s="263"/>
      <c r="J133" s="263"/>
      <c r="K133" s="254"/>
      <c r="L133" s="254"/>
      <c r="M133" s="112"/>
      <c r="N133" s="112"/>
    </row>
    <row r="134" spans="1:14" ht="18" customHeight="1" x14ac:dyDescent="0.35">
      <c r="A134" s="273">
        <v>852</v>
      </c>
      <c r="B134" s="412"/>
      <c r="C134" s="412"/>
      <c r="D134" s="412"/>
      <c r="E134" s="412"/>
      <c r="F134" s="415"/>
      <c r="G134" s="666"/>
      <c r="H134" s="263"/>
      <c r="I134" s="263"/>
      <c r="J134" s="263"/>
      <c r="K134" s="254"/>
      <c r="L134" s="254"/>
      <c r="M134" s="112"/>
      <c r="N134" s="112"/>
    </row>
    <row r="135" spans="1:14" ht="18" customHeight="1" x14ac:dyDescent="0.35">
      <c r="A135" s="273">
        <v>853</v>
      </c>
      <c r="B135" s="412"/>
      <c r="C135" s="412"/>
      <c r="D135" s="412"/>
      <c r="E135" s="412"/>
      <c r="F135" s="415"/>
      <c r="G135" s="666"/>
      <c r="H135" s="263"/>
      <c r="I135" s="263"/>
      <c r="J135" s="263"/>
      <c r="K135" s="254"/>
      <c r="L135" s="254"/>
      <c r="M135" s="112"/>
      <c r="N135" s="112"/>
    </row>
    <row r="136" spans="1:14" ht="18" customHeight="1" x14ac:dyDescent="0.35">
      <c r="A136" s="273">
        <v>854</v>
      </c>
      <c r="B136" s="412"/>
      <c r="C136" s="412"/>
      <c r="D136" s="412"/>
      <c r="E136" s="412"/>
      <c r="F136" s="415"/>
      <c r="G136" s="666"/>
      <c r="H136" s="263"/>
      <c r="I136" s="263"/>
      <c r="J136" s="263"/>
      <c r="K136" s="254"/>
      <c r="L136" s="254"/>
      <c r="M136" s="112"/>
      <c r="N136" s="112"/>
    </row>
    <row r="137" spans="1:14" ht="18" customHeight="1" x14ac:dyDescent="0.35">
      <c r="A137" s="273">
        <v>855</v>
      </c>
      <c r="B137" s="412"/>
      <c r="C137" s="412"/>
      <c r="D137" s="412"/>
      <c r="E137" s="412"/>
      <c r="F137" s="415"/>
      <c r="G137" s="666"/>
      <c r="H137" s="263"/>
      <c r="I137" s="263"/>
      <c r="J137" s="263"/>
      <c r="K137" s="254"/>
      <c r="L137" s="254"/>
      <c r="M137" s="112"/>
      <c r="N137" s="112"/>
    </row>
    <row r="138" spans="1:14" ht="18" customHeight="1" x14ac:dyDescent="0.35">
      <c r="A138" s="273">
        <v>856</v>
      </c>
      <c r="B138" s="412"/>
      <c r="C138" s="412"/>
      <c r="D138" s="412"/>
      <c r="E138" s="412"/>
      <c r="F138" s="415"/>
      <c r="G138" s="666"/>
      <c r="H138" s="263"/>
      <c r="I138" s="263"/>
      <c r="J138" s="263"/>
      <c r="K138" s="254"/>
      <c r="L138" s="254"/>
      <c r="M138" s="112"/>
      <c r="N138" s="112"/>
    </row>
    <row r="139" spans="1:14" ht="18" customHeight="1" x14ac:dyDescent="0.35">
      <c r="A139" s="273">
        <v>857</v>
      </c>
      <c r="B139" s="412"/>
      <c r="C139" s="412"/>
      <c r="D139" s="412"/>
      <c r="E139" s="412"/>
      <c r="F139" s="415"/>
      <c r="G139" s="666"/>
      <c r="H139" s="263"/>
      <c r="I139" s="263"/>
      <c r="J139" s="263"/>
      <c r="K139" s="254"/>
      <c r="L139" s="254"/>
      <c r="M139" s="112"/>
      <c r="N139" s="112"/>
    </row>
    <row r="140" spans="1:14" ht="18" customHeight="1" x14ac:dyDescent="0.35">
      <c r="A140" s="273">
        <v>858</v>
      </c>
      <c r="B140" s="412"/>
      <c r="C140" s="412"/>
      <c r="D140" s="412"/>
      <c r="E140" s="412"/>
      <c r="F140" s="415"/>
      <c r="G140" s="666"/>
      <c r="H140" s="263"/>
      <c r="I140" s="263"/>
      <c r="J140" s="263"/>
      <c r="K140" s="254"/>
      <c r="L140" s="254"/>
      <c r="M140" s="112"/>
      <c r="N140" s="112"/>
    </row>
    <row r="141" spans="1:14" ht="18" customHeight="1" x14ac:dyDescent="0.35">
      <c r="A141" s="273">
        <v>859</v>
      </c>
      <c r="B141" s="412"/>
      <c r="C141" s="412"/>
      <c r="D141" s="412"/>
      <c r="E141" s="412"/>
      <c r="F141" s="415"/>
      <c r="G141" s="666"/>
      <c r="H141" s="263"/>
      <c r="I141" s="263"/>
      <c r="J141" s="263"/>
      <c r="K141" s="254"/>
      <c r="L141" s="254"/>
      <c r="M141" s="112"/>
      <c r="N141" s="112"/>
    </row>
    <row r="142" spans="1:14" ht="18" customHeight="1" x14ac:dyDescent="0.35">
      <c r="A142" s="273">
        <v>860</v>
      </c>
      <c r="B142" s="412"/>
      <c r="C142" s="412"/>
      <c r="D142" s="412"/>
      <c r="E142" s="412"/>
      <c r="F142" s="415"/>
      <c r="G142" s="666"/>
      <c r="H142" s="263"/>
      <c r="I142" s="263"/>
      <c r="J142" s="263"/>
      <c r="K142" s="254"/>
      <c r="L142" s="254"/>
      <c r="M142" s="112"/>
      <c r="N142" s="112"/>
    </row>
    <row r="143" spans="1:14" ht="18" customHeight="1" x14ac:dyDescent="0.35">
      <c r="A143" s="273">
        <v>861</v>
      </c>
      <c r="B143" s="412"/>
      <c r="C143" s="412"/>
      <c r="D143" s="412"/>
      <c r="E143" s="412"/>
      <c r="F143" s="415"/>
      <c r="G143" s="666"/>
      <c r="H143" s="263"/>
      <c r="I143" s="263"/>
      <c r="J143" s="263"/>
      <c r="K143" s="254"/>
      <c r="L143" s="254"/>
      <c r="M143" s="112"/>
      <c r="N143" s="112"/>
    </row>
    <row r="144" spans="1:14" ht="18" customHeight="1" x14ac:dyDescent="0.35">
      <c r="A144" s="273">
        <v>862</v>
      </c>
      <c r="B144" s="412"/>
      <c r="C144" s="412"/>
      <c r="D144" s="412"/>
      <c r="E144" s="412"/>
      <c r="F144" s="415"/>
      <c r="G144" s="666"/>
      <c r="H144" s="263"/>
      <c r="I144" s="263"/>
      <c r="J144" s="263"/>
      <c r="K144" s="254"/>
      <c r="L144" s="254"/>
      <c r="M144" s="112"/>
      <c r="N144" s="112"/>
    </row>
    <row r="145" spans="1:14" ht="18" customHeight="1" x14ac:dyDescent="0.35">
      <c r="A145" s="273">
        <v>863</v>
      </c>
      <c r="B145" s="412"/>
      <c r="C145" s="412"/>
      <c r="D145" s="412"/>
      <c r="E145" s="412"/>
      <c r="F145" s="415"/>
      <c r="G145" s="666"/>
      <c r="H145" s="263"/>
      <c r="I145" s="263"/>
      <c r="J145" s="263"/>
      <c r="K145" s="254"/>
      <c r="L145" s="254"/>
      <c r="M145" s="112"/>
      <c r="N145" s="112"/>
    </row>
    <row r="146" spans="1:14" ht="18" customHeight="1" x14ac:dyDescent="0.35">
      <c r="A146" s="273">
        <v>864</v>
      </c>
      <c r="B146" s="412"/>
      <c r="C146" s="412"/>
      <c r="D146" s="412"/>
      <c r="E146" s="412"/>
      <c r="F146" s="415"/>
      <c r="G146" s="666"/>
      <c r="H146" s="263"/>
      <c r="I146" s="263"/>
      <c r="J146" s="263"/>
      <c r="K146" s="254"/>
      <c r="L146" s="254"/>
      <c r="M146" s="112"/>
      <c r="N146" s="112"/>
    </row>
    <row r="147" spans="1:14" ht="18" customHeight="1" x14ac:dyDescent="0.35">
      <c r="A147" s="273">
        <v>865</v>
      </c>
      <c r="B147" s="412"/>
      <c r="C147" s="412"/>
      <c r="D147" s="412"/>
      <c r="E147" s="412"/>
      <c r="F147" s="415"/>
      <c r="G147" s="666"/>
      <c r="H147" s="263"/>
      <c r="I147" s="263"/>
      <c r="J147" s="263"/>
      <c r="K147" s="254"/>
      <c r="L147" s="254"/>
      <c r="M147" s="112"/>
      <c r="N147" s="112"/>
    </row>
    <row r="148" spans="1:14" ht="18" customHeight="1" x14ac:dyDescent="0.35">
      <c r="A148" s="273">
        <v>866</v>
      </c>
      <c r="B148" s="412"/>
      <c r="C148" s="412"/>
      <c r="D148" s="412"/>
      <c r="E148" s="412"/>
      <c r="F148" s="415"/>
      <c r="G148" s="666"/>
      <c r="H148" s="263"/>
      <c r="I148" s="263"/>
      <c r="J148" s="263"/>
      <c r="K148" s="254"/>
      <c r="L148" s="254"/>
      <c r="M148" s="112"/>
      <c r="N148" s="112"/>
    </row>
    <row r="149" spans="1:14" ht="18" customHeight="1" x14ac:dyDescent="0.35">
      <c r="A149" s="273">
        <v>867</v>
      </c>
      <c r="B149" s="412"/>
      <c r="C149" s="412"/>
      <c r="D149" s="412"/>
      <c r="E149" s="412"/>
      <c r="F149" s="415"/>
      <c r="G149" s="666"/>
      <c r="H149" s="263"/>
      <c r="I149" s="263"/>
      <c r="J149" s="263"/>
      <c r="K149" s="254"/>
      <c r="L149" s="254"/>
      <c r="M149" s="112"/>
      <c r="N149" s="112"/>
    </row>
    <row r="150" spans="1:14" ht="18" customHeight="1" x14ac:dyDescent="0.35">
      <c r="A150" s="273">
        <v>868</v>
      </c>
      <c r="B150" s="412"/>
      <c r="C150" s="412"/>
      <c r="D150" s="412"/>
      <c r="E150" s="412"/>
      <c r="F150" s="415"/>
      <c r="G150" s="666"/>
      <c r="H150" s="263"/>
      <c r="I150" s="263"/>
      <c r="J150" s="263"/>
      <c r="K150" s="254"/>
      <c r="L150" s="254"/>
      <c r="M150" s="112"/>
      <c r="N150" s="112"/>
    </row>
    <row r="151" spans="1:14" ht="18" customHeight="1" x14ac:dyDescent="0.35">
      <c r="A151" s="273">
        <v>869</v>
      </c>
      <c r="B151" s="412"/>
      <c r="C151" s="412"/>
      <c r="D151" s="412"/>
      <c r="E151" s="412"/>
      <c r="F151" s="415"/>
      <c r="G151" s="666"/>
      <c r="H151" s="263"/>
      <c r="I151" s="263"/>
      <c r="J151" s="263"/>
      <c r="K151" s="254"/>
      <c r="L151" s="254"/>
      <c r="M151" s="112"/>
      <c r="N151" s="112"/>
    </row>
    <row r="152" spans="1:14" ht="18" customHeight="1" x14ac:dyDescent="0.35">
      <c r="A152" s="273">
        <v>898</v>
      </c>
      <c r="B152" s="1218" t="s">
        <v>1705</v>
      </c>
      <c r="C152" s="1220"/>
      <c r="D152" s="1220"/>
      <c r="E152" s="1220"/>
      <c r="F152" s="547"/>
      <c r="G152" s="666"/>
      <c r="H152" s="263"/>
      <c r="I152" s="263"/>
      <c r="J152" s="263"/>
      <c r="K152" s="254"/>
      <c r="L152" s="254"/>
      <c r="M152" s="112"/>
      <c r="N152" s="112"/>
    </row>
    <row r="153" spans="1:14" ht="18" customHeight="1" x14ac:dyDescent="0.35">
      <c r="A153" s="278">
        <v>899</v>
      </c>
      <c r="B153" s="1216" t="s">
        <v>1706</v>
      </c>
      <c r="C153" s="1217"/>
      <c r="D153" s="1217"/>
      <c r="E153" s="1217"/>
      <c r="F153" s="560"/>
      <c r="G153" s="667">
        <f>SUM(G85:G152)</f>
        <v>0</v>
      </c>
      <c r="H153" s="263"/>
      <c r="I153" s="263"/>
      <c r="J153" s="263"/>
      <c r="K153" s="254"/>
      <c r="L153" s="254"/>
      <c r="M153" s="112"/>
      <c r="N153" s="112"/>
    </row>
    <row r="154" spans="1:14" ht="18" customHeight="1" x14ac:dyDescent="0.35">
      <c r="A154" s="264"/>
      <c r="B154" s="541"/>
      <c r="C154" s="195"/>
      <c r="D154" s="112"/>
      <c r="E154" s="112"/>
      <c r="F154" s="561"/>
      <c r="G154" s="263"/>
      <c r="H154" s="263"/>
      <c r="I154" s="263"/>
      <c r="J154" s="263"/>
      <c r="K154" s="254"/>
      <c r="L154" s="254"/>
      <c r="M154" s="112"/>
      <c r="N154" s="112"/>
    </row>
    <row r="155" spans="1:14" ht="18" customHeight="1" x14ac:dyDescent="0.35">
      <c r="A155" s="264"/>
      <c r="B155" s="541"/>
      <c r="C155" s="195"/>
      <c r="D155" s="112"/>
      <c r="E155" s="112"/>
      <c r="F155" s="561"/>
      <c r="G155" s="263"/>
      <c r="H155" s="263"/>
      <c r="I155" s="263"/>
      <c r="J155" s="263"/>
      <c r="K155" s="254"/>
      <c r="L155" s="254"/>
      <c r="M155" s="112"/>
      <c r="N155" s="112"/>
    </row>
    <row r="156" spans="1:14" ht="18" customHeight="1" x14ac:dyDescent="0.4">
      <c r="A156" s="269" t="s">
        <v>1707</v>
      </c>
      <c r="B156" s="11"/>
      <c r="C156" s="195"/>
      <c r="D156" s="112"/>
      <c r="E156" s="112"/>
      <c r="F156" s="561"/>
      <c r="G156" s="263"/>
      <c r="H156" s="263"/>
      <c r="I156" s="263"/>
      <c r="J156" s="263"/>
      <c r="K156" s="254"/>
      <c r="L156" s="254"/>
      <c r="M156" s="112"/>
      <c r="N156" s="112"/>
    </row>
    <row r="157" spans="1:14" ht="18" customHeight="1" x14ac:dyDescent="0.4">
      <c r="A157" s="269"/>
      <c r="B157" s="11"/>
      <c r="C157" s="195"/>
      <c r="D157" s="112"/>
      <c r="E157" s="112"/>
      <c r="F157" s="561"/>
      <c r="G157" s="263"/>
      <c r="H157" s="263"/>
      <c r="I157" s="263"/>
      <c r="J157" s="263"/>
      <c r="K157" s="254"/>
      <c r="L157" s="254"/>
      <c r="M157" s="112"/>
      <c r="N157" s="112"/>
    </row>
    <row r="158" spans="1:14" ht="18" customHeight="1" x14ac:dyDescent="0.35">
      <c r="A158" s="267" t="s">
        <v>1708</v>
      </c>
      <c r="B158" s="711"/>
      <c r="C158" s="711"/>
      <c r="D158" s="183"/>
      <c r="E158" s="183"/>
      <c r="F158" s="278" t="s">
        <v>1618</v>
      </c>
      <c r="G158" s="552" t="s">
        <v>1378</v>
      </c>
      <c r="H158" s="263"/>
      <c r="I158" s="263"/>
      <c r="J158" s="263"/>
      <c r="K158" s="254"/>
      <c r="L158" s="254"/>
      <c r="M158" s="112"/>
      <c r="N158" s="112"/>
    </row>
    <row r="159" spans="1:14" ht="18" customHeight="1" x14ac:dyDescent="0.35">
      <c r="A159" s="273">
        <v>901</v>
      </c>
      <c r="B159" s="115" t="s">
        <v>1709</v>
      </c>
      <c r="C159" s="543"/>
      <c r="D159" s="543"/>
      <c r="E159" s="274"/>
      <c r="F159" s="273" t="s">
        <v>1621</v>
      </c>
      <c r="G159" s="666"/>
      <c r="H159" s="61"/>
      <c r="I159" s="270"/>
      <c r="J159" s="127"/>
      <c r="K159" s="262"/>
      <c r="L159" s="262"/>
      <c r="M159" s="112"/>
      <c r="N159" s="112"/>
    </row>
    <row r="160" spans="1:14" ht="18" customHeight="1" x14ac:dyDescent="0.35">
      <c r="A160" s="273">
        <v>902</v>
      </c>
      <c r="B160" s="273" t="s">
        <v>1710</v>
      </c>
      <c r="C160" s="543"/>
      <c r="D160" s="543"/>
      <c r="E160" s="274"/>
      <c r="F160" s="273" t="s">
        <v>1637</v>
      </c>
      <c r="G160" s="666"/>
      <c r="H160" s="128"/>
      <c r="I160" s="271"/>
      <c r="J160" s="127"/>
      <c r="K160" s="86"/>
      <c r="L160" s="86"/>
      <c r="M160" s="112"/>
      <c r="N160" s="112"/>
    </row>
    <row r="161" spans="1:14" ht="18" customHeight="1" x14ac:dyDescent="0.3">
      <c r="A161" s="273">
        <v>903</v>
      </c>
      <c r="B161" s="273" t="s">
        <v>1711</v>
      </c>
      <c r="C161" s="543"/>
      <c r="D161" s="543"/>
      <c r="E161" s="274"/>
      <c r="F161" s="273" t="s">
        <v>1628</v>
      </c>
      <c r="G161" s="666"/>
      <c r="H161" s="127"/>
      <c r="I161" s="272"/>
      <c r="J161" s="127"/>
      <c r="K161" s="127"/>
      <c r="L161" s="127"/>
      <c r="M161" s="112"/>
      <c r="N161" s="112"/>
    </row>
    <row r="162" spans="1:14" ht="18" customHeight="1" x14ac:dyDescent="0.3">
      <c r="A162" s="273">
        <v>904</v>
      </c>
      <c r="B162" s="115" t="s">
        <v>1712</v>
      </c>
      <c r="C162" s="543"/>
      <c r="D162" s="543"/>
      <c r="E162" s="274"/>
      <c r="F162" s="273" t="s">
        <v>1713</v>
      </c>
      <c r="G162" s="666"/>
      <c r="H162" s="127"/>
      <c r="I162" s="68"/>
      <c r="J162" s="127"/>
      <c r="K162" s="127"/>
      <c r="L162" s="127"/>
      <c r="M162" s="112"/>
      <c r="N162" s="112"/>
    </row>
    <row r="163" spans="1:14" ht="18" customHeight="1" x14ac:dyDescent="0.25">
      <c r="A163" s="273">
        <v>905</v>
      </c>
      <c r="B163" s="274" t="s">
        <v>1714</v>
      </c>
      <c r="C163" s="273"/>
      <c r="D163" s="274"/>
      <c r="E163" s="273"/>
      <c r="F163" s="273" t="s">
        <v>1694</v>
      </c>
      <c r="G163" s="666"/>
      <c r="H163" s="254"/>
      <c r="I163" s="254"/>
      <c r="J163" s="254"/>
      <c r="K163" s="254"/>
      <c r="L163" s="254"/>
      <c r="M163" s="112"/>
      <c r="N163" s="112"/>
    </row>
    <row r="164" spans="1:14" ht="18" customHeight="1" x14ac:dyDescent="0.35">
      <c r="A164" s="273">
        <v>906</v>
      </c>
      <c r="B164" s="274" t="s">
        <v>1715</v>
      </c>
      <c r="C164" s="273"/>
      <c r="D164" s="274"/>
      <c r="E164" s="273"/>
      <c r="F164" s="273" t="s">
        <v>1704</v>
      </c>
      <c r="G164" s="666"/>
      <c r="H164" s="10"/>
      <c r="I164" s="10"/>
      <c r="J164" s="10"/>
      <c r="K164" s="254"/>
      <c r="L164" s="254"/>
      <c r="M164" s="112"/>
      <c r="N164" s="112"/>
    </row>
    <row r="165" spans="1:14" ht="18" customHeight="1" x14ac:dyDescent="0.35">
      <c r="A165" s="273">
        <v>907</v>
      </c>
      <c r="B165" s="115" t="s">
        <v>1716</v>
      </c>
      <c r="C165" s="543"/>
      <c r="D165" s="274"/>
      <c r="E165" s="274"/>
      <c r="F165" s="273" t="s">
        <v>1704</v>
      </c>
      <c r="G165" s="666"/>
      <c r="H165" s="86"/>
      <c r="I165" s="86"/>
      <c r="J165" s="86"/>
      <c r="K165" s="86"/>
      <c r="L165" s="86"/>
      <c r="M165" s="112"/>
      <c r="N165" s="112"/>
    </row>
    <row r="166" spans="1:14" ht="18" customHeight="1" x14ac:dyDescent="0.35">
      <c r="A166" s="273">
        <v>908</v>
      </c>
      <c r="B166" s="273" t="s">
        <v>1717</v>
      </c>
      <c r="C166" s="543"/>
      <c r="D166" s="274"/>
      <c r="E166" s="274"/>
      <c r="F166" s="273" t="s">
        <v>1704</v>
      </c>
      <c r="G166" s="666"/>
      <c r="H166" s="86"/>
      <c r="I166" s="86"/>
      <c r="J166" s="86"/>
      <c r="K166" s="86"/>
      <c r="L166" s="86"/>
      <c r="M166" s="112"/>
      <c r="N166" s="112"/>
    </row>
    <row r="167" spans="1:14" ht="18" customHeight="1" x14ac:dyDescent="0.3">
      <c r="A167" s="273">
        <v>909</v>
      </c>
      <c r="B167" s="694" t="s">
        <v>1718</v>
      </c>
      <c r="C167" s="543"/>
      <c r="D167" s="543"/>
      <c r="E167" s="274"/>
      <c r="F167" s="115" t="s">
        <v>1719</v>
      </c>
      <c r="G167" s="666"/>
      <c r="H167" s="127"/>
      <c r="I167" s="68"/>
      <c r="J167" s="127"/>
      <c r="K167" s="127"/>
      <c r="L167" s="127"/>
      <c r="M167" s="112"/>
      <c r="N167" s="112"/>
    </row>
    <row r="168" spans="1:14" ht="18" customHeight="1" x14ac:dyDescent="0.3">
      <c r="A168" s="273">
        <v>910</v>
      </c>
      <c r="B168" s="416"/>
      <c r="C168" s="412"/>
      <c r="D168" s="412"/>
      <c r="E168" s="412"/>
      <c r="F168" s="415"/>
      <c r="G168" s="666"/>
      <c r="H168" s="127"/>
      <c r="I168" s="68"/>
      <c r="J168" s="127"/>
      <c r="K168" s="127"/>
      <c r="L168" s="127"/>
      <c r="M168" s="112"/>
      <c r="N168" s="112"/>
    </row>
    <row r="169" spans="1:14" ht="18" customHeight="1" x14ac:dyDescent="0.25">
      <c r="A169" s="273">
        <v>911</v>
      </c>
      <c r="B169" s="412"/>
      <c r="C169" s="412"/>
      <c r="D169" s="412"/>
      <c r="E169" s="412"/>
      <c r="F169" s="415"/>
      <c r="G169" s="666"/>
      <c r="H169" s="112"/>
      <c r="I169" s="112"/>
      <c r="J169" s="112"/>
      <c r="K169" s="112"/>
      <c r="L169" s="112"/>
      <c r="M169" s="112"/>
      <c r="N169" s="112"/>
    </row>
    <row r="170" spans="1:14" ht="18" customHeight="1" x14ac:dyDescent="0.25">
      <c r="A170" s="273">
        <v>912</v>
      </c>
      <c r="B170" s="412"/>
      <c r="C170" s="412"/>
      <c r="D170" s="412"/>
      <c r="E170" s="412"/>
      <c r="F170" s="415"/>
      <c r="G170" s="666"/>
      <c r="H170" s="112"/>
      <c r="I170" s="112"/>
      <c r="J170" s="112"/>
      <c r="K170" s="112"/>
      <c r="L170" s="112"/>
      <c r="M170" s="112"/>
      <c r="N170" s="112"/>
    </row>
    <row r="171" spans="1:14" ht="18" customHeight="1" x14ac:dyDescent="0.25">
      <c r="A171" s="273">
        <v>913</v>
      </c>
      <c r="B171" s="412"/>
      <c r="C171" s="412"/>
      <c r="D171" s="412"/>
      <c r="E171" s="412"/>
      <c r="F171" s="415"/>
      <c r="G171" s="666"/>
      <c r="H171" s="112"/>
      <c r="I171" s="112"/>
      <c r="J171" s="112"/>
      <c r="K171" s="112"/>
      <c r="L171" s="112"/>
      <c r="M171" s="112"/>
      <c r="N171" s="112"/>
    </row>
    <row r="172" spans="1:14" ht="18" customHeight="1" x14ac:dyDescent="0.25">
      <c r="A172" s="273">
        <v>914</v>
      </c>
      <c r="B172" s="412"/>
      <c r="C172" s="412"/>
      <c r="D172" s="412"/>
      <c r="E172" s="412"/>
      <c r="F172" s="415"/>
      <c r="G172" s="666"/>
      <c r="H172" s="112"/>
      <c r="I172" s="112"/>
      <c r="J172" s="112"/>
      <c r="K172" s="112"/>
      <c r="L172" s="112"/>
      <c r="M172" s="112"/>
      <c r="N172" s="112"/>
    </row>
    <row r="173" spans="1:14" ht="18" customHeight="1" x14ac:dyDescent="0.25">
      <c r="A173" s="273">
        <v>915</v>
      </c>
      <c r="B173" s="412"/>
      <c r="C173" s="412"/>
      <c r="D173" s="412"/>
      <c r="E173" s="412"/>
      <c r="F173" s="415"/>
      <c r="G173" s="666"/>
      <c r="H173" s="112"/>
      <c r="I173" s="112"/>
      <c r="J173" s="112"/>
      <c r="K173" s="112"/>
      <c r="L173" s="112"/>
      <c r="M173" s="112"/>
      <c r="N173" s="112"/>
    </row>
    <row r="174" spans="1:14" ht="18" customHeight="1" x14ac:dyDescent="0.25">
      <c r="A174" s="273">
        <v>916</v>
      </c>
      <c r="B174" s="412"/>
      <c r="C174" s="412"/>
      <c r="D174" s="412"/>
      <c r="E174" s="412"/>
      <c r="F174" s="415"/>
      <c r="G174" s="666"/>
      <c r="H174" s="112"/>
      <c r="I174" s="112"/>
      <c r="J174" s="112"/>
      <c r="K174" s="112"/>
      <c r="L174" s="112"/>
      <c r="M174" s="112"/>
      <c r="N174" s="112"/>
    </row>
    <row r="175" spans="1:14" ht="18" customHeight="1" x14ac:dyDescent="0.25">
      <c r="A175" s="273">
        <v>917</v>
      </c>
      <c r="B175" s="412"/>
      <c r="C175" s="412"/>
      <c r="D175" s="412"/>
      <c r="E175" s="412"/>
      <c r="F175" s="415"/>
      <c r="G175" s="666"/>
      <c r="H175" s="112"/>
      <c r="I175" s="112"/>
      <c r="J175" s="112"/>
      <c r="K175" s="112"/>
      <c r="L175" s="112"/>
      <c r="M175" s="112"/>
      <c r="N175" s="112"/>
    </row>
    <row r="176" spans="1:14" ht="18" customHeight="1" x14ac:dyDescent="0.25">
      <c r="A176" s="273">
        <v>918</v>
      </c>
      <c r="B176" s="412"/>
      <c r="C176" s="412"/>
      <c r="D176" s="412"/>
      <c r="E176" s="412"/>
      <c r="F176" s="415"/>
      <c r="G176" s="666"/>
      <c r="H176" s="112"/>
      <c r="I176" s="112"/>
      <c r="J176" s="112"/>
      <c r="K176" s="112"/>
      <c r="L176" s="112"/>
      <c r="M176" s="112"/>
      <c r="N176" s="112"/>
    </row>
    <row r="177" spans="1:14" ht="18" customHeight="1" x14ac:dyDescent="0.25">
      <c r="A177" s="273">
        <v>919</v>
      </c>
      <c r="B177" s="412"/>
      <c r="C177" s="412"/>
      <c r="D177" s="412"/>
      <c r="E177" s="412"/>
      <c r="F177" s="415"/>
      <c r="G177" s="666"/>
      <c r="H177" s="112"/>
      <c r="I177" s="112"/>
      <c r="J177" s="112"/>
      <c r="K177" s="112"/>
      <c r="L177" s="112"/>
      <c r="M177" s="112"/>
      <c r="N177" s="112"/>
    </row>
    <row r="178" spans="1:14" ht="18" customHeight="1" x14ac:dyDescent="0.25">
      <c r="A178" s="273">
        <v>920</v>
      </c>
      <c r="B178" s="412"/>
      <c r="C178" s="412"/>
      <c r="D178" s="412"/>
      <c r="E178" s="412"/>
      <c r="F178" s="415"/>
      <c r="G178" s="666"/>
      <c r="H178" s="112"/>
      <c r="I178" s="112"/>
      <c r="J178" s="112"/>
      <c r="K178" s="112"/>
      <c r="L178" s="112"/>
      <c r="M178" s="112"/>
      <c r="N178" s="112"/>
    </row>
    <row r="179" spans="1:14" ht="18" customHeight="1" x14ac:dyDescent="0.25">
      <c r="A179" s="273">
        <v>921</v>
      </c>
      <c r="B179" s="412"/>
      <c r="C179" s="412"/>
      <c r="D179" s="412"/>
      <c r="E179" s="412"/>
      <c r="F179" s="415"/>
      <c r="G179" s="666"/>
      <c r="H179" s="112"/>
      <c r="I179" s="112"/>
      <c r="J179" s="112"/>
      <c r="K179" s="112"/>
      <c r="L179" s="112"/>
      <c r="M179" s="112"/>
      <c r="N179" s="112"/>
    </row>
    <row r="180" spans="1:14" ht="18" customHeight="1" x14ac:dyDescent="0.25">
      <c r="A180" s="273">
        <v>922</v>
      </c>
      <c r="B180" s="412"/>
      <c r="C180" s="412"/>
      <c r="D180" s="412"/>
      <c r="E180" s="412"/>
      <c r="F180" s="415"/>
      <c r="G180" s="666"/>
      <c r="H180" s="112"/>
      <c r="I180" s="112"/>
      <c r="J180" s="112"/>
      <c r="K180" s="112"/>
      <c r="L180" s="112"/>
      <c r="M180" s="112"/>
      <c r="N180" s="112"/>
    </row>
    <row r="181" spans="1:14" ht="18" customHeight="1" x14ac:dyDescent="0.25">
      <c r="A181" s="273">
        <v>923</v>
      </c>
      <c r="B181" s="412"/>
      <c r="C181" s="412"/>
      <c r="D181" s="412"/>
      <c r="E181" s="412"/>
      <c r="F181" s="415"/>
      <c r="G181" s="666"/>
      <c r="H181" s="112"/>
      <c r="I181" s="112"/>
      <c r="J181" s="112"/>
      <c r="K181" s="112"/>
      <c r="L181" s="112"/>
      <c r="M181" s="112"/>
      <c r="N181" s="112"/>
    </row>
    <row r="182" spans="1:14" ht="18" customHeight="1" x14ac:dyDescent="0.25">
      <c r="A182" s="273">
        <v>924</v>
      </c>
      <c r="B182" s="412"/>
      <c r="C182" s="412"/>
      <c r="D182" s="412"/>
      <c r="E182" s="412"/>
      <c r="F182" s="415"/>
      <c r="G182" s="666"/>
      <c r="H182" s="112"/>
      <c r="I182" s="112"/>
      <c r="J182" s="112"/>
      <c r="K182" s="112"/>
      <c r="L182" s="112"/>
      <c r="M182" s="112"/>
      <c r="N182" s="112"/>
    </row>
    <row r="183" spans="1:14" ht="18" customHeight="1" x14ac:dyDescent="0.25">
      <c r="A183" s="273">
        <v>925</v>
      </c>
      <c r="B183" s="412"/>
      <c r="C183" s="412"/>
      <c r="D183" s="412"/>
      <c r="E183" s="412"/>
      <c r="F183" s="415"/>
      <c r="G183" s="666"/>
      <c r="H183" s="112"/>
      <c r="I183" s="112"/>
      <c r="J183" s="112"/>
      <c r="K183" s="112"/>
      <c r="L183" s="112"/>
      <c r="M183" s="112"/>
      <c r="N183" s="112"/>
    </row>
    <row r="184" spans="1:14" ht="18" customHeight="1" x14ac:dyDescent="0.25">
      <c r="A184" s="273">
        <v>998</v>
      </c>
      <c r="B184" s="1218" t="s">
        <v>1720</v>
      </c>
      <c r="C184" s="1219"/>
      <c r="D184" s="1219"/>
      <c r="E184" s="1219"/>
      <c r="F184" s="275"/>
      <c r="G184" s="666"/>
      <c r="H184" s="112"/>
      <c r="I184" s="112"/>
      <c r="J184" s="112"/>
      <c r="K184" s="112"/>
      <c r="L184" s="112"/>
      <c r="M184" s="112"/>
      <c r="N184" s="112"/>
    </row>
    <row r="185" spans="1:14" ht="18" customHeight="1" x14ac:dyDescent="0.25">
      <c r="A185" s="278">
        <v>999</v>
      </c>
      <c r="B185" s="1216" t="s">
        <v>1721</v>
      </c>
      <c r="C185" s="1217"/>
      <c r="D185" s="1217"/>
      <c r="E185" s="1217"/>
      <c r="F185" s="275"/>
      <c r="G185" s="667">
        <f>SUM(G159:G184)</f>
        <v>0</v>
      </c>
      <c r="H185" s="112"/>
      <c r="I185" s="112"/>
      <c r="J185" s="112"/>
      <c r="K185" s="112"/>
      <c r="L185" s="112"/>
      <c r="M185" s="112"/>
      <c r="N185" s="112"/>
    </row>
    <row r="186" spans="1:14" ht="15.5" x14ac:dyDescent="0.35">
      <c r="A186" s="264"/>
      <c r="B186" s="265"/>
      <c r="C186" s="11"/>
      <c r="D186" s="11"/>
      <c r="E186" s="11"/>
      <c r="F186" s="251"/>
      <c r="G186" s="112"/>
      <c r="H186" s="112"/>
      <c r="I186" s="112"/>
      <c r="J186" s="112"/>
      <c r="K186" s="112"/>
      <c r="L186" s="112"/>
      <c r="M186" s="112"/>
      <c r="N186" s="112"/>
    </row>
    <row r="187" spans="1:14" ht="15.5" x14ac:dyDescent="0.35">
      <c r="A187" s="248"/>
      <c r="B187" s="69"/>
      <c r="C187" s="112"/>
      <c r="D187" s="112"/>
      <c r="E187" s="112"/>
      <c r="F187" s="541"/>
      <c r="G187" s="112"/>
      <c r="H187" s="112"/>
      <c r="I187" s="112"/>
      <c r="J187" s="112"/>
      <c r="K187" s="112"/>
      <c r="L187" s="112"/>
      <c r="M187" s="112"/>
      <c r="N187" s="112"/>
    </row>
    <row r="188" spans="1:14" x14ac:dyDescent="0.25"/>
    <row r="189" spans="1:14" x14ac:dyDescent="0.25"/>
    <row r="190" spans="1:14" x14ac:dyDescent="0.25"/>
    <row r="191" spans="1:14" x14ac:dyDescent="0.25"/>
    <row r="192" spans="1:14"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sheetData>
  <sheetProtection sheet="1" objects="1" scenarios="1"/>
  <protectedRanges>
    <protectedRange sqref="B106" name="Range1_1"/>
    <protectedRange sqref="B90:E92 B112:E117 B120:E121" name="Range1_3"/>
    <protectedRange sqref="B163:B164 D163:D164" name="Range1_5"/>
    <protectedRange sqref="G43:G44 G47 G32:G41" name="Range1"/>
  </protectedRanges>
  <mergeCells count="10">
    <mergeCell ref="A1:N1"/>
    <mergeCell ref="A9:M9"/>
    <mergeCell ref="A10:M10"/>
    <mergeCell ref="A12:M12"/>
    <mergeCell ref="B152:E152"/>
    <mergeCell ref="B153:E153"/>
    <mergeCell ref="B185:E185"/>
    <mergeCell ref="B184:E184"/>
    <mergeCell ref="A14:M14"/>
    <mergeCell ref="A15:M15"/>
  </mergeCells>
  <phoneticPr fontId="0" type="noConversion"/>
  <conditionalFormatting sqref="A17">
    <cfRule type="containsText" dxfId="150" priority="27" operator="containsText" text="resolve">
      <formula>NOT(ISERROR(SEARCH("resolve",A17)))</formula>
    </cfRule>
  </conditionalFormatting>
  <conditionalFormatting sqref="B17">
    <cfRule type="expression" dxfId="149" priority="17">
      <formula>ISNUMBER(SEARCH(Z17,A17))</formula>
    </cfRule>
  </conditionalFormatting>
  <conditionalFormatting sqref="C17">
    <cfRule type="expression" dxfId="148" priority="16">
      <formula>ISNUMBER(SEARCH(Z17,A17))</formula>
    </cfRule>
  </conditionalFormatting>
  <conditionalFormatting sqref="D17">
    <cfRule type="expression" dxfId="147" priority="15">
      <formula>ISNUMBER(SEARCH(Z17,A17))</formula>
    </cfRule>
  </conditionalFormatting>
  <conditionalFormatting sqref="E17">
    <cfRule type="expression" dxfId="146" priority="14">
      <formula>ISNUMBER(SEARCH(Z17,A17))</formula>
    </cfRule>
  </conditionalFormatting>
  <conditionalFormatting sqref="F17">
    <cfRule type="expression" dxfId="145" priority="13">
      <formula>ISNUMBER(SEARCH(Z17,A17))</formula>
    </cfRule>
  </conditionalFormatting>
  <conditionalFormatting sqref="G17">
    <cfRule type="expression" dxfId="144" priority="12">
      <formula>ISNUMBER(SEARCH(Z17,A17))</formula>
    </cfRule>
  </conditionalFormatting>
  <conditionalFormatting sqref="H17">
    <cfRule type="expression" dxfId="143" priority="11">
      <formula>ISNUMBER(SEARCH(Z17,A17))</formula>
    </cfRule>
  </conditionalFormatting>
  <conditionalFormatting sqref="I17">
    <cfRule type="expression" dxfId="142" priority="10">
      <formula>ISNUMBER(SEARCH(Z17,A17))</formula>
    </cfRule>
  </conditionalFormatting>
  <conditionalFormatting sqref="I28:I79">
    <cfRule type="containsText" dxfId="141" priority="29" operator="containsText" text="Information">
      <formula>NOT(ISERROR(SEARCH("Information",I28)))</formula>
    </cfRule>
    <cfRule type="containsText" dxfId="140" priority="30" operator="containsText" text="Warning">
      <formula>NOT(ISERROR(SEARCH("Warning",I28)))</formula>
    </cfRule>
    <cfRule type="containsText" dxfId="139" priority="31" operator="containsText" text="Error">
      <formula>NOT(ISERROR(SEARCH("Error",I28)))</formula>
    </cfRule>
  </conditionalFormatting>
  <conditionalFormatting sqref="J17">
    <cfRule type="expression" dxfId="138" priority="9">
      <formula>ISNUMBER(SEARCH(Z17,A17))</formula>
    </cfRule>
  </conditionalFormatting>
  <conditionalFormatting sqref="J28:J79">
    <cfRule type="containsText" dxfId="137" priority="28" operator="containsText" text=" ">
      <formula>NOT(ISERROR(SEARCH(" ",J28)))</formula>
    </cfRule>
  </conditionalFormatting>
  <dataValidations count="1">
    <dataValidation allowBlank="1" showInputMessage="1" showErrorMessage="1" promptTitle="Flexible Homelessness Support" prompt="Please note up until 2016-17 DWP temporary accomodation management fee was netted off of the relevent expenditure lines. Now it has been replaced by a grant, it should no longer be netted off" sqref="B40" xr:uid="{4DE2E747-A07E-46A4-9BB2-BE53DAA8F809}"/>
  </dataValidations>
  <printOptions horizontalCentered="1"/>
  <pageMargins left="0.39370078740157483" right="0.39370078740157483" top="0.39370078740157483" bottom="0.39370078740157483" header="0.19685039370078741" footer="0.19685039370078741"/>
  <pageSetup paperSize="9" scale="55" fitToHeight="4" orientation="landscape" r:id="rId1"/>
  <headerFooter alignWithMargins="0"/>
  <ignoredErrors>
    <ignoredError sqref="G25 G84 G158" numberStoredAsText="1"/>
    <ignoredError sqref="G66" unlocked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theme="8" tint="0.79998168889431442"/>
  </sheetPr>
  <dimension ref="A1:AK50"/>
  <sheetViews>
    <sheetView showGridLines="0" zoomScale="80" zoomScaleNormal="80" workbookViewId="0">
      <pane ySplit="1" topLeftCell="A2" activePane="bottomLeft" state="frozen"/>
      <selection pane="bottomLeft" sqref="A1:N1"/>
    </sheetView>
  </sheetViews>
  <sheetFormatPr defaultColWidth="0" defaultRowHeight="12.5" zeroHeight="1" x14ac:dyDescent="0.25"/>
  <cols>
    <col min="1" max="1" width="8.7265625" customWidth="1"/>
    <col min="2" max="2" width="85.7265625" customWidth="1"/>
    <col min="3" max="3" width="6.7265625" customWidth="1"/>
    <col min="4" max="10" width="16.7265625" customWidth="1"/>
    <col min="11" max="11" width="2.7265625" customWidth="1"/>
    <col min="12" max="13" width="16.7265625" customWidth="1"/>
    <col min="14" max="14" width="2.7265625" customWidth="1"/>
    <col min="15" max="15" width="60.7265625" customWidth="1"/>
    <col min="16" max="16" width="9.26953125" customWidth="1"/>
    <col min="17" max="17" width="29.26953125" customWidth="1"/>
    <col min="18" max="16384" width="12.54296875" hidden="1"/>
  </cols>
  <sheetData>
    <row r="1" spans="1:15" ht="60" customHeight="1" x14ac:dyDescent="0.25">
      <c r="A1" s="1206" t="str">
        <f>ContactDetails!A36</f>
        <v>IMPORTANT: Please DO NOT alter this spreadsheet by inserting/deleting, merging any cells, or even using cut &amp; paste, as the data from this spreadsheet are directly transferred into the DLUHC database by a macro and these could break the references in the form.</v>
      </c>
      <c r="B1" s="1206"/>
      <c r="C1" s="1206"/>
      <c r="D1" s="1207"/>
      <c r="E1" s="1207"/>
      <c r="F1" s="1207"/>
      <c r="G1" s="1207"/>
      <c r="H1" s="1207"/>
      <c r="I1" s="1207"/>
      <c r="J1" s="1207"/>
      <c r="K1" s="1207"/>
      <c r="L1" s="1207"/>
      <c r="M1" s="1207"/>
      <c r="N1" s="1207"/>
    </row>
    <row r="2" spans="1:15" ht="12.75" customHeight="1" x14ac:dyDescent="0.35">
      <c r="A2" s="178"/>
      <c r="B2" s="178"/>
      <c r="C2" s="179"/>
      <c r="D2" s="180"/>
      <c r="E2" s="4"/>
      <c r="F2" s="4"/>
      <c r="G2" s="54"/>
      <c r="H2" s="181"/>
      <c r="I2" s="112"/>
      <c r="J2" s="112"/>
      <c r="K2" s="112"/>
      <c r="L2" s="112"/>
      <c r="M2" s="112"/>
      <c r="N2" s="112"/>
    </row>
    <row r="3" spans="1:15" ht="27.75" customHeight="1" x14ac:dyDescent="0.6">
      <c r="A3" s="178"/>
      <c r="B3" s="178"/>
      <c r="C3" s="179"/>
      <c r="D3" s="180"/>
      <c r="E3" s="4"/>
      <c r="F3" s="4"/>
      <c r="G3" s="112"/>
      <c r="H3" s="112"/>
      <c r="I3" s="112"/>
      <c r="J3" s="112"/>
      <c r="K3" s="112"/>
      <c r="L3" s="112"/>
      <c r="M3" s="165" t="str">
        <f>"RO1 "&amp;fyear</f>
        <v>RO1 2022-23</v>
      </c>
      <c r="N3" s="112"/>
    </row>
    <row r="4" spans="1:15" ht="12.75" customHeight="1" x14ac:dyDescent="0.35">
      <c r="A4" s="178"/>
      <c r="B4" s="178"/>
      <c r="C4" s="179"/>
      <c r="D4" s="180"/>
      <c r="E4" s="4"/>
      <c r="F4" s="4"/>
      <c r="G4" s="112"/>
      <c r="H4" s="112"/>
      <c r="I4" s="112"/>
      <c r="J4" s="112"/>
      <c r="K4" s="112"/>
      <c r="L4" s="112"/>
      <c r="M4" s="112"/>
      <c r="N4" s="112"/>
    </row>
    <row r="5" spans="1:15" ht="12.75" customHeight="1" x14ac:dyDescent="0.35">
      <c r="A5" s="178"/>
      <c r="B5" s="178"/>
      <c r="C5" s="179"/>
      <c r="D5" s="180"/>
      <c r="E5" s="4"/>
      <c r="F5" s="4"/>
      <c r="G5" s="112"/>
      <c r="H5" s="112"/>
      <c r="I5" s="112"/>
      <c r="J5" s="112"/>
      <c r="K5" s="112"/>
      <c r="L5" s="112"/>
      <c r="M5" s="112"/>
      <c r="N5" s="112"/>
    </row>
    <row r="6" spans="1:15" ht="12.75" customHeight="1" x14ac:dyDescent="0.35">
      <c r="A6" s="178"/>
      <c r="B6" s="178"/>
      <c r="C6" s="179"/>
      <c r="D6" s="180"/>
      <c r="E6" s="4"/>
      <c r="F6" s="4"/>
      <c r="G6" s="112"/>
      <c r="H6" s="112"/>
      <c r="I6" s="112"/>
      <c r="J6" s="112"/>
      <c r="K6" s="112"/>
      <c r="L6" s="112"/>
      <c r="M6" s="112"/>
      <c r="N6" s="112"/>
    </row>
    <row r="7" spans="1:15" ht="12.75" customHeight="1" x14ac:dyDescent="0.35">
      <c r="A7" s="178"/>
      <c r="B7" s="178"/>
      <c r="C7" s="179"/>
      <c r="D7" s="180"/>
      <c r="E7" s="4"/>
      <c r="F7" s="4"/>
      <c r="G7" s="112"/>
      <c r="H7" s="112"/>
      <c r="I7" s="112"/>
      <c r="J7" s="112"/>
      <c r="K7" s="112"/>
      <c r="L7" s="112"/>
      <c r="M7" s="112"/>
      <c r="N7" s="112"/>
    </row>
    <row r="8" spans="1:15" ht="12.75" customHeight="1" x14ac:dyDescent="0.35">
      <c r="A8" s="178"/>
      <c r="B8" s="178"/>
      <c r="C8" s="179"/>
      <c r="D8" s="180"/>
      <c r="E8" s="4"/>
      <c r="F8" s="4"/>
      <c r="G8" s="112"/>
      <c r="H8" s="112"/>
      <c r="I8" s="112"/>
      <c r="J8" s="112"/>
      <c r="K8" s="112"/>
      <c r="L8" s="112"/>
      <c r="M8" s="112"/>
      <c r="N8" s="112"/>
    </row>
    <row r="9" spans="1:15" s="132" customFormat="1" ht="33" customHeight="1" x14ac:dyDescent="0.25">
      <c r="A9" s="1195" t="str">
        <f>RS!$A$10</f>
        <v>General Fund Revenue Account Outturn</v>
      </c>
      <c r="B9" s="1195"/>
      <c r="C9" s="1195"/>
      <c r="D9" s="1195"/>
      <c r="E9" s="1195"/>
      <c r="F9" s="1195"/>
      <c r="G9" s="1195"/>
      <c r="H9" s="1195"/>
      <c r="I9" s="1195"/>
      <c r="J9" s="1195"/>
      <c r="K9" s="1195"/>
      <c r="L9" s="1195"/>
      <c r="M9" s="1195"/>
      <c r="N9" s="183"/>
    </row>
    <row r="10" spans="1:15" s="132" customFormat="1" ht="33" customHeight="1" x14ac:dyDescent="0.25">
      <c r="A10" s="1214" t="str">
        <f>"RO1 – EDUCATION SERVICES "&amp;fyear</f>
        <v>RO1 – EDUCATION SERVICES 2022-23</v>
      </c>
      <c r="B10" s="1214"/>
      <c r="C10" s="1214"/>
      <c r="D10" s="1214"/>
      <c r="E10" s="1214"/>
      <c r="F10" s="1214"/>
      <c r="G10" s="1214"/>
      <c r="H10" s="1214"/>
      <c r="I10" s="1214"/>
      <c r="J10" s="1214"/>
      <c r="K10" s="1214"/>
      <c r="L10" s="1214"/>
      <c r="M10" s="1214"/>
      <c r="N10" s="183"/>
    </row>
    <row r="11" spans="1:15" ht="14.15" customHeight="1" x14ac:dyDescent="0.35">
      <c r="A11" s="178"/>
      <c r="B11" s="178"/>
      <c r="C11" s="179"/>
      <c r="D11" s="180"/>
      <c r="E11" s="4"/>
      <c r="F11" s="4"/>
      <c r="G11" s="112"/>
      <c r="H11" s="112"/>
      <c r="I11" s="112"/>
      <c r="J11" s="112"/>
      <c r="K11" s="112"/>
      <c r="L11" s="112"/>
      <c r="M11" s="112"/>
      <c r="N11" s="112"/>
    </row>
    <row r="12" spans="1:15" ht="18.75" customHeight="1" x14ac:dyDescent="0.4">
      <c r="A12" s="1165" t="s">
        <v>1373</v>
      </c>
      <c r="B12" s="1165"/>
      <c r="C12" s="1165"/>
      <c r="D12" s="1165"/>
      <c r="E12" s="1165"/>
      <c r="F12" s="1165"/>
      <c r="G12" s="1165"/>
      <c r="H12" s="1165"/>
      <c r="I12" s="1165"/>
      <c r="J12" s="1165"/>
      <c r="K12" s="1165"/>
      <c r="L12" s="1165"/>
      <c r="M12" s="1165"/>
      <c r="N12" s="112"/>
    </row>
    <row r="13" spans="1:15" ht="12" customHeight="1" x14ac:dyDescent="0.3">
      <c r="A13" s="54"/>
      <c r="B13" s="54"/>
      <c r="C13" s="54"/>
      <c r="D13" s="54"/>
      <c r="E13" s="54"/>
      <c r="F13" s="54"/>
      <c r="G13" s="54"/>
      <c r="H13" s="54"/>
      <c r="I13" s="54"/>
      <c r="J13" s="119"/>
      <c r="K13" s="54"/>
      <c r="L13" s="54"/>
      <c r="M13" s="54"/>
      <c r="N13" s="54"/>
      <c r="O13" s="29"/>
    </row>
    <row r="14" spans="1:15" ht="21" customHeight="1" x14ac:dyDescent="0.25">
      <c r="A14" s="1215"/>
      <c r="B14" s="1215"/>
      <c r="C14" s="1215"/>
      <c r="D14" s="1215"/>
      <c r="E14" s="1215"/>
      <c r="F14" s="1215"/>
      <c r="G14" s="1215"/>
      <c r="H14" s="1215"/>
      <c r="I14" s="1215"/>
      <c r="J14" s="1215"/>
      <c r="K14" s="1215"/>
      <c r="L14" s="1215"/>
      <c r="M14" s="1215"/>
      <c r="N14" s="127"/>
      <c r="O14" s="504"/>
    </row>
    <row r="15" spans="1:15" ht="21" customHeight="1" x14ac:dyDescent="0.25">
      <c r="A15" s="1213" t="s">
        <v>1375</v>
      </c>
      <c r="B15" s="1213"/>
      <c r="C15" s="1213"/>
      <c r="D15" s="1213"/>
      <c r="E15" s="1213"/>
      <c r="F15" s="1213"/>
      <c r="G15" s="1213"/>
      <c r="H15" s="1213"/>
      <c r="I15" s="1213"/>
      <c r="J15" s="1213"/>
      <c r="K15" s="1213"/>
      <c r="L15" s="1213"/>
      <c r="M15" s="1213"/>
      <c r="N15" s="54"/>
      <c r="O15" s="29"/>
    </row>
    <row r="16" spans="1:15" ht="20" x14ac:dyDescent="0.35">
      <c r="A16" s="186" t="str">
        <f>TRIM(LEFT(A$10,3))&amp;" error summary:"</f>
        <v>RO1 error summary:</v>
      </c>
      <c r="B16" s="187"/>
      <c r="C16" s="187"/>
      <c r="D16" s="54"/>
      <c r="E16" s="188"/>
      <c r="F16" s="54"/>
      <c r="G16" s="54"/>
      <c r="H16" s="505"/>
      <c r="I16" s="254"/>
      <c r="J16" s="119"/>
      <c r="K16" s="54"/>
      <c r="L16" s="54"/>
      <c r="M16" s="54"/>
      <c r="N16" s="54"/>
      <c r="O16" s="29"/>
    </row>
    <row r="17" spans="1:37" ht="32.15" customHeight="1" x14ac:dyDescent="0.35">
      <c r="A17" s="498" t="str">
        <f>IF(AND(COUNTIF($M$31:$M$40,"Error")=0,COUNTIF($M$31:$M$40,"Warning")=0),("There are no outstanding errors or warnings with the "&amp;TRIM(LEFT(A$10,3))&amp;" section of the form. Thank you."),("There are "&amp;COUNTIF($M$31:$M$40,"Error")&amp;" outstanding error(s) and "&amp;COUNTIF($M$31:$M$40,"Warning")&amp;" outstanding warning(s) with the "&amp;TRIM(LEFT(A$10,3))&amp;" section of the form. Please resolve and/or explain these before submitting."))</f>
        <v>There are no outstanding errors or warnings with the RO1 section of the form. Thank you.</v>
      </c>
      <c r="B17" s="499"/>
      <c r="C17" s="499"/>
      <c r="D17" s="499"/>
      <c r="E17" s="499"/>
      <c r="F17" s="499"/>
      <c r="G17" s="499"/>
      <c r="H17" s="499"/>
      <c r="I17" s="499"/>
      <c r="J17" s="499"/>
      <c r="K17" s="54"/>
      <c r="L17" s="54"/>
      <c r="M17" s="54"/>
      <c r="N17" s="54"/>
      <c r="O17" s="29"/>
      <c r="Z17" s="468" t="s">
        <v>1371</v>
      </c>
    </row>
    <row r="18" spans="1:37" ht="19.5" customHeight="1" x14ac:dyDescent="0.35">
      <c r="A18" s="191" t="str">
        <f>"Please note, your authority is only required to complete and return the following forms: "&amp;VLOOKUP(LA_name,LA_list,9,0)</f>
        <v>Please note, your authority is only required to complete and return the following forms: Forms to be completed will appear here !</v>
      </c>
      <c r="B18" s="192"/>
      <c r="C18" s="192"/>
      <c r="D18" s="190"/>
      <c r="E18" s="190"/>
      <c r="F18" s="190"/>
      <c r="G18" s="190"/>
      <c r="H18" s="190"/>
      <c r="I18" s="190"/>
      <c r="J18" s="119"/>
      <c r="K18" s="54"/>
      <c r="L18" s="54"/>
      <c r="M18" s="54"/>
      <c r="N18" s="54"/>
      <c r="O18" s="29"/>
    </row>
    <row r="19" spans="1:37" ht="12" customHeight="1" x14ac:dyDescent="0.35">
      <c r="A19" s="192"/>
      <c r="B19" s="192"/>
      <c r="C19" s="192"/>
      <c r="D19" s="190"/>
      <c r="E19" s="190"/>
      <c r="F19" s="190"/>
      <c r="G19" s="190"/>
      <c r="H19" s="190"/>
      <c r="I19" s="190"/>
      <c r="J19" s="119"/>
      <c r="K19" s="54"/>
      <c r="L19" s="54"/>
      <c r="M19" s="54"/>
      <c r="N19" s="54"/>
      <c r="O19" s="29"/>
    </row>
    <row r="20" spans="1:37" ht="25" x14ac:dyDescent="0.5">
      <c r="A20" s="137" t="str">
        <f>RS!$A$20</f>
        <v>Please select your authority name on Title page</v>
      </c>
      <c r="B20" s="59"/>
      <c r="C20" s="67"/>
      <c r="D20" s="67"/>
      <c r="E20" s="67"/>
      <c r="F20" s="67"/>
      <c r="G20" s="67"/>
      <c r="H20" s="67"/>
      <c r="I20" s="67"/>
      <c r="J20" s="67"/>
      <c r="K20" s="112"/>
      <c r="L20" s="112"/>
      <c r="M20" s="112"/>
      <c r="N20" s="112"/>
    </row>
    <row r="21" spans="1:37" ht="18" x14ac:dyDescent="0.4">
      <c r="A21" s="139" t="str">
        <f>ContactDetails!C25</f>
        <v>E-code</v>
      </c>
      <c r="B21" s="60"/>
      <c r="C21" s="68"/>
      <c r="D21" s="539"/>
      <c r="E21" s="539"/>
      <c r="F21" s="236"/>
      <c r="G21" s="539"/>
      <c r="H21" s="539"/>
      <c r="I21" s="236"/>
      <c r="J21" s="236"/>
      <c r="K21" s="112"/>
      <c r="L21" s="112"/>
      <c r="M21" s="112"/>
      <c r="N21" s="112"/>
    </row>
    <row r="22" spans="1:37" ht="18" x14ac:dyDescent="0.4">
      <c r="A22" s="60"/>
      <c r="B22" s="60"/>
      <c r="C22" s="68"/>
      <c r="D22" s="539"/>
      <c r="E22" s="539"/>
      <c r="F22" s="236"/>
      <c r="G22" s="539"/>
      <c r="H22" s="539"/>
      <c r="I22" s="236"/>
      <c r="J22" s="236"/>
      <c r="K22" s="112"/>
      <c r="L22" s="112"/>
      <c r="M22" s="112"/>
      <c r="N22" s="112"/>
    </row>
    <row r="23" spans="1:37" ht="15.5" x14ac:dyDescent="0.35">
      <c r="A23" s="193"/>
      <c r="B23" s="193"/>
      <c r="C23" s="194"/>
      <c r="D23" s="194"/>
      <c r="E23" s="55"/>
      <c r="F23" s="236"/>
      <c r="G23" s="539"/>
      <c r="H23" s="539"/>
      <c r="I23" s="236"/>
      <c r="J23" s="236"/>
      <c r="K23" s="112"/>
      <c r="L23" s="112"/>
      <c r="M23" s="112"/>
      <c r="N23" s="112"/>
    </row>
    <row r="24" spans="1:37" ht="15.5" x14ac:dyDescent="0.35">
      <c r="A24" s="112"/>
      <c r="B24" s="112"/>
      <c r="C24" s="112"/>
      <c r="D24" s="539"/>
      <c r="E24" s="236" t="s">
        <v>1598</v>
      </c>
      <c r="F24" s="236" t="s">
        <v>1599</v>
      </c>
      <c r="G24" s="236" t="s">
        <v>1600</v>
      </c>
      <c r="H24" s="236" t="s">
        <v>1370</v>
      </c>
      <c r="I24" s="236" t="s">
        <v>1599</v>
      </c>
      <c r="J24" s="236" t="s">
        <v>1601</v>
      </c>
      <c r="K24" s="112"/>
      <c r="L24" s="112"/>
      <c r="M24" s="112"/>
      <c r="N24" s="112"/>
    </row>
    <row r="25" spans="1:37" ht="15.5" x14ac:dyDescent="0.35">
      <c r="A25" s="112"/>
      <c r="B25" s="112"/>
      <c r="C25" s="112"/>
      <c r="D25" s="236" t="s">
        <v>1602</v>
      </c>
      <c r="E25" s="236" t="s">
        <v>1603</v>
      </c>
      <c r="F25" s="236" t="s">
        <v>1604</v>
      </c>
      <c r="G25" s="236" t="s">
        <v>1605</v>
      </c>
      <c r="H25" s="236" t="s">
        <v>1606</v>
      </c>
      <c r="I25" s="236" t="s">
        <v>1606</v>
      </c>
      <c r="J25" s="236" t="s">
        <v>1604</v>
      </c>
      <c r="K25" s="112"/>
      <c r="L25" s="112"/>
      <c r="M25" s="112"/>
      <c r="N25" s="112"/>
    </row>
    <row r="26" spans="1:37" ht="15.5" x14ac:dyDescent="0.35">
      <c r="A26" s="259"/>
      <c r="B26" s="259"/>
      <c r="C26" s="112"/>
      <c r="D26" s="335" t="s">
        <v>1378</v>
      </c>
      <c r="E26" s="335" t="s">
        <v>1378</v>
      </c>
      <c r="F26" s="335" t="s">
        <v>1378</v>
      </c>
      <c r="G26" s="335" t="s">
        <v>1378</v>
      </c>
      <c r="H26" s="335" t="s">
        <v>1378</v>
      </c>
      <c r="I26" s="335" t="s">
        <v>1378</v>
      </c>
      <c r="J26" s="335" t="s">
        <v>1378</v>
      </c>
      <c r="K26" s="112"/>
      <c r="L26" s="112"/>
      <c r="M26" s="112"/>
      <c r="N26" s="112"/>
    </row>
    <row r="27" spans="1:37" ht="15.5" x14ac:dyDescent="0.35">
      <c r="A27" s="112"/>
      <c r="B27" s="112"/>
      <c r="C27" s="112"/>
      <c r="D27" s="335"/>
      <c r="E27" s="335"/>
      <c r="F27" s="335"/>
      <c r="G27" s="335"/>
      <c r="H27" s="335"/>
      <c r="I27" s="335"/>
      <c r="J27" s="335"/>
      <c r="K27" s="112"/>
      <c r="L27" s="112"/>
      <c r="M27" s="112"/>
      <c r="N27" s="112"/>
    </row>
    <row r="28" spans="1:37" ht="13" x14ac:dyDescent="0.3">
      <c r="A28" s="112"/>
      <c r="B28" s="112"/>
      <c r="C28" s="112"/>
      <c r="D28" s="238" t="s">
        <v>1379</v>
      </c>
      <c r="E28" s="238" t="s">
        <v>1607</v>
      </c>
      <c r="F28" s="238" t="s">
        <v>1608</v>
      </c>
      <c r="G28" s="238" t="s">
        <v>1609</v>
      </c>
      <c r="H28" s="238" t="s">
        <v>1610</v>
      </c>
      <c r="I28" s="238" t="s">
        <v>1611</v>
      </c>
      <c r="J28" s="238" t="s">
        <v>1612</v>
      </c>
      <c r="K28" s="112"/>
      <c r="L28" s="112"/>
      <c r="M28" s="112"/>
      <c r="N28" s="112"/>
    </row>
    <row r="29" spans="1:37" ht="13" x14ac:dyDescent="0.3">
      <c r="A29" s="112"/>
      <c r="B29" s="112"/>
      <c r="C29" s="112"/>
      <c r="D29" s="68"/>
      <c r="E29" s="68"/>
      <c r="F29" s="68"/>
      <c r="G29" s="68"/>
      <c r="H29" s="68"/>
      <c r="I29" s="68"/>
      <c r="J29" s="68"/>
      <c r="K29" s="112"/>
      <c r="L29" s="112"/>
      <c r="M29" s="112"/>
      <c r="N29" s="112"/>
      <c r="AB29" s="461" t="s">
        <v>1380</v>
      </c>
    </row>
    <row r="30" spans="1:37" ht="18" x14ac:dyDescent="0.4">
      <c r="A30" s="27" t="s">
        <v>1722</v>
      </c>
      <c r="B30" s="27"/>
      <c r="C30" s="68"/>
      <c r="D30" s="68"/>
      <c r="E30" s="68"/>
      <c r="F30" s="68"/>
      <c r="G30" s="68"/>
      <c r="H30" s="68"/>
      <c r="I30" s="68"/>
      <c r="J30" s="68"/>
      <c r="K30" s="112"/>
      <c r="L30" s="112"/>
      <c r="M30" s="112"/>
      <c r="N30" s="112"/>
      <c r="AB30" s="461" t="s">
        <v>1381</v>
      </c>
      <c r="AC30" s="461" t="s">
        <v>1382</v>
      </c>
      <c r="AD30" s="461" t="s">
        <v>1383</v>
      </c>
      <c r="AE30" s="461" t="s">
        <v>1384</v>
      </c>
      <c r="AF30" s="461" t="s">
        <v>1385</v>
      </c>
      <c r="AG30" s="461" t="s">
        <v>1386</v>
      </c>
      <c r="AH30" s="461" t="s">
        <v>1387</v>
      </c>
      <c r="AI30" s="461" t="s">
        <v>1388</v>
      </c>
      <c r="AJ30" s="461" t="s">
        <v>1389</v>
      </c>
      <c r="AK30" s="461" t="s">
        <v>1390</v>
      </c>
    </row>
    <row r="31" spans="1:37" ht="15.5" x14ac:dyDescent="0.35">
      <c r="A31" s="108">
        <v>10</v>
      </c>
      <c r="B31" s="295" t="s">
        <v>1723</v>
      </c>
      <c r="C31" s="237"/>
      <c r="D31" s="668"/>
      <c r="E31" s="668"/>
      <c r="F31" s="669">
        <f>SUM(D31:E31)</f>
        <v>0</v>
      </c>
      <c r="G31" s="668"/>
      <c r="H31" s="668"/>
      <c r="I31" s="669">
        <f>SUM(G31:H31)</f>
        <v>0</v>
      </c>
      <c r="J31" s="669">
        <f>F31-I31</f>
        <v>0</v>
      </c>
      <c r="K31" s="112"/>
      <c r="L31" s="688" t="str">
        <f>IF(ISERROR(M31),"",IF((M31="Error"),"add explanation",IF((M31="Warning"),"add explanation","")))</f>
        <v/>
      </c>
      <c r="M31" s="310" t="str">
        <f>IF(OR((I31&lt;&gt;(G31+H31)),(F31&lt;&gt;(D31+E31)),(J31&lt;&gt;(F31-I31))),"Error",IF(AK31="Warning","Warning",""))</f>
        <v/>
      </c>
      <c r="N31" s="112"/>
      <c r="O31" s="131" t="str">
        <f>IF($M31="Error","A total column for "&amp;($B31)&amp;" does not match the sum of the components, please correct",IF($M31="Warning","This year's figure is over "&amp;AC31/1000&amp;" million and "&amp;(AB31*100)&amp;"% different to "&amp;TEXT(AD31,"#,###")&amp;" last year, please explain",""))</f>
        <v/>
      </c>
      <c r="AB31">
        <f>VLOOKUP("RO1"&amp;$A31,data_val_parameters,9,0)/100</f>
        <v>0.6</v>
      </c>
      <c r="AC31">
        <f>VLOOKUP("RO1"&amp;$A31,data_val_parameters,7,0)</f>
        <v>4000</v>
      </c>
      <c r="AD31" t="e">
        <f>VLOOKUP(LA_code,data_prev_year,MATCH("RO1"&amp;$A31&amp;"7",data_prev_year_headers,0),0)</f>
        <v>#N/A</v>
      </c>
      <c r="AE31" t="e">
        <f>AD31+AC31</f>
        <v>#N/A</v>
      </c>
      <c r="AF31" t="e">
        <f>AD31-AC31</f>
        <v>#N/A</v>
      </c>
      <c r="AG31" t="e">
        <f>AD31+(AD31*AB31)</f>
        <v>#N/A</v>
      </c>
      <c r="AH31" t="e">
        <f>AD31-(AD31*AB31)</f>
        <v>#N/A</v>
      </c>
      <c r="AI31" t="e">
        <f>IF(OR(J31&lt;AF31,J31&gt;AE31),"Warning","")</f>
        <v>#N/A</v>
      </c>
      <c r="AJ31" t="e">
        <f>IF(OR(J31&gt;(AG31),J31&lt;(AH31)),"Warning","")</f>
        <v>#N/A</v>
      </c>
      <c r="AK31" t="str">
        <f>IF(OR(J31=0),"",IF(AND(AI31="Warning",AJ31="Warning"),"Warning",""))</f>
        <v/>
      </c>
    </row>
    <row r="32" spans="1:37" ht="15.5" x14ac:dyDescent="0.35">
      <c r="A32" s="108">
        <v>20</v>
      </c>
      <c r="B32" s="295" t="s">
        <v>1724</v>
      </c>
      <c r="C32" s="237"/>
      <c r="D32" s="668"/>
      <c r="E32" s="668"/>
      <c r="F32" s="669">
        <f>SUM(D32:E32)</f>
        <v>0</v>
      </c>
      <c r="G32" s="668"/>
      <c r="H32" s="668"/>
      <c r="I32" s="669">
        <f>SUM(G32:H32)</f>
        <v>0</v>
      </c>
      <c r="J32" s="669">
        <f>F32-I32</f>
        <v>0</v>
      </c>
      <c r="K32" s="112"/>
      <c r="L32" s="688" t="str">
        <f>IF(ISERROR(M32),"",IF((M32="Error"),"add explanation",IF((M32="Warning"),"add explanation","")))</f>
        <v/>
      </c>
      <c r="M32" s="310" t="str">
        <f>IF(OR((I32&lt;&gt;(G32+H32)),(F32&lt;&gt;(D32+E32)),(J32&lt;&gt;(F32-I32))),"Error",IF(AK32="Warning","Warning",""))</f>
        <v/>
      </c>
      <c r="N32" s="112"/>
      <c r="O32" s="131" t="str">
        <f>IF($M32="Error","A total column for "&amp;($B32)&amp;" does not match the sum of the components, please correct",IF($M32="Warning","This year's figure is over "&amp;AC32/1000&amp;" million and "&amp;(AB32*100)&amp;"% different to "&amp;TEXT(AD32,"#,###")&amp;" last year, please explain",""))</f>
        <v/>
      </c>
      <c r="AB32">
        <f>VLOOKUP("RO1"&amp;$A32,data_val_parameters,9,0)/100</f>
        <v>0.45</v>
      </c>
      <c r="AC32">
        <f>VLOOKUP("RO1"&amp;$A32,data_val_parameters,7,0)</f>
        <v>4000</v>
      </c>
      <c r="AD32" s="645" t="e">
        <f>VLOOKUP(LA_code,data_prev_year,MATCH("RO1"&amp;$A32&amp;"7",data_prev_year_headers,0),0)</f>
        <v>#N/A</v>
      </c>
      <c r="AE32" s="645" t="e">
        <f>AD32+AC32</f>
        <v>#N/A</v>
      </c>
      <c r="AF32" s="645" t="e">
        <f>AD32-AC32</f>
        <v>#N/A</v>
      </c>
      <c r="AG32" s="645" t="e">
        <f>AD32+(AD32*AB32)</f>
        <v>#N/A</v>
      </c>
      <c r="AH32" s="645" t="e">
        <f>AD32-(AD32*AB32)</f>
        <v>#N/A</v>
      </c>
      <c r="AI32" t="e">
        <f>IF(OR(J32&lt;AF32,J32&gt;AE32),"Warning","")</f>
        <v>#N/A</v>
      </c>
      <c r="AJ32" t="e">
        <f>IF(OR(J32&gt;(AG32),J32&lt;(AH32)),"Warning","")</f>
        <v>#N/A</v>
      </c>
      <c r="AK32" t="str">
        <f>IF(OR(J32=0),"",IF(AND(AI32="Warning",AJ32="Warning"),"Warning",""))</f>
        <v/>
      </c>
    </row>
    <row r="33" spans="1:37" ht="15.5" x14ac:dyDescent="0.35">
      <c r="A33" s="108">
        <v>30</v>
      </c>
      <c r="B33" s="295" t="s">
        <v>1725</v>
      </c>
      <c r="C33" s="237"/>
      <c r="D33" s="668"/>
      <c r="E33" s="668"/>
      <c r="F33" s="669">
        <f>SUM(D33:E33)</f>
        <v>0</v>
      </c>
      <c r="G33" s="668"/>
      <c r="H33" s="668"/>
      <c r="I33" s="669">
        <f>SUM(G33:H33)</f>
        <v>0</v>
      </c>
      <c r="J33" s="669">
        <f>F33-I33</f>
        <v>0</v>
      </c>
      <c r="K33" s="112"/>
      <c r="L33" s="688" t="str">
        <f>IF(ISERROR(M33),"",IF((M33="Error"),"add explanation",IF((M33="Warning"),"add explanation","")))</f>
        <v/>
      </c>
      <c r="M33" s="310" t="str">
        <f>IF(OR((I33&lt;&gt;(G33+H33)),(F33&lt;&gt;(D33+E33)),(J33&lt;&gt;(F33-I33))),"Error",IF(AK33="Warning","Warning",""))</f>
        <v/>
      </c>
      <c r="N33" s="112"/>
      <c r="O33" s="131" t="str">
        <f>IF($M33="Error","A total column for "&amp;($B33)&amp;" does not match the sum of the components, please correct",IF($M33="Warning","This year's figure is over "&amp;AC33/1000&amp;" million and "&amp;(AB33*100)&amp;"% different to "&amp;TEXT(AD33,"#,###")&amp;" last year, please explain",""))</f>
        <v/>
      </c>
      <c r="AB33">
        <f>VLOOKUP("RO1"&amp;$A33,data_val_parameters,9,0)/100</f>
        <v>0.6</v>
      </c>
      <c r="AC33">
        <f>VLOOKUP("RO1"&amp;$A33,data_val_parameters,7,0)</f>
        <v>10000</v>
      </c>
      <c r="AD33" s="645" t="e">
        <f>VLOOKUP(LA_code,data_prev_year,MATCH("RO1"&amp;$A33&amp;"7",data_prev_year_headers,0),0)</f>
        <v>#N/A</v>
      </c>
      <c r="AE33" s="645" t="e">
        <f>AD33+AC33</f>
        <v>#N/A</v>
      </c>
      <c r="AF33" s="645" t="e">
        <f>AD33-AC33</f>
        <v>#N/A</v>
      </c>
      <c r="AG33" s="645" t="e">
        <f>AD33+(AD33*AB33)</f>
        <v>#N/A</v>
      </c>
      <c r="AH33" s="645" t="e">
        <f>AD33-(AD33*AB33)</f>
        <v>#N/A</v>
      </c>
      <c r="AI33" t="e">
        <f>IF(OR(J33&lt;AF33,J33&gt;AE33),"Warning","")</f>
        <v>#N/A</v>
      </c>
      <c r="AJ33" t="e">
        <f>IF(OR(J33&gt;(AG33),J33&lt;(AH33)),"Warning","")</f>
        <v>#N/A</v>
      </c>
      <c r="AK33" t="str">
        <f>IF(OR(J33=0),"",IF(AND(AI33="Warning",AJ33="Warning"),"Warning",""))</f>
        <v/>
      </c>
    </row>
    <row r="34" spans="1:37" ht="15.5" x14ac:dyDescent="0.35">
      <c r="A34" s="108">
        <v>40</v>
      </c>
      <c r="B34" s="295" t="s">
        <v>1726</v>
      </c>
      <c r="C34" s="237"/>
      <c r="D34" s="668"/>
      <c r="E34" s="668"/>
      <c r="F34" s="669">
        <f>SUM(D34:E34)</f>
        <v>0</v>
      </c>
      <c r="G34" s="668"/>
      <c r="H34" s="668"/>
      <c r="I34" s="669">
        <f>SUM(G34:H34)</f>
        <v>0</v>
      </c>
      <c r="J34" s="669">
        <f>F34-I34</f>
        <v>0</v>
      </c>
      <c r="K34" s="112"/>
      <c r="L34" s="688" t="str">
        <f>IF(ISERROR(M34),"",IF((M34="Error"),"add explanation",IF((M34="Warning"),"add explanation","")))</f>
        <v/>
      </c>
      <c r="M34" s="310" t="str">
        <f>IF(OR((I34&lt;&gt;(G34+H34)),(F34&lt;&gt;(D34+E34)),(J34&lt;&gt;(F34-I34))),"Error",IF(AK34="Warning","Warning",""))</f>
        <v/>
      </c>
      <c r="N34" s="112"/>
      <c r="O34" s="131" t="str">
        <f>IF($M34="Error","A total column for "&amp;($B34)&amp;" does not match the sum of the components, please correct",IF($M34="Warning","This year's figure is over "&amp;AC34/1000&amp;" million and "&amp;(AB34*100)&amp;"% different to "&amp;TEXT(AD34,"#,###")&amp;" last year, please explain",""))</f>
        <v/>
      </c>
      <c r="AB34">
        <f>VLOOKUP("RO1"&amp;$A34,data_val_parameters,9,0)/100</f>
        <v>0.6</v>
      </c>
      <c r="AC34">
        <f>VLOOKUP("RO1"&amp;$A34,data_val_parameters,7,0)</f>
        <v>4000</v>
      </c>
      <c r="AD34" t="e">
        <f>VLOOKUP(LA_code,data_prev_year,MATCH("RO1"&amp;$A34&amp;"7",data_prev_year_headers,0),0)</f>
        <v>#N/A</v>
      </c>
      <c r="AE34" t="e">
        <f>AD34+AC34</f>
        <v>#N/A</v>
      </c>
      <c r="AF34" t="e">
        <f>AD34-AC34</f>
        <v>#N/A</v>
      </c>
      <c r="AG34" s="645" t="e">
        <f>AD34+(AD34*AB34)</f>
        <v>#N/A</v>
      </c>
      <c r="AH34" s="645" t="e">
        <f>AD34-(AD34*AB34)</f>
        <v>#N/A</v>
      </c>
      <c r="AI34" t="e">
        <f>IF(OR(J34&lt;AF34,J34&gt;AE34),"Warning","")</f>
        <v>#N/A</v>
      </c>
      <c r="AJ34" t="e">
        <f>IF(OR(J34&gt;(AG34),J34&lt;(AH34)),"Warning","")</f>
        <v>#N/A</v>
      </c>
      <c r="AK34" t="str">
        <f>IF(OR(J34=0),"",IF(AND(AI34="Warning",AJ34="Warning"),"Warning",""))</f>
        <v/>
      </c>
    </row>
    <row r="35" spans="1:37" ht="15.5" x14ac:dyDescent="0.35">
      <c r="A35" s="108"/>
      <c r="B35" s="108"/>
      <c r="C35" s="55"/>
      <c r="D35" s="31"/>
      <c r="E35" s="31"/>
      <c r="F35" s="45"/>
      <c r="G35" s="31"/>
      <c r="H35" s="31"/>
      <c r="I35" s="45"/>
      <c r="J35" s="45"/>
      <c r="K35" s="112"/>
      <c r="L35" s="687"/>
      <c r="M35" s="310"/>
      <c r="N35" s="112"/>
      <c r="O35" s="131"/>
    </row>
    <row r="36" spans="1:37" ht="15.5" x14ac:dyDescent="0.35">
      <c r="A36" s="108">
        <v>45</v>
      </c>
      <c r="B36" s="295" t="s">
        <v>1727</v>
      </c>
      <c r="C36" s="237"/>
      <c r="D36" s="668"/>
      <c r="E36" s="668"/>
      <c r="F36" s="669">
        <f>SUM(D36:E36)</f>
        <v>0</v>
      </c>
      <c r="G36" s="668"/>
      <c r="H36" s="668"/>
      <c r="I36" s="669">
        <f>SUM(G36:H36)</f>
        <v>0</v>
      </c>
      <c r="J36" s="669">
        <f>F36-I36</f>
        <v>0</v>
      </c>
      <c r="K36" s="112"/>
      <c r="L36" s="688" t="str">
        <f>IF(ISERROR(M36),"",IF((M36="Error"),"add explanation",IF((M36="Warning"),"add explanation","")))</f>
        <v/>
      </c>
      <c r="M36" s="310" t="str">
        <f>IF(OR((I36&lt;&gt;(G36+H36)),(F36&lt;&gt;(D36+E36)),(J36&lt;&gt;(F36-I36))),"Error",IF(AK36="Warning","Warning",""))</f>
        <v/>
      </c>
      <c r="N36" s="112"/>
      <c r="O36" s="131" t="str">
        <f>IF($M36="Error","A total column for "&amp;($B36)&amp;" does not match the sum of the components, please correct",IF($M36="Warning","This year's figure is over "&amp;AC36/1000&amp;" million and "&amp;(AB36*100)&amp;"% different to "&amp;TEXT(AD36,"#,###")&amp;" last year, please explain",""))</f>
        <v/>
      </c>
      <c r="AB36">
        <f>VLOOKUP("RO1"&amp;$A36,data_val_parameters,9,0)/100</f>
        <v>0.6</v>
      </c>
      <c r="AC36">
        <f>VLOOKUP("RO1"&amp;$A36,data_val_parameters,7,0)</f>
        <v>8000</v>
      </c>
      <c r="AD36" t="e">
        <f>VLOOKUP(LA_code,data_prev_year,MATCH("RO1"&amp;$A36&amp;"7",data_prev_year_headers,0),0)</f>
        <v>#N/A</v>
      </c>
      <c r="AE36" t="e">
        <f>AD36+AC36</f>
        <v>#N/A</v>
      </c>
      <c r="AF36" t="e">
        <f>AD36-AC36</f>
        <v>#N/A</v>
      </c>
      <c r="AG36" s="645" t="e">
        <f>AD36+(AD36*AB36)</f>
        <v>#N/A</v>
      </c>
      <c r="AH36" s="645" t="e">
        <f>AD36-(AD36*AB36)</f>
        <v>#N/A</v>
      </c>
      <c r="AI36" t="e">
        <f>IF(OR(J36&lt;AF36,J36&gt;AE36),"Warning","")</f>
        <v>#N/A</v>
      </c>
      <c r="AJ36" t="e">
        <f>IF(OR(J36&gt;(AG36),J36&lt;(AH36)),"Warning","")</f>
        <v>#N/A</v>
      </c>
      <c r="AK36" t="str">
        <f>IF(OR(J36=0),"",IF(AND(AI36="Warning",AJ36="Warning"),"Warning",""))</f>
        <v/>
      </c>
    </row>
    <row r="37" spans="1:37" ht="15.5" x14ac:dyDescent="0.35">
      <c r="A37" s="108">
        <v>65</v>
      </c>
      <c r="B37" s="295" t="s">
        <v>1728</v>
      </c>
      <c r="C37" s="237"/>
      <c r="D37" s="668"/>
      <c r="E37" s="668"/>
      <c r="F37" s="669">
        <f>SUM(D37:E37)</f>
        <v>0</v>
      </c>
      <c r="G37" s="668"/>
      <c r="H37" s="668"/>
      <c r="I37" s="669">
        <f>SUM(G37:H37)</f>
        <v>0</v>
      </c>
      <c r="J37" s="669">
        <f>F37-I37</f>
        <v>0</v>
      </c>
      <c r="K37" s="112"/>
      <c r="L37" s="688" t="str">
        <f>IF(ISERROR(M37),"",IF((M37="Error"),"add explanation",IF((M37="Warning"),"add explanation","")))</f>
        <v/>
      </c>
      <c r="M37" s="310" t="str">
        <f>IF(OR((I37&lt;&gt;(G37+H37)),(F37&lt;&gt;(D37+E37)),(J37&lt;&gt;(F37-I37))),"Error",IF(AK37="Warning","Warning",""))</f>
        <v/>
      </c>
      <c r="N37" s="112"/>
      <c r="O37" s="131" t="str">
        <f>IF($M37="Error","A total column for "&amp;($B37)&amp;" does not match the sum of the components, please correct",IF($M37="Warning","This year's figure is over "&amp;AC37/1000&amp;" million and "&amp;(AB37*100)&amp;"% different to "&amp;TEXT(AD37,"#,###")&amp;" last year, please explain",""))</f>
        <v/>
      </c>
      <c r="AB37">
        <f>VLOOKUP("RO1"&amp;$A37,data_val_parameters,9,0)/100</f>
        <v>0.6</v>
      </c>
      <c r="AC37">
        <f>VLOOKUP("RO1"&amp;$A37,data_val_parameters,7,0)</f>
        <v>4000</v>
      </c>
      <c r="AD37" t="e">
        <f>VLOOKUP(LA_code,data_prev_year,MATCH("RO1"&amp;$A37&amp;"7",data_prev_year_headers,0),0)</f>
        <v>#N/A</v>
      </c>
      <c r="AE37" t="e">
        <f>AD37+AC37</f>
        <v>#N/A</v>
      </c>
      <c r="AF37" t="e">
        <f>AD37-AC37</f>
        <v>#N/A</v>
      </c>
      <c r="AG37" s="645" t="e">
        <f>AD37+(AD37*AB37)</f>
        <v>#N/A</v>
      </c>
      <c r="AH37" s="645" t="e">
        <f>AD37-(AD37*AB37)</f>
        <v>#N/A</v>
      </c>
      <c r="AI37" t="e">
        <f>IF(OR(J37&lt;AF37,J37&gt;AE37),"Warning","")</f>
        <v>#N/A</v>
      </c>
      <c r="AJ37" t="e">
        <f>IF(OR(J37&gt;(AG37),J37&lt;(AH37)),"Warning","")</f>
        <v>#N/A</v>
      </c>
      <c r="AK37" t="str">
        <f>IF(OR(J37=0),"",IF(AND(AI37="Warning",AJ37="Warning"),"Warning",""))</f>
        <v/>
      </c>
    </row>
    <row r="38" spans="1:37" ht="15.5" x14ac:dyDescent="0.35">
      <c r="A38" s="209"/>
      <c r="B38" s="209"/>
      <c r="C38" s="61"/>
      <c r="D38" s="31"/>
      <c r="E38" s="31"/>
      <c r="F38" s="45"/>
      <c r="G38" s="31"/>
      <c r="H38" s="31"/>
      <c r="I38" s="45"/>
      <c r="J38" s="45"/>
      <c r="K38" s="112"/>
      <c r="L38" s="687"/>
      <c r="M38" s="310"/>
      <c r="N38" s="112"/>
      <c r="O38" s="131"/>
    </row>
    <row r="39" spans="1:37" ht="15.5" x14ac:dyDescent="0.35">
      <c r="A39" s="296"/>
      <c r="B39" s="296"/>
      <c r="C39" s="55"/>
      <c r="D39" s="31"/>
      <c r="E39" s="31"/>
      <c r="F39" s="106"/>
      <c r="G39" s="31"/>
      <c r="H39" s="31"/>
      <c r="I39" s="106"/>
      <c r="J39" s="106"/>
      <c r="K39" s="112"/>
      <c r="L39" s="687"/>
      <c r="M39" s="310"/>
      <c r="N39" s="112"/>
      <c r="O39" s="131"/>
    </row>
    <row r="40" spans="1:37" s="6" customFormat="1" ht="15.5" x14ac:dyDescent="0.35">
      <c r="A40" s="117">
        <v>90</v>
      </c>
      <c r="B40" s="297" t="s">
        <v>1729</v>
      </c>
      <c r="C40" s="237"/>
      <c r="D40" s="669">
        <f t="shared" ref="D40:J40" si="0">SUM(D31:D34,D36:D37)</f>
        <v>0</v>
      </c>
      <c r="E40" s="1112">
        <f t="shared" si="0"/>
        <v>0</v>
      </c>
      <c r="F40" s="669">
        <f t="shared" si="0"/>
        <v>0</v>
      </c>
      <c r="G40" s="669">
        <f t="shared" si="0"/>
        <v>0</v>
      </c>
      <c r="H40" s="669">
        <f t="shared" si="0"/>
        <v>0</v>
      </c>
      <c r="I40" s="717">
        <f t="shared" si="0"/>
        <v>0</v>
      </c>
      <c r="J40" s="1113">
        <f t="shared" si="0"/>
        <v>0</v>
      </c>
      <c r="K40" s="86"/>
      <c r="L40" s="688" t="str">
        <f>IF(ISERROR(M40),"",IF((M40="Error"),"add explanation",IF((M40="Warning"),"add explanation","")))</f>
        <v/>
      </c>
      <c r="M40" s="310" t="str">
        <f>IF(OR((I40&lt;&gt;(G40+H40)),(F40&lt;&gt;(D40+E40)),(J40&lt;&gt;(F40-I40))),"Error",IF(AK40="Warning","Warning",""))</f>
        <v/>
      </c>
      <c r="N40" s="112"/>
      <c r="O40" s="131" t="str">
        <f>IF($M40="Error","A total column for "&amp;($B40)&amp;" does not match the sum of the components, please correct",IF($M40="Warning","This year's figure is over "&amp;AC40/1000&amp;" million and "&amp;(AB40*100)&amp;"% different to "&amp;TEXT(AD40,"#,###")&amp;" last year, please explain",""))</f>
        <v/>
      </c>
      <c r="P40" s="562"/>
      <c r="Q40"/>
      <c r="R40" s="562"/>
      <c r="S40" s="562"/>
      <c r="T40" s="562"/>
      <c r="U40" s="562"/>
      <c r="V40" s="562"/>
      <c r="W40" s="562"/>
      <c r="X40" s="562"/>
      <c r="Y40" s="562"/>
      <c r="Z40" s="562"/>
      <c r="AA40" s="562"/>
      <c r="AB40" s="562"/>
      <c r="AC40" s="562"/>
      <c r="AD40" s="562"/>
      <c r="AE40" s="562"/>
      <c r="AF40" s="562"/>
      <c r="AG40" s="562"/>
      <c r="AH40" s="562"/>
      <c r="AI40" s="562"/>
      <c r="AJ40" s="562"/>
      <c r="AK40" s="562"/>
    </row>
    <row r="41" spans="1:37" ht="15.5" x14ac:dyDescent="0.35">
      <c r="A41" s="112"/>
      <c r="B41" s="237"/>
      <c r="C41" s="237"/>
      <c r="D41" s="31"/>
      <c r="E41" s="1007"/>
      <c r="F41" s="106"/>
      <c r="G41" s="31"/>
      <c r="H41" s="31"/>
      <c r="I41" s="106"/>
      <c r="J41" s="820" t="s">
        <v>1730</v>
      </c>
      <c r="K41" s="112"/>
      <c r="L41" s="755"/>
      <c r="M41" s="130"/>
      <c r="N41" s="112"/>
      <c r="O41" s="131"/>
    </row>
    <row r="42" spans="1:37" ht="46.5" x14ac:dyDescent="0.35">
      <c r="A42" s="112"/>
      <c r="B42" s="237"/>
      <c r="C42" s="237"/>
      <c r="D42" s="31"/>
      <c r="E42" s="709" t="s">
        <v>1731</v>
      </c>
      <c r="F42" s="106"/>
      <c r="G42" s="31"/>
      <c r="H42" s="31"/>
      <c r="I42" s="106"/>
      <c r="J42" s="820"/>
      <c r="K42" s="112"/>
      <c r="L42" s="755"/>
      <c r="M42" s="130"/>
      <c r="N42" s="112"/>
      <c r="O42" s="131"/>
    </row>
    <row r="43" spans="1:37" ht="15.5" x14ac:dyDescent="0.35">
      <c r="A43" s="112"/>
      <c r="B43" s="112"/>
      <c r="C43" s="112"/>
      <c r="D43" s="31"/>
      <c r="E43" s="399" t="s">
        <v>1732</v>
      </c>
      <c r="F43" s="106"/>
      <c r="G43" s="31"/>
      <c r="H43" s="31"/>
      <c r="I43" s="106"/>
      <c r="J43" s="106"/>
      <c r="K43" s="112"/>
      <c r="L43" s="112"/>
      <c r="M43" s="130"/>
      <c r="N43" s="112"/>
      <c r="O43" s="131"/>
    </row>
    <row r="44" spans="1:37" ht="15.5" x14ac:dyDescent="0.35">
      <c r="A44" s="859">
        <v>1901</v>
      </c>
      <c r="B44" s="859" t="s">
        <v>1733</v>
      </c>
      <c r="C44" s="112"/>
      <c r="D44" s="112"/>
      <c r="E44" s="996"/>
      <c r="F44" s="112"/>
      <c r="G44" s="112"/>
      <c r="H44" s="112"/>
      <c r="I44" s="112"/>
      <c r="J44" s="112"/>
      <c r="K44" s="112"/>
      <c r="L44" s="112"/>
      <c r="M44" s="112"/>
      <c r="N44" s="112"/>
    </row>
    <row r="45" spans="1:37" x14ac:dyDescent="0.25">
      <c r="A45" s="112"/>
      <c r="B45" s="112"/>
      <c r="C45" s="112"/>
      <c r="D45" s="112"/>
      <c r="E45" s="112"/>
      <c r="F45" s="112"/>
      <c r="G45" s="112"/>
      <c r="H45" s="112"/>
      <c r="I45" s="112"/>
      <c r="J45" s="112"/>
      <c r="K45" s="112"/>
      <c r="L45" s="112"/>
      <c r="M45" s="112"/>
      <c r="N45" s="112"/>
    </row>
    <row r="46" spans="1:37" x14ac:dyDescent="0.25">
      <c r="A46" s="112"/>
      <c r="B46" s="112"/>
      <c r="C46" s="112"/>
      <c r="D46" s="112"/>
      <c r="E46" s="112"/>
      <c r="F46" s="112"/>
      <c r="G46" s="112"/>
      <c r="H46" s="112"/>
      <c r="I46" s="112"/>
      <c r="J46" s="112"/>
      <c r="K46" s="112"/>
      <c r="L46" s="112"/>
      <c r="M46" s="112"/>
      <c r="N46" s="112"/>
    </row>
    <row r="47" spans="1:37" x14ac:dyDescent="0.25"/>
    <row r="48" spans="1:37" x14ac:dyDescent="0.25"/>
    <row r="49" x14ac:dyDescent="0.25"/>
    <row r="50" x14ac:dyDescent="0.25"/>
  </sheetData>
  <sheetProtection sheet="1" objects="1" scenarios="1"/>
  <mergeCells count="6">
    <mergeCell ref="A15:M15"/>
    <mergeCell ref="A1:N1"/>
    <mergeCell ref="A9:M9"/>
    <mergeCell ref="A10:M10"/>
    <mergeCell ref="A12:M12"/>
    <mergeCell ref="A14:M14"/>
  </mergeCells>
  <phoneticPr fontId="0" type="noConversion"/>
  <conditionalFormatting sqref="A17">
    <cfRule type="containsText" dxfId="136" priority="19" operator="containsText" text="resolve">
      <formula>NOT(ISERROR(SEARCH("resolve",A17)))</formula>
    </cfRule>
  </conditionalFormatting>
  <conditionalFormatting sqref="B17">
    <cfRule type="expression" dxfId="135" priority="9">
      <formula>ISNUMBER(SEARCH(Z17,A17))</formula>
    </cfRule>
  </conditionalFormatting>
  <conditionalFormatting sqref="C17">
    <cfRule type="expression" dxfId="134" priority="8">
      <formula>ISNUMBER(SEARCH(Z17,A17))</formula>
    </cfRule>
  </conditionalFormatting>
  <conditionalFormatting sqref="D17">
    <cfRule type="expression" dxfId="133" priority="7">
      <formula>ISNUMBER(SEARCH(Z17,A17))</formula>
    </cfRule>
  </conditionalFormatting>
  <conditionalFormatting sqref="E17">
    <cfRule type="expression" dxfId="132" priority="6">
      <formula>ISNUMBER(SEARCH(Z17,A17))</formula>
    </cfRule>
  </conditionalFormatting>
  <conditionalFormatting sqref="F17">
    <cfRule type="expression" dxfId="131" priority="5">
      <formula>ISNUMBER(SEARCH(Z17,A17))</formula>
    </cfRule>
  </conditionalFormatting>
  <conditionalFormatting sqref="G17">
    <cfRule type="expression" dxfId="130" priority="4">
      <formula>ISNUMBER(SEARCH(Z17,A17))</formula>
    </cfRule>
  </conditionalFormatting>
  <conditionalFormatting sqref="H17">
    <cfRule type="expression" dxfId="129" priority="3">
      <formula>ISNUMBER(SEARCH(Z17,A17))</formula>
    </cfRule>
  </conditionalFormatting>
  <conditionalFormatting sqref="I17">
    <cfRule type="expression" dxfId="128" priority="2">
      <formula>ISNUMBER(SEARCH(Z17,A17))</formula>
    </cfRule>
  </conditionalFormatting>
  <conditionalFormatting sqref="J17">
    <cfRule type="expression" dxfId="127" priority="1">
      <formula>ISNUMBER(SEARCH(Z17,A17))</formula>
    </cfRule>
  </conditionalFormatting>
  <conditionalFormatting sqref="M31:M43">
    <cfRule type="containsText" dxfId="126" priority="20" operator="containsText" text="Information">
      <formula>NOT(ISERROR(SEARCH("Information",M31)))</formula>
    </cfRule>
    <cfRule type="containsText" dxfId="125" priority="21" operator="containsText" text="Warning">
      <formula>NOT(ISERROR(SEARCH("Warning",M31)))</formula>
    </cfRule>
    <cfRule type="containsText" dxfId="124" priority="22" operator="containsText" text="Error">
      <formula>NOT(ISERROR(SEARCH("Error",M31)))</formula>
    </cfRule>
  </conditionalFormatting>
  <hyperlinks>
    <hyperlink ref="L31" location="Memo!C298" display="Memo!C298" xr:uid="{00000000-0004-0000-0400-000000000000}"/>
    <hyperlink ref="L32" location="Memo!C299" display="Memo!C299" xr:uid="{00000000-0004-0000-0400-000001000000}"/>
    <hyperlink ref="L33" location="Memo!C300" display="Memo!C300" xr:uid="{00000000-0004-0000-0400-000002000000}"/>
    <hyperlink ref="L34" location="Memo!C301" display="Memo!C301" xr:uid="{00000000-0004-0000-0400-000003000000}"/>
    <hyperlink ref="L36" location="Memo!C302" display="Memo!C302" xr:uid="{00000000-0004-0000-0400-000004000000}"/>
    <hyperlink ref="L37" location="Memo!C303" display="Memo!C303" xr:uid="{00000000-0004-0000-0400-000005000000}"/>
    <hyperlink ref="L40" location="Memo!C304" display="Memo!C304" xr:uid="{00000000-0004-0000-0400-000006000000}"/>
  </hyperlinks>
  <printOptions horizontalCentered="1"/>
  <pageMargins left="0.39370078740157483" right="0.39370078740157483" top="0.39370078740157483" bottom="0.39370078740157483" header="0.19685039370078741" footer="0.19685039370078741"/>
  <pageSetup paperSize="9" scale="55" orientation="landscape" r:id="rId1"/>
  <headerFooter alignWithMargins="0"/>
  <ignoredErrors>
    <ignoredError sqref="D26:J28"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theme="8" tint="0.79998168889431442"/>
  </sheetPr>
  <dimension ref="A1:AK102"/>
  <sheetViews>
    <sheetView showGridLines="0" zoomScale="80" zoomScaleNormal="80" workbookViewId="0">
      <pane ySplit="1" topLeftCell="A2" activePane="bottomLeft" state="frozen"/>
      <selection pane="bottomLeft" sqref="A1:N1"/>
    </sheetView>
  </sheetViews>
  <sheetFormatPr defaultColWidth="0" defaultRowHeight="12.5" zeroHeight="1" x14ac:dyDescent="0.25"/>
  <cols>
    <col min="1" max="1" width="12.54296875" customWidth="1"/>
    <col min="2" max="2" width="85.7265625" customWidth="1"/>
    <col min="3" max="3" width="6.7265625" customWidth="1"/>
    <col min="4" max="10" width="16.7265625" customWidth="1"/>
    <col min="11" max="11" width="2.7265625" customWidth="1"/>
    <col min="12" max="13" width="16.7265625" customWidth="1"/>
    <col min="14" max="14" width="2.7265625" customWidth="1"/>
    <col min="15" max="15" width="60.7265625" customWidth="1"/>
    <col min="16" max="16" width="9.26953125" customWidth="1"/>
    <col min="17" max="17" width="29.453125" customWidth="1"/>
    <col min="18" max="37" width="12.54296875" hidden="1" customWidth="1"/>
    <col min="38" max="16384" width="6.54296875" hidden="1"/>
  </cols>
  <sheetData>
    <row r="1" spans="1:19" ht="60" customHeight="1" x14ac:dyDescent="0.25">
      <c r="A1" s="1206" t="str">
        <f>ContactDetails!A36</f>
        <v>IMPORTANT: Please DO NOT alter this spreadsheet by inserting/deleting, merging any cells, or even using cut &amp; paste, as the data from this spreadsheet are directly transferred into the DLUHC database by a macro and these could break the references in the form.</v>
      </c>
      <c r="B1" s="1206"/>
      <c r="C1" s="1206"/>
      <c r="D1" s="1207"/>
      <c r="E1" s="1207"/>
      <c r="F1" s="1207"/>
      <c r="G1" s="1207"/>
      <c r="H1" s="1207"/>
      <c r="I1" s="1207"/>
      <c r="J1" s="1207"/>
      <c r="K1" s="1207"/>
      <c r="L1" s="1207"/>
      <c r="M1" s="1207"/>
      <c r="N1" s="1207"/>
    </row>
    <row r="2" spans="1:19" ht="12.75" customHeight="1" x14ac:dyDescent="0.35">
      <c r="A2" s="178"/>
      <c r="B2" s="178"/>
      <c r="C2" s="179"/>
      <c r="D2" s="180"/>
      <c r="E2" s="4"/>
      <c r="F2" s="4"/>
      <c r="G2" s="54"/>
      <c r="H2" s="181"/>
      <c r="I2" s="112"/>
      <c r="J2" s="112"/>
      <c r="K2" s="112"/>
      <c r="L2" s="112"/>
      <c r="M2" s="112"/>
      <c r="N2" s="112"/>
    </row>
    <row r="3" spans="1:19" ht="27.75" customHeight="1" x14ac:dyDescent="0.6">
      <c r="A3" s="178"/>
      <c r="B3" s="178"/>
      <c r="C3" s="179"/>
      <c r="D3" s="180"/>
      <c r="E3" s="4"/>
      <c r="F3" s="4"/>
      <c r="G3" s="112"/>
      <c r="H3" s="112"/>
      <c r="I3" s="112"/>
      <c r="J3" s="112"/>
      <c r="K3" s="112"/>
      <c r="L3" s="112"/>
      <c r="M3" s="165" t="str">
        <f>"RO2 "&amp;fyear</f>
        <v>RO2 2022-23</v>
      </c>
      <c r="N3" s="112"/>
    </row>
    <row r="4" spans="1:19" ht="12.75" customHeight="1" x14ac:dyDescent="0.35">
      <c r="A4" s="178"/>
      <c r="B4" s="178"/>
      <c r="C4" s="179"/>
      <c r="D4" s="180"/>
      <c r="E4" s="4"/>
      <c r="F4" s="4"/>
      <c r="G4" s="112"/>
      <c r="H4" s="112"/>
      <c r="I4" s="112"/>
      <c r="J4" s="112"/>
      <c r="K4" s="112"/>
      <c r="L4" s="112"/>
      <c r="M4" s="112"/>
      <c r="N4" s="112"/>
    </row>
    <row r="5" spans="1:19" ht="12.75" customHeight="1" x14ac:dyDescent="0.35">
      <c r="A5" s="178"/>
      <c r="B5" s="178"/>
      <c r="C5" s="179"/>
      <c r="D5" s="180"/>
      <c r="E5" s="4"/>
      <c r="F5" s="4"/>
      <c r="G5" s="112"/>
      <c r="H5" s="112"/>
      <c r="I5" s="112"/>
      <c r="J5" s="112"/>
      <c r="K5" s="112"/>
      <c r="L5" s="112"/>
      <c r="M5" s="112"/>
      <c r="N5" s="112"/>
    </row>
    <row r="6" spans="1:19" ht="12.75" customHeight="1" x14ac:dyDescent="0.35">
      <c r="A6" s="178"/>
      <c r="B6" s="178"/>
      <c r="C6" s="179"/>
      <c r="D6" s="180"/>
      <c r="E6" s="4"/>
      <c r="F6" s="4"/>
      <c r="G6" s="112"/>
      <c r="H6" s="112"/>
      <c r="I6" s="112"/>
      <c r="J6" s="112"/>
      <c r="K6" s="112"/>
      <c r="L6" s="112"/>
      <c r="M6" s="112"/>
      <c r="N6" s="112"/>
      <c r="P6" s="425"/>
      <c r="R6" s="425"/>
      <c r="S6" s="125"/>
    </row>
    <row r="7" spans="1:19" ht="12.75" customHeight="1" x14ac:dyDescent="0.35">
      <c r="A7" s="178"/>
      <c r="B7" s="178"/>
      <c r="C7" s="179"/>
      <c r="D7" s="180"/>
      <c r="E7" s="4"/>
      <c r="F7" s="4"/>
      <c r="G7" s="112"/>
      <c r="H7" s="112"/>
      <c r="I7" s="112"/>
      <c r="J7" s="112"/>
      <c r="K7" s="112"/>
      <c r="L7" s="112"/>
      <c r="M7" s="112"/>
      <c r="N7" s="112"/>
      <c r="P7" s="425"/>
      <c r="Q7" s="126"/>
      <c r="R7" s="425"/>
      <c r="S7" s="125"/>
    </row>
    <row r="8" spans="1:19" ht="12.75" customHeight="1" x14ac:dyDescent="0.35">
      <c r="A8" s="178"/>
      <c r="B8" s="178"/>
      <c r="C8" s="179"/>
      <c r="D8" s="180"/>
      <c r="E8" s="4"/>
      <c r="F8" s="4"/>
      <c r="G8" s="112"/>
      <c r="H8" s="112"/>
      <c r="I8" s="112"/>
      <c r="J8" s="112"/>
      <c r="K8" s="112"/>
      <c r="L8" s="112"/>
      <c r="M8" s="112"/>
      <c r="N8" s="112"/>
      <c r="P8" s="425"/>
      <c r="Q8" s="126"/>
      <c r="R8" s="425"/>
      <c r="S8" s="125"/>
    </row>
    <row r="9" spans="1:19" s="132" customFormat="1" ht="33" customHeight="1" x14ac:dyDescent="0.25">
      <c r="A9" s="1195" t="str">
        <f>RS!$A$10</f>
        <v>General Fund Revenue Account Outturn</v>
      </c>
      <c r="B9" s="1195"/>
      <c r="C9" s="1195"/>
      <c r="D9" s="1195"/>
      <c r="E9" s="1195"/>
      <c r="F9" s="1195"/>
      <c r="G9" s="1195"/>
      <c r="H9" s="1195"/>
      <c r="I9" s="1195"/>
      <c r="J9" s="1195"/>
      <c r="K9" s="1195"/>
      <c r="L9" s="1195"/>
      <c r="M9" s="1195"/>
      <c r="N9" s="183"/>
      <c r="P9" s="563"/>
      <c r="Q9" s="133"/>
      <c r="R9" s="563"/>
      <c r="S9" s="134"/>
    </row>
    <row r="10" spans="1:19" s="132" customFormat="1" ht="33" customHeight="1" x14ac:dyDescent="0.25">
      <c r="A10" s="1164" t="str">
        <f>"RO2 – HIGHWAYS AND TRANSPORT SERVICES "&amp;fyear</f>
        <v>RO2 – HIGHWAYS AND TRANSPORT SERVICES 2022-23</v>
      </c>
      <c r="B10" s="1164"/>
      <c r="C10" s="1164"/>
      <c r="D10" s="1164"/>
      <c r="E10" s="1164"/>
      <c r="F10" s="1164"/>
      <c r="G10" s="1164"/>
      <c r="H10" s="1164"/>
      <c r="I10" s="1164"/>
      <c r="J10" s="1164"/>
      <c r="K10" s="1164"/>
      <c r="L10" s="1164"/>
      <c r="M10" s="1164"/>
      <c r="N10" s="183"/>
      <c r="P10" s="563"/>
      <c r="Q10" s="133"/>
      <c r="R10" s="563"/>
      <c r="S10" s="134"/>
    </row>
    <row r="11" spans="1:19" ht="14.15" customHeight="1" x14ac:dyDescent="0.35">
      <c r="A11" s="178"/>
      <c r="B11" s="178"/>
      <c r="C11" s="179"/>
      <c r="D11" s="180"/>
      <c r="E11" s="4"/>
      <c r="F11" s="4"/>
      <c r="G11" s="112"/>
      <c r="H11" s="112"/>
      <c r="I11" s="112"/>
      <c r="J11" s="112"/>
      <c r="K11" s="112"/>
      <c r="L11" s="112"/>
      <c r="M11" s="112"/>
      <c r="N11" s="112"/>
      <c r="P11" s="425"/>
      <c r="Q11" s="126"/>
      <c r="R11" s="425"/>
      <c r="S11" s="125"/>
    </row>
    <row r="12" spans="1:19" ht="18.75" customHeight="1" x14ac:dyDescent="0.4">
      <c r="A12" s="1165" t="s">
        <v>1373</v>
      </c>
      <c r="B12" s="1165"/>
      <c r="C12" s="1165"/>
      <c r="D12" s="1165"/>
      <c r="E12" s="1165"/>
      <c r="F12" s="1165"/>
      <c r="G12" s="1165"/>
      <c r="H12" s="1165"/>
      <c r="I12" s="1165"/>
      <c r="J12" s="1165"/>
      <c r="K12" s="1165"/>
      <c r="L12" s="1165"/>
      <c r="M12" s="1165"/>
      <c r="N12" s="112"/>
      <c r="P12" s="425"/>
      <c r="Q12" s="126"/>
      <c r="R12" s="425"/>
      <c r="S12" s="125"/>
    </row>
    <row r="13" spans="1:19" ht="12" customHeight="1" x14ac:dyDescent="0.3">
      <c r="A13" s="54"/>
      <c r="B13" s="54"/>
      <c r="C13" s="54"/>
      <c r="D13" s="54"/>
      <c r="E13" s="54"/>
      <c r="F13" s="54"/>
      <c r="G13" s="54"/>
      <c r="H13" s="54"/>
      <c r="I13" s="54"/>
      <c r="J13" s="119"/>
      <c r="K13" s="54"/>
      <c r="L13" s="54"/>
      <c r="M13" s="54"/>
      <c r="N13" s="54"/>
      <c r="O13" s="29"/>
    </row>
    <row r="14" spans="1:19" ht="21" customHeight="1" x14ac:dyDescent="0.25">
      <c r="A14" s="1215"/>
      <c r="B14" s="1215"/>
      <c r="C14" s="1215"/>
      <c r="D14" s="1215"/>
      <c r="E14" s="1215"/>
      <c r="F14" s="1215"/>
      <c r="G14" s="1215"/>
      <c r="H14" s="1215"/>
      <c r="I14" s="1215"/>
      <c r="J14" s="1215"/>
      <c r="K14" s="1215"/>
      <c r="L14" s="1215"/>
      <c r="M14" s="1215"/>
      <c r="N14" s="127"/>
      <c r="O14" s="504"/>
    </row>
    <row r="15" spans="1:19" ht="21" customHeight="1" x14ac:dyDescent="0.25">
      <c r="A15" s="1213" t="s">
        <v>1375</v>
      </c>
      <c r="B15" s="1213"/>
      <c r="C15" s="1213"/>
      <c r="D15" s="1213"/>
      <c r="E15" s="1213"/>
      <c r="F15" s="1213"/>
      <c r="G15" s="1213"/>
      <c r="H15" s="1213"/>
      <c r="I15" s="1213"/>
      <c r="J15" s="1213"/>
      <c r="K15" s="1213"/>
      <c r="L15" s="1213"/>
      <c r="M15" s="1213"/>
      <c r="N15" s="54"/>
      <c r="O15" s="29"/>
    </row>
    <row r="16" spans="1:19" ht="20" x14ac:dyDescent="0.35">
      <c r="A16" s="186" t="str">
        <f>TRIM(LEFT(A$10,3))&amp;" error summary:"</f>
        <v>RO2 error summary:</v>
      </c>
      <c r="B16" s="187"/>
      <c r="C16" s="187"/>
      <c r="D16" s="54"/>
      <c r="E16" s="188"/>
      <c r="F16" s="54"/>
      <c r="G16" s="54"/>
      <c r="H16" s="505"/>
      <c r="I16" s="254"/>
      <c r="J16" s="119"/>
      <c r="K16" s="54"/>
      <c r="L16" s="54"/>
      <c r="M16" s="54"/>
      <c r="N16" s="54"/>
      <c r="O16" s="29"/>
    </row>
    <row r="17" spans="1:37" ht="32.15" customHeight="1" x14ac:dyDescent="0.35">
      <c r="A17" s="498" t="str">
        <f>IF(AND(COUNTIF($M$31:$M$96,"Error")=0,COUNTIF($M$31:$M$96,"Warning")=0),("There are no outstanding errors or warnings with the "&amp;TRIM(LEFT(A$10,3))&amp;" section of the form. Thank you."),("There are "&amp;COUNTIF($M$31:$M$96,"Error")&amp;" outstanding error(s) and "&amp;COUNTIF($M$31:$M$96,"Warning")&amp;" outstanding warning(s) with the "&amp;TRIM(LEFT(A$10,3))&amp;" section of the form. Please resolve and/or explain these before submitting."))</f>
        <v>There are no outstanding errors or warnings with the RO2 section of the form. Thank you.</v>
      </c>
      <c r="B17" s="499"/>
      <c r="C17" s="499"/>
      <c r="D17" s="499"/>
      <c r="E17" s="499"/>
      <c r="F17" s="499"/>
      <c r="G17" s="499"/>
      <c r="H17" s="499"/>
      <c r="I17" s="499"/>
      <c r="J17" s="499"/>
      <c r="K17" s="54"/>
      <c r="L17" s="54"/>
      <c r="M17" s="54"/>
      <c r="N17" s="54"/>
      <c r="O17" s="29"/>
      <c r="Z17" s="468" t="s">
        <v>1371</v>
      </c>
    </row>
    <row r="18" spans="1:37" ht="20.149999999999999" customHeight="1" x14ac:dyDescent="0.35">
      <c r="A18" s="191" t="str">
        <f>"Please note, your authority is only required to complete and return the following forms: "&amp;VLOOKUP(LA_name,LA_list,9,0)</f>
        <v>Please note, your authority is only required to complete and return the following forms: Forms to be completed will appear here !</v>
      </c>
      <c r="B18" s="192"/>
      <c r="C18" s="192"/>
      <c r="D18" s="190"/>
      <c r="E18" s="190"/>
      <c r="F18" s="190"/>
      <c r="G18" s="190"/>
      <c r="H18" s="190"/>
      <c r="I18" s="190"/>
      <c r="J18" s="119"/>
      <c r="K18" s="54"/>
      <c r="L18" s="54"/>
      <c r="M18" s="54"/>
      <c r="N18" s="54"/>
      <c r="O18" s="29"/>
    </row>
    <row r="19" spans="1:37" ht="12" customHeight="1" x14ac:dyDescent="0.35">
      <c r="A19" s="192"/>
      <c r="B19" s="192"/>
      <c r="C19" s="192"/>
      <c r="D19" s="190"/>
      <c r="E19" s="190"/>
      <c r="F19" s="190"/>
      <c r="G19" s="190"/>
      <c r="H19" s="190"/>
      <c r="I19" s="190"/>
      <c r="J19" s="119"/>
      <c r="K19" s="54"/>
      <c r="L19" s="54"/>
      <c r="M19" s="54"/>
      <c r="N19" s="54"/>
      <c r="O19" s="29"/>
    </row>
    <row r="20" spans="1:37" ht="25" x14ac:dyDescent="0.5">
      <c r="A20" s="137" t="str">
        <f>RS!$A$20</f>
        <v>Please select your authority name on Title page</v>
      </c>
      <c r="B20" s="59"/>
      <c r="C20" s="67"/>
      <c r="D20" s="67"/>
      <c r="E20" s="67"/>
      <c r="F20" s="67"/>
      <c r="G20" s="67"/>
      <c r="H20" s="67"/>
      <c r="I20" s="67"/>
      <c r="J20" s="67"/>
      <c r="K20" s="112"/>
      <c r="L20" s="112"/>
      <c r="M20" s="112"/>
      <c r="N20" s="112"/>
      <c r="P20" s="425"/>
      <c r="Q20" s="126"/>
      <c r="R20" s="425"/>
      <c r="S20" s="125"/>
    </row>
    <row r="21" spans="1:37" ht="18" x14ac:dyDescent="0.4">
      <c r="A21" s="139" t="str">
        <f>ContactDetails!C25</f>
        <v>E-code</v>
      </c>
      <c r="B21" s="60"/>
      <c r="C21" s="68"/>
      <c r="D21" s="539"/>
      <c r="E21" s="539"/>
      <c r="F21" s="236"/>
      <c r="G21" s="539"/>
      <c r="H21" s="539"/>
      <c r="I21" s="236"/>
      <c r="J21" s="236"/>
      <c r="K21" s="112"/>
      <c r="L21" s="112"/>
      <c r="M21" s="112"/>
      <c r="N21" s="112"/>
      <c r="P21" s="425"/>
      <c r="Q21" s="126"/>
      <c r="R21" s="425"/>
      <c r="S21" s="125"/>
    </row>
    <row r="22" spans="1:37" ht="18" x14ac:dyDescent="0.4">
      <c r="A22" s="60"/>
      <c r="B22" s="60"/>
      <c r="C22" s="68"/>
      <c r="D22" s="539"/>
      <c r="E22" s="539"/>
      <c r="F22" s="236"/>
      <c r="G22" s="539"/>
      <c r="H22" s="539"/>
      <c r="I22" s="236"/>
      <c r="J22" s="236"/>
      <c r="K22" s="112"/>
      <c r="L22" s="112"/>
      <c r="M22" s="112"/>
      <c r="N22" s="112"/>
      <c r="P22" s="425"/>
      <c r="R22" s="425"/>
      <c r="S22" s="125"/>
    </row>
    <row r="23" spans="1:37" ht="15.5" x14ac:dyDescent="0.35">
      <c r="A23" s="193"/>
      <c r="B23" s="193"/>
      <c r="C23" s="194"/>
      <c r="D23" s="194"/>
      <c r="E23" s="89"/>
      <c r="F23" s="236"/>
      <c r="G23" s="539"/>
      <c r="H23" s="539"/>
      <c r="I23" s="236"/>
      <c r="J23" s="236"/>
      <c r="K23" s="112"/>
      <c r="L23" s="112"/>
      <c r="M23" s="112"/>
      <c r="N23" s="112"/>
      <c r="P23" s="425"/>
      <c r="Q23" s="126"/>
      <c r="R23" s="425"/>
      <c r="S23" s="125"/>
    </row>
    <row r="24" spans="1:37" ht="15.5" x14ac:dyDescent="0.35">
      <c r="A24" s="112"/>
      <c r="B24" s="112"/>
      <c r="C24" s="112"/>
      <c r="D24" s="539"/>
      <c r="E24" s="236" t="s">
        <v>1598</v>
      </c>
      <c r="F24" s="236" t="s">
        <v>1599</v>
      </c>
      <c r="G24" s="236" t="s">
        <v>1600</v>
      </c>
      <c r="H24" s="236" t="s">
        <v>1370</v>
      </c>
      <c r="I24" s="236" t="s">
        <v>1599</v>
      </c>
      <c r="J24" s="236" t="s">
        <v>1601</v>
      </c>
      <c r="K24" s="112"/>
      <c r="L24" s="112"/>
      <c r="M24" s="112"/>
      <c r="N24" s="112"/>
      <c r="P24" s="425"/>
      <c r="Q24" s="126"/>
      <c r="R24" s="425"/>
      <c r="S24" s="125"/>
    </row>
    <row r="25" spans="1:37" ht="15.5" x14ac:dyDescent="0.35">
      <c r="A25" s="112"/>
      <c r="B25" s="112"/>
      <c r="C25" s="112"/>
      <c r="D25" s="236" t="s">
        <v>1602</v>
      </c>
      <c r="E25" s="236" t="s">
        <v>1603</v>
      </c>
      <c r="F25" s="236" t="s">
        <v>1604</v>
      </c>
      <c r="G25" s="236" t="s">
        <v>1605</v>
      </c>
      <c r="H25" s="236" t="s">
        <v>1606</v>
      </c>
      <c r="I25" s="236" t="s">
        <v>1606</v>
      </c>
      <c r="J25" s="236" t="s">
        <v>1604</v>
      </c>
      <c r="K25" s="112"/>
      <c r="L25" s="112"/>
      <c r="M25" s="112"/>
      <c r="N25" s="112"/>
      <c r="P25" s="425"/>
      <c r="Q25" s="126"/>
      <c r="R25" s="425"/>
      <c r="S25" s="125"/>
    </row>
    <row r="26" spans="1:37" ht="15.5" x14ac:dyDescent="0.35">
      <c r="A26" s="259"/>
      <c r="B26" s="259"/>
      <c r="C26" s="112"/>
      <c r="D26" s="335" t="s">
        <v>1378</v>
      </c>
      <c r="E26" s="335" t="s">
        <v>1378</v>
      </c>
      <c r="F26" s="335" t="s">
        <v>1378</v>
      </c>
      <c r="G26" s="335" t="s">
        <v>1378</v>
      </c>
      <c r="H26" s="335" t="s">
        <v>1378</v>
      </c>
      <c r="I26" s="335" t="s">
        <v>1378</v>
      </c>
      <c r="J26" s="335" t="s">
        <v>1378</v>
      </c>
      <c r="K26" s="112"/>
      <c r="L26" s="112"/>
      <c r="M26" s="112"/>
      <c r="N26" s="112"/>
      <c r="P26" s="425"/>
      <c r="Q26" s="126"/>
      <c r="R26" s="425"/>
      <c r="S26" s="125"/>
    </row>
    <row r="27" spans="1:37" ht="15.5" x14ac:dyDescent="0.35">
      <c r="A27" s="112"/>
      <c r="B27" s="112"/>
      <c r="C27" s="112"/>
      <c r="D27" s="335"/>
      <c r="E27" s="335"/>
      <c r="F27" s="335"/>
      <c r="G27" s="335"/>
      <c r="H27" s="335"/>
      <c r="I27" s="335"/>
      <c r="J27" s="335"/>
      <c r="K27" s="112"/>
      <c r="L27" s="112"/>
      <c r="M27" s="112"/>
      <c r="N27" s="112"/>
      <c r="P27" s="425"/>
      <c r="Q27" s="126"/>
      <c r="R27" s="425"/>
      <c r="S27" s="125"/>
    </row>
    <row r="28" spans="1:37" ht="13" x14ac:dyDescent="0.3">
      <c r="A28" s="112"/>
      <c r="B28" s="112"/>
      <c r="C28" s="112"/>
      <c r="D28" s="238" t="s">
        <v>1379</v>
      </c>
      <c r="E28" s="238" t="s">
        <v>1607</v>
      </c>
      <c r="F28" s="238" t="s">
        <v>1608</v>
      </c>
      <c r="G28" s="238" t="s">
        <v>1609</v>
      </c>
      <c r="H28" s="238" t="s">
        <v>1610</v>
      </c>
      <c r="I28" s="238" t="s">
        <v>1611</v>
      </c>
      <c r="J28" s="238" t="s">
        <v>1612</v>
      </c>
      <c r="K28" s="112"/>
      <c r="L28" s="112"/>
      <c r="M28" s="112"/>
      <c r="N28" s="112"/>
      <c r="P28" s="425"/>
      <c r="R28" s="425"/>
      <c r="S28" s="125"/>
    </row>
    <row r="29" spans="1:37" ht="13" x14ac:dyDescent="0.3">
      <c r="A29" s="112"/>
      <c r="B29" s="112"/>
      <c r="C29" s="112"/>
      <c r="D29" s="68"/>
      <c r="E29" s="68"/>
      <c r="F29" s="68"/>
      <c r="G29" s="68"/>
      <c r="H29" s="68"/>
      <c r="I29" s="68"/>
      <c r="J29" s="68"/>
      <c r="K29" s="112"/>
      <c r="L29" s="112"/>
      <c r="M29" s="112"/>
      <c r="N29" s="112"/>
      <c r="AB29" s="461" t="s">
        <v>1380</v>
      </c>
    </row>
    <row r="30" spans="1:37" ht="18" x14ac:dyDescent="0.4">
      <c r="A30" s="27" t="s">
        <v>1734</v>
      </c>
      <c r="B30" s="237"/>
      <c r="C30" s="237"/>
      <c r="D30" s="31"/>
      <c r="E30" s="31"/>
      <c r="F30" s="106"/>
      <c r="G30" s="31"/>
      <c r="H30" s="31"/>
      <c r="I30" s="106"/>
      <c r="J30" s="106"/>
      <c r="K30" s="112"/>
      <c r="L30" s="112"/>
      <c r="M30" s="112"/>
      <c r="N30" s="112"/>
      <c r="AB30" s="461" t="s">
        <v>1381</v>
      </c>
      <c r="AC30" s="461" t="s">
        <v>1382</v>
      </c>
      <c r="AD30" s="461" t="s">
        <v>1383</v>
      </c>
      <c r="AE30" s="461" t="s">
        <v>1384</v>
      </c>
      <c r="AF30" s="461" t="s">
        <v>1385</v>
      </c>
      <c r="AG30" s="461" t="s">
        <v>1386</v>
      </c>
      <c r="AH30" s="461" t="s">
        <v>1387</v>
      </c>
      <c r="AI30" s="461" t="s">
        <v>1388</v>
      </c>
      <c r="AJ30" s="461" t="s">
        <v>1389</v>
      </c>
      <c r="AK30" s="461" t="s">
        <v>1390</v>
      </c>
    </row>
    <row r="31" spans="1:37" ht="15.5" x14ac:dyDescent="0.35">
      <c r="A31" s="108">
        <v>11</v>
      </c>
      <c r="B31" s="108" t="s">
        <v>1735</v>
      </c>
      <c r="C31" s="112"/>
      <c r="D31" s="668"/>
      <c r="E31" s="668"/>
      <c r="F31" s="669">
        <f>SUM(D31:E31)</f>
        <v>0</v>
      </c>
      <c r="G31" s="668"/>
      <c r="H31" s="668"/>
      <c r="I31" s="669">
        <f>SUM(G31:H31)</f>
        <v>0</v>
      </c>
      <c r="J31" s="669">
        <f>F31-I31</f>
        <v>0</v>
      </c>
      <c r="K31" s="112"/>
      <c r="L31" s="688" t="str">
        <f>IF(ISERROR(M31),"",IF((M31="Error"),"add explanation",IF((M31="Warning"),"add explanation","")))</f>
        <v/>
      </c>
      <c r="M31" s="310" t="str">
        <f>IF(OR((I31&lt;&gt;(G31+H31)),(F31&lt;&gt;(D31+E31)),(J31&lt;&gt;(F31-I31))),"Error",IF(AK31="Warning","Warning",""))</f>
        <v/>
      </c>
      <c r="N31" s="112"/>
      <c r="O31" s="131" t="str">
        <f>IF($M31="Error","A total column for "&amp;($B31)&amp;" does not match the sum of the components, please correct",IF($M31="Warning","This year's figure is over "&amp;AC31/1000&amp;" million and "&amp;(AB31*100)&amp;"% different to "&amp;TEXT(AD31,"#,###")&amp;" last year, please explain",""))</f>
        <v/>
      </c>
      <c r="AB31">
        <f>VLOOKUP("RO2"&amp;$A31,data_val_parameters,9,0)/100</f>
        <v>0.4</v>
      </c>
      <c r="AC31">
        <f>VLOOKUP("RO2"&amp;$A31,data_val_parameters,7,0)</f>
        <v>4000</v>
      </c>
      <c r="AD31" t="e">
        <f>VLOOKUP(LA_code,data_prev_year,MATCH("RO2"&amp;$A31&amp;"7",data_prev_year_headers,0),0)</f>
        <v>#N/A</v>
      </c>
      <c r="AE31" t="e">
        <f>AD31+AC31</f>
        <v>#N/A</v>
      </c>
      <c r="AF31" t="e">
        <f>AD31-AC31</f>
        <v>#N/A</v>
      </c>
      <c r="AG31" t="e">
        <f>AD31+(AD31*AB31)</f>
        <v>#N/A</v>
      </c>
      <c r="AH31" t="e">
        <f>AD31-(AD31*AB31)</f>
        <v>#N/A</v>
      </c>
      <c r="AI31" t="e">
        <f>IF(OR(J31&lt;AF31,J31&gt;AE31),"Warning","")</f>
        <v>#N/A</v>
      </c>
      <c r="AJ31" t="e">
        <f>IF(OR(J31&gt;(AG31),J31&lt;(AH31)),"Warning","")</f>
        <v>#N/A</v>
      </c>
      <c r="AK31" t="str">
        <f>IF(OR(J31=0),"",IF(AND(AI31="Warning",AJ31="Warning"),"Warning",""))</f>
        <v/>
      </c>
    </row>
    <row r="32" spans="1:37" ht="15.5" x14ac:dyDescent="0.35">
      <c r="A32" s="108">
        <v>12</v>
      </c>
      <c r="B32" s="108" t="s">
        <v>1736</v>
      </c>
      <c r="C32" s="112"/>
      <c r="D32" s="668"/>
      <c r="E32" s="668"/>
      <c r="F32" s="669">
        <f>SUM(D32:E32)</f>
        <v>0</v>
      </c>
      <c r="G32" s="668"/>
      <c r="H32" s="668"/>
      <c r="I32" s="669">
        <f>SUM(G32:H32)</f>
        <v>0</v>
      </c>
      <c r="J32" s="669">
        <f>F32-I32</f>
        <v>0</v>
      </c>
      <c r="K32" s="112"/>
      <c r="L32" s="688" t="str">
        <f>IF(ISERROR(M32),"",IF((M32="Error"),"add explanation",IF((M32="Warning"),"add explanation","")))</f>
        <v/>
      </c>
      <c r="M32" s="310" t="str">
        <f t="shared" ref="M32:M64" si="0">IF(OR((I32&lt;&gt;(G32+H32)),(F32&lt;&gt;(D32+E32)),(J32&lt;&gt;(F32-I32))),"Error",IF(AK32="Warning","Warning",""))</f>
        <v/>
      </c>
      <c r="N32" s="112"/>
      <c r="O32" s="131" t="str">
        <f>IF($M32="Error","A total column for "&amp;($B32)&amp;" does not match the sum of the components, please correct",IF($M32="Warning","This year's figure is over "&amp;AC32/1000&amp;" million and "&amp;(AB32*100)&amp;"% different to "&amp;TEXT(AD32,"#,###")&amp;" last year, please explain",""))</f>
        <v/>
      </c>
      <c r="AB32">
        <f>VLOOKUP("RO2"&amp;$A32,data_val_parameters,9,0)/100</f>
        <v>0.4</v>
      </c>
      <c r="AC32">
        <f>VLOOKUP("RO2"&amp;$A32,data_val_parameters,7,0)</f>
        <v>4000</v>
      </c>
      <c r="AD32" t="e">
        <f>VLOOKUP(LA_code,data_prev_year,MATCH("RO2"&amp;$A32&amp;"7",data_prev_year_headers,0),0)</f>
        <v>#N/A</v>
      </c>
      <c r="AE32" t="e">
        <f t="shared" ref="AE32:AE62" si="1">AD32+AC32</f>
        <v>#N/A</v>
      </c>
      <c r="AF32" t="e">
        <f t="shared" ref="AF32:AF62" si="2">AD32-AC32</f>
        <v>#N/A</v>
      </c>
      <c r="AG32" t="e">
        <f t="shared" ref="AG32:AG62" si="3">AD32+(AD32*AB32)</f>
        <v>#N/A</v>
      </c>
      <c r="AH32" t="e">
        <f t="shared" ref="AH32:AH62" si="4">AD32-(AD32*AB32)</f>
        <v>#N/A</v>
      </c>
      <c r="AI32" t="e">
        <f t="shared" ref="AI32:AI62" si="5">IF(OR(J32&lt;AF32,J32&gt;AE32),"Warning","")</f>
        <v>#N/A</v>
      </c>
      <c r="AJ32" t="e">
        <f t="shared" ref="AJ32:AJ62" si="6">IF(OR(J32&gt;(AG32),J32&lt;(AH32)),"Warning","")</f>
        <v>#N/A</v>
      </c>
      <c r="AK32" t="str">
        <f>IF(OR(J32=0),"",IF(AND(AI32="Warning",AJ32="Warning"),"Warning",""))</f>
        <v/>
      </c>
    </row>
    <row r="33" spans="1:37" ht="15.5" x14ac:dyDescent="0.35">
      <c r="A33" s="11" t="s">
        <v>84</v>
      </c>
      <c r="B33" s="11"/>
      <c r="C33" s="112"/>
      <c r="D33" s="31"/>
      <c r="E33" s="31"/>
      <c r="F33" s="45"/>
      <c r="G33" s="31"/>
      <c r="H33" s="31"/>
      <c r="I33" s="45"/>
      <c r="J33" s="45"/>
      <c r="K33" s="112"/>
      <c r="L33" s="689"/>
      <c r="M33" s="310"/>
      <c r="N33" s="112"/>
      <c r="O33" s="131"/>
    </row>
    <row r="34" spans="1:37" ht="18" x14ac:dyDescent="0.4">
      <c r="A34" s="27" t="s">
        <v>1737</v>
      </c>
      <c r="B34" s="27"/>
      <c r="C34" s="112"/>
      <c r="D34" s="31"/>
      <c r="E34" s="31"/>
      <c r="F34" s="45"/>
      <c r="G34" s="31"/>
      <c r="H34" s="31"/>
      <c r="I34" s="45"/>
      <c r="J34" s="45"/>
      <c r="K34" s="112"/>
      <c r="L34" s="689"/>
      <c r="M34" s="310"/>
      <c r="N34" s="112"/>
      <c r="O34" s="131"/>
    </row>
    <row r="35" spans="1:37" ht="15.5" x14ac:dyDescent="0.35">
      <c r="A35" s="108">
        <v>31</v>
      </c>
      <c r="B35" s="108" t="s">
        <v>1738</v>
      </c>
      <c r="C35" s="112"/>
      <c r="D35" s="668"/>
      <c r="E35" s="668"/>
      <c r="F35" s="669">
        <f t="shared" ref="F35:F41" si="7">SUM(D35:E35)</f>
        <v>0</v>
      </c>
      <c r="G35" s="668"/>
      <c r="H35" s="668"/>
      <c r="I35" s="669">
        <f t="shared" ref="I35:I41" si="8">SUM(G35:H35)</f>
        <v>0</v>
      </c>
      <c r="J35" s="669">
        <f t="shared" ref="J35:J41" si="9">F35-I35</f>
        <v>0</v>
      </c>
      <c r="K35" s="112"/>
      <c r="L35" s="688" t="str">
        <f t="shared" ref="L35:L41" si="10">IF(ISERROR(M35),"",IF((M35="Error"),"add explanation",IF((M35="Warning"),"add explanation","")))</f>
        <v/>
      </c>
      <c r="M35" s="310" t="str">
        <f t="shared" si="0"/>
        <v/>
      </c>
      <c r="N35" s="112"/>
      <c r="O35" s="131" t="str">
        <f t="shared" ref="O35:O41" si="11">IF($M35="Error","A total column for "&amp;($B35)&amp;" does not match the sum of the components, please correct",IF($M35="Warning","This year's figure is over "&amp;AC35/1000&amp;" million and "&amp;(AB35*100)&amp;"% different to "&amp;TEXT(AD35,"#,###")&amp;" last year, please explain",""))</f>
        <v/>
      </c>
      <c r="AB35">
        <f t="shared" ref="AB35:AB41" si="12">VLOOKUP("RO2"&amp;$A35,data_val_parameters,9,0)/100</f>
        <v>0.4</v>
      </c>
      <c r="AC35">
        <f t="shared" ref="AC35:AC41" si="13">VLOOKUP("RO2"&amp;$A35,data_val_parameters,7,0)</f>
        <v>4000</v>
      </c>
      <c r="AD35" t="e">
        <f t="shared" ref="AD35:AD41" si="14">VLOOKUP(LA_code,data_prev_year,MATCH("RO2"&amp;$A35&amp;"7",data_prev_year_headers,0),0)</f>
        <v>#N/A</v>
      </c>
      <c r="AE35" t="e">
        <f t="shared" si="1"/>
        <v>#N/A</v>
      </c>
      <c r="AF35" t="e">
        <f t="shared" si="2"/>
        <v>#N/A</v>
      </c>
      <c r="AG35" t="e">
        <f t="shared" si="3"/>
        <v>#N/A</v>
      </c>
      <c r="AH35" t="e">
        <f t="shared" si="4"/>
        <v>#N/A</v>
      </c>
      <c r="AI35" t="e">
        <f t="shared" si="5"/>
        <v>#N/A</v>
      </c>
      <c r="AJ35" t="e">
        <f t="shared" si="6"/>
        <v>#N/A</v>
      </c>
      <c r="AK35" t="str">
        <f t="shared" ref="AK35:AK41" si="15">IF(OR(J35=0),"",IF(AND(AI35="Warning",AJ35="Warning"),"Warning",""))</f>
        <v/>
      </c>
    </row>
    <row r="36" spans="1:37" ht="15.5" x14ac:dyDescent="0.35">
      <c r="A36" s="110">
        <v>32</v>
      </c>
      <c r="B36" s="110" t="s">
        <v>1739</v>
      </c>
      <c r="C36" s="112"/>
      <c r="D36" s="668"/>
      <c r="E36" s="668"/>
      <c r="F36" s="669">
        <f t="shared" si="7"/>
        <v>0</v>
      </c>
      <c r="G36" s="668"/>
      <c r="H36" s="668"/>
      <c r="I36" s="669">
        <f t="shared" si="8"/>
        <v>0</v>
      </c>
      <c r="J36" s="669">
        <f t="shared" si="9"/>
        <v>0</v>
      </c>
      <c r="K36" s="112"/>
      <c r="L36" s="688" t="str">
        <f t="shared" si="10"/>
        <v/>
      </c>
      <c r="M36" s="310" t="str">
        <f t="shared" si="0"/>
        <v/>
      </c>
      <c r="N36" s="112"/>
      <c r="O36" s="131" t="str">
        <f t="shared" si="11"/>
        <v/>
      </c>
      <c r="AB36">
        <f t="shared" si="12"/>
        <v>0.4</v>
      </c>
      <c r="AC36">
        <f t="shared" si="13"/>
        <v>4000</v>
      </c>
      <c r="AD36" t="e">
        <f t="shared" si="14"/>
        <v>#N/A</v>
      </c>
      <c r="AE36" t="e">
        <f t="shared" si="1"/>
        <v>#N/A</v>
      </c>
      <c r="AF36" t="e">
        <f t="shared" si="2"/>
        <v>#N/A</v>
      </c>
      <c r="AG36" s="645" t="e">
        <f t="shared" si="3"/>
        <v>#N/A</v>
      </c>
      <c r="AH36" s="645" t="e">
        <f t="shared" si="4"/>
        <v>#N/A</v>
      </c>
      <c r="AI36" t="e">
        <f t="shared" si="5"/>
        <v>#N/A</v>
      </c>
      <c r="AJ36" t="e">
        <f t="shared" si="6"/>
        <v>#N/A</v>
      </c>
      <c r="AK36" t="str">
        <f t="shared" si="15"/>
        <v/>
      </c>
    </row>
    <row r="37" spans="1:37" ht="15.5" x14ac:dyDescent="0.35">
      <c r="A37" s="110">
        <v>33</v>
      </c>
      <c r="B37" s="110" t="s">
        <v>1740</v>
      </c>
      <c r="C37" s="112"/>
      <c r="D37" s="668"/>
      <c r="E37" s="668"/>
      <c r="F37" s="669">
        <f t="shared" si="7"/>
        <v>0</v>
      </c>
      <c r="G37" s="668"/>
      <c r="H37" s="668"/>
      <c r="I37" s="669">
        <f t="shared" si="8"/>
        <v>0</v>
      </c>
      <c r="J37" s="669">
        <f t="shared" si="9"/>
        <v>0</v>
      </c>
      <c r="K37" s="112"/>
      <c r="L37" s="688" t="str">
        <f t="shared" si="10"/>
        <v/>
      </c>
      <c r="M37" s="310" t="str">
        <f t="shared" si="0"/>
        <v/>
      </c>
      <c r="N37" s="112"/>
      <c r="O37" s="131" t="str">
        <f t="shared" si="11"/>
        <v/>
      </c>
      <c r="AB37">
        <f t="shared" si="12"/>
        <v>0.4</v>
      </c>
      <c r="AC37">
        <f t="shared" si="13"/>
        <v>4000</v>
      </c>
      <c r="AD37" t="e">
        <f t="shared" si="14"/>
        <v>#N/A</v>
      </c>
      <c r="AE37" t="e">
        <f t="shared" si="1"/>
        <v>#N/A</v>
      </c>
      <c r="AF37" t="e">
        <f t="shared" si="2"/>
        <v>#N/A</v>
      </c>
      <c r="AG37" s="645" t="e">
        <f t="shared" si="3"/>
        <v>#N/A</v>
      </c>
      <c r="AH37" s="645" t="e">
        <f t="shared" si="4"/>
        <v>#N/A</v>
      </c>
      <c r="AI37" t="e">
        <f t="shared" si="5"/>
        <v>#N/A</v>
      </c>
      <c r="AJ37" t="e">
        <f t="shared" si="6"/>
        <v>#N/A</v>
      </c>
      <c r="AK37" t="str">
        <f t="shared" si="15"/>
        <v/>
      </c>
    </row>
    <row r="38" spans="1:37" ht="15.5" x14ac:dyDescent="0.35">
      <c r="A38" s="110">
        <v>41</v>
      </c>
      <c r="B38" s="110" t="s">
        <v>1741</v>
      </c>
      <c r="C38" s="112"/>
      <c r="D38" s="668"/>
      <c r="E38" s="668"/>
      <c r="F38" s="669">
        <f t="shared" si="7"/>
        <v>0</v>
      </c>
      <c r="G38" s="668"/>
      <c r="H38" s="668"/>
      <c r="I38" s="669">
        <f t="shared" si="8"/>
        <v>0</v>
      </c>
      <c r="J38" s="669">
        <f t="shared" si="9"/>
        <v>0</v>
      </c>
      <c r="K38" s="112"/>
      <c r="L38" s="688" t="str">
        <f t="shared" si="10"/>
        <v/>
      </c>
      <c r="M38" s="310" t="str">
        <f t="shared" si="0"/>
        <v/>
      </c>
      <c r="N38" s="112"/>
      <c r="O38" s="131" t="str">
        <f t="shared" si="11"/>
        <v/>
      </c>
      <c r="AB38">
        <f t="shared" si="12"/>
        <v>0.4</v>
      </c>
      <c r="AC38">
        <f t="shared" si="13"/>
        <v>4000</v>
      </c>
      <c r="AD38" t="e">
        <f t="shared" si="14"/>
        <v>#N/A</v>
      </c>
      <c r="AE38" t="e">
        <f t="shared" si="1"/>
        <v>#N/A</v>
      </c>
      <c r="AF38" t="e">
        <f t="shared" si="2"/>
        <v>#N/A</v>
      </c>
      <c r="AG38" t="e">
        <f t="shared" si="3"/>
        <v>#N/A</v>
      </c>
      <c r="AH38" s="645" t="e">
        <f t="shared" si="4"/>
        <v>#N/A</v>
      </c>
      <c r="AI38" t="e">
        <f t="shared" si="5"/>
        <v>#N/A</v>
      </c>
      <c r="AJ38" t="e">
        <f t="shared" si="6"/>
        <v>#N/A</v>
      </c>
      <c r="AK38" t="str">
        <f t="shared" si="15"/>
        <v/>
      </c>
    </row>
    <row r="39" spans="1:37" ht="15.5" x14ac:dyDescent="0.35">
      <c r="A39" s="110">
        <v>44</v>
      </c>
      <c r="B39" s="110" t="s">
        <v>1742</v>
      </c>
      <c r="C39" s="112"/>
      <c r="D39" s="668"/>
      <c r="E39" s="668"/>
      <c r="F39" s="669">
        <f t="shared" si="7"/>
        <v>0</v>
      </c>
      <c r="G39" s="668"/>
      <c r="H39" s="668"/>
      <c r="I39" s="669">
        <f t="shared" si="8"/>
        <v>0</v>
      </c>
      <c r="J39" s="669">
        <f t="shared" si="9"/>
        <v>0</v>
      </c>
      <c r="K39" s="112"/>
      <c r="L39" s="688" t="str">
        <f t="shared" si="10"/>
        <v/>
      </c>
      <c r="M39" s="310" t="str">
        <f t="shared" si="0"/>
        <v/>
      </c>
      <c r="N39" s="112"/>
      <c r="O39" s="131" t="str">
        <f t="shared" si="11"/>
        <v/>
      </c>
      <c r="AB39">
        <f t="shared" si="12"/>
        <v>0.4</v>
      </c>
      <c r="AC39">
        <f t="shared" si="13"/>
        <v>8000</v>
      </c>
      <c r="AD39" t="e">
        <f t="shared" si="14"/>
        <v>#N/A</v>
      </c>
      <c r="AE39" t="e">
        <f t="shared" si="1"/>
        <v>#N/A</v>
      </c>
      <c r="AF39" t="e">
        <f t="shared" si="2"/>
        <v>#N/A</v>
      </c>
      <c r="AG39" t="e">
        <f t="shared" si="3"/>
        <v>#N/A</v>
      </c>
      <c r="AH39" t="e">
        <f t="shared" si="4"/>
        <v>#N/A</v>
      </c>
      <c r="AI39" t="e">
        <f t="shared" si="5"/>
        <v>#N/A</v>
      </c>
      <c r="AJ39" t="e">
        <f t="shared" si="6"/>
        <v>#N/A</v>
      </c>
      <c r="AK39" t="str">
        <f t="shared" si="15"/>
        <v/>
      </c>
    </row>
    <row r="40" spans="1:37" ht="15.5" x14ac:dyDescent="0.35">
      <c r="A40" s="108">
        <v>48</v>
      </c>
      <c r="B40" s="108" t="s">
        <v>1743</v>
      </c>
      <c r="C40" s="112"/>
      <c r="D40" s="668"/>
      <c r="E40" s="668"/>
      <c r="F40" s="669">
        <f t="shared" si="7"/>
        <v>0</v>
      </c>
      <c r="G40" s="668"/>
      <c r="H40" s="668"/>
      <c r="I40" s="669">
        <f t="shared" si="8"/>
        <v>0</v>
      </c>
      <c r="J40" s="669">
        <f t="shared" si="9"/>
        <v>0</v>
      </c>
      <c r="K40" s="112"/>
      <c r="L40" s="688" t="str">
        <f t="shared" si="10"/>
        <v/>
      </c>
      <c r="M40" s="310" t="str">
        <f t="shared" si="0"/>
        <v/>
      </c>
      <c r="N40" s="112"/>
      <c r="O40" s="131" t="str">
        <f t="shared" si="11"/>
        <v/>
      </c>
      <c r="AB40">
        <f t="shared" si="12"/>
        <v>0.4</v>
      </c>
      <c r="AC40">
        <f t="shared" si="13"/>
        <v>4000</v>
      </c>
      <c r="AD40" t="e">
        <f t="shared" si="14"/>
        <v>#N/A</v>
      </c>
      <c r="AE40" t="e">
        <f t="shared" si="1"/>
        <v>#N/A</v>
      </c>
      <c r="AF40" t="e">
        <f t="shared" si="2"/>
        <v>#N/A</v>
      </c>
      <c r="AG40" s="645" t="e">
        <f t="shared" si="3"/>
        <v>#N/A</v>
      </c>
      <c r="AH40" s="645" t="e">
        <f t="shared" si="4"/>
        <v>#N/A</v>
      </c>
      <c r="AI40" t="e">
        <f t="shared" si="5"/>
        <v>#N/A</v>
      </c>
      <c r="AJ40" t="e">
        <f t="shared" si="6"/>
        <v>#N/A</v>
      </c>
      <c r="AK40" t="str">
        <f t="shared" si="15"/>
        <v/>
      </c>
    </row>
    <row r="41" spans="1:37" s="42" customFormat="1" ht="18" x14ac:dyDescent="0.4">
      <c r="A41" s="108">
        <v>49</v>
      </c>
      <c r="B41" s="108" t="s">
        <v>1744</v>
      </c>
      <c r="C41" s="112"/>
      <c r="D41" s="668"/>
      <c r="E41" s="668"/>
      <c r="F41" s="669">
        <f t="shared" si="7"/>
        <v>0</v>
      </c>
      <c r="G41" s="668"/>
      <c r="H41" s="668"/>
      <c r="I41" s="669">
        <f t="shared" si="8"/>
        <v>0</v>
      </c>
      <c r="J41" s="669">
        <f t="shared" si="9"/>
        <v>0</v>
      </c>
      <c r="K41" s="39"/>
      <c r="L41" s="688" t="str">
        <f t="shared" si="10"/>
        <v/>
      </c>
      <c r="M41" s="310" t="str">
        <f t="shared" si="0"/>
        <v/>
      </c>
      <c r="N41" s="112"/>
      <c r="O41" s="131" t="str">
        <f t="shared" si="11"/>
        <v/>
      </c>
      <c r="P41"/>
      <c r="Q41"/>
      <c r="R41"/>
      <c r="S41"/>
      <c r="T41"/>
      <c r="U41"/>
      <c r="V41"/>
      <c r="W41"/>
      <c r="X41"/>
      <c r="Y41"/>
      <c r="Z41"/>
      <c r="AA41"/>
      <c r="AB41">
        <f t="shared" si="12"/>
        <v>0.4</v>
      </c>
      <c r="AC41">
        <f t="shared" si="13"/>
        <v>4000</v>
      </c>
      <c r="AD41" t="e">
        <f t="shared" si="14"/>
        <v>#N/A</v>
      </c>
      <c r="AE41" t="e">
        <f t="shared" si="1"/>
        <v>#N/A</v>
      </c>
      <c r="AF41" t="e">
        <f t="shared" si="2"/>
        <v>#N/A</v>
      </c>
      <c r="AG41" s="645" t="e">
        <f t="shared" si="3"/>
        <v>#N/A</v>
      </c>
      <c r="AH41" s="645" t="e">
        <f t="shared" si="4"/>
        <v>#N/A</v>
      </c>
      <c r="AI41" t="e">
        <f t="shared" si="5"/>
        <v>#N/A</v>
      </c>
      <c r="AJ41" t="e">
        <f t="shared" si="6"/>
        <v>#N/A</v>
      </c>
      <c r="AK41" t="str">
        <f t="shared" si="15"/>
        <v/>
      </c>
    </row>
    <row r="42" spans="1:37" ht="15.5" x14ac:dyDescent="0.35">
      <c r="A42" s="214" t="s">
        <v>1745</v>
      </c>
      <c r="B42" s="299"/>
      <c r="C42" s="112"/>
      <c r="D42" s="31"/>
      <c r="E42" s="31"/>
      <c r="F42" s="45"/>
      <c r="G42" s="31"/>
      <c r="H42" s="31"/>
      <c r="I42" s="45"/>
      <c r="J42" s="45"/>
      <c r="K42" s="112"/>
      <c r="L42" s="689"/>
      <c r="M42" s="310"/>
      <c r="N42" s="112"/>
      <c r="O42" s="131"/>
    </row>
    <row r="43" spans="1:37" ht="15.5" x14ac:dyDescent="0.35">
      <c r="A43" s="11" t="s">
        <v>84</v>
      </c>
      <c r="B43" s="11"/>
      <c r="C43" s="112"/>
      <c r="D43" s="31"/>
      <c r="E43" s="31"/>
      <c r="F43" s="45"/>
      <c r="G43" s="31"/>
      <c r="H43" s="31"/>
      <c r="I43" s="45"/>
      <c r="J43" s="45"/>
      <c r="K43" s="112"/>
      <c r="L43" s="689"/>
      <c r="M43" s="310"/>
      <c r="N43" s="112"/>
      <c r="O43" s="131"/>
    </row>
    <row r="44" spans="1:37" ht="18" x14ac:dyDescent="0.4">
      <c r="A44" s="27" t="s">
        <v>1746</v>
      </c>
      <c r="B44" s="27"/>
      <c r="C44" s="112"/>
      <c r="D44" s="31"/>
      <c r="E44" s="31"/>
      <c r="F44" s="45"/>
      <c r="G44" s="31"/>
      <c r="H44" s="31"/>
      <c r="I44" s="45"/>
      <c r="J44" s="45"/>
      <c r="K44" s="112"/>
      <c r="L44" s="689"/>
      <c r="M44" s="310"/>
      <c r="N44" s="112"/>
      <c r="O44" s="131"/>
    </row>
    <row r="45" spans="1:37" ht="15.5" x14ac:dyDescent="0.35">
      <c r="A45" s="108">
        <v>51</v>
      </c>
      <c r="B45" s="108" t="s">
        <v>1747</v>
      </c>
      <c r="C45" s="112"/>
      <c r="D45" s="668"/>
      <c r="E45" s="668"/>
      <c r="F45" s="669">
        <f>SUM(D45:E45)</f>
        <v>0</v>
      </c>
      <c r="G45" s="668"/>
      <c r="H45" s="668"/>
      <c r="I45" s="669">
        <f>SUM(G45:H45)</f>
        <v>0</v>
      </c>
      <c r="J45" s="669">
        <f>F45-I45</f>
        <v>0</v>
      </c>
      <c r="K45" s="112"/>
      <c r="L45" s="688" t="str">
        <f>IF(ISERROR(M45),"",IF((M45="Error"),"add explanation",IF((M45="Warning"),"add explanation","")))</f>
        <v/>
      </c>
      <c r="M45" s="310" t="str">
        <f t="shared" si="0"/>
        <v/>
      </c>
      <c r="N45" s="112"/>
      <c r="O45" s="131" t="str">
        <f>IF($M45="Error","A total column for "&amp;($B45)&amp;" does not match the sum of the components, please correct",IF($M45="Warning","This year's figure is over "&amp;AC45/1000&amp;" million and "&amp;(AB45*100)&amp;"% different to "&amp;TEXT(AD45,"#,###")&amp;" last year, please explain",""))</f>
        <v/>
      </c>
      <c r="AB45">
        <f>VLOOKUP("RO2"&amp;$A45,data_val_parameters,9,0)/100</f>
        <v>0.3</v>
      </c>
      <c r="AC45">
        <f>VLOOKUP("RO2"&amp;$A45,data_val_parameters,7,0)</f>
        <v>3000</v>
      </c>
      <c r="AD45" t="e">
        <f>VLOOKUP(LA_code,data_prev_year,MATCH("RO2"&amp;$A45&amp;"7",data_prev_year_headers,0),0)</f>
        <v>#N/A</v>
      </c>
      <c r="AE45" t="e">
        <f t="shared" si="1"/>
        <v>#N/A</v>
      </c>
      <c r="AF45" t="e">
        <f t="shared" si="2"/>
        <v>#N/A</v>
      </c>
      <c r="AG45" t="e">
        <f t="shared" si="3"/>
        <v>#N/A</v>
      </c>
      <c r="AH45" t="e">
        <f t="shared" si="4"/>
        <v>#N/A</v>
      </c>
      <c r="AI45" t="e">
        <f t="shared" si="5"/>
        <v>#N/A</v>
      </c>
      <c r="AJ45" t="e">
        <f t="shared" si="6"/>
        <v>#N/A</v>
      </c>
      <c r="AK45" t="str">
        <f>IF(OR(J45=0),"",IF(AND(AI45="Warning",AJ45="Warning"),"Warning",""))</f>
        <v/>
      </c>
    </row>
    <row r="46" spans="1:37" ht="15.5" x14ac:dyDescent="0.35">
      <c r="A46" s="564">
        <v>52</v>
      </c>
      <c r="B46" s="565" t="s">
        <v>1748</v>
      </c>
      <c r="C46" s="112"/>
      <c r="D46" s="668"/>
      <c r="E46" s="668"/>
      <c r="F46" s="669">
        <f>SUM(D46:E46)</f>
        <v>0</v>
      </c>
      <c r="G46" s="668"/>
      <c r="H46" s="668"/>
      <c r="I46" s="669">
        <f>SUM(G46:H46)</f>
        <v>0</v>
      </c>
      <c r="J46" s="669">
        <f>F46-I46</f>
        <v>0</v>
      </c>
      <c r="K46" s="112"/>
      <c r="L46" s="688" t="str">
        <f>IF(ISERROR(M46),"",IF((M46="Error"),"add explanation",IF((M46="Warning"),"add explanation","")))</f>
        <v/>
      </c>
      <c r="M46" s="310" t="str">
        <f t="shared" si="0"/>
        <v/>
      </c>
      <c r="N46" s="112"/>
      <c r="O46" s="131" t="str">
        <f>IF($M46="Error","A total column for "&amp;($B46)&amp;" does not match the sum of the components, please correct",IF($M46="Warning","This year's figure is over "&amp;AC46/1000&amp;" million and "&amp;(AB46*100)&amp;"% different to "&amp;TEXT(AD46,"#,###")&amp;" last year, please explain",""))</f>
        <v/>
      </c>
      <c r="AB46">
        <f>VLOOKUP("RO2"&amp;$A46,data_val_parameters,9,0)/100</f>
        <v>0.3</v>
      </c>
      <c r="AC46">
        <f>VLOOKUP("RO2"&amp;$A46,data_val_parameters,7,0)</f>
        <v>3000</v>
      </c>
      <c r="AD46" t="e">
        <f>VLOOKUP(LA_code,data_prev_year,MATCH("RO2"&amp;$A46&amp;"7",data_prev_year_headers,0),0)</f>
        <v>#N/A</v>
      </c>
      <c r="AE46" t="e">
        <f>AD46+AC46</f>
        <v>#N/A</v>
      </c>
      <c r="AF46" t="e">
        <f>AD46-AC46</f>
        <v>#N/A</v>
      </c>
      <c r="AG46" s="645" t="e">
        <f>AD46+(AD46*AB46)</f>
        <v>#N/A</v>
      </c>
      <c r="AH46" s="645" t="e">
        <f>AD46-(AD46*AB46)</f>
        <v>#N/A</v>
      </c>
      <c r="AI46" t="e">
        <f>IF(OR(J46&lt;AF46,J46&gt;AE46),"Warning","")</f>
        <v>#N/A</v>
      </c>
      <c r="AJ46" t="e">
        <f>IF(OR(J46&gt;(AG46),J46&lt;(AH46)),"Warning","")</f>
        <v>#N/A</v>
      </c>
      <c r="AK46" t="str">
        <f>IF(OR(J46=0),"",IF(AND(AI46="Warning",AJ46="Warning"),"Warning",""))</f>
        <v/>
      </c>
    </row>
    <row r="47" spans="1:37" ht="15.5" x14ac:dyDescent="0.35">
      <c r="A47" s="108">
        <v>54</v>
      </c>
      <c r="B47" s="108" t="s">
        <v>1749</v>
      </c>
      <c r="C47" s="112"/>
      <c r="D47" s="668"/>
      <c r="E47" s="668"/>
      <c r="F47" s="669">
        <f>SUM(D47:E47)</f>
        <v>0</v>
      </c>
      <c r="G47" s="668"/>
      <c r="H47" s="668"/>
      <c r="I47" s="669">
        <f>SUM(G47:H47)</f>
        <v>0</v>
      </c>
      <c r="J47" s="669">
        <f>F47-I47</f>
        <v>0</v>
      </c>
      <c r="K47" s="112"/>
      <c r="L47" s="688" t="str">
        <f>IF(ISERROR(M47),"",IF((M47="Error"),"add explanation",IF((M47="Warning"),"add explanation","")))</f>
        <v/>
      </c>
      <c r="M47" s="310" t="str">
        <f t="shared" si="0"/>
        <v/>
      </c>
      <c r="N47" s="112"/>
      <c r="O47" s="131" t="str">
        <f>IF($M47="Error","A total column for "&amp;($B47)&amp;" does not match the sum of the components, please correct",IF($M47="Warning","This year's figure is over "&amp;AC47/1000&amp;" million and "&amp;(AB47*100)&amp;"% different to "&amp;TEXT(AD47,"#,###")&amp;" last year, please explain",""))</f>
        <v/>
      </c>
      <c r="AB47">
        <f>VLOOKUP("RO2"&amp;$A47,data_val_parameters,9,0)/100</f>
        <v>0.3</v>
      </c>
      <c r="AC47">
        <f>VLOOKUP("RO2"&amp;$A47,data_val_parameters,7,0)</f>
        <v>3000</v>
      </c>
      <c r="AD47" t="e">
        <f>VLOOKUP(LA_code,data_prev_year,MATCH("RO2"&amp;$A47&amp;"7",data_prev_year_headers,0),0)</f>
        <v>#N/A</v>
      </c>
      <c r="AE47" t="e">
        <f t="shared" si="1"/>
        <v>#N/A</v>
      </c>
      <c r="AF47" t="e">
        <f t="shared" si="2"/>
        <v>#N/A</v>
      </c>
      <c r="AG47" s="645" t="e">
        <f t="shared" si="3"/>
        <v>#N/A</v>
      </c>
      <c r="AH47" s="645" t="e">
        <f t="shared" si="4"/>
        <v>#N/A</v>
      </c>
      <c r="AI47" t="e">
        <f t="shared" si="5"/>
        <v>#N/A</v>
      </c>
      <c r="AJ47" t="e">
        <f t="shared" si="6"/>
        <v>#N/A</v>
      </c>
      <c r="AK47" t="str">
        <f>IF(OR(J47=0),"",IF(AND(AI47="Warning",AJ47="Warning"),"Warning",""))</f>
        <v/>
      </c>
    </row>
    <row r="48" spans="1:37" ht="15.5" x14ac:dyDescent="0.35">
      <c r="A48" s="108">
        <v>58</v>
      </c>
      <c r="B48" s="108" t="s">
        <v>1750</v>
      </c>
      <c r="C48" s="112"/>
      <c r="D48" s="668"/>
      <c r="E48" s="668"/>
      <c r="F48" s="669">
        <f>SUM(D48:E48)</f>
        <v>0</v>
      </c>
      <c r="G48" s="668"/>
      <c r="H48" s="668"/>
      <c r="I48" s="669">
        <f>SUM(G48:H48)</f>
        <v>0</v>
      </c>
      <c r="J48" s="669">
        <f>F48-I48</f>
        <v>0</v>
      </c>
      <c r="K48" s="112"/>
      <c r="L48" s="688" t="str">
        <f>IF(ISERROR(M48),"",IF((M48="Error"),"add explanation",IF((M48="Warning"),"add explanation","")))</f>
        <v/>
      </c>
      <c r="M48" s="310" t="str">
        <f t="shared" si="0"/>
        <v/>
      </c>
      <c r="N48" s="112"/>
      <c r="O48" s="131" t="str">
        <f>IF($M48="Error","A total column for "&amp;($B48)&amp;" does not match the sum of the components, please correct",IF($M48="Warning","This year's figure is over "&amp;AC48/1000&amp;" million and "&amp;(AB48*100)&amp;"% different to "&amp;TEXT(AD48,"#,###")&amp;" last year, please explain",""))</f>
        <v/>
      </c>
      <c r="AB48">
        <f>VLOOKUP("RO2"&amp;$A48,data_val_parameters,9,0)/100</f>
        <v>0.3</v>
      </c>
      <c r="AC48">
        <f>VLOOKUP("RO2"&amp;$A48,data_val_parameters,7,0)</f>
        <v>3000</v>
      </c>
      <c r="AD48" t="e">
        <f>VLOOKUP(LA_code,data_prev_year,MATCH("RO2"&amp;$A48&amp;"7",data_prev_year_headers,0),0)</f>
        <v>#N/A</v>
      </c>
      <c r="AE48" t="e">
        <f t="shared" si="1"/>
        <v>#N/A</v>
      </c>
      <c r="AF48" t="e">
        <f t="shared" si="2"/>
        <v>#N/A</v>
      </c>
      <c r="AG48" t="e">
        <f t="shared" si="3"/>
        <v>#N/A</v>
      </c>
      <c r="AH48" s="645" t="e">
        <f t="shared" si="4"/>
        <v>#N/A</v>
      </c>
      <c r="AI48" t="e">
        <f t="shared" si="5"/>
        <v>#N/A</v>
      </c>
      <c r="AJ48" t="e">
        <f t="shared" si="6"/>
        <v>#N/A</v>
      </c>
      <c r="AK48" t="str">
        <f>IF(OR(J48=0),"",IF(AND(AI48="Warning",AJ48="Warning"),"Warning",""))</f>
        <v/>
      </c>
    </row>
    <row r="49" spans="1:37" ht="15.5" x14ac:dyDescent="0.35">
      <c r="A49" s="12" t="s">
        <v>84</v>
      </c>
      <c r="B49" s="12"/>
      <c r="C49" s="112"/>
      <c r="D49" s="31"/>
      <c r="E49" s="31"/>
      <c r="F49" s="45"/>
      <c r="G49" s="31"/>
      <c r="H49" s="31"/>
      <c r="I49" s="45"/>
      <c r="J49" s="45"/>
      <c r="K49" s="112"/>
      <c r="L49" s="689"/>
      <c r="M49" s="310"/>
      <c r="N49" s="112"/>
      <c r="O49" s="131"/>
    </row>
    <row r="50" spans="1:37" ht="18" x14ac:dyDescent="0.4">
      <c r="A50" s="196" t="s">
        <v>1751</v>
      </c>
      <c r="B50" s="196"/>
      <c r="C50" s="112"/>
      <c r="D50" s="31"/>
      <c r="E50" s="31"/>
      <c r="F50" s="45"/>
      <c r="G50" s="31"/>
      <c r="H50" s="31"/>
      <c r="I50" s="45"/>
      <c r="J50" s="45"/>
      <c r="K50" s="112"/>
      <c r="L50" s="689"/>
      <c r="M50" s="310"/>
      <c r="N50" s="112"/>
      <c r="O50" s="131"/>
    </row>
    <row r="51" spans="1:37" ht="15.5" x14ac:dyDescent="0.35">
      <c r="A51" s="108">
        <v>61</v>
      </c>
      <c r="B51" s="108" t="s">
        <v>1752</v>
      </c>
      <c r="C51" s="112"/>
      <c r="D51" s="668"/>
      <c r="E51" s="668"/>
      <c r="F51" s="717">
        <f>SUM(D51:E51)</f>
        <v>0</v>
      </c>
      <c r="G51" s="1009">
        <f>SUM(G89:G90)</f>
        <v>0</v>
      </c>
      <c r="H51" s="718"/>
      <c r="I51" s="669">
        <f>SUM(G51:H51)</f>
        <v>0</v>
      </c>
      <c r="J51" s="669">
        <f>F51-I51</f>
        <v>0</v>
      </c>
      <c r="K51" s="112"/>
      <c r="L51" s="688" t="str">
        <f>IF(ISERROR(M51),"",IF((M51="Error"),"add explanation",IF((M51="Warning"),"add explanation","")))</f>
        <v/>
      </c>
      <c r="M51" s="310" t="str">
        <f t="shared" si="0"/>
        <v/>
      </c>
      <c r="N51" s="112"/>
      <c r="O51" s="131" t="str">
        <f>IF($M51="Error","A total column for "&amp;($B51)&amp;" does not match the sum of the components, please correct",IF($M51="Warning","This year's figure is over "&amp;AC51/1000&amp;" million and "&amp;(AB51*100)&amp;"% different to "&amp;TEXT(AD51,"#,###")&amp;" last year, please explain",""))</f>
        <v/>
      </c>
      <c r="AB51">
        <f>VLOOKUP("RO2"&amp;$A51,data_val_parameters,9,0)/100</f>
        <v>0.4</v>
      </c>
      <c r="AC51">
        <f>VLOOKUP("RO2"&amp;$A51,data_val_parameters,7,0)</f>
        <v>4000</v>
      </c>
      <c r="AD51" s="645" t="e">
        <f>VLOOKUP(LA_code,data_prev_year,MATCH("RO2"&amp;$A51&amp;"7",data_prev_year_headers,0),0)</f>
        <v>#N/A</v>
      </c>
      <c r="AE51" s="645" t="e">
        <f t="shared" si="1"/>
        <v>#N/A</v>
      </c>
      <c r="AF51" s="645" t="e">
        <f t="shared" si="2"/>
        <v>#N/A</v>
      </c>
      <c r="AG51" s="645" t="e">
        <f t="shared" si="3"/>
        <v>#N/A</v>
      </c>
      <c r="AH51" s="645" t="e">
        <f t="shared" si="4"/>
        <v>#N/A</v>
      </c>
      <c r="AI51" t="e">
        <f t="shared" si="5"/>
        <v>#N/A</v>
      </c>
      <c r="AJ51" t="e">
        <f t="shared" si="6"/>
        <v>#N/A</v>
      </c>
      <c r="AK51" t="str">
        <f>IF(OR(J51=0),"",IF(AND(AI51="Warning",AJ51="Warning"),"Warning",""))</f>
        <v/>
      </c>
    </row>
    <row r="52" spans="1:37" ht="15.5" x14ac:dyDescent="0.35">
      <c r="A52" s="108">
        <v>62</v>
      </c>
      <c r="B52" s="108" t="s">
        <v>1753</v>
      </c>
      <c r="C52" s="112"/>
      <c r="D52" s="668"/>
      <c r="E52" s="668"/>
      <c r="F52" s="669">
        <f>SUM(D52:E52)</f>
        <v>0</v>
      </c>
      <c r="G52" s="63"/>
      <c r="H52" s="668"/>
      <c r="I52" s="669">
        <f>SUM(G52:H52)</f>
        <v>0</v>
      </c>
      <c r="J52" s="669">
        <f>F52-I52</f>
        <v>0</v>
      </c>
      <c r="K52" s="112"/>
      <c r="L52" s="688" t="str">
        <f>IF(ISERROR(M52),"",IF((M52="Error"),"add explanation",IF((M52="Warning"),"add explanation","")))</f>
        <v/>
      </c>
      <c r="M52" s="310" t="str">
        <f t="shared" si="0"/>
        <v/>
      </c>
      <c r="N52" s="112"/>
      <c r="O52" s="131" t="str">
        <f>IF($M52="Error","A total column for "&amp;($B52)&amp;" does not match the sum of the components, please correct",IF($M52="Warning","This year's figure is over "&amp;AC52/1000&amp;" million and "&amp;(AB52*100)&amp;"% different to "&amp;TEXT(AD52,"#,###")&amp;" last year, please explain",""))</f>
        <v/>
      </c>
      <c r="AB52">
        <f>VLOOKUP("RO2"&amp;$A52,data_val_parameters,9,0)/100</f>
        <v>0.4</v>
      </c>
      <c r="AC52">
        <f>VLOOKUP("RO2"&amp;$A52,data_val_parameters,7,0)</f>
        <v>4000</v>
      </c>
      <c r="AD52" t="e">
        <f>VLOOKUP(LA_code,data_prev_year,MATCH("RO2"&amp;$A52&amp;"7",data_prev_year_headers,0),0)</f>
        <v>#N/A</v>
      </c>
      <c r="AE52" t="e">
        <f t="shared" si="1"/>
        <v>#N/A</v>
      </c>
      <c r="AF52" t="e">
        <f t="shared" si="2"/>
        <v>#N/A</v>
      </c>
      <c r="AG52" s="645" t="e">
        <f t="shared" si="3"/>
        <v>#N/A</v>
      </c>
      <c r="AH52" s="645" t="e">
        <f t="shared" si="4"/>
        <v>#N/A</v>
      </c>
      <c r="AI52" t="e">
        <f t="shared" si="5"/>
        <v>#N/A</v>
      </c>
      <c r="AJ52" t="e">
        <f t="shared" si="6"/>
        <v>#N/A</v>
      </c>
      <c r="AK52" t="str">
        <f>IF(OR(J52=0),"",IF(AND(AI52="Warning",AJ52="Warning"),"Warning",""))</f>
        <v/>
      </c>
    </row>
    <row r="53" spans="1:37" ht="15.5" x14ac:dyDescent="0.35">
      <c r="A53" s="11" t="s">
        <v>84</v>
      </c>
      <c r="B53" s="11"/>
      <c r="C53" s="112"/>
      <c r="D53" s="31"/>
      <c r="E53" s="31"/>
      <c r="F53" s="45"/>
      <c r="G53" s="31"/>
      <c r="H53" s="31"/>
      <c r="I53" s="45"/>
      <c r="J53" s="45"/>
      <c r="K53" s="112"/>
      <c r="L53" s="689"/>
      <c r="M53" s="310"/>
      <c r="N53" s="112"/>
      <c r="O53" s="131"/>
    </row>
    <row r="54" spans="1:37" ht="18" x14ac:dyDescent="0.4">
      <c r="A54" s="27" t="s">
        <v>1754</v>
      </c>
      <c r="B54" s="27"/>
      <c r="C54" s="112"/>
      <c r="D54" s="31"/>
      <c r="E54" s="31"/>
      <c r="F54" s="45"/>
      <c r="G54" s="31"/>
      <c r="H54" s="31"/>
      <c r="I54" s="45"/>
      <c r="J54" s="45"/>
      <c r="K54" s="112"/>
      <c r="L54" s="689"/>
      <c r="M54" s="310"/>
      <c r="N54" s="112"/>
      <c r="O54" s="131"/>
    </row>
    <row r="55" spans="1:37" ht="15.5" x14ac:dyDescent="0.35">
      <c r="A55" s="108">
        <v>71</v>
      </c>
      <c r="B55" s="108" t="s">
        <v>1755</v>
      </c>
      <c r="C55" s="112"/>
      <c r="D55" s="668"/>
      <c r="E55" s="668"/>
      <c r="F55" s="669">
        <f t="shared" ref="F55:F60" si="16">SUM(D55:E55)</f>
        <v>0</v>
      </c>
      <c r="G55" s="668"/>
      <c r="H55" s="668"/>
      <c r="I55" s="669">
        <f t="shared" ref="I55:I60" si="17">SUM(G55:H55)</f>
        <v>0</v>
      </c>
      <c r="J55" s="669">
        <f t="shared" ref="J55:J60" si="18">F55-I55</f>
        <v>0</v>
      </c>
      <c r="K55" s="112"/>
      <c r="L55" s="688" t="str">
        <f t="shared" ref="L55:L60" si="19">IF(ISERROR(M55),"",IF((M55="Error"),"add explanation",IF((M55="Warning"),"add explanation","")))</f>
        <v/>
      </c>
      <c r="M55" s="310" t="str">
        <f t="shared" si="0"/>
        <v/>
      </c>
      <c r="N55" s="112"/>
      <c r="O55" s="131" t="str">
        <f t="shared" ref="O55:O60" si="20">IF($M55="Error","A total column for "&amp;($B55)&amp;" does not match the sum of the components, please correct",IF($M55="Warning","This year's figure is over "&amp;AC55/1000&amp;" million and "&amp;(AB55*100)&amp;"% different to "&amp;TEXT(AD55,"#,###")&amp;" last year, please explain",""))</f>
        <v/>
      </c>
      <c r="AB55">
        <f t="shared" ref="AB55:AB60" si="21">VLOOKUP("RO2"&amp;$A55,data_val_parameters,9,0)/100</f>
        <v>0.4</v>
      </c>
      <c r="AC55">
        <f t="shared" ref="AC55:AC60" si="22">VLOOKUP("RO2"&amp;$A55,data_val_parameters,7,0)</f>
        <v>4000</v>
      </c>
      <c r="AD55" t="e">
        <f t="shared" ref="AD55:AD60" si="23">VLOOKUP(LA_code,data_prev_year,MATCH("RO2"&amp;$A55&amp;"7",data_prev_year_headers,0),0)</f>
        <v>#N/A</v>
      </c>
      <c r="AE55" t="e">
        <f t="shared" si="1"/>
        <v>#N/A</v>
      </c>
      <c r="AF55" t="e">
        <f t="shared" si="2"/>
        <v>#N/A</v>
      </c>
      <c r="AG55" t="e">
        <f t="shared" si="3"/>
        <v>#N/A</v>
      </c>
      <c r="AH55" t="e">
        <f t="shared" si="4"/>
        <v>#N/A</v>
      </c>
      <c r="AI55" t="e">
        <f t="shared" si="5"/>
        <v>#N/A</v>
      </c>
      <c r="AJ55" t="e">
        <f t="shared" si="6"/>
        <v>#N/A</v>
      </c>
      <c r="AK55" t="str">
        <f t="shared" ref="AK55:AK60" si="24">IF(OR(J55=0),"",IF(AND(AI55="Warning",AJ55="Warning"),"Warning",""))</f>
        <v/>
      </c>
    </row>
    <row r="56" spans="1:37" ht="15.5" x14ac:dyDescent="0.35">
      <c r="A56" s="108">
        <v>72</v>
      </c>
      <c r="B56" s="108" t="s">
        <v>1756</v>
      </c>
      <c r="C56" s="112"/>
      <c r="D56" s="668"/>
      <c r="E56" s="668"/>
      <c r="F56" s="669">
        <f t="shared" si="16"/>
        <v>0</v>
      </c>
      <c r="G56" s="668"/>
      <c r="H56" s="668"/>
      <c r="I56" s="669">
        <f t="shared" si="17"/>
        <v>0</v>
      </c>
      <c r="J56" s="669">
        <f t="shared" si="18"/>
        <v>0</v>
      </c>
      <c r="K56" s="112"/>
      <c r="L56" s="688" t="str">
        <f t="shared" si="19"/>
        <v/>
      </c>
      <c r="M56" s="310" t="str">
        <f t="shared" si="0"/>
        <v/>
      </c>
      <c r="N56" s="112"/>
      <c r="O56" s="131" t="str">
        <f t="shared" si="20"/>
        <v/>
      </c>
      <c r="AB56">
        <f t="shared" si="21"/>
        <v>0.4</v>
      </c>
      <c r="AC56">
        <f t="shared" si="22"/>
        <v>4000</v>
      </c>
      <c r="AD56" t="e">
        <f t="shared" si="23"/>
        <v>#N/A</v>
      </c>
      <c r="AE56" t="e">
        <f t="shared" si="1"/>
        <v>#N/A</v>
      </c>
      <c r="AF56" t="e">
        <f t="shared" si="2"/>
        <v>#N/A</v>
      </c>
      <c r="AG56" t="e">
        <f t="shared" si="3"/>
        <v>#N/A</v>
      </c>
      <c r="AH56" t="e">
        <f t="shared" si="4"/>
        <v>#N/A</v>
      </c>
      <c r="AI56" t="e">
        <f t="shared" si="5"/>
        <v>#N/A</v>
      </c>
      <c r="AJ56" t="e">
        <f t="shared" si="6"/>
        <v>#N/A</v>
      </c>
      <c r="AK56" t="str">
        <f t="shared" si="24"/>
        <v/>
      </c>
    </row>
    <row r="57" spans="1:37" ht="15.5" x14ac:dyDescent="0.35">
      <c r="A57" s="108">
        <v>73</v>
      </c>
      <c r="B57" s="108" t="s">
        <v>1757</v>
      </c>
      <c r="C57" s="112"/>
      <c r="D57" s="668"/>
      <c r="E57" s="668"/>
      <c r="F57" s="669">
        <f t="shared" si="16"/>
        <v>0</v>
      </c>
      <c r="G57" s="668"/>
      <c r="H57" s="668"/>
      <c r="I57" s="669">
        <f t="shared" si="17"/>
        <v>0</v>
      </c>
      <c r="J57" s="669">
        <f t="shared" si="18"/>
        <v>0</v>
      </c>
      <c r="K57" s="112"/>
      <c r="L57" s="688" t="str">
        <f t="shared" si="19"/>
        <v/>
      </c>
      <c r="M57" s="310" t="str">
        <f t="shared" si="0"/>
        <v/>
      </c>
      <c r="N57" s="112"/>
      <c r="O57" s="131" t="str">
        <f t="shared" si="20"/>
        <v/>
      </c>
      <c r="AB57">
        <f t="shared" si="21"/>
        <v>0.4</v>
      </c>
      <c r="AC57">
        <f t="shared" si="22"/>
        <v>4000</v>
      </c>
      <c r="AD57" t="e">
        <f t="shared" si="23"/>
        <v>#N/A</v>
      </c>
      <c r="AE57" t="e">
        <f t="shared" si="1"/>
        <v>#N/A</v>
      </c>
      <c r="AF57" t="e">
        <f t="shared" si="2"/>
        <v>#N/A</v>
      </c>
      <c r="AG57" s="645" t="e">
        <f t="shared" si="3"/>
        <v>#N/A</v>
      </c>
      <c r="AH57" s="645" t="e">
        <f t="shared" si="4"/>
        <v>#N/A</v>
      </c>
      <c r="AI57" t="e">
        <f t="shared" si="5"/>
        <v>#N/A</v>
      </c>
      <c r="AJ57" t="e">
        <f t="shared" si="6"/>
        <v>#N/A</v>
      </c>
      <c r="AK57" t="str">
        <f t="shared" si="24"/>
        <v/>
      </c>
    </row>
    <row r="58" spans="1:37" ht="15.5" x14ac:dyDescent="0.35">
      <c r="A58" s="108">
        <v>74</v>
      </c>
      <c r="B58" s="108" t="s">
        <v>1758</v>
      </c>
      <c r="C58" s="112"/>
      <c r="D58" s="668"/>
      <c r="E58" s="668"/>
      <c r="F58" s="669">
        <f t="shared" si="16"/>
        <v>0</v>
      </c>
      <c r="G58" s="668"/>
      <c r="H58" s="668"/>
      <c r="I58" s="669">
        <f t="shared" si="17"/>
        <v>0</v>
      </c>
      <c r="J58" s="669">
        <f t="shared" si="18"/>
        <v>0</v>
      </c>
      <c r="K58" s="112"/>
      <c r="L58" s="688" t="str">
        <f t="shared" si="19"/>
        <v/>
      </c>
      <c r="M58" s="310" t="str">
        <f t="shared" si="0"/>
        <v/>
      </c>
      <c r="N58" s="112"/>
      <c r="O58" s="131" t="str">
        <f t="shared" si="20"/>
        <v/>
      </c>
      <c r="AB58">
        <f t="shared" si="21"/>
        <v>0.4</v>
      </c>
      <c r="AC58">
        <f t="shared" si="22"/>
        <v>4000</v>
      </c>
      <c r="AD58" t="e">
        <f t="shared" si="23"/>
        <v>#N/A</v>
      </c>
      <c r="AE58" t="e">
        <f t="shared" si="1"/>
        <v>#N/A</v>
      </c>
      <c r="AF58" t="e">
        <f t="shared" si="2"/>
        <v>#N/A</v>
      </c>
      <c r="AG58" t="e">
        <f t="shared" si="3"/>
        <v>#N/A</v>
      </c>
      <c r="AH58" t="e">
        <f t="shared" si="4"/>
        <v>#N/A</v>
      </c>
      <c r="AI58" t="e">
        <f t="shared" si="5"/>
        <v>#N/A</v>
      </c>
      <c r="AJ58" t="e">
        <f t="shared" si="6"/>
        <v>#N/A</v>
      </c>
      <c r="AK58" t="str">
        <f t="shared" si="24"/>
        <v/>
      </c>
    </row>
    <row r="59" spans="1:37" ht="15.5" x14ac:dyDescent="0.35">
      <c r="A59" s="108">
        <v>75</v>
      </c>
      <c r="B59" s="108" t="s">
        <v>1759</v>
      </c>
      <c r="C59" s="112"/>
      <c r="D59" s="668"/>
      <c r="E59" s="668"/>
      <c r="F59" s="669">
        <f t="shared" si="16"/>
        <v>0</v>
      </c>
      <c r="G59" s="668"/>
      <c r="H59" s="668"/>
      <c r="I59" s="669">
        <f t="shared" si="17"/>
        <v>0</v>
      </c>
      <c r="J59" s="669">
        <f t="shared" si="18"/>
        <v>0</v>
      </c>
      <c r="K59" s="112"/>
      <c r="L59" s="688" t="str">
        <f t="shared" si="19"/>
        <v/>
      </c>
      <c r="M59" s="310" t="str">
        <f t="shared" si="0"/>
        <v/>
      </c>
      <c r="N59" s="112"/>
      <c r="O59" s="131" t="str">
        <f t="shared" si="20"/>
        <v/>
      </c>
      <c r="AB59">
        <f t="shared" si="21"/>
        <v>0.4</v>
      </c>
      <c r="AC59">
        <f t="shared" si="22"/>
        <v>4000</v>
      </c>
      <c r="AD59" t="e">
        <f t="shared" si="23"/>
        <v>#N/A</v>
      </c>
      <c r="AE59" t="e">
        <f t="shared" si="1"/>
        <v>#N/A</v>
      </c>
      <c r="AF59" t="e">
        <f t="shared" si="2"/>
        <v>#N/A</v>
      </c>
      <c r="AG59" t="e">
        <f t="shared" si="3"/>
        <v>#N/A</v>
      </c>
      <c r="AH59" t="e">
        <f t="shared" si="4"/>
        <v>#N/A</v>
      </c>
      <c r="AI59" t="e">
        <f t="shared" si="5"/>
        <v>#N/A</v>
      </c>
      <c r="AJ59" t="e">
        <f t="shared" si="6"/>
        <v>#N/A</v>
      </c>
      <c r="AK59" t="str">
        <f t="shared" si="24"/>
        <v/>
      </c>
    </row>
    <row r="60" spans="1:37" ht="15.5" x14ac:dyDescent="0.35">
      <c r="A60" s="108">
        <v>76</v>
      </c>
      <c r="B60" s="108" t="s">
        <v>1760</v>
      </c>
      <c r="C60" s="112"/>
      <c r="D60" s="668"/>
      <c r="E60" s="668"/>
      <c r="F60" s="669">
        <f t="shared" si="16"/>
        <v>0</v>
      </c>
      <c r="G60" s="668"/>
      <c r="H60" s="668"/>
      <c r="I60" s="669">
        <f t="shared" si="17"/>
        <v>0</v>
      </c>
      <c r="J60" s="669">
        <f t="shared" si="18"/>
        <v>0</v>
      </c>
      <c r="K60" s="112"/>
      <c r="L60" s="688" t="str">
        <f t="shared" si="19"/>
        <v/>
      </c>
      <c r="M60" s="310" t="str">
        <f t="shared" si="0"/>
        <v/>
      </c>
      <c r="N60" s="112"/>
      <c r="O60" s="131" t="str">
        <f t="shared" si="20"/>
        <v/>
      </c>
      <c r="AB60">
        <f t="shared" si="21"/>
        <v>0.4</v>
      </c>
      <c r="AC60">
        <f t="shared" si="22"/>
        <v>4000</v>
      </c>
      <c r="AD60" t="e">
        <f t="shared" si="23"/>
        <v>#N/A</v>
      </c>
      <c r="AE60" t="e">
        <f t="shared" si="1"/>
        <v>#N/A</v>
      </c>
      <c r="AF60" t="e">
        <f t="shared" si="2"/>
        <v>#N/A</v>
      </c>
      <c r="AG60" s="645" t="e">
        <f t="shared" si="3"/>
        <v>#N/A</v>
      </c>
      <c r="AH60" s="645" t="e">
        <f t="shared" si="4"/>
        <v>#N/A</v>
      </c>
      <c r="AI60" t="e">
        <f t="shared" si="5"/>
        <v>#N/A</v>
      </c>
      <c r="AJ60" t="e">
        <f t="shared" si="6"/>
        <v>#N/A</v>
      </c>
      <c r="AK60" t="str">
        <f t="shared" si="24"/>
        <v/>
      </c>
    </row>
    <row r="61" spans="1:37" ht="15.5" x14ac:dyDescent="0.35">
      <c r="A61" s="11" t="s">
        <v>84</v>
      </c>
      <c r="B61" s="11"/>
      <c r="C61" s="112"/>
      <c r="D61" s="31"/>
      <c r="E61" s="31"/>
      <c r="F61" s="45"/>
      <c r="G61" s="31"/>
      <c r="H61" s="31"/>
      <c r="I61" s="45"/>
      <c r="J61" s="45"/>
      <c r="K61" s="112"/>
      <c r="L61" s="689"/>
      <c r="M61" s="310"/>
      <c r="N61" s="112"/>
      <c r="O61" s="131"/>
    </row>
    <row r="62" spans="1:37" ht="15.5" x14ac:dyDescent="0.35">
      <c r="A62" s="108">
        <v>80</v>
      </c>
      <c r="B62" s="108" t="s">
        <v>1761</v>
      </c>
      <c r="C62" s="112"/>
      <c r="D62" s="668"/>
      <c r="E62" s="668"/>
      <c r="F62" s="669">
        <f>SUM(D62:E62)</f>
        <v>0</v>
      </c>
      <c r="G62" s="668"/>
      <c r="H62" s="668"/>
      <c r="I62" s="669">
        <f>SUM(G62:H62)</f>
        <v>0</v>
      </c>
      <c r="J62" s="669">
        <f>F62-I62</f>
        <v>0</v>
      </c>
      <c r="K62" s="112"/>
      <c r="L62" s="688" t="str">
        <f>IF(ISERROR(M62),"",IF((M62="Error"),"add explanation",IF((M62="Warning"),"add explanation","")))</f>
        <v/>
      </c>
      <c r="M62" s="310" t="str">
        <f t="shared" si="0"/>
        <v/>
      </c>
      <c r="N62" s="112"/>
      <c r="O62" s="131" t="str">
        <f>IF($M62="Error","A total column for "&amp;($B62)&amp;" does not match the sum of the components, please correct",IF($M62="Warning","This year's figure is over "&amp;AC62/1000&amp;" million and "&amp;(AB62*100)&amp;"% different to "&amp;TEXT(AD62,"#,###")&amp;" last year, please explain",""))</f>
        <v/>
      </c>
      <c r="AB62">
        <f>VLOOKUP("RO2"&amp;$A62,data_val_parameters,9,0)/100</f>
        <v>0.3</v>
      </c>
      <c r="AC62">
        <f>VLOOKUP("RO2"&amp;$A62,data_val_parameters,7,0)</f>
        <v>3000</v>
      </c>
      <c r="AD62" t="e">
        <f>VLOOKUP(LA_code,data_prev_year,MATCH("RO2"&amp;$A62&amp;"7",data_prev_year_headers,0),0)</f>
        <v>#N/A</v>
      </c>
      <c r="AE62" t="e">
        <f t="shared" si="1"/>
        <v>#N/A</v>
      </c>
      <c r="AF62" t="e">
        <f t="shared" si="2"/>
        <v>#N/A</v>
      </c>
      <c r="AG62" t="e">
        <f t="shared" si="3"/>
        <v>#N/A</v>
      </c>
      <c r="AH62" t="e">
        <f t="shared" si="4"/>
        <v>#N/A</v>
      </c>
      <c r="AI62" t="e">
        <f t="shared" si="5"/>
        <v>#N/A</v>
      </c>
      <c r="AJ62" t="e">
        <f t="shared" si="6"/>
        <v>#N/A</v>
      </c>
      <c r="AK62" t="str">
        <f>IF(OR(J62=0),"",IF(AND(AI62="Warning",AJ62="Warning"),"Warning",""))</f>
        <v/>
      </c>
    </row>
    <row r="63" spans="1:37" ht="15.5" x14ac:dyDescent="0.35">
      <c r="A63" s="11" t="s">
        <v>84</v>
      </c>
      <c r="B63" s="11"/>
      <c r="C63" s="112"/>
      <c r="D63" s="31"/>
      <c r="E63" s="31"/>
      <c r="F63" s="45"/>
      <c r="G63" s="31"/>
      <c r="H63" s="31"/>
      <c r="I63" s="45"/>
      <c r="J63" s="45"/>
      <c r="K63" s="112"/>
      <c r="L63" s="689"/>
      <c r="M63" s="310"/>
      <c r="N63" s="112"/>
      <c r="O63" s="131"/>
    </row>
    <row r="64" spans="1:37" s="6" customFormat="1" ht="15.5" x14ac:dyDescent="0.35">
      <c r="A64" s="117">
        <v>90</v>
      </c>
      <c r="B64" s="117" t="s">
        <v>1762</v>
      </c>
      <c r="C64" s="112"/>
      <c r="D64" s="669">
        <f t="shared" ref="D64:J64" si="25">SUM(D31:D32,D35:D41,D45:D48,D51:D52,D55:D60,D62)</f>
        <v>0</v>
      </c>
      <c r="E64" s="1008">
        <f t="shared" si="25"/>
        <v>0</v>
      </c>
      <c r="F64" s="669">
        <f t="shared" si="25"/>
        <v>0</v>
      </c>
      <c r="G64" s="669">
        <f t="shared" si="25"/>
        <v>0</v>
      </c>
      <c r="H64" s="669">
        <f t="shared" si="25"/>
        <v>0</v>
      </c>
      <c r="I64" s="717">
        <f t="shared" si="25"/>
        <v>0</v>
      </c>
      <c r="J64" s="1114">
        <f t="shared" si="25"/>
        <v>0</v>
      </c>
      <c r="K64" s="86"/>
      <c r="L64" s="688" t="str">
        <f>IF(ISERROR(M64),"",IF((M64="Error"),"add explanation",IF((M64="Warning"),"add explanation","")))</f>
        <v/>
      </c>
      <c r="M64" s="310" t="str">
        <f t="shared" si="0"/>
        <v/>
      </c>
      <c r="N64" s="112"/>
      <c r="O64" s="131" t="str">
        <f>IF($M64="Error","A total column for "&amp;($B64)&amp;" does not match the sum of the components, please correct",IF($M64="Warning","This year's figure is over "&amp;AC64/1000&amp;" million and "&amp;(AB64*100)&amp;"% different to "&amp;TEXT(AD64,"#,###")&amp;" last year, please explain",""))</f>
        <v/>
      </c>
      <c r="P64"/>
      <c r="Q64"/>
      <c r="R64"/>
      <c r="S64"/>
      <c r="T64"/>
      <c r="U64"/>
      <c r="V64"/>
      <c r="W64"/>
      <c r="X64"/>
      <c r="Y64"/>
      <c r="Z64"/>
      <c r="AA64"/>
      <c r="AB64"/>
      <c r="AC64"/>
      <c r="AD64"/>
      <c r="AE64"/>
      <c r="AF64"/>
      <c r="AG64"/>
      <c r="AH64"/>
      <c r="AI64"/>
      <c r="AJ64"/>
      <c r="AK64"/>
    </row>
    <row r="65" spans="1:37" ht="15.5" x14ac:dyDescent="0.35">
      <c r="A65" s="861"/>
      <c r="B65" s="861"/>
      <c r="C65" s="112"/>
      <c r="D65" s="31"/>
      <c r="E65" s="1115"/>
      <c r="F65" s="106"/>
      <c r="G65" s="31"/>
      <c r="H65" s="31"/>
      <c r="I65" s="106"/>
      <c r="J65" s="820" t="s">
        <v>1730</v>
      </c>
      <c r="K65" s="112"/>
      <c r="L65" s="472"/>
      <c r="M65" s="310"/>
      <c r="N65" s="112"/>
      <c r="O65" s="131"/>
      <c r="P65" s="425"/>
      <c r="R65" s="425"/>
      <c r="S65" s="125"/>
    </row>
    <row r="66" spans="1:37" ht="46.5" x14ac:dyDescent="0.35">
      <c r="A66" s="861"/>
      <c r="B66" s="861"/>
      <c r="C66" s="112"/>
      <c r="D66" s="31"/>
      <c r="E66" s="709" t="s">
        <v>1731</v>
      </c>
      <c r="F66" s="106"/>
      <c r="G66" s="31"/>
      <c r="H66" s="31"/>
      <c r="I66" s="106"/>
      <c r="J66" s="820"/>
      <c r="K66" s="112"/>
      <c r="L66" s="472"/>
      <c r="M66" s="310"/>
      <c r="N66" s="112"/>
      <c r="O66" s="131"/>
      <c r="P66" s="425"/>
      <c r="R66" s="425"/>
      <c r="S66" s="125"/>
    </row>
    <row r="67" spans="1:37" ht="15.5" x14ac:dyDescent="0.35">
      <c r="A67" s="861"/>
      <c r="B67" s="861"/>
      <c r="C67" s="112"/>
      <c r="D67" s="31"/>
      <c r="E67" s="399" t="s">
        <v>1732</v>
      </c>
      <c r="F67" s="106"/>
      <c r="G67" s="31"/>
      <c r="H67" s="31"/>
      <c r="I67" s="106"/>
      <c r="J67" s="298"/>
      <c r="K67" s="112"/>
      <c r="L67" s="472"/>
      <c r="M67" s="310"/>
      <c r="N67" s="112"/>
      <c r="O67" s="131"/>
      <c r="P67" s="425"/>
      <c r="R67" s="425"/>
      <c r="S67" s="125"/>
    </row>
    <row r="68" spans="1:37" ht="15.5" x14ac:dyDescent="0.35">
      <c r="A68" s="859">
        <v>1901</v>
      </c>
      <c r="B68" s="731" t="s">
        <v>1763</v>
      </c>
      <c r="C68" s="112"/>
      <c r="D68" s="112"/>
      <c r="E68" s="996"/>
      <c r="F68" s="106"/>
      <c r="G68" s="31"/>
      <c r="H68" s="31"/>
      <c r="I68" s="106"/>
      <c r="J68" s="298"/>
      <c r="K68" s="112"/>
      <c r="L68" s="472"/>
      <c r="M68" s="310"/>
      <c r="N68" s="112"/>
      <c r="O68" s="131"/>
      <c r="P68" s="425"/>
      <c r="R68" s="425"/>
      <c r="S68" s="125"/>
    </row>
    <row r="69" spans="1:37" ht="15.5" x14ac:dyDescent="0.35">
      <c r="A69" s="111"/>
      <c r="B69" s="111"/>
      <c r="C69" s="112"/>
      <c r="D69" s="31"/>
      <c r="E69" s="31"/>
      <c r="F69" s="106"/>
      <c r="G69" s="31"/>
      <c r="H69" s="31"/>
      <c r="I69" s="106"/>
      <c r="J69" s="298"/>
      <c r="K69" s="112"/>
      <c r="L69" s="472"/>
      <c r="M69" s="310"/>
      <c r="N69" s="112"/>
      <c r="O69" s="131"/>
      <c r="P69" s="425"/>
      <c r="R69" s="425"/>
      <c r="S69" s="125"/>
    </row>
    <row r="70" spans="1:37" ht="15.5" x14ac:dyDescent="0.35">
      <c r="A70" s="112" t="s">
        <v>84</v>
      </c>
      <c r="B70" s="112"/>
      <c r="C70" s="112"/>
      <c r="D70" s="31"/>
      <c r="E70" s="31"/>
      <c r="F70" s="106"/>
      <c r="G70" s="31"/>
      <c r="H70" s="31"/>
      <c r="I70" s="106"/>
      <c r="J70" s="106"/>
      <c r="K70" s="112"/>
      <c r="L70" s="472"/>
      <c r="M70" s="310"/>
      <c r="N70" s="112"/>
      <c r="O70" s="131"/>
      <c r="P70" s="425"/>
      <c r="R70" s="425"/>
      <c r="S70" s="125"/>
    </row>
    <row r="71" spans="1:37" ht="15.5" x14ac:dyDescent="0.35">
      <c r="A71" s="12" t="s">
        <v>84</v>
      </c>
      <c r="B71" s="12"/>
      <c r="C71" s="112"/>
      <c r="D71" s="31"/>
      <c r="E71" s="31"/>
      <c r="F71" s="106"/>
      <c r="G71" s="31"/>
      <c r="H71" s="58"/>
      <c r="I71" s="106"/>
      <c r="J71" s="106"/>
      <c r="K71" s="112"/>
      <c r="L71" s="472"/>
      <c r="M71" s="310"/>
      <c r="N71" s="112"/>
      <c r="O71" s="131"/>
      <c r="P71" s="425"/>
      <c r="R71" s="425"/>
      <c r="S71" s="125"/>
    </row>
    <row r="72" spans="1:37" ht="20" x14ac:dyDescent="0.4">
      <c r="A72" s="300" t="s">
        <v>1764</v>
      </c>
      <c r="B72" s="300"/>
      <c r="C72" s="112"/>
      <c r="D72" s="31"/>
      <c r="E72" s="31"/>
      <c r="F72" s="106"/>
      <c r="G72" s="31"/>
      <c r="H72" s="58"/>
      <c r="I72" s="106"/>
      <c r="J72" s="106"/>
      <c r="K72" s="112"/>
      <c r="L72" s="472"/>
      <c r="M72" s="310"/>
      <c r="N72" s="112"/>
      <c r="O72" s="131"/>
      <c r="P72" s="425"/>
      <c r="R72" s="425"/>
      <c r="S72" s="125"/>
    </row>
    <row r="73" spans="1:37" ht="15.5" x14ac:dyDescent="0.35">
      <c r="A73" s="301" t="s">
        <v>84</v>
      </c>
      <c r="B73" s="301"/>
      <c r="C73" s="112"/>
      <c r="D73" s="31"/>
      <c r="E73" s="31"/>
      <c r="F73" s="106"/>
      <c r="G73" s="31"/>
      <c r="H73" s="58"/>
      <c r="I73" s="106"/>
      <c r="J73" s="106"/>
      <c r="K73" s="112"/>
      <c r="L73" s="472"/>
      <c r="M73" s="310"/>
      <c r="N73" s="112"/>
      <c r="O73" s="131"/>
      <c r="P73" s="425"/>
      <c r="R73" s="425"/>
      <c r="S73" s="125"/>
    </row>
    <row r="74" spans="1:37" ht="17.5" x14ac:dyDescent="0.35">
      <c r="A74" s="302" t="s">
        <v>1765</v>
      </c>
      <c r="B74" s="302"/>
      <c r="C74" s="112"/>
      <c r="D74" s="31"/>
      <c r="E74" s="31"/>
      <c r="F74" s="106"/>
      <c r="G74" s="31"/>
      <c r="H74" s="58"/>
      <c r="I74" s="106"/>
      <c r="J74" s="106"/>
      <c r="K74" s="112"/>
      <c r="L74" s="688" t="str">
        <f>IF(ISERROR(M74),"",IF((M74="Error"),"add explanation",IF((M74="Warning"),"add explanation","")))</f>
        <v/>
      </c>
      <c r="M74" s="310" t="str">
        <f>IF(SUM($H75:$H78)&gt;SUM(H35,H36,H38,H39),"Error","")</f>
        <v/>
      </c>
      <c r="N74" s="112"/>
      <c r="O74" s="131" t="str">
        <f>IF($M74="Error","Lines 101-104 are, in total, greater than lines 31, 32, 41 and 44 other income. Please check the figures are in 000's and correct this.","")</f>
        <v/>
      </c>
      <c r="P74" s="425"/>
      <c r="R74" s="425"/>
      <c r="S74" s="125"/>
    </row>
    <row r="75" spans="1:37" ht="15.5" x14ac:dyDescent="0.35">
      <c r="A75" s="110">
        <v>101</v>
      </c>
      <c r="B75" s="110" t="s">
        <v>1766</v>
      </c>
      <c r="C75" s="112"/>
      <c r="D75" s="31"/>
      <c r="E75" s="31"/>
      <c r="F75" s="106"/>
      <c r="G75" s="31"/>
      <c r="H75" s="668"/>
      <c r="I75" s="106"/>
      <c r="J75" s="106"/>
      <c r="K75" s="112"/>
      <c r="L75" s="688" t="str">
        <f>IF(ISERROR(M75),"",IF((M75="Error"),"add explanation",IF((M75="Warning"),"add explanation","")))</f>
        <v/>
      </c>
      <c r="M75" s="310" t="str">
        <f>IF(H75&gt;H35,"Error",IF(AK75="Warning","Warning",""))</f>
        <v/>
      </c>
      <c r="N75" s="112"/>
      <c r="O75" s="131" t="str">
        <f>IF(H75&gt;H35,"Line 101 col 5 should not exceed line 31 col 5. Please check the figures are in 000's and correct this",IF($M75="Warning","This year's figure is over "&amp;AC75/1000&amp;" million and "&amp;(AB75*100)&amp;"% different to "&amp;TEXT(AD75,"#,###")&amp;" last year, please explain",""))</f>
        <v/>
      </c>
      <c r="AB75">
        <f>VLOOKUP("RO2"&amp;$A75,data_val_parameters,9,0)/100</f>
        <v>0.4</v>
      </c>
      <c r="AC75">
        <f>VLOOKUP("RO2"&amp;$A75,data_val_parameters,7,0)</f>
        <v>4000</v>
      </c>
      <c r="AD75" t="e">
        <f>VLOOKUP(LA_code,data_prev_year,MATCH("RO2"&amp;$A75&amp;"5",data_prev_year_headers,0),0)</f>
        <v>#N/A</v>
      </c>
      <c r="AE75" t="e">
        <f t="shared" ref="AE75" si="26">AD75+AC75</f>
        <v>#N/A</v>
      </c>
      <c r="AF75" t="e">
        <f t="shared" ref="AF75" si="27">AD75-AC75</f>
        <v>#N/A</v>
      </c>
      <c r="AG75" t="e">
        <f t="shared" ref="AG75" si="28">AD75+(AD75*AB75)</f>
        <v>#N/A</v>
      </c>
      <c r="AH75" t="e">
        <f t="shared" ref="AH75" si="29">AD75-(AD75*AB75)</f>
        <v>#N/A</v>
      </c>
      <c r="AI75" t="e">
        <f>IF(OR(H75&lt;AF75,H75&gt;AE75),"Warning","")</f>
        <v>#N/A</v>
      </c>
      <c r="AJ75" t="e">
        <f>IF(OR(H75&gt;(AG75),H75&lt;(AH75)),"Warning","")</f>
        <v>#N/A</v>
      </c>
      <c r="AK75" t="str">
        <f>IF(OR(H75=0),"",IF(AND(AI75="Warning",AJ75="Warning"),"Warning",""))</f>
        <v/>
      </c>
    </row>
    <row r="76" spans="1:37" ht="15.5" x14ac:dyDescent="0.35">
      <c r="A76" s="110">
        <v>102</v>
      </c>
      <c r="B76" s="110" t="s">
        <v>1767</v>
      </c>
      <c r="C76" s="112"/>
      <c r="D76" s="31"/>
      <c r="E76" s="31"/>
      <c r="F76" s="106"/>
      <c r="G76" s="31"/>
      <c r="H76" s="668"/>
      <c r="I76" s="106"/>
      <c r="J76" s="106"/>
      <c r="K76" s="112"/>
      <c r="L76" s="688" t="str">
        <f>IF(ISERROR(M76),"",IF((M76="Error"),"add explanation",IF((M76="Warning"),"add explanation","")))</f>
        <v/>
      </c>
      <c r="M76" s="310" t="str">
        <f>IF(H76&gt;H36,"Error",IF(AK76="Warning","Warning",""))</f>
        <v/>
      </c>
      <c r="N76" s="112"/>
      <c r="O76" s="131" t="str">
        <f>IF(H76&gt;H36,"Line 102 col 5 should not exceed line 32 col 5. Please check the figures are in 000's and correct this",IF($M76="Warning","This year's figure is over "&amp;AC76/1000&amp;" million and "&amp;(AB76*100)&amp;"% different to "&amp;TEXT(AD76,"#,###")&amp;" last year, please explain",""))</f>
        <v/>
      </c>
      <c r="AB76">
        <f>VLOOKUP("RO2"&amp;$A76,data_val_parameters,9,0)/100</f>
        <v>0.4</v>
      </c>
      <c r="AC76">
        <f>VLOOKUP("RO2"&amp;$A76,data_val_parameters,7,0)</f>
        <v>4000</v>
      </c>
      <c r="AD76" t="e">
        <f>VLOOKUP(LA_code,data_prev_year,MATCH("RO2"&amp;$A76&amp;"5",data_prev_year_headers,0),0)</f>
        <v>#N/A</v>
      </c>
      <c r="AE76" t="e">
        <f t="shared" ref="AE76:AE78" si="30">AD76+AC76</f>
        <v>#N/A</v>
      </c>
      <c r="AF76" t="e">
        <f t="shared" ref="AF76:AF78" si="31">AD76-AC76</f>
        <v>#N/A</v>
      </c>
      <c r="AG76" t="e">
        <f t="shared" ref="AG76:AG78" si="32">AD76+(AD76*AB76)</f>
        <v>#N/A</v>
      </c>
      <c r="AH76" t="e">
        <f t="shared" ref="AH76:AH78" si="33">AD76-(AD76*AB76)</f>
        <v>#N/A</v>
      </c>
      <c r="AI76" t="e">
        <f t="shared" ref="AI76:AI78" si="34">IF(OR(H76&lt;AF76,H76&gt;AE76),"Warning","")</f>
        <v>#N/A</v>
      </c>
      <c r="AJ76" t="e">
        <f t="shared" ref="AJ76:AJ78" si="35">IF(OR(H76&gt;(AG76),H76&lt;(AH76)),"Warning","")</f>
        <v>#N/A</v>
      </c>
      <c r="AK76" t="str">
        <f t="shared" ref="AK76:AK78" si="36">IF(OR(H76=0),"",IF(AND(AI76="Warning",AJ76="Warning"),"Warning",""))</f>
        <v/>
      </c>
    </row>
    <row r="77" spans="1:37" ht="15.5" x14ac:dyDescent="0.35">
      <c r="A77" s="110">
        <v>103</v>
      </c>
      <c r="B77" s="110" t="s">
        <v>1768</v>
      </c>
      <c r="C77" s="112"/>
      <c r="D77" s="31"/>
      <c r="E77" s="31"/>
      <c r="F77" s="106"/>
      <c r="G77" s="31"/>
      <c r="H77" s="668"/>
      <c r="I77" s="106"/>
      <c r="J77" s="106"/>
      <c r="K77" s="112"/>
      <c r="L77" s="688" t="str">
        <f>IF(ISERROR(M77),"",IF((M77="Error"),"add explanation",IF((M77="Warning"),"add explanation","")))</f>
        <v/>
      </c>
      <c r="M77" s="310" t="str">
        <f>IF(H77&gt;H38,"Error",IF(AK77="Warning","Warning",""))</f>
        <v/>
      </c>
      <c r="N77" s="112"/>
      <c r="O77" s="131" t="str">
        <f>IF(H77&gt;H38,"Line 103 col 5 should not exceed line 41 col 5. Please check the figures are in 000's and correct this",IF($M77="Warning","This year's figure is over "&amp;AC77/1000&amp;" million and "&amp;(AB77*100)&amp;"% different to "&amp;TEXT(AD77,"#,###")&amp;" last year, please explain",""))</f>
        <v/>
      </c>
      <c r="AB77">
        <f>VLOOKUP("RO2"&amp;$A77,data_val_parameters,9,0)/100</f>
        <v>0.4</v>
      </c>
      <c r="AC77">
        <f>VLOOKUP("RO2"&amp;$A77,data_val_parameters,7,0)</f>
        <v>4000</v>
      </c>
      <c r="AD77" t="e">
        <f>VLOOKUP(LA_code,data_prev_year,MATCH("RO2"&amp;$A77&amp;"5",data_prev_year_headers,0),0)</f>
        <v>#N/A</v>
      </c>
      <c r="AE77" t="e">
        <f t="shared" si="30"/>
        <v>#N/A</v>
      </c>
      <c r="AF77" t="e">
        <f t="shared" si="31"/>
        <v>#N/A</v>
      </c>
      <c r="AG77" t="e">
        <f t="shared" si="32"/>
        <v>#N/A</v>
      </c>
      <c r="AH77" t="e">
        <f t="shared" si="33"/>
        <v>#N/A</v>
      </c>
      <c r="AI77" t="e">
        <f t="shared" si="34"/>
        <v>#N/A</v>
      </c>
      <c r="AJ77" t="e">
        <f t="shared" si="35"/>
        <v>#N/A</v>
      </c>
      <c r="AK77" t="str">
        <f t="shared" si="36"/>
        <v/>
      </c>
    </row>
    <row r="78" spans="1:37" ht="15.5" x14ac:dyDescent="0.35">
      <c r="A78" s="110">
        <v>104</v>
      </c>
      <c r="B78" s="110" t="s">
        <v>1769</v>
      </c>
      <c r="C78" s="112"/>
      <c r="D78" s="31"/>
      <c r="E78" s="31"/>
      <c r="F78" s="106"/>
      <c r="G78" s="31"/>
      <c r="H78" s="668"/>
      <c r="I78" s="106"/>
      <c r="J78" s="106"/>
      <c r="K78" s="112"/>
      <c r="L78" s="688" t="str">
        <f>IF(ISERROR(M78),"",IF((M78="Error"),"add explanation",IF((M78="Warning"),"add explanation","")))</f>
        <v/>
      </c>
      <c r="M78" s="310" t="str">
        <f>IF(H78&gt;H39,"Error",IF(AK78="Warning","Warning",""))</f>
        <v/>
      </c>
      <c r="N78" s="112"/>
      <c r="O78" s="131" t="str">
        <f>IF(H78&gt;H39,"Line 104 col 5 should not exceed line 44 col 5. Please check the figures are in 000's and correct this",IF($M78="Warning","This year's figure is over "&amp;AC77/1000&amp;" million and "&amp;(AB77*100)&amp;"% different to "&amp;TEXT(AD77,"#,###")&amp;" last year, please explain",""))</f>
        <v/>
      </c>
      <c r="AB78">
        <f>VLOOKUP("RO2"&amp;$A78,data_val_parameters,9,0)/100</f>
        <v>0.4</v>
      </c>
      <c r="AC78">
        <f>VLOOKUP("RO2"&amp;$A78,data_val_parameters,7,0)</f>
        <v>4000</v>
      </c>
      <c r="AD78" t="e">
        <f>VLOOKUP(LA_code,data_prev_year,MATCH("RO2"&amp;$A78&amp;"5",data_prev_year_headers,0),0)</f>
        <v>#N/A</v>
      </c>
      <c r="AE78" t="e">
        <f t="shared" si="30"/>
        <v>#N/A</v>
      </c>
      <c r="AF78" t="e">
        <f t="shared" si="31"/>
        <v>#N/A</v>
      </c>
      <c r="AG78" t="e">
        <f t="shared" si="32"/>
        <v>#N/A</v>
      </c>
      <c r="AH78" t="e">
        <f t="shared" si="33"/>
        <v>#N/A</v>
      </c>
      <c r="AI78" t="e">
        <f t="shared" si="34"/>
        <v>#N/A</v>
      </c>
      <c r="AJ78" t="e">
        <f t="shared" si="35"/>
        <v>#N/A</v>
      </c>
      <c r="AK78" t="str">
        <f t="shared" si="36"/>
        <v/>
      </c>
    </row>
    <row r="79" spans="1:37" ht="15.5" x14ac:dyDescent="0.35">
      <c r="A79" s="303" t="s">
        <v>84</v>
      </c>
      <c r="B79" s="303"/>
      <c r="C79" s="112"/>
      <c r="D79" s="31"/>
      <c r="E79" s="31"/>
      <c r="F79" s="106"/>
      <c r="G79" s="31"/>
      <c r="H79" s="31"/>
      <c r="I79" s="106"/>
      <c r="J79" s="106"/>
      <c r="K79" s="112"/>
      <c r="L79" s="472"/>
      <c r="M79" s="310"/>
      <c r="N79" s="112"/>
      <c r="O79" s="131"/>
    </row>
    <row r="80" spans="1:37" ht="17.5" x14ac:dyDescent="0.35">
      <c r="A80" s="302" t="s">
        <v>1770</v>
      </c>
      <c r="B80" s="302"/>
      <c r="C80" s="112"/>
      <c r="D80" s="31"/>
      <c r="E80" s="31"/>
      <c r="F80" s="106"/>
      <c r="G80" s="31"/>
      <c r="H80" s="31"/>
      <c r="I80" s="106"/>
      <c r="J80" s="106"/>
      <c r="K80" s="112"/>
      <c r="L80" s="472"/>
      <c r="M80" s="310"/>
      <c r="N80" s="112"/>
      <c r="O80" s="131"/>
    </row>
    <row r="81" spans="1:37" ht="15.5" x14ac:dyDescent="0.35">
      <c r="A81" s="110">
        <v>130</v>
      </c>
      <c r="B81" s="110" t="s">
        <v>1771</v>
      </c>
      <c r="C81" s="112"/>
      <c r="D81" s="112"/>
      <c r="E81" s="112"/>
      <c r="F81" s="112"/>
      <c r="G81" s="112"/>
      <c r="H81" s="112"/>
      <c r="I81" s="112"/>
      <c r="J81" s="112"/>
      <c r="K81" s="112"/>
      <c r="L81" s="472"/>
      <c r="M81" s="310"/>
      <c r="N81" s="112"/>
      <c r="O81" s="131"/>
    </row>
    <row r="82" spans="1:37" ht="15.5" x14ac:dyDescent="0.35">
      <c r="A82" s="303"/>
      <c r="B82" s="303" t="s">
        <v>1772</v>
      </c>
      <c r="C82" s="112"/>
      <c r="D82" s="668"/>
      <c r="E82" s="668"/>
      <c r="F82" s="670">
        <f>SUM(D82:E82)</f>
        <v>0</v>
      </c>
      <c r="G82" s="668"/>
      <c r="H82" s="668"/>
      <c r="I82" s="670">
        <f>SUM(G82:H82)</f>
        <v>0</v>
      </c>
      <c r="J82" s="670">
        <f>F82-I82</f>
        <v>0</v>
      </c>
      <c r="K82" s="112"/>
      <c r="L82" s="688" t="str">
        <f>IF(ISERROR(M82),"",IF((M82="Error"),"add explanation",IF((M82="Warning"),"add explanation","")))</f>
        <v/>
      </c>
      <c r="M82" s="310" t="str">
        <f>IF(J82&lt;&gt;(F82-I82),"Error",IF(AK82="Warning","Warning",""))</f>
        <v/>
      </c>
      <c r="N82" s="112"/>
      <c r="O82" s="131" t="str">
        <f>IF($M82="Error","Net Current Expenditure does not match Total Income - Total Expenditure, please correct",IF($M82="Warning","This year's figure is over "&amp;AC82/1000&amp;" million and "&amp;(AB82*100)&amp;"% different to "&amp;TEXT(AD82,"#,###")&amp;"last year, please explain",""))</f>
        <v/>
      </c>
      <c r="AB82">
        <f>VLOOKUP("RO2"&amp;$A81,data_val_parameters,9,0)/100</f>
        <v>0.4</v>
      </c>
      <c r="AC82">
        <f>VLOOKUP("RO2"&amp;$A81,data_val_parameters,7,0)</f>
        <v>4000</v>
      </c>
      <c r="AD82" t="e">
        <f>VLOOKUP(LA_code,data_prev_year,MATCH("RO2"&amp;$A81&amp;"7",data_prev_year_headers,0),0)</f>
        <v>#N/A</v>
      </c>
      <c r="AE82" t="e">
        <f t="shared" ref="AE82" si="37">AD82+AC82</f>
        <v>#N/A</v>
      </c>
      <c r="AF82" t="e">
        <f t="shared" ref="AF82" si="38">AD82-AC82</f>
        <v>#N/A</v>
      </c>
      <c r="AG82" t="e">
        <f t="shared" ref="AG82" si="39">AD82+(AD82*AB82)</f>
        <v>#N/A</v>
      </c>
      <c r="AH82" t="e">
        <f t="shared" ref="AH82" si="40">AD82-(AD82*AB82)</f>
        <v>#N/A</v>
      </c>
      <c r="AI82" t="e">
        <f>IF(OR(J82&lt;AF82,J82&gt;AE82),"Warning","")</f>
        <v>#N/A</v>
      </c>
      <c r="AJ82" t="e">
        <f>IF(OR(J82&gt;(AG82),J82&lt;(AH82)),"Warning","")</f>
        <v>#N/A</v>
      </c>
      <c r="AK82" t="str">
        <f t="shared" ref="AK82" si="41">IF(OR(J82=0),"",IF(AND(AI82="Warning",AJ82="Warning"),"Warning",""))</f>
        <v/>
      </c>
    </row>
    <row r="83" spans="1:37" ht="15.5" x14ac:dyDescent="0.35">
      <c r="A83" s="303" t="s">
        <v>84</v>
      </c>
      <c r="B83" s="303"/>
      <c r="C83" s="112"/>
      <c r="D83" s="31"/>
      <c r="E83" s="31"/>
      <c r="F83" s="106"/>
      <c r="G83" s="31"/>
      <c r="H83" s="31"/>
      <c r="I83" s="106"/>
      <c r="J83" s="106"/>
      <c r="K83" s="112"/>
      <c r="L83" s="689"/>
      <c r="M83" s="310"/>
      <c r="N83" s="112"/>
      <c r="O83" s="131"/>
    </row>
    <row r="84" spans="1:37" ht="17.5" x14ac:dyDescent="0.35">
      <c r="A84" s="302" t="s">
        <v>1773</v>
      </c>
      <c r="B84" s="302"/>
      <c r="C84" s="112"/>
      <c r="D84" s="31"/>
      <c r="E84" s="58"/>
      <c r="F84" s="106"/>
      <c r="G84" s="31"/>
      <c r="H84" s="31"/>
      <c r="I84" s="106"/>
      <c r="J84" s="106"/>
      <c r="K84" s="112"/>
      <c r="L84" s="689"/>
      <c r="M84" s="310"/>
      <c r="N84" s="112"/>
      <c r="O84" s="131"/>
    </row>
    <row r="85" spans="1:37" ht="15.5" x14ac:dyDescent="0.35">
      <c r="A85" s="108">
        <v>141</v>
      </c>
      <c r="B85" s="108" t="s">
        <v>1774</v>
      </c>
      <c r="C85" s="112"/>
      <c r="D85" s="31"/>
      <c r="E85" s="668"/>
      <c r="F85" s="106"/>
      <c r="G85" s="31"/>
      <c r="H85" s="31"/>
      <c r="I85" s="106"/>
      <c r="J85" s="106"/>
      <c r="K85" s="112"/>
      <c r="L85" s="688" t="str">
        <f>IF(ISERROR(M85),"",IF((M85="Error"),"add explanation",IF((M85="Warning"),"add explanation","")))</f>
        <v/>
      </c>
      <c r="M85" s="310" t="str">
        <f>IF(AK85="Warning","Warning","")</f>
        <v/>
      </c>
      <c r="N85" s="112"/>
      <c r="O85" s="131" t="str">
        <f>IF($M85="Warning","This year's figure is over "&amp;AC85/1000&amp;" million and "&amp;(AB85*100)&amp;"% different to "&amp;TEXT(AD85,"#,###")&amp;" last year, please explain","")</f>
        <v/>
      </c>
      <c r="AB85">
        <f>VLOOKUP("RO2"&amp;$A85,data_val_parameters,9,0)/100</f>
        <v>0.4</v>
      </c>
      <c r="AC85">
        <f>VLOOKUP("RO2"&amp;$A85,data_val_parameters,7,0)</f>
        <v>4000</v>
      </c>
      <c r="AD85" t="e">
        <f>VLOOKUP(LA_code,data_prev_year,MATCH("RO2"&amp;$A85&amp;"2",data_prev_year_headers,0),0)</f>
        <v>#N/A</v>
      </c>
      <c r="AE85" t="e">
        <f t="shared" ref="AE85:AE86" si="42">AD85+AC85</f>
        <v>#N/A</v>
      </c>
      <c r="AF85" t="e">
        <f t="shared" ref="AF85:AF86" si="43">AD85-AC85</f>
        <v>#N/A</v>
      </c>
      <c r="AG85" t="e">
        <f t="shared" ref="AG85:AG86" si="44">AD85+(AD85*AB85)</f>
        <v>#N/A</v>
      </c>
      <c r="AH85" t="e">
        <f t="shared" ref="AH85:AH86" si="45">AD85-(AD85*AB85)</f>
        <v>#N/A</v>
      </c>
      <c r="AI85" t="e">
        <f>IF(OR(E85&lt;AF85,E85&gt;AE85),"Warning","")</f>
        <v>#N/A</v>
      </c>
      <c r="AJ85" t="e">
        <f>IF(OR(E85&gt;(AG85),E85&lt;(AH85)),"Warning","")</f>
        <v>#N/A</v>
      </c>
      <c r="AK85" t="str">
        <f>IF(OR(E85=0),"",IF(AND(AI85="Warning",AJ85="Warning"),"Warning",""))</f>
        <v/>
      </c>
    </row>
    <row r="86" spans="1:37" ht="15.5" x14ac:dyDescent="0.35">
      <c r="A86" s="108">
        <v>144</v>
      </c>
      <c r="B86" s="108" t="s">
        <v>1775</v>
      </c>
      <c r="C86" s="112"/>
      <c r="D86" s="31"/>
      <c r="E86" s="668"/>
      <c r="F86" s="106"/>
      <c r="G86" s="31"/>
      <c r="H86" s="31"/>
      <c r="I86" s="106"/>
      <c r="J86" s="106"/>
      <c r="K86" s="112"/>
      <c r="L86" s="688" t="str">
        <f>IF(ISERROR(M86),"",IF((M86="Error"),"add explanation",IF((M86="Warning"),"add explanation","")))</f>
        <v/>
      </c>
      <c r="M86" s="310" t="str">
        <f>IF(AK86="Warning","Warning","")</f>
        <v/>
      </c>
      <c r="N86" s="112"/>
      <c r="O86" s="131" t="str">
        <f>IF($M86="Warning","This year's figure is over "&amp;AC86/1000&amp;" million and "&amp;(AB86*100)&amp;"% different to "&amp;TEXT(AD86,"#,###")&amp;" last year, please explain","")</f>
        <v/>
      </c>
      <c r="AB86">
        <f>VLOOKUP("RO2"&amp;$A86,data_val_parameters,9,0)/100</f>
        <v>0.4</v>
      </c>
      <c r="AC86">
        <f>VLOOKUP("RO2"&amp;$A86,data_val_parameters,7,0)</f>
        <v>4000</v>
      </c>
      <c r="AD86" t="e">
        <f>VLOOKUP(LA_code,data_prev_year,MATCH("RO2"&amp;$A86&amp;"2",data_prev_year_headers,0),0)</f>
        <v>#N/A</v>
      </c>
      <c r="AE86" t="e">
        <f t="shared" si="42"/>
        <v>#N/A</v>
      </c>
      <c r="AF86" t="e">
        <f t="shared" si="43"/>
        <v>#N/A</v>
      </c>
      <c r="AG86" t="e">
        <f t="shared" si="44"/>
        <v>#N/A</v>
      </c>
      <c r="AH86" t="e">
        <f t="shared" si="45"/>
        <v>#N/A</v>
      </c>
      <c r="AI86" t="e">
        <f>IF(OR(E86&lt;AF86,E86&gt;AE86),"Warning","")</f>
        <v>#N/A</v>
      </c>
      <c r="AJ86" t="e">
        <f>IF(OR(E86&gt;(AG86),E86&lt;(AH86)),"Warning","")</f>
        <v>#N/A</v>
      </c>
      <c r="AK86" t="str">
        <f>IF(OR(E86=0),"",IF(AND(AI86="Warning",AJ86="Warning"),"Warning",""))</f>
        <v/>
      </c>
    </row>
    <row r="87" spans="1:37" ht="15.5" x14ac:dyDescent="0.35">
      <c r="A87" s="11" t="s">
        <v>84</v>
      </c>
      <c r="B87" s="11"/>
      <c r="C87" s="112"/>
      <c r="D87" s="31"/>
      <c r="E87" s="58"/>
      <c r="F87" s="106"/>
      <c r="G87" s="31"/>
      <c r="H87" s="31"/>
      <c r="I87" s="106"/>
      <c r="J87" s="106"/>
      <c r="K87" s="112"/>
      <c r="L87" s="689"/>
      <c r="M87" s="310"/>
      <c r="N87" s="112"/>
      <c r="O87" s="131"/>
    </row>
    <row r="88" spans="1:37" s="29" customFormat="1" ht="17.5" x14ac:dyDescent="0.35">
      <c r="A88" s="267" t="s">
        <v>1776</v>
      </c>
      <c r="B88" s="112"/>
      <c r="C88" s="112"/>
      <c r="D88" s="303"/>
      <c r="E88" s="303"/>
      <c r="F88" s="566"/>
      <c r="G88" s="303"/>
      <c r="H88" s="303"/>
      <c r="I88" s="566"/>
      <c r="J88" s="566"/>
      <c r="K88" s="54"/>
      <c r="L88" s="689"/>
      <c r="M88" s="310"/>
      <c r="N88" s="112"/>
      <c r="O88" s="131"/>
      <c r="P88" s="3"/>
      <c r="Q88"/>
      <c r="R88" s="3"/>
      <c r="S88" s="3"/>
      <c r="T88" s="3"/>
    </row>
    <row r="89" spans="1:37" s="29" customFormat="1" ht="15.5" x14ac:dyDescent="0.35">
      <c r="A89" s="110">
        <v>161</v>
      </c>
      <c r="B89" s="110" t="s">
        <v>1777</v>
      </c>
      <c r="C89" s="112"/>
      <c r="D89" s="303"/>
      <c r="E89" s="303"/>
      <c r="F89" s="566"/>
      <c r="G89" s="1116"/>
      <c r="H89" s="303"/>
      <c r="I89" s="566"/>
      <c r="J89" s="566"/>
      <c r="K89" s="54"/>
      <c r="L89" s="688" t="str">
        <f>IF(ISERROR(M89),"",IF((M89="Error"),"add explanation",IF((M89="Warning"),"add explanation","")))</f>
        <v/>
      </c>
      <c r="M89" s="310" t="str">
        <f>IF(AK89="Warning","Warning","")</f>
        <v/>
      </c>
      <c r="N89" s="112"/>
      <c r="O89" s="131" t="str">
        <f>IF($M89="Warning","This year's figure is over "&amp;AC89/1000&amp;" million and "&amp;(AB89*100)&amp;"% different to "&amp;TEXT(AD89,"#,###")&amp;" last year, please explain","")</f>
        <v/>
      </c>
      <c r="P89" s="3"/>
      <c r="Q89"/>
      <c r="R89" s="3"/>
      <c r="S89" s="3"/>
      <c r="T89" s="3"/>
      <c r="AB89">
        <f>VLOOKUP("RO2"&amp;$A89,data_val_parameters,9,0)/100</f>
        <v>0.4</v>
      </c>
      <c r="AC89">
        <f>VLOOKUP("RO2"&amp;$A89,data_val_parameters,7,0)</f>
        <v>4000</v>
      </c>
      <c r="AD89" t="e">
        <f>VLOOKUP(LA_code,data_prev_year,MATCH("RO2"&amp;$A89&amp;"4",data_prev_year_headers,0),0)</f>
        <v>#N/A</v>
      </c>
      <c r="AE89" t="e">
        <f t="shared" ref="AE89" si="46">AD89+AC89</f>
        <v>#N/A</v>
      </c>
      <c r="AF89" t="e">
        <f t="shared" ref="AF89" si="47">AD89-AC89</f>
        <v>#N/A</v>
      </c>
      <c r="AG89" t="e">
        <f t="shared" ref="AG89" si="48">AD89+(AD89*AB89)</f>
        <v>#N/A</v>
      </c>
      <c r="AH89" t="e">
        <f t="shared" ref="AH89" si="49">AD89-(AD89*AB89)</f>
        <v>#N/A</v>
      </c>
      <c r="AI89" t="e">
        <f>IF(OR(G89&lt;AF89,G89&gt;AE89),"Warning","")</f>
        <v>#N/A</v>
      </c>
      <c r="AJ89" t="e">
        <f>IF(OR(G89&gt;(AG89),G89&lt;(AH89)),"Warning","")</f>
        <v>#N/A</v>
      </c>
      <c r="AK89" t="str">
        <f>IF(OR(G89=0),"",IF(AND(AI89="Warning",AJ89="Warning"),"Warning",""))</f>
        <v/>
      </c>
    </row>
    <row r="90" spans="1:37" s="29" customFormat="1" ht="15.5" x14ac:dyDescent="0.35">
      <c r="A90" s="567">
        <v>162</v>
      </c>
      <c r="B90" s="567" t="s">
        <v>1778</v>
      </c>
      <c r="C90" s="112"/>
      <c r="D90" s="65"/>
      <c r="E90" s="65"/>
      <c r="F90" s="54"/>
      <c r="G90" s="1116"/>
      <c r="H90" s="54"/>
      <c r="I90" s="54"/>
      <c r="J90" s="54"/>
      <c r="K90" s="54"/>
      <c r="L90" s="688" t="str">
        <f>IF(ISERROR(M90),"",IF((M90="Error"),"add explanation",IF((M90="Warning"),"add explanation","")))</f>
        <v/>
      </c>
      <c r="M90" s="310" t="str">
        <f>IF(AK90="Warning","Warning","")</f>
        <v/>
      </c>
      <c r="N90" s="112"/>
      <c r="O90" s="131" t="str">
        <f>IF($M90="Warning","This year's figure is over "&amp;AC90/1000&amp;" million and "&amp;(AB90*100)&amp;"% different to "&amp;TEXT(AD90,"#,###")&amp;" last year, please explain","")</f>
        <v/>
      </c>
      <c r="P90" s="3"/>
      <c r="Q90"/>
      <c r="R90" s="3"/>
      <c r="S90" s="3"/>
      <c r="T90" s="3"/>
      <c r="AB90">
        <f>VLOOKUP("RO2"&amp;$A90,data_val_parameters,9,0)/100</f>
        <v>0.4</v>
      </c>
      <c r="AC90">
        <f>VLOOKUP("RO2"&amp;$A90,data_val_parameters,7,0)</f>
        <v>4000</v>
      </c>
      <c r="AD90" t="e">
        <f>VLOOKUP(LA_code,data_prev_year,MATCH("RO2"&amp;$A90&amp;"4",data_prev_year_headers,0),0)</f>
        <v>#N/A</v>
      </c>
      <c r="AE90" t="e">
        <f t="shared" ref="AE90" si="50">AD90+AC90</f>
        <v>#N/A</v>
      </c>
      <c r="AF90" t="e">
        <f t="shared" ref="AF90" si="51">AD90-AC90</f>
        <v>#N/A</v>
      </c>
      <c r="AG90" t="e">
        <f t="shared" ref="AG90" si="52">AD90+(AD90*AB90)</f>
        <v>#N/A</v>
      </c>
      <c r="AH90" t="e">
        <f t="shared" ref="AH90" si="53">AD90-(AD90*AB90)</f>
        <v>#N/A</v>
      </c>
      <c r="AI90" t="e">
        <f>IF(OR(G90&lt;AF90,G90&gt;AE90),"Warning","")</f>
        <v>#N/A</v>
      </c>
      <c r="AJ90" t="e">
        <f>IF(OR(G90&gt;(AG90),G90&lt;(AH90)),"Warning","")</f>
        <v>#N/A</v>
      </c>
      <c r="AK90" t="str">
        <f>IF(OR(G90=0),"",IF(AND(AI90="Warning",AJ90="Warning"),"Warning",""))</f>
        <v/>
      </c>
    </row>
    <row r="91" spans="1:37" s="29" customFormat="1" ht="15.5" x14ac:dyDescent="0.35">
      <c r="A91" s="567" t="s">
        <v>84</v>
      </c>
      <c r="B91" s="567"/>
      <c r="C91" s="112"/>
      <c r="D91" s="65"/>
      <c r="E91" s="65"/>
      <c r="F91" s="54"/>
      <c r="G91" s="31"/>
      <c r="H91" s="54"/>
      <c r="I91" s="54"/>
      <c r="J91" s="54"/>
      <c r="K91" s="54"/>
      <c r="L91" s="689"/>
      <c r="M91" s="310"/>
      <c r="N91" s="112"/>
      <c r="O91" s="131"/>
      <c r="P91" s="3"/>
      <c r="Q91"/>
      <c r="R91" s="3"/>
      <c r="S91" s="3"/>
      <c r="T91" s="3"/>
    </row>
    <row r="92" spans="1:37" s="29" customFormat="1" ht="18" x14ac:dyDescent="0.4">
      <c r="A92" s="27" t="s">
        <v>1779</v>
      </c>
      <c r="B92" s="27"/>
      <c r="C92" s="112"/>
      <c r="D92" s="65"/>
      <c r="E92" s="65"/>
      <c r="F92" s="54"/>
      <c r="G92" s="31"/>
      <c r="H92" s="54"/>
      <c r="I92" s="54"/>
      <c r="J92" s="54"/>
      <c r="K92" s="54"/>
      <c r="L92" s="689"/>
      <c r="M92" s="310"/>
      <c r="N92" s="112"/>
      <c r="O92" s="131"/>
      <c r="Q92"/>
    </row>
    <row r="93" spans="1:37" s="29" customFormat="1" ht="15.5" x14ac:dyDescent="0.35">
      <c r="A93" s="11" t="s">
        <v>84</v>
      </c>
      <c r="B93" s="11"/>
      <c r="C93" s="112"/>
      <c r="D93" s="65"/>
      <c r="E93" s="65"/>
      <c r="F93" s="54"/>
      <c r="G93" s="31"/>
      <c r="H93" s="54"/>
      <c r="I93" s="54"/>
      <c r="J93" s="54"/>
      <c r="K93" s="54"/>
      <c r="L93" s="689"/>
      <c r="M93" s="310"/>
      <c r="N93" s="112"/>
      <c r="O93" s="131"/>
      <c r="Q93"/>
    </row>
    <row r="94" spans="1:37" s="29" customFormat="1" ht="15.5" x14ac:dyDescent="0.35">
      <c r="A94" s="124">
        <v>172</v>
      </c>
      <c r="B94" s="473" t="s">
        <v>1780</v>
      </c>
      <c r="C94" s="112"/>
      <c r="D94" s="668"/>
      <c r="E94" s="668"/>
      <c r="F94" s="670">
        <f>SUM(D94:E94)</f>
        <v>0</v>
      </c>
      <c r="G94" s="668"/>
      <c r="H94" s="668"/>
      <c r="I94" s="670">
        <f>SUM(G94:H94)</f>
        <v>0</v>
      </c>
      <c r="J94" s="670">
        <f>F94-I94</f>
        <v>0</v>
      </c>
      <c r="K94" s="54"/>
      <c r="L94" s="774" t="str">
        <f>IF(ISERROR(M94),"",IF((M94="Error"),"add explanation",IF((M94="Warning"),"add explanation","")))</f>
        <v/>
      </c>
      <c r="M94" s="310" t="str">
        <f>IF(J94&lt;&gt;(F94-I94),"Error",IF(AK94="Warning","Warning",""))</f>
        <v/>
      </c>
      <c r="N94" s="112"/>
      <c r="O94" s="131" t="str">
        <f>IF($M94="Error","Net Current Expenditure for '"&amp;($B94)&amp;"' here does not match Total Income - Total Expenditure, please correct",IF($M94="Warning","This year's figure is over "&amp;AC94/1000&amp;" million and "&amp;(AB94*100)&amp;"% different to "&amp;TEXT(AD94,"#,###")&amp;" last year, please explain",""))</f>
        <v/>
      </c>
      <c r="Q94"/>
      <c r="AB94">
        <f>VLOOKUP("RO2"&amp;$A94,data_val_parameters,9,0)/100</f>
        <v>0.4</v>
      </c>
      <c r="AC94">
        <f>VLOOKUP("RO2"&amp;$A94,data_val_parameters,7,0)</f>
        <v>4000</v>
      </c>
      <c r="AD94" t="e">
        <f>VLOOKUP(LA_code,data_prev_year,MATCH("RO2"&amp;$A94&amp;"7",data_prev_year_headers,0),0)</f>
        <v>#N/A</v>
      </c>
      <c r="AE94" t="e">
        <f t="shared" ref="AE94" si="54">AD94+AC94</f>
        <v>#N/A</v>
      </c>
      <c r="AF94" t="e">
        <f t="shared" ref="AF94" si="55">AD94-AC94</f>
        <v>#N/A</v>
      </c>
      <c r="AG94" t="e">
        <f t="shared" ref="AG94" si="56">AD94+(AD94*AB94)</f>
        <v>#N/A</v>
      </c>
      <c r="AH94" t="e">
        <f t="shared" ref="AH94" si="57">AD94-(AD94*AB94)</f>
        <v>#N/A</v>
      </c>
      <c r="AI94" t="e">
        <f>IF(OR(J94&lt;AF94,J94&gt;AE94),"Warning","")</f>
        <v>#N/A</v>
      </c>
      <c r="AJ94" t="e">
        <f>IF(OR(J94&gt;(AG94),J94&lt;(AH94)),"Warning","")</f>
        <v>#N/A</v>
      </c>
      <c r="AK94" t="str">
        <f>IF(OR(J94=0),"",IF(AND(AI94="Warning",AJ94="Warning"),"Warning",""))</f>
        <v/>
      </c>
    </row>
    <row r="95" spans="1:37" s="29" customFormat="1" ht="15.5" x14ac:dyDescent="0.35">
      <c r="A95" s="124">
        <v>173</v>
      </c>
      <c r="B95" s="473" t="s">
        <v>1781</v>
      </c>
      <c r="C95" s="112"/>
      <c r="D95" s="668"/>
      <c r="E95" s="668"/>
      <c r="F95" s="670">
        <f>SUM(D95:E95)</f>
        <v>0</v>
      </c>
      <c r="G95" s="668"/>
      <c r="H95" s="668"/>
      <c r="I95" s="670">
        <f>SUM(G95:H95)</f>
        <v>0</v>
      </c>
      <c r="J95" s="670">
        <f>F95-I95</f>
        <v>0</v>
      </c>
      <c r="K95" s="54"/>
      <c r="L95" s="774" t="str">
        <f>IF(ISERROR(M95),"",IF((M95="Error"),"add explanation",IF((M95="Warning"),"add explanation","")))</f>
        <v/>
      </c>
      <c r="M95" s="310" t="str">
        <f t="shared" ref="M95:M96" si="58">IF(J95&lt;&gt;(F95-I95),"Error",IF(AK95="Warning","Warning",""))</f>
        <v/>
      </c>
      <c r="N95" s="112"/>
      <c r="O95" s="131" t="str">
        <f t="shared" ref="O95:O96" si="59">IF($M95="Error","Net Current Expenditure for '"&amp;($B95)&amp;"' here does not match Total Income - Total Expenditure, please correct",IF($M95="Warning","This year's figure is over "&amp;AC95/1000&amp;" million and "&amp;(AB95*100)&amp;"% different to "&amp;TEXT(AD95,"#,###")&amp;" last year, please explain",""))</f>
        <v/>
      </c>
      <c r="Q95"/>
      <c r="AB95">
        <f>VLOOKUP("RO2"&amp;$A95,data_val_parameters,9,0)/100</f>
        <v>0.4</v>
      </c>
      <c r="AC95">
        <f>VLOOKUP("RO2"&amp;$A95,data_val_parameters,7,0)</f>
        <v>4000</v>
      </c>
      <c r="AD95" t="e">
        <f>VLOOKUP(LA_code,data_prev_year,MATCH("RO2"&amp;$A95&amp;"7",data_prev_year_headers,0),0)</f>
        <v>#N/A</v>
      </c>
      <c r="AE95" t="e">
        <f t="shared" ref="AE95:AE96" si="60">AD95+AC95</f>
        <v>#N/A</v>
      </c>
      <c r="AF95" t="e">
        <f t="shared" ref="AF95:AF96" si="61">AD95-AC95</f>
        <v>#N/A</v>
      </c>
      <c r="AG95" t="e">
        <f t="shared" ref="AG95:AG96" si="62">AD95+(AD95*AB95)</f>
        <v>#N/A</v>
      </c>
      <c r="AH95" t="e">
        <f t="shared" ref="AH95:AH96" si="63">AD95-(AD95*AB95)</f>
        <v>#N/A</v>
      </c>
      <c r="AI95" t="e">
        <f t="shared" ref="AI95:AI96" si="64">IF(OR(J95&lt;AF95,J95&gt;AE95),"Warning","")</f>
        <v>#N/A</v>
      </c>
      <c r="AJ95" t="e">
        <f t="shared" ref="AJ95:AJ96" si="65">IF(OR(J95&gt;(AG95),J95&lt;(AH95)),"Warning","")</f>
        <v>#N/A</v>
      </c>
      <c r="AK95" t="str">
        <f t="shared" ref="AK95:AK96" si="66">IF(OR(J95=0),"",IF(AND(AI95="Warning",AJ95="Warning"),"Warning",""))</f>
        <v/>
      </c>
    </row>
    <row r="96" spans="1:37" s="29" customFormat="1" ht="15.5" x14ac:dyDescent="0.35">
      <c r="A96" s="124">
        <v>174</v>
      </c>
      <c r="B96" s="473" t="s">
        <v>1782</v>
      </c>
      <c r="C96" s="112"/>
      <c r="D96" s="668"/>
      <c r="E96" s="668"/>
      <c r="F96" s="670">
        <f>SUM(D96:E96)</f>
        <v>0</v>
      </c>
      <c r="G96" s="668"/>
      <c r="H96" s="668"/>
      <c r="I96" s="670">
        <f>SUM(G96:H96)</f>
        <v>0</v>
      </c>
      <c r="J96" s="670">
        <f>F96-I96</f>
        <v>0</v>
      </c>
      <c r="K96" s="54"/>
      <c r="L96" s="774" t="str">
        <f>IF(ISERROR(M96),"",IF((M96="Error"),"add explanation",IF((M96="Warning"),"add explanation","")))</f>
        <v/>
      </c>
      <c r="M96" s="310" t="str">
        <f t="shared" si="58"/>
        <v/>
      </c>
      <c r="N96" s="112"/>
      <c r="O96" s="131" t="str">
        <f t="shared" si="59"/>
        <v/>
      </c>
      <c r="Q96"/>
      <c r="AB96">
        <f>VLOOKUP("RO2"&amp;$A96,data_val_parameters,9,0)/100</f>
        <v>0.4</v>
      </c>
      <c r="AC96">
        <f>VLOOKUP("RO2"&amp;$A96,data_val_parameters,7,0)</f>
        <v>4000</v>
      </c>
      <c r="AD96" t="e">
        <f>VLOOKUP(LA_code,data_prev_year,MATCH("RO2"&amp;$A96&amp;"7",data_prev_year_headers,0),0)</f>
        <v>#N/A</v>
      </c>
      <c r="AE96" t="e">
        <f t="shared" si="60"/>
        <v>#N/A</v>
      </c>
      <c r="AF96" t="e">
        <f t="shared" si="61"/>
        <v>#N/A</v>
      </c>
      <c r="AG96" t="e">
        <f t="shared" si="62"/>
        <v>#N/A</v>
      </c>
      <c r="AH96" t="e">
        <f t="shared" si="63"/>
        <v>#N/A</v>
      </c>
      <c r="AI96" t="e">
        <f t="shared" si="64"/>
        <v>#N/A</v>
      </c>
      <c r="AJ96" t="e">
        <f t="shared" si="65"/>
        <v>#N/A</v>
      </c>
      <c r="AK96" t="str">
        <f t="shared" si="66"/>
        <v/>
      </c>
    </row>
    <row r="97" spans="1:14" s="29" customFormat="1" ht="15.5" x14ac:dyDescent="0.35">
      <c r="A97" s="567"/>
      <c r="B97" s="567"/>
      <c r="C97" s="54"/>
      <c r="D97" s="65"/>
      <c r="E97" s="65"/>
      <c r="F97" s="54"/>
      <c r="G97" s="31"/>
      <c r="H97" s="54"/>
      <c r="I97" s="54"/>
      <c r="J97" s="54"/>
      <c r="K97" s="54"/>
      <c r="L97" s="54"/>
      <c r="M97" s="54"/>
      <c r="N97" s="54"/>
    </row>
    <row r="98" spans="1:14" ht="15.5" x14ac:dyDescent="0.35">
      <c r="J98" s="99"/>
    </row>
    <row r="99" spans="1:14" x14ac:dyDescent="0.25"/>
    <row r="100" spans="1:14" x14ac:dyDescent="0.25"/>
    <row r="101" spans="1:14" x14ac:dyDescent="0.25"/>
    <row r="102" spans="1:14" x14ac:dyDescent="0.25"/>
  </sheetData>
  <sheetProtection sheet="1" objects="1" scenarios="1"/>
  <mergeCells count="6">
    <mergeCell ref="A15:M15"/>
    <mergeCell ref="A1:N1"/>
    <mergeCell ref="A9:M9"/>
    <mergeCell ref="A10:M10"/>
    <mergeCell ref="A12:M12"/>
    <mergeCell ref="A14:M14"/>
  </mergeCells>
  <phoneticPr fontId="0" type="noConversion"/>
  <conditionalFormatting sqref="A17">
    <cfRule type="containsText" dxfId="123" priority="25" operator="containsText" text="resolve">
      <formula>NOT(ISERROR(SEARCH("resolve",A17)))</formula>
    </cfRule>
  </conditionalFormatting>
  <conditionalFormatting sqref="B17">
    <cfRule type="expression" dxfId="122" priority="15">
      <formula>ISNUMBER(SEARCH(Z17,A17))</formula>
    </cfRule>
  </conditionalFormatting>
  <conditionalFormatting sqref="C17">
    <cfRule type="expression" dxfId="121" priority="14">
      <formula>ISNUMBER(SEARCH(Z17,A17))</formula>
    </cfRule>
  </conditionalFormatting>
  <conditionalFormatting sqref="D17">
    <cfRule type="expression" dxfId="120" priority="13">
      <formula>ISNUMBER(SEARCH(Z17,A17))</formula>
    </cfRule>
  </conditionalFormatting>
  <conditionalFormatting sqref="E17">
    <cfRule type="expression" dxfId="119" priority="12">
      <formula>ISNUMBER(SEARCH(Z17,A17))</formula>
    </cfRule>
  </conditionalFormatting>
  <conditionalFormatting sqref="F17">
    <cfRule type="expression" dxfId="118" priority="11">
      <formula>ISNUMBER(SEARCH(Z17,A17))</formula>
    </cfRule>
  </conditionalFormatting>
  <conditionalFormatting sqref="G17">
    <cfRule type="expression" dxfId="117" priority="10">
      <formula>ISNUMBER(SEARCH(Z17,A17))</formula>
    </cfRule>
  </conditionalFormatting>
  <conditionalFormatting sqref="H17">
    <cfRule type="expression" dxfId="116" priority="9">
      <formula>ISNUMBER(SEARCH(Z17,A17))</formula>
    </cfRule>
  </conditionalFormatting>
  <conditionalFormatting sqref="I17">
    <cfRule type="expression" dxfId="115" priority="8">
      <formula>ISNUMBER(SEARCH(Z17,A17))</formula>
    </cfRule>
  </conditionalFormatting>
  <conditionalFormatting sqref="J17">
    <cfRule type="expression" dxfId="114" priority="7">
      <formula>ISNUMBER(SEARCH(Z17,A17))</formula>
    </cfRule>
  </conditionalFormatting>
  <conditionalFormatting sqref="M31:M96">
    <cfRule type="containsText" dxfId="113" priority="1" operator="containsText" text="Information">
      <formula>NOT(ISERROR(SEARCH("Information",M31)))</formula>
    </cfRule>
    <cfRule type="containsText" dxfId="112" priority="2" operator="containsText" text="Warning">
      <formula>NOT(ISERROR(SEARCH("Warning",M31)))</formula>
    </cfRule>
    <cfRule type="containsText" dxfId="111" priority="3" operator="containsText" text="Error">
      <formula>NOT(ISERROR(SEARCH("Error",M31)))</formula>
    </cfRule>
  </conditionalFormatting>
  <dataValidations count="1">
    <dataValidation allowBlank="1" showInputMessage="1" showErrorMessage="1" promptTitle="Parking Services" prompt="Please fill out lines 161 and 162 to populate this cell" sqref="G51" xr:uid="{00000000-0002-0000-0500-000000000000}"/>
  </dataValidations>
  <hyperlinks>
    <hyperlink ref="L31" location="Memo!C305" display="Memo!C305" xr:uid="{00000000-0004-0000-0500-000000000000}"/>
    <hyperlink ref="L32" location="Memo!C306" display="Memo!C306" xr:uid="{00000000-0004-0000-0500-000001000000}"/>
    <hyperlink ref="L35" location="Memo!C307" display="Memo!C307" xr:uid="{00000000-0004-0000-0500-000002000000}"/>
    <hyperlink ref="L36" location="Memo!C308" display="Memo!C308" xr:uid="{00000000-0004-0000-0500-000003000000}"/>
    <hyperlink ref="L37" location="Memo!C309" display="Memo!C309" xr:uid="{00000000-0004-0000-0500-000004000000}"/>
    <hyperlink ref="L38" location="Memo!C310" display="Memo!C310" xr:uid="{00000000-0004-0000-0500-000005000000}"/>
    <hyperlink ref="L39" location="Memo!C311" display="Memo!C311" xr:uid="{00000000-0004-0000-0500-000006000000}"/>
    <hyperlink ref="L40" location="Memo!C312" display="Memo!C312" xr:uid="{00000000-0004-0000-0500-000007000000}"/>
    <hyperlink ref="L41" location="Memo!C313" display="Memo!C313" xr:uid="{00000000-0004-0000-0500-000008000000}"/>
    <hyperlink ref="L45" location="Memo!C314" display="Memo!C314" xr:uid="{00000000-0004-0000-0500-000009000000}"/>
    <hyperlink ref="L46" location="Memo!C315" display="Memo!C315" xr:uid="{00000000-0004-0000-0500-00000A000000}"/>
    <hyperlink ref="L47" location="Memo!C316" display="Memo!C316" xr:uid="{00000000-0004-0000-0500-00000B000000}"/>
    <hyperlink ref="L48" location="Memo!C317" display="Memo!C317" xr:uid="{00000000-0004-0000-0500-00000C000000}"/>
    <hyperlink ref="L51" location="Memo!C318" display="Memo!C318" xr:uid="{00000000-0004-0000-0500-00000D000000}"/>
    <hyperlink ref="L52" location="Memo!C319" display="Memo!C319" xr:uid="{00000000-0004-0000-0500-00000E000000}"/>
    <hyperlink ref="L55" location="Memo!C320" display="Memo!C320" xr:uid="{00000000-0004-0000-0500-00000F000000}"/>
    <hyperlink ref="L56" location="Memo!C321" display="Memo!C321" xr:uid="{00000000-0004-0000-0500-000010000000}"/>
    <hyperlink ref="L57" location="Memo!C322" display="Memo!C322" xr:uid="{00000000-0004-0000-0500-000011000000}"/>
    <hyperlink ref="L58" location="Memo!C323" display="Memo!C323" xr:uid="{00000000-0004-0000-0500-000012000000}"/>
    <hyperlink ref="L59" location="Memo!C324" display="Memo!C324" xr:uid="{00000000-0004-0000-0500-000013000000}"/>
    <hyperlink ref="L60" location="Memo!C325" display="Memo!C325" xr:uid="{00000000-0004-0000-0500-000014000000}"/>
    <hyperlink ref="L62" location="Memo!C326" display="Memo!C326" xr:uid="{00000000-0004-0000-0500-000015000000}"/>
    <hyperlink ref="L64" location="Memo!C327" display="Memo!C327" xr:uid="{00000000-0004-0000-0500-000016000000}"/>
    <hyperlink ref="L75" location="Memo!C336" display="Memo!C336" xr:uid="{00000000-0004-0000-0500-000017000000}"/>
    <hyperlink ref="L76" location="Memo!C337" display="Memo!C337" xr:uid="{00000000-0004-0000-0500-000018000000}"/>
    <hyperlink ref="L77" location="Memo!C338" display="Memo!C338" xr:uid="{00000000-0004-0000-0500-000019000000}"/>
    <hyperlink ref="L78" location="Memo!C339" display="Memo!C339" xr:uid="{00000000-0004-0000-0500-00001A000000}"/>
    <hyperlink ref="L82" location="Memo!C328" display="Memo!C328" xr:uid="{00000000-0004-0000-0500-00001B000000}"/>
    <hyperlink ref="L94" location="Memo!C329" display="Memo!C329" xr:uid="{00000000-0004-0000-0500-00001E000000}"/>
    <hyperlink ref="L95" location="Memo!C330" display="Memo!C330" xr:uid="{00000000-0004-0000-0500-00001F000000}"/>
    <hyperlink ref="L96" location="Memo!C331" display="Memo!C331" xr:uid="{00000000-0004-0000-0500-000020000000}"/>
    <hyperlink ref="L74" location="Memo!C294" display="Memo!C294" xr:uid="{00000000-0004-0000-0500-000021000000}"/>
    <hyperlink ref="L85" location="Memo!C332" display="Memo!C332" xr:uid="{2C35B67B-1EDA-447F-ABF1-20A4079148B5}"/>
    <hyperlink ref="L86" location="Memo!C333" display="Memo!C333" xr:uid="{F13A755B-2BBB-4DAE-BD85-0F5CA112DC37}"/>
    <hyperlink ref="L89" location="Memo!C334" display="Memo!C334" xr:uid="{0FAE7587-E345-4B8E-9A9E-2291786D0687}"/>
    <hyperlink ref="L90" location="Memo!C335" display="Memo!C335" xr:uid="{0449614A-D09B-4F78-A461-9A3D5DA83511}"/>
  </hyperlinks>
  <printOptions horizontalCentered="1"/>
  <pageMargins left="0.39370078740157483" right="0.39370078740157483" top="0.39370078740157483" bottom="0.39370078740157483" header="0.19685039370078741" footer="0.19685039370078741"/>
  <pageSetup paperSize="9" scale="55" orientation="landscape" r:id="rId1"/>
  <headerFooter alignWithMargins="0"/>
  <ignoredErrors>
    <ignoredError sqref="D26:J28" numberStoredAsText="1"/>
  </ignoredErrors>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theme="8" tint="0.79998168889431442"/>
  </sheetPr>
  <dimension ref="A1:AM145"/>
  <sheetViews>
    <sheetView showGridLines="0" zoomScale="80" zoomScaleNormal="80" workbookViewId="0">
      <pane ySplit="1" topLeftCell="A2" activePane="bottomLeft" state="frozen"/>
      <selection pane="bottomLeft" sqref="A1:N1"/>
    </sheetView>
  </sheetViews>
  <sheetFormatPr defaultColWidth="0" defaultRowHeight="12.5" zeroHeight="1" x14ac:dyDescent="0.25"/>
  <cols>
    <col min="1" max="1" width="8.7265625" customWidth="1"/>
    <col min="2" max="2" width="85.7265625" customWidth="1"/>
    <col min="3" max="3" width="6.7265625" customWidth="1"/>
    <col min="4" max="10" width="16.7265625" customWidth="1"/>
    <col min="11" max="11" width="2.7265625" customWidth="1"/>
    <col min="12" max="12" width="16.7265625" customWidth="1"/>
    <col min="13" max="13" width="18.26953125" customWidth="1"/>
    <col min="14" max="14" width="2.7265625" customWidth="1"/>
    <col min="15" max="15" width="95.1796875" customWidth="1"/>
    <col min="16" max="16" width="21.7265625" customWidth="1"/>
    <col min="17" max="19" width="12.54296875" customWidth="1"/>
    <col min="20" max="20" width="47.1796875" customWidth="1"/>
    <col min="21" max="39" width="0" hidden="1" customWidth="1"/>
    <col min="40" max="16384" width="12.54296875" hidden="1"/>
  </cols>
  <sheetData>
    <row r="1" spans="1:15" ht="60" customHeight="1" x14ac:dyDescent="0.25">
      <c r="A1" s="1206" t="str">
        <f>ContactDetails!A36</f>
        <v>IMPORTANT: Please DO NOT alter this spreadsheet by inserting/deleting, merging any cells, or even using cut &amp; paste, as the data from this spreadsheet are directly transferred into the DLUHC database by a macro and these could break the references in the form.</v>
      </c>
      <c r="B1" s="1206"/>
      <c r="C1" s="1206"/>
      <c r="D1" s="1207"/>
      <c r="E1" s="1207"/>
      <c r="F1" s="1207"/>
      <c r="G1" s="1207"/>
      <c r="H1" s="1207"/>
      <c r="I1" s="1207"/>
      <c r="J1" s="1207"/>
      <c r="K1" s="1207"/>
      <c r="L1" s="1207"/>
      <c r="M1" s="1207"/>
      <c r="N1" s="1207"/>
      <c r="O1" s="112"/>
    </row>
    <row r="2" spans="1:15" ht="12.75" customHeight="1" x14ac:dyDescent="0.35">
      <c r="A2" s="178"/>
      <c r="B2" s="178"/>
      <c r="C2" s="179"/>
      <c r="D2" s="180"/>
      <c r="E2" s="4"/>
      <c r="F2" s="4"/>
      <c r="G2" s="54"/>
      <c r="H2" s="181"/>
      <c r="I2" s="112"/>
      <c r="J2" s="112"/>
      <c r="K2" s="112"/>
      <c r="L2" s="112"/>
      <c r="M2" s="112"/>
      <c r="N2" s="112"/>
      <c r="O2" s="112"/>
    </row>
    <row r="3" spans="1:15" ht="27.75" customHeight="1" x14ac:dyDescent="0.6">
      <c r="A3" s="178"/>
      <c r="B3" s="178"/>
      <c r="C3" s="179"/>
      <c r="D3" s="180"/>
      <c r="E3" s="4"/>
      <c r="F3" s="4"/>
      <c r="G3" s="112"/>
      <c r="H3" s="112"/>
      <c r="I3" s="112"/>
      <c r="J3" s="112"/>
      <c r="K3" s="112"/>
      <c r="L3" s="112"/>
      <c r="M3" s="165" t="str">
        <f>"RO3 "&amp;fyear</f>
        <v>RO3 2022-23</v>
      </c>
      <c r="N3" s="112"/>
      <c r="O3" s="112"/>
    </row>
    <row r="4" spans="1:15" ht="12.75" customHeight="1" x14ac:dyDescent="0.35">
      <c r="A4" s="178"/>
      <c r="B4" s="178"/>
      <c r="C4" s="179"/>
      <c r="D4" s="180"/>
      <c r="E4" s="4"/>
      <c r="F4" s="4"/>
      <c r="G4" s="112"/>
      <c r="H4" s="112"/>
      <c r="I4" s="112"/>
      <c r="J4" s="112"/>
      <c r="K4" s="112"/>
      <c r="L4" s="112"/>
      <c r="M4" s="112"/>
      <c r="N4" s="112"/>
      <c r="O4" s="112"/>
    </row>
    <row r="5" spans="1:15" ht="12.75" customHeight="1" x14ac:dyDescent="0.35">
      <c r="A5" s="178"/>
      <c r="B5" s="178"/>
      <c r="C5" s="179"/>
      <c r="D5" s="180"/>
      <c r="E5" s="4"/>
      <c r="F5" s="4"/>
      <c r="G5" s="112"/>
      <c r="H5" s="112"/>
      <c r="I5" s="112"/>
      <c r="J5" s="112"/>
      <c r="K5" s="112"/>
      <c r="L5" s="112"/>
      <c r="M5" s="112"/>
      <c r="N5" s="112"/>
      <c r="O5" s="112"/>
    </row>
    <row r="6" spans="1:15" ht="12.75" customHeight="1" x14ac:dyDescent="0.35">
      <c r="A6" s="178"/>
      <c r="B6" s="178"/>
      <c r="C6" s="179"/>
      <c r="D6" s="180"/>
      <c r="E6" s="4"/>
      <c r="F6" s="4"/>
      <c r="G6" s="112"/>
      <c r="H6" s="112"/>
      <c r="I6" s="112"/>
      <c r="J6" s="112"/>
      <c r="K6" s="112"/>
      <c r="L6" s="112"/>
      <c r="M6" s="112"/>
      <c r="N6" s="112"/>
      <c r="O6" s="112"/>
    </row>
    <row r="7" spans="1:15" ht="12.75" customHeight="1" x14ac:dyDescent="0.35">
      <c r="A7" s="178"/>
      <c r="B7" s="178"/>
      <c r="C7" s="179"/>
      <c r="D7" s="180"/>
      <c r="E7" s="4"/>
      <c r="F7" s="4"/>
      <c r="G7" s="112"/>
      <c r="H7" s="112"/>
      <c r="I7" s="112"/>
      <c r="J7" s="112"/>
      <c r="K7" s="112"/>
      <c r="L7" s="112"/>
      <c r="M7" s="112"/>
      <c r="N7" s="112"/>
      <c r="O7" s="112"/>
    </row>
    <row r="8" spans="1:15" ht="12.75" customHeight="1" x14ac:dyDescent="0.35">
      <c r="A8" s="178"/>
      <c r="B8" s="178"/>
      <c r="C8" s="179"/>
      <c r="D8" s="180"/>
      <c r="E8" s="4"/>
      <c r="F8" s="4"/>
      <c r="G8" s="112"/>
      <c r="H8" s="112"/>
      <c r="I8" s="112"/>
      <c r="J8" s="112"/>
      <c r="K8" s="112"/>
      <c r="L8" s="112"/>
      <c r="M8" s="112"/>
      <c r="N8" s="112"/>
      <c r="O8" s="112"/>
    </row>
    <row r="9" spans="1:15" ht="33" customHeight="1" x14ac:dyDescent="0.25">
      <c r="A9" s="1195" t="str">
        <f>RS!$A$10</f>
        <v>General Fund Revenue Account Outturn</v>
      </c>
      <c r="B9" s="1195"/>
      <c r="C9" s="1195"/>
      <c r="D9" s="1195"/>
      <c r="E9" s="1195"/>
      <c r="F9" s="1195"/>
      <c r="G9" s="1195"/>
      <c r="H9" s="1195"/>
      <c r="I9" s="1195"/>
      <c r="J9" s="1195"/>
      <c r="K9" s="1195"/>
      <c r="L9" s="1195"/>
      <c r="M9" s="1195"/>
      <c r="N9" s="183"/>
      <c r="O9" s="112"/>
    </row>
    <row r="10" spans="1:15" ht="33" customHeight="1" x14ac:dyDescent="0.25">
      <c r="A10" s="1164" t="str">
        <f>"RO3 – SOCIAL CARE AND PUBLIC HEALTH "&amp;fyear</f>
        <v>RO3 – SOCIAL CARE AND PUBLIC HEALTH 2022-23</v>
      </c>
      <c r="B10" s="1164"/>
      <c r="C10" s="1164"/>
      <c r="D10" s="1164"/>
      <c r="E10" s="1164"/>
      <c r="F10" s="1164"/>
      <c r="G10" s="1164"/>
      <c r="H10" s="1164"/>
      <c r="I10" s="1164"/>
      <c r="J10" s="1164"/>
      <c r="K10" s="1164"/>
      <c r="L10" s="1164"/>
      <c r="M10" s="1164"/>
      <c r="N10" s="183"/>
      <c r="O10" s="112"/>
    </row>
    <row r="11" spans="1:15" ht="14.15" customHeight="1" x14ac:dyDescent="0.35">
      <c r="A11" s="178"/>
      <c r="B11" s="178"/>
      <c r="C11" s="179"/>
      <c r="D11" s="180"/>
      <c r="E11" s="4"/>
      <c r="F11" s="4"/>
      <c r="G11" s="112"/>
      <c r="H11" s="112"/>
      <c r="I11" s="112"/>
      <c r="J11" s="112"/>
      <c r="K11" s="112"/>
      <c r="L11" s="112"/>
      <c r="M11" s="112"/>
      <c r="N11" s="112"/>
      <c r="O11" s="112"/>
    </row>
    <row r="12" spans="1:15" ht="18.75" customHeight="1" x14ac:dyDescent="0.4">
      <c r="A12" s="1165" t="s">
        <v>1373</v>
      </c>
      <c r="B12" s="1165"/>
      <c r="C12" s="1165"/>
      <c r="D12" s="1165"/>
      <c r="E12" s="1165"/>
      <c r="F12" s="1165"/>
      <c r="G12" s="1165"/>
      <c r="H12" s="1165"/>
      <c r="I12" s="1165"/>
      <c r="J12" s="1165"/>
      <c r="K12" s="1165"/>
      <c r="L12" s="1165"/>
      <c r="M12" s="1165"/>
      <c r="N12" s="112"/>
      <c r="O12" s="112"/>
    </row>
    <row r="13" spans="1:15" ht="12" customHeight="1" x14ac:dyDescent="0.3">
      <c r="A13" s="54"/>
      <c r="B13" s="54"/>
      <c r="C13" s="54"/>
      <c r="D13" s="54"/>
      <c r="E13" s="54"/>
      <c r="F13" s="54"/>
      <c r="G13" s="54"/>
      <c r="H13" s="54"/>
      <c r="I13" s="54"/>
      <c r="J13" s="119"/>
      <c r="K13" s="54"/>
      <c r="L13" s="54"/>
      <c r="M13" s="54"/>
      <c r="N13" s="54"/>
      <c r="O13" s="112"/>
    </row>
    <row r="14" spans="1:15" ht="21" customHeight="1" x14ac:dyDescent="0.25">
      <c r="A14" s="1215"/>
      <c r="B14" s="1215"/>
      <c r="C14" s="1215"/>
      <c r="D14" s="1215"/>
      <c r="E14" s="1215"/>
      <c r="F14" s="1215"/>
      <c r="G14" s="1215"/>
      <c r="H14" s="1215"/>
      <c r="I14" s="1215"/>
      <c r="J14" s="1215"/>
      <c r="K14" s="1215"/>
      <c r="L14" s="1215"/>
      <c r="M14" s="1215"/>
      <c r="N14" s="127"/>
      <c r="O14" s="112"/>
    </row>
    <row r="15" spans="1:15" ht="21" customHeight="1" x14ac:dyDescent="0.25">
      <c r="A15" s="1213" t="s">
        <v>1375</v>
      </c>
      <c r="B15" s="1213"/>
      <c r="C15" s="1213"/>
      <c r="D15" s="1213"/>
      <c r="E15" s="1213"/>
      <c r="F15" s="1213"/>
      <c r="G15" s="1213"/>
      <c r="H15" s="1213"/>
      <c r="I15" s="1213"/>
      <c r="J15" s="1213"/>
      <c r="K15" s="1213"/>
      <c r="L15" s="1213"/>
      <c r="M15" s="1213"/>
      <c r="N15" s="54"/>
      <c r="O15" s="112"/>
    </row>
    <row r="16" spans="1:15" ht="20" x14ac:dyDescent="0.35">
      <c r="A16" s="186" t="str">
        <f>TRIM(LEFT(A$10,3))&amp;" error summary:"</f>
        <v>RO3 error summary:</v>
      </c>
      <c r="B16" s="187"/>
      <c r="C16" s="187"/>
      <c r="D16" s="54"/>
      <c r="E16" s="188"/>
      <c r="F16" s="54"/>
      <c r="G16" s="54"/>
      <c r="H16" s="505"/>
      <c r="I16" s="254"/>
      <c r="J16" s="119"/>
      <c r="K16" s="54"/>
      <c r="L16" s="54"/>
      <c r="M16" s="54"/>
      <c r="N16" s="54"/>
      <c r="O16" s="112"/>
    </row>
    <row r="17" spans="1:37" ht="32.15" customHeight="1" x14ac:dyDescent="0.35">
      <c r="A17" s="498" t="str">
        <f>IF(AND(COUNTIF($M$31:$M$134,"Error")=0,COUNTIF($M$31:$M$134,"Warning")=0),("There are no outstanding errors or warnings with the "&amp;TRIM(LEFT(A$10,3))&amp;" section of the form. Thank you."),("There are "&amp;COUNTIF($M$31:$M$134,"Error")&amp;" outstanding error(s) and "&amp;COUNTIF($M$31:$M$134,"Warning")&amp;" outstanding warning(s) with the "&amp;TRIM(LEFT(A$10,3))&amp;" section of the form. Please resolve and/or explain these before submitting."))</f>
        <v>There are no outstanding errors or warnings with the RO3 section of the form. Thank you.</v>
      </c>
      <c r="B17" s="499"/>
      <c r="C17" s="499"/>
      <c r="D17" s="499"/>
      <c r="E17" s="499"/>
      <c r="F17" s="499"/>
      <c r="G17" s="499"/>
      <c r="H17" s="499"/>
      <c r="I17" s="499"/>
      <c r="J17" s="499"/>
      <c r="K17" s="54"/>
      <c r="L17" s="54"/>
      <c r="M17" s="54"/>
      <c r="N17" s="54"/>
      <c r="O17" s="112"/>
      <c r="Z17" s="468" t="s">
        <v>1371</v>
      </c>
    </row>
    <row r="18" spans="1:37" ht="20.149999999999999" customHeight="1" x14ac:dyDescent="0.35">
      <c r="A18" s="191" t="str">
        <f>"Please note, your authority is only required to complete and return the following forms: "&amp;VLOOKUP(LA_name,LA_list,9,0)</f>
        <v>Please note, your authority is only required to complete and return the following forms: Forms to be completed will appear here !</v>
      </c>
      <c r="B18" s="192"/>
      <c r="C18" s="192"/>
      <c r="D18" s="190"/>
      <c r="E18" s="190"/>
      <c r="F18" s="190"/>
      <c r="G18" s="190"/>
      <c r="H18" s="190"/>
      <c r="I18" s="190"/>
      <c r="J18" s="119"/>
      <c r="K18" s="54"/>
      <c r="L18" s="54"/>
      <c r="M18" s="54"/>
      <c r="N18" s="54"/>
      <c r="O18" s="54"/>
    </row>
    <row r="19" spans="1:37" ht="12" customHeight="1" x14ac:dyDescent="0.35">
      <c r="A19" s="192"/>
      <c r="B19" s="192"/>
      <c r="C19" s="192"/>
      <c r="D19" s="190"/>
      <c r="E19" s="190"/>
      <c r="F19" s="190"/>
      <c r="G19" s="190"/>
      <c r="H19" s="190"/>
      <c r="I19" s="190"/>
      <c r="J19" s="119"/>
      <c r="K19" s="54"/>
      <c r="L19" s="54"/>
      <c r="M19" s="54"/>
      <c r="N19" s="54"/>
      <c r="O19" s="54"/>
    </row>
    <row r="20" spans="1:37" ht="25" x14ac:dyDescent="0.5">
      <c r="A20" s="137" t="str">
        <f>RS!$A$20</f>
        <v>Please select your authority name on Title page</v>
      </c>
      <c r="B20" s="59"/>
      <c r="C20" s="67"/>
      <c r="D20" s="67"/>
      <c r="E20" s="67"/>
      <c r="F20" s="67"/>
      <c r="G20" s="67"/>
      <c r="H20" s="67"/>
      <c r="I20" s="67"/>
      <c r="J20" s="67"/>
      <c r="K20" s="112"/>
      <c r="L20" s="112"/>
      <c r="M20" s="112"/>
      <c r="N20" s="112"/>
      <c r="O20" s="112"/>
    </row>
    <row r="21" spans="1:37" ht="18" x14ac:dyDescent="0.4">
      <c r="A21" s="139" t="str">
        <f>ContactDetails!C25</f>
        <v>E-code</v>
      </c>
      <c r="B21" s="60"/>
      <c r="C21" s="68"/>
      <c r="D21" s="539"/>
      <c r="E21" s="539"/>
      <c r="F21" s="236"/>
      <c r="G21" s="539"/>
      <c r="H21" s="539"/>
      <c r="I21" s="236"/>
      <c r="J21" s="236"/>
      <c r="K21" s="112"/>
      <c r="L21" s="112"/>
      <c r="M21" s="112"/>
      <c r="N21" s="112"/>
      <c r="O21" s="112"/>
    </row>
    <row r="22" spans="1:37" ht="18" x14ac:dyDescent="0.4">
      <c r="A22" s="60"/>
      <c r="B22" s="60"/>
      <c r="C22" s="68"/>
      <c r="D22" s="539"/>
      <c r="E22" s="539"/>
      <c r="F22" s="236"/>
      <c r="G22" s="539"/>
      <c r="H22" s="539"/>
      <c r="I22" s="236"/>
      <c r="J22" s="236"/>
      <c r="K22" s="112"/>
      <c r="L22" s="112"/>
      <c r="M22" s="112"/>
      <c r="N22" s="112"/>
      <c r="O22" s="112"/>
    </row>
    <row r="23" spans="1:37" ht="15.5" x14ac:dyDescent="0.35">
      <c r="A23" s="586" t="s">
        <v>1783</v>
      </c>
      <c r="B23" s="193"/>
      <c r="C23" s="194"/>
      <c r="D23" s="194"/>
      <c r="E23" s="89"/>
      <c r="F23" s="236"/>
      <c r="G23" s="539"/>
      <c r="H23" s="539"/>
      <c r="I23" s="236"/>
      <c r="J23" s="236"/>
      <c r="K23" s="112"/>
      <c r="L23" s="112"/>
      <c r="M23" s="112"/>
      <c r="N23" s="112"/>
      <c r="O23" s="112"/>
    </row>
    <row r="24" spans="1:37" ht="15.5" x14ac:dyDescent="0.35">
      <c r="A24" s="496" t="s">
        <v>1784</v>
      </c>
      <c r="B24" s="112"/>
      <c r="C24" s="112"/>
      <c r="D24" s="539"/>
      <c r="E24" s="236" t="s">
        <v>1598</v>
      </c>
      <c r="F24" s="236" t="s">
        <v>1599</v>
      </c>
      <c r="G24" s="236" t="s">
        <v>1600</v>
      </c>
      <c r="H24" s="236" t="s">
        <v>1370</v>
      </c>
      <c r="I24" s="236" t="s">
        <v>1599</v>
      </c>
      <c r="J24" s="236" t="s">
        <v>1601</v>
      </c>
      <c r="K24" s="112"/>
      <c r="L24" s="112"/>
      <c r="M24" s="112"/>
      <c r="N24" s="112"/>
      <c r="O24" s="112"/>
    </row>
    <row r="25" spans="1:37" ht="15.5" x14ac:dyDescent="0.35">
      <c r="A25" s="112"/>
      <c r="B25" s="112"/>
      <c r="C25" s="112"/>
      <c r="D25" s="236" t="s">
        <v>1602</v>
      </c>
      <c r="E25" s="236" t="s">
        <v>1785</v>
      </c>
      <c r="F25" s="236" t="s">
        <v>1604</v>
      </c>
      <c r="G25" s="236" t="s">
        <v>1605</v>
      </c>
      <c r="H25" s="236" t="s">
        <v>1606</v>
      </c>
      <c r="I25" s="236" t="s">
        <v>1606</v>
      </c>
      <c r="J25" s="236" t="s">
        <v>1604</v>
      </c>
      <c r="K25" s="112"/>
      <c r="L25" s="112"/>
      <c r="M25" s="112"/>
      <c r="N25" s="112"/>
      <c r="O25" s="112"/>
    </row>
    <row r="26" spans="1:37" ht="15.5" x14ac:dyDescent="0.35">
      <c r="A26" s="259"/>
      <c r="B26" s="259"/>
      <c r="C26" s="112"/>
      <c r="D26" s="335" t="s">
        <v>1378</v>
      </c>
      <c r="E26" s="335" t="s">
        <v>1378</v>
      </c>
      <c r="F26" s="335" t="s">
        <v>1378</v>
      </c>
      <c r="G26" s="335" t="s">
        <v>1378</v>
      </c>
      <c r="H26" s="335" t="s">
        <v>1378</v>
      </c>
      <c r="I26" s="335" t="s">
        <v>1378</v>
      </c>
      <c r="J26" s="335" t="s">
        <v>1378</v>
      </c>
      <c r="K26" s="112"/>
      <c r="L26" s="112"/>
      <c r="M26" s="112"/>
      <c r="N26" s="112"/>
      <c r="O26" s="112"/>
    </row>
    <row r="27" spans="1:37" ht="15.5" x14ac:dyDescent="0.35">
      <c r="A27" s="112"/>
      <c r="B27" s="112"/>
      <c r="C27" s="112"/>
      <c r="D27" s="335"/>
      <c r="E27" s="335"/>
      <c r="F27" s="335"/>
      <c r="G27" s="335"/>
      <c r="H27" s="335"/>
      <c r="I27" s="335"/>
      <c r="J27" s="335"/>
      <c r="K27" s="112"/>
      <c r="L27" s="112"/>
      <c r="M27" s="112"/>
      <c r="N27" s="112"/>
      <c r="O27" s="112"/>
    </row>
    <row r="28" spans="1:37" ht="13" x14ac:dyDescent="0.3">
      <c r="A28" s="112"/>
      <c r="B28" s="112"/>
      <c r="C28" s="112"/>
      <c r="D28" s="238" t="s">
        <v>1379</v>
      </c>
      <c r="E28" s="238" t="s">
        <v>1607</v>
      </c>
      <c r="F28" s="238" t="s">
        <v>1608</v>
      </c>
      <c r="G28" s="238" t="s">
        <v>1609</v>
      </c>
      <c r="H28" s="238" t="s">
        <v>1610</v>
      </c>
      <c r="I28" s="238" t="s">
        <v>1611</v>
      </c>
      <c r="J28" s="238" t="s">
        <v>1612</v>
      </c>
      <c r="K28" s="112"/>
      <c r="L28" s="112"/>
      <c r="M28" s="112"/>
      <c r="N28" s="112"/>
      <c r="O28" s="112"/>
    </row>
    <row r="29" spans="1:37" ht="13" x14ac:dyDescent="0.3">
      <c r="A29" s="112"/>
      <c r="B29" s="112"/>
      <c r="C29" s="112"/>
      <c r="D29" s="238"/>
      <c r="E29" s="238"/>
      <c r="F29" s="238"/>
      <c r="G29" s="238"/>
      <c r="H29" s="238"/>
      <c r="I29" s="238"/>
      <c r="J29" s="238"/>
      <c r="K29" s="112"/>
      <c r="L29" s="112"/>
      <c r="M29" s="112"/>
      <c r="N29" s="112"/>
      <c r="AB29" s="461" t="s">
        <v>1380</v>
      </c>
    </row>
    <row r="30" spans="1:37" ht="18" x14ac:dyDescent="0.4">
      <c r="A30" s="27" t="s">
        <v>1786</v>
      </c>
      <c r="B30" s="124"/>
      <c r="C30" s="124"/>
      <c r="D30" s="68"/>
      <c r="E30" s="68"/>
      <c r="F30" s="68"/>
      <c r="G30" s="68"/>
      <c r="H30" s="68"/>
      <c r="I30" s="68"/>
      <c r="J30" s="68"/>
      <c r="K30" s="112"/>
      <c r="L30" s="112"/>
      <c r="M30" s="112"/>
      <c r="N30" s="112"/>
      <c r="AB30" s="461" t="s">
        <v>1381</v>
      </c>
      <c r="AC30" s="461" t="s">
        <v>1382</v>
      </c>
      <c r="AD30" s="461" t="s">
        <v>1383</v>
      </c>
      <c r="AE30" s="461" t="s">
        <v>1384</v>
      </c>
      <c r="AF30" s="461" t="s">
        <v>1385</v>
      </c>
      <c r="AG30" s="461" t="s">
        <v>1386</v>
      </c>
      <c r="AH30" s="461" t="s">
        <v>1387</v>
      </c>
      <c r="AI30" s="461" t="s">
        <v>1388</v>
      </c>
      <c r="AJ30" s="461" t="s">
        <v>1389</v>
      </c>
      <c r="AK30" s="461" t="s">
        <v>1390</v>
      </c>
    </row>
    <row r="31" spans="1:37" ht="15.5" x14ac:dyDescent="0.35">
      <c r="A31" s="108">
        <v>10</v>
      </c>
      <c r="B31" s="124" t="s">
        <v>1787</v>
      </c>
      <c r="C31" s="124"/>
      <c r="D31" s="668"/>
      <c r="E31" s="668"/>
      <c r="F31" s="669">
        <f>SUM(D31:E31)</f>
        <v>0</v>
      </c>
      <c r="G31" s="668"/>
      <c r="H31" s="668"/>
      <c r="I31" s="669">
        <f>SUM(G31:H31)</f>
        <v>0</v>
      </c>
      <c r="J31" s="669">
        <f>F31-I31</f>
        <v>0</v>
      </c>
      <c r="K31" s="112"/>
      <c r="L31" s="688" t="str">
        <f t="shared" ref="L31:L42" si="0">IF(ISERROR(M31),"",IF((M31="Error"),"add explanation",IF((M31="Warning"),"add explanation","")))</f>
        <v/>
      </c>
      <c r="M31" s="310" t="str">
        <f>IF(OR((I31&lt;&gt;(G31+H31)),(F31&lt;&gt;(D31+E31)),(J31&lt;&gt;(F31-I31))),"Error",IF(AK31="Warning","Warning",""))</f>
        <v/>
      </c>
      <c r="N31" s="112"/>
      <c r="O31" s="131" t="str">
        <f t="shared" ref="O31:O42" si="1">IF($M31="Error","A total column for "&amp;($B31)&amp;" does not match the sum of the components, please correct",IF($M31="Warning","This year's figure is over "&amp;AC31/1000&amp;" million and "&amp;(AB31*100)&amp;"% different to "&amp;TEXT(AD31,"#,###")&amp;" last year, please explain",""))</f>
        <v/>
      </c>
      <c r="AB31">
        <f t="shared" ref="AB31:AB42" si="2">VLOOKUP("RO3"&amp;$A31,data_val_parameters,9,0)/100</f>
        <v>0.45</v>
      </c>
      <c r="AC31">
        <f t="shared" ref="AC31:AC42" si="3">VLOOKUP("RO3"&amp;$A31,data_val_parameters,7,0)</f>
        <v>4000</v>
      </c>
      <c r="AD31" t="e">
        <f t="shared" ref="AD31:AD42" si="4">VLOOKUP(LA_code,data_prev_year,MATCH("RO3"&amp;$A31&amp;"7",data_prev_year_headers,0),0)</f>
        <v>#N/A</v>
      </c>
      <c r="AE31" t="e">
        <f>AD31+AC31</f>
        <v>#N/A</v>
      </c>
      <c r="AF31" t="e">
        <f>AD31-AC31</f>
        <v>#N/A</v>
      </c>
      <c r="AG31" t="e">
        <f>AD31+(AD31*AB31)</f>
        <v>#N/A</v>
      </c>
      <c r="AH31" t="e">
        <f>AD31-(AD31*AB31)</f>
        <v>#N/A</v>
      </c>
      <c r="AI31" t="e">
        <f>IF(OR(J31&lt;AF31,J31&gt;AE31),"Warning","")</f>
        <v>#N/A</v>
      </c>
      <c r="AJ31" t="e">
        <f>IF(OR(J31&gt;(AG31),J31&lt;(AH31)),"Warning","")</f>
        <v>#N/A</v>
      </c>
      <c r="AK31" t="str">
        <f>IF(OR(J31=0),"",IF(AND(AI31="Warning",AJ31="Warning"),"Warning",""))</f>
        <v/>
      </c>
    </row>
    <row r="32" spans="1:37" ht="15.65" customHeight="1" x14ac:dyDescent="0.35">
      <c r="A32" s="108">
        <v>13</v>
      </c>
      <c r="B32" s="124" t="s">
        <v>1788</v>
      </c>
      <c r="C32" s="124"/>
      <c r="D32" s="997">
        <f>SUM(D33:D36)</f>
        <v>0</v>
      </c>
      <c r="E32" s="997">
        <f>SUM(E33:E36)</f>
        <v>0</v>
      </c>
      <c r="F32" s="669">
        <f t="shared" ref="F32:F42" si="5">SUM(D32:E32)</f>
        <v>0</v>
      </c>
      <c r="G32" s="997">
        <f>SUM(G33:G36)</f>
        <v>0</v>
      </c>
      <c r="H32" s="997">
        <f>SUM(H33:H36)</f>
        <v>0</v>
      </c>
      <c r="I32" s="669">
        <f t="shared" ref="I32:I42" si="6">SUM(G32:H32)</f>
        <v>0</v>
      </c>
      <c r="J32" s="669">
        <f t="shared" ref="J32:J42" si="7">F32-I32</f>
        <v>0</v>
      </c>
      <c r="K32" s="112"/>
      <c r="L32" s="688" t="str">
        <f t="shared" si="0"/>
        <v/>
      </c>
      <c r="M32" s="310" t="str">
        <f t="shared" ref="M32:M42" si="8">IF(OR((I32&lt;&gt;(G32+H32)),(F32&lt;&gt;(D32+E32)),(J32&lt;&gt;(F32-I32))),"Error",IF(AK32="Warning","Warning",""))</f>
        <v/>
      </c>
      <c r="N32" s="112"/>
      <c r="O32" s="131" t="str">
        <f t="shared" si="1"/>
        <v/>
      </c>
      <c r="AB32">
        <f t="shared" si="2"/>
        <v>0.45</v>
      </c>
      <c r="AC32">
        <f t="shared" si="3"/>
        <v>4000</v>
      </c>
      <c r="AD32" t="e">
        <f t="shared" si="4"/>
        <v>#N/A</v>
      </c>
      <c r="AE32" t="e">
        <f t="shared" ref="AE32:AE42" si="9">AD32+AC32</f>
        <v>#N/A</v>
      </c>
      <c r="AF32" t="e">
        <f t="shared" ref="AF32:AF42" si="10">AD32-AC32</f>
        <v>#N/A</v>
      </c>
      <c r="AG32" t="e">
        <f t="shared" ref="AG32:AG42" si="11">AD32+(AD32*AB32)</f>
        <v>#N/A</v>
      </c>
      <c r="AH32" t="e">
        <f t="shared" ref="AH32:AH42" si="12">AD32-(AD32*AB32)</f>
        <v>#N/A</v>
      </c>
      <c r="AI32" t="e">
        <f t="shared" ref="AI32:AI42" si="13">IF(OR(J32&lt;AF32,J32&gt;AE32),"Warning","")</f>
        <v>#N/A</v>
      </c>
      <c r="AJ32" t="e">
        <f t="shared" ref="AJ32:AJ42" si="14">IF(OR(J32&gt;(AG32),J32&lt;(AH32)),"Warning","")</f>
        <v>#N/A</v>
      </c>
      <c r="AK32" t="str">
        <f t="shared" ref="AK32:AK42" si="15">IF(OR(J32=0),"",IF(AND(AI32="Warning",AJ32="Warning"),"Warning",""))</f>
        <v/>
      </c>
    </row>
    <row r="33" spans="1:37" ht="15.5" x14ac:dyDescent="0.35">
      <c r="A33" s="724">
        <v>16</v>
      </c>
      <c r="B33" s="846" t="s">
        <v>1789</v>
      </c>
      <c r="C33" s="124"/>
      <c r="D33" s="668"/>
      <c r="E33" s="668"/>
      <c r="F33" s="669">
        <f t="shared" si="5"/>
        <v>0</v>
      </c>
      <c r="G33" s="668"/>
      <c r="H33" s="668"/>
      <c r="I33" s="669">
        <f t="shared" si="6"/>
        <v>0</v>
      </c>
      <c r="J33" s="669">
        <f t="shared" si="7"/>
        <v>0</v>
      </c>
      <c r="K33" s="112"/>
      <c r="L33" s="688" t="str">
        <f>IF(ISERROR(M33),"",IF((M33="Error"),"add explanation",IF((M33="Warning"),"add explanation","")))</f>
        <v/>
      </c>
      <c r="M33" s="310" t="str">
        <f t="shared" si="8"/>
        <v/>
      </c>
      <c r="N33" s="112"/>
      <c r="O33" s="131" t="str">
        <f>IF($M33="Error","A total column for "&amp;($B33)&amp;" does not match the sum of the components, please correct","")</f>
        <v/>
      </c>
    </row>
    <row r="34" spans="1:37" ht="15.5" x14ac:dyDescent="0.35">
      <c r="A34" s="724">
        <v>17</v>
      </c>
      <c r="B34" s="846" t="s">
        <v>1790</v>
      </c>
      <c r="C34" s="124"/>
      <c r="D34" s="668"/>
      <c r="E34" s="668"/>
      <c r="F34" s="669">
        <f t="shared" si="5"/>
        <v>0</v>
      </c>
      <c r="G34" s="668"/>
      <c r="H34" s="668"/>
      <c r="I34" s="669">
        <f t="shared" si="6"/>
        <v>0</v>
      </c>
      <c r="J34" s="669">
        <f t="shared" si="7"/>
        <v>0</v>
      </c>
      <c r="K34" s="112"/>
      <c r="L34" s="688" t="str">
        <f>IF(ISERROR(M34),"",IF((M34="Error"),"add explanation",IF((M34="Warning"),"add explanation","")))</f>
        <v/>
      </c>
      <c r="M34" s="310" t="str">
        <f t="shared" si="8"/>
        <v/>
      </c>
      <c r="N34" s="112"/>
      <c r="O34" s="131" t="str">
        <f t="shared" ref="O34:O36" si="16">IF($M34="Error","A total column for "&amp;($B34)&amp;" does not match the sum of the components, please correct","")</f>
        <v/>
      </c>
    </row>
    <row r="35" spans="1:37" ht="15.5" x14ac:dyDescent="0.35">
      <c r="A35" s="724">
        <v>18</v>
      </c>
      <c r="B35" s="846" t="s">
        <v>1791</v>
      </c>
      <c r="C35" s="124"/>
      <c r="D35" s="668"/>
      <c r="E35" s="668"/>
      <c r="F35" s="669">
        <f t="shared" si="5"/>
        <v>0</v>
      </c>
      <c r="G35" s="668"/>
      <c r="H35" s="668"/>
      <c r="I35" s="669">
        <f t="shared" si="6"/>
        <v>0</v>
      </c>
      <c r="J35" s="669">
        <f t="shared" si="7"/>
        <v>0</v>
      </c>
      <c r="K35" s="112"/>
      <c r="L35" s="688" t="str">
        <f>IF(ISERROR(M35),"",IF((M35="Error"),"add explanation",IF((M35="Warning"),"add explanation","")))</f>
        <v/>
      </c>
      <c r="M35" s="310" t="str">
        <f t="shared" si="8"/>
        <v/>
      </c>
      <c r="N35" s="112"/>
      <c r="O35" s="131" t="str">
        <f t="shared" si="16"/>
        <v/>
      </c>
    </row>
    <row r="36" spans="1:37" ht="15.5" x14ac:dyDescent="0.35">
      <c r="A36" s="724">
        <v>19</v>
      </c>
      <c r="B36" s="846" t="s">
        <v>1792</v>
      </c>
      <c r="C36" s="124"/>
      <c r="D36" s="668"/>
      <c r="E36" s="668"/>
      <c r="F36" s="669">
        <f t="shared" si="5"/>
        <v>0</v>
      </c>
      <c r="G36" s="668"/>
      <c r="H36" s="668"/>
      <c r="I36" s="669">
        <f t="shared" si="6"/>
        <v>0</v>
      </c>
      <c r="J36" s="669">
        <f t="shared" si="7"/>
        <v>0</v>
      </c>
      <c r="K36" s="112"/>
      <c r="L36" s="688" t="str">
        <f>IF(ISERROR(M36),"",IF((M36="Error"),"add explanation",IF((M36="Warning"),"add explanation","")))</f>
        <v/>
      </c>
      <c r="M36" s="310" t="str">
        <f t="shared" si="8"/>
        <v/>
      </c>
      <c r="N36" s="112"/>
      <c r="O36" s="131" t="str">
        <f t="shared" si="16"/>
        <v/>
      </c>
    </row>
    <row r="37" spans="1:37" ht="15.5" x14ac:dyDescent="0.35">
      <c r="A37" s="108">
        <v>15</v>
      </c>
      <c r="B37" s="124" t="s">
        <v>1793</v>
      </c>
      <c r="C37" s="124"/>
      <c r="D37" s="668"/>
      <c r="E37" s="668"/>
      <c r="F37" s="669">
        <f>SUM(D37:E37)</f>
        <v>0</v>
      </c>
      <c r="G37" s="668"/>
      <c r="H37" s="668"/>
      <c r="I37" s="669">
        <f>SUM(G37:H37)</f>
        <v>0</v>
      </c>
      <c r="J37" s="669">
        <f>F37-I37</f>
        <v>0</v>
      </c>
      <c r="K37" s="112"/>
      <c r="L37" s="688" t="str">
        <f t="shared" si="0"/>
        <v/>
      </c>
      <c r="M37" s="310" t="str">
        <f t="shared" si="8"/>
        <v/>
      </c>
      <c r="N37" s="112"/>
      <c r="O37" s="131" t="str">
        <f t="shared" si="1"/>
        <v/>
      </c>
      <c r="AB37">
        <f t="shared" si="2"/>
        <v>0.45</v>
      </c>
      <c r="AC37">
        <f t="shared" si="3"/>
        <v>4000</v>
      </c>
      <c r="AD37" t="e">
        <f t="shared" si="4"/>
        <v>#N/A</v>
      </c>
      <c r="AE37" t="e">
        <f t="shared" si="9"/>
        <v>#N/A</v>
      </c>
      <c r="AF37" t="e">
        <f t="shared" si="10"/>
        <v>#N/A</v>
      </c>
      <c r="AG37" t="e">
        <f t="shared" si="11"/>
        <v>#N/A</v>
      </c>
      <c r="AH37" t="e">
        <f t="shared" si="12"/>
        <v>#N/A</v>
      </c>
      <c r="AI37" t="e">
        <f t="shared" si="13"/>
        <v>#N/A</v>
      </c>
      <c r="AJ37" t="e">
        <f t="shared" si="14"/>
        <v>#N/A</v>
      </c>
      <c r="AK37" t="str">
        <f t="shared" si="15"/>
        <v/>
      </c>
    </row>
    <row r="38" spans="1:37" ht="15.5" x14ac:dyDescent="0.35">
      <c r="A38" s="108">
        <v>22</v>
      </c>
      <c r="B38" s="124" t="s">
        <v>1794</v>
      </c>
      <c r="C38" s="124"/>
      <c r="D38" s="668"/>
      <c r="E38" s="668"/>
      <c r="F38" s="669">
        <f t="shared" si="5"/>
        <v>0</v>
      </c>
      <c r="G38" s="668"/>
      <c r="H38" s="668"/>
      <c r="I38" s="669">
        <f t="shared" si="6"/>
        <v>0</v>
      </c>
      <c r="J38" s="669">
        <f t="shared" si="7"/>
        <v>0</v>
      </c>
      <c r="K38" s="112"/>
      <c r="L38" s="688" t="str">
        <f t="shared" si="0"/>
        <v/>
      </c>
      <c r="M38" s="310" t="str">
        <f t="shared" si="8"/>
        <v/>
      </c>
      <c r="N38" s="112"/>
      <c r="O38" s="131" t="str">
        <f t="shared" si="1"/>
        <v/>
      </c>
      <c r="AB38">
        <f t="shared" si="2"/>
        <v>0.45</v>
      </c>
      <c r="AC38">
        <f t="shared" si="3"/>
        <v>4000</v>
      </c>
      <c r="AD38" t="e">
        <f t="shared" si="4"/>
        <v>#N/A</v>
      </c>
      <c r="AE38" t="e">
        <f t="shared" si="9"/>
        <v>#N/A</v>
      </c>
      <c r="AF38" t="e">
        <f t="shared" si="10"/>
        <v>#N/A</v>
      </c>
      <c r="AG38" t="e">
        <f t="shared" si="11"/>
        <v>#N/A</v>
      </c>
      <c r="AH38" t="e">
        <f t="shared" si="12"/>
        <v>#N/A</v>
      </c>
      <c r="AI38" t="e">
        <f t="shared" si="13"/>
        <v>#N/A</v>
      </c>
      <c r="AJ38" t="e">
        <f t="shared" si="14"/>
        <v>#N/A</v>
      </c>
      <c r="AK38" t="str">
        <f t="shared" si="15"/>
        <v/>
      </c>
    </row>
    <row r="39" spans="1:37" ht="15.5" x14ac:dyDescent="0.35">
      <c r="A39" s="108">
        <v>23</v>
      </c>
      <c r="B39" s="124" t="s">
        <v>1795</v>
      </c>
      <c r="C39" s="124"/>
      <c r="D39" s="668"/>
      <c r="E39" s="668"/>
      <c r="F39" s="669">
        <f t="shared" si="5"/>
        <v>0</v>
      </c>
      <c r="G39" s="668"/>
      <c r="H39" s="668"/>
      <c r="I39" s="669">
        <f t="shared" si="6"/>
        <v>0</v>
      </c>
      <c r="J39" s="669">
        <f t="shared" si="7"/>
        <v>0</v>
      </c>
      <c r="K39" s="112"/>
      <c r="L39" s="688" t="str">
        <f t="shared" si="0"/>
        <v/>
      </c>
      <c r="M39" s="310" t="str">
        <f t="shared" si="8"/>
        <v/>
      </c>
      <c r="N39" s="112"/>
      <c r="O39" s="131" t="str">
        <f t="shared" si="1"/>
        <v/>
      </c>
      <c r="AB39">
        <f t="shared" si="2"/>
        <v>0.3</v>
      </c>
      <c r="AC39">
        <f t="shared" si="3"/>
        <v>3000</v>
      </c>
      <c r="AD39" t="e">
        <f t="shared" si="4"/>
        <v>#N/A</v>
      </c>
      <c r="AE39" t="e">
        <f t="shared" si="9"/>
        <v>#N/A</v>
      </c>
      <c r="AF39" t="e">
        <f t="shared" si="10"/>
        <v>#N/A</v>
      </c>
      <c r="AG39" t="e">
        <f t="shared" si="11"/>
        <v>#N/A</v>
      </c>
      <c r="AH39" t="e">
        <f t="shared" si="12"/>
        <v>#N/A</v>
      </c>
      <c r="AI39" t="e">
        <f t="shared" si="13"/>
        <v>#N/A</v>
      </c>
      <c r="AJ39" t="e">
        <f t="shared" si="14"/>
        <v>#N/A</v>
      </c>
      <c r="AK39" t="str">
        <f t="shared" si="15"/>
        <v/>
      </c>
    </row>
    <row r="40" spans="1:37" ht="15.5" x14ac:dyDescent="0.35">
      <c r="A40" s="108">
        <v>25</v>
      </c>
      <c r="B40" s="124" t="s">
        <v>1796</v>
      </c>
      <c r="C40" s="124"/>
      <c r="D40" s="668"/>
      <c r="E40" s="668"/>
      <c r="F40" s="669">
        <f>SUM(D40:E40)</f>
        <v>0</v>
      </c>
      <c r="G40" s="668"/>
      <c r="H40" s="668"/>
      <c r="I40" s="669">
        <f>SUM(G40:H40)</f>
        <v>0</v>
      </c>
      <c r="J40" s="669">
        <f t="shared" si="7"/>
        <v>0</v>
      </c>
      <c r="K40" s="112"/>
      <c r="L40" s="688" t="str">
        <f t="shared" si="0"/>
        <v/>
      </c>
      <c r="M40" s="310" t="str">
        <f t="shared" si="8"/>
        <v/>
      </c>
      <c r="N40" s="112"/>
      <c r="O40" s="131" t="str">
        <f t="shared" si="1"/>
        <v/>
      </c>
      <c r="AB40">
        <f t="shared" si="2"/>
        <v>0.45</v>
      </c>
      <c r="AC40">
        <f t="shared" si="3"/>
        <v>10000</v>
      </c>
      <c r="AD40" t="e">
        <f t="shared" si="4"/>
        <v>#N/A</v>
      </c>
      <c r="AE40" t="e">
        <f t="shared" si="9"/>
        <v>#N/A</v>
      </c>
      <c r="AF40" t="e">
        <f t="shared" si="10"/>
        <v>#N/A</v>
      </c>
      <c r="AG40" t="e">
        <f t="shared" si="11"/>
        <v>#N/A</v>
      </c>
      <c r="AH40" t="e">
        <f t="shared" si="12"/>
        <v>#N/A</v>
      </c>
      <c r="AI40" t="e">
        <f t="shared" si="13"/>
        <v>#N/A</v>
      </c>
      <c r="AJ40" t="e">
        <f t="shared" si="14"/>
        <v>#N/A</v>
      </c>
      <c r="AK40" t="str">
        <f t="shared" si="15"/>
        <v/>
      </c>
    </row>
    <row r="41" spans="1:37" ht="15.5" x14ac:dyDescent="0.35">
      <c r="A41" s="108">
        <v>26</v>
      </c>
      <c r="B41" s="124" t="s">
        <v>1797</v>
      </c>
      <c r="C41" s="124"/>
      <c r="D41" s="668"/>
      <c r="E41" s="668"/>
      <c r="F41" s="669">
        <f t="shared" si="5"/>
        <v>0</v>
      </c>
      <c r="G41" s="668"/>
      <c r="H41" s="668"/>
      <c r="I41" s="669">
        <f t="shared" si="6"/>
        <v>0</v>
      </c>
      <c r="J41" s="669">
        <f t="shared" si="7"/>
        <v>0</v>
      </c>
      <c r="K41" s="112"/>
      <c r="L41" s="688" t="str">
        <f t="shared" si="0"/>
        <v/>
      </c>
      <c r="M41" s="310" t="str">
        <f t="shared" si="8"/>
        <v/>
      </c>
      <c r="N41" s="112"/>
      <c r="O41" s="131" t="str">
        <f t="shared" si="1"/>
        <v/>
      </c>
      <c r="AB41">
        <f t="shared" si="2"/>
        <v>0.4</v>
      </c>
      <c r="AC41">
        <f t="shared" si="3"/>
        <v>4000</v>
      </c>
      <c r="AD41" t="e">
        <f t="shared" si="4"/>
        <v>#N/A</v>
      </c>
      <c r="AE41" t="e">
        <f t="shared" si="9"/>
        <v>#N/A</v>
      </c>
      <c r="AF41" t="e">
        <f t="shared" si="10"/>
        <v>#N/A</v>
      </c>
      <c r="AG41" t="e">
        <f t="shared" si="11"/>
        <v>#N/A</v>
      </c>
      <c r="AH41" t="e">
        <f t="shared" si="12"/>
        <v>#N/A</v>
      </c>
      <c r="AI41" t="e">
        <f>IF(OR((J41)&lt;AF41,(J41)&gt;AE41),"Warning","")</f>
        <v>#N/A</v>
      </c>
      <c r="AJ41" t="e">
        <f>IF(OR((J41)&gt;(AG41),(J41)&lt;(AH41)),"Warning","")</f>
        <v>#N/A</v>
      </c>
      <c r="AK41" t="str">
        <f>IF(OR((J41)=0),"",IF(AND(AI41="Warning",AJ41="Warning"),"Warning",""))</f>
        <v/>
      </c>
    </row>
    <row r="42" spans="1:37" ht="15.5" x14ac:dyDescent="0.35">
      <c r="A42" s="108">
        <v>27</v>
      </c>
      <c r="B42" s="124" t="s">
        <v>1798</v>
      </c>
      <c r="C42" s="124"/>
      <c r="D42" s="668"/>
      <c r="E42" s="668"/>
      <c r="F42" s="669">
        <f t="shared" si="5"/>
        <v>0</v>
      </c>
      <c r="G42" s="668"/>
      <c r="H42" s="668"/>
      <c r="I42" s="669">
        <f t="shared" si="6"/>
        <v>0</v>
      </c>
      <c r="J42" s="669">
        <f t="shared" si="7"/>
        <v>0</v>
      </c>
      <c r="K42" s="112"/>
      <c r="L42" s="688" t="str">
        <f t="shared" si="0"/>
        <v/>
      </c>
      <c r="M42" s="310" t="str">
        <f t="shared" si="8"/>
        <v/>
      </c>
      <c r="N42" s="112"/>
      <c r="O42" s="131" t="str">
        <f t="shared" si="1"/>
        <v/>
      </c>
      <c r="AB42">
        <f t="shared" si="2"/>
        <v>0.4</v>
      </c>
      <c r="AC42">
        <f t="shared" si="3"/>
        <v>10000</v>
      </c>
      <c r="AD42" t="e">
        <f t="shared" si="4"/>
        <v>#N/A</v>
      </c>
      <c r="AE42" t="e">
        <f t="shared" si="9"/>
        <v>#N/A</v>
      </c>
      <c r="AF42" t="e">
        <f t="shared" si="10"/>
        <v>#N/A</v>
      </c>
      <c r="AG42" t="e">
        <f t="shared" si="11"/>
        <v>#N/A</v>
      </c>
      <c r="AH42" t="e">
        <f t="shared" si="12"/>
        <v>#N/A</v>
      </c>
      <c r="AI42" t="e">
        <f t="shared" si="13"/>
        <v>#N/A</v>
      </c>
      <c r="AJ42" t="e">
        <f t="shared" si="14"/>
        <v>#N/A</v>
      </c>
      <c r="AK42" t="str">
        <f t="shared" si="15"/>
        <v/>
      </c>
    </row>
    <row r="43" spans="1:37" ht="15.5" x14ac:dyDescent="0.35">
      <c r="A43" s="108" t="s">
        <v>84</v>
      </c>
      <c r="B43" s="124" t="s">
        <v>84</v>
      </c>
      <c r="C43" s="124"/>
      <c r="D43" s="1117" t="str">
        <f>IF(SUM(D33:E36)&lt;&gt;F32,"Expenditure for lines 16-19 does not match line 13 ","")</f>
        <v/>
      </c>
      <c r="E43" s="1117"/>
      <c r="F43" s="1117"/>
      <c r="G43" s="1117" t="str">
        <f>IF(SUM(G33:H36)&lt;&gt;I32,"Income for lines 16-19 does not match line 13 ","")</f>
        <v/>
      </c>
      <c r="H43" s="1118"/>
      <c r="I43" s="1119"/>
      <c r="J43" s="1119"/>
      <c r="K43" s="112"/>
      <c r="L43" s="687"/>
      <c r="M43" s="164"/>
      <c r="N43" s="112"/>
      <c r="O43" s="112"/>
    </row>
    <row r="44" spans="1:37" ht="15.5" x14ac:dyDescent="0.35">
      <c r="A44" s="202">
        <v>30</v>
      </c>
      <c r="B44" s="124" t="s">
        <v>1799</v>
      </c>
      <c r="C44" s="124"/>
      <c r="D44" s="671">
        <f t="shared" ref="D44:J44" si="17">SUM(D31:D32,D37:D42)</f>
        <v>0</v>
      </c>
      <c r="E44" s="1120">
        <f t="shared" si="17"/>
        <v>0</v>
      </c>
      <c r="F44" s="671">
        <f t="shared" si="17"/>
        <v>0</v>
      </c>
      <c r="G44" s="671">
        <f t="shared" si="17"/>
        <v>0</v>
      </c>
      <c r="H44" s="671">
        <f t="shared" si="17"/>
        <v>0</v>
      </c>
      <c r="I44" s="671">
        <f t="shared" si="17"/>
        <v>0</v>
      </c>
      <c r="J44" s="465">
        <f t="shared" si="17"/>
        <v>0</v>
      </c>
      <c r="K44" s="112"/>
      <c r="L44" s="688" t="str">
        <f>IF(ISERROR(M44),"",IF((M44="Error"),"add explanation",IF((M44="Warning"),"add explanation","")))</f>
        <v/>
      </c>
      <c r="M44" s="310" t="str">
        <f>IF(OR((I44&lt;&gt;(G44+H44)),(F44&lt;&gt;(D44+E44)),(J44&lt;&gt;(F44-I44))),"Error",IF(AK44="Warning","Warning",""))</f>
        <v/>
      </c>
      <c r="N44" s="112"/>
      <c r="O44" s="131" t="str">
        <f>IF($M44="Error","A total column for "&amp;($B44)&amp;" does not match the sum of the components, please correct",IF($M44="Warning","This year's figure is over "&amp;AC44/1000&amp;" million and "&amp;(AB44*100)&amp;"% different to "&amp;TEXT(AD44,"#,###")&amp;" last year, please explain",""))</f>
        <v/>
      </c>
    </row>
    <row r="45" spans="1:37" ht="15.5" x14ac:dyDescent="0.35">
      <c r="A45" s="112"/>
      <c r="B45" s="237"/>
      <c r="C45" s="237"/>
      <c r="D45" s="31"/>
      <c r="E45" s="1115"/>
      <c r="F45" s="45"/>
      <c r="G45" s="31"/>
      <c r="H45" s="31"/>
      <c r="I45" s="45"/>
      <c r="J45" s="820" t="s">
        <v>1730</v>
      </c>
      <c r="K45" s="112"/>
      <c r="L45" s="472"/>
      <c r="M45" s="164"/>
      <c r="N45" s="112"/>
      <c r="O45" s="112"/>
    </row>
    <row r="46" spans="1:37" ht="46.5" x14ac:dyDescent="0.35">
      <c r="A46" s="112"/>
      <c r="B46" s="237"/>
      <c r="C46" s="237"/>
      <c r="D46" s="31"/>
      <c r="E46" s="709" t="s">
        <v>1731</v>
      </c>
      <c r="F46" s="45"/>
      <c r="G46" s="31"/>
      <c r="H46" s="31"/>
      <c r="I46" s="45"/>
      <c r="J46" s="820"/>
      <c r="K46" s="112"/>
      <c r="L46" s="472"/>
      <c r="M46" s="164"/>
      <c r="N46" s="112"/>
      <c r="O46" s="112"/>
    </row>
    <row r="47" spans="1:37" ht="15.5" x14ac:dyDescent="0.35">
      <c r="A47" s="112"/>
      <c r="B47" s="112"/>
      <c r="C47" s="112"/>
      <c r="D47" s="31"/>
      <c r="E47" s="399" t="s">
        <v>1732</v>
      </c>
      <c r="F47" s="45"/>
      <c r="G47" s="31"/>
      <c r="H47" s="31"/>
      <c r="I47" s="45"/>
      <c r="J47" s="298"/>
      <c r="K47" s="112"/>
      <c r="L47" s="472"/>
      <c r="M47" s="164"/>
      <c r="N47" s="112"/>
      <c r="O47" s="112"/>
    </row>
    <row r="48" spans="1:37" ht="15.5" x14ac:dyDescent="0.35">
      <c r="A48" s="859">
        <v>301</v>
      </c>
      <c r="B48" s="860" t="s">
        <v>1800</v>
      </c>
      <c r="C48" s="112"/>
      <c r="D48" s="112"/>
      <c r="E48" s="996"/>
      <c r="F48" s="45"/>
      <c r="G48" s="31"/>
      <c r="H48" s="31"/>
      <c r="I48" s="45"/>
      <c r="J48" s="298"/>
      <c r="K48" s="112"/>
      <c r="L48" s="472"/>
      <c r="M48" s="164"/>
      <c r="N48" s="112"/>
      <c r="O48" s="112"/>
    </row>
    <row r="49" spans="1:39" ht="15.5" x14ac:dyDescent="0.35">
      <c r="A49" s="108"/>
      <c r="B49" s="124"/>
      <c r="C49" s="124"/>
      <c r="D49" s="31"/>
      <c r="E49" s="31"/>
      <c r="F49" s="45"/>
      <c r="G49" s="31"/>
      <c r="H49" s="31"/>
      <c r="I49" s="45"/>
      <c r="J49" s="298"/>
      <c r="K49" s="112"/>
      <c r="L49" s="472"/>
      <c r="M49" s="164"/>
      <c r="N49" s="112"/>
      <c r="O49" s="112"/>
    </row>
    <row r="50" spans="1:39" ht="18" x14ac:dyDescent="0.4">
      <c r="A50" s="27" t="s">
        <v>1801</v>
      </c>
      <c r="B50" s="124"/>
      <c r="C50" s="124"/>
      <c r="D50" s="304"/>
      <c r="E50" s="304"/>
      <c r="F50" s="87"/>
      <c r="G50" s="304"/>
      <c r="H50" s="304"/>
      <c r="I50" s="87"/>
      <c r="J50" s="87"/>
      <c r="K50" s="112"/>
      <c r="L50" s="472"/>
      <c r="M50" s="164"/>
      <c r="N50" s="112"/>
      <c r="O50" s="112"/>
    </row>
    <row r="51" spans="1:39" ht="15.5" x14ac:dyDescent="0.35">
      <c r="A51" s="124">
        <v>32</v>
      </c>
      <c r="B51" s="124" t="s">
        <v>1802</v>
      </c>
      <c r="C51" s="124"/>
      <c r="D51" s="668"/>
      <c r="E51" s="668"/>
      <c r="F51" s="669">
        <f t="shared" ref="F51:F62" si="18">SUM(D51:E51)</f>
        <v>0</v>
      </c>
      <c r="G51" s="668"/>
      <c r="H51" s="668"/>
      <c r="I51" s="669">
        <f t="shared" ref="I51:I62" si="19">SUM(G51:H51)</f>
        <v>0</v>
      </c>
      <c r="J51" s="669">
        <f t="shared" ref="J51:J62" si="20">F51-I51</f>
        <v>0</v>
      </c>
      <c r="K51" s="54"/>
      <c r="L51" s="688" t="str">
        <f t="shared" ref="L51:L63" si="21">IF(ISERROR(M51),"",IF((M51="Error"),"add explanation",IF((M51="Warning"),"add explanation","")))</f>
        <v/>
      </c>
      <c r="M51" s="310" t="str">
        <f t="shared" ref="M51:M62" si="22">IF(OR((I51&lt;&gt;(G51+H51)),(F51&lt;&gt;(D51+E51)),(J51&lt;&gt;(F51-I51))),"Error",IF(AK51="Warning","Warning",""))</f>
        <v/>
      </c>
      <c r="N51" s="112"/>
      <c r="O51" s="131" t="str">
        <f t="shared" ref="O51:O63" si="23">IF($M51="Error","A total column for "&amp;($B51)&amp;" does not match the sum of the components, please correct",IF($M51="Warning","This year's figure is over "&amp;AC51/1000&amp;" million and "&amp;(AB51*100)&amp;"% different to "&amp;TEXT(AD51,"#,###")&amp;" last year, please explain",""))</f>
        <v/>
      </c>
      <c r="AB51">
        <f t="shared" ref="AB51:AB76" si="24">VLOOKUP("RO3"&amp;$A51,data_val_parameters,9,0)/100</f>
        <v>0.4</v>
      </c>
      <c r="AC51">
        <f t="shared" ref="AC51:AC76" si="25">VLOOKUP("RO3"&amp;$A51,data_val_parameters,7,0)</f>
        <v>4000</v>
      </c>
      <c r="AD51" s="645" t="e">
        <f t="shared" ref="AD51:AD76" si="26">VLOOKUP(LA_code,data_prev_year,MATCH("RO3"&amp;$A51&amp;"7",data_prev_year_headers,0),0)</f>
        <v>#N/A</v>
      </c>
      <c r="AE51" s="645" t="e">
        <f t="shared" ref="AE51:AE69" si="27">AD51+AC51</f>
        <v>#N/A</v>
      </c>
      <c r="AF51" s="645" t="e">
        <f t="shared" ref="AF51:AF69" si="28">AD51-AC51</f>
        <v>#N/A</v>
      </c>
      <c r="AG51" s="645" t="e">
        <f t="shared" ref="AG51:AG69" si="29">AD51+(AD51*AB51)</f>
        <v>#N/A</v>
      </c>
      <c r="AH51" s="645" t="e">
        <f t="shared" ref="AH51:AH69" si="30">AD51-(AD51*AB51)</f>
        <v>#N/A</v>
      </c>
      <c r="AI51" t="e">
        <f t="shared" ref="AI51:AI61" si="31">IF(OR(J51&lt;AF51,J51&gt;AE51),"Warning","")</f>
        <v>#N/A</v>
      </c>
      <c r="AJ51" t="e">
        <f t="shared" ref="AJ51:AJ61" si="32">IF(OR(J51&gt;(AG51),J51&lt;(AH51)),"Warning","")</f>
        <v>#N/A</v>
      </c>
      <c r="AK51" t="str">
        <f t="shared" ref="AK51:AK61" si="33">IF(OR(J51=0),"",IF(AND(AI51="Warning",AJ51="Warning"),"Warning",""))</f>
        <v/>
      </c>
    </row>
    <row r="52" spans="1:39" ht="15.5" x14ac:dyDescent="0.35">
      <c r="A52" s="124">
        <v>33</v>
      </c>
      <c r="B52" s="124" t="s">
        <v>1803</v>
      </c>
      <c r="C52" s="124"/>
      <c r="D52" s="668"/>
      <c r="E52" s="668"/>
      <c r="F52" s="669">
        <f t="shared" si="18"/>
        <v>0</v>
      </c>
      <c r="G52" s="668"/>
      <c r="H52" s="668"/>
      <c r="I52" s="669">
        <f t="shared" si="19"/>
        <v>0</v>
      </c>
      <c r="J52" s="669">
        <f t="shared" si="20"/>
        <v>0</v>
      </c>
      <c r="K52" s="54"/>
      <c r="L52" s="688" t="str">
        <f t="shared" si="21"/>
        <v/>
      </c>
      <c r="M52" s="310" t="e">
        <f>IF(OR((I52&lt;&gt;(G52+H52)),(F52&lt;&gt;(D52+E52)),(J52&lt;&gt;(F52-I52))),"Error",IF(OR(AK52="Warning",AL52="Warning"),"Warning",""))</f>
        <v>#N/A</v>
      </c>
      <c r="N52" s="112"/>
      <c r="O52" s="131" t="e">
        <f>IF($M52="Error","A total column for "&amp;($B52)&amp;" does not match the sum of the components, please correct",IF(AL52="Warning","Non zero entry expected for your authority",IF($M52="Warning","This year's figure is over "&amp;AC52/1000&amp;" million and "&amp;(AB52*100)&amp;"% different to "&amp;TEXT(AD52,"#,###")&amp;" last year, please explain","")))</f>
        <v>#N/A</v>
      </c>
      <c r="AB52">
        <f t="shared" si="24"/>
        <v>0.4</v>
      </c>
      <c r="AC52">
        <f t="shared" si="25"/>
        <v>10000</v>
      </c>
      <c r="AD52" s="645" t="e">
        <f t="shared" si="26"/>
        <v>#N/A</v>
      </c>
      <c r="AE52" s="645" t="e">
        <f t="shared" si="27"/>
        <v>#N/A</v>
      </c>
      <c r="AF52" s="645" t="e">
        <f t="shared" si="28"/>
        <v>#N/A</v>
      </c>
      <c r="AG52" s="645" t="e">
        <f t="shared" si="29"/>
        <v>#N/A</v>
      </c>
      <c r="AH52" s="645" t="e">
        <f t="shared" si="30"/>
        <v>#N/A</v>
      </c>
      <c r="AI52" t="e">
        <f t="shared" si="31"/>
        <v>#N/A</v>
      </c>
      <c r="AJ52" t="e">
        <f t="shared" si="32"/>
        <v>#N/A</v>
      </c>
      <c r="AK52" t="str">
        <f t="shared" si="33"/>
        <v/>
      </c>
      <c r="AL52" t="e">
        <f>IF(AND(J52=0,AM52=1),"Warning","")</f>
        <v>#N/A</v>
      </c>
      <c r="AM52" t="e">
        <f>VLOOKUP(LA_code,LA_Data,42,0)</f>
        <v>#N/A</v>
      </c>
    </row>
    <row r="53" spans="1:39" ht="15.5" x14ac:dyDescent="0.35">
      <c r="A53" s="124">
        <v>34</v>
      </c>
      <c r="B53" s="124" t="s">
        <v>1804</v>
      </c>
      <c r="C53" s="124"/>
      <c r="D53" s="668"/>
      <c r="E53" s="668"/>
      <c r="F53" s="669">
        <f t="shared" si="18"/>
        <v>0</v>
      </c>
      <c r="G53" s="668"/>
      <c r="H53" s="668"/>
      <c r="I53" s="669">
        <f t="shared" si="19"/>
        <v>0</v>
      </c>
      <c r="J53" s="669">
        <f t="shared" si="20"/>
        <v>0</v>
      </c>
      <c r="K53" s="54"/>
      <c r="L53" s="688" t="str">
        <f t="shared" si="21"/>
        <v/>
      </c>
      <c r="M53" s="310" t="str">
        <f t="shared" si="22"/>
        <v/>
      </c>
      <c r="N53" s="112"/>
      <c r="O53" s="131" t="str">
        <f t="shared" si="23"/>
        <v/>
      </c>
      <c r="AB53">
        <f t="shared" si="24"/>
        <v>0.4</v>
      </c>
      <c r="AC53">
        <f t="shared" si="25"/>
        <v>4000</v>
      </c>
      <c r="AD53" t="e">
        <f t="shared" si="26"/>
        <v>#N/A</v>
      </c>
      <c r="AE53" t="e">
        <f t="shared" si="27"/>
        <v>#N/A</v>
      </c>
      <c r="AF53" t="e">
        <f t="shared" si="28"/>
        <v>#N/A</v>
      </c>
      <c r="AG53" s="645" t="e">
        <f t="shared" si="29"/>
        <v>#N/A</v>
      </c>
      <c r="AH53" s="645" t="e">
        <f t="shared" si="30"/>
        <v>#N/A</v>
      </c>
      <c r="AI53" t="e">
        <f t="shared" si="31"/>
        <v>#N/A</v>
      </c>
      <c r="AJ53" t="e">
        <f t="shared" si="32"/>
        <v>#N/A</v>
      </c>
      <c r="AK53" t="str">
        <f t="shared" si="33"/>
        <v/>
      </c>
    </row>
    <row r="54" spans="1:39" ht="15.5" x14ac:dyDescent="0.35">
      <c r="A54" s="124">
        <v>35</v>
      </c>
      <c r="B54" s="124" t="s">
        <v>1805</v>
      </c>
      <c r="C54" s="124"/>
      <c r="D54" s="668"/>
      <c r="E54" s="668"/>
      <c r="F54" s="669">
        <f t="shared" si="18"/>
        <v>0</v>
      </c>
      <c r="G54" s="668"/>
      <c r="H54" s="668"/>
      <c r="I54" s="669">
        <f t="shared" si="19"/>
        <v>0</v>
      </c>
      <c r="J54" s="669">
        <f t="shared" si="20"/>
        <v>0</v>
      </c>
      <c r="K54" s="54"/>
      <c r="L54" s="688" t="str">
        <f t="shared" si="21"/>
        <v/>
      </c>
      <c r="M54" s="310" t="str">
        <f t="shared" si="22"/>
        <v/>
      </c>
      <c r="N54" s="112"/>
      <c r="O54" s="131" t="str">
        <f t="shared" si="23"/>
        <v/>
      </c>
      <c r="AB54">
        <f t="shared" si="24"/>
        <v>0.4</v>
      </c>
      <c r="AC54">
        <f t="shared" si="25"/>
        <v>4000</v>
      </c>
      <c r="AD54" s="645" t="e">
        <f t="shared" si="26"/>
        <v>#N/A</v>
      </c>
      <c r="AE54" s="645" t="e">
        <f t="shared" si="27"/>
        <v>#N/A</v>
      </c>
      <c r="AF54" s="645" t="e">
        <f t="shared" si="28"/>
        <v>#N/A</v>
      </c>
      <c r="AG54" s="645" t="e">
        <f t="shared" si="29"/>
        <v>#N/A</v>
      </c>
      <c r="AH54" s="645" t="e">
        <f t="shared" si="30"/>
        <v>#N/A</v>
      </c>
      <c r="AI54" t="e">
        <f t="shared" si="31"/>
        <v>#N/A</v>
      </c>
      <c r="AJ54" t="e">
        <f t="shared" si="32"/>
        <v>#N/A</v>
      </c>
      <c r="AK54" t="str">
        <f t="shared" si="33"/>
        <v/>
      </c>
    </row>
    <row r="55" spans="1:39" ht="15.5" x14ac:dyDescent="0.35">
      <c r="A55" s="124">
        <v>36</v>
      </c>
      <c r="B55" s="124" t="s">
        <v>1806</v>
      </c>
      <c r="C55" s="124"/>
      <c r="D55" s="668"/>
      <c r="E55" s="668"/>
      <c r="F55" s="669">
        <f t="shared" si="18"/>
        <v>0</v>
      </c>
      <c r="G55" s="668"/>
      <c r="H55" s="668"/>
      <c r="I55" s="669">
        <f t="shared" si="19"/>
        <v>0</v>
      </c>
      <c r="J55" s="669">
        <f t="shared" si="20"/>
        <v>0</v>
      </c>
      <c r="K55" s="54"/>
      <c r="L55" s="688" t="str">
        <f>IF(ISERROR(M55),"",IF((M55="Error"),"add explanation",IF((M55="Warning"),"add explanation","")))</f>
        <v/>
      </c>
      <c r="M55" s="310" t="str">
        <f t="shared" si="22"/>
        <v/>
      </c>
      <c r="N55" s="112"/>
      <c r="O55" s="131" t="str">
        <f t="shared" si="23"/>
        <v/>
      </c>
      <c r="AB55">
        <f t="shared" si="24"/>
        <v>0.55000000000000004</v>
      </c>
      <c r="AC55">
        <f t="shared" si="25"/>
        <v>6000</v>
      </c>
      <c r="AD55" t="e">
        <f t="shared" si="26"/>
        <v>#N/A</v>
      </c>
      <c r="AE55" t="e">
        <f t="shared" si="27"/>
        <v>#N/A</v>
      </c>
      <c r="AF55" t="e">
        <f t="shared" si="28"/>
        <v>#N/A</v>
      </c>
      <c r="AG55" t="e">
        <f t="shared" si="29"/>
        <v>#N/A</v>
      </c>
      <c r="AH55" s="645" t="e">
        <f t="shared" si="30"/>
        <v>#N/A</v>
      </c>
      <c r="AI55" t="e">
        <f t="shared" si="31"/>
        <v>#N/A</v>
      </c>
      <c r="AJ55" t="e">
        <f t="shared" si="32"/>
        <v>#N/A</v>
      </c>
      <c r="AK55" t="str">
        <f t="shared" si="33"/>
        <v/>
      </c>
    </row>
    <row r="56" spans="1:39" ht="15.5" x14ac:dyDescent="0.35">
      <c r="A56" s="124">
        <v>37</v>
      </c>
      <c r="B56" s="124" t="s">
        <v>1807</v>
      </c>
      <c r="C56" s="124"/>
      <c r="D56" s="668"/>
      <c r="E56" s="668"/>
      <c r="F56" s="669">
        <f t="shared" si="18"/>
        <v>0</v>
      </c>
      <c r="G56" s="668"/>
      <c r="H56" s="668"/>
      <c r="I56" s="669">
        <f t="shared" si="19"/>
        <v>0</v>
      </c>
      <c r="J56" s="669">
        <f t="shared" si="20"/>
        <v>0</v>
      </c>
      <c r="K56" s="54"/>
      <c r="L56" s="688" t="str">
        <f t="shared" si="21"/>
        <v/>
      </c>
      <c r="M56" s="310" t="str">
        <f t="shared" si="22"/>
        <v/>
      </c>
      <c r="N56" s="112"/>
      <c r="O56" s="131" t="str">
        <f t="shared" si="23"/>
        <v/>
      </c>
      <c r="AB56">
        <f t="shared" si="24"/>
        <v>0.55000000000000004</v>
      </c>
      <c r="AC56">
        <f t="shared" si="25"/>
        <v>8000</v>
      </c>
      <c r="AD56" t="e">
        <f t="shared" si="26"/>
        <v>#N/A</v>
      </c>
      <c r="AE56" t="e">
        <f t="shared" si="27"/>
        <v>#N/A</v>
      </c>
      <c r="AF56" t="e">
        <f t="shared" si="28"/>
        <v>#N/A</v>
      </c>
      <c r="AG56" t="e">
        <f t="shared" si="29"/>
        <v>#N/A</v>
      </c>
      <c r="AH56" s="645" t="e">
        <f t="shared" si="30"/>
        <v>#N/A</v>
      </c>
      <c r="AI56" t="e">
        <f t="shared" si="31"/>
        <v>#N/A</v>
      </c>
      <c r="AJ56" t="e">
        <f t="shared" si="32"/>
        <v>#N/A</v>
      </c>
      <c r="AK56" t="str">
        <f t="shared" si="33"/>
        <v/>
      </c>
    </row>
    <row r="57" spans="1:39" ht="15.5" x14ac:dyDescent="0.35">
      <c r="A57" s="124">
        <v>40</v>
      </c>
      <c r="B57" s="124" t="s">
        <v>1808</v>
      </c>
      <c r="C57" s="124"/>
      <c r="D57" s="668"/>
      <c r="E57" s="668"/>
      <c r="F57" s="669">
        <f t="shared" si="18"/>
        <v>0</v>
      </c>
      <c r="G57" s="668"/>
      <c r="H57" s="668"/>
      <c r="I57" s="669">
        <f t="shared" si="19"/>
        <v>0</v>
      </c>
      <c r="J57" s="669">
        <f t="shared" si="20"/>
        <v>0</v>
      </c>
      <c r="K57" s="54"/>
      <c r="L57" s="688" t="str">
        <f t="shared" si="21"/>
        <v/>
      </c>
      <c r="M57" s="310" t="str">
        <f t="shared" si="22"/>
        <v/>
      </c>
      <c r="N57" s="112"/>
      <c r="O57" s="131" t="str">
        <f t="shared" si="23"/>
        <v/>
      </c>
      <c r="AB57">
        <f t="shared" si="24"/>
        <v>0.4</v>
      </c>
      <c r="AC57">
        <f t="shared" si="25"/>
        <v>4000</v>
      </c>
      <c r="AD57" s="645" t="e">
        <f t="shared" si="26"/>
        <v>#N/A</v>
      </c>
      <c r="AE57" s="645" t="e">
        <f t="shared" si="27"/>
        <v>#N/A</v>
      </c>
      <c r="AF57" s="645" t="e">
        <f t="shared" si="28"/>
        <v>#N/A</v>
      </c>
      <c r="AG57" s="645" t="e">
        <f t="shared" si="29"/>
        <v>#N/A</v>
      </c>
      <c r="AH57" s="645" t="e">
        <f t="shared" si="30"/>
        <v>#N/A</v>
      </c>
      <c r="AI57" t="e">
        <f t="shared" si="31"/>
        <v>#N/A</v>
      </c>
      <c r="AJ57" t="e">
        <f t="shared" si="32"/>
        <v>#N/A</v>
      </c>
      <c r="AK57" t="str">
        <f t="shared" si="33"/>
        <v/>
      </c>
    </row>
    <row r="58" spans="1:39" ht="15.5" x14ac:dyDescent="0.35">
      <c r="A58" s="124">
        <v>41</v>
      </c>
      <c r="B58" s="124" t="s">
        <v>1809</v>
      </c>
      <c r="C58" s="124"/>
      <c r="D58" s="668"/>
      <c r="E58" s="668"/>
      <c r="F58" s="669">
        <f t="shared" si="18"/>
        <v>0</v>
      </c>
      <c r="G58" s="668"/>
      <c r="H58" s="668"/>
      <c r="I58" s="669">
        <f t="shared" si="19"/>
        <v>0</v>
      </c>
      <c r="J58" s="669">
        <f t="shared" si="20"/>
        <v>0</v>
      </c>
      <c r="K58" s="54"/>
      <c r="L58" s="688" t="str">
        <f t="shared" si="21"/>
        <v/>
      </c>
      <c r="M58" s="310" t="str">
        <f t="shared" si="22"/>
        <v/>
      </c>
      <c r="N58" s="112"/>
      <c r="O58" s="131" t="str">
        <f t="shared" si="23"/>
        <v/>
      </c>
      <c r="AB58">
        <f t="shared" si="24"/>
        <v>0.4</v>
      </c>
      <c r="AC58">
        <f t="shared" si="25"/>
        <v>4000</v>
      </c>
      <c r="AD58" s="645" t="e">
        <f t="shared" si="26"/>
        <v>#N/A</v>
      </c>
      <c r="AE58" s="645" t="e">
        <f t="shared" si="27"/>
        <v>#N/A</v>
      </c>
      <c r="AF58" s="645" t="e">
        <f t="shared" si="28"/>
        <v>#N/A</v>
      </c>
      <c r="AG58" s="645" t="e">
        <f t="shared" si="29"/>
        <v>#N/A</v>
      </c>
      <c r="AH58" s="645" t="e">
        <f t="shared" si="30"/>
        <v>#N/A</v>
      </c>
      <c r="AI58" t="e">
        <f t="shared" si="31"/>
        <v>#N/A</v>
      </c>
      <c r="AJ58" t="e">
        <f t="shared" si="32"/>
        <v>#N/A</v>
      </c>
      <c r="AK58" t="str">
        <f t="shared" si="33"/>
        <v/>
      </c>
    </row>
    <row r="59" spans="1:39" ht="15.5" x14ac:dyDescent="0.35">
      <c r="A59" s="124">
        <v>44</v>
      </c>
      <c r="B59" s="124" t="s">
        <v>1810</v>
      </c>
      <c r="C59" s="124"/>
      <c r="D59" s="668"/>
      <c r="E59" s="668"/>
      <c r="F59" s="669">
        <f t="shared" si="18"/>
        <v>0</v>
      </c>
      <c r="G59" s="668"/>
      <c r="H59" s="668"/>
      <c r="I59" s="669">
        <f t="shared" si="19"/>
        <v>0</v>
      </c>
      <c r="J59" s="669">
        <f t="shared" si="20"/>
        <v>0</v>
      </c>
      <c r="K59" s="54"/>
      <c r="L59" s="688" t="str">
        <f t="shared" si="21"/>
        <v/>
      </c>
      <c r="M59" s="310" t="str">
        <f t="shared" si="22"/>
        <v/>
      </c>
      <c r="N59" s="112"/>
      <c r="O59" s="131" t="str">
        <f t="shared" si="23"/>
        <v/>
      </c>
      <c r="AB59">
        <f t="shared" si="24"/>
        <v>0.4</v>
      </c>
      <c r="AC59">
        <f t="shared" si="25"/>
        <v>12000</v>
      </c>
      <c r="AD59" s="645" t="e">
        <f t="shared" si="26"/>
        <v>#N/A</v>
      </c>
      <c r="AE59" s="645" t="e">
        <f t="shared" si="27"/>
        <v>#N/A</v>
      </c>
      <c r="AF59" s="645" t="e">
        <f t="shared" si="28"/>
        <v>#N/A</v>
      </c>
      <c r="AG59" s="645" t="e">
        <f t="shared" si="29"/>
        <v>#N/A</v>
      </c>
      <c r="AH59" s="645" t="e">
        <f t="shared" si="30"/>
        <v>#N/A</v>
      </c>
      <c r="AI59" t="e">
        <f t="shared" si="31"/>
        <v>#N/A</v>
      </c>
      <c r="AJ59" t="e">
        <f t="shared" si="32"/>
        <v>#N/A</v>
      </c>
      <c r="AK59" t="str">
        <f t="shared" si="33"/>
        <v/>
      </c>
    </row>
    <row r="60" spans="1:39" ht="15.5" x14ac:dyDescent="0.35">
      <c r="A60" s="124">
        <v>45</v>
      </c>
      <c r="B60" s="124" t="s">
        <v>1811</v>
      </c>
      <c r="C60" s="124"/>
      <c r="D60" s="668"/>
      <c r="E60" s="668"/>
      <c r="F60" s="669">
        <f t="shared" si="18"/>
        <v>0</v>
      </c>
      <c r="G60" s="668"/>
      <c r="H60" s="668"/>
      <c r="I60" s="669">
        <f t="shared" si="19"/>
        <v>0</v>
      </c>
      <c r="J60" s="669">
        <f t="shared" si="20"/>
        <v>0</v>
      </c>
      <c r="K60" s="54"/>
      <c r="L60" s="688" t="str">
        <f t="shared" si="21"/>
        <v/>
      </c>
      <c r="M60" s="310" t="str">
        <f t="shared" si="22"/>
        <v/>
      </c>
      <c r="N60" s="112"/>
      <c r="O60" s="131" t="str">
        <f t="shared" si="23"/>
        <v/>
      </c>
      <c r="AB60">
        <f t="shared" si="24"/>
        <v>0.4</v>
      </c>
      <c r="AC60">
        <f t="shared" si="25"/>
        <v>4000</v>
      </c>
      <c r="AD60" s="645" t="e">
        <f t="shared" si="26"/>
        <v>#N/A</v>
      </c>
      <c r="AE60" s="645" t="e">
        <f t="shared" si="27"/>
        <v>#N/A</v>
      </c>
      <c r="AF60" s="645" t="e">
        <f t="shared" si="28"/>
        <v>#N/A</v>
      </c>
      <c r="AG60" s="645" t="e">
        <f t="shared" si="29"/>
        <v>#N/A</v>
      </c>
      <c r="AH60" s="645" t="e">
        <f t="shared" si="30"/>
        <v>#N/A</v>
      </c>
      <c r="AI60" t="e">
        <f t="shared" si="31"/>
        <v>#N/A</v>
      </c>
      <c r="AJ60" t="e">
        <f t="shared" si="32"/>
        <v>#N/A</v>
      </c>
      <c r="AK60" t="str">
        <f t="shared" si="33"/>
        <v/>
      </c>
    </row>
    <row r="61" spans="1:39" ht="15.5" x14ac:dyDescent="0.35">
      <c r="A61" s="124">
        <v>48</v>
      </c>
      <c r="B61" s="124" t="s">
        <v>1812</v>
      </c>
      <c r="C61" s="124"/>
      <c r="D61" s="668"/>
      <c r="E61" s="668"/>
      <c r="F61" s="669">
        <f t="shared" si="18"/>
        <v>0</v>
      </c>
      <c r="G61" s="668"/>
      <c r="H61" s="668"/>
      <c r="I61" s="669">
        <f t="shared" si="19"/>
        <v>0</v>
      </c>
      <c r="J61" s="669">
        <f t="shared" si="20"/>
        <v>0</v>
      </c>
      <c r="K61" s="54"/>
      <c r="L61" s="688" t="str">
        <f t="shared" si="21"/>
        <v/>
      </c>
      <c r="M61" s="310" t="str">
        <f t="shared" si="22"/>
        <v/>
      </c>
      <c r="N61" s="112"/>
      <c r="O61" s="131" t="str">
        <f t="shared" si="23"/>
        <v/>
      </c>
      <c r="AB61">
        <f t="shared" si="24"/>
        <v>0.4</v>
      </c>
      <c r="AC61">
        <f t="shared" si="25"/>
        <v>4000</v>
      </c>
      <c r="AD61" t="e">
        <f t="shared" si="26"/>
        <v>#N/A</v>
      </c>
      <c r="AE61" t="e">
        <f t="shared" si="27"/>
        <v>#N/A</v>
      </c>
      <c r="AF61" t="e">
        <f t="shared" si="28"/>
        <v>#N/A</v>
      </c>
      <c r="AG61" s="645" t="e">
        <f t="shared" si="29"/>
        <v>#N/A</v>
      </c>
      <c r="AH61" s="645" t="e">
        <f t="shared" si="30"/>
        <v>#N/A</v>
      </c>
      <c r="AI61" t="e">
        <f t="shared" si="31"/>
        <v>#N/A</v>
      </c>
      <c r="AJ61" t="e">
        <f t="shared" si="32"/>
        <v>#N/A</v>
      </c>
      <c r="AK61" t="str">
        <f t="shared" si="33"/>
        <v/>
      </c>
    </row>
    <row r="62" spans="1:39" ht="15.5" x14ac:dyDescent="0.35">
      <c r="A62" s="124">
        <v>49</v>
      </c>
      <c r="B62" s="124" t="s">
        <v>1813</v>
      </c>
      <c r="C62" s="124"/>
      <c r="D62" s="668"/>
      <c r="E62" s="668"/>
      <c r="F62" s="669">
        <f t="shared" si="18"/>
        <v>0</v>
      </c>
      <c r="G62" s="668"/>
      <c r="H62" s="668"/>
      <c r="I62" s="669">
        <f t="shared" si="19"/>
        <v>0</v>
      </c>
      <c r="J62" s="669">
        <f t="shared" si="20"/>
        <v>0</v>
      </c>
      <c r="K62" s="602"/>
      <c r="L62" s="688" t="str">
        <f t="shared" si="21"/>
        <v/>
      </c>
      <c r="M62" s="310" t="str">
        <f t="shared" si="22"/>
        <v/>
      </c>
      <c r="N62" s="54"/>
      <c r="O62" s="131" t="str">
        <f t="shared" si="23"/>
        <v/>
      </c>
      <c r="P62" s="310"/>
      <c r="Q62" s="112"/>
      <c r="R62" s="131"/>
      <c r="AB62">
        <f t="shared" si="24"/>
        <v>0.4</v>
      </c>
      <c r="AC62">
        <f t="shared" si="25"/>
        <v>4000</v>
      </c>
      <c r="AD62" t="e">
        <f t="shared" si="26"/>
        <v>#N/A</v>
      </c>
      <c r="AE62" t="e">
        <f t="shared" si="27"/>
        <v>#N/A</v>
      </c>
      <c r="AF62" t="e">
        <f t="shared" si="28"/>
        <v>#N/A</v>
      </c>
      <c r="AG62" t="e">
        <f t="shared" si="29"/>
        <v>#N/A</v>
      </c>
      <c r="AH62" t="e">
        <f t="shared" si="30"/>
        <v>#N/A</v>
      </c>
      <c r="AI62" t="e">
        <f>IF(OR(J62&lt;AF62,J62&gt;AE62),"Warning","")</f>
        <v>#N/A</v>
      </c>
      <c r="AJ62" t="e">
        <f>IF(OR(J62&gt;(AG62),J62&lt;(AH62)),"Warning","")</f>
        <v>#N/A</v>
      </c>
      <c r="AK62" t="str">
        <f>IF(OR(J62=0),"",IF(AND(AI62="Warning",AJ62="Warning"),"Warning",""))</f>
        <v/>
      </c>
    </row>
    <row r="63" spans="1:39" ht="15.5" x14ac:dyDescent="0.35">
      <c r="A63" s="124">
        <v>50</v>
      </c>
      <c r="B63" s="601" t="s">
        <v>1814</v>
      </c>
      <c r="C63" s="124"/>
      <c r="D63" s="668"/>
      <c r="E63" s="668"/>
      <c r="F63" s="669">
        <f>SUM(D63:E63)</f>
        <v>0</v>
      </c>
      <c r="G63" s="668"/>
      <c r="H63" s="668"/>
      <c r="I63" s="669">
        <f>SUM(G63:H63)</f>
        <v>0</v>
      </c>
      <c r="J63" s="669">
        <f>F63-I63</f>
        <v>0</v>
      </c>
      <c r="K63" s="602"/>
      <c r="L63" s="688" t="str">
        <f t="shared" si="21"/>
        <v/>
      </c>
      <c r="M63" s="310" t="str">
        <f>IF(OR((I63&lt;&gt;(G63+H63)),(F63&lt;&gt;(D63+E63)),(J63&lt;&gt;(F63-I63))),"Error",IF(AK63="Warning","Warning",""))</f>
        <v/>
      </c>
      <c r="N63" s="54"/>
      <c r="O63" s="131" t="str">
        <f t="shared" si="23"/>
        <v/>
      </c>
      <c r="P63" s="310"/>
      <c r="Q63" s="112"/>
      <c r="R63" s="131"/>
      <c r="AB63">
        <f t="shared" si="24"/>
        <v>0.4</v>
      </c>
      <c r="AC63">
        <f t="shared" si="25"/>
        <v>5000</v>
      </c>
      <c r="AD63" s="645" t="e">
        <f t="shared" si="26"/>
        <v>#N/A</v>
      </c>
      <c r="AE63" s="645" t="e">
        <f t="shared" ref="AE63" si="34">AD63+AC63</f>
        <v>#N/A</v>
      </c>
      <c r="AF63" s="645" t="e">
        <f t="shared" ref="AF63" si="35">AD63-AC63</f>
        <v>#N/A</v>
      </c>
      <c r="AG63" s="645" t="e">
        <f t="shared" ref="AG63" si="36">AD63+(AD63*AB63)</f>
        <v>#N/A</v>
      </c>
      <c r="AH63" s="645" t="e">
        <f t="shared" ref="AH63" si="37">AD63-(AD63*AB63)</f>
        <v>#N/A</v>
      </c>
      <c r="AI63" t="e">
        <f>IF(OR(J63&lt;AF63,J63&gt;AE63),"Warning","")</f>
        <v>#N/A</v>
      </c>
      <c r="AJ63" t="e">
        <f>IF(OR(J63&gt;(AG63),J63&lt;(AH63)),"Warning","")</f>
        <v>#N/A</v>
      </c>
      <c r="AK63" t="str">
        <f>IF(OR(J63=0),"",IF(AND(AI63="Warning",AJ63="Warning"),"Warning",""))</f>
        <v/>
      </c>
    </row>
    <row r="64" spans="1:39" ht="43.5" customHeight="1" x14ac:dyDescent="0.35">
      <c r="A64" s="651">
        <v>51</v>
      </c>
      <c r="B64" s="1121" t="s">
        <v>1815</v>
      </c>
      <c r="C64" s="124"/>
      <c r="D64" s="668"/>
      <c r="E64" s="668"/>
      <c r="F64" s="669">
        <f>SUM(D64:E64)</f>
        <v>0</v>
      </c>
      <c r="G64" s="668"/>
      <c r="H64" s="668"/>
      <c r="I64" s="669">
        <f t="shared" ref="I64:I78" si="38">SUM(G64:H64)</f>
        <v>0</v>
      </c>
      <c r="J64" s="669">
        <f t="shared" ref="J64:J77" si="39">F64-I64</f>
        <v>0</v>
      </c>
      <c r="K64" s="603"/>
      <c r="L64" s="1222" t="s">
        <v>1816</v>
      </c>
      <c r="M64" s="1222"/>
      <c r="N64" s="1222"/>
      <c r="O64" s="652" t="s">
        <v>1817</v>
      </c>
      <c r="P64" s="688" t="str">
        <f t="shared" ref="P64" si="40">IF(ISERROR(Q64),"",IF((Q64="Error"),"add explanation",IF((Q64="Warning"),"add explanation","")))</f>
        <v/>
      </c>
      <c r="Q64" s="691" t="str">
        <f>IF(OR((I64&lt;&gt;(G64+H64)),(F64&lt;&gt;(D64+E64)),(J64&lt;&gt;(F64-I64))),"Error",IF(AK64="Warning","Warning",""))</f>
        <v/>
      </c>
      <c r="R64" s="653" t="str">
        <f>IF($Q64="Error","A total column for "&amp;($B64)&amp;" does not match the sum of the components, please correct",IF($Q64="Warning","This year's figure is over "&amp;AC64/1000&amp;" million and "&amp;(AB64*100)&amp;"% different to "&amp;TEXT(AD64,"#,###")&amp;" last year, please explain",""))</f>
        <v/>
      </c>
      <c r="AB64">
        <f t="shared" si="24"/>
        <v>0.4</v>
      </c>
      <c r="AC64">
        <f t="shared" si="25"/>
        <v>4000</v>
      </c>
      <c r="AD64" t="e">
        <f t="shared" si="26"/>
        <v>#N/A</v>
      </c>
      <c r="AE64" t="e">
        <f t="shared" si="27"/>
        <v>#N/A</v>
      </c>
      <c r="AF64" t="e">
        <f t="shared" si="28"/>
        <v>#N/A</v>
      </c>
      <c r="AG64" s="645" t="e">
        <f t="shared" si="29"/>
        <v>#N/A</v>
      </c>
      <c r="AH64" s="645" t="e">
        <f t="shared" si="30"/>
        <v>#N/A</v>
      </c>
      <c r="AI64" t="e">
        <f>IF(OR(J64&lt;AF64,J64&gt;AE64),"Warning","")</f>
        <v>#N/A</v>
      </c>
      <c r="AJ64" t="e">
        <f>IF(OR(J64&gt;(AG64),J64&lt;(AH64)),"Warning","")</f>
        <v>#N/A</v>
      </c>
      <c r="AK64" t="str">
        <f>IF(OR(J64=0),"",IF(AND(AI64="Warning",AJ64="Warning"),"Warning",""))</f>
        <v/>
      </c>
    </row>
    <row r="65" spans="1:37" ht="15.5" x14ac:dyDescent="0.35">
      <c r="A65" s="651">
        <v>38</v>
      </c>
      <c r="B65" s="600" t="s">
        <v>1818</v>
      </c>
      <c r="C65" s="124"/>
      <c r="D65" s="785" t="str">
        <f>IFERROR((D$64*$L65/($L$65+$L$66)),"")</f>
        <v/>
      </c>
      <c r="E65" s="785" t="str">
        <f>IFERROR((E$64*$L65/($L$65+$L$66)),"")</f>
        <v/>
      </c>
      <c r="F65" s="669">
        <f t="shared" ref="F65:F78" si="41">SUM(D65:E65)</f>
        <v>0</v>
      </c>
      <c r="G65" s="785" t="str">
        <f t="shared" ref="E65:H66" si="42">IFERROR((G$64*$L65/($L$65+$L$66)),"")</f>
        <v/>
      </c>
      <c r="H65" s="785" t="str">
        <f>IFERROR((H$64*$L65/($L$65+$L$66)),"")</f>
        <v/>
      </c>
      <c r="I65" s="669">
        <f t="shared" si="38"/>
        <v>0</v>
      </c>
      <c r="J65" s="669">
        <f t="shared" si="39"/>
        <v>0</v>
      </c>
      <c r="K65" s="54"/>
      <c r="L65" s="751" t="e">
        <f>(J51+J53+J55+J57+J59)/(J51+J53+J55+J57+J59+J52+J54+J56+J58+J60)</f>
        <v>#DIV/0!</v>
      </c>
      <c r="M65" s="721" t="s">
        <v>1818</v>
      </c>
      <c r="N65" s="112"/>
      <c r="O65" s="1122"/>
      <c r="P65" s="1123"/>
      <c r="Q65" s="1123"/>
      <c r="R65" s="1124"/>
    </row>
    <row r="66" spans="1:37" ht="15.5" x14ac:dyDescent="0.35">
      <c r="A66" s="651">
        <v>39</v>
      </c>
      <c r="B66" s="600" t="s">
        <v>1819</v>
      </c>
      <c r="C66" s="124"/>
      <c r="D66" s="785" t="str">
        <f t="shared" ref="D66" si="43">IFERROR((D$64*$L66/($L$65+$L$66)),"")</f>
        <v/>
      </c>
      <c r="E66" s="785" t="str">
        <f t="shared" si="42"/>
        <v/>
      </c>
      <c r="F66" s="669">
        <f t="shared" si="41"/>
        <v>0</v>
      </c>
      <c r="G66" s="785" t="str">
        <f t="shared" si="42"/>
        <v/>
      </c>
      <c r="H66" s="785" t="str">
        <f t="shared" si="42"/>
        <v/>
      </c>
      <c r="I66" s="669">
        <f t="shared" si="38"/>
        <v>0</v>
      </c>
      <c r="J66" s="669">
        <f t="shared" si="39"/>
        <v>0</v>
      </c>
      <c r="K66" s="54"/>
      <c r="L66" s="751" t="e">
        <f>(J52+J54+J56+J58+J60)/(J51+J53+J55+J57+J59+J52+J54+J56+J58+J60)</f>
        <v>#DIV/0!</v>
      </c>
      <c r="M66" s="722" t="s">
        <v>1819</v>
      </c>
      <c r="N66" s="723"/>
      <c r="O66" s="998"/>
      <c r="P66" s="1000"/>
      <c r="Q66" s="1000"/>
      <c r="R66" s="1001"/>
    </row>
    <row r="67" spans="1:37" ht="44.15" customHeight="1" x14ac:dyDescent="0.35">
      <c r="A67" s="651">
        <v>53</v>
      </c>
      <c r="B67" s="1121" t="s">
        <v>1820</v>
      </c>
      <c r="C67" s="124"/>
      <c r="D67" s="668"/>
      <c r="E67" s="668"/>
      <c r="F67" s="669">
        <f t="shared" si="41"/>
        <v>0</v>
      </c>
      <c r="G67" s="668"/>
      <c r="H67" s="668"/>
      <c r="I67" s="669">
        <f t="shared" si="38"/>
        <v>0</v>
      </c>
      <c r="J67" s="669">
        <f t="shared" si="39"/>
        <v>0</v>
      </c>
      <c r="K67" s="603"/>
      <c r="L67" s="1222" t="str">
        <f>L64</f>
        <v>The following two rows (for 18-64 and 65+) will be estimated by the proportions in the two yellows cells, which you can amend</v>
      </c>
      <c r="M67" s="1222"/>
      <c r="N67" s="1222"/>
      <c r="O67" s="999" t="str">
        <f>O64</f>
        <v>if your figures for ages 18-64 and 65+ are estimates, please briefly describe how, noting assumptions</v>
      </c>
      <c r="P67" s="481" t="str">
        <f t="shared" ref="P67" si="44">IF(ISERROR(Q67),"",IF((Q67="Error"),"add explanation",IF((Q67="Warning"),"add explanation","")))</f>
        <v/>
      </c>
      <c r="Q67" s="1002" t="str">
        <f>IF(OR((I67&lt;&gt;(G67+H67)),(F67&lt;&gt;(D67+E67)),(J67&lt;&gt;(F67-I67))),"Error",IF(AK67="Warning","Warning",""))</f>
        <v/>
      </c>
      <c r="R67" s="1003" t="str">
        <f>IF($Q67="Error","A total column for "&amp;($B67)&amp;" does not match the sum of the components, please correct",IF($Q67="Warning","This year's figure is over "&amp;AC67/1000&amp;" million and "&amp;(AB67*100)&amp;"% different to "&amp;TEXT(AD67,"#,###")&amp;" last year, please explain",""))</f>
        <v/>
      </c>
      <c r="AB67" s="646">
        <f t="shared" si="24"/>
        <v>0.4</v>
      </c>
      <c r="AC67" s="646">
        <f t="shared" si="25"/>
        <v>4000</v>
      </c>
      <c r="AD67" s="647" t="e">
        <f t="shared" si="26"/>
        <v>#N/A</v>
      </c>
      <c r="AE67" s="647" t="e">
        <f t="shared" ref="AE67" si="45">AD67+AC67</f>
        <v>#N/A</v>
      </c>
      <c r="AF67" s="647" t="e">
        <f t="shared" ref="AF67" si="46">AD67-AC67</f>
        <v>#N/A</v>
      </c>
      <c r="AG67" s="647" t="e">
        <f t="shared" ref="AG67" si="47">AD67+(AD67*AB67)</f>
        <v>#N/A</v>
      </c>
      <c r="AH67" s="647" t="e">
        <f t="shared" ref="AH67" si="48">AD67-(AD67*AB67)</f>
        <v>#N/A</v>
      </c>
      <c r="AI67" s="646" t="e">
        <f>IF(OR(J67&lt;AF67,J67&gt;AE67),"Warning","")</f>
        <v>#N/A</v>
      </c>
      <c r="AJ67" s="646" t="e">
        <f>IF(OR(J67&gt;(AG67),J67&lt;(AH67)),"Warning","")</f>
        <v>#N/A</v>
      </c>
      <c r="AK67" t="str">
        <f>IF(OR(J67=0),"",IF(AND(AI67="Warning",AJ67="Warning"),"Warning",""))</f>
        <v/>
      </c>
    </row>
    <row r="68" spans="1:37" ht="15.5" x14ac:dyDescent="0.35">
      <c r="A68" s="651">
        <v>42</v>
      </c>
      <c r="B68" s="600" t="s">
        <v>1818</v>
      </c>
      <c r="C68" s="124"/>
      <c r="D68" s="785" t="str">
        <f>IFERROR((D$67*$L68/($L$68+$L$69)),"")</f>
        <v/>
      </c>
      <c r="E68" s="785" t="str">
        <f>IFERROR((E$67*$L68/($L$68+$L$69)),"")</f>
        <v/>
      </c>
      <c r="F68" s="669">
        <f>SUM(D68:E68)</f>
        <v>0</v>
      </c>
      <c r="G68" s="785" t="str">
        <f t="shared" ref="G68:H68" si="49">IFERROR((G$67*$L68/($L$68+$L$69)),"")</f>
        <v/>
      </c>
      <c r="H68" s="785" t="str">
        <f t="shared" si="49"/>
        <v/>
      </c>
      <c r="I68" s="669">
        <f t="shared" si="38"/>
        <v>0</v>
      </c>
      <c r="J68" s="669">
        <f t="shared" si="39"/>
        <v>0</v>
      </c>
      <c r="K68" s="54"/>
      <c r="L68" s="720" t="e">
        <f>L65</f>
        <v>#DIV/0!</v>
      </c>
      <c r="M68" s="721" t="s">
        <v>1818</v>
      </c>
      <c r="N68" s="112"/>
      <c r="O68" s="1122"/>
      <c r="P68" s="1123"/>
      <c r="Q68" s="1123"/>
      <c r="R68" s="1124"/>
    </row>
    <row r="69" spans="1:37" ht="15.5" x14ac:dyDescent="0.35">
      <c r="A69" s="651">
        <v>43</v>
      </c>
      <c r="B69" s="600" t="s">
        <v>1819</v>
      </c>
      <c r="C69" s="124"/>
      <c r="D69" s="785" t="str">
        <f>IFERROR((D$67*$L69/($L$68+$L$69)),"")</f>
        <v/>
      </c>
      <c r="E69" s="785" t="str">
        <f>IFERROR((E$67*$L69/($L$68+$L$69)),"")</f>
        <v/>
      </c>
      <c r="F69" s="669">
        <f t="shared" si="41"/>
        <v>0</v>
      </c>
      <c r="G69" s="785" t="str">
        <f>IFERROR((G$67*$L69/($L$68+$L$69)),"")</f>
        <v/>
      </c>
      <c r="H69" s="785" t="str">
        <f>IFERROR((H$67*$L69/($L$68+$L$69)),"")</f>
        <v/>
      </c>
      <c r="I69" s="669">
        <f t="shared" si="38"/>
        <v>0</v>
      </c>
      <c r="J69" s="669">
        <f t="shared" si="39"/>
        <v>0</v>
      </c>
      <c r="K69" s="54"/>
      <c r="L69" s="720" t="e">
        <f>L66</f>
        <v>#DIV/0!</v>
      </c>
      <c r="M69" s="722" t="s">
        <v>1819</v>
      </c>
      <c r="N69" s="723"/>
      <c r="O69" s="998"/>
      <c r="P69" s="1000"/>
      <c r="Q69" s="1000"/>
      <c r="R69" s="1001"/>
      <c r="AB69">
        <f>VLOOKUP("RO3"&amp;$A70,data_val_parameters,9,0)/100</f>
        <v>0.55000000000000004</v>
      </c>
      <c r="AC69">
        <f>VLOOKUP("RO3"&amp;$A70,data_val_parameters,7,0)</f>
        <v>10000</v>
      </c>
      <c r="AD69" t="e">
        <f>VLOOKUP(LA_code,data_prev_year,MATCH("RO3"&amp;$A70&amp;"7",data_prev_year_headers,0),0)</f>
        <v>#N/A</v>
      </c>
      <c r="AE69" t="e">
        <f t="shared" si="27"/>
        <v>#N/A</v>
      </c>
      <c r="AF69" t="e">
        <f t="shared" si="28"/>
        <v>#N/A</v>
      </c>
      <c r="AG69" t="e">
        <f t="shared" si="29"/>
        <v>#N/A</v>
      </c>
      <c r="AH69" t="e">
        <f t="shared" si="30"/>
        <v>#N/A</v>
      </c>
      <c r="AI69" t="e">
        <f>IF(OR(J69&lt;AF69,J69&gt;AE69),"Warning","")</f>
        <v>#N/A</v>
      </c>
      <c r="AJ69" t="e">
        <f>IF(OR(J69&gt;(AG69),J69&lt;(AH69)),"Warning","")</f>
        <v>#N/A</v>
      </c>
      <c r="AK69" t="str">
        <f>IF(OR(J69=0),"",IF(AND(AI69="Warning",AJ69="Warning"),"Warning",""))</f>
        <v/>
      </c>
    </row>
    <row r="70" spans="1:37" ht="41.9" customHeight="1" x14ac:dyDescent="0.35">
      <c r="A70" s="651">
        <v>54</v>
      </c>
      <c r="B70" s="1125" t="s">
        <v>1821</v>
      </c>
      <c r="C70" s="124"/>
      <c r="D70" s="668"/>
      <c r="E70" s="668"/>
      <c r="F70" s="669">
        <f t="shared" si="41"/>
        <v>0</v>
      </c>
      <c r="G70" s="668"/>
      <c r="H70" s="668"/>
      <c r="I70" s="669">
        <f t="shared" si="38"/>
        <v>0</v>
      </c>
      <c r="J70" s="669">
        <f t="shared" si="39"/>
        <v>0</v>
      </c>
      <c r="K70" s="603"/>
      <c r="L70" s="1222" t="str">
        <f>L64</f>
        <v>The following two rows (for 18-64 and 65+) will be estimated by the proportions in the two yellows cells, which you can amend</v>
      </c>
      <c r="M70" s="1222"/>
      <c r="N70" s="1222"/>
      <c r="O70" s="999" t="str">
        <f>O67</f>
        <v>if your figures for ages 18-64 and 65+ are estimates, please briefly describe how, noting assumptions</v>
      </c>
      <c r="P70" s="481" t="str">
        <f t="shared" ref="P70" si="50">IF(ISERROR(Q70),"",IF((Q70="Error"),"add explanation",IF((Q70="Warning"),"add explanation","")))</f>
        <v/>
      </c>
      <c r="Q70" s="1002" t="str">
        <f>IF(OR((I70&lt;&gt;(G70+H70)),(F70&lt;&gt;(D70+E70)),(J70&lt;&gt;(F70-I70))),"Error",IF(AK70="Warning","Warning",""))</f>
        <v/>
      </c>
      <c r="R70" s="1003" t="str">
        <f>IF($Q70="Error","A total column for "&amp;($B70)&amp;" does not match the sum of the components, please correct",IF($Q70="Warning","This year's figure is over "&amp;AC70/1000&amp;" million and "&amp;(AB70*100)&amp;"% different to "&amp;TEXT(AD70,"#,###")&amp;" last year, please explain",""))</f>
        <v/>
      </c>
      <c r="AB70">
        <f t="shared" si="24"/>
        <v>0.55000000000000004</v>
      </c>
      <c r="AC70">
        <f t="shared" si="25"/>
        <v>10000</v>
      </c>
      <c r="AD70" s="645" t="e">
        <f t="shared" si="26"/>
        <v>#N/A</v>
      </c>
      <c r="AE70" s="645" t="e">
        <f t="shared" ref="AE70" si="51">AD70+AC70</f>
        <v>#N/A</v>
      </c>
      <c r="AF70" s="645" t="e">
        <f t="shared" ref="AF70" si="52">AD70-AC70</f>
        <v>#N/A</v>
      </c>
      <c r="AG70" s="645" t="e">
        <f t="shared" ref="AG70" si="53">AD70+(AD70*AB70)</f>
        <v>#N/A</v>
      </c>
      <c r="AH70" s="645" t="e">
        <f t="shared" ref="AH70" si="54">AD70-(AD70*AB70)</f>
        <v>#N/A</v>
      </c>
      <c r="AI70" t="e">
        <f>IF(OR(J70&lt;AF70,J70&gt;AE70),"Warning","")</f>
        <v>#N/A</v>
      </c>
      <c r="AJ70" t="e">
        <f>IF(OR(J70&gt;(AG70),J70&lt;(AH70)),"Warning","")</f>
        <v>#N/A</v>
      </c>
      <c r="AK70" t="str">
        <f>IF(OR(J70=0),"",IF(AND(AI70="Warning",AJ70="Warning"),"Warning",""))</f>
        <v/>
      </c>
    </row>
    <row r="71" spans="1:37" ht="15.5" x14ac:dyDescent="0.35">
      <c r="A71" s="651">
        <v>46</v>
      </c>
      <c r="B71" s="600" t="s">
        <v>1818</v>
      </c>
      <c r="C71" s="124"/>
      <c r="D71" s="785" t="str">
        <f>IFERROR((D$70*$L71/($L$71+$L$72)),"")</f>
        <v/>
      </c>
      <c r="E71" s="785" t="str">
        <f>IFERROR((E$70*$L71/($L$71+$L$72)),"")</f>
        <v/>
      </c>
      <c r="F71" s="669">
        <f t="shared" si="41"/>
        <v>0</v>
      </c>
      <c r="G71" s="785" t="str">
        <f>IFERROR((G$70*$L71/($L$71+$L$72)),"")</f>
        <v/>
      </c>
      <c r="H71" s="785" t="str">
        <f>IFERROR((H$70*$L71/($L$71+$L$72)),"")</f>
        <v/>
      </c>
      <c r="I71" s="669">
        <f t="shared" si="38"/>
        <v>0</v>
      </c>
      <c r="J71" s="669">
        <f>F71-I71</f>
        <v>0</v>
      </c>
      <c r="K71" s="54"/>
      <c r="L71" s="720" t="e">
        <f>L65</f>
        <v>#DIV/0!</v>
      </c>
      <c r="M71" s="721" t="s">
        <v>1818</v>
      </c>
      <c r="N71" s="112"/>
      <c r="O71" s="1122"/>
      <c r="P71" s="1123"/>
      <c r="Q71" s="1123"/>
      <c r="R71" s="1124"/>
    </row>
    <row r="72" spans="1:37" ht="15.5" x14ac:dyDescent="0.35">
      <c r="A72" s="651">
        <v>47</v>
      </c>
      <c r="B72" s="600" t="s">
        <v>1819</v>
      </c>
      <c r="C72" s="124"/>
      <c r="D72" s="785" t="str">
        <f>IFERROR((D$70*$L72/($L$71+$L$72)),"")</f>
        <v/>
      </c>
      <c r="E72" s="785" t="str">
        <f>IFERROR((E$70*$L72/($L$71+$L$72)),"")</f>
        <v/>
      </c>
      <c r="F72" s="669">
        <f>SUM(D72:E72)</f>
        <v>0</v>
      </c>
      <c r="G72" s="785" t="str">
        <f>IFERROR((G$70*$L72/($L$71+$L$72)),"")</f>
        <v/>
      </c>
      <c r="H72" s="785" t="str">
        <f>IFERROR((H$70*$L72/($L$71+$L$72)),"")</f>
        <v/>
      </c>
      <c r="I72" s="669">
        <f t="shared" si="38"/>
        <v>0</v>
      </c>
      <c r="J72" s="669">
        <f t="shared" si="39"/>
        <v>0</v>
      </c>
      <c r="K72" s="54"/>
      <c r="L72" s="720" t="e">
        <f>L66</f>
        <v>#DIV/0!</v>
      </c>
      <c r="M72" s="722" t="s">
        <v>1819</v>
      </c>
      <c r="N72" s="723"/>
      <c r="O72" s="998"/>
      <c r="P72" s="1000"/>
      <c r="Q72" s="1000"/>
      <c r="R72" s="1001"/>
    </row>
    <row r="73" spans="1:37" ht="44.15" customHeight="1" x14ac:dyDescent="0.35">
      <c r="A73" s="651">
        <v>55</v>
      </c>
      <c r="B73" s="1121" t="s">
        <v>1822</v>
      </c>
      <c r="C73" s="124"/>
      <c r="D73" s="668"/>
      <c r="E73" s="668"/>
      <c r="F73" s="669">
        <f>SUM(D73:E73)</f>
        <v>0</v>
      </c>
      <c r="G73" s="668"/>
      <c r="H73" s="668"/>
      <c r="I73" s="669">
        <f t="shared" si="38"/>
        <v>0</v>
      </c>
      <c r="J73" s="669">
        <f t="shared" si="39"/>
        <v>0</v>
      </c>
      <c r="K73" s="603"/>
      <c r="L73" s="1222" t="str">
        <f>L64</f>
        <v>The following two rows (for 18-64 and 65+) will be estimated by the proportions in the two yellows cells, which you can amend</v>
      </c>
      <c r="M73" s="1222"/>
      <c r="N73" s="1222"/>
      <c r="O73" s="999" t="str">
        <f>O70</f>
        <v>if your figures for ages 18-64 and 65+ are estimates, please briefly describe how, noting assumptions</v>
      </c>
      <c r="P73" s="481" t="str">
        <f t="shared" ref="P73" si="55">IF(ISERROR(Q73),"",IF((Q73="Error"),"add explanation",IF((Q73="Warning"),"add explanation","")))</f>
        <v/>
      </c>
      <c r="Q73" s="1004" t="str">
        <f>IF(OR((I73&lt;&gt;(G73+H73)),(F73&lt;&gt;(D73+E73)),(J73&lt;&gt;(F73-I73))),"Error",IF(AK73="Warning","Warning",""))</f>
        <v/>
      </c>
      <c r="R73" s="1005" t="str">
        <f>IF($Q73="Error","A total column for "&amp;($B73)&amp;" does not match the sum of the components, please correct",IF($Q73="Warning","This year's figure is over "&amp;AC73/1000&amp;" million and "&amp;(AB73*100)&amp;"% different to "&amp;TEXT(AD73,"#,###")&amp;" last year, please explain",""))</f>
        <v/>
      </c>
      <c r="S73" s="131"/>
      <c r="AB73">
        <f t="shared" si="24"/>
        <v>0.4</v>
      </c>
      <c r="AC73">
        <f t="shared" si="25"/>
        <v>4000</v>
      </c>
      <c r="AD73" s="645" t="e">
        <f t="shared" si="26"/>
        <v>#N/A</v>
      </c>
      <c r="AE73" s="645" t="e">
        <f t="shared" ref="AE73" si="56">AD73+AC73</f>
        <v>#N/A</v>
      </c>
      <c r="AF73" s="645" t="e">
        <f t="shared" ref="AF73" si="57">AD73-AC73</f>
        <v>#N/A</v>
      </c>
      <c r="AG73" s="645" t="e">
        <f t="shared" ref="AG73" si="58">AD73+(AD73*AB73)</f>
        <v>#N/A</v>
      </c>
      <c r="AH73" s="645" t="e">
        <f t="shared" ref="AH73" si="59">AD73-(AD73*AB73)</f>
        <v>#N/A</v>
      </c>
      <c r="AI73" t="e">
        <f>IF(OR(J73&lt;AF73,J73&gt;AE73),"Warning","")</f>
        <v>#N/A</v>
      </c>
      <c r="AJ73" t="e">
        <f>IF(OR(J73&gt;(AG73),J73&lt;(AH73)),"Warning","")</f>
        <v>#N/A</v>
      </c>
      <c r="AK73" t="str">
        <f>IF(OR(J73=0),"",IF(AND(AI73="Warning",AJ73="Warning"),"Warning",""))</f>
        <v/>
      </c>
    </row>
    <row r="74" spans="1:37" ht="15.5" x14ac:dyDescent="0.35">
      <c r="A74" s="651">
        <v>52</v>
      </c>
      <c r="B74" s="600" t="s">
        <v>1818</v>
      </c>
      <c r="C74" s="124"/>
      <c r="D74" s="785" t="str">
        <f>IFERROR((D$73*$L74/($L$74+$L$75)),"")</f>
        <v/>
      </c>
      <c r="E74" s="785" t="str">
        <f>IFERROR((E$73*$L74/($L$74+$L$75)),"")</f>
        <v/>
      </c>
      <c r="F74" s="669">
        <f t="shared" si="41"/>
        <v>0</v>
      </c>
      <c r="G74" s="785" t="str">
        <f>IFERROR((G$73*$L74/($L$74+$L$75)),"")</f>
        <v/>
      </c>
      <c r="H74" s="785" t="str">
        <f>IFERROR((H$73*$L74/($L$74+$L$75)),"")</f>
        <v/>
      </c>
      <c r="I74" s="669">
        <f t="shared" si="38"/>
        <v>0</v>
      </c>
      <c r="J74" s="669">
        <f t="shared" si="39"/>
        <v>0</v>
      </c>
      <c r="K74" s="54"/>
      <c r="L74" s="720" t="e">
        <f>L65</f>
        <v>#DIV/0!</v>
      </c>
      <c r="M74" s="721" t="s">
        <v>1818</v>
      </c>
      <c r="N74" s="112"/>
      <c r="O74" s="1122"/>
      <c r="P74" s="1123"/>
      <c r="Q74" s="1123"/>
      <c r="R74" s="1124"/>
      <c r="S74" s="131"/>
    </row>
    <row r="75" spans="1:37" ht="15.5" x14ac:dyDescent="0.35">
      <c r="A75" s="651">
        <v>57</v>
      </c>
      <c r="B75" s="600" t="s">
        <v>1819</v>
      </c>
      <c r="C75" s="124"/>
      <c r="D75" s="785" t="str">
        <f>IFERROR((D$73*$L75/($L$74+$L$75)),"")</f>
        <v/>
      </c>
      <c r="E75" s="785" t="str">
        <f>IFERROR((E$73*$L75/($L$74+$L$75)),"")</f>
        <v/>
      </c>
      <c r="F75" s="669">
        <f>SUM(D75:E75)</f>
        <v>0</v>
      </c>
      <c r="G75" s="785" t="str">
        <f>IFERROR((G$73*$L75/($L$74+$L$75)),"")</f>
        <v/>
      </c>
      <c r="H75" s="785" t="str">
        <f>IFERROR((H$73*$L75/($L$74+$L$75)),"")</f>
        <v/>
      </c>
      <c r="I75" s="669">
        <f t="shared" si="38"/>
        <v>0</v>
      </c>
      <c r="J75" s="669">
        <f t="shared" si="39"/>
        <v>0</v>
      </c>
      <c r="K75" s="54"/>
      <c r="L75" s="720" t="e">
        <f>L66</f>
        <v>#DIV/0!</v>
      </c>
      <c r="M75" s="722" t="s">
        <v>1819</v>
      </c>
      <c r="N75" s="723"/>
      <c r="O75" s="998"/>
      <c r="P75" s="1000"/>
      <c r="Q75" s="1000"/>
      <c r="R75" s="1001"/>
      <c r="S75" s="131"/>
    </row>
    <row r="76" spans="1:37" ht="40.4" customHeight="1" x14ac:dyDescent="0.35">
      <c r="A76" s="651">
        <v>56</v>
      </c>
      <c r="B76" s="1125" t="s">
        <v>1823</v>
      </c>
      <c r="C76" s="124"/>
      <c r="D76" s="668"/>
      <c r="E76" s="668"/>
      <c r="F76" s="669">
        <f t="shared" si="41"/>
        <v>0</v>
      </c>
      <c r="G76" s="668"/>
      <c r="H76" s="668"/>
      <c r="I76" s="669">
        <f t="shared" si="38"/>
        <v>0</v>
      </c>
      <c r="J76" s="669">
        <f t="shared" si="39"/>
        <v>0</v>
      </c>
      <c r="K76" s="603"/>
      <c r="L76" s="1222" t="str">
        <f>L64</f>
        <v>The following two rows (for 18-64 and 65+) will be estimated by the proportions in the two yellows cells, which you can amend</v>
      </c>
      <c r="M76" s="1222"/>
      <c r="N76" s="1222"/>
      <c r="O76" s="999" t="str">
        <f>O73</f>
        <v>if your figures for ages 18-64 and 65+ are estimates, please briefly describe how, noting assumptions</v>
      </c>
      <c r="P76" s="481" t="str">
        <f t="shared" ref="P76" si="60">IF(ISERROR(Q76),"",IF((Q76="Error"),"add explanation",IF((Q76="Warning"),"add explanation","")))</f>
        <v/>
      </c>
      <c r="Q76" s="1004" t="str">
        <f>IF(OR((I76&lt;&gt;(G76+H76)),(F76&lt;&gt;(D76+E76)),(J76&lt;&gt;(F76-I76))),"Error",IF(AK76="Warning","Warning",""))</f>
        <v/>
      </c>
      <c r="R76" s="1005" t="str">
        <f>IF($Q76="Error","A total column for "&amp;($B76)&amp;" does not match the sum of the components, please correct",IF($Q76="Warning","This year's figure is over "&amp;AC76/1000&amp;" million and "&amp;(AB76*100)&amp;"% different to "&amp;TEXT(AD76,"#,###")&amp;" last year, please explain",""))</f>
        <v/>
      </c>
      <c r="S76" s="131"/>
      <c r="AB76">
        <f t="shared" si="24"/>
        <v>0.55000000000000004</v>
      </c>
      <c r="AC76">
        <f t="shared" si="25"/>
        <v>10000</v>
      </c>
      <c r="AD76" s="645" t="e">
        <f t="shared" si="26"/>
        <v>#N/A</v>
      </c>
      <c r="AE76" s="645" t="e">
        <f t="shared" ref="AE76" si="61">AD76+AC76</f>
        <v>#N/A</v>
      </c>
      <c r="AF76" s="645" t="e">
        <f t="shared" ref="AF76" si="62">AD76-AC76</f>
        <v>#N/A</v>
      </c>
      <c r="AG76" s="645" t="e">
        <f t="shared" ref="AG76" si="63">AD76+(AD76*AB76)</f>
        <v>#N/A</v>
      </c>
      <c r="AH76" s="645" t="e">
        <f t="shared" ref="AH76" si="64">AD76-(AD76*AB76)</f>
        <v>#N/A</v>
      </c>
      <c r="AI76" t="e">
        <f>IF(OR(J76&lt;AF76,J76&gt;AE76),"Warning","")</f>
        <v>#N/A</v>
      </c>
      <c r="AJ76" t="e">
        <f>IF(OR(J76&gt;(AG76),J76&lt;(AH76)),"Warning","")</f>
        <v>#N/A</v>
      </c>
      <c r="AK76" t="str">
        <f>IF(OR(J76=0),"",IF(AND(AI76="Warning",AJ76="Warning"),"Warning",""))</f>
        <v/>
      </c>
    </row>
    <row r="77" spans="1:37" ht="15.5" x14ac:dyDescent="0.35">
      <c r="A77" s="651">
        <v>58</v>
      </c>
      <c r="B77" s="650" t="s">
        <v>1824</v>
      </c>
      <c r="C77" s="124"/>
      <c r="D77" s="785" t="str">
        <f>IFERROR((D$76*$L77/($L$77+$L$78)),"")</f>
        <v/>
      </c>
      <c r="E77" s="785" t="str">
        <f>IFERROR((E$76*$L77/($L$77+$L$78)),"")</f>
        <v/>
      </c>
      <c r="F77" s="669">
        <f t="shared" si="41"/>
        <v>0</v>
      </c>
      <c r="G77" s="785" t="str">
        <f>IFERROR((G$76*$L77/($L$77+$L$78)),"")</f>
        <v/>
      </c>
      <c r="H77" s="785" t="str">
        <f>IFERROR((H$76*$L77/($L$77+$L$78)),"")</f>
        <v/>
      </c>
      <c r="I77" s="669">
        <f t="shared" si="38"/>
        <v>0</v>
      </c>
      <c r="J77" s="669">
        <f t="shared" si="39"/>
        <v>0</v>
      </c>
      <c r="K77" s="54"/>
      <c r="L77" s="720" t="e">
        <f>L65</f>
        <v>#DIV/0!</v>
      </c>
      <c r="M77" s="721" t="s">
        <v>1818</v>
      </c>
      <c r="N77" s="112"/>
      <c r="O77" s="1122"/>
      <c r="P77" s="1123"/>
      <c r="Q77" s="1123"/>
      <c r="R77" s="1124"/>
      <c r="S77" s="131"/>
    </row>
    <row r="78" spans="1:37" ht="15.5" x14ac:dyDescent="0.35">
      <c r="A78" s="651">
        <v>59</v>
      </c>
      <c r="B78" s="650" t="s">
        <v>1825</v>
      </c>
      <c r="C78" s="124"/>
      <c r="D78" s="785" t="str">
        <f>IFERROR((D$76*$L78/($L$77+$L$78)),"")</f>
        <v/>
      </c>
      <c r="E78" s="785" t="str">
        <f>IFERROR((E$76*$L78/($L$77+$L$78)),"")</f>
        <v/>
      </c>
      <c r="F78" s="669">
        <f t="shared" si="41"/>
        <v>0</v>
      </c>
      <c r="G78" s="785" t="str">
        <f>IFERROR((G$76*$L78/($L$77+$L$78)),"")</f>
        <v/>
      </c>
      <c r="H78" s="785" t="str">
        <f>IFERROR((H$76*$L78/($L$77+$L$78)),"")</f>
        <v/>
      </c>
      <c r="I78" s="669">
        <f t="shared" si="38"/>
        <v>0</v>
      </c>
      <c r="J78" s="669">
        <f>F78-I78</f>
        <v>0</v>
      </c>
      <c r="K78" s="54"/>
      <c r="L78" s="720" t="e">
        <f>L66</f>
        <v>#DIV/0!</v>
      </c>
      <c r="M78" s="722" t="s">
        <v>1819</v>
      </c>
      <c r="N78" s="723"/>
      <c r="O78" s="998"/>
      <c r="P78" s="1000"/>
      <c r="Q78" s="1000"/>
      <c r="R78" s="1001"/>
      <c r="S78" s="131"/>
    </row>
    <row r="79" spans="1:37" ht="15.5" x14ac:dyDescent="0.35">
      <c r="A79" s="124" t="s">
        <v>84</v>
      </c>
      <c r="B79" s="654" t="s">
        <v>1826</v>
      </c>
      <c r="C79" s="124"/>
      <c r="D79" s="1221" t="str">
        <f>IFERROR(IF(SUM(D80:J80)&gt;0,"ERROR:  18-64 plus 65+ must match total.  You must review and amend.","do not overwrite this cell - it will indicate if there are inconsistencies above"),"do not overwrite this cell - it will indicate if there are inconsistencies above")</f>
        <v>do not overwrite this cell - it will indicate if there are inconsistencies above</v>
      </c>
      <c r="E79" s="1221"/>
      <c r="F79" s="1221"/>
      <c r="G79" s="1221"/>
      <c r="H79" s="1221"/>
      <c r="I79" s="1221"/>
      <c r="J79" s="1221"/>
      <c r="K79" s="54"/>
      <c r="L79" s="472"/>
      <c r="M79" s="469"/>
      <c r="N79" s="112"/>
      <c r="O79" s="237"/>
    </row>
    <row r="80" spans="1:37" ht="14.5" hidden="1" customHeight="1" x14ac:dyDescent="0.35">
      <c r="A80" s="124"/>
      <c r="B80" s="654" t="s">
        <v>1827</v>
      </c>
      <c r="C80" s="124"/>
      <c r="D80" s="752" t="e">
        <f>IF(ROUND((D64+D67+D70+D73+D76-D65-D66-D68-D69-D71-D72-D74-D75-D77-D78),0)&lt;&gt;0,1,0)</f>
        <v>#VALUE!</v>
      </c>
      <c r="E80" s="752" t="e">
        <f t="shared" ref="E80:J80" si="65">IF(ROUND((E64+E67+E70+E73+E76-E65-E66-E68-E69-E71-E72-E74-E75-E77-E78),0)&lt;&gt;0,1,0)</f>
        <v>#VALUE!</v>
      </c>
      <c r="F80" s="752">
        <f t="shared" si="65"/>
        <v>0</v>
      </c>
      <c r="G80" s="752" t="e">
        <f t="shared" si="65"/>
        <v>#VALUE!</v>
      </c>
      <c r="H80" s="752" t="e">
        <f t="shared" si="65"/>
        <v>#VALUE!</v>
      </c>
      <c r="I80" s="752">
        <f t="shared" si="65"/>
        <v>0</v>
      </c>
      <c r="J80" s="752">
        <f t="shared" si="65"/>
        <v>0</v>
      </c>
      <c r="K80" s="54"/>
      <c r="L80" s="472"/>
      <c r="M80" s="469"/>
      <c r="N80" s="112"/>
      <c r="O80" s="237"/>
    </row>
    <row r="81" spans="1:37" ht="15.5" x14ac:dyDescent="0.35">
      <c r="A81" s="705">
        <v>8</v>
      </c>
      <c r="B81" s="753" t="s">
        <v>1828</v>
      </c>
      <c r="C81" s="124"/>
      <c r="D81" s="704"/>
      <c r="E81" s="704"/>
      <c r="F81" s="669">
        <f>SUM(D81:E81)</f>
        <v>0</v>
      </c>
      <c r="G81" s="704"/>
      <c r="H81" s="704"/>
      <c r="I81" s="669">
        <f>SUM(G81:H81)</f>
        <v>0</v>
      </c>
      <c r="J81" s="669">
        <f>F81-I81</f>
        <v>0</v>
      </c>
      <c r="K81" s="4"/>
      <c r="L81" s="775" t="str">
        <f>IF(ISERROR(M81),"",IF((M81="Error"),"add explanation",IF((M81="Warning"),"add explanation","")))</f>
        <v/>
      </c>
      <c r="M81" s="310" t="str">
        <f>IF(OR((I81&lt;&gt;(G81+H81)),(F81&lt;&gt;(D81+E81)),(J81&lt;&gt;(F81-I81))),"Error",IF(AK81="Warning","Warning",""))</f>
        <v/>
      </c>
      <c r="N81" s="112"/>
      <c r="O81" s="131" t="str">
        <f>IF($M81="Error","A total column for "&amp;($B81)&amp;" does not match the sum of the components, please correct","")</f>
        <v/>
      </c>
    </row>
    <row r="82" spans="1:37" ht="15.5" x14ac:dyDescent="0.35">
      <c r="A82" s="705">
        <v>9</v>
      </c>
      <c r="B82" s="753" t="s">
        <v>1829</v>
      </c>
      <c r="D82" s="704"/>
      <c r="E82" s="704"/>
      <c r="F82" s="669">
        <f>SUM(D82:E82)</f>
        <v>0</v>
      </c>
      <c r="G82" s="704"/>
      <c r="H82" s="704"/>
      <c r="I82" s="669">
        <f>SUM(G82:H82)</f>
        <v>0</v>
      </c>
      <c r="J82" s="669">
        <f>F82-I82</f>
        <v>0</v>
      </c>
      <c r="L82" s="775" t="str">
        <f>IF(ISERROR(M82),"",IF((M82="Error"),"add explanation",IF((M82="Warning"),"add explanation","")))</f>
        <v/>
      </c>
      <c r="M82" s="310" t="str">
        <f>IF(OR((I82&lt;&gt;(G82+H82)),(F82&lt;&gt;(D82+E82)),(J82&lt;&gt;(F82-I82))),"Error",IF(AK82="Warning","Warning",""))</f>
        <v/>
      </c>
      <c r="O82" s="131" t="str">
        <f>IF($M82="Error","A total column for "&amp;($B82)&amp;" does not match the sum of the components, please correct","")</f>
        <v/>
      </c>
    </row>
    <row r="83" spans="1:37" ht="15.5" x14ac:dyDescent="0.35">
      <c r="A83" s="202">
        <v>60</v>
      </c>
      <c r="B83" s="202" t="s">
        <v>1830</v>
      </c>
      <c r="C83" s="124"/>
      <c r="D83" s="669">
        <f t="shared" ref="D83:J83" si="66">SUM(D51:D64,D67,D70,D73,D76,D81,D82)</f>
        <v>0</v>
      </c>
      <c r="E83" s="1126">
        <f t="shared" si="66"/>
        <v>0</v>
      </c>
      <c r="F83" s="669">
        <f t="shared" si="66"/>
        <v>0</v>
      </c>
      <c r="G83" s="669">
        <f t="shared" si="66"/>
        <v>0</v>
      </c>
      <c r="H83" s="669">
        <f t="shared" si="66"/>
        <v>0</v>
      </c>
      <c r="I83" s="669">
        <f t="shared" si="66"/>
        <v>0</v>
      </c>
      <c r="J83" s="464">
        <f t="shared" si="66"/>
        <v>0</v>
      </c>
      <c r="K83" s="54"/>
      <c r="L83" s="776" t="str">
        <f>IF(ISERROR(M83),"",IF((M83="Error"),"add explanation",IF((M83="Warning"),"add explanation","")))</f>
        <v/>
      </c>
      <c r="M83" s="310" t="str">
        <f>IF(OR((I83&lt;&gt;(G83+H83)),(F83&lt;&gt;(D83+E83)),(J83&lt;&gt;(F83-I83))),"Error",IF(AK83="Warning","Warning",""))</f>
        <v/>
      </c>
      <c r="N83" s="112"/>
      <c r="O83" s="131" t="str">
        <f>IF($M83="Error","A total column for "&amp;($B83)&amp;" does not match the sum of the components, please correct",IF($M83="Warning","This year's figure is over "&amp;AC83/1000&amp;" million and "&amp;(AB83*100)&amp;"% different to "&amp;TEXT(AD83,"#,###")&amp;" last year, please explain",""))</f>
        <v/>
      </c>
    </row>
    <row r="84" spans="1:37" ht="15.5" x14ac:dyDescent="0.35">
      <c r="A84" s="112"/>
      <c r="B84" s="237"/>
      <c r="C84" s="237"/>
      <c r="D84" s="31"/>
      <c r="E84" s="1115"/>
      <c r="F84" s="45"/>
      <c r="G84" s="45"/>
      <c r="H84" s="45"/>
      <c r="I84" s="45"/>
      <c r="J84" s="298"/>
      <c r="K84" s="54"/>
      <c r="L84" s="472"/>
      <c r="M84" s="469"/>
      <c r="N84" s="112"/>
      <c r="O84" s="305"/>
    </row>
    <row r="85" spans="1:37" ht="46.5" x14ac:dyDescent="0.35">
      <c r="A85" s="112"/>
      <c r="B85" s="237"/>
      <c r="C85" s="237"/>
      <c r="D85" s="31"/>
      <c r="E85" s="709" t="s">
        <v>1731</v>
      </c>
      <c r="F85" s="45"/>
      <c r="G85" s="45"/>
      <c r="H85" s="45"/>
      <c r="I85" s="45"/>
      <c r="J85" s="298"/>
      <c r="K85" s="54"/>
      <c r="L85" s="472"/>
      <c r="M85" s="469"/>
      <c r="N85" s="112"/>
      <c r="O85" s="305"/>
    </row>
    <row r="86" spans="1:37" ht="15.5" x14ac:dyDescent="0.35">
      <c r="A86" s="112"/>
      <c r="B86" s="112"/>
      <c r="C86" s="112"/>
      <c r="D86" s="31"/>
      <c r="E86" s="399" t="s">
        <v>1732</v>
      </c>
      <c r="F86" s="45"/>
      <c r="G86" s="45"/>
      <c r="H86" s="45"/>
      <c r="I86" s="45"/>
      <c r="J86" s="298"/>
      <c r="K86" s="54"/>
      <c r="L86" s="472"/>
      <c r="M86" s="469"/>
      <c r="N86" s="112"/>
      <c r="O86" s="305"/>
    </row>
    <row r="87" spans="1:37" ht="15.5" x14ac:dyDescent="0.35">
      <c r="A87" s="859">
        <v>601</v>
      </c>
      <c r="B87" s="859" t="s">
        <v>1831</v>
      </c>
      <c r="C87" s="112"/>
      <c r="D87" s="112"/>
      <c r="E87" s="996"/>
      <c r="F87" s="45"/>
      <c r="G87" s="45"/>
      <c r="H87" s="45"/>
      <c r="I87" s="45"/>
      <c r="J87" s="298"/>
      <c r="K87" s="54"/>
      <c r="L87" s="472"/>
      <c r="M87" s="469"/>
      <c r="N87" s="112"/>
      <c r="O87" s="305"/>
    </row>
    <row r="88" spans="1:37" ht="15.5" x14ac:dyDescent="0.35">
      <c r="A88" s="202"/>
      <c r="B88" s="124"/>
      <c r="C88" s="124"/>
      <c r="D88" s="45"/>
      <c r="E88" s="45"/>
      <c r="F88" s="45"/>
      <c r="G88" s="45"/>
      <c r="H88" s="45"/>
      <c r="I88" s="45"/>
      <c r="J88" s="298"/>
      <c r="K88" s="54"/>
      <c r="L88" s="472"/>
      <c r="M88" s="469"/>
      <c r="N88" s="112"/>
      <c r="O88" s="305"/>
    </row>
    <row r="89" spans="1:37" ht="18" x14ac:dyDescent="0.4">
      <c r="A89" s="27" t="s">
        <v>1399</v>
      </c>
      <c r="B89" s="124"/>
      <c r="C89" s="124"/>
      <c r="D89" s="304"/>
      <c r="E89" s="304"/>
      <c r="F89" s="87"/>
      <c r="G89" s="304"/>
      <c r="H89" s="304"/>
      <c r="I89" s="87"/>
      <c r="J89" s="87"/>
      <c r="K89" s="112"/>
      <c r="L89" s="472"/>
      <c r="M89" s="469"/>
      <c r="N89" s="112"/>
      <c r="O89" s="112"/>
    </row>
    <row r="90" spans="1:37" ht="15.5" x14ac:dyDescent="0.35">
      <c r="A90" s="306">
        <v>61</v>
      </c>
      <c r="B90" s="124" t="s">
        <v>1832</v>
      </c>
      <c r="C90" s="124"/>
      <c r="D90" s="668"/>
      <c r="E90" s="668"/>
      <c r="F90" s="669">
        <f t="shared" ref="F90:F113" si="67">SUM(D90:E90)</f>
        <v>0</v>
      </c>
      <c r="G90" s="668"/>
      <c r="H90" s="668"/>
      <c r="I90" s="669">
        <f t="shared" ref="I90:I113" si="68">SUM(G90:H90)</f>
        <v>0</v>
      </c>
      <c r="J90" s="669">
        <f t="shared" ref="J90:J113" si="69">F90-I90</f>
        <v>0</v>
      </c>
      <c r="K90" s="112"/>
      <c r="L90" s="587" t="str">
        <f>IF(ISERROR(M90),"",IF((M90="Error"),"add explanation",IF((M90="Warning"),"add explanation",IF((AK90="Warning"),"add explanation",""))))</f>
        <v/>
      </c>
      <c r="M90" s="310" t="e">
        <f>IF(J90&lt;&gt;(F90-I90),"Error",IF((VLOOKUP(LA_code,ContactDetails!$AE$311:$AL$736, 8,0))=1,IF(OR(J90=0,J90&lt;0),"Warning",""),""))</f>
        <v>#N/A</v>
      </c>
      <c r="N90" s="112"/>
      <c r="O90" s="779" t="e">
        <f>IF(J90&lt;&gt;(F90-I90),"Net Current Expenditure for "&amp;($B90)&amp;" here does not match Total Income - Total Expenditure, please correct",IF((VLOOKUP(LA_code,ContactDetails!$AE$311:$AL$736, 8,0))=1,IF(OR(J90=0,J90&lt;0),"A positive figure for Net Current Expenditure is expected on this prescribed function, please amend",""),""))</f>
        <v>#N/A</v>
      </c>
      <c r="P90" s="714" t="str">
        <f>IF($AK90="Warning","This year's figure is over "&amp;AC90/1000&amp;" million and "&amp;(AB90*100)&amp;"% different to "&amp;TEXT(AD90,"#,###")&amp;" last year, please explain","")</f>
        <v/>
      </c>
      <c r="AB90">
        <f t="shared" ref="AB90:AB113" si="70">VLOOKUP("RO3"&amp;$A90,data_val_parameters,9,0)/100</f>
        <v>0.4</v>
      </c>
      <c r="AC90">
        <f t="shared" ref="AC90:AC113" si="71">VLOOKUP("RO3"&amp;$A90,data_val_parameters,7,0)</f>
        <v>3000</v>
      </c>
      <c r="AD90" s="645" t="e">
        <f t="shared" ref="AD90:AD113" si="72">VLOOKUP(LA_code,data_prev_year,MATCH("RO3"&amp;$A90&amp;"7",data_prev_year_headers,0),0)</f>
        <v>#N/A</v>
      </c>
      <c r="AE90" s="645" t="e">
        <f t="shared" ref="AE90" si="73">AD90+AC90</f>
        <v>#N/A</v>
      </c>
      <c r="AF90" s="645" t="e">
        <f t="shared" ref="AF90" si="74">AD90-AC90</f>
        <v>#N/A</v>
      </c>
      <c r="AG90" s="645" t="e">
        <f t="shared" ref="AG90" si="75">AD90+(AD90*AB90)</f>
        <v>#N/A</v>
      </c>
      <c r="AH90" s="645" t="e">
        <f t="shared" ref="AH90" si="76">AD90-(AD90*AB90)</f>
        <v>#N/A</v>
      </c>
      <c r="AI90" t="e">
        <f>IF(OR(J90&lt;AF90,J90&gt;AE90),"Warning","")</f>
        <v>#N/A</v>
      </c>
      <c r="AJ90" t="e">
        <f>IF(OR(J90&gt;(AG90),J90&lt;(AH90)),"Warning","")</f>
        <v>#N/A</v>
      </c>
      <c r="AK90" t="str">
        <f>IF(OR(J90=0),"",IF(AND(AI90="Warning",AJ90="Warning"),"Warning",""))</f>
        <v/>
      </c>
    </row>
    <row r="91" spans="1:37" ht="15.5" x14ac:dyDescent="0.35">
      <c r="A91" s="306">
        <v>62</v>
      </c>
      <c r="B91" s="124" t="s">
        <v>1833</v>
      </c>
      <c r="C91" s="124"/>
      <c r="D91" s="668"/>
      <c r="E91" s="668"/>
      <c r="F91" s="669">
        <f t="shared" si="67"/>
        <v>0</v>
      </c>
      <c r="G91" s="668"/>
      <c r="H91" s="668"/>
      <c r="I91" s="669">
        <f t="shared" si="68"/>
        <v>0</v>
      </c>
      <c r="J91" s="669">
        <f t="shared" si="69"/>
        <v>0</v>
      </c>
      <c r="K91" s="112"/>
      <c r="L91" s="587" t="str">
        <f t="shared" ref="L91:L113" si="77">IF(ISERROR(M91),"",IF((M91="Error"),"add explanation",IF((M91="Warning"),"add explanation",IF((AK91="Warning"),"add explanation",""))))</f>
        <v/>
      </c>
      <c r="M91" s="310" t="e">
        <f>IF(J91&lt;&gt;(F91-I91),"Error",IF((VLOOKUP(LA_code,ContactDetails!$AE$311:$AL$736, 8,0))=1,IF(OR(J91=0,J91&lt;0),"Warning",""),""))</f>
        <v>#N/A</v>
      </c>
      <c r="N91" s="112"/>
      <c r="O91" s="779" t="e">
        <f>IF(J91&lt;&gt;(F91-I91),"Net Current Expenditure for "&amp;($B91)&amp;" here does not match Total Income - Total Expenditure, please correct",IF((VLOOKUP(LA_code,ContactDetails!$AE$311:$AL$736, 8,0))=1,IF(OR(J91=0,J91&lt;0),"A positive figure for Net Current Expenditure is expected on this prescribed function, please amend",""),""))</f>
        <v>#N/A</v>
      </c>
      <c r="P91" s="714" t="str">
        <f t="shared" ref="P91:P113" si="78">IF($AK91="Warning","This year's figure is over "&amp;AC91/1000&amp;" million and "&amp;(AB91*100)&amp;"% different to "&amp;TEXT(AD91,"#,###")&amp;" last year, please explain","")</f>
        <v/>
      </c>
      <c r="AB91">
        <f t="shared" si="70"/>
        <v>0.4</v>
      </c>
      <c r="AC91">
        <f t="shared" si="71"/>
        <v>3000</v>
      </c>
      <c r="AD91" s="645" t="e">
        <f t="shared" si="72"/>
        <v>#N/A</v>
      </c>
      <c r="AE91" s="645" t="e">
        <f t="shared" ref="AE91:AE113" si="79">AD91+AC91</f>
        <v>#N/A</v>
      </c>
      <c r="AF91" s="645" t="e">
        <f t="shared" ref="AF91:AF113" si="80">AD91-AC91</f>
        <v>#N/A</v>
      </c>
      <c r="AG91" s="645" t="e">
        <f t="shared" ref="AG91:AG113" si="81">AD91+(AD91*AB91)</f>
        <v>#N/A</v>
      </c>
      <c r="AH91" s="645" t="e">
        <f t="shared" ref="AH91:AH113" si="82">AD91-(AD91*AB91)</f>
        <v>#N/A</v>
      </c>
      <c r="AI91" t="e">
        <f t="shared" ref="AI91:AI113" si="83">IF(OR(J91&lt;AF91,J91&gt;AE91),"Warning","")</f>
        <v>#N/A</v>
      </c>
      <c r="AJ91" t="e">
        <f t="shared" ref="AJ91:AJ113" si="84">IF(OR(J91&gt;(AG91),J91&lt;(AH91)),"Warning","")</f>
        <v>#N/A</v>
      </c>
      <c r="AK91" t="str">
        <f t="shared" ref="AK91:AK113" si="85">IF(OR(J91=0),"",IF(AND(AI91="Warning",AJ91="Warning"),"Warning",""))</f>
        <v/>
      </c>
    </row>
    <row r="92" spans="1:37" ht="15.5" x14ac:dyDescent="0.35">
      <c r="A92" s="306">
        <v>63</v>
      </c>
      <c r="B92" s="124" t="s">
        <v>1834</v>
      </c>
      <c r="C92" s="124"/>
      <c r="D92" s="668"/>
      <c r="E92" s="668"/>
      <c r="F92" s="669">
        <f t="shared" si="67"/>
        <v>0</v>
      </c>
      <c r="G92" s="668"/>
      <c r="H92" s="668"/>
      <c r="I92" s="669">
        <f t="shared" si="68"/>
        <v>0</v>
      </c>
      <c r="J92" s="669">
        <f t="shared" si="69"/>
        <v>0</v>
      </c>
      <c r="K92" s="112"/>
      <c r="L92" s="587" t="str">
        <f t="shared" si="77"/>
        <v/>
      </c>
      <c r="M92" s="310" t="str">
        <f t="shared" ref="M92:M108" si="86">IF(J92&lt;&gt;(F92-I92),"Error","")</f>
        <v/>
      </c>
      <c r="N92" s="112"/>
      <c r="O92" s="779" t="str">
        <f t="shared" ref="O92:O108" si="87">IF($M92="Error","Net Current Expenditure for "&amp;($B92)&amp;" here does not match Total Income - Total Expenditure, please correct","")</f>
        <v/>
      </c>
      <c r="P92" s="714" t="str">
        <f t="shared" si="78"/>
        <v/>
      </c>
      <c r="AB92">
        <f t="shared" si="70"/>
        <v>0.4</v>
      </c>
      <c r="AC92">
        <f t="shared" si="71"/>
        <v>3000</v>
      </c>
      <c r="AD92" s="645" t="e">
        <f t="shared" si="72"/>
        <v>#N/A</v>
      </c>
      <c r="AE92" s="645" t="e">
        <f t="shared" si="79"/>
        <v>#N/A</v>
      </c>
      <c r="AF92" s="645" t="e">
        <f t="shared" si="80"/>
        <v>#N/A</v>
      </c>
      <c r="AG92" s="645" t="e">
        <f t="shared" si="81"/>
        <v>#N/A</v>
      </c>
      <c r="AH92" s="645" t="e">
        <f t="shared" si="82"/>
        <v>#N/A</v>
      </c>
      <c r="AI92" t="e">
        <f t="shared" si="83"/>
        <v>#N/A</v>
      </c>
      <c r="AJ92" t="e">
        <f t="shared" si="84"/>
        <v>#N/A</v>
      </c>
      <c r="AK92" t="str">
        <f t="shared" si="85"/>
        <v/>
      </c>
    </row>
    <row r="93" spans="1:37" ht="15.5" x14ac:dyDescent="0.35">
      <c r="A93" s="306">
        <v>65</v>
      </c>
      <c r="B93" s="124" t="s">
        <v>1835</v>
      </c>
      <c r="C93" s="124"/>
      <c r="D93" s="668"/>
      <c r="E93" s="668"/>
      <c r="F93" s="669">
        <f t="shared" si="67"/>
        <v>0</v>
      </c>
      <c r="G93" s="668"/>
      <c r="H93" s="668"/>
      <c r="I93" s="669">
        <f t="shared" si="68"/>
        <v>0</v>
      </c>
      <c r="J93" s="669">
        <f t="shared" si="69"/>
        <v>0</v>
      </c>
      <c r="K93" s="112"/>
      <c r="L93" s="587" t="str">
        <f t="shared" si="77"/>
        <v/>
      </c>
      <c r="M93" s="310" t="e">
        <f>IF(J93&lt;&gt;(F93-I93),"Error",IF((VLOOKUP(LA_code,ContactDetails!$AE$311:$AL$736, 8,0))=1,IF(OR(J93=0,J93&lt;0),"Warning",""),""))</f>
        <v>#N/A</v>
      </c>
      <c r="N93" s="112"/>
      <c r="O93" s="779" t="e">
        <f>IF(J93&lt;&gt;(F93-I93),"Net Current Expenditure for "&amp;($B93)&amp;" here does not match Total Income - Total Expenditure, please correct",IF((VLOOKUP(LA_code,ContactDetails!$AE$311:$AL$736, 8,0))=1,IF(OR(J93=0,J93&lt;0),"A positive figure for Net Current Expenditure is expected on this prescribed function, please amend",""),""))</f>
        <v>#N/A</v>
      </c>
      <c r="P93" s="714" t="str">
        <f t="shared" si="78"/>
        <v/>
      </c>
      <c r="AB93">
        <f t="shared" si="70"/>
        <v>0.4</v>
      </c>
      <c r="AC93">
        <f t="shared" si="71"/>
        <v>3000</v>
      </c>
      <c r="AD93" s="645" t="e">
        <f t="shared" si="72"/>
        <v>#N/A</v>
      </c>
      <c r="AE93" s="645" t="e">
        <f t="shared" si="79"/>
        <v>#N/A</v>
      </c>
      <c r="AF93" s="645" t="e">
        <f t="shared" si="80"/>
        <v>#N/A</v>
      </c>
      <c r="AG93" s="645" t="e">
        <f t="shared" si="81"/>
        <v>#N/A</v>
      </c>
      <c r="AH93" s="645" t="e">
        <f t="shared" si="82"/>
        <v>#N/A</v>
      </c>
      <c r="AI93" t="e">
        <f t="shared" si="83"/>
        <v>#N/A</v>
      </c>
      <c r="AJ93" t="e">
        <f t="shared" si="84"/>
        <v>#N/A</v>
      </c>
      <c r="AK93" t="str">
        <f t="shared" si="85"/>
        <v/>
      </c>
    </row>
    <row r="94" spans="1:37" ht="15.5" x14ac:dyDescent="0.35">
      <c r="A94" s="306">
        <v>66</v>
      </c>
      <c r="B94" s="124" t="s">
        <v>1836</v>
      </c>
      <c r="C94" s="124"/>
      <c r="D94" s="668"/>
      <c r="E94" s="668"/>
      <c r="F94" s="669">
        <f t="shared" si="67"/>
        <v>0</v>
      </c>
      <c r="G94" s="668"/>
      <c r="H94" s="668"/>
      <c r="I94" s="669">
        <f t="shared" si="68"/>
        <v>0</v>
      </c>
      <c r="J94" s="669">
        <f t="shared" si="69"/>
        <v>0</v>
      </c>
      <c r="K94" s="112"/>
      <c r="L94" s="587" t="str">
        <f t="shared" si="77"/>
        <v/>
      </c>
      <c r="M94" s="310" t="e">
        <f>IF(J94&lt;&gt;(F94-I94),"Error",IF((VLOOKUP(LA_code,ContactDetails!$AE$311:$AL$736, 8,0))=1,IF(OR(J94=0,J94&lt;0),"Warning",""),""))</f>
        <v>#N/A</v>
      </c>
      <c r="N94" s="112"/>
      <c r="O94" s="779" t="e">
        <f>IF(J94&lt;&gt;(F94-I94),"Net Current Expenditure for "&amp;($B94)&amp;" here does not match Total Income - Total Expenditure, please correct",IF((VLOOKUP(LA_code,ContactDetails!$AE$311:$AL$736, 8,0))=1,IF(OR(J94=0,J94&lt;0),"A positive figure for Net Current Expenditure is expected on this prescribed function, please amend",""),""))</f>
        <v>#N/A</v>
      </c>
      <c r="P94" s="714" t="str">
        <f t="shared" si="78"/>
        <v/>
      </c>
      <c r="AB94">
        <f t="shared" si="70"/>
        <v>0.4</v>
      </c>
      <c r="AC94">
        <f t="shared" si="71"/>
        <v>3000</v>
      </c>
      <c r="AD94" s="645" t="e">
        <f t="shared" si="72"/>
        <v>#N/A</v>
      </c>
      <c r="AE94" s="645" t="e">
        <f t="shared" si="79"/>
        <v>#N/A</v>
      </c>
      <c r="AF94" s="645" t="e">
        <f t="shared" si="80"/>
        <v>#N/A</v>
      </c>
      <c r="AG94" s="645" t="e">
        <f t="shared" si="81"/>
        <v>#N/A</v>
      </c>
      <c r="AH94" s="645" t="e">
        <f t="shared" si="82"/>
        <v>#N/A</v>
      </c>
      <c r="AI94" t="e">
        <f t="shared" si="83"/>
        <v>#N/A</v>
      </c>
      <c r="AJ94" t="e">
        <f t="shared" si="84"/>
        <v>#N/A</v>
      </c>
      <c r="AK94" t="str">
        <f t="shared" si="85"/>
        <v/>
      </c>
    </row>
    <row r="95" spans="1:37" ht="15.5" x14ac:dyDescent="0.35">
      <c r="A95" s="306">
        <v>68</v>
      </c>
      <c r="B95" s="124" t="s">
        <v>1837</v>
      </c>
      <c r="C95" s="124"/>
      <c r="D95" s="668"/>
      <c r="E95" s="668"/>
      <c r="F95" s="669">
        <f t="shared" si="67"/>
        <v>0</v>
      </c>
      <c r="G95" s="668"/>
      <c r="H95" s="668"/>
      <c r="I95" s="669">
        <f t="shared" si="68"/>
        <v>0</v>
      </c>
      <c r="J95" s="669">
        <f t="shared" si="69"/>
        <v>0</v>
      </c>
      <c r="K95" s="112"/>
      <c r="L95" s="587" t="str">
        <f t="shared" si="77"/>
        <v/>
      </c>
      <c r="M95" s="310" t="e">
        <f>IF(J95&lt;&gt;(F95-I95),"Error",IF((VLOOKUP(LA_code,ContactDetails!$AE$311:$AL$736, 8,0))=1,IF(OR(J95=0,J95&lt;0),"Warning",""),""))</f>
        <v>#N/A</v>
      </c>
      <c r="N95" s="112"/>
      <c r="O95" s="779" t="e">
        <f>IF(J95&lt;&gt;(F95-I95),"Net Current Expenditure for "&amp;($B95)&amp;" here does not match Total Income - Total Expenditure, please correct",IF((VLOOKUP(LA_code,ContactDetails!$AE$311:$AL$736, 8,0))=1,IF(OR(J95=0,J95&lt;0),"A positive figure for Net Current Expenditure is expected on this prescribed function, please amend",""),""))</f>
        <v>#N/A</v>
      </c>
      <c r="P95" s="714" t="str">
        <f t="shared" si="78"/>
        <v/>
      </c>
      <c r="AB95">
        <f t="shared" si="70"/>
        <v>0.4</v>
      </c>
      <c r="AC95">
        <f t="shared" si="71"/>
        <v>2000</v>
      </c>
      <c r="AD95" s="645" t="e">
        <f t="shared" si="72"/>
        <v>#N/A</v>
      </c>
      <c r="AE95" s="645" t="e">
        <f t="shared" si="79"/>
        <v>#N/A</v>
      </c>
      <c r="AF95" s="645" t="e">
        <f t="shared" si="80"/>
        <v>#N/A</v>
      </c>
      <c r="AG95" s="645" t="e">
        <f t="shared" si="81"/>
        <v>#N/A</v>
      </c>
      <c r="AH95" s="645" t="e">
        <f t="shared" si="82"/>
        <v>#N/A</v>
      </c>
      <c r="AI95" t="e">
        <f t="shared" si="83"/>
        <v>#N/A</v>
      </c>
      <c r="AJ95" t="e">
        <f t="shared" si="84"/>
        <v>#N/A</v>
      </c>
      <c r="AK95" t="str">
        <f t="shared" si="85"/>
        <v/>
      </c>
    </row>
    <row r="96" spans="1:37" ht="15.5" x14ac:dyDescent="0.35">
      <c r="A96" s="306">
        <v>70</v>
      </c>
      <c r="B96" s="124" t="s">
        <v>1838</v>
      </c>
      <c r="C96" s="124"/>
      <c r="D96" s="668"/>
      <c r="E96" s="668"/>
      <c r="F96" s="669">
        <f t="shared" si="67"/>
        <v>0</v>
      </c>
      <c r="G96" s="668"/>
      <c r="H96" s="668"/>
      <c r="I96" s="669">
        <f t="shared" si="68"/>
        <v>0</v>
      </c>
      <c r="J96" s="669">
        <f t="shared" si="69"/>
        <v>0</v>
      </c>
      <c r="K96" s="112"/>
      <c r="L96" s="587" t="str">
        <f t="shared" si="77"/>
        <v/>
      </c>
      <c r="M96" s="310" t="e">
        <f>IF(J96&lt;&gt;(F96-I96),"Error",IF((VLOOKUP(LA_code,ContactDetails!$AE$311:$AL$736, 8,0))=1,IF(OR(J96=0,J96&lt;0),"Warning",""),""))</f>
        <v>#N/A</v>
      </c>
      <c r="N96" s="112"/>
      <c r="O96" s="779" t="e">
        <f>IF(J96&lt;&gt;(F96-I96),"Net Current Expenditure for "&amp;($B96)&amp;" here does not match Total Income - Total Expenditure, please correct",IF((VLOOKUP(LA_code,ContactDetails!$AE$311:$AL$736, 8,0))=1,IF(OR(J96=0,J96&lt;0),"A positive figure for Net Current Expenditure is expected on this prescribed function, please amend",""),""))</f>
        <v>#N/A</v>
      </c>
      <c r="P96" s="714" t="str">
        <f t="shared" si="78"/>
        <v/>
      </c>
      <c r="AB96">
        <f t="shared" si="70"/>
        <v>0.4</v>
      </c>
      <c r="AC96">
        <f t="shared" si="71"/>
        <v>2000</v>
      </c>
      <c r="AD96" s="645" t="e">
        <f t="shared" si="72"/>
        <v>#N/A</v>
      </c>
      <c r="AE96" s="645" t="e">
        <f t="shared" si="79"/>
        <v>#N/A</v>
      </c>
      <c r="AF96" s="645" t="e">
        <f t="shared" si="80"/>
        <v>#N/A</v>
      </c>
      <c r="AG96" s="645" t="e">
        <f t="shared" si="81"/>
        <v>#N/A</v>
      </c>
      <c r="AH96" s="645" t="e">
        <f t="shared" si="82"/>
        <v>#N/A</v>
      </c>
      <c r="AI96" t="e">
        <f t="shared" si="83"/>
        <v>#N/A</v>
      </c>
      <c r="AJ96" t="e">
        <f t="shared" si="84"/>
        <v>#N/A</v>
      </c>
      <c r="AK96" t="str">
        <f t="shared" si="85"/>
        <v/>
      </c>
    </row>
    <row r="97" spans="1:37" ht="15.5" x14ac:dyDescent="0.35">
      <c r="A97" s="306">
        <v>71</v>
      </c>
      <c r="B97" s="124" t="s">
        <v>1839</v>
      </c>
      <c r="C97" s="124"/>
      <c r="D97" s="668"/>
      <c r="E97" s="668"/>
      <c r="F97" s="669">
        <f t="shared" si="67"/>
        <v>0</v>
      </c>
      <c r="G97" s="668"/>
      <c r="H97" s="668"/>
      <c r="I97" s="669">
        <f t="shared" si="68"/>
        <v>0</v>
      </c>
      <c r="J97" s="669">
        <f t="shared" si="69"/>
        <v>0</v>
      </c>
      <c r="K97" s="112"/>
      <c r="L97" s="587" t="str">
        <f t="shared" si="77"/>
        <v/>
      </c>
      <c r="M97" s="310" t="str">
        <f t="shared" si="86"/>
        <v/>
      </c>
      <c r="N97" s="112"/>
      <c r="O97" s="779" t="str">
        <f t="shared" si="87"/>
        <v/>
      </c>
      <c r="P97" s="714" t="str">
        <f t="shared" si="78"/>
        <v/>
      </c>
      <c r="AB97">
        <f t="shared" si="70"/>
        <v>0.4</v>
      </c>
      <c r="AC97">
        <f t="shared" si="71"/>
        <v>2000</v>
      </c>
      <c r="AD97" s="645" t="e">
        <f t="shared" si="72"/>
        <v>#N/A</v>
      </c>
      <c r="AE97" s="645" t="e">
        <f t="shared" si="79"/>
        <v>#N/A</v>
      </c>
      <c r="AF97" s="645" t="e">
        <f t="shared" si="80"/>
        <v>#N/A</v>
      </c>
      <c r="AG97" s="645" t="e">
        <f t="shared" si="81"/>
        <v>#N/A</v>
      </c>
      <c r="AH97" s="645" t="e">
        <f t="shared" si="82"/>
        <v>#N/A</v>
      </c>
      <c r="AI97" t="e">
        <f t="shared" si="83"/>
        <v>#N/A</v>
      </c>
      <c r="AJ97" t="e">
        <f t="shared" si="84"/>
        <v>#N/A</v>
      </c>
      <c r="AK97" t="str">
        <f t="shared" si="85"/>
        <v/>
      </c>
    </row>
    <row r="98" spans="1:37" ht="15.5" x14ac:dyDescent="0.35">
      <c r="A98" s="306">
        <v>72</v>
      </c>
      <c r="B98" s="124" t="s">
        <v>1840</v>
      </c>
      <c r="C98" s="124"/>
      <c r="D98" s="668"/>
      <c r="E98" s="668"/>
      <c r="F98" s="669">
        <f t="shared" si="67"/>
        <v>0</v>
      </c>
      <c r="G98" s="668"/>
      <c r="H98" s="668"/>
      <c r="I98" s="669">
        <f t="shared" si="68"/>
        <v>0</v>
      </c>
      <c r="J98" s="669">
        <f t="shared" si="69"/>
        <v>0</v>
      </c>
      <c r="K98" s="112"/>
      <c r="L98" s="587" t="str">
        <f t="shared" si="77"/>
        <v/>
      </c>
      <c r="M98" s="310" t="str">
        <f t="shared" si="86"/>
        <v/>
      </c>
      <c r="N98" s="112"/>
      <c r="O98" s="779" t="str">
        <f t="shared" si="87"/>
        <v/>
      </c>
      <c r="P98" s="714" t="str">
        <f t="shared" si="78"/>
        <v/>
      </c>
      <c r="AB98">
        <f t="shared" si="70"/>
        <v>0.4</v>
      </c>
      <c r="AC98">
        <f t="shared" si="71"/>
        <v>2000</v>
      </c>
      <c r="AD98" s="645" t="e">
        <f t="shared" si="72"/>
        <v>#N/A</v>
      </c>
      <c r="AE98" s="645" t="e">
        <f t="shared" si="79"/>
        <v>#N/A</v>
      </c>
      <c r="AF98" s="645" t="e">
        <f t="shared" si="80"/>
        <v>#N/A</v>
      </c>
      <c r="AG98" s="645" t="e">
        <f t="shared" si="81"/>
        <v>#N/A</v>
      </c>
      <c r="AH98" s="645" t="e">
        <f t="shared" si="82"/>
        <v>#N/A</v>
      </c>
      <c r="AI98" t="e">
        <f t="shared" si="83"/>
        <v>#N/A</v>
      </c>
      <c r="AJ98" t="e">
        <f t="shared" si="84"/>
        <v>#N/A</v>
      </c>
      <c r="AK98" t="str">
        <f t="shared" si="85"/>
        <v/>
      </c>
    </row>
    <row r="99" spans="1:37" ht="15.5" x14ac:dyDescent="0.35">
      <c r="A99" s="306">
        <v>73</v>
      </c>
      <c r="B99" s="124" t="s">
        <v>1841</v>
      </c>
      <c r="C99" s="124"/>
      <c r="D99" s="668"/>
      <c r="E99" s="668"/>
      <c r="F99" s="669">
        <f t="shared" si="67"/>
        <v>0</v>
      </c>
      <c r="G99" s="668"/>
      <c r="H99" s="668"/>
      <c r="I99" s="669">
        <f t="shared" si="68"/>
        <v>0</v>
      </c>
      <c r="J99" s="669">
        <f t="shared" si="69"/>
        <v>0</v>
      </c>
      <c r="K99" s="112"/>
      <c r="L99" s="587" t="str">
        <f t="shared" si="77"/>
        <v/>
      </c>
      <c r="M99" s="310" t="str">
        <f t="shared" si="86"/>
        <v/>
      </c>
      <c r="N99" s="112"/>
      <c r="O99" s="779" t="str">
        <f t="shared" si="87"/>
        <v/>
      </c>
      <c r="P99" s="714" t="str">
        <f t="shared" si="78"/>
        <v/>
      </c>
      <c r="AB99">
        <f t="shared" si="70"/>
        <v>0.4</v>
      </c>
      <c r="AC99">
        <f t="shared" si="71"/>
        <v>2000</v>
      </c>
      <c r="AD99" s="645" t="e">
        <f t="shared" si="72"/>
        <v>#N/A</v>
      </c>
      <c r="AE99" s="645" t="e">
        <f t="shared" si="79"/>
        <v>#N/A</v>
      </c>
      <c r="AF99" s="645" t="e">
        <f t="shared" si="80"/>
        <v>#N/A</v>
      </c>
      <c r="AG99" s="645" t="e">
        <f t="shared" si="81"/>
        <v>#N/A</v>
      </c>
      <c r="AH99" s="645" t="e">
        <f t="shared" si="82"/>
        <v>#N/A</v>
      </c>
      <c r="AI99" t="e">
        <f t="shared" si="83"/>
        <v>#N/A</v>
      </c>
      <c r="AJ99" t="e">
        <f t="shared" si="84"/>
        <v>#N/A</v>
      </c>
      <c r="AK99" t="str">
        <f t="shared" si="85"/>
        <v/>
      </c>
    </row>
    <row r="100" spans="1:37" ht="15.5" x14ac:dyDescent="0.35">
      <c r="A100" s="306">
        <v>74</v>
      </c>
      <c r="B100" s="124" t="s">
        <v>1842</v>
      </c>
      <c r="C100" s="124"/>
      <c r="D100" s="668"/>
      <c r="E100" s="668"/>
      <c r="F100" s="669">
        <f t="shared" si="67"/>
        <v>0</v>
      </c>
      <c r="G100" s="668"/>
      <c r="H100" s="668"/>
      <c r="I100" s="669">
        <f t="shared" si="68"/>
        <v>0</v>
      </c>
      <c r="J100" s="669">
        <f t="shared" si="69"/>
        <v>0</v>
      </c>
      <c r="K100" s="112"/>
      <c r="L100" s="587" t="str">
        <f t="shared" si="77"/>
        <v/>
      </c>
      <c r="M100" s="310" t="str">
        <f t="shared" si="86"/>
        <v/>
      </c>
      <c r="N100" s="112"/>
      <c r="O100" s="779" t="str">
        <f t="shared" si="87"/>
        <v/>
      </c>
      <c r="P100" s="714" t="str">
        <f t="shared" si="78"/>
        <v/>
      </c>
      <c r="AB100">
        <f t="shared" si="70"/>
        <v>0.4</v>
      </c>
      <c r="AC100">
        <f t="shared" si="71"/>
        <v>2000</v>
      </c>
      <c r="AD100" s="645" t="e">
        <f t="shared" si="72"/>
        <v>#N/A</v>
      </c>
      <c r="AE100" s="645" t="e">
        <f t="shared" si="79"/>
        <v>#N/A</v>
      </c>
      <c r="AF100" s="645" t="e">
        <f t="shared" si="80"/>
        <v>#N/A</v>
      </c>
      <c r="AG100" s="645" t="e">
        <f t="shared" si="81"/>
        <v>#N/A</v>
      </c>
      <c r="AH100" s="645" t="e">
        <f t="shared" si="82"/>
        <v>#N/A</v>
      </c>
      <c r="AI100" t="e">
        <f t="shared" si="83"/>
        <v>#N/A</v>
      </c>
      <c r="AJ100" t="e">
        <f t="shared" si="84"/>
        <v>#N/A</v>
      </c>
      <c r="AK100" t="str">
        <f t="shared" si="85"/>
        <v/>
      </c>
    </row>
    <row r="101" spans="1:37" ht="15.5" x14ac:dyDescent="0.35">
      <c r="A101" s="568">
        <v>76</v>
      </c>
      <c r="B101" s="417" t="s">
        <v>1843</v>
      </c>
      <c r="C101" s="124"/>
      <c r="D101" s="668"/>
      <c r="E101" s="668"/>
      <c r="F101" s="669">
        <f t="shared" ref="F101:F112" si="88">SUM(D101:E101)</f>
        <v>0</v>
      </c>
      <c r="G101" s="668"/>
      <c r="H101" s="668"/>
      <c r="I101" s="669">
        <f t="shared" ref="I101:I112" si="89">SUM(G101:H101)</f>
        <v>0</v>
      </c>
      <c r="J101" s="669">
        <f t="shared" si="69"/>
        <v>0</v>
      </c>
      <c r="K101" s="112"/>
      <c r="L101" s="587" t="str">
        <f t="shared" si="77"/>
        <v/>
      </c>
      <c r="M101" s="310" t="str">
        <f t="shared" si="86"/>
        <v/>
      </c>
      <c r="N101" s="112"/>
      <c r="O101" s="779" t="str">
        <f t="shared" si="87"/>
        <v/>
      </c>
      <c r="P101" s="714"/>
      <c r="AD101" s="645"/>
      <c r="AE101" s="645"/>
      <c r="AF101" s="645"/>
      <c r="AG101" s="645"/>
      <c r="AH101" s="645"/>
    </row>
    <row r="102" spans="1:37" ht="15.5" x14ac:dyDescent="0.35">
      <c r="A102" s="568">
        <v>77</v>
      </c>
      <c r="B102" s="417" t="s">
        <v>1844</v>
      </c>
      <c r="C102" s="124"/>
      <c r="D102" s="668"/>
      <c r="E102" s="668"/>
      <c r="F102" s="669">
        <f t="shared" si="88"/>
        <v>0</v>
      </c>
      <c r="G102" s="668"/>
      <c r="H102" s="668"/>
      <c r="I102" s="669">
        <f t="shared" si="89"/>
        <v>0</v>
      </c>
      <c r="J102" s="669">
        <f t="shared" si="69"/>
        <v>0</v>
      </c>
      <c r="K102" s="112"/>
      <c r="L102" s="587" t="str">
        <f t="shared" si="77"/>
        <v/>
      </c>
      <c r="M102" s="310" t="str">
        <f t="shared" si="86"/>
        <v/>
      </c>
      <c r="N102" s="112"/>
      <c r="O102" s="779" t="str">
        <f t="shared" si="87"/>
        <v/>
      </c>
      <c r="P102" s="714"/>
      <c r="AD102" s="645"/>
      <c r="AE102" s="645"/>
      <c r="AF102" s="645"/>
      <c r="AG102" s="645"/>
      <c r="AH102" s="645"/>
    </row>
    <row r="103" spans="1:37" ht="15.5" x14ac:dyDescent="0.35">
      <c r="A103" s="568">
        <v>78</v>
      </c>
      <c r="B103" s="417" t="s">
        <v>1845</v>
      </c>
      <c r="C103" s="124"/>
      <c r="D103" s="668"/>
      <c r="E103" s="668"/>
      <c r="F103" s="669">
        <f t="shared" si="88"/>
        <v>0</v>
      </c>
      <c r="G103" s="668"/>
      <c r="H103" s="668"/>
      <c r="I103" s="669">
        <f t="shared" si="89"/>
        <v>0</v>
      </c>
      <c r="J103" s="669">
        <f t="shared" si="69"/>
        <v>0</v>
      </c>
      <c r="K103" s="112"/>
      <c r="L103" s="587" t="str">
        <f t="shared" si="77"/>
        <v/>
      </c>
      <c r="M103" s="310" t="str">
        <f t="shared" si="86"/>
        <v/>
      </c>
      <c r="N103" s="112"/>
      <c r="O103" s="779" t="str">
        <f t="shared" si="87"/>
        <v/>
      </c>
      <c r="P103" s="714"/>
      <c r="AD103" s="645"/>
      <c r="AE103" s="645"/>
      <c r="AF103" s="645"/>
      <c r="AG103" s="645"/>
      <c r="AH103" s="645"/>
    </row>
    <row r="104" spans="1:37" ht="15.5" x14ac:dyDescent="0.35">
      <c r="A104" s="568">
        <v>79</v>
      </c>
      <c r="B104" s="417" t="s">
        <v>1846</v>
      </c>
      <c r="C104" s="124"/>
      <c r="D104" s="668"/>
      <c r="E104" s="668"/>
      <c r="F104" s="669">
        <f t="shared" si="88"/>
        <v>0</v>
      </c>
      <c r="G104" s="668"/>
      <c r="H104" s="668"/>
      <c r="I104" s="669">
        <f t="shared" si="89"/>
        <v>0</v>
      </c>
      <c r="J104" s="669">
        <f t="shared" si="69"/>
        <v>0</v>
      </c>
      <c r="K104" s="112"/>
      <c r="L104" s="587" t="str">
        <f t="shared" si="77"/>
        <v/>
      </c>
      <c r="M104" s="310" t="str">
        <f t="shared" si="86"/>
        <v/>
      </c>
      <c r="N104" s="112"/>
      <c r="O104" s="779" t="str">
        <f t="shared" si="87"/>
        <v/>
      </c>
      <c r="P104" s="714"/>
      <c r="AD104" s="645"/>
      <c r="AE104" s="645"/>
      <c r="AF104" s="645"/>
      <c r="AG104" s="645"/>
      <c r="AH104" s="645"/>
    </row>
    <row r="105" spans="1:37" ht="15.5" x14ac:dyDescent="0.35">
      <c r="A105" s="568">
        <v>80</v>
      </c>
      <c r="B105" s="417" t="s">
        <v>1847</v>
      </c>
      <c r="C105" s="124"/>
      <c r="D105" s="668"/>
      <c r="E105" s="668"/>
      <c r="F105" s="669">
        <f t="shared" si="88"/>
        <v>0</v>
      </c>
      <c r="G105" s="668"/>
      <c r="H105" s="668"/>
      <c r="I105" s="669">
        <f t="shared" si="89"/>
        <v>0</v>
      </c>
      <c r="J105" s="669">
        <f t="shared" si="69"/>
        <v>0</v>
      </c>
      <c r="K105" s="112"/>
      <c r="L105" s="587" t="str">
        <f t="shared" si="77"/>
        <v/>
      </c>
      <c r="M105" s="310" t="str">
        <f t="shared" si="86"/>
        <v/>
      </c>
      <c r="N105" s="112"/>
      <c r="O105" s="779" t="str">
        <f t="shared" si="87"/>
        <v/>
      </c>
      <c r="P105" s="714" t="str">
        <f t="shared" si="78"/>
        <v/>
      </c>
      <c r="AB105">
        <f t="shared" si="70"/>
        <v>0.4</v>
      </c>
      <c r="AC105">
        <f t="shared" si="71"/>
        <v>2000</v>
      </c>
      <c r="AD105" s="645" t="e">
        <f t="shared" si="72"/>
        <v>#N/A</v>
      </c>
      <c r="AE105" s="645" t="e">
        <f t="shared" si="79"/>
        <v>#N/A</v>
      </c>
      <c r="AF105" s="645" t="e">
        <f t="shared" si="80"/>
        <v>#N/A</v>
      </c>
      <c r="AG105" s="645" t="e">
        <f t="shared" si="81"/>
        <v>#N/A</v>
      </c>
      <c r="AH105" s="645" t="e">
        <f t="shared" si="82"/>
        <v>#N/A</v>
      </c>
      <c r="AI105" t="e">
        <f t="shared" si="83"/>
        <v>#N/A</v>
      </c>
      <c r="AJ105" t="e">
        <f t="shared" si="84"/>
        <v>#N/A</v>
      </c>
      <c r="AK105" t="str">
        <f t="shared" si="85"/>
        <v/>
      </c>
    </row>
    <row r="106" spans="1:37" ht="15.5" x14ac:dyDescent="0.35">
      <c r="A106" s="568">
        <v>81</v>
      </c>
      <c r="B106" s="569" t="s">
        <v>1848</v>
      </c>
      <c r="C106" s="124"/>
      <c r="D106" s="668"/>
      <c r="E106" s="668"/>
      <c r="F106" s="669">
        <f t="shared" si="88"/>
        <v>0</v>
      </c>
      <c r="G106" s="668"/>
      <c r="H106" s="668"/>
      <c r="I106" s="669">
        <f t="shared" si="89"/>
        <v>0</v>
      </c>
      <c r="J106" s="669">
        <f t="shared" si="69"/>
        <v>0</v>
      </c>
      <c r="K106" s="112"/>
      <c r="L106" s="587" t="str">
        <f t="shared" si="77"/>
        <v/>
      </c>
      <c r="M106" s="310" t="str">
        <f t="shared" si="86"/>
        <v/>
      </c>
      <c r="N106" s="112"/>
      <c r="O106" s="779" t="str">
        <f t="shared" si="87"/>
        <v/>
      </c>
      <c r="P106" s="714" t="str">
        <f t="shared" si="78"/>
        <v/>
      </c>
      <c r="AB106">
        <f t="shared" si="70"/>
        <v>0.4</v>
      </c>
      <c r="AC106">
        <f t="shared" si="71"/>
        <v>3000</v>
      </c>
      <c r="AD106" s="645" t="e">
        <f t="shared" si="72"/>
        <v>#N/A</v>
      </c>
      <c r="AE106" s="645" t="e">
        <f t="shared" si="79"/>
        <v>#N/A</v>
      </c>
      <c r="AF106" s="645" t="e">
        <f t="shared" si="80"/>
        <v>#N/A</v>
      </c>
      <c r="AG106" s="645" t="e">
        <f t="shared" si="81"/>
        <v>#N/A</v>
      </c>
      <c r="AH106" s="645" t="e">
        <f t="shared" si="82"/>
        <v>#N/A</v>
      </c>
      <c r="AI106" t="e">
        <f t="shared" si="83"/>
        <v>#N/A</v>
      </c>
      <c r="AJ106" t="e">
        <f t="shared" si="84"/>
        <v>#N/A</v>
      </c>
      <c r="AK106" t="str">
        <f t="shared" si="85"/>
        <v/>
      </c>
    </row>
    <row r="107" spans="1:37" ht="15.5" x14ac:dyDescent="0.35">
      <c r="A107" s="568">
        <v>82</v>
      </c>
      <c r="B107" s="569" t="s">
        <v>1849</v>
      </c>
      <c r="C107" s="124"/>
      <c r="D107" s="668"/>
      <c r="E107" s="668"/>
      <c r="F107" s="669">
        <f t="shared" si="88"/>
        <v>0</v>
      </c>
      <c r="G107" s="668"/>
      <c r="H107" s="668"/>
      <c r="I107" s="669">
        <f t="shared" si="89"/>
        <v>0</v>
      </c>
      <c r="J107" s="669">
        <f t="shared" si="69"/>
        <v>0</v>
      </c>
      <c r="K107" s="112"/>
      <c r="L107" s="587" t="str">
        <f t="shared" si="77"/>
        <v/>
      </c>
      <c r="M107" s="310" t="str">
        <f t="shared" si="86"/>
        <v/>
      </c>
      <c r="N107" s="112"/>
      <c r="O107" s="779" t="str">
        <f t="shared" si="87"/>
        <v/>
      </c>
      <c r="P107" s="714" t="str">
        <f t="shared" si="78"/>
        <v/>
      </c>
      <c r="AB107">
        <f t="shared" si="70"/>
        <v>0.4</v>
      </c>
      <c r="AC107">
        <f t="shared" si="71"/>
        <v>3000</v>
      </c>
      <c r="AD107" s="645" t="e">
        <f t="shared" si="72"/>
        <v>#N/A</v>
      </c>
      <c r="AE107" s="645" t="e">
        <f t="shared" si="79"/>
        <v>#N/A</v>
      </c>
      <c r="AF107" s="645" t="e">
        <f t="shared" si="80"/>
        <v>#N/A</v>
      </c>
      <c r="AG107" s="645" t="e">
        <f t="shared" si="81"/>
        <v>#N/A</v>
      </c>
      <c r="AH107" s="645" t="e">
        <f t="shared" si="82"/>
        <v>#N/A</v>
      </c>
      <c r="AI107" t="e">
        <f t="shared" si="83"/>
        <v>#N/A</v>
      </c>
      <c r="AJ107" t="e">
        <f t="shared" si="84"/>
        <v>#N/A</v>
      </c>
      <c r="AK107" t="str">
        <f t="shared" si="85"/>
        <v/>
      </c>
    </row>
    <row r="108" spans="1:37" ht="15.5" x14ac:dyDescent="0.35">
      <c r="A108" s="568">
        <v>83</v>
      </c>
      <c r="B108" s="569" t="s">
        <v>1850</v>
      </c>
      <c r="C108" s="124"/>
      <c r="D108" s="668"/>
      <c r="E108" s="668"/>
      <c r="F108" s="669">
        <f t="shared" si="88"/>
        <v>0</v>
      </c>
      <c r="G108" s="668"/>
      <c r="H108" s="668"/>
      <c r="I108" s="669">
        <f t="shared" si="89"/>
        <v>0</v>
      </c>
      <c r="J108" s="669">
        <f t="shared" si="69"/>
        <v>0</v>
      </c>
      <c r="K108" s="112"/>
      <c r="L108" s="587" t="str">
        <f t="shared" si="77"/>
        <v/>
      </c>
      <c r="M108" s="310" t="str">
        <f t="shared" si="86"/>
        <v/>
      </c>
      <c r="N108" s="112"/>
      <c r="O108" s="779" t="str">
        <f t="shared" si="87"/>
        <v/>
      </c>
      <c r="P108" s="714" t="str">
        <f t="shared" si="78"/>
        <v/>
      </c>
      <c r="AB108">
        <f t="shared" si="70"/>
        <v>0.4</v>
      </c>
      <c r="AC108">
        <f t="shared" si="71"/>
        <v>4000</v>
      </c>
      <c r="AD108" s="645" t="e">
        <f t="shared" si="72"/>
        <v>#N/A</v>
      </c>
      <c r="AE108" s="645" t="e">
        <f t="shared" si="79"/>
        <v>#N/A</v>
      </c>
      <c r="AF108" s="645" t="e">
        <f t="shared" si="80"/>
        <v>#N/A</v>
      </c>
      <c r="AG108" s="645" t="e">
        <f t="shared" si="81"/>
        <v>#N/A</v>
      </c>
      <c r="AH108" s="645" t="e">
        <f t="shared" si="82"/>
        <v>#N/A</v>
      </c>
      <c r="AI108" t="e">
        <f t="shared" si="83"/>
        <v>#N/A</v>
      </c>
      <c r="AJ108" t="e">
        <f t="shared" si="84"/>
        <v>#N/A</v>
      </c>
      <c r="AK108" t="str">
        <f t="shared" si="85"/>
        <v/>
      </c>
    </row>
    <row r="109" spans="1:37" ht="15.5" x14ac:dyDescent="0.35">
      <c r="A109" s="568">
        <v>84</v>
      </c>
      <c r="B109" s="417" t="s">
        <v>1851</v>
      </c>
      <c r="C109" s="124"/>
      <c r="D109" s="668"/>
      <c r="E109" s="668"/>
      <c r="F109" s="669">
        <f t="shared" si="88"/>
        <v>0</v>
      </c>
      <c r="G109" s="668"/>
      <c r="H109" s="668"/>
      <c r="I109" s="669">
        <f t="shared" si="89"/>
        <v>0</v>
      </c>
      <c r="J109" s="669">
        <f t="shared" si="69"/>
        <v>0</v>
      </c>
      <c r="K109" s="112"/>
      <c r="L109" s="587" t="str">
        <f t="shared" si="77"/>
        <v/>
      </c>
      <c r="M109" s="310" t="e">
        <f>IF(J109&lt;&gt;(F109-I109),"Error",IF((VLOOKUP(LA_code,ContactDetails!$AE$311:$AL$736, 8,0))=1,IF(OR(J109=0,J109&lt;0),"Warning",""),""))</f>
        <v>#N/A</v>
      </c>
      <c r="N109" s="112"/>
      <c r="O109" s="779" t="e">
        <f>IF(J109&lt;&gt;(F109-I109),"Net Current Expenditure for "&amp;($B109)&amp;" here does not match Total Income - Total Expenditure, please correct",IF((VLOOKUP(LA_code,ContactDetails!$AE$311:$AL$736, 8,0))=1,IF(OR(J109=0,J109&lt;0),"A positive figure for Net Current Expenditure is expected on this prescribed function, please amend",""),""))</f>
        <v>#N/A</v>
      </c>
      <c r="P109" s="714"/>
      <c r="AD109" s="645"/>
      <c r="AE109" s="645"/>
      <c r="AF109" s="645"/>
      <c r="AG109" s="645"/>
      <c r="AH109" s="645"/>
      <c r="AK109" t="str">
        <f t="shared" si="85"/>
        <v/>
      </c>
    </row>
    <row r="110" spans="1:37" ht="15.5" x14ac:dyDescent="0.35">
      <c r="A110" s="568">
        <v>85</v>
      </c>
      <c r="B110" s="417" t="s">
        <v>1852</v>
      </c>
      <c r="C110" s="124"/>
      <c r="D110" s="668"/>
      <c r="E110" s="668"/>
      <c r="F110" s="669">
        <f t="shared" si="88"/>
        <v>0</v>
      </c>
      <c r="G110" s="668"/>
      <c r="H110" s="668"/>
      <c r="I110" s="669">
        <f t="shared" si="89"/>
        <v>0</v>
      </c>
      <c r="J110" s="669">
        <f t="shared" si="69"/>
        <v>0</v>
      </c>
      <c r="K110" s="112"/>
      <c r="L110" s="587" t="str">
        <f t="shared" si="77"/>
        <v/>
      </c>
      <c r="M110" s="310" t="e">
        <f>IF(J110&lt;&gt;(F110-I110),"Error",IF((VLOOKUP(LA_code,ContactDetails!$AE$311:$AL$736, 8,0))=1,IF(OR(J110=0,J110&lt;0),"Warning",""),""))</f>
        <v>#N/A</v>
      </c>
      <c r="N110" s="112"/>
      <c r="O110" s="779" t="e">
        <f>IF(J110&lt;&gt;(F110-I110),"Net Current Expenditure for "&amp;($B110)&amp;" here does not match Total Income - Total Expenditure, please correct",IF((VLOOKUP(LA_code,ContactDetails!$AE$311:$AL$736, 8,0))=1,IF(OR(J110=0,J110&lt;0),"A positive figure for Net Current Expenditure is expected on this line, please amend",""),""))</f>
        <v>#N/A</v>
      </c>
      <c r="P110" s="714"/>
      <c r="AD110" s="645"/>
      <c r="AE110" s="645"/>
      <c r="AF110" s="645"/>
      <c r="AG110" s="645"/>
      <c r="AH110" s="645"/>
      <c r="AK110" t="str">
        <f t="shared" si="85"/>
        <v/>
      </c>
    </row>
    <row r="111" spans="1:37" ht="15.5" x14ac:dyDescent="0.35">
      <c r="A111" s="568">
        <v>86</v>
      </c>
      <c r="B111" s="569" t="s">
        <v>1853</v>
      </c>
      <c r="C111" s="124"/>
      <c r="D111" s="668"/>
      <c r="E111" s="668"/>
      <c r="F111" s="669">
        <f t="shared" si="88"/>
        <v>0</v>
      </c>
      <c r="G111" s="668"/>
      <c r="H111" s="668"/>
      <c r="I111" s="669">
        <f t="shared" si="89"/>
        <v>0</v>
      </c>
      <c r="J111" s="669">
        <f t="shared" si="69"/>
        <v>0</v>
      </c>
      <c r="K111" s="112"/>
      <c r="L111" s="587" t="str">
        <f t="shared" si="77"/>
        <v/>
      </c>
      <c r="M111" s="310" t="str">
        <f>IF(J111&lt;&gt;(F111-I111),"Error","")</f>
        <v/>
      </c>
      <c r="N111" s="112"/>
      <c r="O111" s="131" t="str">
        <f>IF($M111="Error","Net Current Expenditure for "&amp;($B111)&amp;" here does not match Total Income - Total Expenditure, please correct","")</f>
        <v/>
      </c>
      <c r="P111" s="714"/>
      <c r="AD111" s="645"/>
      <c r="AE111" s="645"/>
      <c r="AF111" s="645"/>
      <c r="AG111" s="645"/>
      <c r="AH111" s="645"/>
      <c r="AK111" t="str">
        <f t="shared" si="85"/>
        <v/>
      </c>
    </row>
    <row r="112" spans="1:37" ht="15.5" x14ac:dyDescent="0.35">
      <c r="A112" s="568">
        <v>87</v>
      </c>
      <c r="B112" s="569" t="s">
        <v>1854</v>
      </c>
      <c r="C112" s="124"/>
      <c r="D112" s="668"/>
      <c r="E112" s="668"/>
      <c r="F112" s="669">
        <f t="shared" si="88"/>
        <v>0</v>
      </c>
      <c r="G112" s="668"/>
      <c r="H112" s="668"/>
      <c r="I112" s="669">
        <f t="shared" si="89"/>
        <v>0</v>
      </c>
      <c r="J112" s="669">
        <f t="shared" si="69"/>
        <v>0</v>
      </c>
      <c r="K112" s="112"/>
      <c r="L112" s="587" t="str">
        <f t="shared" si="77"/>
        <v/>
      </c>
      <c r="M112" s="310" t="str">
        <f>IF(J112&lt;&gt;(F112-I112),"Error","")</f>
        <v/>
      </c>
      <c r="N112" s="112"/>
      <c r="O112" s="131" t="str">
        <f>IF($M112="Error","Net Current Expenditure for "&amp;($B112)&amp;" here does not match Total Income - Total Expenditure, please correct","")</f>
        <v/>
      </c>
      <c r="P112" s="714"/>
      <c r="AD112" s="645"/>
      <c r="AE112" s="645"/>
      <c r="AF112" s="645"/>
      <c r="AG112" s="645"/>
      <c r="AH112" s="645"/>
      <c r="AK112" t="str">
        <f t="shared" si="85"/>
        <v/>
      </c>
    </row>
    <row r="113" spans="1:37" ht="15.5" x14ac:dyDescent="0.35">
      <c r="A113" s="568">
        <v>89</v>
      </c>
      <c r="B113" s="569" t="s">
        <v>1855</v>
      </c>
      <c r="C113" s="124"/>
      <c r="D113" s="668"/>
      <c r="E113" s="668"/>
      <c r="F113" s="669">
        <f t="shared" si="67"/>
        <v>0</v>
      </c>
      <c r="G113" s="668"/>
      <c r="H113" s="668"/>
      <c r="I113" s="669">
        <f t="shared" si="68"/>
        <v>0</v>
      </c>
      <c r="J113" s="669">
        <f t="shared" si="69"/>
        <v>0</v>
      </c>
      <c r="K113" s="112"/>
      <c r="L113" s="587" t="str">
        <f t="shared" si="77"/>
        <v/>
      </c>
      <c r="M113" s="310" t="e">
        <f>IF(J113&lt;&gt;(F113-I113),"Error",IF((J113/J117)&gt;0.25,"Warning",""))</f>
        <v>#DIV/0!</v>
      </c>
      <c r="N113" s="112"/>
      <c r="O113" s="131" t="str">
        <f>IF(J113&lt;&gt;(F113-I113),"Net Current Expenditure for "&amp;($B113)&amp;" here does not match Total Income - Total Expenditure, please correct",IF(ISERROR((J113/J117)),"",IF((J113/J117)&gt;0.25,"Net Current Expenditure on Misc. is greater than 25%, please reallocate to public health lines or give reasons in the memo.","")))</f>
        <v/>
      </c>
      <c r="P113" s="714" t="str">
        <f t="shared" si="78"/>
        <v/>
      </c>
      <c r="AB113">
        <f t="shared" si="70"/>
        <v>0.4</v>
      </c>
      <c r="AC113">
        <f t="shared" si="71"/>
        <v>6000</v>
      </c>
      <c r="AD113" s="645" t="e">
        <f t="shared" si="72"/>
        <v>#N/A</v>
      </c>
      <c r="AE113" s="645" t="e">
        <f t="shared" si="79"/>
        <v>#N/A</v>
      </c>
      <c r="AF113" s="645" t="e">
        <f t="shared" si="80"/>
        <v>#N/A</v>
      </c>
      <c r="AG113" s="645" t="e">
        <f t="shared" si="81"/>
        <v>#N/A</v>
      </c>
      <c r="AH113" s="645" t="e">
        <f t="shared" si="82"/>
        <v>#N/A</v>
      </c>
      <c r="AI113" t="e">
        <f t="shared" si="83"/>
        <v>#N/A</v>
      </c>
      <c r="AJ113" t="e">
        <f t="shared" si="84"/>
        <v>#N/A</v>
      </c>
      <c r="AK113" t="str">
        <f t="shared" si="85"/>
        <v/>
      </c>
    </row>
    <row r="114" spans="1:37" ht="15.5" x14ac:dyDescent="0.35">
      <c r="A114" s="705">
        <v>91</v>
      </c>
      <c r="B114" s="705" t="s">
        <v>1856</v>
      </c>
      <c r="C114" s="124"/>
      <c r="D114" s="704"/>
      <c r="E114" s="1006"/>
      <c r="F114" s="669">
        <f>SUM(D114:E114)</f>
        <v>0</v>
      </c>
      <c r="G114" s="1006"/>
      <c r="H114" s="1006"/>
      <c r="I114" s="669">
        <f>SUM(G114:H114)</f>
        <v>0</v>
      </c>
      <c r="J114" s="669">
        <f>F114-I114</f>
        <v>0</v>
      </c>
      <c r="K114" s="112"/>
      <c r="L114" s="587" t="str">
        <f>IF(ISERROR(M114),"",IF((M114="Error"),"add explanation",IF((M114="Warning"),"add explanation","")))</f>
        <v/>
      </c>
      <c r="M114" s="310" t="str">
        <f>IF(J114&lt;&gt;(F114-I114),"Error","")</f>
        <v/>
      </c>
      <c r="N114" s="112"/>
      <c r="O114" s="131" t="str">
        <f>IF($M114="Error","Net Current Expenditure for "&amp;($B114)&amp;" here does not match Total Income - Total Expenditure, please correct","")</f>
        <v/>
      </c>
      <c r="P114" s="714"/>
    </row>
    <row r="115" spans="1:37" ht="15.5" x14ac:dyDescent="0.35">
      <c r="A115" s="705">
        <v>92</v>
      </c>
      <c r="B115" s="705" t="s">
        <v>1857</v>
      </c>
      <c r="C115" s="124"/>
      <c r="D115" s="704"/>
      <c r="E115" s="1006"/>
      <c r="F115" s="669">
        <f>SUM(D115:E115)</f>
        <v>0</v>
      </c>
      <c r="G115" s="1006"/>
      <c r="H115" s="1006"/>
      <c r="I115" s="669">
        <f>SUM(G115:H115)</f>
        <v>0</v>
      </c>
      <c r="J115" s="669">
        <f>F115-I115</f>
        <v>0</v>
      </c>
      <c r="K115" s="112"/>
      <c r="L115" s="587" t="str">
        <f>IF(ISERROR(M115),"",IF((M115="Error"),"add explanation",IF((M115="Warning"),"add explanation","")))</f>
        <v/>
      </c>
      <c r="M115" s="310" t="str">
        <f>IF(J115&lt;&gt;(F115-I115),"Error","")</f>
        <v/>
      </c>
      <c r="N115" s="112"/>
      <c r="O115" s="131" t="str">
        <f>IF($M115="Error","Net Current Expenditure for "&amp;($B115)&amp;" here does not match Total Income - Total Expenditure, please correct","")</f>
        <v/>
      </c>
      <c r="P115" s="714"/>
    </row>
    <row r="116" spans="1:37" ht="15.5" x14ac:dyDescent="0.35">
      <c r="A116" s="569"/>
      <c r="B116" s="569"/>
      <c r="C116" s="124"/>
      <c r="D116" s="31"/>
      <c r="E116" s="31"/>
      <c r="F116" s="45"/>
      <c r="G116" s="31"/>
      <c r="H116" s="31"/>
      <c r="I116" s="45"/>
      <c r="J116" s="45"/>
      <c r="K116" s="112"/>
      <c r="L116" s="689"/>
      <c r="M116" s="469"/>
      <c r="N116" s="112"/>
      <c r="O116" s="305"/>
      <c r="P116" s="714"/>
    </row>
    <row r="117" spans="1:37" ht="15.5" x14ac:dyDescent="0.35">
      <c r="A117" s="202">
        <v>90</v>
      </c>
      <c r="B117" s="202" t="s">
        <v>1858</v>
      </c>
      <c r="C117" s="124"/>
      <c r="D117" s="669">
        <f t="shared" ref="D117:J117" si="90">SUM(D90:D115)</f>
        <v>0</v>
      </c>
      <c r="E117" s="1126">
        <f t="shared" si="90"/>
        <v>0</v>
      </c>
      <c r="F117" s="669">
        <f t="shared" si="90"/>
        <v>0</v>
      </c>
      <c r="G117" s="669">
        <f t="shared" si="90"/>
        <v>0</v>
      </c>
      <c r="H117" s="669">
        <f t="shared" si="90"/>
        <v>0</v>
      </c>
      <c r="I117" s="717">
        <f t="shared" si="90"/>
        <v>0</v>
      </c>
      <c r="J117" s="464">
        <f t="shared" si="90"/>
        <v>0</v>
      </c>
      <c r="K117" s="112"/>
      <c r="L117" s="587" t="str">
        <f>IF(ISERROR(M117),"",IF((M117="Error"),"add explanation",IF((M117="Warning"),"add explanation","")))</f>
        <v/>
      </c>
      <c r="M117" s="310" t="e">
        <f>IF(J117&lt;&gt;SUM(J90:J115),"Error",IF(J117&lt;&gt;(F117-I117),"Error",IF(AND(VLOOKUP(LA_code,LA_Data,12,0)&gt;0, LA_code&lt;&gt;"E4201", LA_code&lt;&gt;"E4202", LA_code&lt;&gt;"E4203", LA_code&lt;&gt;"E4204", LA_code&lt;&gt;"E4205", LA_code&lt;&gt;"E4206", LA_code&lt;&gt;"E4207", LA_code&lt;&gt;"E4208", LA_code&lt;&gt;"E4209", LA_code&lt;&gt;"E4210"),IF(SUM(RS!$E$66,RS!$E$103,'RO3'!$J$117)&lt;SUM(RG!$G$32),"Error",""),"")))</f>
        <v>#N/A</v>
      </c>
      <c r="N117" s="112"/>
      <c r="O117" s="131" t="e">
        <f>IF(J117&lt;&gt;SUM(J90:J115),PROPER($B117)&amp;" here does not match the total of the individual lines, please correct",IF(J117&lt;&gt;(F117-I117),"Net Current Expenditure for "&amp;($B117)&amp;" here does not match Total Income - Total Expenditure, please correct",IF(AND(VLOOKUP(LA_code,LA_Data,12,0)&gt;0, LA_code&lt;&gt;"E4201", LA_code&lt;&gt;"E4202", LA_code&lt;&gt;"E4203", LA_code&lt;&gt;"E4204", LA_code&lt;&gt;"E4205", LA_code&lt;&gt;"E4206", LA_code&lt;&gt;"E4207", LA_code&lt;&gt;"E4208", LA_code&lt;&gt;"E4209", LA_code&lt;&gt;"E4210"), IF(SUM(RS!$E$66,RS!$E$103,'RO3'!$J$117)&lt;SUM(RG!$G$32),"There is unaccounted expenditure (RO3 Line 90 cannot be less than the income from the Public Health Grant (RS Line 766) with (movement in PH reserves) RS Line 814), please resolve.",""),"")))</f>
        <v>#N/A</v>
      </c>
      <c r="P117" s="714"/>
    </row>
    <row r="118" spans="1:37" ht="15.5" x14ac:dyDescent="0.35">
      <c r="A118" s="112"/>
      <c r="B118" s="237"/>
      <c r="C118" s="237"/>
      <c r="D118" s="31"/>
      <c r="E118" s="1115"/>
      <c r="F118" s="46"/>
      <c r="G118" s="303"/>
      <c r="H118" s="303"/>
      <c r="I118" s="46"/>
      <c r="J118" s="820" t="s">
        <v>1730</v>
      </c>
      <c r="K118" s="112"/>
      <c r="L118" s="472"/>
      <c r="M118" s="469"/>
      <c r="N118" s="112"/>
      <c r="O118" s="112"/>
    </row>
    <row r="119" spans="1:37" ht="46.5" x14ac:dyDescent="0.35">
      <c r="A119" s="112"/>
      <c r="B119" s="237"/>
      <c r="C119" s="237"/>
      <c r="D119" s="31"/>
      <c r="E119" s="709" t="s">
        <v>1731</v>
      </c>
      <c r="F119" s="46"/>
      <c r="G119" s="303"/>
      <c r="H119" s="303"/>
      <c r="I119" s="46"/>
      <c r="J119" s="820"/>
      <c r="K119" s="112"/>
      <c r="L119" s="472"/>
      <c r="M119" s="469"/>
      <c r="N119" s="112"/>
      <c r="O119" s="112"/>
    </row>
    <row r="120" spans="1:37" ht="15.5" x14ac:dyDescent="0.35">
      <c r="A120" s="112"/>
      <c r="B120" s="112"/>
      <c r="C120" s="112"/>
      <c r="D120" s="31"/>
      <c r="E120" s="399" t="s">
        <v>1732</v>
      </c>
      <c r="F120" s="46"/>
      <c r="G120" s="303"/>
      <c r="H120" s="303"/>
      <c r="I120" s="46"/>
      <c r="J120" s="46"/>
      <c r="K120" s="112"/>
      <c r="L120" s="472"/>
      <c r="M120" s="469"/>
      <c r="N120" s="112"/>
      <c r="O120" s="112"/>
    </row>
    <row r="121" spans="1:37" ht="18" x14ac:dyDescent="0.4">
      <c r="A121" s="859">
        <v>1901</v>
      </c>
      <c r="B121" s="859" t="s">
        <v>1859</v>
      </c>
      <c r="C121" s="112"/>
      <c r="D121" s="112"/>
      <c r="E121" s="996"/>
      <c r="F121" s="46"/>
      <c r="G121" s="303"/>
      <c r="H121" s="303"/>
      <c r="I121" s="46"/>
      <c r="J121" s="46"/>
      <c r="K121" s="39"/>
      <c r="L121" s="472"/>
      <c r="M121" s="470"/>
      <c r="N121" s="39"/>
      <c r="O121" s="112"/>
    </row>
    <row r="122" spans="1:37" ht="15.5" x14ac:dyDescent="0.35">
      <c r="A122" s="307" t="s">
        <v>84</v>
      </c>
      <c r="B122" s="124" t="s">
        <v>84</v>
      </c>
      <c r="C122" s="124"/>
      <c r="D122" s="303"/>
      <c r="E122" s="303"/>
      <c r="F122" s="46"/>
      <c r="G122" s="303"/>
      <c r="H122" s="303"/>
      <c r="I122" s="46"/>
      <c r="J122" s="46"/>
      <c r="K122" s="112"/>
      <c r="L122" s="472"/>
      <c r="M122" s="469"/>
      <c r="N122" s="112"/>
      <c r="O122" s="112"/>
    </row>
    <row r="123" spans="1:37" ht="20" x14ac:dyDescent="0.4">
      <c r="A123" s="300" t="s">
        <v>1764</v>
      </c>
      <c r="B123" s="124"/>
      <c r="C123" s="124"/>
      <c r="D123" s="303"/>
      <c r="E123" s="303"/>
      <c r="F123" s="46"/>
      <c r="G123" s="303"/>
      <c r="H123" s="303"/>
      <c r="I123" s="46"/>
      <c r="J123" s="46"/>
      <c r="K123" s="112"/>
      <c r="L123" s="472"/>
      <c r="M123" s="469"/>
      <c r="N123" s="112"/>
      <c r="O123" s="112"/>
    </row>
    <row r="124" spans="1:37" ht="15.5" x14ac:dyDescent="0.35">
      <c r="A124" s="112" t="s">
        <v>84</v>
      </c>
      <c r="B124" s="124"/>
      <c r="C124" s="124"/>
      <c r="D124" s="112"/>
      <c r="E124" s="112"/>
      <c r="F124" s="112"/>
      <c r="G124" s="112"/>
      <c r="H124" s="112"/>
      <c r="I124" s="112"/>
      <c r="J124" s="112"/>
      <c r="K124" s="112"/>
      <c r="L124" s="472"/>
      <c r="M124" s="164"/>
      <c r="N124" s="112"/>
      <c r="O124" s="112"/>
    </row>
    <row r="125" spans="1:37" ht="17.5" x14ac:dyDescent="0.35">
      <c r="A125" s="302" t="s">
        <v>1860</v>
      </c>
      <c r="B125" s="124"/>
      <c r="C125" s="124"/>
      <c r="D125" s="303"/>
      <c r="E125" s="303"/>
      <c r="F125" s="46"/>
      <c r="G125" s="303"/>
      <c r="H125" s="303"/>
      <c r="I125" s="46"/>
      <c r="J125" s="46"/>
      <c r="K125" s="112"/>
      <c r="L125" s="472"/>
      <c r="M125" s="310" t="str">
        <f>IF(SUM($J126:$J129)&gt;$J$117,"Error","")</f>
        <v/>
      </c>
      <c r="N125" s="112"/>
      <c r="O125" s="131" t="str">
        <f>IF($M125="Error","Lines 93-96 ("&amp;($A125)&amp;") are, in total, greater than the Public Health total. Please check the figures are in 000's and correct this.","")</f>
        <v/>
      </c>
    </row>
    <row r="126" spans="1:37" ht="15.5" x14ac:dyDescent="0.35">
      <c r="A126" s="308">
        <v>93</v>
      </c>
      <c r="B126" s="124" t="s">
        <v>1861</v>
      </c>
      <c r="C126" s="124"/>
      <c r="D126" s="31"/>
      <c r="E126" s="31"/>
      <c r="F126" s="45"/>
      <c r="G126" s="31"/>
      <c r="H126" s="31"/>
      <c r="I126" s="45"/>
      <c r="J126" s="668"/>
      <c r="K126" s="112"/>
      <c r="L126" s="688" t="str">
        <f>IF(ISERROR(M126),"",IF((M126="Error"),"add explanation",IF((M126="Warning"),"add explanation","")))</f>
        <v/>
      </c>
      <c r="M126" s="310" t="str">
        <f>IF($J126&gt;$J$117,"Error",IF(AK126="Warning","Warning",""))</f>
        <v/>
      </c>
      <c r="N126" s="112"/>
      <c r="O126" s="131" t="str">
        <f>IF($M126="Error",($B126)&amp;" is greater than the Public Health total. Please check the figures are in 000's and correct this.",IF($M126="Warning","This year's figure is over "&amp;AC126/1000&amp;" million and "&amp;(AB126*100)&amp;"% different to "&amp;TEXT(AD126,"#,###")&amp;" last year, please explain",""))</f>
        <v/>
      </c>
      <c r="AB126">
        <f t="shared" ref="AB126:AB129" si="91">VLOOKUP("RO3"&amp;$A126,data_val_parameters,9,0)/100</f>
        <v>0.4</v>
      </c>
      <c r="AC126">
        <f t="shared" ref="AC126:AC129" si="92">VLOOKUP("RO3"&amp;$A126,data_val_parameters,7,0)</f>
        <v>2000</v>
      </c>
      <c r="AD126" s="645" t="e">
        <f t="shared" ref="AD126:AD129" si="93">VLOOKUP(LA_code,data_prev_year,MATCH("RO3"&amp;$A126&amp;"7",data_prev_year_headers,0),0)</f>
        <v>#N/A</v>
      </c>
      <c r="AE126" s="645" t="e">
        <f t="shared" ref="AE126" si="94">AD126+AC126</f>
        <v>#N/A</v>
      </c>
      <c r="AF126" s="645" t="e">
        <f t="shared" ref="AF126" si="95">AD126-AC126</f>
        <v>#N/A</v>
      </c>
      <c r="AG126" s="645" t="e">
        <f t="shared" ref="AG126" si="96">AD126+(AD126*AB126)</f>
        <v>#N/A</v>
      </c>
      <c r="AH126" s="645" t="e">
        <f t="shared" ref="AH126" si="97">AD126-(AD126*AB126)</f>
        <v>#N/A</v>
      </c>
      <c r="AI126" t="e">
        <f t="shared" ref="AI126" si="98">IF(OR(J126&lt;AF126,J126&gt;AE126),"Warning","")</f>
        <v>#N/A</v>
      </c>
      <c r="AJ126" t="e">
        <f t="shared" ref="AJ126" si="99">IF(OR(J126&gt;(AG126),J126&lt;(AH126)),"Warning","")</f>
        <v>#N/A</v>
      </c>
      <c r="AK126" t="str">
        <f t="shared" ref="AK126" si="100">IF(OR(J126=0),"",IF(AND(AI126="Warning",AJ126="Warning"),"Warning",""))</f>
        <v/>
      </c>
    </row>
    <row r="127" spans="1:37" ht="15.5" x14ac:dyDescent="0.35">
      <c r="A127" s="308">
        <v>94</v>
      </c>
      <c r="B127" s="124" t="s">
        <v>1862</v>
      </c>
      <c r="C127" s="124"/>
      <c r="D127" s="31"/>
      <c r="E127" s="31"/>
      <c r="F127" s="45"/>
      <c r="G127" s="31"/>
      <c r="H127" s="31"/>
      <c r="I127" s="45"/>
      <c r="J127" s="668"/>
      <c r="K127" s="112"/>
      <c r="L127" s="688" t="str">
        <f>IF(ISERROR(M127),"",IF((M127="Error"),"add explanation",IF((M127="Warning"),"add explanation","")))</f>
        <v/>
      </c>
      <c r="M127" s="310" t="str">
        <f t="shared" ref="M127:M128" si="101">IF($J127&gt;$J$117,"Error",IF(AK127="Warning","Warning",""))</f>
        <v/>
      </c>
      <c r="N127" s="112"/>
      <c r="O127" s="131" t="str">
        <f t="shared" ref="O127:O129" si="102">IF($M127="Error",($B127)&amp;" is greater than the Public Health total. Please check the figures are in 000's and correct this.",IF($M127="Warning","This year's figure is over "&amp;AC127/1000&amp;" million and "&amp;(AB127*100)&amp;"% different to "&amp;TEXT(AD127,"#,###")&amp;" last year, please explain",""))</f>
        <v/>
      </c>
      <c r="AB127">
        <f t="shared" si="91"/>
        <v>0.4</v>
      </c>
      <c r="AC127">
        <f t="shared" si="92"/>
        <v>2000</v>
      </c>
      <c r="AD127" s="645" t="e">
        <f t="shared" si="93"/>
        <v>#N/A</v>
      </c>
      <c r="AE127" s="645" t="e">
        <f t="shared" ref="AE127:AE129" si="103">AD127+AC127</f>
        <v>#N/A</v>
      </c>
      <c r="AF127" s="645" t="e">
        <f t="shared" ref="AF127:AF129" si="104">AD127-AC127</f>
        <v>#N/A</v>
      </c>
      <c r="AG127" s="645" t="e">
        <f t="shared" ref="AG127:AG129" si="105">AD127+(AD127*AB127)</f>
        <v>#N/A</v>
      </c>
      <c r="AH127" s="645" t="e">
        <f t="shared" ref="AH127:AH129" si="106">AD127-(AD127*AB127)</f>
        <v>#N/A</v>
      </c>
      <c r="AI127" t="e">
        <f t="shared" ref="AI127:AI129" si="107">IF(OR(J127&lt;AF127,J127&gt;AE127),"Warning","")</f>
        <v>#N/A</v>
      </c>
      <c r="AJ127" t="e">
        <f t="shared" ref="AJ127:AJ129" si="108">IF(OR(J127&gt;(AG127),J127&lt;(AH127)),"Warning","")</f>
        <v>#N/A</v>
      </c>
      <c r="AK127" t="str">
        <f t="shared" ref="AK127:AK129" si="109">IF(OR(J127=0),"",IF(AND(AI127="Warning",AJ127="Warning"),"Warning",""))</f>
        <v/>
      </c>
    </row>
    <row r="128" spans="1:37" ht="15.5" x14ac:dyDescent="0.35">
      <c r="A128" s="308">
        <v>95</v>
      </c>
      <c r="B128" s="124" t="s">
        <v>1863</v>
      </c>
      <c r="C128" s="124"/>
      <c r="D128" s="31"/>
      <c r="E128" s="31"/>
      <c r="F128" s="45"/>
      <c r="G128" s="31"/>
      <c r="H128" s="31"/>
      <c r="I128" s="45"/>
      <c r="J128" s="668"/>
      <c r="K128" s="112"/>
      <c r="L128" s="688" t="str">
        <f>IF(ISERROR(M128),"",IF((M128="Error"),"add explanation",IF((M128="Warning"),"add explanation","")))</f>
        <v/>
      </c>
      <c r="M128" s="310" t="str">
        <f t="shared" si="101"/>
        <v/>
      </c>
      <c r="N128" s="112"/>
      <c r="O128" s="131" t="str">
        <f t="shared" si="102"/>
        <v/>
      </c>
      <c r="AB128">
        <f t="shared" si="91"/>
        <v>0.4</v>
      </c>
      <c r="AC128">
        <f t="shared" si="92"/>
        <v>2000</v>
      </c>
      <c r="AD128" s="645" t="e">
        <f t="shared" si="93"/>
        <v>#N/A</v>
      </c>
      <c r="AE128" s="645" t="e">
        <f t="shared" si="103"/>
        <v>#N/A</v>
      </c>
      <c r="AF128" s="645" t="e">
        <f t="shared" si="104"/>
        <v>#N/A</v>
      </c>
      <c r="AG128" s="645" t="e">
        <f t="shared" si="105"/>
        <v>#N/A</v>
      </c>
      <c r="AH128" s="645" t="e">
        <f t="shared" si="106"/>
        <v>#N/A</v>
      </c>
      <c r="AI128" t="e">
        <f t="shared" si="107"/>
        <v>#N/A</v>
      </c>
      <c r="AJ128" t="e">
        <f t="shared" si="108"/>
        <v>#N/A</v>
      </c>
      <c r="AK128" t="str">
        <f t="shared" si="109"/>
        <v/>
      </c>
    </row>
    <row r="129" spans="1:37" ht="15.5" x14ac:dyDescent="0.35">
      <c r="A129" s="308">
        <v>96</v>
      </c>
      <c r="B129" s="124" t="s">
        <v>1864</v>
      </c>
      <c r="C129" s="124"/>
      <c r="D129" s="31"/>
      <c r="E129" s="31"/>
      <c r="F129" s="45"/>
      <c r="G129" s="31"/>
      <c r="H129" s="31"/>
      <c r="I129" s="45"/>
      <c r="J129" s="668"/>
      <c r="K129" s="112"/>
      <c r="L129" s="688" t="str">
        <f>IF(ISERROR(M129),"",IF((M129="Error"),"add explanation",IF((M129="Warning"),"add explanation","")))</f>
        <v/>
      </c>
      <c r="M129" s="310" t="str">
        <f>IF($J129&gt;$J$117,"Error",IF(AK129="Warning","Warning",""))</f>
        <v/>
      </c>
      <c r="N129" s="112"/>
      <c r="O129" s="131" t="str">
        <f t="shared" si="102"/>
        <v/>
      </c>
      <c r="AB129">
        <f t="shared" si="91"/>
        <v>0.4</v>
      </c>
      <c r="AC129">
        <f t="shared" si="92"/>
        <v>2000</v>
      </c>
      <c r="AD129" s="645" t="e">
        <f t="shared" si="93"/>
        <v>#N/A</v>
      </c>
      <c r="AE129" s="645" t="e">
        <f t="shared" si="103"/>
        <v>#N/A</v>
      </c>
      <c r="AF129" s="645" t="e">
        <f t="shared" si="104"/>
        <v>#N/A</v>
      </c>
      <c r="AG129" s="645" t="e">
        <f t="shared" si="105"/>
        <v>#N/A</v>
      </c>
      <c r="AH129" s="645" t="e">
        <f t="shared" si="106"/>
        <v>#N/A</v>
      </c>
      <c r="AI129" t="e">
        <f t="shared" si="107"/>
        <v>#N/A</v>
      </c>
      <c r="AJ129" t="e">
        <f t="shared" si="108"/>
        <v>#N/A</v>
      </c>
      <c r="AK129" t="str">
        <f t="shared" si="109"/>
        <v/>
      </c>
    </row>
    <row r="130" spans="1:37" ht="15.5" x14ac:dyDescent="0.35">
      <c r="A130" s="307" t="s">
        <v>84</v>
      </c>
      <c r="B130" s="124"/>
      <c r="C130" s="124"/>
      <c r="D130" s="303"/>
      <c r="E130" s="303"/>
      <c r="F130" s="46"/>
      <c r="G130" s="303"/>
      <c r="H130" s="303"/>
      <c r="I130" s="46"/>
      <c r="J130" s="46"/>
      <c r="K130" s="112"/>
      <c r="L130" s="689"/>
      <c r="M130" s="469"/>
      <c r="N130" s="112"/>
      <c r="O130" s="112"/>
    </row>
    <row r="131" spans="1:37" ht="17.5" x14ac:dyDescent="0.35">
      <c r="A131" s="302" t="s">
        <v>1865</v>
      </c>
      <c r="B131" s="124"/>
      <c r="C131" s="124"/>
      <c r="D131" s="303"/>
      <c r="E131" s="303"/>
      <c r="F131" s="46"/>
      <c r="G131" s="303"/>
      <c r="H131" s="303"/>
      <c r="I131" s="46"/>
      <c r="J131" s="46"/>
      <c r="K131" s="112"/>
      <c r="L131" s="689"/>
      <c r="M131" s="469"/>
      <c r="N131" s="112"/>
      <c r="O131" s="112"/>
    </row>
    <row r="132" spans="1:37" ht="15.5" x14ac:dyDescent="0.35">
      <c r="A132" s="115">
        <v>98</v>
      </c>
      <c r="B132" s="124" t="s">
        <v>1866</v>
      </c>
      <c r="C132" s="124"/>
      <c r="D132" s="668"/>
      <c r="E132" s="668"/>
      <c r="F132" s="669">
        <f>SUM(D132:E132)</f>
        <v>0</v>
      </c>
      <c r="G132" s="668"/>
      <c r="H132" s="668"/>
      <c r="I132" s="669">
        <f>SUM(G132:H132)</f>
        <v>0</v>
      </c>
      <c r="J132" s="669">
        <f>F132-I132</f>
        <v>0</v>
      </c>
      <c r="K132" s="4"/>
      <c r="L132" s="688" t="str">
        <f>IF(ISERROR(M132),"",IF((M132="Error"),"add explanation",IF((M132="Warning"),"add explanation","")))</f>
        <v/>
      </c>
      <c r="M132" s="310" t="str">
        <f>IF($J132&gt;$J$44,"Error",IF(AK132="Warning","Warning",""))</f>
        <v/>
      </c>
      <c r="N132" s="112"/>
      <c r="O132" s="131" t="str">
        <f>IF($M132="Error",($B132)&amp;", is greater than the Children's Social Care total. Please check the figures are in 000's and correct this.",IF($M132="Warning","This year's figure is over "&amp;AC132/1000&amp;" million and "&amp;(AB132*100)&amp;"%different to "&amp;TEXT(AD132,"#,###")&amp;" last year, please explain",""))</f>
        <v/>
      </c>
      <c r="AB132">
        <f t="shared" ref="AB132:AB134" si="110">VLOOKUP("RO3"&amp;$A132,data_val_parameters,9,0)/100</f>
        <v>0.4</v>
      </c>
      <c r="AC132">
        <f t="shared" ref="AC132:AC134" si="111">VLOOKUP("RO3"&amp;$A132,data_val_parameters,7,0)</f>
        <v>2000</v>
      </c>
      <c r="AD132" s="645" t="e">
        <f t="shared" ref="AD132:AD134" si="112">VLOOKUP(LA_code,data_prev_year,MATCH("RO3"&amp;$A132&amp;"7",data_prev_year_headers,0),0)</f>
        <v>#N/A</v>
      </c>
      <c r="AE132" s="645" t="e">
        <f t="shared" ref="AE132" si="113">AD132+AC132</f>
        <v>#N/A</v>
      </c>
      <c r="AF132" s="645" t="e">
        <f t="shared" ref="AF132" si="114">AD132-AC132</f>
        <v>#N/A</v>
      </c>
      <c r="AG132" s="645" t="e">
        <f t="shared" ref="AG132" si="115">AD132+(AD132*AB132)</f>
        <v>#N/A</v>
      </c>
      <c r="AH132" s="645" t="e">
        <f t="shared" ref="AH132" si="116">AD132-(AD132*AB132)</f>
        <v>#N/A</v>
      </c>
      <c r="AI132" t="e">
        <f t="shared" ref="AI132" si="117">IF(OR(J132&lt;AF132,J132&gt;AE132),"Warning","")</f>
        <v>#N/A</v>
      </c>
      <c r="AJ132" t="e">
        <f t="shared" ref="AJ132" si="118">IF(OR(J132&gt;(AG132),J132&lt;(AH132)),"Warning","")</f>
        <v>#N/A</v>
      </c>
      <c r="AK132" t="str">
        <f t="shared" ref="AK132" si="119">IF(OR(J132=0),"",IF(AND(AI132="Warning",AJ132="Warning"),"Warning",""))</f>
        <v/>
      </c>
    </row>
    <row r="133" spans="1:37" ht="15.5" x14ac:dyDescent="0.35">
      <c r="A133" s="110" t="s">
        <v>84</v>
      </c>
      <c r="B133" s="124"/>
      <c r="C133" s="124"/>
      <c r="D133" s="303"/>
      <c r="E133" s="303"/>
      <c r="F133" s="46"/>
      <c r="G133" s="303"/>
      <c r="H133" s="303"/>
      <c r="I133" s="46"/>
      <c r="J133" s="46"/>
      <c r="K133" s="112"/>
      <c r="L133" s="687"/>
      <c r="M133" s="469"/>
      <c r="N133" s="112"/>
      <c r="O133" s="131"/>
      <c r="AD133" s="645"/>
      <c r="AE133" s="645"/>
      <c r="AF133" s="645"/>
      <c r="AG133" s="645"/>
      <c r="AH133" s="645"/>
    </row>
    <row r="134" spans="1:37" ht="15.5" x14ac:dyDescent="0.35">
      <c r="A134" s="115">
        <v>99</v>
      </c>
      <c r="B134" s="124" t="s">
        <v>1867</v>
      </c>
      <c r="C134" s="124"/>
      <c r="D134" s="668"/>
      <c r="E134" s="668"/>
      <c r="F134" s="669">
        <f>SUM(D134:E134)</f>
        <v>0</v>
      </c>
      <c r="G134" s="668"/>
      <c r="H134" s="668"/>
      <c r="I134" s="669">
        <f>SUM(G134:H134)</f>
        <v>0</v>
      </c>
      <c r="J134" s="669">
        <f>F134-I134</f>
        <v>0</v>
      </c>
      <c r="K134" s="112"/>
      <c r="L134" s="688" t="str">
        <f>IF(ISERROR(M134),"",IF((M134="Error"),"add explanation",IF((M134="Warning"),"add explanation","")))</f>
        <v/>
      </c>
      <c r="M134" s="310" t="str">
        <f>IF($J134&gt;$J$83,"Error",IF(AK134="Warning","Warning",""))</f>
        <v/>
      </c>
      <c r="N134" s="112"/>
      <c r="O134" s="131" t="str">
        <f>IF($M134="Error",($B134)&amp;", is greater than the Adult's Social Care total. Please check the figures are in 000's and correct this.",IF($M134="Warning","This year's figure is over "&amp;AC134/1000&amp;" million and "&amp;(AB134*100)&amp;"%different to "&amp;TEXT(AD134,"#,###")&amp;" last year, please explain",""))</f>
        <v/>
      </c>
      <c r="AB134">
        <f t="shared" si="110"/>
        <v>0.4</v>
      </c>
      <c r="AC134">
        <f t="shared" si="111"/>
        <v>2000</v>
      </c>
      <c r="AD134" s="645" t="e">
        <f t="shared" si="112"/>
        <v>#N/A</v>
      </c>
      <c r="AE134" s="645" t="e">
        <f t="shared" ref="AE134" si="120">AD134+AC134</f>
        <v>#N/A</v>
      </c>
      <c r="AF134" s="645" t="e">
        <f t="shared" ref="AF134" si="121">AD134-AC134</f>
        <v>#N/A</v>
      </c>
      <c r="AG134" s="645" t="e">
        <f t="shared" ref="AG134" si="122">AD134+(AD134*AB134)</f>
        <v>#N/A</v>
      </c>
      <c r="AH134" s="645" t="e">
        <f t="shared" ref="AH134" si="123">AD134-(AD134*AB134)</f>
        <v>#N/A</v>
      </c>
      <c r="AI134" t="e">
        <f t="shared" ref="AI134" si="124">IF(OR(J134&lt;AF134,J134&gt;AE134),"Warning","")</f>
        <v>#N/A</v>
      </c>
      <c r="AJ134" t="e">
        <f t="shared" ref="AJ134" si="125">IF(OR(J134&gt;(AG134),J134&lt;(AH134)),"Warning","")</f>
        <v>#N/A</v>
      </c>
      <c r="AK134" t="str">
        <f t="shared" ref="AK134" si="126">IF(OR(J134=0),"",IF(AND(AI134="Warning",AJ134="Warning"),"Warning",""))</f>
        <v/>
      </c>
    </row>
    <row r="135" spans="1:37" ht="15.5" x14ac:dyDescent="0.35">
      <c r="A135" s="309" t="s">
        <v>84</v>
      </c>
      <c r="B135" s="124"/>
      <c r="C135" s="124"/>
      <c r="D135" s="65"/>
      <c r="E135" s="65"/>
      <c r="F135" s="54"/>
      <c r="G135" s="54"/>
      <c r="H135" s="54"/>
      <c r="I135" s="54"/>
      <c r="J135" s="54"/>
      <c r="K135" s="54"/>
      <c r="L135" s="54"/>
      <c r="M135" s="54"/>
      <c r="N135" s="54"/>
      <c r="O135" s="112"/>
    </row>
    <row r="136" spans="1:37" ht="15.5" x14ac:dyDescent="0.35">
      <c r="A136" s="112"/>
      <c r="B136" s="112"/>
      <c r="C136" s="112"/>
      <c r="D136" s="112"/>
      <c r="E136" s="112"/>
      <c r="F136" s="112"/>
      <c r="G136" s="112"/>
      <c r="H136" s="112"/>
      <c r="I136" s="112"/>
      <c r="J136" s="98"/>
      <c r="K136" s="112"/>
      <c r="L136" s="112"/>
      <c r="M136" s="112"/>
      <c r="N136" s="112"/>
      <c r="O136" s="112"/>
    </row>
    <row r="137" spans="1:37" x14ac:dyDescent="0.25">
      <c r="A137" s="112"/>
      <c r="B137" s="112"/>
      <c r="C137" s="112"/>
      <c r="D137" s="112"/>
      <c r="E137" s="112"/>
      <c r="F137" s="112"/>
      <c r="G137" s="112"/>
      <c r="H137" s="112"/>
      <c r="I137" s="112"/>
      <c r="J137" s="112"/>
      <c r="K137" s="112"/>
      <c r="L137" s="112"/>
      <c r="M137" s="112"/>
      <c r="N137" s="112"/>
      <c r="O137" s="112"/>
    </row>
    <row r="138" spans="1:37" x14ac:dyDescent="0.25">
      <c r="A138" s="112"/>
      <c r="B138" s="112"/>
      <c r="C138" s="112"/>
      <c r="D138" s="112"/>
      <c r="E138" s="112"/>
      <c r="F138" s="112"/>
      <c r="G138" s="112"/>
      <c r="H138" s="112"/>
      <c r="I138" s="112"/>
      <c r="J138" s="112"/>
      <c r="K138" s="112"/>
      <c r="L138" s="112"/>
      <c r="M138" s="112"/>
      <c r="N138" s="112"/>
      <c r="O138" s="112"/>
    </row>
    <row r="139" spans="1:37" x14ac:dyDescent="0.25"/>
    <row r="140" spans="1:37" x14ac:dyDescent="0.25"/>
    <row r="141" spans="1:37" x14ac:dyDescent="0.25"/>
    <row r="142" spans="1:37" x14ac:dyDescent="0.25"/>
    <row r="143" spans="1:37" x14ac:dyDescent="0.25"/>
    <row r="144" spans="1:37" x14ac:dyDescent="0.25"/>
    <row r="145" x14ac:dyDescent="0.25"/>
  </sheetData>
  <sheetProtection sheet="1" objects="1" scenarios="1"/>
  <protectedRanges>
    <protectedRange sqref="D132:E132 G132:H132 G126:H129 D126:E129 J83 E117:J117 D134:E134 G134:H134 J126:J129 E43 D43:D44 E105:E116 D105:D117 G90:H116 D90:E104 G51:H64 D51:E64 D81:E82 G67:H67 D67:E67 G70:H70 D70:E70 G73:H73 D73:E73 G76:H76 D76:E76 D80:J80 G81:H82 E44:J44 D31:E42 G31:H43 D83:I88" name="Range1"/>
    <protectedRange sqref="G65:H66 D65:E66 D68:E69" name="Range1_1"/>
    <protectedRange sqref="G68:H69" name="Range1_2"/>
    <protectedRange sqref="G71:H72 D71:E72" name="Range1_3"/>
    <protectedRange sqref="G74:H75 D74:E75" name="Range1_4"/>
    <protectedRange sqref="G77:H78 D77:E78" name="Range1_5"/>
  </protectedRanges>
  <mergeCells count="12">
    <mergeCell ref="D79:J79"/>
    <mergeCell ref="L64:N64"/>
    <mergeCell ref="L67:N67"/>
    <mergeCell ref="L70:N70"/>
    <mergeCell ref="L73:N73"/>
    <mergeCell ref="L76:N76"/>
    <mergeCell ref="A15:M15"/>
    <mergeCell ref="A1:N1"/>
    <mergeCell ref="A9:M9"/>
    <mergeCell ref="A10:M10"/>
    <mergeCell ref="A12:M12"/>
    <mergeCell ref="A14:M14"/>
  </mergeCells>
  <phoneticPr fontId="0" type="noConversion"/>
  <conditionalFormatting sqref="A17">
    <cfRule type="containsText" dxfId="110" priority="138" operator="containsText" text="resolve">
      <formula>NOT(ISERROR(SEARCH("resolve",A17)))</formula>
    </cfRule>
  </conditionalFormatting>
  <conditionalFormatting sqref="B17">
    <cfRule type="expression" dxfId="109" priority="128">
      <formula>ISNUMBER(SEARCH(Z17,A17))</formula>
    </cfRule>
  </conditionalFormatting>
  <conditionalFormatting sqref="C17">
    <cfRule type="expression" dxfId="108" priority="127">
      <formula>ISNUMBER(SEARCH(Z17,A17))</formula>
    </cfRule>
  </conditionalFormatting>
  <conditionalFormatting sqref="D17">
    <cfRule type="expression" dxfId="107" priority="126">
      <formula>ISNUMBER(SEARCH(Z17,A17))</formula>
    </cfRule>
  </conditionalFormatting>
  <conditionalFormatting sqref="D64:E64">
    <cfRule type="expression" dxfId="106" priority="34">
      <formula>SUM(D65+D66)&lt;&gt;D64</formula>
    </cfRule>
  </conditionalFormatting>
  <conditionalFormatting sqref="D67:E67">
    <cfRule type="expression" dxfId="105" priority="32">
      <formula>SUM(D68+D69)&lt;&gt;D67</formula>
    </cfRule>
  </conditionalFormatting>
  <conditionalFormatting sqref="D70:E70">
    <cfRule type="expression" dxfId="104" priority="30">
      <formula>SUM(D71+D72)&lt;&gt;D70</formula>
    </cfRule>
  </conditionalFormatting>
  <conditionalFormatting sqref="D73:E73">
    <cfRule type="expression" dxfId="103" priority="28">
      <formula>SUM(D74+D75)&lt;&gt;D73</formula>
    </cfRule>
  </conditionalFormatting>
  <conditionalFormatting sqref="D76:E76">
    <cfRule type="expression" dxfId="102" priority="26">
      <formula>SUM(D77+D78)&lt;&gt;D76</formula>
    </cfRule>
  </conditionalFormatting>
  <conditionalFormatting sqref="E17">
    <cfRule type="expression" dxfId="101" priority="125">
      <formula>ISNUMBER(SEARCH(Z17,A17))</formula>
    </cfRule>
  </conditionalFormatting>
  <conditionalFormatting sqref="F17">
    <cfRule type="expression" dxfId="100" priority="124">
      <formula>ISNUMBER(SEARCH(Z17,A17))</formula>
    </cfRule>
  </conditionalFormatting>
  <conditionalFormatting sqref="F64:F78">
    <cfRule type="expression" dxfId="99" priority="51">
      <formula>SUM(D64+E64)&lt;&gt;F64</formula>
    </cfRule>
  </conditionalFormatting>
  <conditionalFormatting sqref="G17">
    <cfRule type="expression" dxfId="98" priority="123">
      <formula>ISNUMBER(SEARCH(Z17,A17))</formula>
    </cfRule>
  </conditionalFormatting>
  <conditionalFormatting sqref="G64:H64">
    <cfRule type="expression" dxfId="97" priority="20">
      <formula>SUM(G65+G66)&lt;&gt;G64</formula>
    </cfRule>
  </conditionalFormatting>
  <conditionalFormatting sqref="G67:H67">
    <cfRule type="expression" dxfId="96" priority="19">
      <formula>SUM(G68+G69)&lt;&gt;G67</formula>
    </cfRule>
  </conditionalFormatting>
  <conditionalFormatting sqref="G70:H70">
    <cfRule type="expression" dxfId="95" priority="18">
      <formula>SUM(G71+G72)&lt;&gt;G70</formula>
    </cfRule>
  </conditionalFormatting>
  <conditionalFormatting sqref="G73:H73">
    <cfRule type="expression" dxfId="94" priority="17">
      <formula>SUM(G74+G75)&lt;&gt;G73</formula>
    </cfRule>
  </conditionalFormatting>
  <conditionalFormatting sqref="G76:H76">
    <cfRule type="expression" dxfId="93" priority="16">
      <formula>SUM(G77+G78)&lt;&gt;G76</formula>
    </cfRule>
  </conditionalFormatting>
  <conditionalFormatting sqref="H17">
    <cfRule type="expression" dxfId="92" priority="122">
      <formula>ISNUMBER(SEARCH(Z17,A17))</formula>
    </cfRule>
  </conditionalFormatting>
  <conditionalFormatting sqref="I17">
    <cfRule type="expression" dxfId="91" priority="121">
      <formula>ISNUMBER(SEARCH(Z17,A17))</formula>
    </cfRule>
  </conditionalFormatting>
  <conditionalFormatting sqref="I64:I77">
    <cfRule type="expression" dxfId="90" priority="37">
      <formula>SUM(G64+H64)&lt;&gt;I64</formula>
    </cfRule>
  </conditionalFormatting>
  <conditionalFormatting sqref="I78">
    <cfRule type="expression" dxfId="89" priority="36">
      <formula>SUM(G75+H75)&lt;&gt;I75</formula>
    </cfRule>
  </conditionalFormatting>
  <conditionalFormatting sqref="J17">
    <cfRule type="expression" dxfId="88" priority="120">
      <formula>ISNUMBER(SEARCH(Z17,A17))</formula>
    </cfRule>
  </conditionalFormatting>
  <conditionalFormatting sqref="J64:J78">
    <cfRule type="expression" dxfId="87" priority="1">
      <formula>SUM(F64-I64)&lt;&gt;J64</formula>
    </cfRule>
  </conditionalFormatting>
  <conditionalFormatting sqref="M83:M134 M31:M63">
    <cfRule type="containsText" dxfId="86" priority="163" operator="containsText" text="Information">
      <formula>NOT(ISERROR(SEARCH("Information",M31)))</formula>
    </cfRule>
    <cfRule type="containsText" dxfId="85" priority="164" operator="containsText" text="Warning">
      <formula>NOT(ISERROR(SEARCH("Warning",M31)))</formula>
    </cfRule>
    <cfRule type="containsText" dxfId="84" priority="165" operator="containsText" text="Error">
      <formula>NOT(ISERROR(SEARCH("Error",M31)))</formula>
    </cfRule>
  </conditionalFormatting>
  <conditionalFormatting sqref="M65:M66">
    <cfRule type="containsText" dxfId="83" priority="90" operator="containsText" text="Information">
      <formula>NOT(ISERROR(SEARCH("Information",M65)))</formula>
    </cfRule>
    <cfRule type="containsText" dxfId="82" priority="91" operator="containsText" text="Warning">
      <formula>NOT(ISERROR(SEARCH("Warning",M65)))</formula>
    </cfRule>
    <cfRule type="containsText" dxfId="81" priority="92" operator="containsText" text="Error">
      <formula>NOT(ISERROR(SEARCH("Error",M65)))</formula>
    </cfRule>
  </conditionalFormatting>
  <conditionalFormatting sqref="M68:M69">
    <cfRule type="containsText" dxfId="80" priority="89" operator="containsText" text="Error">
      <formula>NOT(ISERROR(SEARCH("Error",M68)))</formula>
    </cfRule>
    <cfRule type="containsText" dxfId="79" priority="87" operator="containsText" text="Information">
      <formula>NOT(ISERROR(SEARCH("Information",M68)))</formula>
    </cfRule>
    <cfRule type="containsText" dxfId="78" priority="88" operator="containsText" text="Warning">
      <formula>NOT(ISERROR(SEARCH("Warning",M68)))</formula>
    </cfRule>
  </conditionalFormatting>
  <conditionalFormatting sqref="M71:M72">
    <cfRule type="containsText" dxfId="77" priority="86" operator="containsText" text="Error">
      <formula>NOT(ISERROR(SEARCH("Error",M71)))</formula>
    </cfRule>
    <cfRule type="containsText" dxfId="76" priority="85" operator="containsText" text="Warning">
      <formula>NOT(ISERROR(SEARCH("Warning",M71)))</formula>
    </cfRule>
    <cfRule type="containsText" dxfId="75" priority="84" operator="containsText" text="Information">
      <formula>NOT(ISERROR(SEARCH("Information",M71)))</formula>
    </cfRule>
  </conditionalFormatting>
  <conditionalFormatting sqref="M74:M75">
    <cfRule type="containsText" dxfId="74" priority="83" operator="containsText" text="Error">
      <formula>NOT(ISERROR(SEARCH("Error",M74)))</formula>
    </cfRule>
    <cfRule type="containsText" dxfId="73" priority="82" operator="containsText" text="Warning">
      <formula>NOT(ISERROR(SEARCH("Warning",M74)))</formula>
    </cfRule>
    <cfRule type="containsText" dxfId="72" priority="81" operator="containsText" text="Information">
      <formula>NOT(ISERROR(SEARCH("Information",M74)))</formula>
    </cfRule>
  </conditionalFormatting>
  <conditionalFormatting sqref="M77:M82">
    <cfRule type="containsText" dxfId="71" priority="78" operator="containsText" text="Information">
      <formula>NOT(ISERROR(SEARCH("Information",M77)))</formula>
    </cfRule>
    <cfRule type="containsText" dxfId="70" priority="80" operator="containsText" text="Error">
      <formula>NOT(ISERROR(SEARCH("Error",M77)))</formula>
    </cfRule>
    <cfRule type="containsText" dxfId="69" priority="79" operator="containsText" text="Warning">
      <formula>NOT(ISERROR(SEARCH("Warning",M77)))</formula>
    </cfRule>
  </conditionalFormatting>
  <conditionalFormatting sqref="P62:P63">
    <cfRule type="containsText" dxfId="68" priority="117" operator="containsText" text="Information">
      <formula>NOT(ISERROR(SEARCH("Information",P62)))</formula>
    </cfRule>
    <cfRule type="containsText" dxfId="67" priority="118" operator="containsText" text="Warning">
      <formula>NOT(ISERROR(SEARCH("Warning",P62)))</formula>
    </cfRule>
    <cfRule type="containsText" dxfId="66" priority="119" operator="containsText" text="Error">
      <formula>NOT(ISERROR(SEARCH("Error",P62)))</formula>
    </cfRule>
  </conditionalFormatting>
  <conditionalFormatting sqref="Q64 Q67 Q70 Q73 Q76">
    <cfRule type="containsText" dxfId="65" priority="99" operator="containsText" text="Information">
      <formula>NOT(ISERROR(SEARCH("Information",Q64)))</formula>
    </cfRule>
    <cfRule type="containsText" dxfId="64" priority="100" operator="containsText" text="Warning">
      <formula>NOT(ISERROR(SEARCH("Warning",Q64)))</formula>
    </cfRule>
    <cfRule type="containsText" dxfId="63" priority="101" operator="containsText" text="Error">
      <formula>NOT(ISERROR(SEARCH("Error",Q64)))</formula>
    </cfRule>
  </conditionalFormatting>
  <hyperlinks>
    <hyperlink ref="L31" location="Memo!C340" display="Memo!C340" xr:uid="{00000000-0004-0000-0600-000000000000}"/>
    <hyperlink ref="L32" location="Memo!C341" display="Memo!C341" xr:uid="{00000000-0004-0000-0600-000001000000}"/>
    <hyperlink ref="L37" location="Memo!C342" display="Memo!C342" xr:uid="{00000000-0004-0000-0600-000002000000}"/>
    <hyperlink ref="L38" location="Memo!C343" display="Memo!C343" xr:uid="{00000000-0004-0000-0600-000003000000}"/>
    <hyperlink ref="L39" location="Memo!C344" display="Memo!C344" xr:uid="{00000000-0004-0000-0600-000004000000}"/>
    <hyperlink ref="L40" location="Memo!C345" display="Memo!C345" xr:uid="{00000000-0004-0000-0600-000005000000}"/>
    <hyperlink ref="L41" location="Memo!C346" display="Memo!C346" xr:uid="{00000000-0004-0000-0600-000006000000}"/>
    <hyperlink ref="L42" location="Memo!C347" display="Memo!C347" xr:uid="{00000000-0004-0000-0600-000007000000}"/>
    <hyperlink ref="L44" location="Memo!C348" display="Memo!C348" xr:uid="{00000000-0004-0000-0600-000008000000}"/>
    <hyperlink ref="L51" location="Memo!C349" display="Memo!C349" xr:uid="{00000000-0004-0000-0600-000009000000}"/>
    <hyperlink ref="L52" location="Memo!C350" display="Memo!C350" xr:uid="{00000000-0004-0000-0600-00000A000000}"/>
    <hyperlink ref="L53" location="Memo!C351" display="Memo!C351" xr:uid="{00000000-0004-0000-0600-00000B000000}"/>
    <hyperlink ref="L54" location="Memo!C352" display="Memo!C352" xr:uid="{00000000-0004-0000-0600-00000C000000}"/>
    <hyperlink ref="L55" location="Memo!C353" display="Memo!C353" xr:uid="{00000000-0004-0000-0600-00000D000000}"/>
    <hyperlink ref="L56" location="Memo!C354" display="Memo!C354" xr:uid="{00000000-0004-0000-0600-00000E000000}"/>
    <hyperlink ref="L57" location="Memo!C355" display="Memo!C355" xr:uid="{00000000-0004-0000-0600-00000F000000}"/>
    <hyperlink ref="L58" location="Memo!C356" display="Memo!C356" xr:uid="{00000000-0004-0000-0600-000010000000}"/>
    <hyperlink ref="L59" location="Memo!C357" display="Memo!C357" xr:uid="{00000000-0004-0000-0600-000011000000}"/>
    <hyperlink ref="L60" location="Memo!C358" display="Memo!C358" xr:uid="{00000000-0004-0000-0600-000012000000}"/>
    <hyperlink ref="L61" location="Memo!C359" display="Memo!C359" xr:uid="{00000000-0004-0000-0600-000013000000}"/>
    <hyperlink ref="L83" location="Memo!C370" display="Memo!C370" xr:uid="{00000000-0004-0000-0600-00001B000000}"/>
    <hyperlink ref="L90" location="Memo!C372" display="Memo!C372" xr:uid="{00000000-0004-0000-0600-00001C000000}"/>
    <hyperlink ref="L117" location="Memo!C398" display="Memo!C398" xr:uid="{00000000-0004-0000-0600-000034000000}"/>
    <hyperlink ref="L126" location="Memo!C401" display="Memo!C401" xr:uid="{00000000-0004-0000-0600-000035000000}"/>
    <hyperlink ref="L127" location="Memo!C402" display="Memo!C402" xr:uid="{00000000-0004-0000-0600-000036000000}"/>
    <hyperlink ref="L128" location="Memo!C403" display="Memo!C403" xr:uid="{00000000-0004-0000-0600-000037000000}"/>
    <hyperlink ref="L129" location="Memo!C404" display="Memo!C404" xr:uid="{00000000-0004-0000-0600-000038000000}"/>
    <hyperlink ref="L132" location="Memo!C399" display="Memo!C399" xr:uid="{00000000-0004-0000-0600-000039000000}"/>
    <hyperlink ref="L134" location="Memo!C400" display="Memo!C400" xr:uid="{00000000-0004-0000-0600-00003A000000}"/>
    <hyperlink ref="P76" location="Memo!C366" display="Memo!C366" xr:uid="{D2B8614E-4C22-484F-96F1-2FC311AEBE66}"/>
    <hyperlink ref="P73" location="Memo!C365" display="Memo!C365" xr:uid="{8C441BE1-2B1C-489D-AA64-AFA04C15D396}"/>
    <hyperlink ref="L62" location="Memo!C360" display="Memo!C360" xr:uid="{2ACA47AC-5692-4051-BC11-C18364ED5AA4}"/>
    <hyperlink ref="P64" location="Memo!C356" display="Memo!C356" xr:uid="{6E641BE4-24C6-4946-9D75-7B03B145C6F4}"/>
    <hyperlink ref="P67" location="Memo!C363" display="Memo!C363" xr:uid="{AB21856C-A6AA-4584-8F26-7C417B07F693}"/>
    <hyperlink ref="P70" location="Memo!C364" display="Memo!C364" xr:uid="{F9DEB1DF-72F6-47A1-A7F2-E0D8F9ABB3EE}"/>
    <hyperlink ref="L114:L115" location="Memo!C349" display="Memo!C349" xr:uid="{227C0516-B739-4122-BE25-6FBE6B907E73}"/>
    <hyperlink ref="L81" location="Memo!C368" display="Memo!C368" xr:uid="{B4C58050-4885-488E-B393-A5569B1E2EF7}"/>
    <hyperlink ref="L91:L113" location="Memo!C365" display="Memo!C365" xr:uid="{4ABD083C-BFBA-4C20-89AB-094FECF00C1D}"/>
    <hyperlink ref="L91" location="Memo!C373" display="Memo!C373" xr:uid="{89EE9756-8A82-4D61-934E-4CD21CB1F7E6}"/>
    <hyperlink ref="L92" location="Memo!C374" display="Memo!C374" xr:uid="{7F15DC75-7780-4247-BC9E-3901FE6A2740}"/>
    <hyperlink ref="L93" location="Memo!C375" display="Memo!C375" xr:uid="{FFB6AE0C-1189-4E9D-BDF0-9235D0F27D94}"/>
    <hyperlink ref="L94" location="Memo!C376" display="Memo!C376" xr:uid="{95CC2389-490C-41E1-ACA3-81A161668C39}"/>
    <hyperlink ref="L95" location="Memo!C377" display="Memo!C377" xr:uid="{92348BC6-26C3-4714-A6C5-027252253BD3}"/>
    <hyperlink ref="L96" location="Memo!C378" display="Memo!C378" xr:uid="{CC02B5A5-5EF6-4C35-9E04-C1164790BBCE}"/>
    <hyperlink ref="L97" location="Memo!C379" display="Memo!C379" xr:uid="{5C1BACE9-2F9E-4D35-B8C8-8B8426FF1EE1}"/>
    <hyperlink ref="L98" location="Memo!C380" display="Memo!C380" xr:uid="{68E49BD3-581C-4A24-A2AE-6C2E2D5EEABB}"/>
    <hyperlink ref="L99" location="Memo!C381" display="Memo!C381" xr:uid="{D536A926-2FA4-433B-958A-4EB4365BF333}"/>
    <hyperlink ref="L100" location="Memo!C382" display="Memo!C382" xr:uid="{98BAE0D1-B313-46DB-B386-97315D00FEF3}"/>
    <hyperlink ref="L101" location="Memo!C383" display="Memo!C383" xr:uid="{CEE41AF4-A7F7-4D29-AD43-5B28CF791D14}"/>
    <hyperlink ref="L102" location="Memo!C384" display="Memo!C384" xr:uid="{410A6D92-F3B5-4E0D-80D6-49E1EA8DBF61}"/>
    <hyperlink ref="L103" location="Memo!C385" display="Memo!C385" xr:uid="{9BE7C207-4A57-4ECE-AAD3-7B435DEA8A83}"/>
    <hyperlink ref="L104" location="Memo!C386" display="Memo!C386" xr:uid="{86B9D9E7-C358-4FD0-A5E1-F4470F4A7A70}"/>
    <hyperlink ref="L105" location="Memo!C387" display="Memo!C387" xr:uid="{C385905C-83A4-4276-9491-85716B9A69C9}"/>
    <hyperlink ref="L106" location="Memo!C388" display="Memo!C388" xr:uid="{A42C4946-119F-460E-97E5-3795B100CB07}"/>
    <hyperlink ref="L107" location="Memo!C389" display="Memo!C389" xr:uid="{1C19D153-8570-47A5-9A6D-44BD1AB080CF}"/>
    <hyperlink ref="L108" location="Memo!C390" display="Memo!C390" xr:uid="{9513CCB9-52EF-4ADB-B994-0484225326AD}"/>
    <hyperlink ref="L109" location="Memo!C391" display="Memo!C391" xr:uid="{7FBF87A8-2379-43B1-91BE-038C63030A32}"/>
    <hyperlink ref="L110" location="Memo!C392" display="Memo!C392" xr:uid="{2DABF5A7-6C4C-47F4-BFD8-9FC6ECBAC4BB}"/>
    <hyperlink ref="L111" location="Memo!C393" display="Memo!C393" xr:uid="{3363F171-5DB8-476B-B4DA-E4F493D3F47C}"/>
    <hyperlink ref="L112" location="Memo!C394" display="Memo!C394" xr:uid="{841C7A50-A81C-47C5-9C77-FA2459B32605}"/>
    <hyperlink ref="L113" location="Memo!C395" display="Memo!C395" xr:uid="{AD9F3F4B-68F7-4708-910C-169867E1801F}"/>
    <hyperlink ref="L114" location="Memo!C396" display="Memo!C396" xr:uid="{B8B33154-16C0-4388-91B9-BCEF0B27566C}"/>
    <hyperlink ref="L115" location="Memo!C397" display="Memo!C397" xr:uid="{71A84218-565E-401F-90AA-DF83F737EC57}"/>
    <hyperlink ref="L33:L36" location="Memo!C342" display="Memo!C342" xr:uid="{5BDDFBFA-CA42-4CD8-AA29-C36E4E7642CB}"/>
    <hyperlink ref="L63" location="Memo!C360" display="Memo!C360" xr:uid="{864F8991-179F-460F-A6B7-27412A2A3E13}"/>
    <hyperlink ref="L82" location="Memo!C368" display="Memo!C368" xr:uid="{42700FA6-0C72-40CA-809A-EA36D66C62DD}"/>
  </hyperlinks>
  <printOptions horizontalCentered="1"/>
  <pageMargins left="0.39370078740157483" right="0.39370078740157483" top="0.39370078740157483" bottom="0.39370078740157483" header="0.19685039370078741" footer="0.19685039370078741"/>
  <pageSetup paperSize="9" scale="55" fitToHeight="2" orientation="landscape" r:id="rId1"/>
  <headerFooter alignWithMargins="0"/>
  <ignoredErrors>
    <ignoredError sqref="D26:J26 D28:J28" numberStoredAsText="1"/>
  </ignoredError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theme="8" tint="0.79998168889431442"/>
  </sheetPr>
  <dimension ref="A1:AK117"/>
  <sheetViews>
    <sheetView showGridLines="0" zoomScale="80" zoomScaleNormal="80" zoomScaleSheetLayoutView="30" workbookViewId="0">
      <pane ySplit="1" topLeftCell="A2" activePane="bottomLeft" state="frozen"/>
      <selection pane="bottomLeft" sqref="A1:N1"/>
    </sheetView>
  </sheetViews>
  <sheetFormatPr defaultColWidth="0" defaultRowHeight="12.5" zeroHeight="1" x14ac:dyDescent="0.25"/>
  <cols>
    <col min="1" max="1" width="8.7265625" customWidth="1"/>
    <col min="2" max="2" width="85.7265625" customWidth="1"/>
    <col min="3" max="3" width="6.7265625" customWidth="1"/>
    <col min="4" max="10" width="16.7265625" customWidth="1"/>
    <col min="11" max="11" width="2.7265625" customWidth="1"/>
    <col min="12" max="13" width="16.7265625" customWidth="1"/>
    <col min="14" max="14" width="2.7265625" customWidth="1"/>
    <col min="15" max="15" width="60.7265625" customWidth="1"/>
    <col min="16" max="16" width="12.54296875" customWidth="1"/>
    <col min="17" max="16384" width="12.54296875" hidden="1"/>
  </cols>
  <sheetData>
    <row r="1" spans="1:19" ht="60" customHeight="1" x14ac:dyDescent="0.25">
      <c r="A1" s="1206" t="str">
        <f>ContactDetails!A36</f>
        <v>IMPORTANT: Please DO NOT alter this spreadsheet by inserting/deleting, merging any cells, or even using cut &amp; paste, as the data from this spreadsheet are directly transferred into the DLUHC database by a macro and these could break the references in the form.</v>
      </c>
      <c r="B1" s="1206"/>
      <c r="C1" s="1206"/>
      <c r="D1" s="1207"/>
      <c r="E1" s="1207"/>
      <c r="F1" s="1207"/>
      <c r="G1" s="1207"/>
      <c r="H1" s="1207"/>
      <c r="I1" s="1207"/>
      <c r="J1" s="1207"/>
      <c r="K1" s="1207"/>
      <c r="L1" s="1207"/>
      <c r="M1" s="1207"/>
      <c r="N1" s="1207"/>
      <c r="O1" s="112"/>
    </row>
    <row r="2" spans="1:19" ht="12.75" customHeight="1" x14ac:dyDescent="0.35">
      <c r="A2" s="178"/>
      <c r="B2" s="178"/>
      <c r="C2" s="179"/>
      <c r="D2" s="180"/>
      <c r="E2" s="4"/>
      <c r="F2" s="4"/>
      <c r="G2" s="54"/>
      <c r="H2" s="181"/>
      <c r="I2" s="112"/>
      <c r="J2" s="112"/>
      <c r="K2" s="112"/>
      <c r="L2" s="112"/>
      <c r="M2" s="112"/>
      <c r="N2" s="112"/>
      <c r="O2" s="112"/>
    </row>
    <row r="3" spans="1:19" ht="27.75" customHeight="1" x14ac:dyDescent="0.6">
      <c r="A3" s="178"/>
      <c r="B3" s="178"/>
      <c r="C3" s="179"/>
      <c r="D3" s="180"/>
      <c r="E3" s="4"/>
      <c r="F3" s="4"/>
      <c r="G3" s="112"/>
      <c r="H3" s="112"/>
      <c r="I3" s="112"/>
      <c r="J3" s="112"/>
      <c r="K3" s="112"/>
      <c r="L3" s="112"/>
      <c r="M3" s="165" t="str">
        <f>"RO4 "&amp;fyear</f>
        <v>RO4 2022-23</v>
      </c>
      <c r="N3" s="112"/>
      <c r="O3" s="112"/>
    </row>
    <row r="4" spans="1:19" ht="12.75" customHeight="1" x14ac:dyDescent="0.35">
      <c r="A4" s="178"/>
      <c r="B4" s="178"/>
      <c r="C4" s="179"/>
      <c r="D4" s="180"/>
      <c r="E4" s="4"/>
      <c r="F4" s="4"/>
      <c r="G4" s="112"/>
      <c r="H4" s="112"/>
      <c r="I4" s="112"/>
      <c r="J4" s="112"/>
      <c r="K4" s="112"/>
      <c r="L4" s="112"/>
      <c r="M4" s="112"/>
      <c r="N4" s="112"/>
      <c r="O4" s="112"/>
    </row>
    <row r="5" spans="1:19" ht="12.75" customHeight="1" x14ac:dyDescent="0.35">
      <c r="A5" s="178"/>
      <c r="B5" s="178"/>
      <c r="C5" s="179"/>
      <c r="D5" s="180"/>
      <c r="E5" s="4"/>
      <c r="F5" s="4"/>
      <c r="G5" s="112"/>
      <c r="H5" s="112"/>
      <c r="I5" s="112"/>
      <c r="J5" s="112"/>
      <c r="K5" s="112"/>
      <c r="L5" s="112"/>
      <c r="M5" s="112"/>
      <c r="N5" s="112"/>
      <c r="O5" s="112"/>
    </row>
    <row r="6" spans="1:19" ht="12.75" customHeight="1" x14ac:dyDescent="0.35">
      <c r="A6" s="178"/>
      <c r="B6" s="178"/>
      <c r="C6" s="179"/>
      <c r="D6" s="180"/>
      <c r="E6" s="4"/>
      <c r="F6" s="4"/>
      <c r="G6" s="112"/>
      <c r="H6" s="112"/>
      <c r="I6" s="112"/>
      <c r="J6" s="112"/>
      <c r="K6" s="112"/>
      <c r="L6" s="112"/>
      <c r="M6" s="112"/>
      <c r="N6" s="112"/>
      <c r="O6" s="112"/>
    </row>
    <row r="7" spans="1:19" ht="12.75" customHeight="1" x14ac:dyDescent="0.35">
      <c r="A7" s="178"/>
      <c r="B7" s="178"/>
      <c r="C7" s="179"/>
      <c r="D7" s="180"/>
      <c r="E7" s="4"/>
      <c r="F7" s="4"/>
      <c r="G7" s="112"/>
      <c r="H7" s="112"/>
      <c r="I7" s="112"/>
      <c r="J7" s="112"/>
      <c r="K7" s="112"/>
      <c r="L7" s="112"/>
      <c r="M7" s="112"/>
      <c r="N7" s="112"/>
      <c r="O7" s="112"/>
    </row>
    <row r="8" spans="1:19" ht="12.75" customHeight="1" x14ac:dyDescent="0.35">
      <c r="A8" s="178"/>
      <c r="B8" s="178"/>
      <c r="C8" s="179"/>
      <c r="D8" s="180"/>
      <c r="E8" s="4"/>
      <c r="F8" s="4"/>
      <c r="G8" s="112"/>
      <c r="H8" s="112"/>
      <c r="I8" s="112"/>
      <c r="J8" s="112"/>
      <c r="K8" s="112"/>
      <c r="L8" s="112"/>
      <c r="M8" s="112"/>
      <c r="N8" s="112"/>
      <c r="O8" s="112"/>
    </row>
    <row r="9" spans="1:19" ht="33" customHeight="1" x14ac:dyDescent="0.25">
      <c r="A9" s="1195" t="str">
        <f>RS!$A$10</f>
        <v>General Fund Revenue Account Outturn</v>
      </c>
      <c r="B9" s="1195"/>
      <c r="C9" s="1195"/>
      <c r="D9" s="1195"/>
      <c r="E9" s="1195"/>
      <c r="F9" s="1195"/>
      <c r="G9" s="1195"/>
      <c r="H9" s="1195"/>
      <c r="I9" s="1195"/>
      <c r="J9" s="1195"/>
      <c r="K9" s="1195"/>
      <c r="L9" s="1195"/>
      <c r="M9" s="1195"/>
      <c r="N9" s="183"/>
      <c r="O9" s="183"/>
      <c r="P9" s="132"/>
      <c r="Q9" s="132"/>
      <c r="R9" s="132"/>
      <c r="S9" s="132"/>
    </row>
    <row r="10" spans="1:19" ht="33" customHeight="1" x14ac:dyDescent="0.25">
      <c r="A10" s="1214" t="str">
        <f>"RO4 –  HOUSING SERVICES "&amp;fyear</f>
        <v>RO4 –  HOUSING SERVICES 2022-23</v>
      </c>
      <c r="B10" s="1214"/>
      <c r="C10" s="1214"/>
      <c r="D10" s="1214"/>
      <c r="E10" s="1214"/>
      <c r="F10" s="1214"/>
      <c r="G10" s="1214"/>
      <c r="H10" s="1214"/>
      <c r="I10" s="1214"/>
      <c r="J10" s="1214"/>
      <c r="K10" s="1214"/>
      <c r="L10" s="1214"/>
      <c r="M10" s="1214"/>
      <c r="N10" s="183"/>
      <c r="O10" s="183"/>
      <c r="P10" s="132"/>
      <c r="Q10" s="132"/>
      <c r="R10" s="132"/>
      <c r="S10" s="132"/>
    </row>
    <row r="11" spans="1:19" ht="14.15" customHeight="1" x14ac:dyDescent="0.35">
      <c r="A11" s="178"/>
      <c r="B11" s="178"/>
      <c r="C11" s="179"/>
      <c r="D11" s="180"/>
      <c r="E11" s="4"/>
      <c r="F11" s="4"/>
      <c r="G11" s="112"/>
      <c r="H11" s="112"/>
      <c r="I11" s="112"/>
      <c r="J11" s="112"/>
      <c r="K11" s="112"/>
      <c r="L11" s="112"/>
      <c r="M11" s="112"/>
      <c r="N11" s="112"/>
      <c r="O11" s="112"/>
    </row>
    <row r="12" spans="1:19" ht="18.75" customHeight="1" x14ac:dyDescent="0.4">
      <c r="A12" s="1165" t="s">
        <v>1373</v>
      </c>
      <c r="B12" s="1165"/>
      <c r="C12" s="1165"/>
      <c r="D12" s="1165"/>
      <c r="E12" s="1165"/>
      <c r="F12" s="1165"/>
      <c r="G12" s="1165"/>
      <c r="H12" s="1165"/>
      <c r="I12" s="1165"/>
      <c r="J12" s="1165"/>
      <c r="K12" s="1165"/>
      <c r="L12" s="1165"/>
      <c r="M12" s="1165"/>
      <c r="N12" s="112"/>
      <c r="O12" s="112"/>
    </row>
    <row r="13" spans="1:19" ht="12" customHeight="1" x14ac:dyDescent="0.3">
      <c r="A13" s="54"/>
      <c r="B13" s="54"/>
      <c r="C13" s="54"/>
      <c r="D13" s="54"/>
      <c r="E13" s="54"/>
      <c r="F13" s="54"/>
      <c r="G13" s="54"/>
      <c r="H13" s="54"/>
      <c r="I13" s="54"/>
      <c r="J13" s="119"/>
      <c r="K13" s="54"/>
      <c r="L13" s="54"/>
      <c r="M13" s="54"/>
      <c r="N13" s="54"/>
      <c r="O13" s="54"/>
    </row>
    <row r="14" spans="1:19" ht="21" customHeight="1" x14ac:dyDescent="0.25">
      <c r="A14" s="1215"/>
      <c r="B14" s="1215"/>
      <c r="C14" s="1215"/>
      <c r="D14" s="1215"/>
      <c r="E14" s="1215"/>
      <c r="F14" s="1215"/>
      <c r="G14" s="1215"/>
      <c r="H14" s="1215"/>
      <c r="I14" s="1215"/>
      <c r="J14" s="1215"/>
      <c r="K14" s="1215"/>
      <c r="L14" s="1215"/>
      <c r="M14" s="1215"/>
      <c r="N14" s="127"/>
      <c r="O14" s="127"/>
    </row>
    <row r="15" spans="1:19" ht="21" customHeight="1" x14ac:dyDescent="0.25">
      <c r="A15" s="1213" t="s">
        <v>1375</v>
      </c>
      <c r="B15" s="1213"/>
      <c r="C15" s="1213"/>
      <c r="D15" s="1213"/>
      <c r="E15" s="1213"/>
      <c r="F15" s="1213"/>
      <c r="G15" s="1213"/>
      <c r="H15" s="1213"/>
      <c r="I15" s="1213"/>
      <c r="J15" s="1213"/>
      <c r="K15" s="1213"/>
      <c r="L15" s="1213"/>
      <c r="M15" s="1213"/>
      <c r="N15" s="54"/>
      <c r="O15" s="54"/>
    </row>
    <row r="16" spans="1:19" ht="20" x14ac:dyDescent="0.35">
      <c r="A16" s="186" t="str">
        <f>TRIM(LEFT(A$10,3))&amp;" error summary:"</f>
        <v>RO4 error summary:</v>
      </c>
      <c r="B16" s="187"/>
      <c r="C16" s="187"/>
      <c r="D16" s="54"/>
      <c r="E16" s="188"/>
      <c r="F16" s="54"/>
      <c r="G16" s="54"/>
      <c r="H16" s="505"/>
      <c r="I16" s="254"/>
      <c r="J16" s="119"/>
      <c r="K16" s="54"/>
      <c r="L16" s="54"/>
      <c r="M16" s="54"/>
      <c r="N16" s="54"/>
      <c r="O16" s="54"/>
    </row>
    <row r="17" spans="1:37" ht="32.15" customHeight="1" x14ac:dyDescent="0.35">
      <c r="A17" s="498" t="str">
        <f>IF(AND(COUNTIF($M$31:$M$105,"Error")=0,COUNTIF($M$31:$M$105,"Warning")=0),("There are no outstanding errors or warnings with the "&amp;TRIM(LEFT(A$10,3))&amp;" section of the form. Thank you."),("There are "&amp;COUNTIF($M$31:$M$105,"Error")&amp;" outstanding error(s) and "&amp;COUNTIF($M$31:$M$105,"Warning")&amp;" outstanding warning(s) with the "&amp;TRIM(LEFT(A$10,3))&amp;" section of the form. Please resolve and/or explain these before submitting."))</f>
        <v>There are no outstanding errors or warnings with the RO4 section of the form. Thank you.</v>
      </c>
      <c r="B17" s="499"/>
      <c r="C17" s="499"/>
      <c r="D17" s="499"/>
      <c r="E17" s="499"/>
      <c r="F17" s="499"/>
      <c r="G17" s="499"/>
      <c r="H17" s="499"/>
      <c r="I17" s="499"/>
      <c r="J17" s="499"/>
      <c r="K17" s="54"/>
      <c r="L17" s="54"/>
      <c r="M17" s="54"/>
      <c r="N17" s="54"/>
      <c r="O17" s="54"/>
      <c r="Z17" s="425" t="s">
        <v>1371</v>
      </c>
    </row>
    <row r="18" spans="1:37" ht="20.149999999999999" customHeight="1" x14ac:dyDescent="0.35">
      <c r="A18" s="191" t="str">
        <f>"Please note, your authority is only required to complete and return the following forms: "&amp;VLOOKUP(LA_name,LA_list,9,0)</f>
        <v>Please note, your authority is only required to complete and return the following forms: Forms to be completed will appear here !</v>
      </c>
      <c r="B18" s="192"/>
      <c r="C18" s="192"/>
      <c r="D18" s="190"/>
      <c r="E18" s="190"/>
      <c r="F18" s="190"/>
      <c r="G18" s="190"/>
      <c r="H18" s="190"/>
      <c r="I18" s="190"/>
      <c r="J18" s="119"/>
      <c r="K18" s="54"/>
      <c r="L18" s="54"/>
      <c r="M18" s="54"/>
      <c r="N18" s="54"/>
      <c r="O18" s="54"/>
    </row>
    <row r="19" spans="1:37" ht="12" customHeight="1" x14ac:dyDescent="0.35">
      <c r="A19" s="192"/>
      <c r="B19" s="192"/>
      <c r="C19" s="192"/>
      <c r="D19" s="190"/>
      <c r="E19" s="190"/>
      <c r="F19" s="190"/>
      <c r="G19" s="190"/>
      <c r="H19" s="190"/>
      <c r="I19" s="190"/>
      <c r="J19" s="119"/>
      <c r="K19" s="54"/>
      <c r="L19" s="54"/>
      <c r="M19" s="54"/>
      <c r="N19" s="54"/>
      <c r="O19" s="54"/>
    </row>
    <row r="20" spans="1:37" ht="25" x14ac:dyDescent="0.5">
      <c r="A20" s="137" t="str">
        <f>RS!$A$20</f>
        <v>Please select your authority name on Title page</v>
      </c>
      <c r="B20" s="59"/>
      <c r="C20" s="67"/>
      <c r="D20" s="67"/>
      <c r="E20" s="67"/>
      <c r="F20" s="67"/>
      <c r="G20" s="67"/>
      <c r="H20" s="67"/>
      <c r="I20" s="67"/>
      <c r="J20" s="67"/>
      <c r="K20" s="112"/>
      <c r="L20" s="112"/>
      <c r="M20" s="112"/>
      <c r="N20" s="112"/>
      <c r="O20" s="112"/>
    </row>
    <row r="21" spans="1:37" ht="18" x14ac:dyDescent="0.4">
      <c r="A21" s="139" t="str">
        <f>ContactDetails!C25</f>
        <v>E-code</v>
      </c>
      <c r="B21" s="60"/>
      <c r="C21" s="68"/>
      <c r="D21" s="539"/>
      <c r="E21" s="539"/>
      <c r="F21" s="236"/>
      <c r="G21" s="539"/>
      <c r="H21" s="539"/>
      <c r="I21" s="236"/>
      <c r="J21" s="236"/>
      <c r="K21" s="112"/>
      <c r="L21" s="112"/>
      <c r="M21" s="112"/>
      <c r="N21" s="112"/>
      <c r="O21" s="112"/>
    </row>
    <row r="22" spans="1:37" ht="18" x14ac:dyDescent="0.4">
      <c r="A22" s="60"/>
      <c r="B22" s="60"/>
      <c r="C22" s="68"/>
      <c r="D22" s="539"/>
      <c r="E22" s="539"/>
      <c r="F22" s="236"/>
      <c r="G22" s="539"/>
      <c r="H22" s="539"/>
      <c r="I22" s="236"/>
      <c r="J22" s="236"/>
      <c r="K22" s="112"/>
      <c r="L22" s="112"/>
      <c r="M22" s="112"/>
      <c r="N22" s="112"/>
      <c r="O22" s="112"/>
    </row>
    <row r="23" spans="1:37" ht="15.5" x14ac:dyDescent="0.35">
      <c r="A23" s="193"/>
      <c r="B23" s="193"/>
      <c r="C23" s="194"/>
      <c r="D23" s="194"/>
      <c r="E23" s="89"/>
      <c r="F23" s="236"/>
      <c r="G23" s="539"/>
      <c r="H23" s="539"/>
      <c r="I23" s="236"/>
      <c r="J23" s="236"/>
      <c r="K23" s="112"/>
      <c r="L23" s="112"/>
      <c r="M23" s="112"/>
      <c r="N23" s="112"/>
      <c r="O23" s="112"/>
    </row>
    <row r="24" spans="1:37" ht="15.5" x14ac:dyDescent="0.35">
      <c r="A24" s="112"/>
      <c r="B24" s="112"/>
      <c r="C24" s="112"/>
      <c r="D24" s="539"/>
      <c r="E24" s="236" t="s">
        <v>1598</v>
      </c>
      <c r="F24" s="236" t="s">
        <v>1599</v>
      </c>
      <c r="G24" s="236" t="s">
        <v>1600</v>
      </c>
      <c r="H24" s="236" t="s">
        <v>1370</v>
      </c>
      <c r="I24" s="236" t="s">
        <v>1599</v>
      </c>
      <c r="J24" s="236" t="s">
        <v>1601</v>
      </c>
      <c r="K24" s="112"/>
      <c r="L24" s="112"/>
      <c r="M24" s="112"/>
      <c r="N24" s="112"/>
      <c r="O24" s="112"/>
    </row>
    <row r="25" spans="1:37" ht="15.5" x14ac:dyDescent="0.35">
      <c r="A25" s="112"/>
      <c r="B25" s="112"/>
      <c r="C25" s="112"/>
      <c r="D25" s="236" t="s">
        <v>1602</v>
      </c>
      <c r="E25" s="236" t="s">
        <v>1603</v>
      </c>
      <c r="F25" s="236" t="s">
        <v>1604</v>
      </c>
      <c r="G25" s="236" t="s">
        <v>1605</v>
      </c>
      <c r="H25" s="236" t="s">
        <v>1606</v>
      </c>
      <c r="I25" s="236" t="s">
        <v>1606</v>
      </c>
      <c r="J25" s="236" t="s">
        <v>1604</v>
      </c>
      <c r="K25" s="112"/>
      <c r="L25" s="112"/>
      <c r="M25" s="112"/>
      <c r="N25" s="112"/>
      <c r="O25" s="112"/>
    </row>
    <row r="26" spans="1:37" ht="15.5" x14ac:dyDescent="0.35">
      <c r="A26" s="259"/>
      <c r="B26" s="259"/>
      <c r="C26" s="112"/>
      <c r="D26" s="335" t="s">
        <v>1378</v>
      </c>
      <c r="E26" s="335" t="s">
        <v>1378</v>
      </c>
      <c r="F26" s="335" t="s">
        <v>1378</v>
      </c>
      <c r="G26" s="335" t="s">
        <v>1378</v>
      </c>
      <c r="H26" s="335" t="s">
        <v>1378</v>
      </c>
      <c r="I26" s="335" t="s">
        <v>1378</v>
      </c>
      <c r="J26" s="335" t="s">
        <v>1378</v>
      </c>
      <c r="K26" s="112"/>
      <c r="L26" s="112"/>
      <c r="M26" s="112"/>
      <c r="N26" s="112"/>
      <c r="O26" s="112"/>
    </row>
    <row r="27" spans="1:37" ht="15.5" x14ac:dyDescent="0.35">
      <c r="A27" s="112"/>
      <c r="B27" s="112"/>
      <c r="C27" s="112"/>
      <c r="D27" s="335"/>
      <c r="E27" s="335"/>
      <c r="F27" s="335"/>
      <c r="G27" s="335"/>
      <c r="H27" s="335"/>
      <c r="I27" s="335"/>
      <c r="J27" s="335"/>
      <c r="K27" s="112"/>
      <c r="L27" s="112"/>
      <c r="M27" s="112"/>
      <c r="N27" s="112"/>
      <c r="O27" s="112"/>
    </row>
    <row r="28" spans="1:37" ht="13" x14ac:dyDescent="0.3">
      <c r="A28" s="112"/>
      <c r="B28" s="112"/>
      <c r="C28" s="112"/>
      <c r="D28" s="238" t="s">
        <v>1379</v>
      </c>
      <c r="E28" s="238" t="s">
        <v>1607</v>
      </c>
      <c r="F28" s="238" t="s">
        <v>1608</v>
      </c>
      <c r="G28" s="238" t="s">
        <v>1609</v>
      </c>
      <c r="H28" s="238" t="s">
        <v>1610</v>
      </c>
      <c r="I28" s="238" t="s">
        <v>1611</v>
      </c>
      <c r="J28" s="238" t="s">
        <v>1612</v>
      </c>
      <c r="K28" s="112"/>
      <c r="L28" s="112"/>
      <c r="M28" s="112"/>
      <c r="N28" s="112"/>
      <c r="O28" s="112"/>
    </row>
    <row r="29" spans="1:37" ht="13" x14ac:dyDescent="0.3">
      <c r="A29" s="4"/>
      <c r="B29" s="4"/>
      <c r="C29" s="112"/>
      <c r="D29" s="68"/>
      <c r="E29" s="68"/>
      <c r="F29" s="68"/>
      <c r="G29" s="68"/>
      <c r="H29" s="68"/>
      <c r="I29" s="68"/>
      <c r="J29" s="68"/>
      <c r="K29" s="112"/>
      <c r="L29" s="112"/>
      <c r="M29" s="112"/>
      <c r="N29" s="112"/>
      <c r="AB29" s="461" t="s">
        <v>1380</v>
      </c>
    </row>
    <row r="30" spans="1:37" ht="18" customHeight="1" x14ac:dyDescent="0.3">
      <c r="A30" s="4"/>
      <c r="B30" s="4"/>
      <c r="C30" s="112"/>
      <c r="D30" s="68"/>
      <c r="E30" s="68"/>
      <c r="F30" s="68"/>
      <c r="G30" s="68"/>
      <c r="H30" s="68"/>
      <c r="I30" s="68"/>
      <c r="J30" s="68"/>
      <c r="K30" s="112"/>
      <c r="L30" s="112"/>
      <c r="M30" s="112"/>
      <c r="N30" s="112"/>
      <c r="AB30" s="461" t="s">
        <v>1381</v>
      </c>
      <c r="AC30" s="461" t="s">
        <v>1382</v>
      </c>
      <c r="AD30" s="461" t="s">
        <v>1383</v>
      </c>
      <c r="AE30" s="461" t="s">
        <v>1384</v>
      </c>
      <c r="AF30" s="461" t="s">
        <v>1385</v>
      </c>
      <c r="AG30" s="461" t="s">
        <v>1386</v>
      </c>
      <c r="AH30" s="461" t="s">
        <v>1387</v>
      </c>
      <c r="AI30" s="461" t="s">
        <v>1388</v>
      </c>
      <c r="AJ30" s="461" t="s">
        <v>1389</v>
      </c>
      <c r="AK30" s="461" t="s">
        <v>1390</v>
      </c>
    </row>
    <row r="31" spans="1:37" ht="15.5" x14ac:dyDescent="0.35">
      <c r="A31" s="122">
        <v>10</v>
      </c>
      <c r="B31" s="295" t="s">
        <v>1868</v>
      </c>
      <c r="C31" s="112"/>
      <c r="D31" s="668"/>
      <c r="E31" s="668"/>
      <c r="F31" s="669">
        <f>SUM(D31:E31)</f>
        <v>0</v>
      </c>
      <c r="G31" s="668"/>
      <c r="H31" s="668"/>
      <c r="I31" s="669">
        <f>SUM(G31:H31)</f>
        <v>0</v>
      </c>
      <c r="J31" s="669">
        <f>F31-I31</f>
        <v>0</v>
      </c>
      <c r="K31" s="112"/>
      <c r="L31" s="688" t="str">
        <f>IF(ISERROR(M31),"",IF((M31="Error"),"add explanation",IF((M31="Warning"),"add explanation","")))</f>
        <v/>
      </c>
      <c r="M31" s="310" t="str">
        <f>IF(OR((I31&lt;&gt;(G31+H31)),(F31&lt;&gt;(D31+E31)),(J31&lt;&gt;(F31-I31))),"Error",IF(AK31="Warning","Warning",""))</f>
        <v/>
      </c>
      <c r="N31" s="112"/>
      <c r="O31" s="131" t="str">
        <f>IF($M31="Error","A total column for "&amp;($B31)&amp;" does not match the sum of the components, please correct",IF($M31="Warning","This year's figure is over "&amp;AC31/1000&amp;" million and "&amp;(AB31*100)&amp;"% different to "&amp;TEXT(AD31,"#,###")&amp;" last year, please explain",""))</f>
        <v/>
      </c>
      <c r="AB31">
        <f>VLOOKUP("RO4"&amp;$A31,data_val_parameters,9,0)/100</f>
        <v>0.35</v>
      </c>
      <c r="AC31">
        <f>VLOOKUP("RO4"&amp;$A31,data_val_parameters,7,0)</f>
        <v>3000</v>
      </c>
      <c r="AD31" t="e">
        <f>VLOOKUP(LA_code,data_prev_year,MATCH("RO4"&amp;$A31&amp;"7",data_prev_year_headers,0),0)</f>
        <v>#N/A</v>
      </c>
      <c r="AE31" t="e">
        <f>AD31+AC31</f>
        <v>#N/A</v>
      </c>
      <c r="AF31" t="e">
        <f>AD31-AC31</f>
        <v>#N/A</v>
      </c>
      <c r="AG31" t="e">
        <f>AD31+(AD31*AB31)</f>
        <v>#N/A</v>
      </c>
      <c r="AH31" t="e">
        <f>AD31-(AD31*AB31)</f>
        <v>#N/A</v>
      </c>
      <c r="AI31" t="e">
        <f>IF(OR(J31&lt;AF31,J31&gt;AE31),"Warning","")</f>
        <v>#N/A</v>
      </c>
      <c r="AJ31" t="e">
        <f>IF(OR(J31&gt;(AG31),J31&lt;(AH31)),"Warning","")</f>
        <v>#N/A</v>
      </c>
      <c r="AK31" t="str">
        <f>IF(OR(J31=0),"",IF(AND(AI31="Warning",AJ31="Warning"),"Warning",""))</f>
        <v/>
      </c>
    </row>
    <row r="32" spans="1:37" ht="15.5" x14ac:dyDescent="0.35">
      <c r="A32" s="11" t="s">
        <v>84</v>
      </c>
      <c r="B32" s="237" t="s">
        <v>84</v>
      </c>
      <c r="C32" s="112"/>
      <c r="D32" s="31"/>
      <c r="E32" s="31"/>
      <c r="F32" s="45"/>
      <c r="G32" s="31"/>
      <c r="H32" s="31"/>
      <c r="I32" s="45"/>
      <c r="J32" s="45"/>
      <c r="K32" s="112"/>
      <c r="L32" s="687"/>
      <c r="M32" s="164"/>
      <c r="N32" s="112"/>
      <c r="O32" s="112"/>
    </row>
    <row r="33" spans="1:37" ht="15.5" x14ac:dyDescent="0.35">
      <c r="A33" s="122">
        <v>20</v>
      </c>
      <c r="B33" s="295" t="s">
        <v>1869</v>
      </c>
      <c r="C33" s="112"/>
      <c r="D33" s="668"/>
      <c r="E33" s="668"/>
      <c r="F33" s="669">
        <f>SUM(D33:E33)</f>
        <v>0</v>
      </c>
      <c r="G33" s="668"/>
      <c r="H33" s="668"/>
      <c r="I33" s="669">
        <f>SUM(G33:H33)</f>
        <v>0</v>
      </c>
      <c r="J33" s="669">
        <f>F33-I33</f>
        <v>0</v>
      </c>
      <c r="K33" s="112"/>
      <c r="L33" s="688" t="str">
        <f>IF(ISERROR(M33),"",IF((M33="Error"),"add explanation",IF((M33="Warning"),"add explanation","")))</f>
        <v/>
      </c>
      <c r="M33" s="310" t="str">
        <f t="shared" ref="M33:M40" si="0">IF(OR((I33&lt;&gt;(G33+H33)),(F33&lt;&gt;(D33+E33)),(J33&lt;&gt;(F33-I33))),"Error",IF(AK33="Warning","Warning",""))</f>
        <v/>
      </c>
      <c r="N33" s="112"/>
      <c r="O33" s="131" t="str">
        <f>IF($M33="Error","A total column for "&amp;($B33)&amp;" does not match the sum of the components, please correct",IF($M33="Warning","This year's figure is over "&amp;AC33/1000&amp;" million and "&amp;(AB33*100)&amp;"% different to "&amp;TEXT(AD33,"#,###")&amp;" last year, please explain",""))</f>
        <v/>
      </c>
      <c r="AB33">
        <f>VLOOKUP("RO4"&amp;$A33,data_val_parameters,9,0)/100</f>
        <v>0.35</v>
      </c>
      <c r="AC33">
        <f>VLOOKUP("RO4"&amp;$A33,data_val_parameters,7,0)</f>
        <v>4000</v>
      </c>
      <c r="AD33" t="e">
        <f>VLOOKUP(LA_code,data_prev_year,MATCH("RO4"&amp;$A33&amp;"7",data_prev_year_headers,0),0)</f>
        <v>#N/A</v>
      </c>
      <c r="AE33" t="e">
        <f t="shared" ref="AE33:AE62" si="1">AD33+AC33</f>
        <v>#N/A</v>
      </c>
      <c r="AF33" t="e">
        <f t="shared" ref="AF33:AF62" si="2">AD33-AC33</f>
        <v>#N/A</v>
      </c>
      <c r="AG33" t="e">
        <f t="shared" ref="AG33:AG62" si="3">AD33+(AD33*AB33)</f>
        <v>#N/A</v>
      </c>
      <c r="AH33" t="e">
        <f t="shared" ref="AH33:AH62" si="4">AD33-(AD33*AB33)</f>
        <v>#N/A</v>
      </c>
      <c r="AI33" t="e">
        <f t="shared" ref="AI33:AI40" si="5">IF(OR(J33&lt;AF33,J33&gt;AE33),"Warning","")</f>
        <v>#N/A</v>
      </c>
      <c r="AJ33" t="e">
        <f t="shared" ref="AJ33:AJ40" si="6">IF(OR(J33&gt;(AG33),J33&lt;(AH33)),"Warning","")</f>
        <v>#N/A</v>
      </c>
      <c r="AK33" t="str">
        <f>IF(OR(J33=0),"",IF(AND(AI33="Warning",AJ33="Warning"),"Warning",""))</f>
        <v/>
      </c>
    </row>
    <row r="34" spans="1:37" ht="15.5" x14ac:dyDescent="0.35">
      <c r="A34" s="11" t="s">
        <v>84</v>
      </c>
      <c r="B34" s="237" t="s">
        <v>84</v>
      </c>
      <c r="C34" s="112"/>
      <c r="D34" s="31"/>
      <c r="E34" s="31"/>
      <c r="F34" s="45"/>
      <c r="G34" s="31"/>
      <c r="H34" s="31"/>
      <c r="I34" s="45"/>
      <c r="J34" s="45"/>
      <c r="K34" s="112"/>
      <c r="L34" s="687"/>
      <c r="M34" s="164"/>
      <c r="N34" s="112"/>
      <c r="O34" s="112"/>
    </row>
    <row r="35" spans="1:37" ht="18" x14ac:dyDescent="0.4">
      <c r="A35" s="27" t="s">
        <v>1870</v>
      </c>
      <c r="B35" s="237"/>
      <c r="C35" s="112"/>
      <c r="D35" s="31"/>
      <c r="E35" s="31"/>
      <c r="F35" s="45"/>
      <c r="G35" s="31"/>
      <c r="H35" s="31"/>
      <c r="I35" s="45"/>
      <c r="J35" s="45"/>
      <c r="K35" s="112"/>
      <c r="L35" s="687"/>
      <c r="M35" s="164"/>
      <c r="N35" s="112"/>
      <c r="O35" s="112"/>
    </row>
    <row r="36" spans="1:37" ht="15.5" x14ac:dyDescent="0.35">
      <c r="A36" s="108">
        <v>31</v>
      </c>
      <c r="B36" s="295" t="s">
        <v>1871</v>
      </c>
      <c r="C36" s="112"/>
      <c r="D36" s="668"/>
      <c r="E36" s="668"/>
      <c r="F36" s="669">
        <f>SUM(D36:E36)</f>
        <v>0</v>
      </c>
      <c r="G36" s="668"/>
      <c r="H36" s="668"/>
      <c r="I36" s="669">
        <f>SUM(G36:H36)</f>
        <v>0</v>
      </c>
      <c r="J36" s="669">
        <f>F36-I36</f>
        <v>0</v>
      </c>
      <c r="K36" s="112"/>
      <c r="L36" s="688" t="str">
        <f>IF(ISERROR(M36),"",IF((M36="Error"),"add explanation",IF((M36="Warning"),"add explanation","")))</f>
        <v/>
      </c>
      <c r="M36" s="310" t="str">
        <f t="shared" si="0"/>
        <v/>
      </c>
      <c r="N36" s="112"/>
      <c r="O36" s="131" t="str">
        <f>IF($M36="Error","A total column for "&amp;($B36)&amp;" does not match the sum of the components, please correct",IF($M36="Warning","This year's figure is over "&amp;AC36/1000&amp;" million and "&amp;(AB36*100)&amp;"% different to "&amp;TEXT(AD36,"#,###")&amp;" last year, please explain",""))</f>
        <v/>
      </c>
      <c r="AB36">
        <f>VLOOKUP("RO4"&amp;$A36,data_val_parameters,9,0)/100</f>
        <v>0.35</v>
      </c>
      <c r="AC36">
        <f>VLOOKUP("RO4"&amp;$A36,data_val_parameters,7,0)</f>
        <v>4000</v>
      </c>
      <c r="AD36" t="e">
        <f>VLOOKUP(LA_code,data_prev_year,MATCH("RO4"&amp;$A36&amp;"7",data_prev_year_headers,0),0)</f>
        <v>#N/A</v>
      </c>
      <c r="AE36" t="e">
        <f t="shared" si="1"/>
        <v>#N/A</v>
      </c>
      <c r="AF36" t="e">
        <f t="shared" si="2"/>
        <v>#N/A</v>
      </c>
      <c r="AG36" t="e">
        <f t="shared" si="3"/>
        <v>#N/A</v>
      </c>
      <c r="AH36" t="e">
        <f t="shared" si="4"/>
        <v>#N/A</v>
      </c>
      <c r="AI36" t="e">
        <f t="shared" si="5"/>
        <v>#N/A</v>
      </c>
      <c r="AJ36" t="e">
        <f t="shared" si="6"/>
        <v>#N/A</v>
      </c>
      <c r="AK36" t="str">
        <f>IF(OR(J36=0),"",IF(AND(AI36="Warning",AJ36="Warning"),"Warning",""))</f>
        <v/>
      </c>
    </row>
    <row r="37" spans="1:37" ht="15.5" x14ac:dyDescent="0.35">
      <c r="A37" s="108">
        <v>38</v>
      </c>
      <c r="B37" s="295" t="s">
        <v>1872</v>
      </c>
      <c r="C37" s="112"/>
      <c r="D37" s="668"/>
      <c r="E37" s="668"/>
      <c r="F37" s="669">
        <f>SUM(D37:E37)</f>
        <v>0</v>
      </c>
      <c r="G37" s="668"/>
      <c r="H37" s="668"/>
      <c r="I37" s="669">
        <f>SUM(G37:H37)</f>
        <v>0</v>
      </c>
      <c r="J37" s="669">
        <f>F37-I37</f>
        <v>0</v>
      </c>
      <c r="K37" s="112"/>
      <c r="L37" s="688" t="str">
        <f>IF(ISERROR(M37),"",IF((M37="Error"),"add explanation",IF((M37="Warning"),"add explanation","")))</f>
        <v/>
      </c>
      <c r="M37" s="310" t="str">
        <f t="shared" si="0"/>
        <v/>
      </c>
      <c r="N37" s="112"/>
      <c r="O37" s="131" t="str">
        <f>IF($M37="Error","A total column for "&amp;($B37)&amp;" does not match the sum of the components, please correct",IF($M37="Warning","This year's figure is over "&amp;AC37/1000&amp;" million and "&amp;(AB37*100)&amp;"% different to "&amp;TEXT(AD37,"#,###")&amp;" last year, please explain",""))</f>
        <v/>
      </c>
      <c r="AB37">
        <f>VLOOKUP("RO4"&amp;$A37,data_val_parameters,9,0)/100</f>
        <v>0.35</v>
      </c>
      <c r="AC37">
        <f>VLOOKUP("RO4"&amp;$A37,data_val_parameters,7,0)</f>
        <v>4000</v>
      </c>
      <c r="AD37" t="e">
        <f>VLOOKUP(LA_code,data_prev_year,MATCH("RO4"&amp;$A37&amp;"7",data_prev_year_headers,0),0)</f>
        <v>#N/A</v>
      </c>
      <c r="AE37" t="e">
        <f t="shared" si="1"/>
        <v>#N/A</v>
      </c>
      <c r="AF37" t="e">
        <f t="shared" si="2"/>
        <v>#N/A</v>
      </c>
      <c r="AG37" t="e">
        <f t="shared" si="3"/>
        <v>#N/A</v>
      </c>
      <c r="AH37" t="e">
        <f t="shared" si="4"/>
        <v>#N/A</v>
      </c>
      <c r="AI37" t="e">
        <f t="shared" si="5"/>
        <v>#N/A</v>
      </c>
      <c r="AJ37" t="e">
        <f t="shared" si="6"/>
        <v>#N/A</v>
      </c>
      <c r="AK37" t="str">
        <f>IF(OR(J37=0),"",IF(AND(AI37="Warning",AJ37="Warning"),"Warning",""))</f>
        <v/>
      </c>
    </row>
    <row r="38" spans="1:37" ht="15.5" x14ac:dyDescent="0.35">
      <c r="A38" s="11" t="s">
        <v>84</v>
      </c>
      <c r="B38" s="237" t="s">
        <v>84</v>
      </c>
      <c r="C38" s="112"/>
      <c r="D38" s="303"/>
      <c r="E38" s="31"/>
      <c r="F38" s="45"/>
      <c r="G38" s="31"/>
      <c r="H38" s="31"/>
      <c r="I38" s="45"/>
      <c r="J38" s="45"/>
      <c r="K38" s="112"/>
      <c r="L38" s="689"/>
      <c r="M38" s="164"/>
      <c r="N38" s="112"/>
      <c r="O38" s="112"/>
    </row>
    <row r="39" spans="1:37" ht="18" x14ac:dyDescent="0.4">
      <c r="A39" s="27" t="s">
        <v>1873</v>
      </c>
      <c r="B39" s="237"/>
      <c r="C39" s="112"/>
      <c r="D39" s="303"/>
      <c r="E39" s="31"/>
      <c r="F39" s="45"/>
      <c r="G39" s="31"/>
      <c r="H39" s="31"/>
      <c r="I39" s="45"/>
      <c r="J39" s="45"/>
      <c r="K39" s="112"/>
      <c r="L39" s="689"/>
      <c r="M39" s="164"/>
      <c r="N39" s="112"/>
      <c r="O39" s="112"/>
    </row>
    <row r="40" spans="1:37" ht="15.5" x14ac:dyDescent="0.35">
      <c r="A40" s="108">
        <v>80</v>
      </c>
      <c r="B40" s="295" t="s">
        <v>1874</v>
      </c>
      <c r="C40" s="112"/>
      <c r="D40" s="668"/>
      <c r="E40" s="668"/>
      <c r="F40" s="669">
        <f t="shared" ref="F40:F49" si="7">SUM(D40:E40)</f>
        <v>0</v>
      </c>
      <c r="G40" s="668"/>
      <c r="H40" s="668"/>
      <c r="I40" s="669">
        <f t="shared" ref="I40:I49" si="8">SUM(G40:H40)</f>
        <v>0</v>
      </c>
      <c r="J40" s="669">
        <f t="shared" ref="J40:J49" si="9">F40-I40</f>
        <v>0</v>
      </c>
      <c r="K40" s="4"/>
      <c r="L40" s="587" t="str">
        <f t="shared" ref="L40:L47" si="10">IF(ISERROR(M40),"",IF((M40="Error"),"add explanation",IF((M40="Warning"),"add explanation","")))</f>
        <v/>
      </c>
      <c r="M40" s="310" t="str">
        <f t="shared" si="0"/>
        <v/>
      </c>
      <c r="N40" s="112"/>
      <c r="O40" s="131" t="str">
        <f>IF($M40="Error","A total column for "&amp;($B40)&amp;" does not match the sum of the components, please correct",IF($M40="Warning","This year's figure is over "&amp;AC40/1000&amp;" million and "&amp;(AB40*100)&amp;"% different to "&amp;TEXT(AD40,"#,###")&amp;" last year, please explain",""))</f>
        <v/>
      </c>
      <c r="S40" s="3"/>
      <c r="T40" s="706"/>
      <c r="V40" s="3"/>
      <c r="AB40" s="101">
        <f t="shared" ref="AB40:AB45" si="11">VLOOKUP("RO4"&amp;$A40,data_val_parameters,9,0)/100</f>
        <v>0.35</v>
      </c>
      <c r="AC40" s="101">
        <f t="shared" ref="AC40:AC45" si="12">VLOOKUP("RO4"&amp;$A40,data_val_parameters,7,0)</f>
        <v>4000</v>
      </c>
      <c r="AD40" s="101" t="e">
        <f t="shared" ref="AD40:AD45" si="13">VLOOKUP(LA_code,data_prev_year,MATCH("RO4"&amp;$A40&amp;"7",data_prev_year_headers,0),0)</f>
        <v>#N/A</v>
      </c>
      <c r="AE40" s="101" t="e">
        <f t="shared" si="1"/>
        <v>#N/A</v>
      </c>
      <c r="AF40" s="101" t="e">
        <f t="shared" si="2"/>
        <v>#N/A</v>
      </c>
      <c r="AG40" s="101" t="e">
        <f t="shared" si="3"/>
        <v>#N/A</v>
      </c>
      <c r="AH40" s="101" t="e">
        <f t="shared" si="4"/>
        <v>#N/A</v>
      </c>
      <c r="AI40" s="101" t="e">
        <f t="shared" si="5"/>
        <v>#N/A</v>
      </c>
      <c r="AJ40" s="101" t="e">
        <f t="shared" si="6"/>
        <v>#N/A</v>
      </c>
      <c r="AK40" t="str">
        <f t="shared" ref="AK40" si="14">IF(OR(J40=0),"",IF(AND(AI40="Warning",AJ40="Warning"),"Warning",""))</f>
        <v/>
      </c>
    </row>
    <row r="41" spans="1:37" ht="15.5" x14ac:dyDescent="0.35">
      <c r="A41" s="124">
        <v>81</v>
      </c>
      <c r="B41" s="295" t="s">
        <v>1875</v>
      </c>
      <c r="C41" s="112"/>
      <c r="D41" s="668"/>
      <c r="E41" s="668"/>
      <c r="F41" s="669">
        <f t="shared" si="7"/>
        <v>0</v>
      </c>
      <c r="G41" s="668"/>
      <c r="H41" s="668"/>
      <c r="I41" s="669">
        <f t="shared" si="8"/>
        <v>0</v>
      </c>
      <c r="J41" s="669">
        <f t="shared" si="9"/>
        <v>0</v>
      </c>
      <c r="K41" s="4"/>
      <c r="L41" s="587" t="str">
        <f t="shared" si="10"/>
        <v/>
      </c>
      <c r="M41" s="310" t="str">
        <f>IF(OR((I41&lt;&gt;(G41+H41)),(F41&lt;&gt;(D41+E41)),(J41&lt;&gt;(F41-I41))),"Error",IF(AK41="Warning","Warning",""))</f>
        <v/>
      </c>
      <c r="N41" s="112"/>
      <c r="O41" s="131" t="str">
        <f>IF($M41="Error","A total column for "&amp;($B41)&amp;" does not match the sum of the components, please correct",IF($M41="Warning","This year's figure is over "&amp;AC41/1000&amp;" million and "&amp;(AB41*100)&amp;"% different to "&amp;TEXT(AD41,"#,###")&amp;" last year, please explain",""))</f>
        <v/>
      </c>
      <c r="S41" s="3"/>
      <c r="T41" s="706"/>
      <c r="V41" s="3"/>
      <c r="AB41" s="101">
        <f t="shared" si="11"/>
        <v>0.35</v>
      </c>
      <c r="AC41" s="101">
        <f t="shared" si="12"/>
        <v>4000</v>
      </c>
      <c r="AD41" s="101" t="e">
        <f t="shared" si="13"/>
        <v>#N/A</v>
      </c>
      <c r="AE41" s="101" t="e">
        <f>AD41+AC41</f>
        <v>#N/A</v>
      </c>
      <c r="AF41" s="101" t="e">
        <f>AD41-AC41</f>
        <v>#N/A</v>
      </c>
      <c r="AG41" s="101" t="e">
        <f>AD41+(AD41*AB41)</f>
        <v>#N/A</v>
      </c>
      <c r="AH41" s="101" t="e">
        <f>AD41-(AD41*AB41)</f>
        <v>#N/A</v>
      </c>
      <c r="AI41" s="101" t="e">
        <f>IF(OR(J41&lt;AF41,J41&gt;AE41),"Warning","")</f>
        <v>#N/A</v>
      </c>
      <c r="AJ41" s="101" t="e">
        <f>IF(OR(J41&gt;(AG41),J41&lt;(AH41)),"Warning","")</f>
        <v>#N/A</v>
      </c>
      <c r="AK41" t="str">
        <f>IF(OR(J41=0),"",IF(AND(AI41="Warning",AJ41="Warning"),"Warning",""))</f>
        <v/>
      </c>
    </row>
    <row r="42" spans="1:37" ht="15.5" x14ac:dyDescent="0.35">
      <c r="A42" s="108">
        <v>82</v>
      </c>
      <c r="B42" s="295" t="s">
        <v>1876</v>
      </c>
      <c r="C42" s="112"/>
      <c r="D42" s="668"/>
      <c r="E42" s="668"/>
      <c r="F42" s="669">
        <f t="shared" si="7"/>
        <v>0</v>
      </c>
      <c r="G42" s="668"/>
      <c r="H42" s="668"/>
      <c r="I42" s="669">
        <f t="shared" si="8"/>
        <v>0</v>
      </c>
      <c r="J42" s="669">
        <f t="shared" si="9"/>
        <v>0</v>
      </c>
      <c r="K42" s="4"/>
      <c r="L42" s="587" t="str">
        <f t="shared" si="10"/>
        <v/>
      </c>
      <c r="M42" s="310" t="str">
        <f>IF(OR((I42&lt;&gt;(G42+H42)),(F42&lt;&gt;(D42+E42)),(J42&lt;&gt;(F42-I42))),"Error",IF(AK42="Warning","Warning",""))</f>
        <v/>
      </c>
      <c r="N42" s="112"/>
      <c r="O42" s="131" t="str">
        <f>IF($M42="Error","A total column for "&amp;($B42)&amp;" does not match the sum of the components, please correct",IF($M42="Warning","This year's figure is over "&amp;AC42/1000&amp;" million and "&amp;(AB42*100)&amp;"% different to "&amp;TEXT(AD42,"#,###")&amp;"  last year, please explain",""))</f>
        <v/>
      </c>
      <c r="S42" s="3"/>
      <c r="T42" s="706"/>
      <c r="V42" s="3"/>
      <c r="AB42" s="101">
        <f t="shared" si="11"/>
        <v>0.35</v>
      </c>
      <c r="AC42" s="101">
        <f t="shared" si="12"/>
        <v>4000</v>
      </c>
      <c r="AD42" s="101" t="e">
        <f t="shared" si="13"/>
        <v>#N/A</v>
      </c>
      <c r="AE42" s="101" t="e">
        <f>AD42+AC42</f>
        <v>#N/A</v>
      </c>
      <c r="AF42" s="101" t="e">
        <f>AD42-AC42</f>
        <v>#N/A</v>
      </c>
      <c r="AG42" s="101" t="e">
        <f>AD42+(AD42*AB42)</f>
        <v>#N/A</v>
      </c>
      <c r="AH42" s="101" t="e">
        <f>AD42-(AD42*AB42)</f>
        <v>#N/A</v>
      </c>
      <c r="AI42" s="101" t="e">
        <f>IF(OR(J42&lt;AF42,J42&gt;AE42),"Warning","")</f>
        <v>#N/A</v>
      </c>
      <c r="AJ42" s="101" t="e">
        <f>IF(OR(J42&gt;(AG42),J42&lt;(AH42)),"Warning","")</f>
        <v>#N/A</v>
      </c>
      <c r="AK42" t="str">
        <f>IF(OR(J42=0),"",IF(AND(AI42="Warning",AJ42="Warning"),"Warning",""))</f>
        <v/>
      </c>
    </row>
    <row r="43" spans="1:37" ht="15.5" x14ac:dyDescent="0.35">
      <c r="A43" s="108">
        <v>83</v>
      </c>
      <c r="B43" s="295" t="s">
        <v>1877</v>
      </c>
      <c r="C43" s="112"/>
      <c r="D43" s="668"/>
      <c r="E43" s="668"/>
      <c r="F43" s="669">
        <f t="shared" si="7"/>
        <v>0</v>
      </c>
      <c r="G43" s="668"/>
      <c r="H43" s="668"/>
      <c r="I43" s="669">
        <f t="shared" si="8"/>
        <v>0</v>
      </c>
      <c r="J43" s="669">
        <f t="shared" si="9"/>
        <v>0</v>
      </c>
      <c r="K43" s="4"/>
      <c r="L43" s="587" t="str">
        <f t="shared" si="10"/>
        <v/>
      </c>
      <c r="M43" s="310" t="str">
        <f>IF(OR((I43&lt;&gt;(G43+H43)),(F43&lt;&gt;(D43+E43)),(J43&lt;&gt;(F43-I43))),"Error",IF(AK43="Warning","Warning",""))</f>
        <v/>
      </c>
      <c r="N43" s="112"/>
      <c r="O43" s="131" t="str">
        <f>IF($M43="Error","A total column for "&amp;($B43)&amp;" does not match the sum of the components, please correct",IF($M43="Warning","This year's figure is over "&amp;AC43/1000&amp;" million and "&amp;(AB43*100)&amp;"% different to "&amp;TEXT(AD43,"#,###")&amp;" last year, please explain",""))</f>
        <v/>
      </c>
      <c r="S43" s="3"/>
      <c r="T43" s="706"/>
      <c r="V43" s="3"/>
      <c r="AB43" s="101">
        <f t="shared" si="11"/>
        <v>0.35</v>
      </c>
      <c r="AC43" s="101">
        <f t="shared" si="12"/>
        <v>4000</v>
      </c>
      <c r="AD43" s="101" t="e">
        <f t="shared" si="13"/>
        <v>#N/A</v>
      </c>
      <c r="AE43" s="101" t="e">
        <f>AD43+AC43</f>
        <v>#N/A</v>
      </c>
      <c r="AF43" s="101" t="e">
        <f>AD43-AC43</f>
        <v>#N/A</v>
      </c>
      <c r="AG43" s="101" t="e">
        <f>AD43+(AD43*AB43)</f>
        <v>#N/A</v>
      </c>
      <c r="AH43" s="101" t="e">
        <f>AD43-(AD43*AB43)</f>
        <v>#N/A</v>
      </c>
      <c r="AI43" s="101" t="e">
        <f>IF(OR(J43&lt;AF43,J43&gt;AE43),"Warning","")</f>
        <v>#N/A</v>
      </c>
      <c r="AJ43" s="101" t="e">
        <f>IF(OR(J43&gt;(AG43),J43&lt;(AH43)),"Warning","")</f>
        <v>#N/A</v>
      </c>
      <c r="AK43" t="str">
        <f>IF(OR(J43=0),"",IF(AND(AI43="Warning",AJ43="Warning"),"Warning",""))</f>
        <v/>
      </c>
    </row>
    <row r="44" spans="1:37" ht="15.5" x14ac:dyDescent="0.35">
      <c r="A44" s="124">
        <v>84</v>
      </c>
      <c r="B44" s="295" t="s">
        <v>1878</v>
      </c>
      <c r="C44" s="112"/>
      <c r="D44" s="668"/>
      <c r="E44" s="668"/>
      <c r="F44" s="669">
        <f t="shared" si="7"/>
        <v>0</v>
      </c>
      <c r="G44" s="668"/>
      <c r="H44" s="668"/>
      <c r="I44" s="669">
        <f t="shared" si="8"/>
        <v>0</v>
      </c>
      <c r="J44" s="669">
        <f t="shared" si="9"/>
        <v>0</v>
      </c>
      <c r="K44" s="4"/>
      <c r="L44" s="587" t="str">
        <f t="shared" si="10"/>
        <v/>
      </c>
      <c r="M44" s="310" t="str">
        <f>IF(OR((I44&lt;&gt;(G44+H44)),(F44&lt;&gt;(D44+E44)),(J44&lt;&gt;(F44-I44))),"Error",IF(AK44="Warning","Warning",""))</f>
        <v/>
      </c>
      <c r="N44" s="112"/>
      <c r="O44" s="131" t="str">
        <f>IF($M44="Error","A total column for "&amp;($B44)&amp;" does not match the sum of the components, please correct",IF($M44="Warning","This year's figure is over "&amp;AC44/1000&amp;" million and "&amp;(AB44*100)&amp;"% different to "&amp;TEXT(AD44,"#,###")&amp;"  last year, please explain",""))</f>
        <v/>
      </c>
      <c r="S44" s="3"/>
      <c r="T44" s="706"/>
      <c r="V44" s="3"/>
      <c r="AB44" s="101">
        <f t="shared" si="11"/>
        <v>0.35</v>
      </c>
      <c r="AC44" s="101">
        <f t="shared" si="12"/>
        <v>4000</v>
      </c>
      <c r="AD44" s="101" t="e">
        <f t="shared" si="13"/>
        <v>#N/A</v>
      </c>
      <c r="AE44" s="101" t="e">
        <f>AD44+AC44</f>
        <v>#N/A</v>
      </c>
      <c r="AF44" s="101" t="e">
        <f>AD44-AC44</f>
        <v>#N/A</v>
      </c>
      <c r="AG44" s="101" t="e">
        <f>AD44+(AD44*AB44)</f>
        <v>#N/A</v>
      </c>
      <c r="AH44" s="101" t="e">
        <f>AD44-(AD44*AB44)</f>
        <v>#N/A</v>
      </c>
      <c r="AI44" s="101" t="e">
        <f>IF(OR(J44&lt;AF44,J44&gt;AE44),"Warning","")</f>
        <v>#N/A</v>
      </c>
      <c r="AJ44" s="101" t="e">
        <f>IF(OR(J44&gt;(AG44),J44&lt;(AH44)),"Warning","")</f>
        <v>#N/A</v>
      </c>
      <c r="AK44" t="str">
        <f>IF(OR(J44=0),"",IF(AND(AI44="Warning",AJ44="Warning"),"Warning",""))</f>
        <v/>
      </c>
    </row>
    <row r="45" spans="1:37" ht="15.5" x14ac:dyDescent="0.35">
      <c r="A45" s="124">
        <v>85</v>
      </c>
      <c r="B45" s="295" t="s">
        <v>1879</v>
      </c>
      <c r="C45" s="112"/>
      <c r="D45" s="668"/>
      <c r="E45" s="668"/>
      <c r="F45" s="669">
        <f t="shared" si="7"/>
        <v>0</v>
      </c>
      <c r="G45" s="668"/>
      <c r="H45" s="668"/>
      <c r="I45" s="669">
        <f t="shared" si="8"/>
        <v>0</v>
      </c>
      <c r="J45" s="669">
        <f t="shared" si="9"/>
        <v>0</v>
      </c>
      <c r="K45" s="4"/>
      <c r="L45" s="587" t="str">
        <f t="shared" si="10"/>
        <v/>
      </c>
      <c r="M45" s="310" t="str">
        <f>IF(OR((I45&lt;&gt;(G45+H45)),(F45&lt;&gt;(D45+E45)),(J45&lt;&gt;(F45-I45))),"Error",IF(AK45="Warning","Warning",""))</f>
        <v/>
      </c>
      <c r="N45" s="112"/>
      <c r="O45" s="131" t="str">
        <f>IF($M45="Error","A total column for "&amp;($B45)&amp;" does not match the sum of the components, please correct",IF($M45="Warning","This year's figure is over "&amp;AC45/1000&amp;" million and "&amp;(AB45*100)&amp;"% different to "&amp;TEXT(AD45,"#,###")&amp;" last year, please explain",""))</f>
        <v/>
      </c>
      <c r="S45" s="3"/>
      <c r="T45" s="706"/>
      <c r="V45" s="3"/>
      <c r="AB45" s="101">
        <f t="shared" si="11"/>
        <v>0.35</v>
      </c>
      <c r="AC45" s="101">
        <f t="shared" si="12"/>
        <v>4000</v>
      </c>
      <c r="AD45" s="101" t="e">
        <f t="shared" si="13"/>
        <v>#N/A</v>
      </c>
      <c r="AE45" s="101" t="e">
        <f>AD45+AC45</f>
        <v>#N/A</v>
      </c>
      <c r="AF45" s="101" t="e">
        <f>AD45-AC45</f>
        <v>#N/A</v>
      </c>
      <c r="AG45" s="101" t="e">
        <f>AD45+(AD45*AB45)</f>
        <v>#N/A</v>
      </c>
      <c r="AH45" s="101" t="e">
        <f>AD45-(AD45*AB45)</f>
        <v>#N/A</v>
      </c>
      <c r="AI45" s="101" t="e">
        <f>IF(OR(J45&lt;AF45,J45&gt;AE45),"Warning","")</f>
        <v>#N/A</v>
      </c>
      <c r="AJ45" s="101" t="e">
        <f>IF(OR(J45&gt;(AG45),J45&lt;(AH45)),"Warning","")</f>
        <v>#N/A</v>
      </c>
      <c r="AK45" t="str">
        <f>IF(OR(J45=0),"",IF(AND(AI45="Warning",AJ45="Warning"),"Warning",""))</f>
        <v/>
      </c>
    </row>
    <row r="46" spans="1:37" ht="15.5" x14ac:dyDescent="0.35">
      <c r="A46" s="124">
        <v>86</v>
      </c>
      <c r="B46" s="295" t="s">
        <v>1880</v>
      </c>
      <c r="C46" s="112"/>
      <c r="D46" s="668"/>
      <c r="E46" s="668"/>
      <c r="F46" s="669">
        <f t="shared" si="7"/>
        <v>0</v>
      </c>
      <c r="G46" s="668"/>
      <c r="H46" s="668"/>
      <c r="I46" s="669">
        <f t="shared" si="8"/>
        <v>0</v>
      </c>
      <c r="J46" s="669">
        <f t="shared" si="9"/>
        <v>0</v>
      </c>
      <c r="K46" s="4"/>
      <c r="L46" s="587" t="str">
        <f t="shared" si="10"/>
        <v/>
      </c>
      <c r="M46" s="310" t="str">
        <f>IF(OR((I46&lt;&gt;(G46+H46)),(F46&lt;&gt;(D46+E46)),(J46&lt;&gt;(F46-I46))),"Error","")</f>
        <v/>
      </c>
      <c r="N46" s="112"/>
      <c r="O46" s="131" t="str">
        <f>IF($M46="Error","A total column for "&amp;($B46)&amp;" does not match the sum of the components, please correct","")</f>
        <v/>
      </c>
      <c r="S46" s="3"/>
      <c r="T46" s="706"/>
      <c r="V46" s="3"/>
    </row>
    <row r="47" spans="1:37" ht="15.5" x14ac:dyDescent="0.35">
      <c r="A47" s="124">
        <v>87</v>
      </c>
      <c r="B47" s="295" t="s">
        <v>1881</v>
      </c>
      <c r="C47" s="112"/>
      <c r="D47" s="668"/>
      <c r="E47" s="668"/>
      <c r="F47" s="669">
        <f t="shared" si="7"/>
        <v>0</v>
      </c>
      <c r="G47" s="668"/>
      <c r="H47" s="668"/>
      <c r="I47" s="669">
        <f t="shared" si="8"/>
        <v>0</v>
      </c>
      <c r="J47" s="669">
        <f t="shared" si="9"/>
        <v>0</v>
      </c>
      <c r="K47" s="4"/>
      <c r="L47" s="587" t="str">
        <f t="shared" si="10"/>
        <v/>
      </c>
      <c r="M47" s="310" t="str">
        <f t="shared" ref="M47:M49" si="15">IF(OR((I47&lt;&gt;(G47+H47)),(F47&lt;&gt;(D47+E47)),(J47&lt;&gt;(F47-I47))),"Error","")</f>
        <v/>
      </c>
      <c r="N47" s="112"/>
      <c r="O47" s="131" t="str">
        <f>IF($M47="Error","A total column for "&amp;($B47)&amp;" does not match the sum of the components, please correct","")</f>
        <v/>
      </c>
      <c r="S47" s="3"/>
      <c r="T47" s="706"/>
      <c r="V47" s="3"/>
    </row>
    <row r="48" spans="1:37" ht="15.5" x14ac:dyDescent="0.35">
      <c r="A48" s="124">
        <v>88</v>
      </c>
      <c r="B48" s="295" t="s">
        <v>1882</v>
      </c>
      <c r="C48" s="112"/>
      <c r="D48" s="668"/>
      <c r="E48" s="668"/>
      <c r="F48" s="669">
        <f>SUM(D48:E48)</f>
        <v>0</v>
      </c>
      <c r="G48" s="668"/>
      <c r="H48" s="668"/>
      <c r="I48" s="669">
        <f>SUM(G48:H48)</f>
        <v>0</v>
      </c>
      <c r="J48" s="669">
        <f>F48-I48</f>
        <v>0</v>
      </c>
      <c r="K48" s="4"/>
      <c r="L48" s="587" t="str">
        <f>IF(ISERROR(M48),"",IF((M48="Error"),"add explanation",IF((M48="Warning"),"add explanation","")))</f>
        <v/>
      </c>
      <c r="M48" s="310" t="str">
        <f t="shared" si="15"/>
        <v/>
      </c>
      <c r="N48" s="112"/>
      <c r="O48" s="131" t="str">
        <f>IF($M48="Error","A total column for "&amp;($B48)&amp;" does not match the sum of the components, please correct","")</f>
        <v/>
      </c>
      <c r="P48" s="706"/>
      <c r="R48" s="3"/>
      <c r="S48" s="3"/>
    </row>
    <row r="49" spans="1:37" ht="15.5" x14ac:dyDescent="0.35">
      <c r="A49" s="124">
        <v>89</v>
      </c>
      <c r="B49" s="297" t="s">
        <v>1883</v>
      </c>
      <c r="C49" s="112"/>
      <c r="D49" s="715">
        <f>SUM(D40:D48)</f>
        <v>0</v>
      </c>
      <c r="E49" s="715">
        <f>SUM(E40:E48)</f>
        <v>0</v>
      </c>
      <c r="F49" s="716">
        <f t="shared" si="7"/>
        <v>0</v>
      </c>
      <c r="G49" s="715">
        <f>SUM(G40:G48)</f>
        <v>0</v>
      </c>
      <c r="H49" s="715">
        <f>SUM(H40:H48)</f>
        <v>0</v>
      </c>
      <c r="I49" s="669">
        <f t="shared" si="8"/>
        <v>0</v>
      </c>
      <c r="J49" s="669">
        <f t="shared" si="9"/>
        <v>0</v>
      </c>
      <c r="K49" s="112"/>
      <c r="L49" s="587" t="str">
        <f>IF(ISERROR(M49),"",IF((M49="Error"),"add explanation",IF((M49="Warning"),"add explanation","")))</f>
        <v/>
      </c>
      <c r="M49" s="310" t="str">
        <f t="shared" si="15"/>
        <v/>
      </c>
      <c r="N49" s="112"/>
      <c r="O49" s="131" t="str">
        <f>IF($M49="Error","A total column for "&amp;($B49)&amp;" does not match the sum of the components, please correct","")</f>
        <v/>
      </c>
    </row>
    <row r="50" spans="1:37" ht="18" x14ac:dyDescent="0.4">
      <c r="A50" s="61" t="s">
        <v>84</v>
      </c>
      <c r="B50" s="237" t="s">
        <v>84</v>
      </c>
      <c r="C50" s="112"/>
      <c r="D50" s="303"/>
      <c r="E50" s="31"/>
      <c r="F50" s="45"/>
      <c r="G50" s="31"/>
      <c r="H50" s="31"/>
      <c r="I50" s="45"/>
      <c r="J50" s="45"/>
      <c r="K50" s="39"/>
      <c r="L50" s="472"/>
      <c r="M50" s="470"/>
      <c r="N50" s="39"/>
      <c r="O50" s="39"/>
      <c r="P50" s="42"/>
      <c r="R50" s="42"/>
      <c r="S50" s="42"/>
    </row>
    <row r="51" spans="1:37" ht="18" x14ac:dyDescent="0.4">
      <c r="A51" s="27" t="s">
        <v>1884</v>
      </c>
      <c r="B51" s="237"/>
      <c r="C51" s="112"/>
      <c r="D51" s="31"/>
      <c r="E51" s="31"/>
      <c r="F51" s="45"/>
      <c r="G51" s="31"/>
      <c r="H51" s="31"/>
      <c r="I51" s="45"/>
      <c r="J51" s="45"/>
      <c r="K51" s="112"/>
      <c r="L51" s="472"/>
      <c r="M51" s="164"/>
      <c r="N51" s="112"/>
      <c r="O51" s="112"/>
    </row>
    <row r="52" spans="1:37" ht="15.5" x14ac:dyDescent="0.35">
      <c r="A52" s="108">
        <v>51</v>
      </c>
      <c r="B52" s="295" t="s">
        <v>1885</v>
      </c>
      <c r="C52" s="112"/>
      <c r="D52" s="668"/>
      <c r="E52" s="668"/>
      <c r="F52" s="669">
        <f>SUM(D52:E52)</f>
        <v>0</v>
      </c>
      <c r="G52" s="668"/>
      <c r="H52" s="668"/>
      <c r="I52" s="669">
        <f>SUM(G52:H52)</f>
        <v>0</v>
      </c>
      <c r="J52" s="669">
        <f>F52-I52</f>
        <v>0</v>
      </c>
      <c r="K52" s="112"/>
      <c r="L52" s="688" t="str">
        <f>IF(ISERROR(M52),"",IF((M52="Error"),"add explanation",IF((M52="Warning"),"add explanation","")))</f>
        <v/>
      </c>
      <c r="M52" s="310" t="str">
        <f>IF(OR((I52&lt;&gt;(G52+H52)),(F52&lt;&gt;(D52+E52)),(J52&lt;&gt;(F52-I52))),"Error",IF(AK52="Warning","Warning",""))</f>
        <v/>
      </c>
      <c r="N52" s="112"/>
      <c r="O52" s="131" t="str">
        <f>IF($M52="Error","A total column for "&amp;($B52)&amp;" does not match the sum of the components, please correct",IF($M52="Warning","This year's figure is over "&amp;AC52/1000&amp;" million and "&amp;(AB52*100)&amp;"% different to "&amp;TEXT(AD52,"#,###")&amp;" last year, please explain",""))</f>
        <v/>
      </c>
      <c r="AB52">
        <f>VLOOKUP("RO4"&amp;$A52,data_val_parameters,9,0)/100</f>
        <v>0.35</v>
      </c>
      <c r="AC52">
        <f>VLOOKUP("RO4"&amp;$A52,data_val_parameters,7,0)</f>
        <v>3000</v>
      </c>
      <c r="AD52" t="e">
        <f>VLOOKUP(LA_code,data_prev_year,MATCH("RO4"&amp;$A52&amp;"7",data_prev_year_headers,0),0)</f>
        <v>#N/A</v>
      </c>
      <c r="AE52" t="e">
        <f t="shared" si="1"/>
        <v>#N/A</v>
      </c>
      <c r="AF52" t="e">
        <f t="shared" si="2"/>
        <v>#N/A</v>
      </c>
      <c r="AG52" t="e">
        <f t="shared" si="3"/>
        <v>#N/A</v>
      </c>
      <c r="AH52" t="e">
        <f t="shared" si="4"/>
        <v>#N/A</v>
      </c>
      <c r="AI52" t="e">
        <f>IF(OR(J52&lt;AF52,J52&gt;AE52),"Warning","")</f>
        <v>#N/A</v>
      </c>
      <c r="AJ52" t="e">
        <f>IF(OR(J52&gt;(AG52),J52&lt;(AH52)),"Warning","")</f>
        <v>#N/A</v>
      </c>
      <c r="AK52" t="str">
        <f>IF(OR(J52=0),"",IF(AND(AI52="Warning",AJ52="Warning"),"Warning",""))</f>
        <v/>
      </c>
    </row>
    <row r="53" spans="1:37" ht="15.5" x14ac:dyDescent="0.35">
      <c r="A53" s="108">
        <v>52</v>
      </c>
      <c r="B53" s="295" t="s">
        <v>1886</v>
      </c>
      <c r="C53" s="112"/>
      <c r="D53" s="668"/>
      <c r="E53" s="668"/>
      <c r="F53" s="669">
        <f>SUM(D53:E53)</f>
        <v>0</v>
      </c>
      <c r="G53" s="668"/>
      <c r="H53" s="668"/>
      <c r="I53" s="669">
        <f>SUM(G53:H53)</f>
        <v>0</v>
      </c>
      <c r="J53" s="669">
        <f>F53-I53</f>
        <v>0</v>
      </c>
      <c r="K53" s="112"/>
      <c r="L53" s="688" t="str">
        <f>IF(ISERROR(M53),"",IF((M53="Error"),"add explanation",IF((M53="Warning"),"add explanation","")))</f>
        <v/>
      </c>
      <c r="M53" s="310" t="str">
        <f>IF(OR((I53&lt;&gt;(G53+H53)),(F53&lt;&gt;(D53+E53)),(J53&lt;&gt;(F53-I53))),"Error",IF(AK53="Warning","Warning",""))</f>
        <v/>
      </c>
      <c r="N53" s="112"/>
      <c r="O53" s="131" t="str">
        <f>IF($M53="Error","A total column for "&amp;($B53)&amp;" does not match the sum of the components, please correct",IF($M53="Warning","This year's figure is over "&amp;AC53/1000&amp;" million and "&amp;(AB53*100)&amp;"% different to "&amp;TEXT(AD53,"#,###")&amp;" last year, please explain",""))</f>
        <v/>
      </c>
      <c r="AB53">
        <f>VLOOKUP("RO4"&amp;$A53,data_val_parameters,9,0)/100</f>
        <v>0.35</v>
      </c>
      <c r="AC53">
        <f>VLOOKUP("RO4"&amp;$A53,data_val_parameters,7,0)</f>
        <v>3000</v>
      </c>
      <c r="AD53" t="e">
        <f>VLOOKUP(LA_code,data_prev_year,MATCH("RO4"&amp;$A53&amp;"7",data_prev_year_headers,0),0)</f>
        <v>#N/A</v>
      </c>
      <c r="AE53" t="e">
        <f t="shared" si="1"/>
        <v>#N/A</v>
      </c>
      <c r="AF53" t="e">
        <f t="shared" si="2"/>
        <v>#N/A</v>
      </c>
      <c r="AG53" t="e">
        <f t="shared" si="3"/>
        <v>#N/A</v>
      </c>
      <c r="AH53" t="e">
        <f t="shared" si="4"/>
        <v>#N/A</v>
      </c>
      <c r="AI53" t="e">
        <f>IF(OR(J53&lt;AF53,J53&gt;AE53),"Warning","")</f>
        <v>#N/A</v>
      </c>
      <c r="AJ53" t="e">
        <f>IF(OR(J53&gt;(AG53),J53&lt;(AH53)),"Warning","")</f>
        <v>#N/A</v>
      </c>
      <c r="AK53" t="str">
        <f>IF(OR(J53=0),"",IF(AND(AI53="Warning",AJ53="Warning"),"Warning",""))</f>
        <v/>
      </c>
    </row>
    <row r="54" spans="1:37" ht="15.5" x14ac:dyDescent="0.35">
      <c r="A54" s="108">
        <v>53</v>
      </c>
      <c r="B54" s="295" t="s">
        <v>1887</v>
      </c>
      <c r="C54" s="112"/>
      <c r="D54" s="668"/>
      <c r="E54" s="668"/>
      <c r="F54" s="669">
        <f>SUM(D54:E54)</f>
        <v>0</v>
      </c>
      <c r="G54" s="668"/>
      <c r="H54" s="668"/>
      <c r="I54" s="669">
        <f>SUM(G54:H54)</f>
        <v>0</v>
      </c>
      <c r="J54" s="669">
        <f>F54-I54</f>
        <v>0</v>
      </c>
      <c r="K54" s="112"/>
      <c r="L54" s="688" t="str">
        <f>IF(ISERROR(M54),"",IF((M54="Error"),"add explanation",IF((M54="Warning"),"add explanation","")))</f>
        <v/>
      </c>
      <c r="M54" s="310" t="str">
        <f>IF(OR((I54&lt;&gt;(G54+H54)),(F54&lt;&gt;(D54+E54)),(J54&lt;&gt;(F54-I54))),"Error",IF(AK54="Warning","Warning",""))</f>
        <v/>
      </c>
      <c r="N54" s="112"/>
      <c r="O54" s="131" t="str">
        <f>IF($M54="Error","A total column for "&amp;($B54)&amp;" does not match the sum of the components, please correct",IF($M54="Warning","This year's figure is over "&amp;AC54/1000&amp;" million and "&amp;(AB54*100)&amp;"% different to "&amp;TEXT(AD54,"#,###")&amp;" last year, please explain",""))</f>
        <v/>
      </c>
      <c r="AB54">
        <f>VLOOKUP("RO4"&amp;$A54,data_val_parameters,9,0)/100</f>
        <v>0.35</v>
      </c>
      <c r="AC54">
        <f>VLOOKUP("RO4"&amp;$A54,data_val_parameters,7,0)</f>
        <v>3000</v>
      </c>
      <c r="AD54" t="e">
        <f>VLOOKUP(LA_code,data_prev_year,MATCH("RO4"&amp;$A54&amp;"7",data_prev_year_headers,0),0)</f>
        <v>#N/A</v>
      </c>
      <c r="AE54" t="e">
        <f t="shared" si="1"/>
        <v>#N/A</v>
      </c>
      <c r="AF54" t="e">
        <f t="shared" si="2"/>
        <v>#N/A</v>
      </c>
      <c r="AG54" t="e">
        <f t="shared" si="3"/>
        <v>#N/A</v>
      </c>
      <c r="AH54" t="e">
        <f t="shared" si="4"/>
        <v>#N/A</v>
      </c>
      <c r="AI54" t="e">
        <f>IF(OR(J54&lt;AF54,J54&gt;AE54),"Warning","")</f>
        <v>#N/A</v>
      </c>
      <c r="AJ54" t="e">
        <f>IF(OR(J54&gt;(AG54),J54&lt;(AH54)),"Warning","")</f>
        <v>#N/A</v>
      </c>
      <c r="AK54" t="str">
        <f>IF(OR(J54=0),"",IF(AND(AI54="Warning",AJ54="Warning"),"Warning",""))</f>
        <v/>
      </c>
    </row>
    <row r="55" spans="1:37" ht="15.5" x14ac:dyDescent="0.35">
      <c r="A55" s="108">
        <v>57</v>
      </c>
      <c r="B55" s="295" t="s">
        <v>1888</v>
      </c>
      <c r="C55" s="112"/>
      <c r="D55" s="668"/>
      <c r="E55" s="668"/>
      <c r="F55" s="669">
        <f>SUM(D55:E55)</f>
        <v>0</v>
      </c>
      <c r="G55" s="668"/>
      <c r="H55" s="668"/>
      <c r="I55" s="669">
        <f>SUM(G55:H55)</f>
        <v>0</v>
      </c>
      <c r="J55" s="669">
        <f>F55-I55</f>
        <v>0</v>
      </c>
      <c r="K55" s="112"/>
      <c r="L55" s="688" t="str">
        <f>IF(ISERROR(M55),"",IF((M55="Error"),"add explanation",IF((M55="Warning"),"add explanation","")))</f>
        <v/>
      </c>
      <c r="M55" s="310" t="str">
        <f>IF(OR((I55&lt;&gt;(G55+H55)),(F55&lt;&gt;(D55+E55)),(J55&lt;&gt;(F55-I55))),"Error",IF(AK55="Warning","Warning",""))</f>
        <v/>
      </c>
      <c r="N55" s="112"/>
      <c r="O55" s="131" t="str">
        <f>IF($M55="Error","A total column for "&amp;($B55)&amp;" does not match the sum of the components, please correct",IF($M55="Warning","This year's figure is over "&amp;AC55/1000&amp;" million and "&amp;(AB55*100)&amp;"% different to "&amp;TEXT(AD55,"#,###")&amp;" last year, please explain",""))</f>
        <v/>
      </c>
      <c r="AB55">
        <f>VLOOKUP("RO4"&amp;$A55,data_val_parameters,9,0)/100</f>
        <v>0.35</v>
      </c>
      <c r="AC55">
        <f>VLOOKUP("RO4"&amp;$A55,data_val_parameters,7,0)</f>
        <v>4000</v>
      </c>
      <c r="AD55" t="e">
        <f>VLOOKUP(LA_code,data_prev_year,MATCH("RO4"&amp;$A55&amp;"7",data_prev_year_headers,0),0)</f>
        <v>#N/A</v>
      </c>
      <c r="AE55" t="e">
        <f t="shared" si="1"/>
        <v>#N/A</v>
      </c>
      <c r="AF55" t="e">
        <f t="shared" si="2"/>
        <v>#N/A</v>
      </c>
      <c r="AG55" t="e">
        <f t="shared" si="3"/>
        <v>#N/A</v>
      </c>
      <c r="AH55" t="e">
        <f t="shared" si="4"/>
        <v>#N/A</v>
      </c>
      <c r="AI55" t="e">
        <f>IF(OR(J55&lt;AF55,J55&gt;AE55),"Warning","")</f>
        <v>#N/A</v>
      </c>
      <c r="AJ55" t="e">
        <f>IF(OR(J55&gt;(AG55),J55&lt;(AH55)),"Warning","")</f>
        <v>#N/A</v>
      </c>
      <c r="AK55" t="str">
        <f>IF(OR(J55=0),"",IF(AND(AI55="Warning",AJ55="Warning"),"Warning",""))</f>
        <v/>
      </c>
    </row>
    <row r="56" spans="1:37" ht="15.5" x14ac:dyDescent="0.35">
      <c r="A56" s="214" t="s">
        <v>1889</v>
      </c>
      <c r="B56" s="237"/>
      <c r="C56" s="112"/>
      <c r="D56" s="31"/>
      <c r="E56" s="31"/>
      <c r="F56" s="45"/>
      <c r="G56" s="31"/>
      <c r="H56" s="31"/>
      <c r="I56" s="45"/>
      <c r="J56" s="45"/>
      <c r="K56" s="112"/>
      <c r="L56" s="689"/>
      <c r="M56" s="164"/>
      <c r="N56" s="112"/>
      <c r="O56" s="112"/>
    </row>
    <row r="57" spans="1:37" ht="15.5" x14ac:dyDescent="0.35">
      <c r="A57" s="11" t="s">
        <v>84</v>
      </c>
      <c r="B57" s="237" t="s">
        <v>84</v>
      </c>
      <c r="C57" s="112"/>
      <c r="D57" s="31"/>
      <c r="E57" s="31"/>
      <c r="F57" s="45"/>
      <c r="G57" s="31"/>
      <c r="H57" s="31"/>
      <c r="I57" s="45"/>
      <c r="J57" s="45"/>
      <c r="K57" s="112"/>
      <c r="L57" s="689"/>
      <c r="M57" s="164"/>
      <c r="N57" s="112"/>
      <c r="O57" s="112"/>
    </row>
    <row r="58" spans="1:37" ht="15.5" x14ac:dyDescent="0.35">
      <c r="A58" s="122">
        <v>60</v>
      </c>
      <c r="B58" s="295" t="s">
        <v>1890</v>
      </c>
      <c r="C58" s="112"/>
      <c r="D58" s="668"/>
      <c r="E58" s="668"/>
      <c r="F58" s="669">
        <f>SUM(D58:E58)</f>
        <v>0</v>
      </c>
      <c r="G58" s="668"/>
      <c r="H58" s="668"/>
      <c r="I58" s="669">
        <f>SUM(G58:H58)</f>
        <v>0</v>
      </c>
      <c r="J58" s="669">
        <f>F58-I58</f>
        <v>0</v>
      </c>
      <c r="K58" s="112"/>
      <c r="L58" s="688" t="str">
        <f>IF(ISERROR(M58),"",IF((M58="Error"),"add explanation",IF((M58="Warning"),"add explanation","")))</f>
        <v/>
      </c>
      <c r="M58" s="310" t="str">
        <f>IF(OR((I58&lt;&gt;(G58+H58)),(F58&lt;&gt;(D58+E58)),(J58&lt;&gt;(F58-I58))),"Error",IF(AK58="Warning","Warning",""))</f>
        <v/>
      </c>
      <c r="N58" s="112"/>
      <c r="O58" s="131" t="str">
        <f>IF($M58="Error","A total column for "&amp;($B58)&amp;" does not match the sum of the components, please correct",IF($M58="Warning","This year's figure is over "&amp;AC58/1000&amp;" million and "&amp;(AB58*100)&amp;"% different to "&amp;TEXT(AD58,"#,###")&amp;" last year, please explain",""))</f>
        <v/>
      </c>
      <c r="AB58">
        <f>VLOOKUP("RO4"&amp;$A58,data_val_parameters,9,0)/100</f>
        <v>0.35</v>
      </c>
      <c r="AC58">
        <f>VLOOKUP("RO4"&amp;$A58,data_val_parameters,7,0)</f>
        <v>3000</v>
      </c>
      <c r="AD58" t="e">
        <f>VLOOKUP(LA_code,data_prev_year,MATCH("RO4"&amp;$A58&amp;"7",data_prev_year_headers,0),0)</f>
        <v>#N/A</v>
      </c>
      <c r="AE58" t="e">
        <f t="shared" si="1"/>
        <v>#N/A</v>
      </c>
      <c r="AF58" t="e">
        <f t="shared" si="2"/>
        <v>#N/A</v>
      </c>
      <c r="AG58" t="e">
        <f t="shared" si="3"/>
        <v>#N/A</v>
      </c>
      <c r="AH58" t="e">
        <f t="shared" si="4"/>
        <v>#N/A</v>
      </c>
      <c r="AI58" t="e">
        <f>IF(OR(J58&lt;AF58,J58&gt;AE58),"Warning","")</f>
        <v>#N/A</v>
      </c>
      <c r="AJ58" t="e">
        <f>IF(OR(J58&gt;(AG58),J58&lt;(AH58)),"Warning","")</f>
        <v>#N/A</v>
      </c>
      <c r="AK58" t="str">
        <f>IF(OR(J58=0),"",IF(AND(AI58="Warning",AJ58="Warning"),"Warning",""))</f>
        <v/>
      </c>
    </row>
    <row r="59" spans="1:37" ht="15.5" x14ac:dyDescent="0.35">
      <c r="A59" s="124" t="s">
        <v>84</v>
      </c>
      <c r="B59" s="237" t="s">
        <v>84</v>
      </c>
      <c r="C59" s="112"/>
      <c r="D59" s="31"/>
      <c r="E59" s="31"/>
      <c r="F59" s="45"/>
      <c r="G59" s="31"/>
      <c r="H59" s="31"/>
      <c r="I59" s="45"/>
      <c r="J59" s="45"/>
      <c r="K59" s="112"/>
      <c r="L59" s="689"/>
      <c r="M59" s="164"/>
      <c r="N59" s="112"/>
      <c r="O59" s="112"/>
    </row>
    <row r="60" spans="1:37" ht="18" x14ac:dyDescent="0.4">
      <c r="A60" s="27" t="s">
        <v>1891</v>
      </c>
      <c r="B60" s="237"/>
      <c r="C60" s="112"/>
      <c r="D60" s="31"/>
      <c r="E60" s="31"/>
      <c r="F60" s="45"/>
      <c r="G60" s="31"/>
      <c r="H60" s="31"/>
      <c r="I60" s="45"/>
      <c r="J60" s="45"/>
      <c r="K60" s="112"/>
      <c r="L60" s="689"/>
      <c r="M60" s="164"/>
      <c r="N60" s="112"/>
      <c r="O60" s="112"/>
    </row>
    <row r="61" spans="1:37" ht="15.5" x14ac:dyDescent="0.35">
      <c r="A61" s="122">
        <v>75</v>
      </c>
      <c r="B61" s="295" t="s">
        <v>1865</v>
      </c>
      <c r="C61" s="112"/>
      <c r="D61" s="668"/>
      <c r="E61" s="668"/>
      <c r="F61" s="669">
        <f>SUM(D61:E61)</f>
        <v>0</v>
      </c>
      <c r="G61" s="668"/>
      <c r="H61" s="668"/>
      <c r="I61" s="669">
        <f>SUM(G61:H61)</f>
        <v>0</v>
      </c>
      <c r="J61" s="669">
        <f>F61-I61</f>
        <v>0</v>
      </c>
      <c r="K61" s="112"/>
      <c r="L61" s="688" t="str">
        <f>IF(ISERROR(M61),"",IF((M61="Error"),"add explanation",IF((M61="Warning"),"add explanation","")))</f>
        <v/>
      </c>
      <c r="M61" s="310" t="str">
        <f>IF(OR((I61&lt;&gt;(G61+H61)),(F61&lt;&gt;(D61+E61)),(J61&lt;&gt;(F61-I61))),"Error",IF(AK61="Warning","Warning",""))</f>
        <v/>
      </c>
      <c r="N61" s="112"/>
      <c r="O61" s="131" t="str">
        <f>IF($M61="Error","A total column for "&amp;($B61)&amp;" does not match the sum of the components, please correct",IF($M61="Warning","This year's figure is over "&amp;AC61/1000&amp;" million and "&amp;(AB61*100)&amp;"% different to "&amp;TEXT(AD61,"#,###")&amp;" last year, please explain",""))</f>
        <v/>
      </c>
      <c r="AB61">
        <f>VLOOKUP("RO4"&amp;$A61,data_val_parameters,9,0)/100</f>
        <v>0.35</v>
      </c>
      <c r="AC61">
        <f>VLOOKUP("RO4"&amp;$A61,data_val_parameters,7,0)</f>
        <v>6000</v>
      </c>
      <c r="AD61" t="e">
        <f>VLOOKUP(LA_code,data_prev_year,MATCH("RO4"&amp;$A61&amp;"7",data_prev_year_headers,0),0)</f>
        <v>#N/A</v>
      </c>
      <c r="AE61" t="e">
        <f t="shared" si="1"/>
        <v>#N/A</v>
      </c>
      <c r="AF61" t="e">
        <f t="shared" si="2"/>
        <v>#N/A</v>
      </c>
      <c r="AG61" t="e">
        <f t="shared" si="3"/>
        <v>#N/A</v>
      </c>
      <c r="AH61" t="e">
        <f t="shared" si="4"/>
        <v>#N/A</v>
      </c>
      <c r="AI61" t="e">
        <f>IF(OR(J61&lt;AF61,J61&gt;AE61),"Warning","")</f>
        <v>#N/A</v>
      </c>
      <c r="AJ61" t="e">
        <f>IF(OR(J61&gt;(AG61),J61&lt;(AH61)),"Warning","")</f>
        <v>#N/A</v>
      </c>
      <c r="AK61" t="str">
        <f>IF(OR(J61=0),"",IF(AND(AI61="Warning",AJ61="Warning"),"Warning",""))</f>
        <v/>
      </c>
    </row>
    <row r="62" spans="1:37" ht="15.5" x14ac:dyDescent="0.35">
      <c r="A62" s="122">
        <v>78</v>
      </c>
      <c r="B62" s="295" t="s">
        <v>1892</v>
      </c>
      <c r="C62" s="112"/>
      <c r="D62" s="668"/>
      <c r="E62" s="668"/>
      <c r="F62" s="669">
        <f>SUM(D62:E62)</f>
        <v>0</v>
      </c>
      <c r="G62" s="668"/>
      <c r="H62" s="668"/>
      <c r="I62" s="669">
        <f>SUM(G62:H62)</f>
        <v>0</v>
      </c>
      <c r="J62" s="669">
        <f>F62-I62</f>
        <v>0</v>
      </c>
      <c r="K62" s="112"/>
      <c r="L62" s="688" t="str">
        <f>IF(ISERROR(M62),"",IF((M62="Error"),"add explanation",IF((M62="Warning"),"add explanation","")))</f>
        <v/>
      </c>
      <c r="M62" s="310" t="str">
        <f>IF(OR((I62&lt;&gt;(G62+H62)),(F62&lt;&gt;(D62+E62)),(J62&lt;&gt;(F62-I62))),"Error",IF(AK62="Warning","Warning",""))</f>
        <v/>
      </c>
      <c r="N62" s="112"/>
      <c r="O62" s="131" t="str">
        <f>IF($M62="Error","A total column for "&amp;($B62)&amp;" does not match the sum of the components, please correct",IF($M62="Warning","This year's figure is over "&amp;AC62/1000&amp;" million and "&amp;(AB62*100)&amp;"% different to "&amp;TEXT(AD62,"#,###")&amp;" last year, please explain",""))</f>
        <v/>
      </c>
      <c r="AB62">
        <f>VLOOKUP("RO4"&amp;$A62,data_val_parameters,9,0)/100</f>
        <v>0.35</v>
      </c>
      <c r="AC62">
        <f>VLOOKUP("RO4"&amp;$A62,data_val_parameters,7,0)</f>
        <v>3000</v>
      </c>
      <c r="AD62" t="e">
        <f>VLOOKUP(LA_code,data_prev_year,MATCH("RO4"&amp;$A62&amp;"7",data_prev_year_headers,0),0)</f>
        <v>#N/A</v>
      </c>
      <c r="AE62" t="e">
        <f t="shared" si="1"/>
        <v>#N/A</v>
      </c>
      <c r="AF62" t="e">
        <f t="shared" si="2"/>
        <v>#N/A</v>
      </c>
      <c r="AG62" t="e">
        <f t="shared" si="3"/>
        <v>#N/A</v>
      </c>
      <c r="AH62" t="e">
        <f t="shared" si="4"/>
        <v>#N/A</v>
      </c>
      <c r="AI62" t="e">
        <f>IF(OR(J62&lt;AF62,J62&gt;AE62),"Warning","")</f>
        <v>#N/A</v>
      </c>
      <c r="AJ62" t="e">
        <f>IF(OR(J62&gt;(AG62),J62&lt;(AH62)),"Warning","")</f>
        <v>#N/A</v>
      </c>
      <c r="AK62" t="str">
        <f>IF(OR(J62=0),"",IF(AND(AI62="Warning",AJ62="Warning"),"Warning",""))</f>
        <v/>
      </c>
    </row>
    <row r="63" spans="1:37" ht="15.5" x14ac:dyDescent="0.35">
      <c r="A63" s="61" t="s">
        <v>84</v>
      </c>
      <c r="B63" s="295" t="s">
        <v>84</v>
      </c>
      <c r="C63" s="112"/>
      <c r="D63" s="31"/>
      <c r="E63" s="31"/>
      <c r="F63" s="45"/>
      <c r="G63" s="31"/>
      <c r="H63" s="31"/>
      <c r="I63" s="45"/>
      <c r="J63" s="45"/>
      <c r="K63" s="112"/>
      <c r="L63" s="689"/>
      <c r="M63" s="164"/>
      <c r="N63" s="112"/>
      <c r="O63" s="112"/>
    </row>
    <row r="64" spans="1:37" ht="15.5" x14ac:dyDescent="0.35">
      <c r="A64" s="117">
        <v>90</v>
      </c>
      <c r="B64" s="297" t="s">
        <v>1893</v>
      </c>
      <c r="C64" s="112"/>
      <c r="D64" s="669">
        <f t="shared" ref="D64:J64" si="16">SUM(D31,D33,D36:D37,D40:D48,D52:D55,D58,D61:D62)</f>
        <v>0</v>
      </c>
      <c r="E64" s="1126">
        <f t="shared" si="16"/>
        <v>0</v>
      </c>
      <c r="F64" s="669">
        <f t="shared" si="16"/>
        <v>0</v>
      </c>
      <c r="G64" s="669">
        <f t="shared" si="16"/>
        <v>0</v>
      </c>
      <c r="H64" s="669">
        <f t="shared" si="16"/>
        <v>0</v>
      </c>
      <c r="I64" s="717">
        <f t="shared" si="16"/>
        <v>0</v>
      </c>
      <c r="J64" s="1127">
        <f t="shared" si="16"/>
        <v>0</v>
      </c>
      <c r="K64" s="86"/>
      <c r="L64" s="688" t="str">
        <f>IF(ISERROR(M64),"",IF((M64="Error"),"add explanation",IF((M64="Warning"),"add explanation","")))</f>
        <v/>
      </c>
      <c r="M64" s="310" t="str">
        <f>IF(OR((I64&lt;&gt;(G64+H64)),(F64&lt;&gt;(D64+E64)),(J64&lt;&gt;(F64-I64))),"Error",IF(AK64="Warning","Warning",""))</f>
        <v/>
      </c>
      <c r="N64" s="112"/>
      <c r="O64" s="131" t="str">
        <f>IF($M64="Error","A total column for "&amp;($B64)&amp;" does not match the sum of the components, please correct",IF($M64="Warning","This year's figure is over "&amp;AC64/1000&amp;" million and "&amp;(AB64*100)&amp;"% different to "&amp;TEXT(AD64,"#,###")&amp;" last year, please explain",""))</f>
        <v/>
      </c>
    </row>
    <row r="65" spans="1:37" ht="15.5" x14ac:dyDescent="0.35">
      <c r="A65" s="112"/>
      <c r="B65" s="237"/>
      <c r="C65" s="237"/>
      <c r="D65" s="31"/>
      <c r="E65" s="1128"/>
      <c r="F65" s="45"/>
      <c r="G65" s="31"/>
      <c r="H65" s="31"/>
      <c r="I65" s="45"/>
      <c r="J65" s="820" t="s">
        <v>1730</v>
      </c>
      <c r="K65" s="112"/>
      <c r="L65" s="112"/>
      <c r="M65" s="164"/>
      <c r="N65" s="112"/>
      <c r="O65" s="112"/>
    </row>
    <row r="66" spans="1:37" ht="46.5" x14ac:dyDescent="0.35">
      <c r="A66" s="112"/>
      <c r="B66" s="237"/>
      <c r="C66" s="237"/>
      <c r="D66" s="31"/>
      <c r="E66" s="709" t="s">
        <v>1731</v>
      </c>
      <c r="F66" s="45"/>
      <c r="G66" s="31"/>
      <c r="H66" s="31"/>
      <c r="I66" s="45"/>
      <c r="J66" s="820"/>
      <c r="K66" s="112"/>
      <c r="L66" s="112"/>
      <c r="M66" s="164"/>
      <c r="N66" s="112"/>
      <c r="O66" s="112"/>
    </row>
    <row r="67" spans="1:37" ht="15.5" x14ac:dyDescent="0.35">
      <c r="A67" s="112"/>
      <c r="B67" s="112"/>
      <c r="C67" s="112"/>
      <c r="D67" s="31"/>
      <c r="E67" s="399" t="s">
        <v>1732</v>
      </c>
      <c r="F67" s="45"/>
      <c r="G67" s="31"/>
      <c r="H67" s="31"/>
      <c r="I67" s="45"/>
      <c r="J67" s="298"/>
      <c r="K67" s="112"/>
      <c r="L67" s="112"/>
      <c r="M67" s="164"/>
      <c r="N67" s="112"/>
      <c r="O67" s="112"/>
    </row>
    <row r="68" spans="1:37" ht="15.5" x14ac:dyDescent="0.35">
      <c r="A68" s="859">
        <v>1901</v>
      </c>
      <c r="B68" s="859" t="s">
        <v>1894</v>
      </c>
      <c r="C68" s="112"/>
      <c r="D68" s="112"/>
      <c r="E68" s="996"/>
      <c r="F68" s="45"/>
      <c r="G68" s="31"/>
      <c r="H68" s="31"/>
      <c r="I68" s="45"/>
      <c r="J68" s="298"/>
      <c r="K68" s="112"/>
      <c r="L68" s="112"/>
      <c r="M68" s="164"/>
      <c r="N68" s="112"/>
      <c r="O68" s="112"/>
    </row>
    <row r="69" spans="1:37" ht="16" thickBot="1" x14ac:dyDescent="0.4">
      <c r="A69" s="112"/>
      <c r="B69" s="112"/>
      <c r="C69" s="31"/>
      <c r="D69" s="31"/>
      <c r="E69" s="31"/>
      <c r="F69" s="45"/>
      <c r="G69" s="31"/>
      <c r="H69" s="31"/>
      <c r="I69" s="45"/>
      <c r="J69" s="45"/>
      <c r="K69" s="112"/>
      <c r="L69" s="112"/>
      <c r="M69" s="112"/>
      <c r="N69" s="112"/>
      <c r="O69" s="112"/>
    </row>
    <row r="70" spans="1:37" ht="15.5" x14ac:dyDescent="0.35">
      <c r="A70" s="311"/>
      <c r="B70" s="311"/>
      <c r="C70" s="311"/>
      <c r="D70" s="312"/>
      <c r="E70" s="312"/>
      <c r="F70" s="94"/>
      <c r="G70" s="312"/>
      <c r="H70" s="312"/>
      <c r="I70" s="94"/>
      <c r="J70" s="94"/>
      <c r="K70" s="112"/>
      <c r="L70" s="112"/>
      <c r="M70" s="112"/>
      <c r="N70" s="112"/>
      <c r="O70" s="112"/>
    </row>
    <row r="71" spans="1:37" ht="23" x14ac:dyDescent="0.5">
      <c r="A71" s="313" t="s">
        <v>1554</v>
      </c>
      <c r="B71" s="39"/>
      <c r="C71" s="112"/>
      <c r="D71" s="112"/>
      <c r="E71" s="31"/>
      <c r="F71" s="45"/>
      <c r="G71" s="31"/>
      <c r="H71" s="31"/>
      <c r="I71" s="45"/>
      <c r="J71" s="45"/>
      <c r="K71" s="112"/>
      <c r="L71" s="112"/>
      <c r="M71" s="112"/>
      <c r="N71" s="112"/>
      <c r="O71" s="112"/>
    </row>
    <row r="72" spans="1:37" ht="18" x14ac:dyDescent="0.4">
      <c r="A72" s="314" t="str">
        <f>IF(ISERROR(VLOOKUP(LA_code,data_HRA,3,0)),""," Housing Revenue Account figures are expected from your authority.")</f>
        <v/>
      </c>
      <c r="B72" s="39"/>
      <c r="C72" s="112"/>
      <c r="D72" s="315"/>
      <c r="E72" s="31"/>
      <c r="F72" s="45"/>
      <c r="G72" s="31"/>
      <c r="H72" s="31"/>
      <c r="I72" s="45"/>
      <c r="J72" s="45"/>
      <c r="K72" s="112"/>
      <c r="L72" s="112"/>
      <c r="M72" s="112"/>
      <c r="N72" s="112"/>
      <c r="O72" s="112"/>
    </row>
    <row r="73" spans="1:37" ht="15.5" x14ac:dyDescent="0.35">
      <c r="A73" s="127"/>
      <c r="B73" s="127"/>
      <c r="C73" s="112"/>
      <c r="D73" s="106" t="s">
        <v>1555</v>
      </c>
      <c r="E73" s="31"/>
      <c r="F73" s="45"/>
      <c r="G73" s="31"/>
      <c r="H73" s="31"/>
      <c r="I73" s="45"/>
      <c r="J73" s="45"/>
      <c r="K73" s="112"/>
      <c r="L73" s="112"/>
      <c r="M73" s="112"/>
      <c r="N73" s="112"/>
      <c r="O73" s="112"/>
    </row>
    <row r="74" spans="1:37" ht="15.5" x14ac:dyDescent="0.35">
      <c r="A74" s="86" t="s">
        <v>1606</v>
      </c>
      <c r="B74" s="237"/>
      <c r="C74" s="112"/>
      <c r="D74" s="97" t="s">
        <v>1378</v>
      </c>
      <c r="E74" s="31"/>
      <c r="F74" s="45"/>
      <c r="G74" s="31"/>
      <c r="H74" s="31"/>
      <c r="I74" s="45"/>
      <c r="J74" s="45"/>
      <c r="K74" s="112"/>
      <c r="L74" s="112"/>
      <c r="M74" s="693"/>
      <c r="N74" s="112"/>
      <c r="O74" s="112"/>
    </row>
    <row r="75" spans="1:37" ht="15.75" customHeight="1" x14ac:dyDescent="0.35">
      <c r="A75" s="316">
        <v>101</v>
      </c>
      <c r="B75" s="317" t="s">
        <v>1895</v>
      </c>
      <c r="C75" s="183"/>
      <c r="D75" s="672"/>
      <c r="E75" s="31"/>
      <c r="F75" s="45"/>
      <c r="G75" s="31"/>
      <c r="H75" s="31"/>
      <c r="I75" s="45"/>
      <c r="J75" s="45"/>
      <c r="K75" s="112"/>
      <c r="L75" s="688" t="str">
        <f>IF(ISERROR(M75),"",IF((M75="Error"),"add explanation",IF((M75="Warning"),"add explanation","")))</f>
        <v/>
      </c>
      <c r="M75" s="693" t="str">
        <f>IF(AK75="Warning","Warning","")</f>
        <v/>
      </c>
      <c r="N75" s="112"/>
      <c r="O75" s="131" t="str">
        <f>IF($M75="Warning","This year's figure is over "&amp;AC75/1000&amp;" million and "&amp;(AB75*100)&amp;"% different to "&amp;TEXT(AD75,"#,###")&amp;" last year, please explain","")</f>
        <v/>
      </c>
      <c r="AB75">
        <f t="shared" ref="AB75:AB83" si="17">VLOOKUP("RO4"&amp;$A75,data_val_parameters,9,0)/100</f>
        <v>0.55000000000000004</v>
      </c>
      <c r="AC75">
        <f t="shared" ref="AC75:AC83" si="18">VLOOKUP("RO4"&amp;$A75,data_val_parameters,7,0)</f>
        <v>8000</v>
      </c>
      <c r="AD75" t="e">
        <f t="shared" ref="AD75:AD83" si="19">VLOOKUP(LA_code,data_prev_year,MATCH("RO4"&amp;$A75&amp;"8",data_prev_year_headers,0),0)</f>
        <v>#N/A</v>
      </c>
      <c r="AE75" t="e">
        <f t="shared" ref="AE75" si="20">AD75+AC75</f>
        <v>#N/A</v>
      </c>
      <c r="AF75" t="e">
        <f t="shared" ref="AF75" si="21">AD75-AC75</f>
        <v>#N/A</v>
      </c>
      <c r="AG75" t="e">
        <f t="shared" ref="AG75" si="22">AD75+(AD75*AB75)</f>
        <v>#N/A</v>
      </c>
      <c r="AH75" t="e">
        <f t="shared" ref="AH75" si="23">AD75-(AD75*AB75)</f>
        <v>#N/A</v>
      </c>
      <c r="AI75" t="e">
        <f>IF(OR(D75&lt;AF75,D75&gt;AE75),"Warning","")</f>
        <v>#N/A</v>
      </c>
      <c r="AJ75" t="e">
        <f>IF(OR(D75&gt;(AG75),D75&lt;(AH75)),"Warning","")</f>
        <v>#N/A</v>
      </c>
      <c r="AK75" t="str">
        <f>IF(OR(D75=0),"",IF(AND(AI75="Warning",AJ75="Warning"),"Warning",""))</f>
        <v/>
      </c>
    </row>
    <row r="76" spans="1:37" ht="15.75" customHeight="1" x14ac:dyDescent="0.35">
      <c r="A76" s="316">
        <v>102</v>
      </c>
      <c r="B76" s="317" t="s">
        <v>1896</v>
      </c>
      <c r="C76" s="183"/>
      <c r="D76" s="672"/>
      <c r="E76" s="31"/>
      <c r="F76" s="45"/>
      <c r="G76" s="31"/>
      <c r="H76" s="31"/>
      <c r="I76" s="45"/>
      <c r="J76" s="45"/>
      <c r="K76" s="112"/>
      <c r="L76" s="688" t="str">
        <f t="shared" ref="L76:L82" si="24">IF(ISERROR(M76),"",IF((M76="Error"),"add explanation",IF((M76="Warning"),"add explanation","")))</f>
        <v/>
      </c>
      <c r="M76" s="693" t="str">
        <f t="shared" ref="M76:M82" si="25">IF(AK76="Warning","Warning","")</f>
        <v/>
      </c>
      <c r="N76" s="112"/>
      <c r="O76" s="131" t="str">
        <f t="shared" ref="O76:O82" si="26">IF($M76="Warning","This year's figure is over "&amp;AC76/1000&amp;" million and "&amp;(AB76*100)&amp;"% different to "&amp;TEXT(AD76,"#,###")&amp;" last year, please explain","")</f>
        <v/>
      </c>
      <c r="AB76">
        <f t="shared" si="17"/>
        <v>0.55000000000000004</v>
      </c>
      <c r="AC76">
        <f t="shared" si="18"/>
        <v>8000</v>
      </c>
      <c r="AD76" t="e">
        <f t="shared" si="19"/>
        <v>#N/A</v>
      </c>
      <c r="AE76" t="e">
        <f t="shared" ref="AE76:AE81" si="27">AD76+AC76</f>
        <v>#N/A</v>
      </c>
      <c r="AF76" t="e">
        <f t="shared" ref="AF76:AF81" si="28">AD76-AC76</f>
        <v>#N/A</v>
      </c>
      <c r="AG76" t="e">
        <f t="shared" ref="AG76:AG81" si="29">AD76+(AD76*AB76)</f>
        <v>#N/A</v>
      </c>
      <c r="AH76" t="e">
        <f t="shared" ref="AH76:AH81" si="30">AD76-(AD76*AB76)</f>
        <v>#N/A</v>
      </c>
      <c r="AI76" t="e">
        <f t="shared" ref="AI76:AI80" si="31">IF(OR(D76&lt;AF76,D76&gt;AE76),"Warning","")</f>
        <v>#N/A</v>
      </c>
      <c r="AJ76" t="e">
        <f t="shared" ref="AJ76:AJ80" si="32">IF(OR(D76&gt;(AG76),D76&lt;(AH76)),"Warning","")</f>
        <v>#N/A</v>
      </c>
      <c r="AK76" t="str">
        <f t="shared" ref="AK76:AK97" si="33">IF(OR(D76=0),"",IF(AND(AI76="Warning",AJ76="Warning"),"Warning",""))</f>
        <v/>
      </c>
    </row>
    <row r="77" spans="1:37" ht="15.75" customHeight="1" x14ac:dyDescent="0.35">
      <c r="A77" s="316">
        <v>103</v>
      </c>
      <c r="B77" s="317" t="s">
        <v>1897</v>
      </c>
      <c r="C77" s="183"/>
      <c r="D77" s="672"/>
      <c r="E77" s="31"/>
      <c r="F77" s="45"/>
      <c r="G77" s="31"/>
      <c r="H77" s="31"/>
      <c r="I77" s="45"/>
      <c r="J77" s="45"/>
      <c r="K77" s="112"/>
      <c r="L77" s="688" t="str">
        <f t="shared" si="24"/>
        <v/>
      </c>
      <c r="M77" s="693" t="str">
        <f t="shared" si="25"/>
        <v/>
      </c>
      <c r="N77" s="112"/>
      <c r="O77" s="131" t="str">
        <f t="shared" si="26"/>
        <v/>
      </c>
      <c r="AB77">
        <f t="shared" si="17"/>
        <v>0.55000000000000004</v>
      </c>
      <c r="AC77">
        <f t="shared" si="18"/>
        <v>8000</v>
      </c>
      <c r="AD77" t="e">
        <f t="shared" si="19"/>
        <v>#N/A</v>
      </c>
      <c r="AE77" t="e">
        <f t="shared" si="27"/>
        <v>#N/A</v>
      </c>
      <c r="AF77" t="e">
        <f t="shared" si="28"/>
        <v>#N/A</v>
      </c>
      <c r="AG77" t="e">
        <f t="shared" si="29"/>
        <v>#N/A</v>
      </c>
      <c r="AH77" t="e">
        <f t="shared" si="30"/>
        <v>#N/A</v>
      </c>
      <c r="AI77" t="e">
        <f t="shared" si="31"/>
        <v>#N/A</v>
      </c>
      <c r="AJ77" t="e">
        <f t="shared" si="32"/>
        <v>#N/A</v>
      </c>
      <c r="AK77" t="str">
        <f t="shared" si="33"/>
        <v/>
      </c>
    </row>
    <row r="78" spans="1:37" ht="15.75" customHeight="1" x14ac:dyDescent="0.35">
      <c r="A78" s="316">
        <v>104</v>
      </c>
      <c r="B78" s="317" t="s">
        <v>1898</v>
      </c>
      <c r="C78" s="183"/>
      <c r="D78" s="672"/>
      <c r="E78" s="31"/>
      <c r="F78" s="45"/>
      <c r="G78" s="31"/>
      <c r="H78" s="31"/>
      <c r="I78" s="45"/>
      <c r="J78" s="45"/>
      <c r="K78" s="112"/>
      <c r="L78" s="688" t="str">
        <f t="shared" si="24"/>
        <v/>
      </c>
      <c r="M78" s="693" t="str">
        <f t="shared" si="25"/>
        <v/>
      </c>
      <c r="N78" s="112"/>
      <c r="O78" s="131" t="str">
        <f t="shared" si="26"/>
        <v/>
      </c>
      <c r="AB78">
        <f t="shared" si="17"/>
        <v>0.55000000000000004</v>
      </c>
      <c r="AC78">
        <f t="shared" si="18"/>
        <v>8000</v>
      </c>
      <c r="AD78" t="e">
        <f t="shared" si="19"/>
        <v>#N/A</v>
      </c>
      <c r="AE78" t="e">
        <f t="shared" si="27"/>
        <v>#N/A</v>
      </c>
      <c r="AF78" t="e">
        <f t="shared" si="28"/>
        <v>#N/A</v>
      </c>
      <c r="AG78" t="e">
        <f t="shared" si="29"/>
        <v>#N/A</v>
      </c>
      <c r="AH78" t="e">
        <f t="shared" si="30"/>
        <v>#N/A</v>
      </c>
      <c r="AI78" t="e">
        <f t="shared" si="31"/>
        <v>#N/A</v>
      </c>
      <c r="AJ78" t="e">
        <f t="shared" si="32"/>
        <v>#N/A</v>
      </c>
      <c r="AK78" t="str">
        <f t="shared" si="33"/>
        <v/>
      </c>
    </row>
    <row r="79" spans="1:37" ht="15.75" customHeight="1" x14ac:dyDescent="0.35">
      <c r="A79" s="316">
        <v>105</v>
      </c>
      <c r="B79" s="317" t="s">
        <v>1899</v>
      </c>
      <c r="C79" s="183"/>
      <c r="D79" s="672"/>
      <c r="E79" s="31"/>
      <c r="F79" s="45"/>
      <c r="G79" s="31"/>
      <c r="H79" s="31"/>
      <c r="I79" s="45"/>
      <c r="J79" s="45"/>
      <c r="K79" s="112"/>
      <c r="L79" s="688" t="str">
        <f t="shared" si="24"/>
        <v/>
      </c>
      <c r="M79" s="693" t="str">
        <f t="shared" si="25"/>
        <v/>
      </c>
      <c r="N79" s="112"/>
      <c r="O79" s="131" t="str">
        <f t="shared" si="26"/>
        <v/>
      </c>
      <c r="AB79">
        <f t="shared" si="17"/>
        <v>0.55000000000000004</v>
      </c>
      <c r="AC79">
        <f t="shared" si="18"/>
        <v>8000</v>
      </c>
      <c r="AD79" t="e">
        <f t="shared" si="19"/>
        <v>#N/A</v>
      </c>
      <c r="AE79" t="e">
        <f t="shared" si="27"/>
        <v>#N/A</v>
      </c>
      <c r="AF79" t="e">
        <f t="shared" si="28"/>
        <v>#N/A</v>
      </c>
      <c r="AG79" t="e">
        <f t="shared" si="29"/>
        <v>#N/A</v>
      </c>
      <c r="AH79" t="e">
        <f t="shared" si="30"/>
        <v>#N/A</v>
      </c>
      <c r="AI79" t="e">
        <f t="shared" si="31"/>
        <v>#N/A</v>
      </c>
      <c r="AJ79" t="e">
        <f t="shared" si="32"/>
        <v>#N/A</v>
      </c>
      <c r="AK79" t="str">
        <f t="shared" si="33"/>
        <v/>
      </c>
    </row>
    <row r="80" spans="1:37" ht="15.75" customHeight="1" x14ac:dyDescent="0.35">
      <c r="A80" s="316">
        <v>106</v>
      </c>
      <c r="B80" s="317" t="s">
        <v>1900</v>
      </c>
      <c r="C80" s="183"/>
      <c r="D80" s="672"/>
      <c r="E80" s="31"/>
      <c r="F80" s="45"/>
      <c r="G80" s="31"/>
      <c r="H80" s="31"/>
      <c r="I80" s="45"/>
      <c r="J80" s="45"/>
      <c r="K80" s="112"/>
      <c r="L80" s="688" t="str">
        <f t="shared" si="24"/>
        <v/>
      </c>
      <c r="M80" s="693" t="str">
        <f t="shared" si="25"/>
        <v/>
      </c>
      <c r="N80" s="112"/>
      <c r="O80" s="131" t="str">
        <f t="shared" si="26"/>
        <v/>
      </c>
      <c r="AB80">
        <f t="shared" si="17"/>
        <v>0.55000000000000004</v>
      </c>
      <c r="AC80">
        <f t="shared" si="18"/>
        <v>8000</v>
      </c>
      <c r="AD80" t="e">
        <f t="shared" si="19"/>
        <v>#N/A</v>
      </c>
      <c r="AE80" t="e">
        <f t="shared" si="27"/>
        <v>#N/A</v>
      </c>
      <c r="AF80" t="e">
        <f t="shared" si="28"/>
        <v>#N/A</v>
      </c>
      <c r="AG80" t="e">
        <f t="shared" si="29"/>
        <v>#N/A</v>
      </c>
      <c r="AH80" t="e">
        <f t="shared" si="30"/>
        <v>#N/A</v>
      </c>
      <c r="AI80" t="e">
        <f t="shared" si="31"/>
        <v>#N/A</v>
      </c>
      <c r="AJ80" t="e">
        <f t="shared" si="32"/>
        <v>#N/A</v>
      </c>
      <c r="AK80" t="str">
        <f t="shared" si="33"/>
        <v/>
      </c>
    </row>
    <row r="81" spans="1:37" ht="15.75" customHeight="1" x14ac:dyDescent="0.35">
      <c r="A81" s="316">
        <v>107</v>
      </c>
      <c r="B81" s="317" t="s">
        <v>1901</v>
      </c>
      <c r="C81" s="183"/>
      <c r="D81" s="672"/>
      <c r="E81" s="31"/>
      <c r="F81" s="254"/>
      <c r="G81" s="31"/>
      <c r="H81" s="31"/>
      <c r="I81" s="45"/>
      <c r="J81" s="45"/>
      <c r="K81" s="112"/>
      <c r="L81" s="688" t="str">
        <f t="shared" si="24"/>
        <v/>
      </c>
      <c r="M81" s="693" t="str">
        <f t="shared" si="25"/>
        <v/>
      </c>
      <c r="N81" s="112"/>
      <c r="O81" s="131" t="str">
        <f t="shared" si="26"/>
        <v/>
      </c>
      <c r="AB81">
        <f t="shared" si="17"/>
        <v>0.55000000000000004</v>
      </c>
      <c r="AC81">
        <f t="shared" si="18"/>
        <v>8000</v>
      </c>
      <c r="AD81" t="e">
        <f t="shared" si="19"/>
        <v>#N/A</v>
      </c>
      <c r="AE81" t="e">
        <f t="shared" si="27"/>
        <v>#N/A</v>
      </c>
      <c r="AF81" t="e">
        <f t="shared" si="28"/>
        <v>#N/A</v>
      </c>
      <c r="AG81" t="e">
        <f t="shared" si="29"/>
        <v>#N/A</v>
      </c>
      <c r="AH81" t="e">
        <f t="shared" si="30"/>
        <v>#N/A</v>
      </c>
      <c r="AI81" t="e">
        <f>IF(OR(D81&lt;AF81,D81&gt;AE81),"Warning","")</f>
        <v>#N/A</v>
      </c>
      <c r="AJ81" t="e">
        <f>IF(OR(D81&gt;(AG81),D81&lt;(AH81)),"Warning","")</f>
        <v>#N/A</v>
      </c>
      <c r="AK81" t="str">
        <f t="shared" si="33"/>
        <v/>
      </c>
    </row>
    <row r="82" spans="1:37" ht="15.75" customHeight="1" x14ac:dyDescent="0.35">
      <c r="A82" s="316">
        <v>108</v>
      </c>
      <c r="B82" s="317" t="s">
        <v>1902</v>
      </c>
      <c r="C82" s="183"/>
      <c r="D82" s="672"/>
      <c r="E82" s="31"/>
      <c r="F82" s="254"/>
      <c r="G82" s="31"/>
      <c r="H82" s="31"/>
      <c r="I82" s="45"/>
      <c r="J82" s="45"/>
      <c r="K82" s="112"/>
      <c r="L82" s="688" t="str">
        <f t="shared" si="24"/>
        <v/>
      </c>
      <c r="M82" s="693" t="str">
        <f t="shared" si="25"/>
        <v/>
      </c>
      <c r="N82" s="112"/>
      <c r="O82" s="131" t="str">
        <f t="shared" si="26"/>
        <v/>
      </c>
      <c r="AB82">
        <f t="shared" si="17"/>
        <v>0.55000000000000004</v>
      </c>
      <c r="AC82">
        <f t="shared" si="18"/>
        <v>8000</v>
      </c>
      <c r="AD82" t="e">
        <f t="shared" si="19"/>
        <v>#N/A</v>
      </c>
      <c r="AE82" t="e">
        <f t="shared" ref="AE82:AE83" si="34">AD82+AC82</f>
        <v>#N/A</v>
      </c>
      <c r="AF82" t="e">
        <f t="shared" ref="AF82:AF83" si="35">AD82-AC82</f>
        <v>#N/A</v>
      </c>
      <c r="AG82" t="e">
        <f t="shared" ref="AG82:AG83" si="36">AD82+(AD82*AB82)</f>
        <v>#N/A</v>
      </c>
      <c r="AH82" t="e">
        <f t="shared" ref="AH82:AH83" si="37">AD82-(AD82*AB82)</f>
        <v>#N/A</v>
      </c>
      <c r="AI82" t="e">
        <f t="shared" ref="AI82" si="38">IF(OR(D82&lt;AF82,D82&gt;AE82),"Warning","")</f>
        <v>#N/A</v>
      </c>
      <c r="AJ82" t="e">
        <f t="shared" ref="AJ82" si="39">IF(OR(D82&gt;(AG82),D82&lt;(AH82)),"Warning","")</f>
        <v>#N/A</v>
      </c>
      <c r="AK82" t="str">
        <f t="shared" si="33"/>
        <v/>
      </c>
    </row>
    <row r="83" spans="1:37" ht="15.75" customHeight="1" x14ac:dyDescent="0.35">
      <c r="A83" s="316">
        <v>111</v>
      </c>
      <c r="B83" s="317" t="s">
        <v>1903</v>
      </c>
      <c r="C83" s="183"/>
      <c r="D83" s="1129"/>
      <c r="E83" s="31"/>
      <c r="F83" s="254"/>
      <c r="G83" s="31"/>
      <c r="H83" s="31"/>
      <c r="I83" s="45"/>
      <c r="J83" s="45"/>
      <c r="K83" s="112"/>
      <c r="L83" s="688" t="str">
        <f>IF(ISERROR(M83),"",IF((M83="Error"),"add explanation",IF((M83="Warning"),"add explanation","")))</f>
        <v/>
      </c>
      <c r="M83" s="693" t="str">
        <f>IF(AK83="Warning","Warning","")</f>
        <v/>
      </c>
      <c r="N83" s="112"/>
      <c r="O83" s="131" t="str">
        <f>IF($M83="Warning","This year's figure is over "&amp;AC83/1000&amp;" million and "&amp;(AB83*100)&amp;"% different to "&amp;TEXT(AD83,"#,###")&amp;" last year, please explain","")</f>
        <v/>
      </c>
      <c r="AB83">
        <f t="shared" si="17"/>
        <v>0.55000000000000004</v>
      </c>
      <c r="AC83">
        <f t="shared" si="18"/>
        <v>8000</v>
      </c>
      <c r="AD83" t="e">
        <f t="shared" si="19"/>
        <v>#N/A</v>
      </c>
      <c r="AE83" t="e">
        <f t="shared" si="34"/>
        <v>#N/A</v>
      </c>
      <c r="AF83" t="e">
        <f t="shared" si="35"/>
        <v>#N/A</v>
      </c>
      <c r="AG83" t="e">
        <f t="shared" si="36"/>
        <v>#N/A</v>
      </c>
      <c r="AH83" t="e">
        <f t="shared" si="37"/>
        <v>#N/A</v>
      </c>
      <c r="AI83" t="e">
        <f>IF(OR(D83&lt;AF83,D83&gt;AE83),"Warning","")</f>
        <v>#N/A</v>
      </c>
      <c r="AJ83" t="e">
        <f>IF(OR(D83&gt;(AG83),D83&lt;(AH83)),"Warning","")</f>
        <v>#N/A</v>
      </c>
      <c r="AK83" t="str">
        <f t="shared" si="33"/>
        <v/>
      </c>
    </row>
    <row r="84" spans="1:37" ht="15.75" customHeight="1" x14ac:dyDescent="0.35">
      <c r="A84" s="318">
        <v>115</v>
      </c>
      <c r="B84" s="319" t="s">
        <v>1904</v>
      </c>
      <c r="C84" s="183"/>
      <c r="D84" s="1130">
        <f>SUM(D75:D83)</f>
        <v>0</v>
      </c>
      <c r="E84" s="31"/>
      <c r="F84" s="254"/>
      <c r="G84" s="31"/>
      <c r="H84" s="31"/>
      <c r="I84" s="45"/>
      <c r="J84" s="45"/>
      <c r="K84" s="112"/>
      <c r="L84" s="777"/>
      <c r="M84" s="693"/>
      <c r="N84" s="112"/>
      <c r="O84" s="112"/>
    </row>
    <row r="85" spans="1:37" ht="15.5" x14ac:dyDescent="0.35">
      <c r="A85" s="274" t="s">
        <v>1506</v>
      </c>
      <c r="B85" s="320"/>
      <c r="C85" s="183"/>
      <c r="D85" s="315"/>
      <c r="E85" s="31"/>
      <c r="F85" s="45"/>
      <c r="G85" s="31"/>
      <c r="H85" s="31"/>
      <c r="I85" s="45"/>
      <c r="J85" s="45"/>
      <c r="K85" s="112"/>
      <c r="L85" s="777"/>
      <c r="M85" s="693"/>
      <c r="N85" s="112"/>
      <c r="O85" s="112"/>
    </row>
    <row r="86" spans="1:37" ht="15.5" x14ac:dyDescent="0.35">
      <c r="A86" s="591" t="s">
        <v>1905</v>
      </c>
      <c r="B86" s="320"/>
      <c r="C86" s="183"/>
      <c r="D86" s="315"/>
      <c r="E86" s="31"/>
      <c r="F86" s="45"/>
      <c r="G86" s="31"/>
      <c r="H86" s="31"/>
      <c r="I86" s="45"/>
      <c r="J86" s="45"/>
      <c r="K86" s="112"/>
      <c r="L86" s="777"/>
      <c r="M86" s="693"/>
      <c r="N86" s="112"/>
      <c r="O86" s="112"/>
    </row>
    <row r="87" spans="1:37" ht="15.75" customHeight="1" x14ac:dyDescent="0.35">
      <c r="A87" s="316">
        <v>121</v>
      </c>
      <c r="B87" s="317" t="s">
        <v>1906</v>
      </c>
      <c r="C87" s="183"/>
      <c r="D87" s="672"/>
      <c r="E87" s="31"/>
      <c r="F87" s="45"/>
      <c r="G87" s="31"/>
      <c r="H87" s="31"/>
      <c r="I87" s="45"/>
      <c r="J87" s="45"/>
      <c r="K87" s="112"/>
      <c r="L87" s="776" t="str">
        <f>IF(ISERROR(M87),"",IF((M87="Error"),"add explanation",IF((M87="Warning"),"add explanation","")))</f>
        <v/>
      </c>
      <c r="M87" s="693" t="str">
        <f>IF(AK87="Warning","Warning","")</f>
        <v/>
      </c>
      <c r="N87" s="112"/>
      <c r="O87" s="131" t="str">
        <f>IF($M87="Warning","This year's figure is over "&amp;AC87/1000&amp;" million and "&amp;(AB87*100)&amp;"% different to "&amp;TEXT(AD87,"#,###")&amp;" last year, please explain","")</f>
        <v/>
      </c>
      <c r="AB87">
        <f t="shared" ref="AB87:AB97" si="40">VLOOKUP("RO4"&amp;$A87,data_val_parameters,9,0)/100</f>
        <v>0.55000000000000004</v>
      </c>
      <c r="AC87">
        <f t="shared" ref="AC87:AC97" si="41">VLOOKUP("RO4"&amp;$A87,data_val_parameters,7,0)</f>
        <v>8000</v>
      </c>
      <c r="AD87" t="e">
        <f t="shared" ref="AD87:AD97" si="42">VLOOKUP(LA_code,data_prev_year,MATCH("RO4"&amp;$A87&amp;"8",data_prev_year_headers,0),0)</f>
        <v>#N/A</v>
      </c>
      <c r="AE87" t="e">
        <f t="shared" ref="AE87" si="43">AD87+AC87</f>
        <v>#N/A</v>
      </c>
      <c r="AF87" t="e">
        <f t="shared" ref="AF87" si="44">AD87-AC87</f>
        <v>#N/A</v>
      </c>
      <c r="AG87" t="e">
        <f t="shared" ref="AG87" si="45">AD87+(AD87*AB87)</f>
        <v>#N/A</v>
      </c>
      <c r="AH87" t="e">
        <f t="shared" ref="AH87" si="46">AD87-(AD87*AB87)</f>
        <v>#N/A</v>
      </c>
      <c r="AI87" t="e">
        <f>IF(OR(D87&lt;AF87,D87&gt;AE87),"Warning","")</f>
        <v>#N/A</v>
      </c>
      <c r="AJ87" t="e">
        <f>IF(OR(D87&gt;(AG87),D87&lt;(AH87)),"Warning","")</f>
        <v>#N/A</v>
      </c>
      <c r="AK87" t="str">
        <f t="shared" si="33"/>
        <v/>
      </c>
    </row>
    <row r="88" spans="1:37" ht="15.75" customHeight="1" x14ac:dyDescent="0.35">
      <c r="A88" s="316">
        <v>122</v>
      </c>
      <c r="B88" s="317" t="s">
        <v>1907</v>
      </c>
      <c r="C88" s="183"/>
      <c r="D88" s="672"/>
      <c r="E88" s="31"/>
      <c r="F88" s="45"/>
      <c r="G88" s="31"/>
      <c r="H88" s="31"/>
      <c r="I88" s="45"/>
      <c r="J88" s="45"/>
      <c r="K88" s="112"/>
      <c r="L88" s="776" t="str">
        <f t="shared" ref="L88:L97" si="47">IF(ISERROR(M88),"",IF((M88="Error"),"add explanation",IF((M88="Warning"),"add explanation","")))</f>
        <v/>
      </c>
      <c r="M88" s="693" t="str">
        <f t="shared" ref="M88:M95" si="48">IF(AK88="Warning","Warning","")</f>
        <v/>
      </c>
      <c r="N88" s="112"/>
      <c r="O88" s="131" t="str">
        <f t="shared" ref="O88:O95" si="49">IF($M88="Warning","This year's figure is over "&amp;AC88/1000&amp;" million and "&amp;(AB88*100)&amp;"% different to "&amp;TEXT(AD88,"#,###")&amp;" last year, please explain","")</f>
        <v/>
      </c>
      <c r="AB88">
        <f t="shared" si="40"/>
        <v>0.55000000000000004</v>
      </c>
      <c r="AC88">
        <f t="shared" si="41"/>
        <v>8000</v>
      </c>
      <c r="AD88" t="e">
        <f t="shared" si="42"/>
        <v>#N/A</v>
      </c>
      <c r="AE88" t="e">
        <f t="shared" ref="AE88:AE97" si="50">AD88+AC88</f>
        <v>#N/A</v>
      </c>
      <c r="AF88" t="e">
        <f t="shared" ref="AF88:AF97" si="51">AD88-AC88</f>
        <v>#N/A</v>
      </c>
      <c r="AG88" t="e">
        <f t="shared" ref="AG88:AG97" si="52">AD88+(AD88*AB88)</f>
        <v>#N/A</v>
      </c>
      <c r="AH88" t="e">
        <f t="shared" ref="AH88:AH97" si="53">AD88-(AD88*AB88)</f>
        <v>#N/A</v>
      </c>
      <c r="AI88" t="e">
        <f t="shared" ref="AI88:AI95" si="54">IF(OR(D88&lt;AF88,D88&gt;AE88),"Warning","")</f>
        <v>#N/A</v>
      </c>
      <c r="AJ88" t="e">
        <f t="shared" ref="AJ88:AJ95" si="55">IF(OR(D88&gt;(AG88),D88&lt;(AH88)),"Warning","")</f>
        <v>#N/A</v>
      </c>
      <c r="AK88" t="str">
        <f t="shared" si="33"/>
        <v/>
      </c>
    </row>
    <row r="89" spans="1:37" ht="15.75" customHeight="1" x14ac:dyDescent="0.35">
      <c r="A89" s="316">
        <v>123</v>
      </c>
      <c r="B89" s="317" t="s">
        <v>1908</v>
      </c>
      <c r="C89" s="183"/>
      <c r="D89" s="672"/>
      <c r="E89" s="31"/>
      <c r="F89" s="45"/>
      <c r="G89" s="31"/>
      <c r="H89" s="31"/>
      <c r="I89" s="45"/>
      <c r="J89" s="45"/>
      <c r="K89" s="112"/>
      <c r="L89" s="776" t="str">
        <f t="shared" si="47"/>
        <v/>
      </c>
      <c r="M89" s="693" t="str">
        <f t="shared" si="48"/>
        <v/>
      </c>
      <c r="N89" s="112"/>
      <c r="O89" s="131" t="str">
        <f t="shared" si="49"/>
        <v/>
      </c>
      <c r="AB89">
        <f t="shared" si="40"/>
        <v>0.55000000000000004</v>
      </c>
      <c r="AC89">
        <f t="shared" si="41"/>
        <v>8000</v>
      </c>
      <c r="AD89" t="e">
        <f t="shared" si="42"/>
        <v>#N/A</v>
      </c>
      <c r="AE89" t="e">
        <f t="shared" si="50"/>
        <v>#N/A</v>
      </c>
      <c r="AF89" t="e">
        <f t="shared" si="51"/>
        <v>#N/A</v>
      </c>
      <c r="AG89" t="e">
        <f t="shared" si="52"/>
        <v>#N/A</v>
      </c>
      <c r="AH89" t="e">
        <f t="shared" si="53"/>
        <v>#N/A</v>
      </c>
      <c r="AI89" t="e">
        <f t="shared" si="54"/>
        <v>#N/A</v>
      </c>
      <c r="AJ89" t="e">
        <f t="shared" si="55"/>
        <v>#N/A</v>
      </c>
      <c r="AK89" t="str">
        <f t="shared" si="33"/>
        <v/>
      </c>
    </row>
    <row r="90" spans="1:37" ht="15.75" customHeight="1" x14ac:dyDescent="0.35">
      <c r="A90" s="316">
        <v>124</v>
      </c>
      <c r="B90" s="317" t="s">
        <v>1909</v>
      </c>
      <c r="C90" s="183"/>
      <c r="D90" s="672"/>
      <c r="E90" s="31"/>
      <c r="F90" s="45"/>
      <c r="G90" s="31"/>
      <c r="H90" s="31"/>
      <c r="I90" s="45"/>
      <c r="J90" s="45"/>
      <c r="K90" s="112"/>
      <c r="L90" s="776" t="str">
        <f t="shared" si="47"/>
        <v/>
      </c>
      <c r="M90" s="693" t="str">
        <f t="shared" si="48"/>
        <v/>
      </c>
      <c r="N90" s="112"/>
      <c r="O90" s="131" t="str">
        <f t="shared" si="49"/>
        <v/>
      </c>
      <c r="AB90">
        <f t="shared" si="40"/>
        <v>0.55000000000000004</v>
      </c>
      <c r="AC90">
        <f t="shared" si="41"/>
        <v>8000</v>
      </c>
      <c r="AD90" t="e">
        <f t="shared" si="42"/>
        <v>#N/A</v>
      </c>
      <c r="AE90" t="e">
        <f t="shared" si="50"/>
        <v>#N/A</v>
      </c>
      <c r="AF90" t="e">
        <f t="shared" si="51"/>
        <v>#N/A</v>
      </c>
      <c r="AG90" t="e">
        <f t="shared" si="52"/>
        <v>#N/A</v>
      </c>
      <c r="AH90" t="e">
        <f t="shared" si="53"/>
        <v>#N/A</v>
      </c>
      <c r="AI90" t="e">
        <f t="shared" si="54"/>
        <v>#N/A</v>
      </c>
      <c r="AJ90" t="e">
        <f t="shared" si="55"/>
        <v>#N/A</v>
      </c>
      <c r="AK90" t="str">
        <f t="shared" si="33"/>
        <v/>
      </c>
    </row>
    <row r="91" spans="1:37" ht="33.75" customHeight="1" x14ac:dyDescent="0.35">
      <c r="A91" s="316">
        <v>125</v>
      </c>
      <c r="B91" s="321" t="s">
        <v>1910</v>
      </c>
      <c r="C91" s="183"/>
      <c r="D91" s="672"/>
      <c r="E91" s="31"/>
      <c r="F91" s="45"/>
      <c r="G91" s="31"/>
      <c r="H91" s="31"/>
      <c r="I91" s="45"/>
      <c r="J91" s="45"/>
      <c r="K91" s="112"/>
      <c r="L91" s="776" t="str">
        <f t="shared" si="47"/>
        <v/>
      </c>
      <c r="M91" s="693" t="str">
        <f t="shared" si="48"/>
        <v/>
      </c>
      <c r="N91" s="112"/>
      <c r="O91" s="131" t="str">
        <f t="shared" si="49"/>
        <v/>
      </c>
      <c r="AB91">
        <f t="shared" si="40"/>
        <v>0.55000000000000004</v>
      </c>
      <c r="AC91">
        <f t="shared" si="41"/>
        <v>8000</v>
      </c>
      <c r="AD91" t="e">
        <f t="shared" si="42"/>
        <v>#N/A</v>
      </c>
      <c r="AE91" t="e">
        <f t="shared" si="50"/>
        <v>#N/A</v>
      </c>
      <c r="AF91" t="e">
        <f t="shared" si="51"/>
        <v>#N/A</v>
      </c>
      <c r="AG91" t="e">
        <f t="shared" si="52"/>
        <v>#N/A</v>
      </c>
      <c r="AH91" t="e">
        <f t="shared" si="53"/>
        <v>#N/A</v>
      </c>
      <c r="AI91" t="e">
        <f t="shared" si="54"/>
        <v>#N/A</v>
      </c>
      <c r="AJ91" t="e">
        <f t="shared" si="55"/>
        <v>#N/A</v>
      </c>
      <c r="AK91" t="str">
        <f t="shared" si="33"/>
        <v/>
      </c>
    </row>
    <row r="92" spans="1:37" ht="30" customHeight="1" x14ac:dyDescent="0.35">
      <c r="A92" s="316">
        <v>126</v>
      </c>
      <c r="B92" s="321" t="s">
        <v>1911</v>
      </c>
      <c r="C92" s="183"/>
      <c r="D92" s="672"/>
      <c r="E92" s="31"/>
      <c r="F92" s="45"/>
      <c r="G92" s="31"/>
      <c r="H92" s="31"/>
      <c r="I92" s="45"/>
      <c r="J92" s="45"/>
      <c r="K92" s="112"/>
      <c r="L92" s="776" t="str">
        <f t="shared" si="47"/>
        <v/>
      </c>
      <c r="M92" s="693" t="str">
        <f t="shared" si="48"/>
        <v/>
      </c>
      <c r="N92" s="112"/>
      <c r="O92" s="131" t="str">
        <f t="shared" si="49"/>
        <v/>
      </c>
      <c r="AB92">
        <f t="shared" si="40"/>
        <v>0.55000000000000004</v>
      </c>
      <c r="AC92">
        <f t="shared" si="41"/>
        <v>8000</v>
      </c>
      <c r="AD92" t="e">
        <f t="shared" si="42"/>
        <v>#N/A</v>
      </c>
      <c r="AE92" t="e">
        <f t="shared" si="50"/>
        <v>#N/A</v>
      </c>
      <c r="AF92" t="e">
        <f t="shared" si="51"/>
        <v>#N/A</v>
      </c>
      <c r="AG92" t="e">
        <f t="shared" si="52"/>
        <v>#N/A</v>
      </c>
      <c r="AH92" t="e">
        <f t="shared" si="53"/>
        <v>#N/A</v>
      </c>
      <c r="AI92" t="e">
        <f t="shared" si="54"/>
        <v>#N/A</v>
      </c>
      <c r="AJ92" t="e">
        <f t="shared" si="55"/>
        <v>#N/A</v>
      </c>
      <c r="AK92" t="str">
        <f t="shared" si="33"/>
        <v/>
      </c>
    </row>
    <row r="93" spans="1:37" ht="15.75" customHeight="1" x14ac:dyDescent="0.35">
      <c r="A93" s="316">
        <v>127</v>
      </c>
      <c r="B93" s="317" t="s">
        <v>1912</v>
      </c>
      <c r="C93" s="183"/>
      <c r="D93" s="672"/>
      <c r="E93" s="31"/>
      <c r="F93" s="45"/>
      <c r="G93" s="31"/>
      <c r="H93" s="31"/>
      <c r="I93" s="45"/>
      <c r="J93" s="45"/>
      <c r="K93" s="112"/>
      <c r="L93" s="776" t="str">
        <f t="shared" si="47"/>
        <v/>
      </c>
      <c r="M93" s="693" t="str">
        <f t="shared" si="48"/>
        <v/>
      </c>
      <c r="N93" s="112"/>
      <c r="O93" s="131" t="str">
        <f t="shared" si="49"/>
        <v/>
      </c>
      <c r="AB93">
        <f t="shared" si="40"/>
        <v>0.65</v>
      </c>
      <c r="AC93">
        <f t="shared" si="41"/>
        <v>15000</v>
      </c>
      <c r="AD93" t="e">
        <f t="shared" si="42"/>
        <v>#N/A</v>
      </c>
      <c r="AE93" t="e">
        <f t="shared" si="50"/>
        <v>#N/A</v>
      </c>
      <c r="AF93" t="e">
        <f t="shared" si="51"/>
        <v>#N/A</v>
      </c>
      <c r="AG93" t="e">
        <f t="shared" si="52"/>
        <v>#N/A</v>
      </c>
      <c r="AH93" t="e">
        <f t="shared" si="53"/>
        <v>#N/A</v>
      </c>
      <c r="AI93" t="e">
        <f t="shared" si="54"/>
        <v>#N/A</v>
      </c>
      <c r="AJ93" t="e">
        <f t="shared" si="55"/>
        <v>#N/A</v>
      </c>
      <c r="AK93" t="str">
        <f t="shared" si="33"/>
        <v/>
      </c>
    </row>
    <row r="94" spans="1:37" ht="15.75" customHeight="1" x14ac:dyDescent="0.35">
      <c r="A94" s="316">
        <v>128</v>
      </c>
      <c r="B94" s="317" t="s">
        <v>1913</v>
      </c>
      <c r="C94" s="183"/>
      <c r="D94" s="672"/>
      <c r="E94" s="31"/>
      <c r="F94" s="45"/>
      <c r="G94" s="31"/>
      <c r="H94" s="31"/>
      <c r="I94" s="45"/>
      <c r="J94" s="45"/>
      <c r="K94" s="112"/>
      <c r="L94" s="776" t="str">
        <f t="shared" si="47"/>
        <v/>
      </c>
      <c r="M94" s="693" t="str">
        <f t="shared" si="48"/>
        <v/>
      </c>
      <c r="N94" s="112"/>
      <c r="O94" s="131" t="str">
        <f t="shared" si="49"/>
        <v/>
      </c>
      <c r="AB94">
        <f t="shared" si="40"/>
        <v>0.55000000000000004</v>
      </c>
      <c r="AC94">
        <f t="shared" si="41"/>
        <v>8000</v>
      </c>
      <c r="AD94" t="e">
        <f t="shared" si="42"/>
        <v>#N/A</v>
      </c>
      <c r="AE94" t="e">
        <f t="shared" si="50"/>
        <v>#N/A</v>
      </c>
      <c r="AF94" t="e">
        <f t="shared" si="51"/>
        <v>#N/A</v>
      </c>
      <c r="AG94" t="e">
        <f t="shared" si="52"/>
        <v>#N/A</v>
      </c>
      <c r="AH94" t="e">
        <f t="shared" si="53"/>
        <v>#N/A</v>
      </c>
      <c r="AI94" t="e">
        <f t="shared" si="54"/>
        <v>#N/A</v>
      </c>
      <c r="AJ94" t="e">
        <f t="shared" si="55"/>
        <v>#N/A</v>
      </c>
      <c r="AK94" t="str">
        <f t="shared" si="33"/>
        <v/>
      </c>
    </row>
    <row r="95" spans="1:37" ht="15.75" customHeight="1" x14ac:dyDescent="0.35">
      <c r="A95" s="316">
        <v>129</v>
      </c>
      <c r="B95" s="317" t="s">
        <v>1914</v>
      </c>
      <c r="C95" s="183"/>
      <c r="D95" s="672"/>
      <c r="E95" s="31"/>
      <c r="F95" s="254"/>
      <c r="G95" s="31"/>
      <c r="H95" s="31"/>
      <c r="I95" s="45"/>
      <c r="J95" s="45"/>
      <c r="K95" s="112"/>
      <c r="L95" s="776" t="str">
        <f t="shared" si="47"/>
        <v/>
      </c>
      <c r="M95" s="693" t="str">
        <f t="shared" si="48"/>
        <v/>
      </c>
      <c r="N95" s="112"/>
      <c r="O95" s="131" t="str">
        <f t="shared" si="49"/>
        <v/>
      </c>
      <c r="AB95">
        <f t="shared" si="40"/>
        <v>0.55000000000000004</v>
      </c>
      <c r="AC95">
        <f t="shared" si="41"/>
        <v>8000</v>
      </c>
      <c r="AD95" t="e">
        <f t="shared" si="42"/>
        <v>#N/A</v>
      </c>
      <c r="AE95" t="e">
        <f t="shared" si="50"/>
        <v>#N/A</v>
      </c>
      <c r="AF95" t="e">
        <f t="shared" si="51"/>
        <v>#N/A</v>
      </c>
      <c r="AG95" t="e">
        <f t="shared" si="52"/>
        <v>#N/A</v>
      </c>
      <c r="AH95" t="e">
        <f t="shared" si="53"/>
        <v>#N/A</v>
      </c>
      <c r="AI95" t="e">
        <f t="shared" si="54"/>
        <v>#N/A</v>
      </c>
      <c r="AJ95" t="e">
        <f t="shared" si="55"/>
        <v>#N/A</v>
      </c>
      <c r="AK95" t="str">
        <f t="shared" si="33"/>
        <v/>
      </c>
    </row>
    <row r="96" spans="1:37" ht="15.75" customHeight="1" x14ac:dyDescent="0.35">
      <c r="A96" s="316">
        <v>130</v>
      </c>
      <c r="B96" s="317" t="s">
        <v>1915</v>
      </c>
      <c r="C96" s="183"/>
      <c r="D96" s="1129"/>
      <c r="E96" s="31"/>
      <c r="F96" s="254"/>
      <c r="G96" s="31"/>
      <c r="H96" s="31"/>
      <c r="I96" s="45"/>
      <c r="J96" s="45"/>
      <c r="K96" s="112"/>
      <c r="L96" s="776" t="str">
        <f>IF(ISERROR(M96),"",IF((M96="Error"),"add explanation",IF((M96="Warning"),"add explanation","")))</f>
        <v/>
      </c>
      <c r="M96" s="693" t="str">
        <f>IF(AK96="Warning","Warning","")</f>
        <v/>
      </c>
      <c r="N96" s="112"/>
      <c r="O96" s="131" t="str">
        <f>IF($M96="Warning","This year's figure is over "&amp;AC96/1000&amp;" million and "&amp;(AB96*100)&amp;"% different to "&amp;TEXT(AD96,"#,###")&amp;" last year, please explain","")</f>
        <v/>
      </c>
      <c r="AB96">
        <f t="shared" si="40"/>
        <v>0.55000000000000004</v>
      </c>
      <c r="AC96">
        <f t="shared" si="41"/>
        <v>8000</v>
      </c>
      <c r="AD96" t="e">
        <f t="shared" si="42"/>
        <v>#N/A</v>
      </c>
      <c r="AE96" t="e">
        <f t="shared" si="50"/>
        <v>#N/A</v>
      </c>
      <c r="AF96" t="e">
        <f t="shared" si="51"/>
        <v>#N/A</v>
      </c>
      <c r="AG96" t="e">
        <f t="shared" si="52"/>
        <v>#N/A</v>
      </c>
      <c r="AH96" t="e">
        <f t="shared" si="53"/>
        <v>#N/A</v>
      </c>
      <c r="AI96" t="e">
        <f>IF(OR(D96&lt;AF96,D96&gt;AE96),"Warning","")</f>
        <v>#N/A</v>
      </c>
      <c r="AJ96" t="e">
        <f>IF(OR(D96&gt;(AG96),D96&lt;(AH96)),"Warning","")</f>
        <v>#N/A</v>
      </c>
      <c r="AK96" t="str">
        <f t="shared" si="33"/>
        <v/>
      </c>
    </row>
    <row r="97" spans="1:37" ht="15.75" customHeight="1" x14ac:dyDescent="0.35">
      <c r="A97" s="316">
        <v>133</v>
      </c>
      <c r="B97" s="317" t="s">
        <v>1916</v>
      </c>
      <c r="C97" s="183"/>
      <c r="D97" s="1129"/>
      <c r="E97" s="31"/>
      <c r="F97" s="254"/>
      <c r="G97" s="31"/>
      <c r="H97" s="31"/>
      <c r="I97" s="45"/>
      <c r="J97" s="45"/>
      <c r="K97" s="112"/>
      <c r="L97" s="776" t="str">
        <f t="shared" si="47"/>
        <v/>
      </c>
      <c r="M97" s="693" t="str">
        <f t="shared" ref="M97" si="56">IF(AK97="Warning","Warning","")</f>
        <v/>
      </c>
      <c r="N97" s="112"/>
      <c r="O97" s="131" t="str">
        <f t="shared" ref="O97" si="57">IF($M97="Warning","This year's figure is over "&amp;AC97/1000&amp;" million and "&amp;(AB97*100)&amp;"% different to "&amp;TEXT(AD97,"#,###")&amp;" last year, please explain","")</f>
        <v/>
      </c>
      <c r="AB97">
        <f t="shared" si="40"/>
        <v>0.55000000000000004</v>
      </c>
      <c r="AC97">
        <f t="shared" si="41"/>
        <v>8000</v>
      </c>
      <c r="AD97" t="e">
        <f t="shared" si="42"/>
        <v>#N/A</v>
      </c>
      <c r="AE97" t="e">
        <f t="shared" si="50"/>
        <v>#N/A</v>
      </c>
      <c r="AF97" t="e">
        <f t="shared" si="51"/>
        <v>#N/A</v>
      </c>
      <c r="AG97" t="e">
        <f t="shared" si="52"/>
        <v>#N/A</v>
      </c>
      <c r="AH97" t="e">
        <f t="shared" si="53"/>
        <v>#N/A</v>
      </c>
      <c r="AI97" t="e">
        <f>IF(OR(D97&lt;AF97,D97&gt;AE97),"Warning","")</f>
        <v>#N/A</v>
      </c>
      <c r="AJ97" t="e">
        <f>IF(OR(D97&gt;(AG97),D97&lt;(AH97)),"Warning","")</f>
        <v>#N/A</v>
      </c>
      <c r="AK97" t="str">
        <f t="shared" si="33"/>
        <v/>
      </c>
    </row>
    <row r="98" spans="1:37" ht="15.75" customHeight="1" x14ac:dyDescent="0.35">
      <c r="A98" s="318">
        <v>135</v>
      </c>
      <c r="B98" s="319" t="s">
        <v>1917</v>
      </c>
      <c r="C98" s="183"/>
      <c r="D98" s="1130">
        <f>SUM(D87:D97)</f>
        <v>0</v>
      </c>
      <c r="E98" s="31"/>
      <c r="F98" s="254"/>
      <c r="G98" s="31"/>
      <c r="H98" s="31"/>
      <c r="I98" s="45"/>
      <c r="J98" s="45"/>
      <c r="K98" s="112"/>
      <c r="L98" s="777"/>
      <c r="M98" s="693"/>
      <c r="N98" s="112"/>
      <c r="O98" s="112"/>
    </row>
    <row r="99" spans="1:37" ht="15.5" x14ac:dyDescent="0.35">
      <c r="A99" s="274" t="s">
        <v>1506</v>
      </c>
      <c r="B99" s="317"/>
      <c r="C99" s="183"/>
      <c r="D99" s="315"/>
      <c r="E99" s="31"/>
      <c r="F99" s="45"/>
      <c r="G99" s="31"/>
      <c r="H99" s="31"/>
      <c r="I99" s="45"/>
      <c r="J99" s="45"/>
      <c r="K99" s="112"/>
      <c r="L99" s="777"/>
      <c r="M99" s="693"/>
      <c r="N99" s="112"/>
      <c r="O99" s="112"/>
    </row>
    <row r="100" spans="1:37" ht="15.75" customHeight="1" x14ac:dyDescent="0.35">
      <c r="A100" s="318">
        <v>140</v>
      </c>
      <c r="B100" s="322" t="s">
        <v>1918</v>
      </c>
      <c r="C100" s="183"/>
      <c r="D100" s="1130">
        <f>D84-D98</f>
        <v>0</v>
      </c>
      <c r="E100" s="31"/>
      <c r="F100" s="45"/>
      <c r="G100" s="31"/>
      <c r="H100" s="31"/>
      <c r="I100" s="45"/>
      <c r="J100" s="45"/>
      <c r="K100" s="112"/>
      <c r="L100" s="777"/>
      <c r="M100" s="693"/>
      <c r="N100" s="112"/>
      <c r="O100" s="112"/>
    </row>
    <row r="101" spans="1:37" ht="15.5" x14ac:dyDescent="0.35">
      <c r="A101" s="111"/>
      <c r="B101" s="237"/>
      <c r="C101" s="112"/>
      <c r="D101" s="298" t="s">
        <v>1730</v>
      </c>
      <c r="E101" s="31"/>
      <c r="F101" s="45"/>
      <c r="G101" s="31"/>
      <c r="H101" s="31"/>
      <c r="I101" s="45"/>
      <c r="J101" s="45"/>
      <c r="K101" s="112"/>
      <c r="L101" s="777"/>
      <c r="M101" s="693"/>
      <c r="N101" s="112"/>
      <c r="O101" s="112"/>
    </row>
    <row r="102" spans="1:37" ht="15.5" x14ac:dyDescent="0.35">
      <c r="A102" s="11"/>
      <c r="B102" s="11"/>
      <c r="C102" s="112"/>
      <c r="D102" s="31"/>
      <c r="E102" s="31"/>
      <c r="F102" s="45"/>
      <c r="G102" s="31"/>
      <c r="H102" s="31"/>
      <c r="I102" s="45"/>
      <c r="J102" s="45"/>
      <c r="K102" s="112"/>
      <c r="L102" s="777"/>
      <c r="M102" s="693"/>
      <c r="N102" s="112"/>
      <c r="O102" s="112"/>
    </row>
    <row r="103" spans="1:37" ht="15.5" x14ac:dyDescent="0.35">
      <c r="A103" s="11"/>
      <c r="B103" s="11"/>
      <c r="C103" s="112"/>
      <c r="D103" s="105" t="s">
        <v>1919</v>
      </c>
      <c r="E103" s="105" t="s">
        <v>1920</v>
      </c>
      <c r="F103" s="106"/>
      <c r="G103" s="31"/>
      <c r="H103" s="31"/>
      <c r="I103" s="45"/>
      <c r="J103" s="45"/>
      <c r="K103" s="112"/>
      <c r="L103" s="777"/>
      <c r="M103" s="693"/>
      <c r="N103" s="112"/>
      <c r="O103" s="112"/>
    </row>
    <row r="104" spans="1:37" ht="15.5" x14ac:dyDescent="0.35">
      <c r="A104" s="11"/>
      <c r="B104" s="11"/>
      <c r="C104" s="112"/>
      <c r="D104" s="97" t="s">
        <v>1378</v>
      </c>
      <c r="E104" s="97" t="s">
        <v>1378</v>
      </c>
      <c r="F104" s="106"/>
      <c r="G104" s="31"/>
      <c r="H104" s="31"/>
      <c r="I104" s="45"/>
      <c r="J104" s="45"/>
      <c r="K104" s="112"/>
      <c r="L104" s="776" t="str">
        <f t="shared" ref="L104" si="58">IF(ISERROR(M104),"",IF((M104="Error"),"add explanation",IF((M104="Warning"),"add explanation","")))</f>
        <v/>
      </c>
      <c r="M104" s="693" t="e">
        <f>IF(AK104="Warning","Warning","")</f>
        <v>#N/A</v>
      </c>
      <c r="N104" s="112"/>
      <c r="O104" s="131" t="e">
        <f>IF($M104="Warning","This year's opening balance figure is over "&amp;AC104/1000&amp;" million and "&amp;(AB104*100)&amp;"% different to "&amp;TEXT(AD104,"#,###")&amp;" last year, please explain","")</f>
        <v>#N/A</v>
      </c>
      <c r="AB104">
        <f>VLOOKUP("RO4"&amp;$A105,data_val_parameters,9,0)/100</f>
        <v>0.55000000000000004</v>
      </c>
      <c r="AC104">
        <f>VLOOKUP("RO4"&amp;$A105,data_val_parameters,7,0)</f>
        <v>10000</v>
      </c>
      <c r="AD104" t="e">
        <f>VLOOKUP(LA_code,data_prev_year,MATCH("RO4"&amp;$A105&amp;"9",data_prev_year_headers,0),0)</f>
        <v>#N/A</v>
      </c>
      <c r="AE104" t="e">
        <f t="shared" ref="AE104:AE105" si="59">AD104+AC104</f>
        <v>#N/A</v>
      </c>
      <c r="AF104" t="e">
        <f t="shared" ref="AF104:AF105" si="60">AD104-AC104</f>
        <v>#N/A</v>
      </c>
      <c r="AG104" t="e">
        <f t="shared" ref="AG104:AG105" si="61">AD104+(AD104*AB104)</f>
        <v>#N/A</v>
      </c>
      <c r="AH104" t="e">
        <f t="shared" ref="AH104:AH105" si="62">AD104-(AD104*AB104)</f>
        <v>#N/A</v>
      </c>
      <c r="AI104" t="e">
        <f>IF(OR(D105&lt;AF104,D105&gt;AE104),"Warning","")</f>
        <v>#N/A</v>
      </c>
      <c r="AJ104" t="e">
        <f>IF(OR(D105&gt;(AG104),D105&lt;(AH104)),"Warning","")</f>
        <v>#N/A</v>
      </c>
      <c r="AK104" t="e">
        <f>IF(OR(D105=0),"",IF(AND(AI104="Warning",AJ104="Warning"),"Warning",""))</f>
        <v>#N/A</v>
      </c>
    </row>
    <row r="105" spans="1:37" ht="15.5" x14ac:dyDescent="0.35">
      <c r="A105" s="323">
        <v>146</v>
      </c>
      <c r="B105" s="295" t="s">
        <v>1921</v>
      </c>
      <c r="C105" s="112"/>
      <c r="D105" s="1131" t="e">
        <f>VLOOKUP(LA_code,data_prev_year,MATCH("RS"&amp;"983"&amp;"7",data_prev_year_headers,0),0)</f>
        <v>#N/A</v>
      </c>
      <c r="E105" s="1132" t="e">
        <f>D105+D100</f>
        <v>#N/A</v>
      </c>
      <c r="F105" s="45"/>
      <c r="G105" s="31"/>
      <c r="H105" s="31"/>
      <c r="I105" s="45"/>
      <c r="J105" s="45"/>
      <c r="K105" s="112"/>
      <c r="L105" s="692" t="str">
        <f t="shared" ref="L105" si="63">IF(ISERROR(M105),"",IF((M105="Error"),"add explanation",IF((M105="Warning"),"add explanation","")))</f>
        <v/>
      </c>
      <c r="M105" s="693" t="e">
        <f>IF(AK105="Warning","Warning","")</f>
        <v>#N/A</v>
      </c>
      <c r="N105" s="112"/>
      <c r="O105" s="131" t="e">
        <f>IF($M105="Warning","This year's closing balance figure is over "&amp;AC105/1000&amp;" million and "&amp;(AB105*100)&amp;"% different to "&amp;TEXT(AD105,"#,###")&amp;" last year, please explain","")</f>
        <v>#N/A</v>
      </c>
      <c r="AB105">
        <f>VLOOKUP("RO4"&amp;$A105,data_val_parameters,9,0)/100</f>
        <v>0.55000000000000004</v>
      </c>
      <c r="AC105">
        <f>VLOOKUP("RO4"&amp;$A105,data_val_parameters,7,0)</f>
        <v>10000</v>
      </c>
      <c r="AD105" t="e">
        <f>VLOOKUP(LA_code,data_prev_year,MATCH("RO4"&amp;$A105&amp;"10",data_prev_year_headers,0),0)</f>
        <v>#N/A</v>
      </c>
      <c r="AE105" t="e">
        <f t="shared" si="59"/>
        <v>#N/A</v>
      </c>
      <c r="AF105" t="e">
        <f t="shared" si="60"/>
        <v>#N/A</v>
      </c>
      <c r="AG105" t="e">
        <f t="shared" si="61"/>
        <v>#N/A</v>
      </c>
      <c r="AH105" t="e">
        <f t="shared" si="62"/>
        <v>#N/A</v>
      </c>
      <c r="AI105" t="e">
        <f>IF(OR(E105&lt;AF105,E105&gt;AE105),"Warning","")</f>
        <v>#N/A</v>
      </c>
      <c r="AJ105" t="e">
        <f>IF(OR(E105&gt;(AG105),E105&lt;(AH105)),"Warning","")</f>
        <v>#N/A</v>
      </c>
      <c r="AK105" t="e">
        <f>IF(OR(E105=0),"",IF(AND(AI105="Warning",AJ105="Warning"),"Warning",""))</f>
        <v>#N/A</v>
      </c>
    </row>
    <row r="106" spans="1:37" ht="23.5" customHeight="1" x14ac:dyDescent="0.35">
      <c r="A106" s="324" t="s">
        <v>1922</v>
      </c>
      <c r="B106" s="325"/>
      <c r="C106" s="237"/>
      <c r="D106" s="31"/>
      <c r="E106" s="31"/>
      <c r="F106" s="45"/>
      <c r="G106" s="31"/>
      <c r="H106" s="31"/>
      <c r="I106" s="45"/>
      <c r="J106" s="45"/>
      <c r="K106" s="112"/>
      <c r="L106" s="112"/>
      <c r="M106" s="693" t="e">
        <f>IF(AK106="Warning","Warning","")</f>
        <v>#N/A</v>
      </c>
      <c r="N106" s="112"/>
      <c r="O106" s="741" t="e">
        <f>IF(D105+D100=E105,"","Reserve levels at end of March does not equal the sum of April reserve levels and surplus or deficit (line 140).")</f>
        <v>#N/A</v>
      </c>
      <c r="AK106" t="e">
        <f>IF(D105+D100=E105,"", "Warning")</f>
        <v>#N/A</v>
      </c>
    </row>
    <row r="107" spans="1:37" ht="15.5" x14ac:dyDescent="0.35">
      <c r="A107" s="112"/>
      <c r="B107" s="112"/>
      <c r="C107" s="4"/>
      <c r="D107" s="31"/>
      <c r="E107" s="31"/>
      <c r="F107" s="45"/>
      <c r="G107" s="31"/>
      <c r="H107" s="31"/>
      <c r="I107" s="45"/>
      <c r="J107" s="45"/>
      <c r="K107" s="112"/>
      <c r="L107" s="112"/>
      <c r="M107" s="112"/>
      <c r="N107" s="112"/>
      <c r="O107" s="112"/>
    </row>
    <row r="108" spans="1:37" ht="15.5" x14ac:dyDescent="0.35">
      <c r="A108" s="108"/>
      <c r="B108" s="108"/>
      <c r="C108" s="4"/>
      <c r="D108" s="31"/>
      <c r="E108" s="31"/>
      <c r="F108" s="45"/>
      <c r="G108" s="31"/>
      <c r="H108" s="31"/>
      <c r="I108" s="45"/>
      <c r="J108" s="45"/>
      <c r="K108" s="112"/>
      <c r="L108" s="112"/>
      <c r="M108" s="112"/>
      <c r="N108" s="112"/>
      <c r="O108" s="112"/>
    </row>
    <row r="109" spans="1:37" x14ac:dyDescent="0.25">
      <c r="D109" s="937"/>
    </row>
    <row r="110" spans="1:37" x14ac:dyDescent="0.25"/>
    <row r="111" spans="1:37" x14ac:dyDescent="0.25"/>
    <row r="112" spans="1:37" x14ac:dyDescent="0.25"/>
    <row r="113" x14ac:dyDescent="0.25"/>
    <row r="114" x14ac:dyDescent="0.25"/>
    <row r="115" x14ac:dyDescent="0.25"/>
    <row r="116" x14ac:dyDescent="0.25"/>
    <row r="117" x14ac:dyDescent="0.25"/>
  </sheetData>
  <sheetProtection sheet="1" objects="1" scenarios="1"/>
  <protectedRanges>
    <protectedRange sqref="D105" name="Range1"/>
  </protectedRanges>
  <mergeCells count="6">
    <mergeCell ref="A15:M15"/>
    <mergeCell ref="A1:N1"/>
    <mergeCell ref="A9:M9"/>
    <mergeCell ref="A10:M10"/>
    <mergeCell ref="A12:M12"/>
    <mergeCell ref="A14:M14"/>
  </mergeCells>
  <phoneticPr fontId="0" type="noConversion"/>
  <conditionalFormatting sqref="A17">
    <cfRule type="containsText" dxfId="62" priority="19" operator="containsText" text="resolve">
      <formula>NOT(ISERROR(SEARCH("resolve",A17)))</formula>
    </cfRule>
  </conditionalFormatting>
  <conditionalFormatting sqref="B17">
    <cfRule type="expression" dxfId="61" priority="9">
      <formula>ISNUMBER(SEARCH(Z17,A17))</formula>
    </cfRule>
  </conditionalFormatting>
  <conditionalFormatting sqref="C17">
    <cfRule type="expression" dxfId="60" priority="8">
      <formula>ISNUMBER(SEARCH(Z17,A17))</formula>
    </cfRule>
  </conditionalFormatting>
  <conditionalFormatting sqref="D17">
    <cfRule type="expression" dxfId="59" priority="7">
      <formula>ISNUMBER(SEARCH(Z17,A17))</formula>
    </cfRule>
  </conditionalFormatting>
  <conditionalFormatting sqref="E17">
    <cfRule type="expression" dxfId="58" priority="6">
      <formula>ISNUMBER(SEARCH(Z17,A17))</formula>
    </cfRule>
  </conditionalFormatting>
  <conditionalFormatting sqref="F17">
    <cfRule type="expression" dxfId="57" priority="5">
      <formula>ISNUMBER(SEARCH(Z17,A17))</formula>
    </cfRule>
  </conditionalFormatting>
  <conditionalFormatting sqref="G17">
    <cfRule type="expression" dxfId="56" priority="4">
      <formula>ISNUMBER(SEARCH(Z17,A17))</formula>
    </cfRule>
  </conditionalFormatting>
  <conditionalFormatting sqref="H17">
    <cfRule type="expression" dxfId="55" priority="3">
      <formula>ISNUMBER(SEARCH(Z17,A17))</formula>
    </cfRule>
  </conditionalFormatting>
  <conditionalFormatting sqref="I17">
    <cfRule type="expression" dxfId="54" priority="2">
      <formula>ISNUMBER(SEARCH(Z17,A17))</formula>
    </cfRule>
  </conditionalFormatting>
  <conditionalFormatting sqref="J17">
    <cfRule type="expression" dxfId="53" priority="1">
      <formula>ISNUMBER(SEARCH(Z17,A17))</formula>
    </cfRule>
  </conditionalFormatting>
  <conditionalFormatting sqref="M31:M106">
    <cfRule type="containsText" dxfId="52" priority="23" operator="containsText" text="Information">
      <formula>NOT(ISERROR(SEARCH("Information",M31)))</formula>
    </cfRule>
    <cfRule type="containsText" dxfId="51" priority="24" operator="containsText" text="Warning">
      <formula>NOT(ISERROR(SEARCH("Warning",M31)))</formula>
    </cfRule>
    <cfRule type="containsText" dxfId="50" priority="25" operator="containsText" text="Error">
      <formula>NOT(ISERROR(SEARCH("Error",M31)))</formula>
    </cfRule>
  </conditionalFormatting>
  <hyperlinks>
    <hyperlink ref="L31" location="Memo!C405" display="Memo!C405" xr:uid="{00000000-0004-0000-0700-000000000000}"/>
    <hyperlink ref="L33" location="Memo!C406" display="Memo!C406" xr:uid="{00000000-0004-0000-0700-000001000000}"/>
    <hyperlink ref="L36" location="Memo!C407" display="Memo!C407" xr:uid="{00000000-0004-0000-0700-000002000000}"/>
    <hyperlink ref="L37" location="Memo!C408" display="Memo!C408" xr:uid="{00000000-0004-0000-0700-000003000000}"/>
    <hyperlink ref="L40" location="Memo!C409" display="Memo!C409" xr:uid="{00000000-0004-0000-0700-000004000000}"/>
    <hyperlink ref="L41" location="Memo!C410" display="Memo!C410" xr:uid="{00000000-0004-0000-0700-000005000000}"/>
    <hyperlink ref="L43" location="Memo!C412" display="Memo!C412" xr:uid="{00000000-0004-0000-0700-000007000000}"/>
    <hyperlink ref="L44" location="Memo!C413" display="Memo!C413" xr:uid="{00000000-0004-0000-0700-000008000000}"/>
    <hyperlink ref="L45" location="Memo!C414" display="Memo!C414" xr:uid="{00000000-0004-0000-0700-000009000000}"/>
    <hyperlink ref="L46" location="Memo!C415" display="Memo!C415" xr:uid="{00000000-0004-0000-0700-00000A000000}"/>
    <hyperlink ref="L47" location="Memo!C416" display="Memo!C416" xr:uid="{00000000-0004-0000-0700-00000B000000}"/>
    <hyperlink ref="L52" location="Memo!C419" display="Memo!C419" xr:uid="{00000000-0004-0000-0700-000010000000}"/>
    <hyperlink ref="L53" location="Memo!C420" display="Memo!C420" xr:uid="{00000000-0004-0000-0700-000011000000}"/>
    <hyperlink ref="L54" location="Memo!C421" display="Memo!C421" xr:uid="{00000000-0004-0000-0700-000012000000}"/>
    <hyperlink ref="L55" location="Memo!C422" display="Memo!C422" xr:uid="{00000000-0004-0000-0700-000013000000}"/>
    <hyperlink ref="L58" location="Memo!C423" display="Memo!C423" xr:uid="{00000000-0004-0000-0700-000014000000}"/>
    <hyperlink ref="L61" location="Memo!C424" display="Memo!C424" xr:uid="{00000000-0004-0000-0700-000015000000}"/>
    <hyperlink ref="L62" location="Memo!C425" display="Memo!C425" xr:uid="{00000000-0004-0000-0700-000016000000}"/>
    <hyperlink ref="L64" location="Memo!C426" display="Memo!C426" xr:uid="{00000000-0004-0000-0700-000017000000}"/>
    <hyperlink ref="L48" location="Memo!C417" display="Memo!C417" xr:uid="{23B177FB-2DB6-4DBC-9CBA-0F01AFE80497}"/>
    <hyperlink ref="L49" location="Memo!C418" display="Memo!C418" xr:uid="{2F1C7D78-BC89-4341-8E1F-2157E51EADA9}"/>
    <hyperlink ref="L42" location="Memo!C411" display="Memo!C411" xr:uid="{00000000-0004-0000-0700-000006000000}"/>
    <hyperlink ref="L75" location="Memo!C427" display="Memo!C427" xr:uid="{34DEEB65-E30D-4754-9FA4-FE8D2FF0DEDD}"/>
    <hyperlink ref="L76:L82" location="Memo!C420" display="Memo!C420" xr:uid="{AA342495-2E05-445E-94F1-5C7D01CC67AD}"/>
    <hyperlink ref="L83" location="Memo!C435" display="Memo!C435" xr:uid="{72751622-F0A1-4AE5-91B4-CEAB0D07B9A1}"/>
    <hyperlink ref="L76" location="Memo!C428" display="Memo!C428" xr:uid="{BD1E55F8-220E-48C6-8E2C-7ADCFE87D13A}"/>
    <hyperlink ref="L77" location="Memo!C429" display="Memo!C429" xr:uid="{38311F0A-8B02-4B2B-BD9D-17C99BFB7BA4}"/>
    <hyperlink ref="L78" location="Memo!C430" display="Memo!C430" xr:uid="{D5124185-423C-420D-80A1-48E7D25BA3ED}"/>
    <hyperlink ref="L79" location="Memo!C431" display="Memo!C431" xr:uid="{1599F603-84B2-4F5D-84CB-2CDC0D9DAAE4}"/>
    <hyperlink ref="L80" location="Memo!C432" display="Memo!C432" xr:uid="{2906BFED-1E5C-4AEC-A266-EAD0EE0BEA4E}"/>
    <hyperlink ref="L81" location="Memo!C433" display="Memo!C433" xr:uid="{E0D72E69-B5C3-4A19-B92B-89E925733289}"/>
    <hyperlink ref="L82" location="Memo!C434" display="Memo!C434" xr:uid="{15651BC5-6438-45E0-8EE2-14482DF6889D}"/>
    <hyperlink ref="L87" location="Memo!C437" display="Memo!C437" xr:uid="{B8D932ED-B5B1-40AB-AD0E-1F7C2F461F87}"/>
    <hyperlink ref="L88:L95" location="Memo!C428" display="Memo!C428" xr:uid="{D44A0300-87FB-45AB-B0ED-C7806F33B740}"/>
    <hyperlink ref="L96" location="Memo!C446" display="Memo!C446" xr:uid="{9CC546DE-540E-4410-8CB5-696EBC3CBE49}"/>
    <hyperlink ref="L97" location="Memo!C447" display="Memo!C447" xr:uid="{2C849F25-2C08-43D9-8BE3-D5A20CA63F1F}"/>
    <hyperlink ref="L88" location="Memo!C438" display="Memo!C438" xr:uid="{0099E619-61B1-4BEF-B325-2337C0C407DA}"/>
    <hyperlink ref="L89" location="Memo!C439" display="Memo!C439" xr:uid="{66781CF0-5EBF-4174-8D5E-11B033FA51A0}"/>
    <hyperlink ref="L90" location="Memo!C440" display="Memo!C440" xr:uid="{46DBE8B0-DABB-42EF-8363-827BAD93A13E}"/>
    <hyperlink ref="L91" location="Memo!C441" display="Memo!C441" xr:uid="{D92CB8A0-5384-41F9-BBEB-DC2010B8E366}"/>
    <hyperlink ref="L92" location="Memo!C442" display="Memo!C442" xr:uid="{475B37DA-4F1B-43D4-989F-AAA882E23A6A}"/>
    <hyperlink ref="L93" location="Memo!C443" display="Memo!C443" xr:uid="{8EF7AEC4-1239-477E-9B3F-0E1B8AC63220}"/>
    <hyperlink ref="L94" location="Memo!C444" display="Memo!C444" xr:uid="{F5FBC820-3B16-4EE6-A6A5-239AB25BA49C}"/>
    <hyperlink ref="L95" location="Memo!C445" display="Memo!C445" xr:uid="{D460015A-61DE-4CEB-943C-B5F4A0F2C1C8}"/>
    <hyperlink ref="L104" location="Memo!C450" display="Memo!C450" xr:uid="{6517DD13-D7E7-4B54-B6D0-9410C529224C}"/>
  </hyperlinks>
  <printOptions horizontalCentered="1"/>
  <pageMargins left="0.39370078740157483" right="0.39370078740157483" top="0.39370078740157483" bottom="0.39370078740157483" header="0.19685039370078741" footer="0.19685039370078741"/>
  <pageSetup paperSize="9" scale="55" fitToHeight="3" orientation="landscape" r:id="rId1"/>
  <headerFooter alignWithMargins="0"/>
  <ignoredErrors>
    <ignoredError sqref="D26:J28 D104:E104 D74" numberStoredAsText="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3fa4860e-4e84-4984-b511-cb934d7752ca">
      <Terms xmlns="http://schemas.microsoft.com/office/infopath/2007/PartnerControls"/>
    </lcf76f155ced4ddcb4097134ff3c332f>
    <TaxCatchAll xmlns="83a87e31-bf32-46ab-8e70-9fa18461fa4d"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CCB7E1F660E4D499F35AD51896216AD" ma:contentTypeVersion="16" ma:contentTypeDescription="Create a new document." ma:contentTypeScope="" ma:versionID="68584e3685d24682d74fbadffedfef0f">
  <xsd:schema xmlns:xsd="http://www.w3.org/2001/XMLSchema" xmlns:xs="http://www.w3.org/2001/XMLSchema" xmlns:p="http://schemas.microsoft.com/office/2006/metadata/properties" xmlns:ns2="3fa4860e-4e84-4984-b511-cb934d7752ca" xmlns:ns3="63fd57c9-5291-4ee5-b3d3-37b4b570c278" xmlns:ns4="83a87e31-bf32-46ab-8e70-9fa18461fa4d" targetNamespace="http://schemas.microsoft.com/office/2006/metadata/properties" ma:root="true" ma:fieldsID="90f2536f57e85155fcd295c76b7f1763" ns2:_="" ns3:_="" ns4:_="">
    <xsd:import namespace="3fa4860e-4e84-4984-b511-cb934d7752ca"/>
    <xsd:import namespace="63fd57c9-5291-4ee5-b3d3-37b4b570c278"/>
    <xsd:import namespace="83a87e31-bf32-46ab-8e70-9fa18461fa4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lcf76f155ced4ddcb4097134ff3c332f" minOccurs="0"/>
                <xsd:element ref="ns4:TaxCatchAll"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fa4860e-4e84-4984-b511-cb934d7752c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756ca3a0-e5c0-40d7-8522-e7aae8be603d" ma:termSetId="09814cd3-568e-fe90-9814-8d621ff8fb84" ma:anchorId="fba54fb3-c3e1-fe81-a776-ca4b69148c4d" ma:open="true" ma:isKeyword="false">
      <xsd:complexType>
        <xsd:sequence>
          <xsd:element ref="pc:Terms" minOccurs="0" maxOccurs="1"/>
        </xsd:sequence>
      </xsd:complexType>
    </xsd:element>
    <xsd:element name="MediaLengthInSeconds" ma:index="22"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3fd57c9-5291-4ee5-b3d3-37b4b570c278"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3a87e31-bf32-46ab-8e70-9fa18461fa4d"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1c87fa60-d147-431f-934a-2c728b6fc39f}" ma:internalName="TaxCatchAll" ma:showField="CatchAllData" ma:web="63fd57c9-5291-4ee5-b3d3-37b4b570c27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sisl xmlns:xsi="http://www.w3.org/2001/XMLSchema-instance" xmlns:xsd="http://www.w3.org/2001/XMLSchema" xmlns="http://www.boldonjames.com/2008/01/sie/internal/label" sislVersion="0" policy="8270c081-d9f3-48ae-83c7-c2320a8ca25c"/>
</file>

<file path=customXml/itemProps1.xml><?xml version="1.0" encoding="utf-8"?>
<ds:datastoreItem xmlns:ds="http://schemas.openxmlformats.org/officeDocument/2006/customXml" ds:itemID="{DE29714B-393C-4DF5-AB37-19F05BE765B9}">
  <ds:schemaRefs>
    <ds:schemaRef ds:uri="http://purl.org/dc/terms/"/>
    <ds:schemaRef ds:uri="http://schemas.microsoft.com/office/2006/documentManagement/types"/>
    <ds:schemaRef ds:uri="http://schemas.openxmlformats.org/package/2006/metadata/core-properties"/>
    <ds:schemaRef ds:uri="63fd57c9-5291-4ee5-b3d3-37b4b570c278"/>
    <ds:schemaRef ds:uri="http://purl.org/dc/elements/1.1/"/>
    <ds:schemaRef ds:uri="3fa4860e-4e84-4984-b511-cb934d7752ca"/>
    <ds:schemaRef ds:uri="http://schemas.microsoft.com/office/infopath/2007/PartnerControls"/>
    <ds:schemaRef ds:uri="http://schemas.microsoft.com/office/2006/metadata/properties"/>
    <ds:schemaRef ds:uri="83a87e31-bf32-46ab-8e70-9fa18461fa4d"/>
    <ds:schemaRef ds:uri="http://www.w3.org/XML/1998/namespace"/>
    <ds:schemaRef ds:uri="http://purl.org/dc/dcmitype/"/>
  </ds:schemaRefs>
</ds:datastoreItem>
</file>

<file path=customXml/itemProps2.xml><?xml version="1.0" encoding="utf-8"?>
<ds:datastoreItem xmlns:ds="http://schemas.openxmlformats.org/officeDocument/2006/customXml" ds:itemID="{E6556095-C05D-4742-B5CB-54ACDACEE3E0}"/>
</file>

<file path=customXml/itemProps3.xml><?xml version="1.0" encoding="utf-8"?>
<ds:datastoreItem xmlns:ds="http://schemas.openxmlformats.org/officeDocument/2006/customXml" ds:itemID="{8318A660-8F1A-47BF-8633-2BCC7B69F774}">
  <ds:schemaRefs>
    <ds:schemaRef ds:uri="http://schemas.microsoft.com/sharepoint/v3/contenttype/forms"/>
  </ds:schemaRefs>
</ds:datastoreItem>
</file>

<file path=customXml/itemProps4.xml><?xml version="1.0" encoding="utf-8"?>
<ds:datastoreItem xmlns:ds="http://schemas.openxmlformats.org/officeDocument/2006/customXml" ds:itemID="{3E2802AB-E390-4C63-B707-913297D331B8}">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22</vt:i4>
      </vt:variant>
      <vt:variant>
        <vt:lpstr>Named Ranges</vt:lpstr>
      </vt:variant>
      <vt:variant>
        <vt:i4>65</vt:i4>
      </vt:variant>
    </vt:vector>
  </HeadingPairs>
  <TitlesOfParts>
    <vt:vector size="87" baseType="lpstr">
      <vt:lpstr>ContactDetails</vt:lpstr>
      <vt:lpstr>RS</vt:lpstr>
      <vt:lpstr>RSm</vt:lpstr>
      <vt:lpstr>RSX</vt:lpstr>
      <vt:lpstr>RG</vt:lpstr>
      <vt:lpstr>RO1</vt:lpstr>
      <vt:lpstr>RO2</vt:lpstr>
      <vt:lpstr>RO3</vt:lpstr>
      <vt:lpstr>RO4</vt:lpstr>
      <vt:lpstr>RO5</vt:lpstr>
      <vt:lpstr>RO6</vt:lpstr>
      <vt:lpstr>TSR</vt:lpstr>
      <vt:lpstr>SAR</vt:lpstr>
      <vt:lpstr>Levy</vt:lpstr>
      <vt:lpstr>Memo</vt:lpstr>
      <vt:lpstr>backsheet</vt:lpstr>
      <vt:lpstr>LA_data_prev_year</vt:lpstr>
      <vt:lpstr>Pre-populated reserves</vt:lpstr>
      <vt:lpstr>Line 1028+1029</vt:lpstr>
      <vt:lpstr>LA Data</vt:lpstr>
      <vt:lpstr>LA_info</vt:lpstr>
      <vt:lpstr>Validation Parameters</vt:lpstr>
      <vt:lpstr>CIL_list</vt:lpstr>
      <vt:lpstr>RSm!CLASS_CHECK</vt:lpstr>
      <vt:lpstr>CLASS_CHECK</vt:lpstr>
      <vt:lpstr>data_prev_year</vt:lpstr>
      <vt:lpstr>data_prev_year_headers</vt:lpstr>
      <vt:lpstr>data_val_parameters</vt:lpstr>
      <vt:lpstr>fyear</vt:lpstr>
      <vt:lpstr>LA_code</vt:lpstr>
      <vt:lpstr>la_contact_Date_Cert</vt:lpstr>
      <vt:lpstr>la_contact_email</vt:lpstr>
      <vt:lpstr>la_contact_email_cfo</vt:lpstr>
      <vt:lpstr>la_contact_email_S151</vt:lpstr>
      <vt:lpstr>la_contact_name</vt:lpstr>
      <vt:lpstr>la_contact_name_Cert</vt:lpstr>
      <vt:lpstr>la_contact_name_cfo</vt:lpstr>
      <vt:lpstr>la_contact_name_S151</vt:lpstr>
      <vt:lpstr>la_contact_Other_Cert</vt:lpstr>
      <vt:lpstr>la_contact_phone</vt:lpstr>
      <vt:lpstr>la_contact_phone_cfo</vt:lpstr>
      <vt:lpstr>la_contact_phone_S151</vt:lpstr>
      <vt:lpstr>la_contact_Role_Cert</vt:lpstr>
      <vt:lpstr>la_contact_Sig_Cert</vt:lpstr>
      <vt:lpstr>LA_Data</vt:lpstr>
      <vt:lpstr>LA_list</vt:lpstr>
      <vt:lpstr>LA_name</vt:lpstr>
      <vt:lpstr>LA_names</vt:lpstr>
      <vt:lpstr>LCTS_list</vt:lpstr>
      <vt:lpstr>MHCLG_CONTROL</vt:lpstr>
      <vt:lpstr>notes_RG</vt:lpstr>
      <vt:lpstr>notes_RO1</vt:lpstr>
      <vt:lpstr>notes_RO2</vt:lpstr>
      <vt:lpstr>notes_RO3</vt:lpstr>
      <vt:lpstr>notes_RO4</vt:lpstr>
      <vt:lpstr>notes_RO5</vt:lpstr>
      <vt:lpstr>notes_RO6</vt:lpstr>
      <vt:lpstr>notes_rs</vt:lpstr>
      <vt:lpstr>notes_rsx</vt:lpstr>
      <vt:lpstr>notes_SAR</vt:lpstr>
      <vt:lpstr>notes_SARB</vt:lpstr>
      <vt:lpstr>notes_SARC</vt:lpstr>
      <vt:lpstr>notes_TSR</vt:lpstr>
      <vt:lpstr>ContactDetails!Print_Area</vt:lpstr>
      <vt:lpstr>Memo!Print_Area</vt:lpstr>
      <vt:lpstr>RG!Print_Area</vt:lpstr>
      <vt:lpstr>'RO1'!Print_Area</vt:lpstr>
      <vt:lpstr>'RO2'!Print_Area</vt:lpstr>
      <vt:lpstr>'RO3'!Print_Area</vt:lpstr>
      <vt:lpstr>'RO4'!Print_Area</vt:lpstr>
      <vt:lpstr>'RO5'!Print_Area</vt:lpstr>
      <vt:lpstr>'RO6'!Print_Area</vt:lpstr>
      <vt:lpstr>RS!Print_Area</vt:lpstr>
      <vt:lpstr>RSm!Print_Area</vt:lpstr>
      <vt:lpstr>RSX!Print_Area</vt:lpstr>
      <vt:lpstr>SAR!Print_Area</vt:lpstr>
      <vt:lpstr>TSR!Print_Area</vt:lpstr>
      <vt:lpstr>RG!Print_Titles</vt:lpstr>
      <vt:lpstr>'RO2'!Print_Titles</vt:lpstr>
      <vt:lpstr>'RO4'!Print_Titles</vt:lpstr>
      <vt:lpstr>'RO5'!Print_Titles</vt:lpstr>
      <vt:lpstr>'RO6'!Print_Titles</vt:lpstr>
      <vt:lpstr>RS!Print_Titles</vt:lpstr>
      <vt:lpstr>RSm!Print_Titles</vt:lpstr>
      <vt:lpstr>TSR!Print_Titles</vt:lpstr>
      <vt:lpstr>return_date</vt:lpstr>
      <vt:lpstr>upper</vt:lpstr>
    </vt:vector>
  </TitlesOfParts>
  <Manager/>
  <Company>ODPM</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William Nye;Mark Clarke</dc:creator>
  <cp:keywords/>
  <dc:description/>
  <cp:lastModifiedBy>Mark Clarke</cp:lastModifiedBy>
  <cp:revision/>
  <dcterms:created xsi:type="dcterms:W3CDTF">2002-11-25T15:00:33Z</dcterms:created>
  <dcterms:modified xsi:type="dcterms:W3CDTF">2023-05-15T15:29:33Z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142bf9e9-ae9e-4efe-8cd4-c59c48a9d5b4</vt:lpwstr>
  </property>
  <property fmtid="{D5CDD505-2E9C-101B-9397-08002B2CF9AE}" pid="3" name="bjSaver">
    <vt:lpwstr>aFEljwmC7h47H14saImKZfw/7X3oif0x</vt:lpwstr>
  </property>
  <property fmtid="{D5CDD505-2E9C-101B-9397-08002B2CF9AE}" pid="4" name="bjDocumentSecurityLabel">
    <vt:lpwstr>No Marking</vt:lpwstr>
  </property>
  <property fmtid="{D5CDD505-2E9C-101B-9397-08002B2CF9AE}" pid="5" name="ContentTypeId">
    <vt:lpwstr>0x010100ECCB7E1F660E4D499F35AD51896216AD</vt:lpwstr>
  </property>
  <property fmtid="{D5CDD505-2E9C-101B-9397-08002B2CF9AE}" pid="6" name="MediaServiceImageTags">
    <vt:lpwstr/>
  </property>
</Properties>
</file>